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4.xml" ContentType="application/vnd.openxmlformats-officedocument.drawingml.chartshapes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5.xml" ContentType="application/vnd.openxmlformats-officedocument.drawingml.chartshapes+xml"/>
  <Override PartName="/xl/charts/chart38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7.xml" ContentType="application/vnd.openxmlformats-officedocument.drawingml.chartshapes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8.xml" ContentType="application/vnd.openxmlformats-officedocument.drawingml.chartshape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theme/themeOverride1.xml" ContentType="application/vnd.openxmlformats-officedocument.themeOverride+xml"/>
  <Override PartName="/xl/charts/chart61.xml" ContentType="application/vnd.openxmlformats-officedocument.drawingml.chart+xml"/>
  <Override PartName="/xl/theme/themeOverride2.xml" ContentType="application/vnd.openxmlformats-officedocument.themeOverride+xml"/>
  <Override PartName="/xl/drawings/drawing10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1.xml" ContentType="application/vnd.openxmlformats-officedocument.drawingml.chartshapes+xml"/>
  <Override PartName="/xl/charts/chart66.xml" ContentType="application/vnd.openxmlformats-officedocument.drawingml.chart+xml"/>
  <Override PartName="/xl/drawings/drawing12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13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14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15.xml" ContentType="application/vnd.openxmlformats-officedocument.drawing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16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17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18.xml" ContentType="application/vnd.openxmlformats-officedocument.drawing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19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20.xml" ContentType="application/vnd.openxmlformats-officedocument.drawing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drawings/drawing21.xml" ContentType="application/vnd.openxmlformats-officedocument.drawing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22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23.xml" ContentType="application/vnd.openxmlformats-officedocument.drawing+xml"/>
  <Override PartName="/xl/comments5.xml" ContentType="application/vnd.openxmlformats-officedocument.spreadsheetml.comments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theme/themeOverride3.xml" ContentType="application/vnd.openxmlformats-officedocument.themeOverride+xml"/>
  <Override PartName="/xl/drawings/drawing24.xml" ContentType="application/vnd.openxmlformats-officedocument.drawing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drawings/drawing25.xml" ContentType="application/vnd.openxmlformats-officedocument.drawing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drawings/drawing26.xml" ContentType="application/vnd.openxmlformats-officedocument.drawing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theme/themeOverride4.xml" ContentType="application/vnd.openxmlformats-officedocument.themeOverride+xml"/>
  <Override PartName="/xl/drawings/drawing27.xml" ContentType="application/vnd.openxmlformats-officedocument.drawing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drawings/drawing28.xml" ContentType="application/vnd.openxmlformats-officedocument.drawing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9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5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5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5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5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5.xml" ContentType="application/vnd.openxmlformats-officedocument.themeOverride+xml"/>
  <Override PartName="/xl/charts/chart25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6.xml" ContentType="application/vnd.openxmlformats-officedocument.themeOverride+xml"/>
  <Override PartName="/xl/drawings/drawing30.xml" ContentType="application/vnd.openxmlformats-officedocument.drawing+xml"/>
  <Override PartName="/xl/comments6.xml" ContentType="application/vnd.openxmlformats-officedocument.spreadsheetml.comments+xml"/>
  <Override PartName="/xl/charts/chart260.xml" ContentType="application/vnd.openxmlformats-officedocument.drawingml.chart+xml"/>
  <Override PartName="/xl/drawings/drawing31.xml" ContentType="application/vnd.openxmlformats-officedocument.drawing+xml"/>
  <Override PartName="/xl/charts/chart2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7.xml" ContentType="application/vnd.openxmlformats-officedocument.themeOverride+xml"/>
  <Override PartName="/xl/charts/chart2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8.xml" ContentType="application/vnd.openxmlformats-officedocument.themeOverride+xml"/>
  <Override PartName="/xl/charts/chart2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9.xml" ContentType="application/vnd.openxmlformats-officedocument.themeOverride+xml"/>
  <Override PartName="/xl/charts/chart2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7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7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2.xml" ContentType="application/vnd.openxmlformats-officedocument.drawingml.chartshapes+xml"/>
  <Override PartName="/xl/charts/chart27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0.xml" ContentType="application/vnd.openxmlformats-officedocument.themeOverride+xml"/>
  <Override PartName="/xl/drawings/drawing33.xml" ContentType="application/vnd.openxmlformats-officedocument.drawing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drawings/drawing34.xml" ContentType="application/vnd.openxmlformats-officedocument.drawing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drawings/drawing35.xml" ContentType="application/vnd.openxmlformats-officedocument.drawing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drawings/drawing36.xml" ContentType="application/vnd.openxmlformats-officedocument.drawing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drawings/drawing37.xml" ContentType="application/vnd.openxmlformats-officedocument.drawing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drawings/drawing38.xml" ContentType="application/vnd.openxmlformats-officedocument.drawing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drawings/drawing39.xml" ContentType="application/vnd.openxmlformats-officedocument.drawing+xml"/>
  <Override PartName="/xl/charts/chart383.xml" ContentType="application/vnd.openxmlformats-officedocument.drawingml.chart+xml"/>
  <Override PartName="/xl/drawings/drawing40.xml" ContentType="application/vnd.openxmlformats-officedocument.drawing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drawings/drawing41.xml" ContentType="application/vnd.openxmlformats-officedocument.drawing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drawings/drawing42.xml" ContentType="application/vnd.openxmlformats-officedocument.drawing+xml"/>
  <Override PartName="/xl/comments7.xml" ContentType="application/vnd.openxmlformats-officedocument.spreadsheetml.comments+xml"/>
  <Override PartName="/xl/threadedComments/threadedComment2.xml" ContentType="application/vnd.ms-excel.threadedcomments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theme/themeOverride11.xml" ContentType="application/vnd.openxmlformats-officedocument.themeOverride+xml"/>
  <Override PartName="/xl/drawings/drawing43.xml" ContentType="application/vnd.openxmlformats-officedocument.drawing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drawings/drawing44.xml" ContentType="application/vnd.openxmlformats-officedocument.drawing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drawings/drawing45.xml" ContentType="application/vnd.openxmlformats-officedocument.drawing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drawings/drawing46.xml" ContentType="application/vnd.openxmlformats-officedocument.drawing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drawings/drawing47.xml" ContentType="application/vnd.openxmlformats-officedocument.drawing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drawings/drawing48.xml" ContentType="application/vnd.openxmlformats-officedocument.drawing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drawings/drawing49.xml" ContentType="application/vnd.openxmlformats-officedocument.drawing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drawings/drawing50.xml" ContentType="application/vnd.openxmlformats-officedocument.drawing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drawings/drawing51.xml" ContentType="application/vnd.openxmlformats-officedocument.drawing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drawings/drawing52.xml" ContentType="application/vnd.openxmlformats-officedocument.drawing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drawings/drawing53.xml" ContentType="application/vnd.openxmlformats-officedocument.drawing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drawings/drawing54.xml" ContentType="application/vnd.openxmlformats-officedocument.drawing+xml"/>
  <Override PartName="/xl/charts/chart523.xml" ContentType="application/vnd.openxmlformats-officedocument.drawingml.chart+xml"/>
  <Override PartName="/xl/drawings/drawing55.xml" ContentType="application/vnd.openxmlformats-officedocument.drawingml.chartshapes+xml"/>
  <Override PartName="/xl/drawings/drawing56.xml" ContentType="application/vnd.openxmlformats-officedocument.drawing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drawings/drawing57.xml" ContentType="application/vnd.openxmlformats-officedocument.drawing+xml"/>
  <Override PartName="/xl/comments8.xml" ContentType="application/vnd.openxmlformats-officedocument.spreadsheetml.comments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theme/themeOverride12.xml" ContentType="application/vnd.openxmlformats-officedocument.themeOverride+xml"/>
  <Override PartName="/xl/charts/chart535.xml" ContentType="application/vnd.openxmlformats-officedocument.drawingml.chart+xml"/>
  <Override PartName="/xl/theme/themeOverride13.xml" ContentType="application/vnd.openxmlformats-officedocument.themeOverride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theme/themeOverride14.xml" ContentType="application/vnd.openxmlformats-officedocument.themeOverride+xml"/>
  <Override PartName="/xl/charts/chart540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DieseArbeitsmappe"/>
  <mc:AlternateContent xmlns:mc="http://schemas.openxmlformats.org/markup-compatibility/2006">
    <mc:Choice Requires="x15">
      <x15ac:absPath xmlns:x15ac="http://schemas.microsoft.com/office/spreadsheetml/2010/11/ac" url="R:\data\nestor\input_data\template_evaluation_files\"/>
    </mc:Choice>
  </mc:AlternateContent>
  <xr:revisionPtr revIDLastSave="0" documentId="13_ncr:1_{828FFFD8-3AB1-4875-9364-20F36BC0E5DD}" xr6:coauthVersionLast="47" xr6:coauthVersionMax="47" xr10:uidLastSave="{00000000-0000-0000-0000-000000000000}"/>
  <bookViews>
    <workbookView xWindow="28680" yWindow="-120" windowWidth="38640" windowHeight="21240" tabRatio="834" firstSheet="46" activeTab="57" xr2:uid="{00000000-000D-0000-FFFF-FFFF00000000}"/>
  </bookViews>
  <sheets>
    <sheet name="capacities" sheetId="39" r:id="rId1"/>
    <sheet name="flows" sheetId="40" r:id="rId2"/>
    <sheet name="CO2" sheetId="41" r:id="rId3"/>
    <sheet name="costs" sheetId="42" r:id="rId4"/>
    <sheet name="Fuel price calculation" sheetId="142" r:id="rId5"/>
    <sheet name="Farben" sheetId="105" r:id="rId6"/>
    <sheet name="Primärenergiebedarf" sheetId="91" r:id="rId7"/>
    <sheet name="Endenergiebedarf nach Sektor" sheetId="127" r:id="rId8"/>
    <sheet name="Kosten" sheetId="130" r:id="rId9"/>
    <sheet name="Kostenvergleich" sheetId="145" r:id="rId10"/>
    <sheet name="CO2-Emissionen" sheetId="92" r:id="rId11"/>
    <sheet name="Spez. Auswertung" sheetId="134" r:id="rId12"/>
    <sheet name="Sektorziele" sheetId="132" r:id="rId13"/>
    <sheet name="Speicher allgemein" sheetId="129" r:id="rId14"/>
    <sheet name="Strom - Inst. Kapazitäten" sheetId="122" r:id="rId15"/>
    <sheet name="Strom - Nachfrage" sheetId="116" r:id="rId16"/>
    <sheet name="Strom - Flows" sheetId="123" r:id="rId17"/>
    <sheet name="Übertragungsnetz" sheetId="97" r:id="rId18"/>
    <sheet name="Verteilnetz" sheetId="98" r:id="rId19"/>
    <sheet name="HH-Netz" sheetId="117" r:id="rId20"/>
    <sheet name="Strom - Regionale Aufteilung" sheetId="83" r:id="rId21"/>
    <sheet name="Strom - Regionale Aufteilung 2" sheetId="84" r:id="rId22"/>
    <sheet name="Strom - Speicher" sheetId="144" r:id="rId23"/>
    <sheet name="Wärme - Gesamtverbrauch" sheetId="128" r:id="rId24"/>
    <sheet name="Wärme - Erzeugung" sheetId="64" r:id="rId25"/>
    <sheet name="Wärme - Speicher" sheetId="57" r:id="rId26"/>
    <sheet name="Prozesswärme - Energieträger" sheetId="76" r:id="rId27"/>
    <sheet name="Prozesswärme - Erzeugung" sheetId="75" r:id="rId28"/>
    <sheet name="Prozesswärme - Bedarf" sheetId="74" r:id="rId29"/>
    <sheet name="Industrieprozesse" sheetId="136" r:id="rId30"/>
    <sheet name="Chemische Industrie" sheetId="137" r:id="rId31"/>
    <sheet name="Papierindustrie" sheetId="138" r:id="rId32"/>
    <sheet name="Glasindustrie" sheetId="141" r:id="rId33"/>
    <sheet name="Raumwärme - Energieträger" sheetId="60" r:id="rId34"/>
    <sheet name="Gebäude - Wärmeverbrauch" sheetId="67" r:id="rId35"/>
    <sheet name="Gebäude - Heizungsart" sheetId="53" r:id="rId36"/>
    <sheet name="Gebäude - Inst. Heizkapazitäten" sheetId="66" r:id="rId37"/>
    <sheet name="Gebäude - Bestand" sheetId="85" r:id="rId38"/>
    <sheet name="Gebäude - Sanierungsrate" sheetId="86" r:id="rId39"/>
    <sheet name="Gebäude - Elektrogeräte" sheetId="131" r:id="rId40"/>
    <sheet name="Erdgas" sheetId="125" r:id="rId41"/>
    <sheet name="Wasserstoff - Inst. Kapazitäten" sheetId="68" r:id="rId42"/>
    <sheet name="Wasserstoff - Bedarf" sheetId="70" r:id="rId43"/>
    <sheet name="Wasserstoff - Produktion" sheetId="69" r:id="rId44"/>
    <sheet name="Wasserstoff - Speicher" sheetId="71" r:id="rId45"/>
    <sheet name="Verkehr - Bestand" sheetId="99" r:id="rId46"/>
    <sheet name="Verkehr - Nutzung" sheetId="100" r:id="rId47"/>
    <sheet name="Verkehr - Kraftstoffmix" sheetId="121" r:id="rId48"/>
    <sheet name="Verkehr - EE im Kraftstoff" sheetId="102" r:id="rId49"/>
    <sheet name="Energycrops" sheetId="114" r:id="rId50"/>
    <sheet name="Straw Conversion" sheetId="113" r:id="rId51"/>
    <sheet name="Wood Conversion" sheetId="112" r:id="rId52"/>
    <sheet name="Biogas Conversion" sheetId="111" r:id="rId53"/>
    <sheet name="Biomasse - Produktion" sheetId="110" r:id="rId54"/>
    <sheet name="Biomasse - Nutzung" sheetId="135" r:id="rId55"/>
    <sheet name="Biomasse - Kapazitäten" sheetId="109" r:id="rId56"/>
    <sheet name="Biomasse - Sources" sheetId="108" r:id="rId57"/>
    <sheet name="Studienvergleich" sheetId="146" r:id="rId58"/>
  </sheets>
  <externalReferences>
    <externalReference r:id="rId59"/>
    <externalReference r:id="rId60"/>
  </externalReferences>
  <definedNames>
    <definedName name="_xlnm._FilterDatabase" localSheetId="0" hidden="1">capacities!$A$1:$A$1880</definedName>
    <definedName name="_xlnm._FilterDatabase" localSheetId="2" hidden="1">'CO2'!$A$1:$I$1908</definedName>
    <definedName name="_xlnm._FilterDatabase" localSheetId="3" hidden="1">costs!$A$1:$A$1380</definedName>
    <definedName name="_xlnm._FilterDatabase" localSheetId="1" hidden="1">flows!$A$1:$H$3350</definedName>
    <definedName name="_xlnm.Print_Area" localSheetId="32">Glasindustrie!$N$53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A114" i="146" l="1"/>
  <c r="BA113" i="146"/>
  <c r="BA112" i="146"/>
  <c r="BA111" i="146"/>
  <c r="BA115" i="146" s="1"/>
  <c r="BA108" i="146"/>
  <c r="BA107" i="146"/>
  <c r="BA105" i="146"/>
  <c r="BA100" i="146"/>
  <c r="BA99" i="146"/>
  <c r="BA98" i="146"/>
  <c r="BA97" i="146"/>
  <c r="BA96" i="146"/>
  <c r="BA95" i="146"/>
  <c r="BA94" i="146"/>
  <c r="BA90" i="146"/>
  <c r="BA89" i="146"/>
  <c r="BA88" i="146"/>
  <c r="BA86" i="146"/>
  <c r="BA85" i="146"/>
  <c r="BA83" i="146"/>
  <c r="BA82" i="146"/>
  <c r="BA81" i="146"/>
  <c r="BA80" i="146"/>
  <c r="BA79" i="146"/>
  <c r="BA92" i="146" s="1"/>
  <c r="BA77" i="146"/>
  <c r="BA75" i="146"/>
  <c r="BA74" i="146"/>
  <c r="BA72" i="146"/>
  <c r="BA71" i="146"/>
  <c r="BA70" i="146"/>
  <c r="BA69" i="146"/>
  <c r="BA68" i="146"/>
  <c r="BA64" i="146"/>
  <c r="BA62" i="146"/>
  <c r="BA61" i="146"/>
  <c r="BA60" i="146"/>
  <c r="BA59" i="146"/>
  <c r="BA53" i="146"/>
  <c r="BA52" i="146"/>
  <c r="BA47" i="146"/>
  <c r="BA46" i="146"/>
  <c r="BA45" i="146"/>
  <c r="BA44" i="146"/>
  <c r="BA43" i="146"/>
  <c r="BA42" i="146"/>
  <c r="BA49" i="146" s="1"/>
  <c r="BA37" i="146"/>
  <c r="BA36" i="146"/>
  <c r="BA35" i="146"/>
  <c r="BA31" i="146"/>
  <c r="BA30" i="146"/>
  <c r="BA29" i="146"/>
  <c r="BA23" i="146"/>
  <c r="BA22" i="146"/>
  <c r="BA21" i="146"/>
  <c r="BA19" i="146"/>
  <c r="BA18" i="146"/>
  <c r="BA17" i="146"/>
  <c r="BA16" i="146"/>
  <c r="BA15" i="146"/>
  <c r="BA14" i="146"/>
  <c r="BA13" i="146"/>
  <c r="BA12" i="146"/>
  <c r="BA11" i="146"/>
  <c r="BA10" i="146"/>
  <c r="BA9" i="146"/>
  <c r="AY115" i="146"/>
  <c r="AU115" i="146"/>
  <c r="AT115" i="146"/>
  <c r="AS115" i="146"/>
  <c r="AR115" i="146"/>
  <c r="AQ115" i="146"/>
  <c r="AP115" i="146"/>
  <c r="AO115" i="146"/>
  <c r="AJ115" i="146"/>
  <c r="BA109" i="146"/>
  <c r="AU109" i="146"/>
  <c r="AT109" i="146"/>
  <c r="AS109" i="146"/>
  <c r="AR109" i="146"/>
  <c r="AQ109" i="146"/>
  <c r="AP109" i="146"/>
  <c r="AO109" i="146"/>
  <c r="AJ109" i="146"/>
  <c r="AZ103" i="146"/>
  <c r="AU103" i="146"/>
  <c r="AT103" i="146"/>
  <c r="AS103" i="146"/>
  <c r="AR103" i="146"/>
  <c r="AQ103" i="146"/>
  <c r="AP103" i="146"/>
  <c r="AJ103" i="146"/>
  <c r="AU94" i="146"/>
  <c r="AO94" i="146"/>
  <c r="AO103" i="146" s="1"/>
  <c r="AZ92" i="146"/>
  <c r="AT92" i="146"/>
  <c r="AS92" i="146"/>
  <c r="AR92" i="146"/>
  <c r="AQ92" i="146"/>
  <c r="AJ92" i="146"/>
  <c r="AY91" i="146"/>
  <c r="AJ91" i="146"/>
  <c r="AY88" i="146"/>
  <c r="M88" i="146"/>
  <c r="AZ87" i="146"/>
  <c r="AX87" i="146"/>
  <c r="AW87" i="146"/>
  <c r="AV87" i="146"/>
  <c r="AU87" i="146"/>
  <c r="AT87" i="146"/>
  <c r="AS87" i="146"/>
  <c r="AR87" i="146"/>
  <c r="AQ87" i="146"/>
  <c r="AP87" i="146"/>
  <c r="AO87" i="146"/>
  <c r="AN87" i="146"/>
  <c r="AM87" i="146"/>
  <c r="AL87" i="146"/>
  <c r="AK87" i="146"/>
  <c r="AJ87" i="146"/>
  <c r="AY86" i="146"/>
  <c r="AY87" i="146" s="1"/>
  <c r="BA87" i="146"/>
  <c r="AU85" i="146"/>
  <c r="AO85" i="146"/>
  <c r="AO92" i="146" s="1"/>
  <c r="AU83" i="146"/>
  <c r="AP83" i="146"/>
  <c r="AP82" i="146"/>
  <c r="AU81" i="146"/>
  <c r="AQ81" i="146"/>
  <c r="AP81" i="146"/>
  <c r="AU80" i="146"/>
  <c r="AU92" i="146" s="1"/>
  <c r="AQ80" i="146"/>
  <c r="AP80" i="146"/>
  <c r="AX79" i="146"/>
  <c r="AQ79" i="146"/>
  <c r="AP79" i="146"/>
  <c r="AP92" i="146" s="1"/>
  <c r="M77" i="146"/>
  <c r="K77" i="146"/>
  <c r="AZ76" i="146"/>
  <c r="AY76" i="146"/>
  <c r="AX76" i="146"/>
  <c r="AW76" i="146"/>
  <c r="AV76" i="146"/>
  <c r="AU76" i="146"/>
  <c r="AT76" i="146"/>
  <c r="AS76" i="146"/>
  <c r="AR76" i="146"/>
  <c r="AQ76" i="146"/>
  <c r="AP76" i="146"/>
  <c r="AO76" i="146"/>
  <c r="AN76" i="146"/>
  <c r="AM76" i="146"/>
  <c r="AL76" i="146"/>
  <c r="AK76" i="146"/>
  <c r="AJ76" i="146"/>
  <c r="BA76" i="146"/>
  <c r="AH69" i="146"/>
  <c r="AX68" i="146"/>
  <c r="AI68" i="146"/>
  <c r="AC64" i="146"/>
  <c r="AB64" i="146"/>
  <c r="AA64" i="146"/>
  <c r="Z64" i="146"/>
  <c r="X64" i="146"/>
  <c r="W64" i="146"/>
  <c r="V64" i="146"/>
  <c r="U64" i="146"/>
  <c r="R64" i="146"/>
  <c r="N64" i="146"/>
  <c r="M64" i="146"/>
  <c r="AY56" i="146"/>
  <c r="AU56" i="146"/>
  <c r="AT56" i="146"/>
  <c r="AS56" i="146"/>
  <c r="AR56" i="146"/>
  <c r="AQ56" i="146"/>
  <c r="AP56" i="146"/>
  <c r="AO56" i="146"/>
  <c r="BA56" i="146"/>
  <c r="AY52" i="146"/>
  <c r="AY49" i="146"/>
  <c r="AU49" i="146"/>
  <c r="AT49" i="146"/>
  <c r="AS49" i="146"/>
  <c r="AR49" i="146"/>
  <c r="AQ49" i="146"/>
  <c r="AP49" i="146"/>
  <c r="AO49" i="146"/>
  <c r="AJ49" i="146"/>
  <c r="AC49" i="146"/>
  <c r="AB49" i="146"/>
  <c r="AA49" i="146"/>
  <c r="Z49" i="146"/>
  <c r="Y49" i="146"/>
  <c r="X49" i="146"/>
  <c r="W49" i="146"/>
  <c r="V49" i="146"/>
  <c r="U49" i="146"/>
  <c r="T49" i="146"/>
  <c r="S49" i="146"/>
  <c r="Q49" i="146"/>
  <c r="N48" i="146"/>
  <c r="M48" i="146"/>
  <c r="L48" i="146"/>
  <c r="N45" i="146"/>
  <c r="AY44" i="146"/>
  <c r="AT44" i="146"/>
  <c r="R44" i="146"/>
  <c r="R49" i="146" s="1"/>
  <c r="Q44" i="146"/>
  <c r="N44" i="146"/>
  <c r="M44" i="146"/>
  <c r="L44" i="146"/>
  <c r="N43" i="146"/>
  <c r="M43" i="146"/>
  <c r="K43" i="146"/>
  <c r="J43" i="146"/>
  <c r="AY38" i="146"/>
  <c r="AX38" i="146"/>
  <c r="AW38" i="146"/>
  <c r="AV38" i="146"/>
  <c r="AU38" i="146"/>
  <c r="AT38" i="146"/>
  <c r="AS38" i="146"/>
  <c r="AP38" i="146"/>
  <c r="AO38" i="146"/>
  <c r="AJ38" i="146"/>
  <c r="F38" i="146"/>
  <c r="D38" i="146"/>
  <c r="AZ37" i="146"/>
  <c r="AT37" i="146"/>
  <c r="AS37" i="146"/>
  <c r="AR37" i="146"/>
  <c r="AR38" i="146" s="1"/>
  <c r="AQ37" i="146"/>
  <c r="AQ38" i="146" s="1"/>
  <c r="N37" i="146"/>
  <c r="M37" i="146"/>
  <c r="K37" i="146"/>
  <c r="F37" i="146"/>
  <c r="AZ36" i="146"/>
  <c r="N36" i="146"/>
  <c r="M36" i="146"/>
  <c r="K36" i="146"/>
  <c r="F36" i="146"/>
  <c r="BA38" i="146"/>
  <c r="AZ35" i="146"/>
  <c r="AZ38" i="146" s="1"/>
  <c r="N35" i="146"/>
  <c r="K35" i="146"/>
  <c r="F35" i="146"/>
  <c r="AO32" i="146"/>
  <c r="C32" i="146"/>
  <c r="AC31" i="146"/>
  <c r="AB31" i="146"/>
  <c r="AA31" i="146"/>
  <c r="Z31" i="146"/>
  <c r="Y31" i="146"/>
  <c r="X31" i="146"/>
  <c r="W31" i="146"/>
  <c r="V31" i="146"/>
  <c r="U31" i="146"/>
  <c r="T31" i="146"/>
  <c r="S31" i="146"/>
  <c r="R31" i="146"/>
  <c r="Q31" i="146"/>
  <c r="I31" i="146"/>
  <c r="E31" i="146"/>
  <c r="C31" i="146"/>
  <c r="AC30" i="146"/>
  <c r="AB30" i="146"/>
  <c r="AA30" i="146"/>
  <c r="Z30" i="146"/>
  <c r="Y30" i="146"/>
  <c r="X30" i="146"/>
  <c r="W30" i="146"/>
  <c r="V30" i="146"/>
  <c r="U30" i="146"/>
  <c r="T30" i="146"/>
  <c r="S30" i="146"/>
  <c r="R30" i="146"/>
  <c r="Q30" i="146"/>
  <c r="I30" i="146"/>
  <c r="E30" i="146"/>
  <c r="C30" i="146"/>
  <c r="AC29" i="146"/>
  <c r="AB29" i="146"/>
  <c r="AA29" i="146"/>
  <c r="Z29" i="146"/>
  <c r="Y29" i="146"/>
  <c r="X29" i="146"/>
  <c r="W29" i="146"/>
  <c r="V29" i="146"/>
  <c r="U29" i="146"/>
  <c r="T29" i="146"/>
  <c r="S29" i="146"/>
  <c r="R29" i="146"/>
  <c r="Q29" i="146"/>
  <c r="N29" i="146"/>
  <c r="M29" i="146"/>
  <c r="M35" i="146" s="1"/>
  <c r="K29" i="146"/>
  <c r="I29" i="146"/>
  <c r="E29" i="146"/>
  <c r="C29" i="146"/>
  <c r="R25" i="146"/>
  <c r="Q25" i="146"/>
  <c r="P25" i="146"/>
  <c r="N25" i="146"/>
  <c r="M25" i="146"/>
  <c r="L25" i="146"/>
  <c r="K25" i="146"/>
  <c r="J25" i="146"/>
  <c r="F25" i="146"/>
  <c r="D25" i="146"/>
  <c r="AZ24" i="146"/>
  <c r="X24" i="146"/>
  <c r="W24" i="146"/>
  <c r="V24" i="146"/>
  <c r="U24" i="146"/>
  <c r="T24" i="146"/>
  <c r="N24" i="146"/>
  <c r="M24" i="146"/>
  <c r="L24" i="146"/>
  <c r="K24" i="146"/>
  <c r="J24" i="146"/>
  <c r="N22" i="146"/>
  <c r="AZ21" i="146"/>
  <c r="N21" i="146"/>
  <c r="M21" i="146"/>
  <c r="L21" i="146"/>
  <c r="K21" i="146"/>
  <c r="J21" i="146"/>
  <c r="AZ20" i="146"/>
  <c r="F20" i="146"/>
  <c r="D20" i="146"/>
  <c r="N18" i="146"/>
  <c r="M18" i="146"/>
  <c r="L18" i="146"/>
  <c r="K18" i="146"/>
  <c r="J18" i="146"/>
  <c r="N17" i="146"/>
  <c r="M17" i="146"/>
  <c r="L17" i="146"/>
  <c r="K17" i="146"/>
  <c r="J17" i="146"/>
  <c r="N16" i="146"/>
  <c r="M16" i="146"/>
  <c r="L16" i="146"/>
  <c r="K16" i="146"/>
  <c r="J16" i="146"/>
  <c r="N15" i="146"/>
  <c r="M15" i="146"/>
  <c r="L15" i="146"/>
  <c r="K15" i="146"/>
  <c r="J15" i="146"/>
  <c r="N14" i="146"/>
  <c r="M14" i="146"/>
  <c r="L14" i="146"/>
  <c r="K14" i="146"/>
  <c r="J14" i="146"/>
  <c r="AZ13" i="146"/>
  <c r="N13" i="146"/>
  <c r="M13" i="146"/>
  <c r="L13" i="146"/>
  <c r="K13" i="146"/>
  <c r="J13" i="146"/>
  <c r="F13" i="146"/>
  <c r="AZ12" i="146"/>
  <c r="N12" i="146"/>
  <c r="M12" i="146"/>
  <c r="L12" i="146"/>
  <c r="K12" i="146"/>
  <c r="J12" i="146"/>
  <c r="F12" i="146"/>
  <c r="AZ11" i="146"/>
  <c r="J11" i="146"/>
  <c r="BA25" i="146"/>
  <c r="AZ10" i="146"/>
  <c r="N10" i="146"/>
  <c r="M10" i="146"/>
  <c r="L10" i="146"/>
  <c r="K10" i="146"/>
  <c r="J10" i="146"/>
  <c r="AZ9" i="146"/>
  <c r="AZ25" i="146" s="1"/>
  <c r="N9" i="146"/>
  <c r="M9" i="146"/>
  <c r="L9" i="146"/>
  <c r="K9" i="146"/>
  <c r="J9" i="146"/>
  <c r="F9" i="146"/>
  <c r="AE8" i="75"/>
  <c r="AF8" i="75"/>
  <c r="AG8" i="75"/>
  <c r="AH8" i="75"/>
  <c r="AI8" i="75"/>
  <c r="AJ8" i="75"/>
  <c r="AK8" i="75"/>
  <c r="AD8" i="75"/>
  <c r="F6" i="125"/>
  <c r="D54" i="102"/>
  <c r="E54" i="102"/>
  <c r="F54" i="102"/>
  <c r="G54" i="102"/>
  <c r="H54" i="102"/>
  <c r="I54" i="102"/>
  <c r="J54" i="102"/>
  <c r="C54" i="102"/>
  <c r="C28" i="102"/>
  <c r="D38" i="110"/>
  <c r="BE7" i="70"/>
  <c r="BF7" i="70"/>
  <c r="BG7" i="70"/>
  <c r="BH7" i="70"/>
  <c r="BI7" i="70"/>
  <c r="BJ7" i="70"/>
  <c r="BK7" i="70"/>
  <c r="BD7" i="70"/>
  <c r="F14" i="69"/>
  <c r="G14" i="69"/>
  <c r="H14" i="69"/>
  <c r="I14" i="69"/>
  <c r="J14" i="69"/>
  <c r="K14" i="69"/>
  <c r="E14" i="69"/>
  <c r="BA103" i="146" l="1"/>
  <c r="BA91" i="146"/>
  <c r="BA32" i="146"/>
  <c r="AY92" i="146"/>
  <c r="R93" i="123"/>
  <c r="S93" i="123"/>
  <c r="T93" i="123"/>
  <c r="U93" i="123"/>
  <c r="V93" i="123"/>
  <c r="W93" i="123"/>
  <c r="X93" i="123"/>
  <c r="Q93" i="123"/>
  <c r="Q39" i="91"/>
  <c r="Q78" i="123"/>
  <c r="K18" i="108"/>
  <c r="J18" i="108"/>
  <c r="I18" i="108"/>
  <c r="H18" i="108"/>
  <c r="G18" i="108"/>
  <c r="F18" i="108"/>
  <c r="E18" i="108"/>
  <c r="D18" i="108"/>
  <c r="K17" i="108"/>
  <c r="J17" i="108"/>
  <c r="I17" i="108"/>
  <c r="H17" i="108"/>
  <c r="G17" i="108"/>
  <c r="F17" i="108"/>
  <c r="E17" i="108"/>
  <c r="D17" i="108"/>
  <c r="K16" i="108"/>
  <c r="J16" i="108"/>
  <c r="I16" i="108"/>
  <c r="H16" i="108"/>
  <c r="G16" i="108"/>
  <c r="F16" i="108"/>
  <c r="E16" i="108"/>
  <c r="D16" i="108"/>
  <c r="K15" i="108"/>
  <c r="J15" i="108"/>
  <c r="I15" i="108"/>
  <c r="H15" i="108"/>
  <c r="G15" i="108"/>
  <c r="F15" i="108"/>
  <c r="E15" i="108"/>
  <c r="D15" i="108"/>
  <c r="K14" i="108"/>
  <c r="J14" i="108"/>
  <c r="I14" i="108"/>
  <c r="H14" i="108"/>
  <c r="G14" i="108"/>
  <c r="F14" i="108"/>
  <c r="E14" i="108"/>
  <c r="D14" i="108"/>
  <c r="K13" i="108"/>
  <c r="J13" i="108"/>
  <c r="I13" i="108"/>
  <c r="H13" i="108"/>
  <c r="G13" i="108"/>
  <c r="F13" i="108"/>
  <c r="E13" i="108"/>
  <c r="D13" i="108"/>
  <c r="K8" i="108"/>
  <c r="J8" i="108"/>
  <c r="I8" i="108"/>
  <c r="H8" i="108"/>
  <c r="G8" i="108"/>
  <c r="F8" i="108"/>
  <c r="E8" i="108"/>
  <c r="D8" i="108"/>
  <c r="K7" i="108"/>
  <c r="J7" i="108"/>
  <c r="I7" i="108"/>
  <c r="H7" i="108"/>
  <c r="G7" i="108"/>
  <c r="F7" i="108"/>
  <c r="E7" i="108"/>
  <c r="D7" i="108"/>
  <c r="K6" i="108"/>
  <c r="J6" i="108"/>
  <c r="I6" i="108"/>
  <c r="H6" i="108"/>
  <c r="G6" i="108"/>
  <c r="F6" i="108"/>
  <c r="E6" i="108"/>
  <c r="D6" i="108"/>
  <c r="K5" i="108"/>
  <c r="J5" i="108"/>
  <c r="I5" i="108"/>
  <c r="H5" i="108"/>
  <c r="G5" i="108"/>
  <c r="F5" i="108"/>
  <c r="E5" i="108"/>
  <c r="D5" i="108"/>
  <c r="K4" i="108"/>
  <c r="J4" i="108"/>
  <c r="I4" i="108"/>
  <c r="H4" i="108"/>
  <c r="G4" i="108"/>
  <c r="F4" i="108"/>
  <c r="E4" i="108"/>
  <c r="D4" i="108"/>
  <c r="K3" i="108"/>
  <c r="J3" i="108"/>
  <c r="I3" i="108"/>
  <c r="H3" i="108"/>
  <c r="G3" i="108"/>
  <c r="F3" i="108"/>
  <c r="E3" i="108"/>
  <c r="D3" i="108"/>
  <c r="K91" i="110"/>
  <c r="J91" i="110"/>
  <c r="I91" i="110"/>
  <c r="H91" i="110"/>
  <c r="G91" i="110"/>
  <c r="F91" i="110"/>
  <c r="E91" i="110"/>
  <c r="D91" i="110"/>
  <c r="K90" i="110"/>
  <c r="J90" i="110"/>
  <c r="I90" i="110"/>
  <c r="H90" i="110"/>
  <c r="G90" i="110"/>
  <c r="F90" i="110"/>
  <c r="E90" i="110"/>
  <c r="D90" i="110"/>
  <c r="K89" i="110"/>
  <c r="J89" i="110"/>
  <c r="I89" i="110"/>
  <c r="H89" i="110"/>
  <c r="G89" i="110"/>
  <c r="F89" i="110"/>
  <c r="E89" i="110"/>
  <c r="D89" i="110"/>
  <c r="K88" i="110"/>
  <c r="J88" i="110"/>
  <c r="I88" i="110"/>
  <c r="H88" i="110"/>
  <c r="G88" i="110"/>
  <c r="F88" i="110"/>
  <c r="E88" i="110"/>
  <c r="D88" i="110"/>
  <c r="K86" i="110"/>
  <c r="J86" i="110"/>
  <c r="I86" i="110"/>
  <c r="H86" i="110"/>
  <c r="G86" i="110"/>
  <c r="F86" i="110"/>
  <c r="E86" i="110"/>
  <c r="D86" i="110"/>
  <c r="K85" i="110"/>
  <c r="J85" i="110"/>
  <c r="I85" i="110"/>
  <c r="H85" i="110"/>
  <c r="G85" i="110"/>
  <c r="F85" i="110"/>
  <c r="E85" i="110"/>
  <c r="D85" i="110"/>
  <c r="K84" i="110"/>
  <c r="J84" i="110"/>
  <c r="I84" i="110"/>
  <c r="H84" i="110"/>
  <c r="G84" i="110"/>
  <c r="F84" i="110"/>
  <c r="E84" i="110"/>
  <c r="D84" i="110"/>
  <c r="K83" i="110"/>
  <c r="J83" i="110"/>
  <c r="I83" i="110"/>
  <c r="H83" i="110"/>
  <c r="G83" i="110"/>
  <c r="F83" i="110"/>
  <c r="E83" i="110"/>
  <c r="D83" i="110"/>
  <c r="K81" i="110"/>
  <c r="J81" i="110"/>
  <c r="I81" i="110"/>
  <c r="H81" i="110"/>
  <c r="G81" i="110"/>
  <c r="F81" i="110"/>
  <c r="E81" i="110"/>
  <c r="D81" i="110"/>
  <c r="K80" i="110"/>
  <c r="J80" i="110"/>
  <c r="I80" i="110"/>
  <c r="H80" i="110"/>
  <c r="G80" i="110"/>
  <c r="F80" i="110"/>
  <c r="E80" i="110"/>
  <c r="D80" i="110"/>
  <c r="K79" i="110"/>
  <c r="J79" i="110"/>
  <c r="I79" i="110"/>
  <c r="H79" i="110"/>
  <c r="G79" i="110"/>
  <c r="F79" i="110"/>
  <c r="E79" i="110"/>
  <c r="D79" i="110"/>
  <c r="K78" i="110"/>
  <c r="J78" i="110"/>
  <c r="I78" i="110"/>
  <c r="H78" i="110"/>
  <c r="G78" i="110"/>
  <c r="F78" i="110"/>
  <c r="E78" i="110"/>
  <c r="D78" i="110"/>
  <c r="K74" i="110"/>
  <c r="J74" i="110"/>
  <c r="I74" i="110"/>
  <c r="H74" i="110"/>
  <c r="G74" i="110"/>
  <c r="F74" i="110"/>
  <c r="E74" i="110"/>
  <c r="D74" i="110"/>
  <c r="K73" i="110"/>
  <c r="J73" i="110"/>
  <c r="I73" i="110"/>
  <c r="H73" i="110"/>
  <c r="G73" i="110"/>
  <c r="F73" i="110"/>
  <c r="E73" i="110"/>
  <c r="D73" i="110"/>
  <c r="K72" i="110"/>
  <c r="J72" i="110"/>
  <c r="I72" i="110"/>
  <c r="H72" i="110"/>
  <c r="G72" i="110"/>
  <c r="F72" i="110"/>
  <c r="E72" i="110"/>
  <c r="D72" i="110"/>
  <c r="K70" i="110"/>
  <c r="J70" i="110"/>
  <c r="I70" i="110"/>
  <c r="H70" i="110"/>
  <c r="G70" i="110"/>
  <c r="F70" i="110"/>
  <c r="E70" i="110"/>
  <c r="D70" i="110"/>
  <c r="K69" i="110"/>
  <c r="J69" i="110"/>
  <c r="I69" i="110"/>
  <c r="H69" i="110"/>
  <c r="G69" i="110"/>
  <c r="F69" i="110"/>
  <c r="E69" i="110"/>
  <c r="D69" i="110"/>
  <c r="K68" i="110"/>
  <c r="J68" i="110"/>
  <c r="I68" i="110"/>
  <c r="H68" i="110"/>
  <c r="G68" i="110"/>
  <c r="F68" i="110"/>
  <c r="E68" i="110"/>
  <c r="D68" i="110"/>
  <c r="K64" i="110"/>
  <c r="J64" i="110"/>
  <c r="I64" i="110"/>
  <c r="H64" i="110"/>
  <c r="G64" i="110"/>
  <c r="F64" i="110"/>
  <c r="E64" i="110"/>
  <c r="D64" i="110"/>
  <c r="K63" i="110"/>
  <c r="J63" i="110"/>
  <c r="I63" i="110"/>
  <c r="H63" i="110"/>
  <c r="G63" i="110"/>
  <c r="F63" i="110"/>
  <c r="E63" i="110"/>
  <c r="D63" i="110"/>
  <c r="K55" i="110"/>
  <c r="J55" i="110"/>
  <c r="I55" i="110"/>
  <c r="H55" i="110"/>
  <c r="G55" i="110"/>
  <c r="F55" i="110"/>
  <c r="E55" i="110"/>
  <c r="D55" i="110"/>
  <c r="K54" i="110"/>
  <c r="J54" i="110"/>
  <c r="I54" i="110"/>
  <c r="H54" i="110"/>
  <c r="G54" i="110"/>
  <c r="F54" i="110"/>
  <c r="E54" i="110"/>
  <c r="D54" i="110"/>
  <c r="K53" i="110"/>
  <c r="J53" i="110"/>
  <c r="I53" i="110"/>
  <c r="H53" i="110"/>
  <c r="G53" i="110"/>
  <c r="F53" i="110"/>
  <c r="E53" i="110"/>
  <c r="D53" i="110"/>
  <c r="K46" i="110"/>
  <c r="J46" i="110"/>
  <c r="I46" i="110"/>
  <c r="H46" i="110"/>
  <c r="G46" i="110"/>
  <c r="F46" i="110"/>
  <c r="E46" i="110"/>
  <c r="D46" i="110"/>
  <c r="K45" i="110"/>
  <c r="J45" i="110"/>
  <c r="I45" i="110"/>
  <c r="H45" i="110"/>
  <c r="G45" i="110"/>
  <c r="F45" i="110"/>
  <c r="E45" i="110"/>
  <c r="D45" i="110"/>
  <c r="K38" i="110"/>
  <c r="J38" i="110"/>
  <c r="I38" i="110"/>
  <c r="H38" i="110"/>
  <c r="G38" i="110"/>
  <c r="F38" i="110"/>
  <c r="E38" i="110"/>
  <c r="K37" i="110"/>
  <c r="J37" i="110"/>
  <c r="I37" i="110"/>
  <c r="H37" i="110"/>
  <c r="G37" i="110"/>
  <c r="F37" i="110"/>
  <c r="E37" i="110"/>
  <c r="D37" i="110"/>
  <c r="K36" i="110"/>
  <c r="J36" i="110"/>
  <c r="I36" i="110"/>
  <c r="H36" i="110"/>
  <c r="G36" i="110"/>
  <c r="F36" i="110"/>
  <c r="E36" i="110"/>
  <c r="D36" i="110"/>
  <c r="K30" i="110"/>
  <c r="J30" i="110"/>
  <c r="I30" i="110"/>
  <c r="H30" i="110"/>
  <c r="G30" i="110"/>
  <c r="F30" i="110"/>
  <c r="E30" i="110"/>
  <c r="D30" i="110"/>
  <c r="K29" i="110"/>
  <c r="J29" i="110"/>
  <c r="I29" i="110"/>
  <c r="H29" i="110"/>
  <c r="G29" i="110"/>
  <c r="F29" i="110"/>
  <c r="E29" i="110"/>
  <c r="D29" i="110"/>
  <c r="K28" i="110"/>
  <c r="J28" i="110"/>
  <c r="I28" i="110"/>
  <c r="H28" i="110"/>
  <c r="G28" i="110"/>
  <c r="F28" i="110"/>
  <c r="E28" i="110"/>
  <c r="D28" i="110"/>
  <c r="K27" i="110"/>
  <c r="J27" i="110"/>
  <c r="I27" i="110"/>
  <c r="H27" i="110"/>
  <c r="G27" i="110"/>
  <c r="F27" i="110"/>
  <c r="E27" i="110"/>
  <c r="D27" i="110"/>
  <c r="K26" i="110"/>
  <c r="J26" i="110"/>
  <c r="I26" i="110"/>
  <c r="H26" i="110"/>
  <c r="G26" i="110"/>
  <c r="F26" i="110"/>
  <c r="E26" i="110"/>
  <c r="D26" i="110"/>
  <c r="K25" i="110"/>
  <c r="J25" i="110"/>
  <c r="I25" i="110"/>
  <c r="H25" i="110"/>
  <c r="G25" i="110"/>
  <c r="F25" i="110"/>
  <c r="E25" i="110"/>
  <c r="D25" i="110"/>
  <c r="K24" i="110"/>
  <c r="J24" i="110"/>
  <c r="I24" i="110"/>
  <c r="H24" i="110"/>
  <c r="G24" i="110"/>
  <c r="F24" i="110"/>
  <c r="E24" i="110"/>
  <c r="D24" i="110"/>
  <c r="K23" i="110"/>
  <c r="J23" i="110"/>
  <c r="I23" i="110"/>
  <c r="H23" i="110"/>
  <c r="G23" i="110"/>
  <c r="F23" i="110"/>
  <c r="E23" i="110"/>
  <c r="D23" i="110"/>
  <c r="K22" i="110"/>
  <c r="J22" i="110"/>
  <c r="I22" i="110"/>
  <c r="H22" i="110"/>
  <c r="G22" i="110"/>
  <c r="F22" i="110"/>
  <c r="E22" i="110"/>
  <c r="D22" i="110"/>
  <c r="K11" i="110"/>
  <c r="J11" i="110"/>
  <c r="I11" i="110"/>
  <c r="H11" i="110"/>
  <c r="G11" i="110"/>
  <c r="F11" i="110"/>
  <c r="E11" i="110"/>
  <c r="D11" i="110"/>
  <c r="K10" i="110"/>
  <c r="J10" i="110"/>
  <c r="I10" i="110"/>
  <c r="H10" i="110"/>
  <c r="G10" i="110"/>
  <c r="F10" i="110"/>
  <c r="E10" i="110"/>
  <c r="D10" i="110"/>
  <c r="K9" i="110"/>
  <c r="J9" i="110"/>
  <c r="I9" i="110"/>
  <c r="H9" i="110"/>
  <c r="G9" i="110"/>
  <c r="F9" i="110"/>
  <c r="E9" i="110"/>
  <c r="D9" i="110"/>
  <c r="K8" i="110"/>
  <c r="J8" i="110"/>
  <c r="I8" i="110"/>
  <c r="H8" i="110"/>
  <c r="G8" i="110"/>
  <c r="F8" i="110"/>
  <c r="E8" i="110"/>
  <c r="D8" i="110"/>
  <c r="K7" i="110"/>
  <c r="J7" i="110"/>
  <c r="I7" i="110"/>
  <c r="H7" i="110"/>
  <c r="G7" i="110"/>
  <c r="F7" i="110"/>
  <c r="E7" i="110"/>
  <c r="D7" i="110"/>
  <c r="K6" i="110"/>
  <c r="J6" i="110"/>
  <c r="I6" i="110"/>
  <c r="H6" i="110"/>
  <c r="G6" i="110"/>
  <c r="F6" i="110"/>
  <c r="E6" i="110"/>
  <c r="D6" i="110"/>
  <c r="K5" i="110"/>
  <c r="J5" i="110"/>
  <c r="I5" i="110"/>
  <c r="H5" i="110"/>
  <c r="G5" i="110"/>
  <c r="F5" i="110"/>
  <c r="E5" i="110"/>
  <c r="D5" i="110"/>
  <c r="K12" i="111"/>
  <c r="J12" i="111"/>
  <c r="I12" i="111"/>
  <c r="H12" i="111"/>
  <c r="G12" i="111"/>
  <c r="F12" i="111"/>
  <c r="E12" i="111"/>
  <c r="D12" i="111"/>
  <c r="K11" i="111"/>
  <c r="J11" i="111"/>
  <c r="I11" i="111"/>
  <c r="H11" i="111"/>
  <c r="G11" i="111"/>
  <c r="F11" i="111"/>
  <c r="E11" i="111"/>
  <c r="D11" i="111"/>
  <c r="K6" i="111"/>
  <c r="J6" i="111"/>
  <c r="I6" i="111"/>
  <c r="H6" i="111"/>
  <c r="G6" i="111"/>
  <c r="F6" i="111"/>
  <c r="E6" i="111"/>
  <c r="D6" i="111"/>
  <c r="K5" i="111"/>
  <c r="J5" i="111"/>
  <c r="I5" i="111"/>
  <c r="H5" i="111"/>
  <c r="G5" i="111"/>
  <c r="F5" i="111"/>
  <c r="E5" i="111"/>
  <c r="D5" i="111"/>
  <c r="K4" i="111"/>
  <c r="J4" i="111"/>
  <c r="I4" i="111"/>
  <c r="H4" i="111"/>
  <c r="G4" i="111"/>
  <c r="F4" i="111"/>
  <c r="E4" i="111"/>
  <c r="D4" i="111"/>
  <c r="K3" i="111"/>
  <c r="J3" i="111"/>
  <c r="I3" i="111"/>
  <c r="H3" i="111"/>
  <c r="G3" i="111"/>
  <c r="F3" i="111"/>
  <c r="E3" i="111"/>
  <c r="D3" i="111"/>
  <c r="K28" i="112"/>
  <c r="J28" i="112"/>
  <c r="I28" i="112"/>
  <c r="H28" i="112"/>
  <c r="G28" i="112"/>
  <c r="F28" i="112"/>
  <c r="E28" i="112"/>
  <c r="D28" i="112"/>
  <c r="K27" i="112"/>
  <c r="J27" i="112"/>
  <c r="I27" i="112"/>
  <c r="H27" i="112"/>
  <c r="G27" i="112"/>
  <c r="F27" i="112"/>
  <c r="E27" i="112"/>
  <c r="D27" i="112"/>
  <c r="K26" i="112"/>
  <c r="J26" i="112"/>
  <c r="I26" i="112"/>
  <c r="H26" i="112"/>
  <c r="G26" i="112"/>
  <c r="F26" i="112"/>
  <c r="E26" i="112"/>
  <c r="D26" i="112"/>
  <c r="K25" i="112"/>
  <c r="J25" i="112"/>
  <c r="I25" i="112"/>
  <c r="H25" i="112"/>
  <c r="G25" i="112"/>
  <c r="F25" i="112"/>
  <c r="E25" i="112"/>
  <c r="D25" i="112"/>
  <c r="K24" i="112"/>
  <c r="J24" i="112"/>
  <c r="I24" i="112"/>
  <c r="H24" i="112"/>
  <c r="G24" i="112"/>
  <c r="F24" i="112"/>
  <c r="E24" i="112"/>
  <c r="D24" i="112"/>
  <c r="K23" i="112"/>
  <c r="J23" i="112"/>
  <c r="I23" i="112"/>
  <c r="H23" i="112"/>
  <c r="G23" i="112"/>
  <c r="F23" i="112"/>
  <c r="E23" i="112"/>
  <c r="D23" i="112"/>
  <c r="K22" i="112"/>
  <c r="J22" i="112"/>
  <c r="I22" i="112"/>
  <c r="H22" i="112"/>
  <c r="G22" i="112"/>
  <c r="F22" i="112"/>
  <c r="E22" i="112"/>
  <c r="D22" i="112"/>
  <c r="K7" i="112"/>
  <c r="J7" i="112"/>
  <c r="I7" i="112"/>
  <c r="H7" i="112"/>
  <c r="G7" i="112"/>
  <c r="F7" i="112"/>
  <c r="E7" i="112"/>
  <c r="D7" i="112"/>
  <c r="K6" i="112"/>
  <c r="J6" i="112"/>
  <c r="I6" i="112"/>
  <c r="H6" i="112"/>
  <c r="G6" i="112"/>
  <c r="F6" i="112"/>
  <c r="E6" i="112"/>
  <c r="D6" i="112"/>
  <c r="K5" i="112"/>
  <c r="J5" i="112"/>
  <c r="I5" i="112"/>
  <c r="H5" i="112"/>
  <c r="G5" i="112"/>
  <c r="F5" i="112"/>
  <c r="E5" i="112"/>
  <c r="D5" i="112"/>
  <c r="K3" i="112"/>
  <c r="J3" i="112"/>
  <c r="I3" i="112"/>
  <c r="H3" i="112"/>
  <c r="G3" i="112"/>
  <c r="F3" i="112"/>
  <c r="E3" i="112"/>
  <c r="D3" i="112"/>
  <c r="K18" i="113"/>
  <c r="J18" i="113"/>
  <c r="I18" i="113"/>
  <c r="H18" i="113"/>
  <c r="G18" i="113"/>
  <c r="F18" i="113"/>
  <c r="E18" i="113"/>
  <c r="D18" i="113"/>
  <c r="K17" i="113"/>
  <c r="J17" i="113"/>
  <c r="I17" i="113"/>
  <c r="H17" i="113"/>
  <c r="G17" i="113"/>
  <c r="F17" i="113"/>
  <c r="E17" i="113"/>
  <c r="D17" i="113"/>
  <c r="K16" i="113"/>
  <c r="J16" i="113"/>
  <c r="I16" i="113"/>
  <c r="H16" i="113"/>
  <c r="G16" i="113"/>
  <c r="F16" i="113"/>
  <c r="E16" i="113"/>
  <c r="D16" i="113"/>
  <c r="K15" i="113"/>
  <c r="J15" i="113"/>
  <c r="I15" i="113"/>
  <c r="H15" i="113"/>
  <c r="G15" i="113"/>
  <c r="F15" i="113"/>
  <c r="E15" i="113"/>
  <c r="D15" i="113"/>
  <c r="K14" i="113"/>
  <c r="J14" i="113"/>
  <c r="I14" i="113"/>
  <c r="H14" i="113"/>
  <c r="G14" i="113"/>
  <c r="F14" i="113"/>
  <c r="E14" i="113"/>
  <c r="D14" i="113"/>
  <c r="K13" i="113"/>
  <c r="J13" i="113"/>
  <c r="I13" i="113"/>
  <c r="H13" i="113"/>
  <c r="G13" i="113"/>
  <c r="F13" i="113"/>
  <c r="E13" i="113"/>
  <c r="D13" i="113"/>
  <c r="K12" i="113"/>
  <c r="J12" i="113"/>
  <c r="I12" i="113"/>
  <c r="H12" i="113"/>
  <c r="G12" i="113"/>
  <c r="F12" i="113"/>
  <c r="E12" i="113"/>
  <c r="D12" i="113"/>
  <c r="K11" i="113"/>
  <c r="J11" i="113"/>
  <c r="I11" i="113"/>
  <c r="H11" i="113"/>
  <c r="G11" i="113"/>
  <c r="F11" i="113"/>
  <c r="E11" i="113"/>
  <c r="D11" i="113"/>
  <c r="K10" i="113"/>
  <c r="J10" i="113"/>
  <c r="I10" i="113"/>
  <c r="H10" i="113"/>
  <c r="G10" i="113"/>
  <c r="F10" i="113"/>
  <c r="E10" i="113"/>
  <c r="D10" i="113"/>
  <c r="K3" i="113"/>
  <c r="J3" i="113"/>
  <c r="I3" i="113"/>
  <c r="H3" i="113"/>
  <c r="G3" i="113"/>
  <c r="F3" i="113"/>
  <c r="E3" i="113"/>
  <c r="D3" i="113"/>
  <c r="K12" i="114"/>
  <c r="J12" i="114"/>
  <c r="I12" i="114"/>
  <c r="H12" i="114"/>
  <c r="G12" i="114"/>
  <c r="F12" i="114"/>
  <c r="E12" i="114"/>
  <c r="D12" i="114"/>
  <c r="K11" i="114"/>
  <c r="J11" i="114"/>
  <c r="I11" i="114"/>
  <c r="H11" i="114"/>
  <c r="G11" i="114"/>
  <c r="F11" i="114"/>
  <c r="E11" i="114"/>
  <c r="D11" i="114"/>
  <c r="K7" i="114"/>
  <c r="J7" i="114"/>
  <c r="I7" i="114"/>
  <c r="H7" i="114"/>
  <c r="G7" i="114"/>
  <c r="F7" i="114"/>
  <c r="E7" i="114"/>
  <c r="D7" i="114"/>
  <c r="K6" i="114"/>
  <c r="J6" i="114"/>
  <c r="I6" i="114"/>
  <c r="H6" i="114"/>
  <c r="G6" i="114"/>
  <c r="F6" i="114"/>
  <c r="E6" i="114"/>
  <c r="D6" i="114"/>
  <c r="K5" i="114"/>
  <c r="J5" i="114"/>
  <c r="I5" i="114"/>
  <c r="H5" i="114"/>
  <c r="G5" i="114"/>
  <c r="F5" i="114"/>
  <c r="E5" i="114"/>
  <c r="D5" i="114"/>
  <c r="K4" i="114"/>
  <c r="J4" i="114"/>
  <c r="I4" i="114"/>
  <c r="H4" i="114"/>
  <c r="G4" i="114"/>
  <c r="F4" i="114"/>
  <c r="E4" i="114"/>
  <c r="D4" i="114"/>
  <c r="J81" i="102"/>
  <c r="I81" i="102"/>
  <c r="H81" i="102"/>
  <c r="G81" i="102"/>
  <c r="F81" i="102"/>
  <c r="E81" i="102"/>
  <c r="D81" i="102"/>
  <c r="C81" i="102"/>
  <c r="J80" i="102"/>
  <c r="I80" i="102"/>
  <c r="H80" i="102"/>
  <c r="G80" i="102"/>
  <c r="F80" i="102"/>
  <c r="E80" i="102"/>
  <c r="D80" i="102"/>
  <c r="C80" i="102"/>
  <c r="J78" i="102"/>
  <c r="I78" i="102"/>
  <c r="H78" i="102"/>
  <c r="G78" i="102"/>
  <c r="F78" i="102"/>
  <c r="E78" i="102"/>
  <c r="D78" i="102"/>
  <c r="C78" i="102"/>
  <c r="J77" i="102"/>
  <c r="I77" i="102"/>
  <c r="H77" i="102"/>
  <c r="G77" i="102"/>
  <c r="F77" i="102"/>
  <c r="E77" i="102"/>
  <c r="D77" i="102"/>
  <c r="C77" i="102"/>
  <c r="J76" i="102"/>
  <c r="I76" i="102"/>
  <c r="H76" i="102"/>
  <c r="G76" i="102"/>
  <c r="F76" i="102"/>
  <c r="E76" i="102"/>
  <c r="D76" i="102"/>
  <c r="C76" i="102"/>
  <c r="J74" i="102"/>
  <c r="I74" i="102"/>
  <c r="H74" i="102"/>
  <c r="G74" i="102"/>
  <c r="F74" i="102"/>
  <c r="E74" i="102"/>
  <c r="D74" i="102"/>
  <c r="C74" i="102"/>
  <c r="J73" i="102"/>
  <c r="I73" i="102"/>
  <c r="H73" i="102"/>
  <c r="G73" i="102"/>
  <c r="F73" i="102"/>
  <c r="E73" i="102"/>
  <c r="D73" i="102"/>
  <c r="C73" i="102"/>
  <c r="J72" i="102"/>
  <c r="I72" i="102"/>
  <c r="H72" i="102"/>
  <c r="G72" i="102"/>
  <c r="F72" i="102"/>
  <c r="E72" i="102"/>
  <c r="D72" i="102"/>
  <c r="C72" i="102"/>
  <c r="J71" i="102"/>
  <c r="I71" i="102"/>
  <c r="H71" i="102"/>
  <c r="G71" i="102"/>
  <c r="F71" i="102"/>
  <c r="E71" i="102"/>
  <c r="D71" i="102"/>
  <c r="C71" i="102"/>
  <c r="J70" i="102"/>
  <c r="I70" i="102"/>
  <c r="H70" i="102"/>
  <c r="G70" i="102"/>
  <c r="F70" i="102"/>
  <c r="E70" i="102"/>
  <c r="D70" i="102"/>
  <c r="C70" i="102"/>
  <c r="J69" i="102"/>
  <c r="I69" i="102"/>
  <c r="H69" i="102"/>
  <c r="G69" i="102"/>
  <c r="F69" i="102"/>
  <c r="E69" i="102"/>
  <c r="D69" i="102"/>
  <c r="C69" i="102"/>
  <c r="J68" i="102"/>
  <c r="I68" i="102"/>
  <c r="H68" i="102"/>
  <c r="G68" i="102"/>
  <c r="F68" i="102"/>
  <c r="E68" i="102"/>
  <c r="D68" i="102"/>
  <c r="C68" i="102"/>
  <c r="J67" i="102"/>
  <c r="I67" i="102"/>
  <c r="H67" i="102"/>
  <c r="G67" i="102"/>
  <c r="F67" i="102"/>
  <c r="E67" i="102"/>
  <c r="D67" i="102"/>
  <c r="C67" i="102"/>
  <c r="J60" i="102"/>
  <c r="I60" i="102"/>
  <c r="H60" i="102"/>
  <c r="G60" i="102"/>
  <c r="F60" i="102"/>
  <c r="E60" i="102"/>
  <c r="D60" i="102"/>
  <c r="C60" i="102"/>
  <c r="J59" i="102"/>
  <c r="I59" i="102"/>
  <c r="H59" i="102"/>
  <c r="G59" i="102"/>
  <c r="F59" i="102"/>
  <c r="E59" i="102"/>
  <c r="D59" i="102"/>
  <c r="C59" i="102"/>
  <c r="J58" i="102"/>
  <c r="I58" i="102"/>
  <c r="H58" i="102"/>
  <c r="G58" i="102"/>
  <c r="F58" i="102"/>
  <c r="E58" i="102"/>
  <c r="D58" i="102"/>
  <c r="C58" i="102"/>
  <c r="J57" i="102"/>
  <c r="I57" i="102"/>
  <c r="H57" i="102"/>
  <c r="G57" i="102"/>
  <c r="F57" i="102"/>
  <c r="E57" i="102"/>
  <c r="D57" i="102"/>
  <c r="C57" i="102"/>
  <c r="J56" i="102"/>
  <c r="I56" i="102"/>
  <c r="H56" i="102"/>
  <c r="G56" i="102"/>
  <c r="F56" i="102"/>
  <c r="E56" i="102"/>
  <c r="D56" i="102"/>
  <c r="C56" i="102"/>
  <c r="J55" i="102"/>
  <c r="I55" i="102"/>
  <c r="H55" i="102"/>
  <c r="G55" i="102"/>
  <c r="F55" i="102"/>
  <c r="E55" i="102"/>
  <c r="D55" i="102"/>
  <c r="C55" i="102"/>
  <c r="J53" i="102"/>
  <c r="I53" i="102"/>
  <c r="H53" i="102"/>
  <c r="G53" i="102"/>
  <c r="F53" i="102"/>
  <c r="E53" i="102"/>
  <c r="D53" i="102"/>
  <c r="C53" i="102"/>
  <c r="J52" i="102"/>
  <c r="I52" i="102"/>
  <c r="H52" i="102"/>
  <c r="G52" i="102"/>
  <c r="F52" i="102"/>
  <c r="E52" i="102"/>
  <c r="D52" i="102"/>
  <c r="C52" i="102"/>
  <c r="J51" i="102"/>
  <c r="I51" i="102"/>
  <c r="H51" i="102"/>
  <c r="G51" i="102"/>
  <c r="F51" i="102"/>
  <c r="E51" i="102"/>
  <c r="D51" i="102"/>
  <c r="C51" i="102"/>
  <c r="J50" i="102"/>
  <c r="I50" i="102"/>
  <c r="H50" i="102"/>
  <c r="G50" i="102"/>
  <c r="F50" i="102"/>
  <c r="E50" i="102"/>
  <c r="D50" i="102"/>
  <c r="C50" i="102"/>
  <c r="J49" i="102"/>
  <c r="I49" i="102"/>
  <c r="H49" i="102"/>
  <c r="G49" i="102"/>
  <c r="F49" i="102"/>
  <c r="E49" i="102"/>
  <c r="D49" i="102"/>
  <c r="C49" i="102"/>
  <c r="J28" i="102"/>
  <c r="I28" i="102"/>
  <c r="H28" i="102"/>
  <c r="G28" i="102"/>
  <c r="F28" i="102"/>
  <c r="E28" i="102"/>
  <c r="D28" i="102"/>
  <c r="J27" i="102"/>
  <c r="I27" i="102"/>
  <c r="H27" i="102"/>
  <c r="G27" i="102"/>
  <c r="F27" i="102"/>
  <c r="E27" i="102"/>
  <c r="D27" i="102"/>
  <c r="C27" i="102"/>
  <c r="J24" i="102"/>
  <c r="I24" i="102"/>
  <c r="H24" i="102"/>
  <c r="G24" i="102"/>
  <c r="F24" i="102"/>
  <c r="E24" i="102"/>
  <c r="D24" i="102"/>
  <c r="C24" i="102"/>
  <c r="J22" i="102"/>
  <c r="I22" i="102"/>
  <c r="H22" i="102"/>
  <c r="G22" i="102"/>
  <c r="F22" i="102"/>
  <c r="E22" i="102"/>
  <c r="D22" i="102"/>
  <c r="C22" i="102"/>
  <c r="J19" i="102"/>
  <c r="I19" i="102"/>
  <c r="H19" i="102"/>
  <c r="G19" i="102"/>
  <c r="F19" i="102"/>
  <c r="E19" i="102"/>
  <c r="D19" i="102"/>
  <c r="C19" i="102"/>
  <c r="J15" i="102"/>
  <c r="I15" i="102"/>
  <c r="H15" i="102"/>
  <c r="G15" i="102"/>
  <c r="F15" i="102"/>
  <c r="E15" i="102"/>
  <c r="D15" i="102"/>
  <c r="C15" i="102"/>
  <c r="J14" i="102"/>
  <c r="I14" i="102"/>
  <c r="H14" i="102"/>
  <c r="G14" i="102"/>
  <c r="F14" i="102"/>
  <c r="E14" i="102"/>
  <c r="D14" i="102"/>
  <c r="C14" i="102"/>
  <c r="J12" i="102"/>
  <c r="I12" i="102"/>
  <c r="H12" i="102"/>
  <c r="G12" i="102"/>
  <c r="F12" i="102"/>
  <c r="E12" i="102"/>
  <c r="D12" i="102"/>
  <c r="C12" i="102"/>
  <c r="J11" i="102"/>
  <c r="I11" i="102"/>
  <c r="H11" i="102"/>
  <c r="G11" i="102"/>
  <c r="F11" i="102"/>
  <c r="E11" i="102"/>
  <c r="D11" i="102"/>
  <c r="C11" i="102"/>
  <c r="J10" i="102"/>
  <c r="I10" i="102"/>
  <c r="H10" i="102"/>
  <c r="G10" i="102"/>
  <c r="F10" i="102"/>
  <c r="E10" i="102"/>
  <c r="D10" i="102"/>
  <c r="C10" i="102"/>
  <c r="J9" i="102"/>
  <c r="I9" i="102"/>
  <c r="H9" i="102"/>
  <c r="G9" i="102"/>
  <c r="F9" i="102"/>
  <c r="E9" i="102"/>
  <c r="D9" i="102"/>
  <c r="C9" i="102"/>
  <c r="J8" i="102"/>
  <c r="I8" i="102"/>
  <c r="H8" i="102"/>
  <c r="G8" i="102"/>
  <c r="F8" i="102"/>
  <c r="E8" i="102"/>
  <c r="D8" i="102"/>
  <c r="C8" i="102"/>
  <c r="J7" i="102"/>
  <c r="I7" i="102"/>
  <c r="H7" i="102"/>
  <c r="G7" i="102"/>
  <c r="F7" i="102"/>
  <c r="E7" i="102"/>
  <c r="D7" i="102"/>
  <c r="C7" i="102"/>
  <c r="J6" i="102"/>
  <c r="I6" i="102"/>
  <c r="H6" i="102"/>
  <c r="G6" i="102"/>
  <c r="F6" i="102"/>
  <c r="E6" i="102"/>
  <c r="D6" i="102"/>
  <c r="C6" i="102"/>
  <c r="J5" i="102"/>
  <c r="I5" i="102"/>
  <c r="H5" i="102"/>
  <c r="G5" i="102"/>
  <c r="F5" i="102"/>
  <c r="E5" i="102"/>
  <c r="D5" i="102"/>
  <c r="C5" i="102"/>
  <c r="J4" i="102"/>
  <c r="I4" i="102"/>
  <c r="H4" i="102"/>
  <c r="G4" i="102"/>
  <c r="F4" i="102"/>
  <c r="E4" i="102"/>
  <c r="D4" i="102"/>
  <c r="C4" i="102"/>
  <c r="V62" i="121"/>
  <c r="U62" i="121"/>
  <c r="T62" i="121"/>
  <c r="S62" i="121"/>
  <c r="R62" i="121"/>
  <c r="Q62" i="121"/>
  <c r="P62" i="121"/>
  <c r="O62" i="121"/>
  <c r="J62" i="121"/>
  <c r="I62" i="121"/>
  <c r="H62" i="121"/>
  <c r="G62" i="121"/>
  <c r="F62" i="121"/>
  <c r="E62" i="121"/>
  <c r="D62" i="121"/>
  <c r="C62" i="121"/>
  <c r="V61" i="121"/>
  <c r="U61" i="121"/>
  <c r="T61" i="121"/>
  <c r="S61" i="121"/>
  <c r="R61" i="121"/>
  <c r="Q61" i="121"/>
  <c r="P61" i="121"/>
  <c r="O61" i="121"/>
  <c r="J61" i="121"/>
  <c r="I61" i="121"/>
  <c r="H61" i="121"/>
  <c r="G61" i="121"/>
  <c r="F61" i="121"/>
  <c r="E61" i="121"/>
  <c r="D61" i="121"/>
  <c r="C61" i="121"/>
  <c r="V54" i="121"/>
  <c r="U54" i="121"/>
  <c r="T54" i="121"/>
  <c r="S54" i="121"/>
  <c r="R54" i="121"/>
  <c r="Q54" i="121"/>
  <c r="P54" i="121"/>
  <c r="O54" i="121"/>
  <c r="J54" i="121"/>
  <c r="I54" i="121"/>
  <c r="H54" i="121"/>
  <c r="G54" i="121"/>
  <c r="F54" i="121"/>
  <c r="E54" i="121"/>
  <c r="D54" i="121"/>
  <c r="C54" i="121"/>
  <c r="V53" i="121"/>
  <c r="U53" i="121"/>
  <c r="T53" i="121"/>
  <c r="S53" i="121"/>
  <c r="R53" i="121"/>
  <c r="Q53" i="121"/>
  <c r="P53" i="121"/>
  <c r="O53" i="121"/>
  <c r="J53" i="121"/>
  <c r="I53" i="121"/>
  <c r="H53" i="121"/>
  <c r="G53" i="121"/>
  <c r="F53" i="121"/>
  <c r="E53" i="121"/>
  <c r="D53" i="121"/>
  <c r="C53" i="121"/>
  <c r="V52" i="121"/>
  <c r="U52" i="121"/>
  <c r="T52" i="121"/>
  <c r="S52" i="121"/>
  <c r="R52" i="121"/>
  <c r="Q52" i="121"/>
  <c r="P52" i="121"/>
  <c r="O52" i="121"/>
  <c r="J52" i="121"/>
  <c r="I52" i="121"/>
  <c r="H52" i="121"/>
  <c r="G52" i="121"/>
  <c r="F52" i="121"/>
  <c r="E52" i="121"/>
  <c r="D52" i="121"/>
  <c r="C52" i="121"/>
  <c r="V51" i="121"/>
  <c r="U51" i="121"/>
  <c r="T51" i="121"/>
  <c r="S51" i="121"/>
  <c r="R51" i="121"/>
  <c r="Q51" i="121"/>
  <c r="P51" i="121"/>
  <c r="O51" i="121"/>
  <c r="J51" i="121"/>
  <c r="I51" i="121"/>
  <c r="H51" i="121"/>
  <c r="G51" i="121"/>
  <c r="F51" i="121"/>
  <c r="E51" i="121"/>
  <c r="D51" i="121"/>
  <c r="C51" i="121"/>
  <c r="V50" i="121"/>
  <c r="U50" i="121"/>
  <c r="T50" i="121"/>
  <c r="S50" i="121"/>
  <c r="R50" i="121"/>
  <c r="Q50" i="121"/>
  <c r="P50" i="121"/>
  <c r="O50" i="121"/>
  <c r="J50" i="121"/>
  <c r="I50" i="121"/>
  <c r="H50" i="121"/>
  <c r="G50" i="121"/>
  <c r="F50" i="121"/>
  <c r="E50" i="121"/>
  <c r="D50" i="121"/>
  <c r="C50" i="121"/>
  <c r="V49" i="121"/>
  <c r="U49" i="121"/>
  <c r="T49" i="121"/>
  <c r="S49" i="121"/>
  <c r="R49" i="121"/>
  <c r="Q49" i="121"/>
  <c r="P49" i="121"/>
  <c r="O49" i="121"/>
  <c r="J49" i="121"/>
  <c r="I49" i="121"/>
  <c r="H49" i="121"/>
  <c r="G49" i="121"/>
  <c r="F49" i="121"/>
  <c r="E49" i="121"/>
  <c r="D49" i="121"/>
  <c r="C49" i="121"/>
  <c r="V48" i="121"/>
  <c r="U48" i="121"/>
  <c r="T48" i="121"/>
  <c r="S48" i="121"/>
  <c r="R48" i="121"/>
  <c r="Q48" i="121"/>
  <c r="P48" i="121"/>
  <c r="O48" i="121"/>
  <c r="J48" i="121"/>
  <c r="I48" i="121"/>
  <c r="H48" i="121"/>
  <c r="G48" i="121"/>
  <c r="F48" i="121"/>
  <c r="E48" i="121"/>
  <c r="D48" i="121"/>
  <c r="C48" i="121"/>
  <c r="V41" i="121"/>
  <c r="U41" i="121"/>
  <c r="T41" i="121"/>
  <c r="S41" i="121"/>
  <c r="R41" i="121"/>
  <c r="Q41" i="121"/>
  <c r="P41" i="121"/>
  <c r="O41" i="121"/>
  <c r="V40" i="121"/>
  <c r="U40" i="121"/>
  <c r="T40" i="121"/>
  <c r="S40" i="121"/>
  <c r="R40" i="121"/>
  <c r="Q40" i="121"/>
  <c r="P40" i="121"/>
  <c r="O40" i="121"/>
  <c r="V38" i="121"/>
  <c r="U38" i="121"/>
  <c r="T38" i="121"/>
  <c r="S38" i="121"/>
  <c r="R38" i="121"/>
  <c r="Q38" i="121"/>
  <c r="P38" i="121"/>
  <c r="O38" i="121"/>
  <c r="V37" i="121"/>
  <c r="U37" i="121"/>
  <c r="T37" i="121"/>
  <c r="S37" i="121"/>
  <c r="R37" i="121"/>
  <c r="Q37" i="121"/>
  <c r="P37" i="121"/>
  <c r="O37" i="121"/>
  <c r="J37" i="121"/>
  <c r="I37" i="121"/>
  <c r="H37" i="121"/>
  <c r="G37" i="121"/>
  <c r="F37" i="121"/>
  <c r="E37" i="121"/>
  <c r="D37" i="121"/>
  <c r="C37" i="121"/>
  <c r="V36" i="121"/>
  <c r="U36" i="121"/>
  <c r="T36" i="121"/>
  <c r="S36" i="121"/>
  <c r="R36" i="121"/>
  <c r="Q36" i="121"/>
  <c r="P36" i="121"/>
  <c r="O36" i="121"/>
  <c r="J36" i="121"/>
  <c r="I36" i="121"/>
  <c r="H36" i="121"/>
  <c r="G36" i="121"/>
  <c r="F36" i="121"/>
  <c r="E36" i="121"/>
  <c r="D36" i="121"/>
  <c r="C36" i="121"/>
  <c r="V34" i="121"/>
  <c r="U34" i="121"/>
  <c r="T34" i="121"/>
  <c r="S34" i="121"/>
  <c r="R34" i="121"/>
  <c r="Q34" i="121"/>
  <c r="P34" i="121"/>
  <c r="O34" i="121"/>
  <c r="J34" i="121"/>
  <c r="I34" i="121"/>
  <c r="H34" i="121"/>
  <c r="G34" i="121"/>
  <c r="F34" i="121"/>
  <c r="E34" i="121"/>
  <c r="D34" i="121"/>
  <c r="C34" i="121"/>
  <c r="V33" i="121"/>
  <c r="U33" i="121"/>
  <c r="T33" i="121"/>
  <c r="S33" i="121"/>
  <c r="R33" i="121"/>
  <c r="Q33" i="121"/>
  <c r="P33" i="121"/>
  <c r="O33" i="121"/>
  <c r="J33" i="121"/>
  <c r="I33" i="121"/>
  <c r="H33" i="121"/>
  <c r="G33" i="121"/>
  <c r="F33" i="121"/>
  <c r="E33" i="121"/>
  <c r="D33" i="121"/>
  <c r="C33" i="121"/>
  <c r="J32" i="121"/>
  <c r="I32" i="121"/>
  <c r="H32" i="121"/>
  <c r="G32" i="121"/>
  <c r="F32" i="121"/>
  <c r="E32" i="121"/>
  <c r="D32" i="121"/>
  <c r="C32" i="121"/>
  <c r="V31" i="121"/>
  <c r="U31" i="121"/>
  <c r="T31" i="121"/>
  <c r="S31" i="121"/>
  <c r="R31" i="121"/>
  <c r="Q31" i="121"/>
  <c r="P31" i="121"/>
  <c r="O31" i="121"/>
  <c r="V30" i="121"/>
  <c r="U30" i="121"/>
  <c r="T30" i="121"/>
  <c r="S30" i="121"/>
  <c r="R30" i="121"/>
  <c r="Q30" i="121"/>
  <c r="P30" i="121"/>
  <c r="O30" i="121"/>
  <c r="J30" i="121"/>
  <c r="I30" i="121"/>
  <c r="H30" i="121"/>
  <c r="G30" i="121"/>
  <c r="F30" i="121"/>
  <c r="E30" i="121"/>
  <c r="D30" i="121"/>
  <c r="C30" i="121"/>
  <c r="V29" i="121"/>
  <c r="U29" i="121"/>
  <c r="T29" i="121"/>
  <c r="S29" i="121"/>
  <c r="R29" i="121"/>
  <c r="Q29" i="121"/>
  <c r="P29" i="121"/>
  <c r="O29" i="121"/>
  <c r="J29" i="121"/>
  <c r="I29" i="121"/>
  <c r="H29" i="121"/>
  <c r="G29" i="121"/>
  <c r="F29" i="121"/>
  <c r="E29" i="121"/>
  <c r="D29" i="121"/>
  <c r="C29" i="121"/>
  <c r="V28" i="121"/>
  <c r="U28" i="121"/>
  <c r="T28" i="121"/>
  <c r="S28" i="121"/>
  <c r="R28" i="121"/>
  <c r="Q28" i="121"/>
  <c r="P28" i="121"/>
  <c r="O28" i="121"/>
  <c r="J28" i="121"/>
  <c r="I28" i="121"/>
  <c r="H28" i="121"/>
  <c r="G28" i="121"/>
  <c r="F28" i="121"/>
  <c r="E28" i="121"/>
  <c r="D28" i="121"/>
  <c r="C28" i="121"/>
  <c r="V22" i="121"/>
  <c r="U22" i="121"/>
  <c r="T22" i="121"/>
  <c r="S22" i="121"/>
  <c r="R22" i="121"/>
  <c r="Q22" i="121"/>
  <c r="P22" i="121"/>
  <c r="O22" i="121"/>
  <c r="J22" i="121"/>
  <c r="I22" i="121"/>
  <c r="H22" i="121"/>
  <c r="G22" i="121"/>
  <c r="F22" i="121"/>
  <c r="E22" i="121"/>
  <c r="D22" i="121"/>
  <c r="C22" i="121"/>
  <c r="V21" i="121"/>
  <c r="U21" i="121"/>
  <c r="T21" i="121"/>
  <c r="S21" i="121"/>
  <c r="R21" i="121"/>
  <c r="Q21" i="121"/>
  <c r="P21" i="121"/>
  <c r="O21" i="121"/>
  <c r="J21" i="121"/>
  <c r="I21" i="121"/>
  <c r="H21" i="121"/>
  <c r="G21" i="121"/>
  <c r="F21" i="121"/>
  <c r="E21" i="121"/>
  <c r="D21" i="121"/>
  <c r="C21" i="121"/>
  <c r="V20" i="121"/>
  <c r="U20" i="121"/>
  <c r="T20" i="121"/>
  <c r="S20" i="121"/>
  <c r="R20" i="121"/>
  <c r="Q20" i="121"/>
  <c r="P20" i="121"/>
  <c r="O20" i="121"/>
  <c r="J20" i="121"/>
  <c r="I20" i="121"/>
  <c r="H20" i="121"/>
  <c r="G20" i="121"/>
  <c r="F20" i="121"/>
  <c r="E20" i="121"/>
  <c r="D20" i="121"/>
  <c r="C20" i="121"/>
  <c r="V19" i="121"/>
  <c r="U19" i="121"/>
  <c r="T19" i="121"/>
  <c r="S19" i="121"/>
  <c r="R19" i="121"/>
  <c r="Q19" i="121"/>
  <c r="P19" i="121"/>
  <c r="O19" i="121"/>
  <c r="J19" i="121"/>
  <c r="I19" i="121"/>
  <c r="H19" i="121"/>
  <c r="G19" i="121"/>
  <c r="F19" i="121"/>
  <c r="E19" i="121"/>
  <c r="D19" i="121"/>
  <c r="C19" i="121"/>
  <c r="V18" i="121"/>
  <c r="U18" i="121"/>
  <c r="T18" i="121"/>
  <c r="S18" i="121"/>
  <c r="R18" i="121"/>
  <c r="Q18" i="121"/>
  <c r="P18" i="121"/>
  <c r="O18" i="121"/>
  <c r="J18" i="121"/>
  <c r="I18" i="121"/>
  <c r="H18" i="121"/>
  <c r="G18" i="121"/>
  <c r="F18" i="121"/>
  <c r="E18" i="121"/>
  <c r="D18" i="121"/>
  <c r="C18" i="121"/>
  <c r="V12" i="121"/>
  <c r="U12" i="121"/>
  <c r="T12" i="121"/>
  <c r="S12" i="121"/>
  <c r="R12" i="121"/>
  <c r="Q12" i="121"/>
  <c r="P12" i="121"/>
  <c r="O12" i="121"/>
  <c r="J12" i="121"/>
  <c r="I12" i="121"/>
  <c r="H12" i="121"/>
  <c r="G12" i="121"/>
  <c r="F12" i="121"/>
  <c r="E12" i="121"/>
  <c r="D12" i="121"/>
  <c r="C12" i="121"/>
  <c r="V10" i="121"/>
  <c r="U10" i="121"/>
  <c r="T10" i="121"/>
  <c r="S10" i="121"/>
  <c r="R10" i="121"/>
  <c r="Q10" i="121"/>
  <c r="P10" i="121"/>
  <c r="O10" i="121"/>
  <c r="J10" i="121"/>
  <c r="I10" i="121"/>
  <c r="H10" i="121"/>
  <c r="G10" i="121"/>
  <c r="F10" i="121"/>
  <c r="E10" i="121"/>
  <c r="D10" i="121"/>
  <c r="C10" i="121"/>
  <c r="V9" i="121"/>
  <c r="U9" i="121"/>
  <c r="T9" i="121"/>
  <c r="S9" i="121"/>
  <c r="R9" i="121"/>
  <c r="Q9" i="121"/>
  <c r="P9" i="121"/>
  <c r="O9" i="121"/>
  <c r="J9" i="121"/>
  <c r="I9" i="121"/>
  <c r="H9" i="121"/>
  <c r="G9" i="121"/>
  <c r="F9" i="121"/>
  <c r="E9" i="121"/>
  <c r="D9" i="121"/>
  <c r="C9" i="121"/>
  <c r="V8" i="121"/>
  <c r="U8" i="121"/>
  <c r="T8" i="121"/>
  <c r="S8" i="121"/>
  <c r="R8" i="121"/>
  <c r="Q8" i="121"/>
  <c r="P8" i="121"/>
  <c r="O8" i="121"/>
  <c r="J8" i="121"/>
  <c r="I8" i="121"/>
  <c r="H8" i="121"/>
  <c r="G8" i="121"/>
  <c r="F8" i="121"/>
  <c r="E8" i="121"/>
  <c r="D8" i="121"/>
  <c r="C8" i="121"/>
  <c r="V7" i="121"/>
  <c r="U7" i="121"/>
  <c r="T7" i="121"/>
  <c r="S7" i="121"/>
  <c r="R7" i="121"/>
  <c r="Q7" i="121"/>
  <c r="P7" i="121"/>
  <c r="O7" i="121"/>
  <c r="J7" i="121"/>
  <c r="I7" i="121"/>
  <c r="H7" i="121"/>
  <c r="G7" i="121"/>
  <c r="F7" i="121"/>
  <c r="E7" i="121"/>
  <c r="D7" i="121"/>
  <c r="C7" i="121"/>
  <c r="V6" i="121"/>
  <c r="U6" i="121"/>
  <c r="T6" i="121"/>
  <c r="S6" i="121"/>
  <c r="R6" i="121"/>
  <c r="Q6" i="121"/>
  <c r="P6" i="121"/>
  <c r="O6" i="121"/>
  <c r="J6" i="121"/>
  <c r="I6" i="121"/>
  <c r="H6" i="121"/>
  <c r="G6" i="121"/>
  <c r="F6" i="121"/>
  <c r="E6" i="121"/>
  <c r="D6" i="121"/>
  <c r="C6" i="121"/>
  <c r="V5" i="121"/>
  <c r="U5" i="121"/>
  <c r="T5" i="121"/>
  <c r="S5" i="121"/>
  <c r="R5" i="121"/>
  <c r="Q5" i="121"/>
  <c r="P5" i="121"/>
  <c r="O5" i="121"/>
  <c r="J5" i="121"/>
  <c r="I5" i="121"/>
  <c r="H5" i="121"/>
  <c r="G5" i="121"/>
  <c r="F5" i="121"/>
  <c r="E5" i="121"/>
  <c r="D5" i="121"/>
  <c r="C5" i="121"/>
  <c r="V4" i="121"/>
  <c r="U4" i="121"/>
  <c r="T4" i="121"/>
  <c r="S4" i="121"/>
  <c r="R4" i="121"/>
  <c r="Q4" i="121"/>
  <c r="P4" i="121"/>
  <c r="O4" i="121"/>
  <c r="J4" i="121"/>
  <c r="I4" i="121"/>
  <c r="H4" i="121"/>
  <c r="G4" i="121"/>
  <c r="F4" i="121"/>
  <c r="E4" i="121"/>
  <c r="D4" i="121"/>
  <c r="C4" i="121"/>
  <c r="K73" i="100"/>
  <c r="J73" i="100"/>
  <c r="I73" i="100"/>
  <c r="H73" i="100"/>
  <c r="G73" i="100"/>
  <c r="F73" i="100"/>
  <c r="E73" i="100"/>
  <c r="D73" i="100"/>
  <c r="K72" i="100"/>
  <c r="J72" i="100"/>
  <c r="I72" i="100"/>
  <c r="H72" i="100"/>
  <c r="G72" i="100"/>
  <c r="F72" i="100"/>
  <c r="E72" i="100"/>
  <c r="D72" i="100"/>
  <c r="K67" i="100"/>
  <c r="J67" i="100"/>
  <c r="I67" i="100"/>
  <c r="H67" i="100"/>
  <c r="G67" i="100"/>
  <c r="F67" i="100"/>
  <c r="E67" i="100"/>
  <c r="D67" i="100"/>
  <c r="K59" i="100"/>
  <c r="J59" i="100"/>
  <c r="I59" i="100"/>
  <c r="H59" i="100"/>
  <c r="G59" i="100"/>
  <c r="F59" i="100"/>
  <c r="E59" i="100"/>
  <c r="D59" i="100"/>
  <c r="K58" i="100"/>
  <c r="J58" i="100"/>
  <c r="I58" i="100"/>
  <c r="H58" i="100"/>
  <c r="G58" i="100"/>
  <c r="F58" i="100"/>
  <c r="E58" i="100"/>
  <c r="D58" i="100"/>
  <c r="K57" i="100"/>
  <c r="J57" i="100"/>
  <c r="I57" i="100"/>
  <c r="H57" i="100"/>
  <c r="G57" i="100"/>
  <c r="F57" i="100"/>
  <c r="E57" i="100"/>
  <c r="D57" i="100"/>
  <c r="K51" i="100"/>
  <c r="J51" i="100"/>
  <c r="I51" i="100"/>
  <c r="H51" i="100"/>
  <c r="G51" i="100"/>
  <c r="F51" i="100"/>
  <c r="E51" i="100"/>
  <c r="D51" i="100"/>
  <c r="K50" i="100"/>
  <c r="J50" i="100"/>
  <c r="I50" i="100"/>
  <c r="H50" i="100"/>
  <c r="G50" i="100"/>
  <c r="F50" i="100"/>
  <c r="E50" i="100"/>
  <c r="D50" i="100"/>
  <c r="K49" i="100"/>
  <c r="J49" i="100"/>
  <c r="I49" i="100"/>
  <c r="H49" i="100"/>
  <c r="G49" i="100"/>
  <c r="F49" i="100"/>
  <c r="E49" i="100"/>
  <c r="D49" i="100"/>
  <c r="K45" i="100"/>
  <c r="J45" i="100"/>
  <c r="I45" i="100"/>
  <c r="H45" i="100"/>
  <c r="G45" i="100"/>
  <c r="F45" i="100"/>
  <c r="E45" i="100"/>
  <c r="D45" i="100"/>
  <c r="K43" i="100"/>
  <c r="J43" i="100"/>
  <c r="I43" i="100"/>
  <c r="H43" i="100"/>
  <c r="G43" i="100"/>
  <c r="F43" i="100"/>
  <c r="E43" i="100"/>
  <c r="D43" i="100"/>
  <c r="K42" i="100"/>
  <c r="J42" i="100"/>
  <c r="I42" i="100"/>
  <c r="H42" i="100"/>
  <c r="G42" i="100"/>
  <c r="F42" i="100"/>
  <c r="E42" i="100"/>
  <c r="D42" i="100"/>
  <c r="K40" i="100"/>
  <c r="J40" i="100"/>
  <c r="I40" i="100"/>
  <c r="H40" i="100"/>
  <c r="G40" i="100"/>
  <c r="F40" i="100"/>
  <c r="E40" i="100"/>
  <c r="D40" i="100"/>
  <c r="K39" i="100"/>
  <c r="J39" i="100"/>
  <c r="I39" i="100"/>
  <c r="H39" i="100"/>
  <c r="G39" i="100"/>
  <c r="F39" i="100"/>
  <c r="E39" i="100"/>
  <c r="D39" i="100"/>
  <c r="K38" i="100"/>
  <c r="J38" i="100"/>
  <c r="I38" i="100"/>
  <c r="H38" i="100"/>
  <c r="G38" i="100"/>
  <c r="F38" i="100"/>
  <c r="E38" i="100"/>
  <c r="D38" i="100"/>
  <c r="K30" i="100"/>
  <c r="J30" i="100"/>
  <c r="I30" i="100"/>
  <c r="H30" i="100"/>
  <c r="G30" i="100"/>
  <c r="F30" i="100"/>
  <c r="E30" i="100"/>
  <c r="D30" i="100"/>
  <c r="K29" i="100"/>
  <c r="J29" i="100"/>
  <c r="I29" i="100"/>
  <c r="H29" i="100"/>
  <c r="G29" i="100"/>
  <c r="F29" i="100"/>
  <c r="E29" i="100"/>
  <c r="D29" i="100"/>
  <c r="K28" i="100"/>
  <c r="J28" i="100"/>
  <c r="I28" i="100"/>
  <c r="H28" i="100"/>
  <c r="G28" i="100"/>
  <c r="F28" i="100"/>
  <c r="E28" i="100"/>
  <c r="D28" i="100"/>
  <c r="K27" i="100"/>
  <c r="J27" i="100"/>
  <c r="I27" i="100"/>
  <c r="H27" i="100"/>
  <c r="G27" i="100"/>
  <c r="F27" i="100"/>
  <c r="E27" i="100"/>
  <c r="D27" i="100"/>
  <c r="K21" i="100"/>
  <c r="J21" i="100"/>
  <c r="I21" i="100"/>
  <c r="H21" i="100"/>
  <c r="G21" i="100"/>
  <c r="F21" i="100"/>
  <c r="E21" i="100"/>
  <c r="D21" i="100"/>
  <c r="K20" i="100"/>
  <c r="J20" i="100"/>
  <c r="I20" i="100"/>
  <c r="H20" i="100"/>
  <c r="G20" i="100"/>
  <c r="F20" i="100"/>
  <c r="E20" i="100"/>
  <c r="D20" i="100"/>
  <c r="K19" i="100"/>
  <c r="J19" i="100"/>
  <c r="I19" i="100"/>
  <c r="H19" i="100"/>
  <c r="G19" i="100"/>
  <c r="F19" i="100"/>
  <c r="E19" i="100"/>
  <c r="D19" i="100"/>
  <c r="K18" i="100"/>
  <c r="J18" i="100"/>
  <c r="I18" i="100"/>
  <c r="H18" i="100"/>
  <c r="G18" i="100"/>
  <c r="F18" i="100"/>
  <c r="E18" i="100"/>
  <c r="D18" i="100"/>
  <c r="K17" i="100"/>
  <c r="J17" i="100"/>
  <c r="I17" i="100"/>
  <c r="H17" i="100"/>
  <c r="G17" i="100"/>
  <c r="F17" i="100"/>
  <c r="E17" i="100"/>
  <c r="D17" i="100"/>
  <c r="K12" i="100"/>
  <c r="J12" i="100"/>
  <c r="I12" i="100"/>
  <c r="H12" i="100"/>
  <c r="G12" i="100"/>
  <c r="F12" i="100"/>
  <c r="E12" i="100"/>
  <c r="D12" i="100"/>
  <c r="K11" i="100"/>
  <c r="K7" i="100" s="1"/>
  <c r="J11" i="100"/>
  <c r="J5" i="100" s="1"/>
  <c r="I11" i="100"/>
  <c r="I3" i="100" s="1"/>
  <c r="H11" i="100"/>
  <c r="H8" i="100" s="1"/>
  <c r="G11" i="100"/>
  <c r="G8" i="100" s="1"/>
  <c r="F11" i="100"/>
  <c r="F9" i="100" s="1"/>
  <c r="E11" i="100"/>
  <c r="E7" i="100" s="1"/>
  <c r="D11" i="100"/>
  <c r="D4" i="100" s="1"/>
  <c r="V31" i="117"/>
  <c r="U31" i="117"/>
  <c r="T31" i="117"/>
  <c r="S31" i="117"/>
  <c r="R31" i="117"/>
  <c r="Q31" i="117"/>
  <c r="P31" i="117"/>
  <c r="O31" i="117"/>
  <c r="V30" i="117"/>
  <c r="U30" i="117"/>
  <c r="T30" i="117"/>
  <c r="S30" i="117"/>
  <c r="R30" i="117"/>
  <c r="Q30" i="117"/>
  <c r="P30" i="117"/>
  <c r="O30" i="117"/>
  <c r="V29" i="117"/>
  <c r="U29" i="117"/>
  <c r="T29" i="117"/>
  <c r="S29" i="117"/>
  <c r="R29" i="117"/>
  <c r="Q29" i="117"/>
  <c r="P29" i="117"/>
  <c r="O29" i="117"/>
  <c r="V26" i="117"/>
  <c r="U26" i="117"/>
  <c r="T26" i="117"/>
  <c r="S26" i="117"/>
  <c r="R26" i="117"/>
  <c r="Q26" i="117"/>
  <c r="P26" i="117"/>
  <c r="O26" i="117"/>
  <c r="V25" i="117"/>
  <c r="U25" i="117"/>
  <c r="T25" i="117"/>
  <c r="S25" i="117"/>
  <c r="R25" i="117"/>
  <c r="Q25" i="117"/>
  <c r="P25" i="117"/>
  <c r="O25" i="117"/>
  <c r="V24" i="117"/>
  <c r="U24" i="117"/>
  <c r="T24" i="117"/>
  <c r="S24" i="117"/>
  <c r="R24" i="117"/>
  <c r="Q24" i="117"/>
  <c r="P24" i="117"/>
  <c r="O24" i="117"/>
  <c r="V23" i="117"/>
  <c r="U23" i="117"/>
  <c r="T23" i="117"/>
  <c r="S23" i="117"/>
  <c r="R23" i="117"/>
  <c r="Q23" i="117"/>
  <c r="P23" i="117"/>
  <c r="O23" i="117"/>
  <c r="V22" i="117"/>
  <c r="U22" i="117"/>
  <c r="T22" i="117"/>
  <c r="S22" i="117"/>
  <c r="R22" i="117"/>
  <c r="Q22" i="117"/>
  <c r="P22" i="117"/>
  <c r="O22" i="117"/>
  <c r="V21" i="117"/>
  <c r="U21" i="117"/>
  <c r="T21" i="117"/>
  <c r="S21" i="117"/>
  <c r="R21" i="117"/>
  <c r="Q21" i="117"/>
  <c r="P21" i="117"/>
  <c r="O21" i="117"/>
  <c r="V20" i="117"/>
  <c r="U20" i="117"/>
  <c r="T20" i="117"/>
  <c r="S20" i="117"/>
  <c r="R20" i="117"/>
  <c r="Q20" i="117"/>
  <c r="P20" i="117"/>
  <c r="O20" i="117"/>
  <c r="V19" i="117"/>
  <c r="U19" i="117"/>
  <c r="T19" i="117"/>
  <c r="S19" i="117"/>
  <c r="R19" i="117"/>
  <c r="Q19" i="117"/>
  <c r="P19" i="117"/>
  <c r="O19" i="117"/>
  <c r="V18" i="117"/>
  <c r="U18" i="117"/>
  <c r="T18" i="117"/>
  <c r="S18" i="117"/>
  <c r="R18" i="117"/>
  <c r="Q18" i="117"/>
  <c r="P18" i="117"/>
  <c r="O18" i="117"/>
  <c r="V17" i="117"/>
  <c r="U17" i="117"/>
  <c r="T17" i="117"/>
  <c r="S17" i="117"/>
  <c r="R17" i="117"/>
  <c r="Q17" i="117"/>
  <c r="P17" i="117"/>
  <c r="O17" i="117"/>
  <c r="V16" i="117"/>
  <c r="U16" i="117"/>
  <c r="T16" i="117"/>
  <c r="S16" i="117"/>
  <c r="R16" i="117"/>
  <c r="Q16" i="117"/>
  <c r="P16" i="117"/>
  <c r="O16" i="117"/>
  <c r="V15" i="117"/>
  <c r="U15" i="117"/>
  <c r="T15" i="117"/>
  <c r="S15" i="117"/>
  <c r="R15" i="117"/>
  <c r="Q15" i="117"/>
  <c r="P15" i="117"/>
  <c r="O15" i="117"/>
  <c r="V14" i="117"/>
  <c r="U14" i="117"/>
  <c r="T14" i="117"/>
  <c r="S14" i="117"/>
  <c r="R14" i="117"/>
  <c r="Q14" i="117"/>
  <c r="P14" i="117"/>
  <c r="O14" i="117"/>
  <c r="V13" i="117"/>
  <c r="U13" i="117"/>
  <c r="T13" i="117"/>
  <c r="S13" i="117"/>
  <c r="R13" i="117"/>
  <c r="Q13" i="117"/>
  <c r="P13" i="117"/>
  <c r="O13" i="117"/>
  <c r="V12" i="117"/>
  <c r="U12" i="117"/>
  <c r="T12" i="117"/>
  <c r="S12" i="117"/>
  <c r="R12" i="117"/>
  <c r="Q12" i="117"/>
  <c r="P12" i="117"/>
  <c r="O12" i="117"/>
  <c r="V11" i="117"/>
  <c r="U11" i="117"/>
  <c r="T11" i="117"/>
  <c r="S11" i="117"/>
  <c r="R11" i="117"/>
  <c r="Q11" i="117"/>
  <c r="P11" i="117"/>
  <c r="O11" i="117"/>
  <c r="V8" i="117"/>
  <c r="U8" i="117"/>
  <c r="T8" i="117"/>
  <c r="S8" i="117"/>
  <c r="R8" i="117"/>
  <c r="Q8" i="117"/>
  <c r="P8" i="117"/>
  <c r="O8" i="117"/>
  <c r="V6" i="117"/>
  <c r="U6" i="117"/>
  <c r="T6" i="117"/>
  <c r="S6" i="117"/>
  <c r="R6" i="117"/>
  <c r="Q6" i="117"/>
  <c r="P6" i="117"/>
  <c r="O6" i="117"/>
  <c r="V35" i="98"/>
  <c r="U35" i="98"/>
  <c r="T35" i="98"/>
  <c r="S35" i="98"/>
  <c r="R35" i="98"/>
  <c r="Q35" i="98"/>
  <c r="P35" i="98"/>
  <c r="O35" i="98"/>
  <c r="V34" i="98"/>
  <c r="U34" i="98"/>
  <c r="T34" i="98"/>
  <c r="S34" i="98"/>
  <c r="R34" i="98"/>
  <c r="Q34" i="98"/>
  <c r="P34" i="98"/>
  <c r="O34" i="98"/>
  <c r="V31" i="98"/>
  <c r="U31" i="98"/>
  <c r="T31" i="98"/>
  <c r="S31" i="98"/>
  <c r="R31" i="98"/>
  <c r="Q31" i="98"/>
  <c r="P31" i="98"/>
  <c r="O31" i="98"/>
  <c r="V30" i="98"/>
  <c r="U30" i="98"/>
  <c r="T30" i="98"/>
  <c r="S30" i="98"/>
  <c r="R30" i="98"/>
  <c r="Q30" i="98"/>
  <c r="P30" i="98"/>
  <c r="O30" i="98"/>
  <c r="V29" i="98"/>
  <c r="U29" i="98"/>
  <c r="T29" i="98"/>
  <c r="S29" i="98"/>
  <c r="R29" i="98"/>
  <c r="Q29" i="98"/>
  <c r="P29" i="98"/>
  <c r="O29" i="98"/>
  <c r="V28" i="98"/>
  <c r="U28" i="98"/>
  <c r="T28" i="98"/>
  <c r="S28" i="98"/>
  <c r="R28" i="98"/>
  <c r="Q28" i="98"/>
  <c r="P28" i="98"/>
  <c r="O28" i="98"/>
  <c r="V27" i="98"/>
  <c r="U27" i="98"/>
  <c r="T27" i="98"/>
  <c r="S27" i="98"/>
  <c r="R27" i="98"/>
  <c r="Q27" i="98"/>
  <c r="P27" i="98"/>
  <c r="O27" i="98"/>
  <c r="V26" i="98"/>
  <c r="U26" i="98"/>
  <c r="T26" i="98"/>
  <c r="S26" i="98"/>
  <c r="R26" i="98"/>
  <c r="Q26" i="98"/>
  <c r="P26" i="98"/>
  <c r="O26" i="98"/>
  <c r="V25" i="98"/>
  <c r="U25" i="98"/>
  <c r="T25" i="98"/>
  <c r="S25" i="98"/>
  <c r="R25" i="98"/>
  <c r="Q25" i="98"/>
  <c r="P25" i="98"/>
  <c r="O25" i="98"/>
  <c r="V24" i="98"/>
  <c r="U24" i="98"/>
  <c r="T24" i="98"/>
  <c r="S24" i="98"/>
  <c r="R24" i="98"/>
  <c r="Q24" i="98"/>
  <c r="P24" i="98"/>
  <c r="O24" i="98"/>
  <c r="V23" i="98"/>
  <c r="U23" i="98"/>
  <c r="T23" i="98"/>
  <c r="S23" i="98"/>
  <c r="R23" i="98"/>
  <c r="Q23" i="98"/>
  <c r="P23" i="98"/>
  <c r="O23" i="98"/>
  <c r="V22" i="98"/>
  <c r="U22" i="98"/>
  <c r="T22" i="98"/>
  <c r="S22" i="98"/>
  <c r="R22" i="98"/>
  <c r="Q22" i="98"/>
  <c r="P22" i="98"/>
  <c r="O22" i="98"/>
  <c r="V21" i="98"/>
  <c r="U21" i="98"/>
  <c r="T21" i="98"/>
  <c r="S21" i="98"/>
  <c r="R21" i="98"/>
  <c r="Q21" i="98"/>
  <c r="P21" i="98"/>
  <c r="O21" i="98"/>
  <c r="V20" i="98"/>
  <c r="U20" i="98"/>
  <c r="T20" i="98"/>
  <c r="S20" i="98"/>
  <c r="R20" i="98"/>
  <c r="Q20" i="98"/>
  <c r="P20" i="98"/>
  <c r="O20" i="98"/>
  <c r="V19" i="98"/>
  <c r="U19" i="98"/>
  <c r="T19" i="98"/>
  <c r="S19" i="98"/>
  <c r="R19" i="98"/>
  <c r="Q19" i="98"/>
  <c r="P19" i="98"/>
  <c r="O19" i="98"/>
  <c r="V18" i="98"/>
  <c r="U18" i="98"/>
  <c r="T18" i="98"/>
  <c r="S18" i="98"/>
  <c r="R18" i="98"/>
  <c r="Q18" i="98"/>
  <c r="P18" i="98"/>
  <c r="O18" i="98"/>
  <c r="V17" i="98"/>
  <c r="U17" i="98"/>
  <c r="T17" i="98"/>
  <c r="S17" i="98"/>
  <c r="R17" i="98"/>
  <c r="Q17" i="98"/>
  <c r="P17" i="98"/>
  <c r="O17" i="98"/>
  <c r="V16" i="98"/>
  <c r="U16" i="98"/>
  <c r="T16" i="98"/>
  <c r="S16" i="98"/>
  <c r="R16" i="98"/>
  <c r="Q16" i="98"/>
  <c r="P16" i="98"/>
  <c r="O16" i="98"/>
  <c r="V13" i="98"/>
  <c r="U13" i="98"/>
  <c r="T13" i="98"/>
  <c r="S13" i="98"/>
  <c r="R13" i="98"/>
  <c r="Q13" i="98"/>
  <c r="P13" i="98"/>
  <c r="O13" i="98"/>
  <c r="V10" i="98"/>
  <c r="U10" i="98"/>
  <c r="T10" i="98"/>
  <c r="S10" i="98"/>
  <c r="R10" i="98"/>
  <c r="Q10" i="98"/>
  <c r="P10" i="98"/>
  <c r="O10" i="98"/>
  <c r="V9" i="98"/>
  <c r="U9" i="98"/>
  <c r="T9" i="98"/>
  <c r="S9" i="98"/>
  <c r="R9" i="98"/>
  <c r="Q9" i="98"/>
  <c r="P9" i="98"/>
  <c r="O9" i="98"/>
  <c r="V8" i="98"/>
  <c r="U8" i="98"/>
  <c r="T8" i="98"/>
  <c r="S8" i="98"/>
  <c r="R8" i="98"/>
  <c r="Q8" i="98"/>
  <c r="P8" i="98"/>
  <c r="O8" i="98"/>
  <c r="T71" i="97"/>
  <c r="S71" i="97"/>
  <c r="R71" i="97"/>
  <c r="Q71" i="97"/>
  <c r="P71" i="97"/>
  <c r="O71" i="97"/>
  <c r="N71" i="97"/>
  <c r="M71" i="97"/>
  <c r="T70" i="97"/>
  <c r="S70" i="97"/>
  <c r="R70" i="97"/>
  <c r="Q70" i="97"/>
  <c r="P70" i="97"/>
  <c r="O70" i="97"/>
  <c r="N70" i="97"/>
  <c r="M70" i="97"/>
  <c r="T64" i="97"/>
  <c r="S64" i="97"/>
  <c r="R64" i="97"/>
  <c r="Q64" i="97"/>
  <c r="P64" i="97"/>
  <c r="O64" i="97"/>
  <c r="N64" i="97"/>
  <c r="M64" i="97"/>
  <c r="T61" i="97"/>
  <c r="S61" i="97"/>
  <c r="R61" i="97"/>
  <c r="Q61" i="97"/>
  <c r="P61" i="97"/>
  <c r="O61" i="97"/>
  <c r="N61" i="97"/>
  <c r="M61" i="97"/>
  <c r="T58" i="97"/>
  <c r="S58" i="97"/>
  <c r="R58" i="97"/>
  <c r="Q58" i="97"/>
  <c r="P58" i="97"/>
  <c r="O58" i="97"/>
  <c r="N58" i="97"/>
  <c r="M58" i="97"/>
  <c r="T57" i="97"/>
  <c r="S57" i="97"/>
  <c r="R57" i="97"/>
  <c r="Q57" i="97"/>
  <c r="P57" i="97"/>
  <c r="O57" i="97"/>
  <c r="N57" i="97"/>
  <c r="M57" i="97"/>
  <c r="T56" i="97"/>
  <c r="S56" i="97"/>
  <c r="R56" i="97"/>
  <c r="Q56" i="97"/>
  <c r="P56" i="97"/>
  <c r="O56" i="97"/>
  <c r="N56" i="97"/>
  <c r="M56" i="97"/>
  <c r="T55" i="97"/>
  <c r="S55" i="97"/>
  <c r="R55" i="97"/>
  <c r="Q55" i="97"/>
  <c r="P55" i="97"/>
  <c r="O55" i="97"/>
  <c r="N55" i="97"/>
  <c r="M55" i="97"/>
  <c r="T54" i="97"/>
  <c r="S54" i="97"/>
  <c r="R54" i="97"/>
  <c r="Q54" i="97"/>
  <c r="P54" i="97"/>
  <c r="O54" i="97"/>
  <c r="N54" i="97"/>
  <c r="M54" i="97"/>
  <c r="T53" i="97"/>
  <c r="S53" i="97"/>
  <c r="R53" i="97"/>
  <c r="Q53" i="97"/>
  <c r="P53" i="97"/>
  <c r="O53" i="97"/>
  <c r="N53" i="97"/>
  <c r="M53" i="97"/>
  <c r="T52" i="97"/>
  <c r="S52" i="97"/>
  <c r="R52" i="97"/>
  <c r="Q52" i="97"/>
  <c r="P52" i="97"/>
  <c r="O52" i="97"/>
  <c r="N52" i="97"/>
  <c r="M52" i="97"/>
  <c r="T51" i="97"/>
  <c r="S51" i="97"/>
  <c r="R51" i="97"/>
  <c r="Q51" i="97"/>
  <c r="P51" i="97"/>
  <c r="O51" i="97"/>
  <c r="N51" i="97"/>
  <c r="M51" i="97"/>
  <c r="T50" i="97"/>
  <c r="S50" i="97"/>
  <c r="R50" i="97"/>
  <c r="Q50" i="97"/>
  <c r="P50" i="97"/>
  <c r="O50" i="97"/>
  <c r="N50" i="97"/>
  <c r="M50" i="97"/>
  <c r="T49" i="97"/>
  <c r="S49" i="97"/>
  <c r="R49" i="97"/>
  <c r="Q49" i="97"/>
  <c r="P49" i="97"/>
  <c r="O49" i="97"/>
  <c r="N49" i="97"/>
  <c r="M49" i="97"/>
  <c r="T48" i="97"/>
  <c r="S48" i="97"/>
  <c r="R48" i="97"/>
  <c r="Q48" i="97"/>
  <c r="P48" i="97"/>
  <c r="O48" i="97"/>
  <c r="N48" i="97"/>
  <c r="M48" i="97"/>
  <c r="T47" i="97"/>
  <c r="S47" i="97"/>
  <c r="R47" i="97"/>
  <c r="Q47" i="97"/>
  <c r="P47" i="97"/>
  <c r="O47" i="97"/>
  <c r="N47" i="97"/>
  <c r="M47" i="97"/>
  <c r="T44" i="97"/>
  <c r="S44" i="97"/>
  <c r="R44" i="97"/>
  <c r="Q44" i="97"/>
  <c r="P44" i="97"/>
  <c r="O44" i="97"/>
  <c r="N44" i="97"/>
  <c r="M44" i="97"/>
  <c r="T43" i="97"/>
  <c r="S43" i="97"/>
  <c r="R43" i="97"/>
  <c r="Q43" i="97"/>
  <c r="P43" i="97"/>
  <c r="O43" i="97"/>
  <c r="N43" i="97"/>
  <c r="M43" i="97"/>
  <c r="T42" i="97"/>
  <c r="S42" i="97"/>
  <c r="R42" i="97"/>
  <c r="Q42" i="97"/>
  <c r="P42" i="97"/>
  <c r="O42" i="97"/>
  <c r="N42" i="97"/>
  <c r="M42" i="97"/>
  <c r="T39" i="97"/>
  <c r="S39" i="97"/>
  <c r="R39" i="97"/>
  <c r="Q39" i="97"/>
  <c r="P39" i="97"/>
  <c r="O39" i="97"/>
  <c r="N39" i="97"/>
  <c r="M39" i="97"/>
  <c r="T38" i="97"/>
  <c r="S38" i="97"/>
  <c r="R38" i="97"/>
  <c r="Q38" i="97"/>
  <c r="P38" i="97"/>
  <c r="O38" i="97"/>
  <c r="N38" i="97"/>
  <c r="M38" i="97"/>
  <c r="T37" i="97"/>
  <c r="S37" i="97"/>
  <c r="R37" i="97"/>
  <c r="Q37" i="97"/>
  <c r="P37" i="97"/>
  <c r="O37" i="97"/>
  <c r="N37" i="97"/>
  <c r="M37" i="97"/>
  <c r="T36" i="97"/>
  <c r="S36" i="97"/>
  <c r="R36" i="97"/>
  <c r="Q36" i="97"/>
  <c r="P36" i="97"/>
  <c r="O36" i="97"/>
  <c r="N36" i="97"/>
  <c r="M36" i="97"/>
  <c r="T35" i="97"/>
  <c r="S35" i="97"/>
  <c r="R35" i="97"/>
  <c r="Q35" i="97"/>
  <c r="P35" i="97"/>
  <c r="O35" i="97"/>
  <c r="N35" i="97"/>
  <c r="M35" i="97"/>
  <c r="T34" i="97"/>
  <c r="S34" i="97"/>
  <c r="R34" i="97"/>
  <c r="Q34" i="97"/>
  <c r="P34" i="97"/>
  <c r="O34" i="97"/>
  <c r="N34" i="97"/>
  <c r="M34" i="97"/>
  <c r="T33" i="97"/>
  <c r="S33" i="97"/>
  <c r="R33" i="97"/>
  <c r="Q33" i="97"/>
  <c r="P33" i="97"/>
  <c r="O33" i="97"/>
  <c r="N33" i="97"/>
  <c r="M33" i="97"/>
  <c r="T32" i="97"/>
  <c r="S32" i="97"/>
  <c r="R32" i="97"/>
  <c r="Q32" i="97"/>
  <c r="P32" i="97"/>
  <c r="O32" i="97"/>
  <c r="N32" i="97"/>
  <c r="M32" i="97"/>
  <c r="T29" i="97"/>
  <c r="S29" i="97"/>
  <c r="R29" i="97"/>
  <c r="Q29" i="97"/>
  <c r="P29" i="97"/>
  <c r="O29" i="97"/>
  <c r="N29" i="97"/>
  <c r="M29" i="97"/>
  <c r="T26" i="97"/>
  <c r="S26" i="97"/>
  <c r="R26" i="97"/>
  <c r="Q26" i="97"/>
  <c r="P26" i="97"/>
  <c r="O26" i="97"/>
  <c r="N26" i="97"/>
  <c r="M26" i="97"/>
  <c r="T25" i="97"/>
  <c r="S25" i="97"/>
  <c r="R25" i="97"/>
  <c r="Q25" i="97"/>
  <c r="P25" i="97"/>
  <c r="O25" i="97"/>
  <c r="N25" i="97"/>
  <c r="M25" i="97"/>
  <c r="T22" i="97"/>
  <c r="S22" i="97"/>
  <c r="R22" i="97"/>
  <c r="Q22" i="97"/>
  <c r="P22" i="97"/>
  <c r="O22" i="97"/>
  <c r="N22" i="97"/>
  <c r="M22" i="97"/>
  <c r="T21" i="97"/>
  <c r="S21" i="97"/>
  <c r="R21" i="97"/>
  <c r="Q21" i="97"/>
  <c r="P21" i="97"/>
  <c r="O21" i="97"/>
  <c r="N21" i="97"/>
  <c r="M21" i="97"/>
  <c r="T20" i="97"/>
  <c r="S20" i="97"/>
  <c r="R20" i="97"/>
  <c r="Q20" i="97"/>
  <c r="P20" i="97"/>
  <c r="O20" i="97"/>
  <c r="N20" i="97"/>
  <c r="M20" i="97"/>
  <c r="T19" i="97"/>
  <c r="S19" i="97"/>
  <c r="R19" i="97"/>
  <c r="Q19" i="97"/>
  <c r="P19" i="97"/>
  <c r="O19" i="97"/>
  <c r="N19" i="97"/>
  <c r="M19" i="97"/>
  <c r="T18" i="97"/>
  <c r="S18" i="97"/>
  <c r="R18" i="97"/>
  <c r="Q18" i="97"/>
  <c r="P18" i="97"/>
  <c r="O18" i="97"/>
  <c r="N18" i="97"/>
  <c r="M18" i="97"/>
  <c r="T15" i="97"/>
  <c r="S15" i="97"/>
  <c r="R15" i="97"/>
  <c r="Q15" i="97"/>
  <c r="P15" i="97"/>
  <c r="O15" i="97"/>
  <c r="N15" i="97"/>
  <c r="M15" i="97"/>
  <c r="T12" i="97"/>
  <c r="S12" i="97"/>
  <c r="R12" i="97"/>
  <c r="Q12" i="97"/>
  <c r="P12" i="97"/>
  <c r="O12" i="97"/>
  <c r="N12" i="97"/>
  <c r="M12" i="97"/>
  <c r="T11" i="97"/>
  <c r="S11" i="97"/>
  <c r="R11" i="97"/>
  <c r="Q11" i="97"/>
  <c r="P11" i="97"/>
  <c r="O11" i="97"/>
  <c r="N11" i="97"/>
  <c r="M11" i="97"/>
  <c r="T10" i="97"/>
  <c r="S10" i="97"/>
  <c r="R10" i="97"/>
  <c r="Q10" i="97"/>
  <c r="P10" i="97"/>
  <c r="O10" i="97"/>
  <c r="N10" i="97"/>
  <c r="M10" i="97"/>
  <c r="T7" i="97"/>
  <c r="S7" i="97"/>
  <c r="R7" i="97"/>
  <c r="Q7" i="97"/>
  <c r="P7" i="97"/>
  <c r="O7" i="97"/>
  <c r="N7" i="97"/>
  <c r="M7" i="97"/>
  <c r="T6" i="97"/>
  <c r="S6" i="97"/>
  <c r="R6" i="97"/>
  <c r="Q6" i="97"/>
  <c r="P6" i="97"/>
  <c r="O6" i="97"/>
  <c r="N6" i="97"/>
  <c r="M6" i="97"/>
  <c r="T5" i="97"/>
  <c r="S5" i="97"/>
  <c r="R5" i="97"/>
  <c r="Q5" i="97"/>
  <c r="P5" i="97"/>
  <c r="O5" i="97"/>
  <c r="N5" i="97"/>
  <c r="M5" i="97"/>
  <c r="X125" i="123"/>
  <c r="W125" i="123"/>
  <c r="V125" i="123"/>
  <c r="U125" i="123"/>
  <c r="T125" i="123"/>
  <c r="S125" i="123"/>
  <c r="R125" i="123"/>
  <c r="Q125" i="123"/>
  <c r="X124" i="123"/>
  <c r="W124" i="123"/>
  <c r="V124" i="123"/>
  <c r="U124" i="123"/>
  <c r="T124" i="123"/>
  <c r="S124" i="123"/>
  <c r="R124" i="123"/>
  <c r="Q124" i="123"/>
  <c r="X123" i="123"/>
  <c r="W123" i="123"/>
  <c r="V123" i="123"/>
  <c r="U123" i="123"/>
  <c r="T123" i="123"/>
  <c r="S123" i="123"/>
  <c r="R123" i="123"/>
  <c r="Q123" i="123"/>
  <c r="X122" i="123"/>
  <c r="W122" i="123"/>
  <c r="V122" i="123"/>
  <c r="U122" i="123"/>
  <c r="T122" i="123"/>
  <c r="S122" i="123"/>
  <c r="R122" i="123"/>
  <c r="Q122" i="123"/>
  <c r="X121" i="123"/>
  <c r="W121" i="123"/>
  <c r="V121" i="123"/>
  <c r="U121" i="123"/>
  <c r="T121" i="123"/>
  <c r="S121" i="123"/>
  <c r="R121" i="123"/>
  <c r="Q121" i="123"/>
  <c r="X120" i="123"/>
  <c r="W120" i="123"/>
  <c r="V120" i="123"/>
  <c r="U120" i="123"/>
  <c r="T120" i="123"/>
  <c r="S120" i="123"/>
  <c r="R120" i="123"/>
  <c r="Q120" i="123"/>
  <c r="X119" i="123"/>
  <c r="W119" i="123"/>
  <c r="V119" i="123"/>
  <c r="U119" i="123"/>
  <c r="T119" i="123"/>
  <c r="S119" i="123"/>
  <c r="R119" i="123"/>
  <c r="Q119" i="123"/>
  <c r="X118" i="123"/>
  <c r="W118" i="123"/>
  <c r="V118" i="123"/>
  <c r="U118" i="123"/>
  <c r="T118" i="123"/>
  <c r="S118" i="123"/>
  <c r="R118" i="123"/>
  <c r="Q118" i="123"/>
  <c r="X117" i="123"/>
  <c r="W117" i="123"/>
  <c r="V117" i="123"/>
  <c r="U117" i="123"/>
  <c r="T117" i="123"/>
  <c r="S117" i="123"/>
  <c r="R117" i="123"/>
  <c r="Q117" i="123"/>
  <c r="X116" i="123"/>
  <c r="W116" i="123"/>
  <c r="V116" i="123"/>
  <c r="U116" i="123"/>
  <c r="T116" i="123"/>
  <c r="S116" i="123"/>
  <c r="R116" i="123"/>
  <c r="Q116" i="123"/>
  <c r="X115" i="123"/>
  <c r="W115" i="123"/>
  <c r="V115" i="123"/>
  <c r="U115" i="123"/>
  <c r="T115" i="123"/>
  <c r="S115" i="123"/>
  <c r="R115" i="123"/>
  <c r="Q115" i="123"/>
  <c r="X111" i="123"/>
  <c r="W111" i="123"/>
  <c r="V111" i="123"/>
  <c r="U111" i="123"/>
  <c r="T111" i="123"/>
  <c r="S111" i="123"/>
  <c r="R111" i="123"/>
  <c r="Q111" i="123"/>
  <c r="X110" i="123"/>
  <c r="W110" i="123"/>
  <c r="V110" i="123"/>
  <c r="U110" i="123"/>
  <c r="T110" i="123"/>
  <c r="S110" i="123"/>
  <c r="R110" i="123"/>
  <c r="Q110" i="123"/>
  <c r="X109" i="123"/>
  <c r="W109" i="123"/>
  <c r="V109" i="123"/>
  <c r="U109" i="123"/>
  <c r="T109" i="123"/>
  <c r="S109" i="123"/>
  <c r="R109" i="123"/>
  <c r="Q109" i="123"/>
  <c r="X108" i="123"/>
  <c r="W108" i="123"/>
  <c r="V108" i="123"/>
  <c r="U108" i="123"/>
  <c r="T108" i="123"/>
  <c r="S108" i="123"/>
  <c r="R108" i="123"/>
  <c r="Q108" i="123"/>
  <c r="X107" i="123"/>
  <c r="W107" i="123"/>
  <c r="V107" i="123"/>
  <c r="U107" i="123"/>
  <c r="T107" i="123"/>
  <c r="S107" i="123"/>
  <c r="R107" i="123"/>
  <c r="Q107" i="123"/>
  <c r="X106" i="123"/>
  <c r="W106" i="123"/>
  <c r="V106" i="123"/>
  <c r="U106" i="123"/>
  <c r="T106" i="123"/>
  <c r="S106" i="123"/>
  <c r="R106" i="123"/>
  <c r="Q106" i="123"/>
  <c r="X105" i="123"/>
  <c r="W105" i="123"/>
  <c r="V105" i="123"/>
  <c r="U105" i="123"/>
  <c r="T105" i="123"/>
  <c r="S105" i="123"/>
  <c r="R105" i="123"/>
  <c r="Q105" i="123"/>
  <c r="X104" i="123"/>
  <c r="W104" i="123"/>
  <c r="V104" i="123"/>
  <c r="U104" i="123"/>
  <c r="T104" i="123"/>
  <c r="S104" i="123"/>
  <c r="R104" i="123"/>
  <c r="Q104" i="123"/>
  <c r="X103" i="123"/>
  <c r="W103" i="123"/>
  <c r="V103" i="123"/>
  <c r="U103" i="123"/>
  <c r="T103" i="123"/>
  <c r="S103" i="123"/>
  <c r="R103" i="123"/>
  <c r="Q103" i="123"/>
  <c r="X102" i="123"/>
  <c r="W102" i="123"/>
  <c r="V102" i="123"/>
  <c r="U102" i="123"/>
  <c r="T102" i="123"/>
  <c r="S102" i="123"/>
  <c r="R102" i="123"/>
  <c r="Q102" i="123"/>
  <c r="X101" i="123"/>
  <c r="W101" i="123"/>
  <c r="V101" i="123"/>
  <c r="U101" i="123"/>
  <c r="T101" i="123"/>
  <c r="S101" i="123"/>
  <c r="R101" i="123"/>
  <c r="Q101" i="123"/>
  <c r="X97" i="123"/>
  <c r="W97" i="123"/>
  <c r="V97" i="123"/>
  <c r="U97" i="123"/>
  <c r="T97" i="123"/>
  <c r="S97" i="123"/>
  <c r="R97" i="123"/>
  <c r="Q97" i="123"/>
  <c r="X96" i="123"/>
  <c r="W96" i="123"/>
  <c r="V96" i="123"/>
  <c r="U96" i="123"/>
  <c r="T96" i="123"/>
  <c r="S96" i="123"/>
  <c r="R96" i="123"/>
  <c r="Q96" i="123"/>
  <c r="X92" i="123"/>
  <c r="W92" i="123"/>
  <c r="V92" i="123"/>
  <c r="U92" i="123"/>
  <c r="T92" i="123"/>
  <c r="S92" i="123"/>
  <c r="R92" i="123"/>
  <c r="Q92" i="123"/>
  <c r="X91" i="123"/>
  <c r="W91" i="123"/>
  <c r="V91" i="123"/>
  <c r="U91" i="123"/>
  <c r="T91" i="123"/>
  <c r="S91" i="123"/>
  <c r="R91" i="123"/>
  <c r="Q91" i="123"/>
  <c r="X90" i="123"/>
  <c r="W90" i="123"/>
  <c r="V90" i="123"/>
  <c r="U90" i="123"/>
  <c r="T90" i="123"/>
  <c r="S90" i="123"/>
  <c r="R90" i="123"/>
  <c r="Q90" i="123"/>
  <c r="X89" i="123"/>
  <c r="W89" i="123"/>
  <c r="V89" i="123"/>
  <c r="U89" i="123"/>
  <c r="T89" i="123"/>
  <c r="S89" i="123"/>
  <c r="R89" i="123"/>
  <c r="Q89" i="123"/>
  <c r="X88" i="123"/>
  <c r="W88" i="123"/>
  <c r="V88" i="123"/>
  <c r="U88" i="123"/>
  <c r="T88" i="123"/>
  <c r="S88" i="123"/>
  <c r="R88" i="123"/>
  <c r="Q88" i="123"/>
  <c r="X87" i="123"/>
  <c r="W87" i="123"/>
  <c r="V87" i="123"/>
  <c r="U87" i="123"/>
  <c r="T87" i="123"/>
  <c r="S87" i="123"/>
  <c r="R87" i="123"/>
  <c r="Q87" i="123"/>
  <c r="X80" i="123"/>
  <c r="W80" i="123"/>
  <c r="V80" i="123"/>
  <c r="U80" i="123"/>
  <c r="T80" i="123"/>
  <c r="S80" i="123"/>
  <c r="R80" i="123"/>
  <c r="Q80" i="123"/>
  <c r="X68" i="123"/>
  <c r="W68" i="123"/>
  <c r="V68" i="123"/>
  <c r="U68" i="123"/>
  <c r="T68" i="123"/>
  <c r="S68" i="123"/>
  <c r="R68" i="123"/>
  <c r="Q68" i="123"/>
  <c r="X65" i="123"/>
  <c r="W65" i="123"/>
  <c r="V65" i="123"/>
  <c r="U65" i="123"/>
  <c r="T65" i="123"/>
  <c r="S65" i="123"/>
  <c r="R65" i="123"/>
  <c r="Q65" i="123"/>
  <c r="X64" i="123"/>
  <c r="W64" i="123"/>
  <c r="V64" i="123"/>
  <c r="U64" i="123"/>
  <c r="T64" i="123"/>
  <c r="S64" i="123"/>
  <c r="R64" i="123"/>
  <c r="Q64" i="123"/>
  <c r="X63" i="123"/>
  <c r="W63" i="123"/>
  <c r="V63" i="123"/>
  <c r="U63" i="123"/>
  <c r="T63" i="123"/>
  <c r="S63" i="123"/>
  <c r="R63" i="123"/>
  <c r="Q63" i="123"/>
  <c r="X62" i="123"/>
  <c r="W62" i="123"/>
  <c r="V62" i="123"/>
  <c r="U62" i="123"/>
  <c r="T62" i="123"/>
  <c r="S62" i="123"/>
  <c r="R62" i="123"/>
  <c r="Q62" i="123"/>
  <c r="X61" i="123"/>
  <c r="W61" i="123"/>
  <c r="V61" i="123"/>
  <c r="U61" i="123"/>
  <c r="T61" i="123"/>
  <c r="S61" i="123"/>
  <c r="R61" i="123"/>
  <c r="Q61" i="123"/>
  <c r="X60" i="123"/>
  <c r="W60" i="123"/>
  <c r="V60" i="123"/>
  <c r="U60" i="123"/>
  <c r="T60" i="123"/>
  <c r="S60" i="123"/>
  <c r="R60" i="123"/>
  <c r="Q60" i="123"/>
  <c r="X59" i="123"/>
  <c r="W59" i="123"/>
  <c r="V59" i="123"/>
  <c r="U59" i="123"/>
  <c r="T59" i="123"/>
  <c r="S59" i="123"/>
  <c r="R59" i="123"/>
  <c r="Q59" i="123"/>
  <c r="X55" i="123"/>
  <c r="W55" i="123"/>
  <c r="V55" i="123"/>
  <c r="U55" i="123"/>
  <c r="T55" i="123"/>
  <c r="S55" i="123"/>
  <c r="R55" i="123"/>
  <c r="Q55" i="123"/>
  <c r="X54" i="123"/>
  <c r="W54" i="123"/>
  <c r="V54" i="123"/>
  <c r="U54" i="123"/>
  <c r="T54" i="123"/>
  <c r="S54" i="123"/>
  <c r="R54" i="123"/>
  <c r="Q54" i="123"/>
  <c r="X50" i="123"/>
  <c r="W50" i="123"/>
  <c r="V50" i="123"/>
  <c r="U50" i="123"/>
  <c r="T50" i="123"/>
  <c r="S50" i="123"/>
  <c r="R50" i="123"/>
  <c r="Q50" i="123"/>
  <c r="X49" i="123"/>
  <c r="W49" i="123"/>
  <c r="V49" i="123"/>
  <c r="U49" i="123"/>
  <c r="T49" i="123"/>
  <c r="S49" i="123"/>
  <c r="R49" i="123"/>
  <c r="Q49" i="123"/>
  <c r="X48" i="123"/>
  <c r="W48" i="123"/>
  <c r="V48" i="123"/>
  <c r="U48" i="123"/>
  <c r="T48" i="123"/>
  <c r="S48" i="123"/>
  <c r="R48" i="123"/>
  <c r="Q48" i="123"/>
  <c r="X47" i="123"/>
  <c r="W47" i="123"/>
  <c r="V47" i="123"/>
  <c r="U47" i="123"/>
  <c r="T47" i="123"/>
  <c r="S47" i="123"/>
  <c r="R47" i="123"/>
  <c r="Q47" i="123"/>
  <c r="X46" i="123"/>
  <c r="W46" i="123"/>
  <c r="V46" i="123"/>
  <c r="U46" i="123"/>
  <c r="T46" i="123"/>
  <c r="S46" i="123"/>
  <c r="R46" i="123"/>
  <c r="Q46" i="123"/>
  <c r="X45" i="123"/>
  <c r="W45" i="123"/>
  <c r="V45" i="123"/>
  <c r="U45" i="123"/>
  <c r="T45" i="123"/>
  <c r="S45" i="123"/>
  <c r="R45" i="123"/>
  <c r="Q45" i="123"/>
  <c r="X44" i="123"/>
  <c r="W44" i="123"/>
  <c r="V44" i="123"/>
  <c r="U44" i="123"/>
  <c r="T44" i="123"/>
  <c r="S44" i="123"/>
  <c r="R44" i="123"/>
  <c r="Q44" i="123"/>
  <c r="X40" i="123"/>
  <c r="W40" i="123"/>
  <c r="V40" i="123"/>
  <c r="U40" i="123"/>
  <c r="T40" i="123"/>
  <c r="S40" i="123"/>
  <c r="R40" i="123"/>
  <c r="Q40" i="123"/>
  <c r="X39" i="123"/>
  <c r="W39" i="123"/>
  <c r="V39" i="123"/>
  <c r="U39" i="123"/>
  <c r="T39" i="123"/>
  <c r="S39" i="123"/>
  <c r="R39" i="123"/>
  <c r="Q39" i="123"/>
  <c r="X38" i="123"/>
  <c r="W38" i="123"/>
  <c r="V38" i="123"/>
  <c r="U38" i="123"/>
  <c r="T38" i="123"/>
  <c r="S38" i="123"/>
  <c r="R38" i="123"/>
  <c r="Q38" i="123"/>
  <c r="X37" i="123"/>
  <c r="W37" i="123"/>
  <c r="V37" i="123"/>
  <c r="U37" i="123"/>
  <c r="T37" i="123"/>
  <c r="S37" i="123"/>
  <c r="R37" i="123"/>
  <c r="Q37" i="123"/>
  <c r="X36" i="123"/>
  <c r="W36" i="123"/>
  <c r="V36" i="123"/>
  <c r="U36" i="123"/>
  <c r="T36" i="123"/>
  <c r="S36" i="123"/>
  <c r="R36" i="123"/>
  <c r="Q36" i="123"/>
  <c r="X35" i="123"/>
  <c r="W35" i="123"/>
  <c r="V35" i="123"/>
  <c r="U35" i="123"/>
  <c r="T35" i="123"/>
  <c r="S35" i="123"/>
  <c r="R35" i="123"/>
  <c r="Q35" i="123"/>
  <c r="X34" i="123"/>
  <c r="W34" i="123"/>
  <c r="V34" i="123"/>
  <c r="U34" i="123"/>
  <c r="T34" i="123"/>
  <c r="S34" i="123"/>
  <c r="R34" i="123"/>
  <c r="Q34" i="123"/>
  <c r="X30" i="123"/>
  <c r="W30" i="123"/>
  <c r="V30" i="123"/>
  <c r="U30" i="123"/>
  <c r="T30" i="123"/>
  <c r="S30" i="123"/>
  <c r="R30" i="123"/>
  <c r="Q30" i="123"/>
  <c r="X24" i="123"/>
  <c r="W24" i="123"/>
  <c r="V24" i="123"/>
  <c r="U24" i="123"/>
  <c r="T24" i="123"/>
  <c r="S24" i="123"/>
  <c r="R24" i="123"/>
  <c r="Q24" i="123"/>
  <c r="X23" i="123"/>
  <c r="W23" i="123"/>
  <c r="V23" i="123"/>
  <c r="U23" i="123"/>
  <c r="T23" i="123"/>
  <c r="S23" i="123"/>
  <c r="R23" i="123"/>
  <c r="Q23" i="123"/>
  <c r="X22" i="123"/>
  <c r="W22" i="123"/>
  <c r="V22" i="123"/>
  <c r="U22" i="123"/>
  <c r="T22" i="123"/>
  <c r="S22" i="123"/>
  <c r="R22" i="123"/>
  <c r="Q22" i="123"/>
  <c r="X21" i="123"/>
  <c r="W21" i="123"/>
  <c r="V21" i="123"/>
  <c r="U21" i="123"/>
  <c r="T21" i="123"/>
  <c r="S21" i="123"/>
  <c r="R21" i="123"/>
  <c r="Q21" i="123"/>
  <c r="X20" i="123"/>
  <c r="W20" i="123"/>
  <c r="V20" i="123"/>
  <c r="U20" i="123"/>
  <c r="T20" i="123"/>
  <c r="S20" i="123"/>
  <c r="R20" i="123"/>
  <c r="Q20" i="123"/>
  <c r="X19" i="123"/>
  <c r="W19" i="123"/>
  <c r="V19" i="123"/>
  <c r="U19" i="123"/>
  <c r="T19" i="123"/>
  <c r="S19" i="123"/>
  <c r="R19" i="123"/>
  <c r="Q19" i="123"/>
  <c r="X16" i="123"/>
  <c r="W16" i="123"/>
  <c r="V16" i="123"/>
  <c r="U16" i="123"/>
  <c r="T16" i="123"/>
  <c r="S16" i="123"/>
  <c r="R16" i="123"/>
  <c r="Q16" i="123"/>
  <c r="X13" i="123"/>
  <c r="W13" i="123"/>
  <c r="V13" i="123"/>
  <c r="U13" i="123"/>
  <c r="T13" i="123"/>
  <c r="S13" i="123"/>
  <c r="R13" i="123"/>
  <c r="Q13" i="123"/>
  <c r="X12" i="123"/>
  <c r="W12" i="123"/>
  <c r="V12" i="123"/>
  <c r="U12" i="123"/>
  <c r="T12" i="123"/>
  <c r="S12" i="123"/>
  <c r="R12" i="123"/>
  <c r="Q12" i="123"/>
  <c r="X11" i="123"/>
  <c r="W11" i="123"/>
  <c r="V11" i="123"/>
  <c r="U11" i="123"/>
  <c r="T11" i="123"/>
  <c r="S11" i="123"/>
  <c r="R11" i="123"/>
  <c r="Q11" i="123"/>
  <c r="J52" i="116"/>
  <c r="I52" i="116"/>
  <c r="H52" i="116"/>
  <c r="G52" i="116"/>
  <c r="F52" i="116"/>
  <c r="E52" i="116"/>
  <c r="D52" i="116"/>
  <c r="C52" i="116"/>
  <c r="J51" i="116"/>
  <c r="I51" i="116"/>
  <c r="H51" i="116"/>
  <c r="G51" i="116"/>
  <c r="F51" i="116"/>
  <c r="E51" i="116"/>
  <c r="D51" i="116"/>
  <c r="C51" i="116"/>
  <c r="J50" i="116"/>
  <c r="I50" i="116"/>
  <c r="H50" i="116"/>
  <c r="G50" i="116"/>
  <c r="F50" i="116"/>
  <c r="E50" i="116"/>
  <c r="D50" i="116"/>
  <c r="C50" i="116"/>
  <c r="V49" i="116"/>
  <c r="U49" i="116"/>
  <c r="T49" i="116"/>
  <c r="S49" i="116"/>
  <c r="R49" i="116"/>
  <c r="Q49" i="116"/>
  <c r="P49" i="116"/>
  <c r="O49" i="116"/>
  <c r="J49" i="116"/>
  <c r="I49" i="116"/>
  <c r="H49" i="116"/>
  <c r="G49" i="116"/>
  <c r="F49" i="116"/>
  <c r="E49" i="116"/>
  <c r="D49" i="116"/>
  <c r="C49" i="116"/>
  <c r="V48" i="116"/>
  <c r="U48" i="116"/>
  <c r="T48" i="116"/>
  <c r="S48" i="116"/>
  <c r="R48" i="116"/>
  <c r="Q48" i="116"/>
  <c r="P48" i="116"/>
  <c r="O48" i="116"/>
  <c r="J48" i="116"/>
  <c r="I48" i="116"/>
  <c r="H48" i="116"/>
  <c r="G48" i="116"/>
  <c r="F48" i="116"/>
  <c r="E48" i="116"/>
  <c r="D48" i="116"/>
  <c r="C48" i="116"/>
  <c r="V47" i="116"/>
  <c r="U47" i="116"/>
  <c r="T47" i="116"/>
  <c r="S47" i="116"/>
  <c r="R47" i="116"/>
  <c r="Q47" i="116"/>
  <c r="P47" i="116"/>
  <c r="O47" i="116"/>
  <c r="J47" i="116"/>
  <c r="I47" i="116"/>
  <c r="H47" i="116"/>
  <c r="G47" i="116"/>
  <c r="F47" i="116"/>
  <c r="E47" i="116"/>
  <c r="D47" i="116"/>
  <c r="C47" i="116"/>
  <c r="V46" i="116"/>
  <c r="U46" i="116"/>
  <c r="T46" i="116"/>
  <c r="S46" i="116"/>
  <c r="R46" i="116"/>
  <c r="Q46" i="116"/>
  <c r="P46" i="116"/>
  <c r="O46" i="116"/>
  <c r="J46" i="116"/>
  <c r="I46" i="116"/>
  <c r="H46" i="116"/>
  <c r="G46" i="116"/>
  <c r="F46" i="116"/>
  <c r="E46" i="116"/>
  <c r="D46" i="116"/>
  <c r="C46" i="116"/>
  <c r="V45" i="116"/>
  <c r="U45" i="116"/>
  <c r="T45" i="116"/>
  <c r="S45" i="116"/>
  <c r="R45" i="116"/>
  <c r="Q45" i="116"/>
  <c r="P45" i="116"/>
  <c r="O45" i="116"/>
  <c r="J45" i="116"/>
  <c r="I45" i="116"/>
  <c r="H45" i="116"/>
  <c r="G45" i="116"/>
  <c r="F45" i="116"/>
  <c r="E45" i="116"/>
  <c r="D45" i="116"/>
  <c r="C45" i="116"/>
  <c r="V44" i="116"/>
  <c r="U44" i="116"/>
  <c r="T44" i="116"/>
  <c r="S44" i="116"/>
  <c r="R44" i="116"/>
  <c r="Q44" i="116"/>
  <c r="P44" i="116"/>
  <c r="O44" i="116"/>
  <c r="J44" i="116"/>
  <c r="I44" i="116"/>
  <c r="H44" i="116"/>
  <c r="G44" i="116"/>
  <c r="F44" i="116"/>
  <c r="E44" i="116"/>
  <c r="D44" i="116"/>
  <c r="C44" i="116"/>
  <c r="V43" i="116"/>
  <c r="U43" i="116"/>
  <c r="T43" i="116"/>
  <c r="S43" i="116"/>
  <c r="R43" i="116"/>
  <c r="Q43" i="116"/>
  <c r="P43" i="116"/>
  <c r="O43" i="116"/>
  <c r="J43" i="116"/>
  <c r="I43" i="116"/>
  <c r="H43" i="116"/>
  <c r="G43" i="116"/>
  <c r="F43" i="116"/>
  <c r="E43" i="116"/>
  <c r="D43" i="116"/>
  <c r="C43" i="116"/>
  <c r="V42" i="116"/>
  <c r="U42" i="116"/>
  <c r="T42" i="116"/>
  <c r="S42" i="116"/>
  <c r="R42" i="116"/>
  <c r="Q42" i="116"/>
  <c r="P42" i="116"/>
  <c r="O42" i="116"/>
  <c r="J42" i="116"/>
  <c r="I42" i="116"/>
  <c r="H42" i="116"/>
  <c r="G42" i="116"/>
  <c r="F42" i="116"/>
  <c r="E42" i="116"/>
  <c r="D42" i="116"/>
  <c r="C42" i="116"/>
  <c r="V41" i="116"/>
  <c r="U41" i="116"/>
  <c r="T41" i="116"/>
  <c r="S41" i="116"/>
  <c r="R41" i="116"/>
  <c r="Q41" i="116"/>
  <c r="P41" i="116"/>
  <c r="O41" i="116"/>
  <c r="J41" i="116"/>
  <c r="I41" i="116"/>
  <c r="H41" i="116"/>
  <c r="G41" i="116"/>
  <c r="F41" i="116"/>
  <c r="E41" i="116"/>
  <c r="D41" i="116"/>
  <c r="C41" i="116"/>
  <c r="V40" i="116"/>
  <c r="U40" i="116"/>
  <c r="T40" i="116"/>
  <c r="S40" i="116"/>
  <c r="R40" i="116"/>
  <c r="Q40" i="116"/>
  <c r="P40" i="116"/>
  <c r="O40" i="116"/>
  <c r="J40" i="116"/>
  <c r="I40" i="116"/>
  <c r="H40" i="116"/>
  <c r="G40" i="116"/>
  <c r="F40" i="116"/>
  <c r="E40" i="116"/>
  <c r="D40" i="116"/>
  <c r="C40" i="116"/>
  <c r="V39" i="116"/>
  <c r="U39" i="116"/>
  <c r="T39" i="116"/>
  <c r="S39" i="116"/>
  <c r="R39" i="116"/>
  <c r="Q39" i="116"/>
  <c r="P39" i="116"/>
  <c r="O39" i="116"/>
  <c r="J39" i="116"/>
  <c r="I39" i="116"/>
  <c r="H39" i="116"/>
  <c r="G39" i="116"/>
  <c r="F39" i="116"/>
  <c r="E39" i="116"/>
  <c r="D39" i="116"/>
  <c r="C39" i="116"/>
  <c r="V38" i="116"/>
  <c r="U38" i="116"/>
  <c r="T38" i="116"/>
  <c r="S38" i="116"/>
  <c r="R38" i="116"/>
  <c r="Q38" i="116"/>
  <c r="P38" i="116"/>
  <c r="O38" i="116"/>
  <c r="J38" i="116"/>
  <c r="I38" i="116"/>
  <c r="H38" i="116"/>
  <c r="G38" i="116"/>
  <c r="F38" i="116"/>
  <c r="E38" i="116"/>
  <c r="D38" i="116"/>
  <c r="C38" i="116"/>
  <c r="V37" i="116"/>
  <c r="U37" i="116"/>
  <c r="T37" i="116"/>
  <c r="S37" i="116"/>
  <c r="R37" i="116"/>
  <c r="Q37" i="116"/>
  <c r="P37" i="116"/>
  <c r="O37" i="116"/>
  <c r="J37" i="116"/>
  <c r="I37" i="116"/>
  <c r="H37" i="116"/>
  <c r="G37" i="116"/>
  <c r="F37" i="116"/>
  <c r="E37" i="116"/>
  <c r="D37" i="116"/>
  <c r="C37" i="116"/>
  <c r="V36" i="116"/>
  <c r="U36" i="116"/>
  <c r="T36" i="116"/>
  <c r="S36" i="116"/>
  <c r="R36" i="116"/>
  <c r="Q36" i="116"/>
  <c r="P36" i="116"/>
  <c r="O36" i="116"/>
  <c r="J36" i="116"/>
  <c r="I36" i="116"/>
  <c r="H36" i="116"/>
  <c r="G36" i="116"/>
  <c r="F36" i="116"/>
  <c r="E36" i="116"/>
  <c r="D36" i="116"/>
  <c r="C36" i="116"/>
  <c r="V35" i="116"/>
  <c r="U35" i="116"/>
  <c r="T35" i="116"/>
  <c r="S35" i="116"/>
  <c r="R35" i="116"/>
  <c r="Q35" i="116"/>
  <c r="P35" i="116"/>
  <c r="O35" i="116"/>
  <c r="J35" i="116"/>
  <c r="I35" i="116"/>
  <c r="H35" i="116"/>
  <c r="G35" i="116"/>
  <c r="F35" i="116"/>
  <c r="E35" i="116"/>
  <c r="D35" i="116"/>
  <c r="C35" i="116"/>
  <c r="V34" i="116"/>
  <c r="U34" i="116"/>
  <c r="T34" i="116"/>
  <c r="S34" i="116"/>
  <c r="R34" i="116"/>
  <c r="Q34" i="116"/>
  <c r="P34" i="116"/>
  <c r="O34" i="116"/>
  <c r="J34" i="116"/>
  <c r="I34" i="116"/>
  <c r="H34" i="116"/>
  <c r="G34" i="116"/>
  <c r="F34" i="116"/>
  <c r="E34" i="116"/>
  <c r="D34" i="116"/>
  <c r="C34" i="116"/>
  <c r="V33" i="116"/>
  <c r="U33" i="116"/>
  <c r="T33" i="116"/>
  <c r="S33" i="116"/>
  <c r="R33" i="116"/>
  <c r="Q33" i="116"/>
  <c r="P33" i="116"/>
  <c r="O33" i="116"/>
  <c r="J33" i="116"/>
  <c r="I33" i="116"/>
  <c r="H33" i="116"/>
  <c r="G33" i="116"/>
  <c r="F33" i="116"/>
  <c r="E33" i="116"/>
  <c r="D33" i="116"/>
  <c r="C33" i="116"/>
  <c r="V32" i="116"/>
  <c r="U32" i="116"/>
  <c r="T32" i="116"/>
  <c r="S32" i="116"/>
  <c r="R32" i="116"/>
  <c r="Q32" i="116"/>
  <c r="P32" i="116"/>
  <c r="O32" i="116"/>
  <c r="J32" i="116"/>
  <c r="I32" i="116"/>
  <c r="H32" i="116"/>
  <c r="G32" i="116"/>
  <c r="F32" i="116"/>
  <c r="E32" i="116"/>
  <c r="D32" i="116"/>
  <c r="C32" i="116"/>
  <c r="V31" i="116"/>
  <c r="U31" i="116"/>
  <c r="T31" i="116"/>
  <c r="S31" i="116"/>
  <c r="R31" i="116"/>
  <c r="Q31" i="116"/>
  <c r="P31" i="116"/>
  <c r="O31" i="116"/>
  <c r="J31" i="116"/>
  <c r="I31" i="116"/>
  <c r="H31" i="116"/>
  <c r="G31" i="116"/>
  <c r="F31" i="116"/>
  <c r="E31" i="116"/>
  <c r="D31" i="116"/>
  <c r="C31" i="116"/>
  <c r="V30" i="116"/>
  <c r="U30" i="116"/>
  <c r="T30" i="116"/>
  <c r="S30" i="116"/>
  <c r="R30" i="116"/>
  <c r="Q30" i="116"/>
  <c r="P30" i="116"/>
  <c r="O30" i="116"/>
  <c r="J30" i="116"/>
  <c r="I30" i="116"/>
  <c r="H30" i="116"/>
  <c r="G30" i="116"/>
  <c r="F30" i="116"/>
  <c r="E30" i="116"/>
  <c r="D30" i="116"/>
  <c r="C30" i="116"/>
  <c r="V29" i="116"/>
  <c r="U29" i="116"/>
  <c r="T29" i="116"/>
  <c r="S29" i="116"/>
  <c r="R29" i="116"/>
  <c r="Q29" i="116"/>
  <c r="P29" i="116"/>
  <c r="O29" i="116"/>
  <c r="J29" i="116"/>
  <c r="I29" i="116"/>
  <c r="H29" i="116"/>
  <c r="G29" i="116"/>
  <c r="F29" i="116"/>
  <c r="E29" i="116"/>
  <c r="D29" i="116"/>
  <c r="C29" i="116"/>
  <c r="V28" i="116"/>
  <c r="U28" i="116"/>
  <c r="T28" i="116"/>
  <c r="S28" i="116"/>
  <c r="R28" i="116"/>
  <c r="Q28" i="116"/>
  <c r="P28" i="116"/>
  <c r="O28" i="116"/>
  <c r="J28" i="116"/>
  <c r="I28" i="116"/>
  <c r="H28" i="116"/>
  <c r="G28" i="116"/>
  <c r="F28" i="116"/>
  <c r="E28" i="116"/>
  <c r="D28" i="116"/>
  <c r="C28" i="116"/>
  <c r="V27" i="116"/>
  <c r="U27" i="116"/>
  <c r="T27" i="116"/>
  <c r="S27" i="116"/>
  <c r="R27" i="116"/>
  <c r="Q27" i="116"/>
  <c r="P27" i="116"/>
  <c r="O27" i="116"/>
  <c r="J27" i="116"/>
  <c r="I27" i="116"/>
  <c r="H27" i="116"/>
  <c r="G27" i="116"/>
  <c r="F27" i="116"/>
  <c r="E27" i="116"/>
  <c r="D27" i="116"/>
  <c r="C27" i="116"/>
  <c r="J26" i="116"/>
  <c r="I26" i="116"/>
  <c r="H26" i="116"/>
  <c r="G26" i="116"/>
  <c r="F26" i="116"/>
  <c r="E26" i="116"/>
  <c r="D26" i="116"/>
  <c r="C26" i="116"/>
  <c r="J25" i="116"/>
  <c r="I25" i="116"/>
  <c r="H25" i="116"/>
  <c r="G25" i="116"/>
  <c r="F25" i="116"/>
  <c r="E25" i="116"/>
  <c r="D25" i="116"/>
  <c r="C25" i="116"/>
  <c r="J24" i="116"/>
  <c r="I24" i="116"/>
  <c r="H24" i="116"/>
  <c r="G24" i="116"/>
  <c r="F24" i="116"/>
  <c r="E24" i="116"/>
  <c r="D24" i="116"/>
  <c r="C24" i="116"/>
  <c r="V23" i="116"/>
  <c r="U23" i="116"/>
  <c r="T23" i="116"/>
  <c r="S23" i="116"/>
  <c r="R23" i="116"/>
  <c r="Q23" i="116"/>
  <c r="P23" i="116"/>
  <c r="O23" i="116"/>
  <c r="J23" i="116"/>
  <c r="I23" i="116"/>
  <c r="H23" i="116"/>
  <c r="G23" i="116"/>
  <c r="F23" i="116"/>
  <c r="E23" i="116"/>
  <c r="D23" i="116"/>
  <c r="C23" i="116"/>
  <c r="V22" i="116"/>
  <c r="U22" i="116"/>
  <c r="T22" i="116"/>
  <c r="S22" i="116"/>
  <c r="R22" i="116"/>
  <c r="Q22" i="116"/>
  <c r="P22" i="116"/>
  <c r="O22" i="116"/>
  <c r="J22" i="116"/>
  <c r="I22" i="116"/>
  <c r="H22" i="116"/>
  <c r="G22" i="116"/>
  <c r="F22" i="116"/>
  <c r="E22" i="116"/>
  <c r="D22" i="116"/>
  <c r="C22" i="116"/>
  <c r="V21" i="116"/>
  <c r="U21" i="116"/>
  <c r="T21" i="116"/>
  <c r="S21" i="116"/>
  <c r="R21" i="116"/>
  <c r="Q21" i="116"/>
  <c r="P21" i="116"/>
  <c r="O21" i="116"/>
  <c r="J21" i="116"/>
  <c r="I21" i="116"/>
  <c r="H21" i="116"/>
  <c r="G21" i="116"/>
  <c r="F21" i="116"/>
  <c r="E21" i="116"/>
  <c r="D21" i="116"/>
  <c r="C21" i="116"/>
  <c r="V20" i="116"/>
  <c r="U20" i="116"/>
  <c r="T20" i="116"/>
  <c r="S20" i="116"/>
  <c r="R20" i="116"/>
  <c r="Q20" i="116"/>
  <c r="P20" i="116"/>
  <c r="O20" i="116"/>
  <c r="J20" i="116"/>
  <c r="I20" i="116"/>
  <c r="H20" i="116"/>
  <c r="G20" i="116"/>
  <c r="F20" i="116"/>
  <c r="E20" i="116"/>
  <c r="D20" i="116"/>
  <c r="C20" i="116"/>
  <c r="V19" i="116"/>
  <c r="U19" i="116"/>
  <c r="T19" i="116"/>
  <c r="S19" i="116"/>
  <c r="R19" i="116"/>
  <c r="Q19" i="116"/>
  <c r="P19" i="116"/>
  <c r="O19" i="116"/>
  <c r="J19" i="116"/>
  <c r="I19" i="116"/>
  <c r="G19" i="116"/>
  <c r="F19" i="116"/>
  <c r="E19" i="116"/>
  <c r="D19" i="116"/>
  <c r="C19" i="116"/>
  <c r="AG18" i="116"/>
  <c r="AF18" i="116"/>
  <c r="AE18" i="116"/>
  <c r="AD18" i="116"/>
  <c r="AC18" i="116"/>
  <c r="AB18" i="116"/>
  <c r="AA18" i="116"/>
  <c r="Z18" i="116"/>
  <c r="V18" i="116"/>
  <c r="U18" i="116"/>
  <c r="T18" i="116"/>
  <c r="S18" i="116"/>
  <c r="R18" i="116"/>
  <c r="Q18" i="116"/>
  <c r="P18" i="116"/>
  <c r="O18" i="116"/>
  <c r="J18" i="116"/>
  <c r="I18" i="116"/>
  <c r="H18" i="116"/>
  <c r="G18" i="116"/>
  <c r="F18" i="116"/>
  <c r="E18" i="116"/>
  <c r="D18" i="116"/>
  <c r="C18" i="116"/>
  <c r="AG17" i="116"/>
  <c r="AF17" i="116"/>
  <c r="AE17" i="116"/>
  <c r="AD17" i="116"/>
  <c r="AC17" i="116"/>
  <c r="AB17" i="116"/>
  <c r="AA17" i="116"/>
  <c r="Z17" i="116"/>
  <c r="V17" i="116"/>
  <c r="U17" i="116"/>
  <c r="T17" i="116"/>
  <c r="S17" i="116"/>
  <c r="R17" i="116"/>
  <c r="Q17" i="116"/>
  <c r="P17" i="116"/>
  <c r="O17" i="116"/>
  <c r="J17" i="116"/>
  <c r="I17" i="116"/>
  <c r="H17" i="116"/>
  <c r="G17" i="116"/>
  <c r="F17" i="116"/>
  <c r="E17" i="116"/>
  <c r="D17" i="116"/>
  <c r="C17" i="116"/>
  <c r="AG16" i="116"/>
  <c r="AF16" i="116"/>
  <c r="AE16" i="116"/>
  <c r="AD16" i="116"/>
  <c r="AC16" i="116"/>
  <c r="AB16" i="116"/>
  <c r="AA16" i="116"/>
  <c r="Z16" i="116"/>
  <c r="V16" i="116"/>
  <c r="U16" i="116"/>
  <c r="T16" i="116"/>
  <c r="S16" i="116"/>
  <c r="R16" i="116"/>
  <c r="Q16" i="116"/>
  <c r="P16" i="116"/>
  <c r="O16" i="116"/>
  <c r="J16" i="116"/>
  <c r="I16" i="116"/>
  <c r="H16" i="116"/>
  <c r="G16" i="116"/>
  <c r="F16" i="116"/>
  <c r="E16" i="116"/>
  <c r="D16" i="116"/>
  <c r="C16" i="116"/>
  <c r="AG15" i="116"/>
  <c r="AF15" i="116"/>
  <c r="AE15" i="116"/>
  <c r="AD15" i="116"/>
  <c r="AC15" i="116"/>
  <c r="AB15" i="116"/>
  <c r="AA15" i="116"/>
  <c r="Z15" i="116"/>
  <c r="V15" i="116"/>
  <c r="U15" i="116"/>
  <c r="T15" i="116"/>
  <c r="S15" i="116"/>
  <c r="R15" i="116"/>
  <c r="Q15" i="116"/>
  <c r="P15" i="116"/>
  <c r="O15" i="116"/>
  <c r="J15" i="116"/>
  <c r="I15" i="116"/>
  <c r="H15" i="116"/>
  <c r="G15" i="116"/>
  <c r="F15" i="116"/>
  <c r="E15" i="116"/>
  <c r="D15" i="116"/>
  <c r="C15" i="116"/>
  <c r="V14" i="116"/>
  <c r="U14" i="116"/>
  <c r="T14" i="116"/>
  <c r="S14" i="116"/>
  <c r="R14" i="116"/>
  <c r="Q14" i="116"/>
  <c r="P14" i="116"/>
  <c r="O14" i="116"/>
  <c r="J14" i="116"/>
  <c r="I14" i="116"/>
  <c r="H14" i="116"/>
  <c r="G14" i="116"/>
  <c r="F14" i="116"/>
  <c r="E14" i="116"/>
  <c r="D14" i="116"/>
  <c r="C14" i="116"/>
  <c r="V13" i="116"/>
  <c r="U13" i="116"/>
  <c r="T13" i="116"/>
  <c r="S13" i="116"/>
  <c r="R13" i="116"/>
  <c r="Q13" i="116"/>
  <c r="P13" i="116"/>
  <c r="O13" i="116"/>
  <c r="J13" i="116"/>
  <c r="I13" i="116"/>
  <c r="H13" i="116"/>
  <c r="G13" i="116"/>
  <c r="F13" i="116"/>
  <c r="E13" i="116"/>
  <c r="D13" i="116"/>
  <c r="C13" i="116"/>
  <c r="V12" i="116"/>
  <c r="U12" i="116"/>
  <c r="T12" i="116"/>
  <c r="S12" i="116"/>
  <c r="R12" i="116"/>
  <c r="Q12" i="116"/>
  <c r="P12" i="116"/>
  <c r="O12" i="116"/>
  <c r="J12" i="116"/>
  <c r="I12" i="116"/>
  <c r="H12" i="116"/>
  <c r="G12" i="116"/>
  <c r="F12" i="116"/>
  <c r="E12" i="116"/>
  <c r="D12" i="116"/>
  <c r="C12" i="116"/>
  <c r="V11" i="116"/>
  <c r="U11" i="116"/>
  <c r="T11" i="116"/>
  <c r="S11" i="116"/>
  <c r="R11" i="116"/>
  <c r="Q11" i="116"/>
  <c r="P11" i="116"/>
  <c r="O11" i="116"/>
  <c r="J11" i="116"/>
  <c r="I11" i="116"/>
  <c r="H11" i="116"/>
  <c r="G11" i="116"/>
  <c r="F11" i="116"/>
  <c r="E11" i="116"/>
  <c r="D11" i="116"/>
  <c r="C11" i="116"/>
  <c r="V10" i="116"/>
  <c r="U10" i="116"/>
  <c r="T10" i="116"/>
  <c r="S10" i="116"/>
  <c r="R10" i="116"/>
  <c r="Q10" i="116"/>
  <c r="P10" i="116"/>
  <c r="O10" i="116"/>
  <c r="J10" i="116"/>
  <c r="I10" i="116"/>
  <c r="H10" i="116"/>
  <c r="G10" i="116"/>
  <c r="F10" i="116"/>
  <c r="E10" i="116"/>
  <c r="D10" i="116"/>
  <c r="C10" i="116"/>
  <c r="AG9" i="116"/>
  <c r="AF9" i="116"/>
  <c r="AE9" i="116"/>
  <c r="AD9" i="116"/>
  <c r="AC9" i="116"/>
  <c r="AB9" i="116"/>
  <c r="AA9" i="116"/>
  <c r="Z9" i="116"/>
  <c r="V9" i="116"/>
  <c r="U9" i="116"/>
  <c r="T9" i="116"/>
  <c r="S9" i="116"/>
  <c r="R9" i="116"/>
  <c r="Q9" i="116"/>
  <c r="P9" i="116"/>
  <c r="O9" i="116"/>
  <c r="J9" i="116"/>
  <c r="I9" i="116"/>
  <c r="H9" i="116"/>
  <c r="G9" i="116"/>
  <c r="F9" i="116"/>
  <c r="E9" i="116"/>
  <c r="D9" i="116"/>
  <c r="C9" i="116"/>
  <c r="AG8" i="116"/>
  <c r="AF8" i="116"/>
  <c r="AE8" i="116"/>
  <c r="AD8" i="116"/>
  <c r="AC8" i="116"/>
  <c r="AB8" i="116"/>
  <c r="AA8" i="116"/>
  <c r="Z8" i="116"/>
  <c r="V8" i="116"/>
  <c r="U8" i="116"/>
  <c r="T8" i="116"/>
  <c r="S8" i="116"/>
  <c r="R8" i="116"/>
  <c r="Q8" i="116"/>
  <c r="P8" i="116"/>
  <c r="O8" i="116"/>
  <c r="J8" i="116"/>
  <c r="I8" i="116"/>
  <c r="H8" i="116"/>
  <c r="G8" i="116"/>
  <c r="F8" i="116"/>
  <c r="E8" i="116"/>
  <c r="D8" i="116"/>
  <c r="C8" i="116"/>
  <c r="AG7" i="116"/>
  <c r="AF7" i="116"/>
  <c r="AE7" i="116"/>
  <c r="AD7" i="116"/>
  <c r="AC7" i="116"/>
  <c r="AB7" i="116"/>
  <c r="AA7" i="116"/>
  <c r="Z7" i="116"/>
  <c r="V7" i="116"/>
  <c r="U7" i="116"/>
  <c r="T7" i="116"/>
  <c r="S7" i="116"/>
  <c r="R7" i="116"/>
  <c r="Q7" i="116"/>
  <c r="P7" i="116"/>
  <c r="O7" i="116"/>
  <c r="J7" i="116"/>
  <c r="I7" i="116"/>
  <c r="H7" i="116"/>
  <c r="G7" i="116"/>
  <c r="F7" i="116"/>
  <c r="E7" i="116"/>
  <c r="D7" i="116"/>
  <c r="C7" i="116"/>
  <c r="AG6" i="116"/>
  <c r="AF6" i="116"/>
  <c r="AE6" i="116"/>
  <c r="AD6" i="116"/>
  <c r="AC6" i="116"/>
  <c r="AB6" i="116"/>
  <c r="AA6" i="116"/>
  <c r="Z6" i="116"/>
  <c r="V6" i="116"/>
  <c r="U6" i="116"/>
  <c r="T6" i="116"/>
  <c r="S6" i="116"/>
  <c r="R6" i="116"/>
  <c r="Q6" i="116"/>
  <c r="P6" i="116"/>
  <c r="O6" i="116"/>
  <c r="J6" i="116"/>
  <c r="I6" i="116"/>
  <c r="H6" i="116"/>
  <c r="G6" i="116"/>
  <c r="F6" i="116"/>
  <c r="E6" i="116"/>
  <c r="D6" i="116"/>
  <c r="C6" i="116"/>
  <c r="AG5" i="116"/>
  <c r="AF5" i="116"/>
  <c r="AE5" i="116"/>
  <c r="AD5" i="116"/>
  <c r="AC5" i="116"/>
  <c r="AB5" i="116"/>
  <c r="AA5" i="116"/>
  <c r="Z5" i="116"/>
  <c r="V5" i="116"/>
  <c r="U5" i="116"/>
  <c r="T5" i="116"/>
  <c r="S5" i="116"/>
  <c r="R5" i="116"/>
  <c r="Q5" i="116"/>
  <c r="P5" i="116"/>
  <c r="O5" i="116"/>
  <c r="J5" i="116"/>
  <c r="I5" i="116"/>
  <c r="H5" i="116"/>
  <c r="G5" i="116"/>
  <c r="F5" i="116"/>
  <c r="E5" i="116"/>
  <c r="D5" i="116"/>
  <c r="C5" i="116"/>
  <c r="AG4" i="116"/>
  <c r="AF4" i="116"/>
  <c r="AE4" i="116"/>
  <c r="AD4" i="116"/>
  <c r="AC4" i="116"/>
  <c r="AB4" i="116"/>
  <c r="AA4" i="116"/>
  <c r="Z4" i="116"/>
  <c r="V4" i="116"/>
  <c r="U4" i="116"/>
  <c r="T4" i="116"/>
  <c r="S4" i="116"/>
  <c r="R4" i="116"/>
  <c r="Q4" i="116"/>
  <c r="P4" i="116"/>
  <c r="O4" i="116"/>
  <c r="J4" i="116"/>
  <c r="I4" i="116"/>
  <c r="H4" i="116"/>
  <c r="G4" i="116"/>
  <c r="F4" i="116"/>
  <c r="E4" i="116"/>
  <c r="D4" i="116"/>
  <c r="C4" i="116"/>
  <c r="I33" i="135"/>
  <c r="H33" i="135"/>
  <c r="G33" i="135"/>
  <c r="F33" i="135"/>
  <c r="E33" i="135"/>
  <c r="D33" i="135"/>
  <c r="C33" i="135"/>
  <c r="B33" i="135"/>
  <c r="I32" i="135"/>
  <c r="H32" i="135"/>
  <c r="G32" i="135"/>
  <c r="F32" i="135"/>
  <c r="E32" i="135"/>
  <c r="D32" i="135"/>
  <c r="C32" i="135"/>
  <c r="B32" i="135"/>
  <c r="I31" i="135"/>
  <c r="H31" i="135"/>
  <c r="G31" i="135"/>
  <c r="F31" i="135"/>
  <c r="E31" i="135"/>
  <c r="D31" i="135"/>
  <c r="C31" i="135"/>
  <c r="B31" i="135"/>
  <c r="I30" i="135"/>
  <c r="H30" i="135"/>
  <c r="G30" i="135"/>
  <c r="F30" i="135"/>
  <c r="E30" i="135"/>
  <c r="D30" i="135"/>
  <c r="C30" i="135"/>
  <c r="B30" i="135"/>
  <c r="I29" i="135"/>
  <c r="H29" i="135"/>
  <c r="G29" i="135"/>
  <c r="F29" i="135"/>
  <c r="E29" i="135"/>
  <c r="D29" i="135"/>
  <c r="C29" i="135"/>
  <c r="B29" i="135"/>
  <c r="I28" i="135"/>
  <c r="H28" i="135"/>
  <c r="G28" i="135"/>
  <c r="F28" i="135"/>
  <c r="E28" i="135"/>
  <c r="D28" i="135"/>
  <c r="C28" i="135"/>
  <c r="B28" i="135"/>
  <c r="I27" i="135"/>
  <c r="H27" i="135"/>
  <c r="G27" i="135"/>
  <c r="F27" i="135"/>
  <c r="E27" i="135"/>
  <c r="D27" i="135"/>
  <c r="C27" i="135"/>
  <c r="B27" i="135"/>
  <c r="I26" i="135"/>
  <c r="H26" i="135"/>
  <c r="G26" i="135"/>
  <c r="F26" i="135"/>
  <c r="E26" i="135"/>
  <c r="D26" i="135"/>
  <c r="C26" i="135"/>
  <c r="B26" i="135"/>
  <c r="I25" i="135"/>
  <c r="H25" i="135"/>
  <c r="G25" i="135"/>
  <c r="F25" i="135"/>
  <c r="E25" i="135"/>
  <c r="D25" i="135"/>
  <c r="C25" i="135"/>
  <c r="B25" i="135"/>
  <c r="I24" i="135"/>
  <c r="H24" i="135"/>
  <c r="G24" i="135"/>
  <c r="F24" i="135"/>
  <c r="E24" i="135"/>
  <c r="D24" i="135"/>
  <c r="C24" i="135"/>
  <c r="B24" i="135"/>
  <c r="I23" i="135"/>
  <c r="H23" i="135"/>
  <c r="G23" i="135"/>
  <c r="F23" i="135"/>
  <c r="E23" i="135"/>
  <c r="D23" i="135"/>
  <c r="C23" i="135"/>
  <c r="B23" i="135"/>
  <c r="I22" i="135"/>
  <c r="H22" i="135"/>
  <c r="G22" i="135"/>
  <c r="F22" i="135"/>
  <c r="E22" i="135"/>
  <c r="D22" i="135"/>
  <c r="C22" i="135"/>
  <c r="B22" i="135"/>
  <c r="I21" i="135"/>
  <c r="H21" i="135"/>
  <c r="G21" i="135"/>
  <c r="F21" i="135"/>
  <c r="E21" i="135"/>
  <c r="D21" i="135"/>
  <c r="C21" i="135"/>
  <c r="B21" i="135"/>
  <c r="I20" i="135"/>
  <c r="H20" i="135"/>
  <c r="G20" i="135"/>
  <c r="F20" i="135"/>
  <c r="E20" i="135"/>
  <c r="D20" i="135"/>
  <c r="C20" i="135"/>
  <c r="B20" i="135"/>
  <c r="I19" i="135"/>
  <c r="H19" i="135"/>
  <c r="G19" i="135"/>
  <c r="F19" i="135"/>
  <c r="E19" i="135"/>
  <c r="D19" i="135"/>
  <c r="C19" i="135"/>
  <c r="B19" i="135"/>
  <c r="I18" i="135"/>
  <c r="H18" i="135"/>
  <c r="G18" i="135"/>
  <c r="F18" i="135"/>
  <c r="E18" i="135"/>
  <c r="D18" i="135"/>
  <c r="C18" i="135"/>
  <c r="B18" i="135"/>
  <c r="I17" i="135"/>
  <c r="H17" i="135"/>
  <c r="G17" i="135"/>
  <c r="F17" i="135"/>
  <c r="E17" i="135"/>
  <c r="D17" i="135"/>
  <c r="C17" i="135"/>
  <c r="B17" i="135"/>
  <c r="I16" i="135"/>
  <c r="H16" i="135"/>
  <c r="G16" i="135"/>
  <c r="F16" i="135"/>
  <c r="E16" i="135"/>
  <c r="D16" i="135"/>
  <c r="C16" i="135"/>
  <c r="B16" i="135"/>
  <c r="I15" i="135"/>
  <c r="H15" i="135"/>
  <c r="G15" i="135"/>
  <c r="F15" i="135"/>
  <c r="E15" i="135"/>
  <c r="D15" i="135"/>
  <c r="C15" i="135"/>
  <c r="B15" i="135"/>
  <c r="I14" i="135"/>
  <c r="H14" i="135"/>
  <c r="G14" i="135"/>
  <c r="F14" i="135"/>
  <c r="E14" i="135"/>
  <c r="D14" i="135"/>
  <c r="C14" i="135"/>
  <c r="B14" i="135"/>
  <c r="I13" i="135"/>
  <c r="H13" i="135"/>
  <c r="G13" i="135"/>
  <c r="F13" i="135"/>
  <c r="E13" i="135"/>
  <c r="D13" i="135"/>
  <c r="C13" i="135"/>
  <c r="B13" i="135"/>
  <c r="I12" i="135"/>
  <c r="H12" i="135"/>
  <c r="G12" i="135"/>
  <c r="F12" i="135"/>
  <c r="E12" i="135"/>
  <c r="D12" i="135"/>
  <c r="C12" i="135"/>
  <c r="B12" i="135"/>
  <c r="I11" i="135"/>
  <c r="H11" i="135"/>
  <c r="G11" i="135"/>
  <c r="F11" i="135"/>
  <c r="E11" i="135"/>
  <c r="D11" i="135"/>
  <c r="C11" i="135"/>
  <c r="B11" i="135"/>
  <c r="I10" i="135"/>
  <c r="H10" i="135"/>
  <c r="G10" i="135"/>
  <c r="F10" i="135"/>
  <c r="E10" i="135"/>
  <c r="D10" i="135"/>
  <c r="C10" i="135"/>
  <c r="B10" i="135"/>
  <c r="I9" i="135"/>
  <c r="H9" i="135"/>
  <c r="G9" i="135"/>
  <c r="F9" i="135"/>
  <c r="E9" i="135"/>
  <c r="D9" i="135"/>
  <c r="C9" i="135"/>
  <c r="B9" i="135"/>
  <c r="I8" i="135"/>
  <c r="H8" i="135"/>
  <c r="G8" i="135"/>
  <c r="F8" i="135"/>
  <c r="E8" i="135"/>
  <c r="D8" i="135"/>
  <c r="C8" i="135"/>
  <c r="B8" i="135"/>
  <c r="I7" i="135"/>
  <c r="H7" i="135"/>
  <c r="G7" i="135"/>
  <c r="F7" i="135"/>
  <c r="E7" i="135"/>
  <c r="D7" i="135"/>
  <c r="C7" i="135"/>
  <c r="B7" i="135"/>
  <c r="I6" i="135"/>
  <c r="H6" i="135"/>
  <c r="G6" i="135"/>
  <c r="F6" i="135"/>
  <c r="E6" i="135"/>
  <c r="D6" i="135"/>
  <c r="C6" i="135"/>
  <c r="B6" i="135"/>
  <c r="I5" i="135"/>
  <c r="H5" i="135"/>
  <c r="G5" i="135"/>
  <c r="F5" i="135"/>
  <c r="E5" i="135"/>
  <c r="D5" i="135"/>
  <c r="C5" i="135"/>
  <c r="B5" i="135"/>
  <c r="I4" i="135"/>
  <c r="H4" i="135"/>
  <c r="G4" i="135"/>
  <c r="F4" i="135"/>
  <c r="E4" i="135"/>
  <c r="D4" i="135"/>
  <c r="C4" i="135"/>
  <c r="B4" i="135"/>
  <c r="I3" i="135"/>
  <c r="H3" i="135"/>
  <c r="G3" i="135"/>
  <c r="F3" i="135"/>
  <c r="E3" i="135"/>
  <c r="D3" i="135"/>
  <c r="C3" i="135"/>
  <c r="B3" i="135"/>
  <c r="K17" i="69"/>
  <c r="J17" i="69"/>
  <c r="I17" i="69"/>
  <c r="H17" i="69"/>
  <c r="G17" i="69"/>
  <c r="F17" i="69"/>
  <c r="E17" i="69"/>
  <c r="K16" i="69"/>
  <c r="J16" i="69"/>
  <c r="I16" i="69"/>
  <c r="H16" i="69"/>
  <c r="G16" i="69"/>
  <c r="F16" i="69"/>
  <c r="E16" i="69"/>
  <c r="K12" i="69"/>
  <c r="J12" i="69"/>
  <c r="I12" i="69"/>
  <c r="H12" i="69"/>
  <c r="G12" i="69"/>
  <c r="F12" i="69"/>
  <c r="E12" i="69"/>
  <c r="K11" i="69"/>
  <c r="J11" i="69"/>
  <c r="I11" i="69"/>
  <c r="H11" i="69"/>
  <c r="G11" i="69"/>
  <c r="F11" i="69"/>
  <c r="E11" i="69"/>
  <c r="K9" i="69"/>
  <c r="J9" i="69"/>
  <c r="I9" i="69"/>
  <c r="H9" i="69"/>
  <c r="G9" i="69"/>
  <c r="F9" i="69"/>
  <c r="E9" i="69"/>
  <c r="K8" i="69"/>
  <c r="J8" i="69"/>
  <c r="I8" i="69"/>
  <c r="H8" i="69"/>
  <c r="G8" i="69"/>
  <c r="F8" i="69"/>
  <c r="E8" i="69"/>
  <c r="K7" i="69"/>
  <c r="J7" i="69"/>
  <c r="I7" i="69"/>
  <c r="H7" i="69"/>
  <c r="G7" i="69"/>
  <c r="F7" i="69"/>
  <c r="E7" i="69"/>
  <c r="K6" i="69"/>
  <c r="J6" i="69"/>
  <c r="I6" i="69"/>
  <c r="H6" i="69"/>
  <c r="G6" i="69"/>
  <c r="F6" i="69"/>
  <c r="E6" i="69"/>
  <c r="K5" i="69"/>
  <c r="J5" i="69"/>
  <c r="I5" i="69"/>
  <c r="H5" i="69"/>
  <c r="G5" i="69"/>
  <c r="F5" i="69"/>
  <c r="E5" i="69"/>
  <c r="K4" i="69"/>
  <c r="J4" i="69"/>
  <c r="I4" i="69"/>
  <c r="H4" i="69"/>
  <c r="G4" i="69"/>
  <c r="F4" i="69"/>
  <c r="E4" i="69"/>
  <c r="X12" i="70"/>
  <c r="W12" i="70"/>
  <c r="V12" i="70"/>
  <c r="U12" i="70"/>
  <c r="T12" i="70"/>
  <c r="S12" i="70"/>
  <c r="R12" i="70"/>
  <c r="Q12" i="70"/>
  <c r="X11" i="70"/>
  <c r="W11" i="70"/>
  <c r="V11" i="70"/>
  <c r="U11" i="70"/>
  <c r="T11" i="70"/>
  <c r="S11" i="70"/>
  <c r="R11" i="70"/>
  <c r="Q11" i="70"/>
  <c r="AK9" i="70"/>
  <c r="AJ9" i="70"/>
  <c r="AI9" i="70"/>
  <c r="AH9" i="70"/>
  <c r="AG9" i="70"/>
  <c r="AF9" i="70"/>
  <c r="AE9" i="70"/>
  <c r="AD9" i="70"/>
  <c r="AK8" i="70"/>
  <c r="AJ8" i="70"/>
  <c r="AI8" i="70"/>
  <c r="AH8" i="70"/>
  <c r="AG8" i="70"/>
  <c r="AF8" i="70"/>
  <c r="AE8" i="70"/>
  <c r="AD8" i="70"/>
  <c r="X8" i="70"/>
  <c r="W8" i="70"/>
  <c r="V8" i="70"/>
  <c r="U8" i="70"/>
  <c r="T8" i="70"/>
  <c r="S8" i="70"/>
  <c r="R8" i="70"/>
  <c r="Q8" i="70"/>
  <c r="AX7" i="70"/>
  <c r="AW7" i="70"/>
  <c r="AV7" i="70"/>
  <c r="AU7" i="70"/>
  <c r="AT7" i="70"/>
  <c r="AS7" i="70"/>
  <c r="AR7" i="70"/>
  <c r="AQ7" i="70"/>
  <c r="AK7" i="70"/>
  <c r="AJ7" i="70"/>
  <c r="AI7" i="70"/>
  <c r="AH7" i="70"/>
  <c r="AG7" i="70"/>
  <c r="AF7" i="70"/>
  <c r="AE7" i="70"/>
  <c r="AD7" i="70"/>
  <c r="X7" i="70"/>
  <c r="W7" i="70"/>
  <c r="V7" i="70"/>
  <c r="U7" i="70"/>
  <c r="T7" i="70"/>
  <c r="S7" i="70"/>
  <c r="R7" i="70"/>
  <c r="Q7" i="70"/>
  <c r="BK6" i="70"/>
  <c r="BJ6" i="70"/>
  <c r="BI6" i="70"/>
  <c r="BH6" i="70"/>
  <c r="BG6" i="70"/>
  <c r="BF6" i="70"/>
  <c r="BE6" i="70"/>
  <c r="BD6" i="70"/>
  <c r="AX6" i="70"/>
  <c r="AW6" i="70"/>
  <c r="AV6" i="70"/>
  <c r="AU6" i="70"/>
  <c r="AT6" i="70"/>
  <c r="AS6" i="70"/>
  <c r="AR6" i="70"/>
  <c r="AQ6" i="70"/>
  <c r="AK6" i="70"/>
  <c r="AJ6" i="70"/>
  <c r="AI6" i="70"/>
  <c r="AH6" i="70"/>
  <c r="AG6" i="70"/>
  <c r="AF6" i="70"/>
  <c r="AE6" i="70"/>
  <c r="AD6" i="70"/>
  <c r="X6" i="70"/>
  <c r="W6" i="70"/>
  <c r="V6" i="70"/>
  <c r="U6" i="70"/>
  <c r="T6" i="70"/>
  <c r="S6" i="70"/>
  <c r="R6" i="70"/>
  <c r="Q6" i="70"/>
  <c r="BK5" i="70"/>
  <c r="BJ5" i="70"/>
  <c r="BI5" i="70"/>
  <c r="BH5" i="70"/>
  <c r="BG5" i="70"/>
  <c r="BF5" i="70"/>
  <c r="BE5" i="70"/>
  <c r="BD5" i="70"/>
  <c r="AX5" i="70"/>
  <c r="AW5" i="70"/>
  <c r="AV5" i="70"/>
  <c r="AU5" i="70"/>
  <c r="AT5" i="70"/>
  <c r="AS5" i="70"/>
  <c r="AR5" i="70"/>
  <c r="AQ5" i="70"/>
  <c r="AK5" i="70"/>
  <c r="AJ5" i="70"/>
  <c r="AI5" i="70"/>
  <c r="AH5" i="70"/>
  <c r="AG5" i="70"/>
  <c r="AF5" i="70"/>
  <c r="AE5" i="70"/>
  <c r="AD5" i="70"/>
  <c r="X5" i="70"/>
  <c r="W5" i="70"/>
  <c r="V5" i="70"/>
  <c r="U5" i="70"/>
  <c r="T5" i="70"/>
  <c r="S5" i="70"/>
  <c r="R5" i="70"/>
  <c r="Q5" i="70"/>
  <c r="BK4" i="70"/>
  <c r="BJ4" i="70"/>
  <c r="BI4" i="70"/>
  <c r="BH4" i="70"/>
  <c r="BG4" i="70"/>
  <c r="BF4" i="70"/>
  <c r="BE4" i="70"/>
  <c r="BD4" i="70"/>
  <c r="AX4" i="70"/>
  <c r="AW4" i="70"/>
  <c r="AV4" i="70"/>
  <c r="AU4" i="70"/>
  <c r="AT4" i="70"/>
  <c r="AS4" i="70"/>
  <c r="AR4" i="70"/>
  <c r="AQ4" i="70"/>
  <c r="AK4" i="70"/>
  <c r="AJ4" i="70"/>
  <c r="AI4" i="70"/>
  <c r="AH4" i="70"/>
  <c r="AG4" i="70"/>
  <c r="AF4" i="70"/>
  <c r="AE4" i="70"/>
  <c r="AD4" i="70"/>
  <c r="X4" i="70"/>
  <c r="W4" i="70"/>
  <c r="V4" i="70"/>
  <c r="U4" i="70"/>
  <c r="T4" i="70"/>
  <c r="S4" i="70"/>
  <c r="R4" i="70"/>
  <c r="Q4" i="70"/>
  <c r="Y33" i="125"/>
  <c r="X33" i="125"/>
  <c r="W33" i="125"/>
  <c r="V33" i="125"/>
  <c r="U33" i="125"/>
  <c r="T33" i="125"/>
  <c r="S33" i="125"/>
  <c r="R33" i="125"/>
  <c r="Y32" i="125"/>
  <c r="X32" i="125"/>
  <c r="W32" i="125"/>
  <c r="V32" i="125"/>
  <c r="U32" i="125"/>
  <c r="T32" i="125"/>
  <c r="S32" i="125"/>
  <c r="R32" i="125"/>
  <c r="Y31" i="125"/>
  <c r="X31" i="125"/>
  <c r="W31" i="125"/>
  <c r="V31" i="125"/>
  <c r="U31" i="125"/>
  <c r="T31" i="125"/>
  <c r="S31" i="125"/>
  <c r="R31" i="125"/>
  <c r="Y30" i="125"/>
  <c r="X30" i="125"/>
  <c r="W30" i="125"/>
  <c r="V30" i="125"/>
  <c r="U30" i="125"/>
  <c r="T30" i="125"/>
  <c r="S30" i="125"/>
  <c r="R30" i="125"/>
  <c r="Y29" i="125"/>
  <c r="X29" i="125"/>
  <c r="W29" i="125"/>
  <c r="V29" i="125"/>
  <c r="U29" i="125"/>
  <c r="T29" i="125"/>
  <c r="S29" i="125"/>
  <c r="R29" i="125"/>
  <c r="Y28" i="125"/>
  <c r="X28" i="125"/>
  <c r="W28" i="125"/>
  <c r="V28" i="125"/>
  <c r="U28" i="125"/>
  <c r="T28" i="125"/>
  <c r="S28" i="125"/>
  <c r="R28" i="125"/>
  <c r="Y27" i="125"/>
  <c r="X27" i="125"/>
  <c r="W27" i="125"/>
  <c r="V27" i="125"/>
  <c r="U27" i="125"/>
  <c r="T27" i="125"/>
  <c r="S27" i="125"/>
  <c r="R27" i="125"/>
  <c r="Y26" i="125"/>
  <c r="X26" i="125"/>
  <c r="W26" i="125"/>
  <c r="V26" i="125"/>
  <c r="U26" i="125"/>
  <c r="T26" i="125"/>
  <c r="S26" i="125"/>
  <c r="R26" i="125"/>
  <c r="Y25" i="125"/>
  <c r="X25" i="125"/>
  <c r="W25" i="125"/>
  <c r="V25" i="125"/>
  <c r="U25" i="125"/>
  <c r="T25" i="125"/>
  <c r="S25" i="125"/>
  <c r="R25" i="125"/>
  <c r="Y24" i="125"/>
  <c r="X24" i="125"/>
  <c r="W24" i="125"/>
  <c r="V24" i="125"/>
  <c r="U24" i="125"/>
  <c r="T24" i="125"/>
  <c r="S24" i="125"/>
  <c r="R24" i="125"/>
  <c r="Y23" i="125"/>
  <c r="X23" i="125"/>
  <c r="W23" i="125"/>
  <c r="V23" i="125"/>
  <c r="U23" i="125"/>
  <c r="T23" i="125"/>
  <c r="S23" i="125"/>
  <c r="R23" i="125"/>
  <c r="Y22" i="125"/>
  <c r="X22" i="125"/>
  <c r="W22" i="125"/>
  <c r="V22" i="125"/>
  <c r="U22" i="125"/>
  <c r="T22" i="125"/>
  <c r="S22" i="125"/>
  <c r="R22" i="125"/>
  <c r="Y21" i="125"/>
  <c r="X21" i="125"/>
  <c r="W21" i="125"/>
  <c r="V21" i="125"/>
  <c r="U21" i="125"/>
  <c r="T21" i="125"/>
  <c r="S21" i="125"/>
  <c r="R21" i="125"/>
  <c r="Y20" i="125"/>
  <c r="X20" i="125"/>
  <c r="W20" i="125"/>
  <c r="V20" i="125"/>
  <c r="U20" i="125"/>
  <c r="T20" i="125"/>
  <c r="S20" i="125"/>
  <c r="R20" i="125"/>
  <c r="Y19" i="125"/>
  <c r="X19" i="125"/>
  <c r="W19" i="125"/>
  <c r="V19" i="125"/>
  <c r="U19" i="125"/>
  <c r="T19" i="125"/>
  <c r="S19" i="125"/>
  <c r="R19" i="125"/>
  <c r="Y15" i="125"/>
  <c r="X15" i="125"/>
  <c r="W15" i="125"/>
  <c r="V15" i="125"/>
  <c r="U15" i="125"/>
  <c r="T15" i="125"/>
  <c r="S15" i="125"/>
  <c r="R15" i="125"/>
  <c r="Y14" i="125"/>
  <c r="X14" i="125"/>
  <c r="W14" i="125"/>
  <c r="V14" i="125"/>
  <c r="U14" i="125"/>
  <c r="T14" i="125"/>
  <c r="S14" i="125"/>
  <c r="R14" i="125"/>
  <c r="AZ13" i="125"/>
  <c r="AY13" i="125"/>
  <c r="AX13" i="125"/>
  <c r="AW13" i="125"/>
  <c r="AV13" i="125"/>
  <c r="AU13" i="125"/>
  <c r="AT13" i="125"/>
  <c r="AS13" i="125"/>
  <c r="AL13" i="125"/>
  <c r="AK13" i="125"/>
  <c r="AJ13" i="125"/>
  <c r="AI13" i="125"/>
  <c r="AH13" i="125"/>
  <c r="AG13" i="125"/>
  <c r="AF13" i="125"/>
  <c r="AE13" i="125"/>
  <c r="Y13" i="125"/>
  <c r="X13" i="125"/>
  <c r="W13" i="125"/>
  <c r="V13" i="125"/>
  <c r="U13" i="125"/>
  <c r="T13" i="125"/>
  <c r="S13" i="125"/>
  <c r="R13" i="125"/>
  <c r="AZ12" i="125"/>
  <c r="AY12" i="125"/>
  <c r="AX12" i="125"/>
  <c r="AW12" i="125"/>
  <c r="AV12" i="125"/>
  <c r="AU12" i="125"/>
  <c r="AT12" i="125"/>
  <c r="AS12" i="125"/>
  <c r="AL12" i="125"/>
  <c r="AK12" i="125"/>
  <c r="AJ12" i="125"/>
  <c r="AI12" i="125"/>
  <c r="AH12" i="125"/>
  <c r="AG12" i="125"/>
  <c r="AF12" i="125"/>
  <c r="AE12" i="125"/>
  <c r="Y12" i="125"/>
  <c r="X12" i="125"/>
  <c r="W12" i="125"/>
  <c r="V12" i="125"/>
  <c r="U12" i="125"/>
  <c r="T12" i="125"/>
  <c r="S12" i="125"/>
  <c r="R12" i="125"/>
  <c r="M12" i="125"/>
  <c r="L12" i="125"/>
  <c r="K12" i="125"/>
  <c r="J12" i="125"/>
  <c r="I12" i="125"/>
  <c r="H12" i="125"/>
  <c r="G12" i="125"/>
  <c r="F12" i="125"/>
  <c r="AZ11" i="125"/>
  <c r="AY11" i="125"/>
  <c r="AX11" i="125"/>
  <c r="AW11" i="125"/>
  <c r="AV11" i="125"/>
  <c r="AU11" i="125"/>
  <c r="AT11" i="125"/>
  <c r="AS11" i="125"/>
  <c r="AL11" i="125"/>
  <c r="AK11" i="125"/>
  <c r="AJ11" i="125"/>
  <c r="AI11" i="125"/>
  <c r="AH11" i="125"/>
  <c r="AG11" i="125"/>
  <c r="AF11" i="125"/>
  <c r="AE11" i="125"/>
  <c r="Y11" i="125"/>
  <c r="X11" i="125"/>
  <c r="W11" i="125"/>
  <c r="V11" i="125"/>
  <c r="U11" i="125"/>
  <c r="T11" i="125"/>
  <c r="S11" i="125"/>
  <c r="R11" i="125"/>
  <c r="M11" i="125"/>
  <c r="L11" i="125"/>
  <c r="K11" i="125"/>
  <c r="J11" i="125"/>
  <c r="I11" i="125"/>
  <c r="H11" i="125"/>
  <c r="G11" i="125"/>
  <c r="F11" i="125"/>
  <c r="AZ10" i="125"/>
  <c r="AY10" i="125"/>
  <c r="AX10" i="125"/>
  <c r="AW10" i="125"/>
  <c r="AV10" i="125"/>
  <c r="AU10" i="125"/>
  <c r="AT10" i="125"/>
  <c r="AS10" i="125"/>
  <c r="AL10" i="125"/>
  <c r="AK10" i="125"/>
  <c r="AJ10" i="125"/>
  <c r="AI10" i="125"/>
  <c r="AH10" i="125"/>
  <c r="AG10" i="125"/>
  <c r="AF10" i="125"/>
  <c r="AE10" i="125"/>
  <c r="Y10" i="125"/>
  <c r="X10" i="125"/>
  <c r="W10" i="125"/>
  <c r="V10" i="125"/>
  <c r="U10" i="125"/>
  <c r="T10" i="125"/>
  <c r="S10" i="125"/>
  <c r="R10" i="125"/>
  <c r="M10" i="125"/>
  <c r="L10" i="125"/>
  <c r="K10" i="125"/>
  <c r="J10" i="125"/>
  <c r="I10" i="125"/>
  <c r="H10" i="125"/>
  <c r="G10" i="125"/>
  <c r="F10" i="125"/>
  <c r="AZ9" i="125"/>
  <c r="AY9" i="125"/>
  <c r="AX9" i="125"/>
  <c r="AW9" i="125"/>
  <c r="AV9" i="125"/>
  <c r="AU9" i="125"/>
  <c r="AT9" i="125"/>
  <c r="AS9" i="125"/>
  <c r="AL9" i="125"/>
  <c r="AK9" i="125"/>
  <c r="AJ9" i="125"/>
  <c r="AI9" i="125"/>
  <c r="AH9" i="125"/>
  <c r="AG9" i="125"/>
  <c r="AF9" i="125"/>
  <c r="AE9" i="125"/>
  <c r="Y9" i="125"/>
  <c r="X9" i="125"/>
  <c r="W9" i="125"/>
  <c r="V9" i="125"/>
  <c r="U9" i="125"/>
  <c r="T9" i="125"/>
  <c r="S9" i="125"/>
  <c r="R9" i="125"/>
  <c r="M9" i="125"/>
  <c r="L9" i="125"/>
  <c r="K9" i="125"/>
  <c r="J9" i="125"/>
  <c r="I9" i="125"/>
  <c r="H9" i="125"/>
  <c r="G9" i="125"/>
  <c r="F9" i="125"/>
  <c r="AZ8" i="125"/>
  <c r="AY8" i="125"/>
  <c r="AX8" i="125"/>
  <c r="AW8" i="125"/>
  <c r="AV8" i="125"/>
  <c r="AU8" i="125"/>
  <c r="AT8" i="125"/>
  <c r="AS8" i="125"/>
  <c r="AL8" i="125"/>
  <c r="AK8" i="125"/>
  <c r="AJ8" i="125"/>
  <c r="AI8" i="125"/>
  <c r="AH8" i="125"/>
  <c r="AG8" i="125"/>
  <c r="AF8" i="125"/>
  <c r="AE8" i="125"/>
  <c r="Y8" i="125"/>
  <c r="X8" i="125"/>
  <c r="W8" i="125"/>
  <c r="V8" i="125"/>
  <c r="U8" i="125"/>
  <c r="T8" i="125"/>
  <c r="S8" i="125"/>
  <c r="R8" i="125"/>
  <c r="M8" i="125"/>
  <c r="L8" i="125"/>
  <c r="K8" i="125"/>
  <c r="J8" i="125"/>
  <c r="I8" i="125"/>
  <c r="H8" i="125"/>
  <c r="G8" i="125"/>
  <c r="F8" i="125"/>
  <c r="AZ7" i="125"/>
  <c r="AY7" i="125"/>
  <c r="AX7" i="125"/>
  <c r="AW7" i="125"/>
  <c r="AV7" i="125"/>
  <c r="AU7" i="125"/>
  <c r="AT7" i="125"/>
  <c r="AS7" i="125"/>
  <c r="AL7" i="125"/>
  <c r="AK7" i="125"/>
  <c r="AJ7" i="125"/>
  <c r="AI7" i="125"/>
  <c r="AH7" i="125"/>
  <c r="AG7" i="125"/>
  <c r="AF7" i="125"/>
  <c r="AE7" i="125"/>
  <c r="Y7" i="125"/>
  <c r="X7" i="125"/>
  <c r="W7" i="125"/>
  <c r="V7" i="125"/>
  <c r="U7" i="125"/>
  <c r="T7" i="125"/>
  <c r="S7" i="125"/>
  <c r="R7" i="125"/>
  <c r="M7" i="125"/>
  <c r="L7" i="125"/>
  <c r="K7" i="125"/>
  <c r="J7" i="125"/>
  <c r="I7" i="125"/>
  <c r="H7" i="125"/>
  <c r="G7" i="125"/>
  <c r="F7" i="125"/>
  <c r="AZ6" i="125"/>
  <c r="AY6" i="125"/>
  <c r="AX6" i="125"/>
  <c r="AW6" i="125"/>
  <c r="AV6" i="125"/>
  <c r="AU6" i="125"/>
  <c r="AT6" i="125"/>
  <c r="AS6" i="125"/>
  <c r="AL6" i="125"/>
  <c r="AK6" i="125"/>
  <c r="AJ6" i="125"/>
  <c r="AI6" i="125"/>
  <c r="AH6" i="125"/>
  <c r="AG6" i="125"/>
  <c r="AF6" i="125"/>
  <c r="AE6" i="125"/>
  <c r="Y6" i="125"/>
  <c r="X6" i="125"/>
  <c r="W6" i="125"/>
  <c r="V6" i="125"/>
  <c r="U6" i="125"/>
  <c r="T6" i="125"/>
  <c r="S6" i="125"/>
  <c r="R6" i="125"/>
  <c r="M6" i="125"/>
  <c r="L6" i="125"/>
  <c r="K6" i="125"/>
  <c r="J6" i="125"/>
  <c r="I6" i="125"/>
  <c r="H6" i="125"/>
  <c r="G6" i="125"/>
  <c r="AZ5" i="125"/>
  <c r="AY5" i="125"/>
  <c r="AX5" i="125"/>
  <c r="AW5" i="125"/>
  <c r="AV5" i="125"/>
  <c r="AU5" i="125"/>
  <c r="AT5" i="125"/>
  <c r="AS5" i="125"/>
  <c r="AL5" i="125"/>
  <c r="AK5" i="125"/>
  <c r="AJ5" i="125"/>
  <c r="AI5" i="125"/>
  <c r="AH5" i="125"/>
  <c r="AG5" i="125"/>
  <c r="AF5" i="125"/>
  <c r="AE5" i="125"/>
  <c r="Y5" i="125"/>
  <c r="X5" i="125"/>
  <c r="W5" i="125"/>
  <c r="V5" i="125"/>
  <c r="U5" i="125"/>
  <c r="T5" i="125"/>
  <c r="S5" i="125"/>
  <c r="R5" i="125"/>
  <c r="M5" i="125"/>
  <c r="L5" i="125"/>
  <c r="K5" i="125"/>
  <c r="J5" i="125"/>
  <c r="I5" i="125"/>
  <c r="H5" i="125"/>
  <c r="G5" i="125"/>
  <c r="F5" i="125"/>
  <c r="AZ4" i="125"/>
  <c r="AY4" i="125"/>
  <c r="AX4" i="125"/>
  <c r="AW4" i="125"/>
  <c r="AV4" i="125"/>
  <c r="AU4" i="125"/>
  <c r="AT4" i="125"/>
  <c r="AS4" i="125"/>
  <c r="AL4" i="125"/>
  <c r="AK4" i="125"/>
  <c r="AJ4" i="125"/>
  <c r="AI4" i="125"/>
  <c r="AH4" i="125"/>
  <c r="AG4" i="125"/>
  <c r="AF4" i="125"/>
  <c r="AE4" i="125"/>
  <c r="Y4" i="125"/>
  <c r="X4" i="125"/>
  <c r="W4" i="125"/>
  <c r="V4" i="125"/>
  <c r="U4" i="125"/>
  <c r="T4" i="125"/>
  <c r="S4" i="125"/>
  <c r="R4" i="125"/>
  <c r="M4" i="125"/>
  <c r="L4" i="125"/>
  <c r="K4" i="125"/>
  <c r="J4" i="125"/>
  <c r="I4" i="125"/>
  <c r="H4" i="125"/>
  <c r="G4" i="125"/>
  <c r="F4" i="125"/>
  <c r="T51" i="131"/>
  <c r="S51" i="131"/>
  <c r="R51" i="131"/>
  <c r="Q51" i="131"/>
  <c r="P51" i="131"/>
  <c r="O51" i="131"/>
  <c r="N51" i="131"/>
  <c r="M51" i="131"/>
  <c r="J51" i="131"/>
  <c r="I51" i="131"/>
  <c r="H51" i="131"/>
  <c r="G51" i="131"/>
  <c r="F51" i="131"/>
  <c r="E51" i="131"/>
  <c r="D51" i="131"/>
  <c r="C51" i="131"/>
  <c r="T50" i="131"/>
  <c r="S50" i="131"/>
  <c r="R50" i="131"/>
  <c r="Q50" i="131"/>
  <c r="P50" i="131"/>
  <c r="O50" i="131"/>
  <c r="N50" i="131"/>
  <c r="M50" i="131"/>
  <c r="J50" i="131"/>
  <c r="I50" i="131"/>
  <c r="H50" i="131"/>
  <c r="G50" i="131"/>
  <c r="F50" i="131"/>
  <c r="E50" i="131"/>
  <c r="D50" i="131"/>
  <c r="C50" i="131"/>
  <c r="T49" i="131"/>
  <c r="S49" i="131"/>
  <c r="R49" i="131"/>
  <c r="Q49" i="131"/>
  <c r="P49" i="131"/>
  <c r="O49" i="131"/>
  <c r="N49" i="131"/>
  <c r="M49" i="131"/>
  <c r="J49" i="131"/>
  <c r="I49" i="131"/>
  <c r="H49" i="131"/>
  <c r="G49" i="131"/>
  <c r="F49" i="131"/>
  <c r="E49" i="131"/>
  <c r="D49" i="131"/>
  <c r="C49" i="131"/>
  <c r="T48" i="131"/>
  <c r="S48" i="131"/>
  <c r="R48" i="131"/>
  <c r="Q48" i="131"/>
  <c r="P48" i="131"/>
  <c r="O48" i="131"/>
  <c r="N48" i="131"/>
  <c r="M48" i="131"/>
  <c r="J48" i="131"/>
  <c r="I48" i="131"/>
  <c r="H48" i="131"/>
  <c r="G48" i="131"/>
  <c r="F48" i="131"/>
  <c r="E48" i="131"/>
  <c r="D48" i="131"/>
  <c r="C48" i="131"/>
  <c r="T47" i="131"/>
  <c r="S47" i="131"/>
  <c r="R47" i="131"/>
  <c r="Q47" i="131"/>
  <c r="P47" i="131"/>
  <c r="O47" i="131"/>
  <c r="N47" i="131"/>
  <c r="M47" i="131"/>
  <c r="J47" i="131"/>
  <c r="I47" i="131"/>
  <c r="H47" i="131"/>
  <c r="G47" i="131"/>
  <c r="F47" i="131"/>
  <c r="E47" i="131"/>
  <c r="D47" i="131"/>
  <c r="C47" i="131"/>
  <c r="T46" i="131"/>
  <c r="S46" i="131"/>
  <c r="R46" i="131"/>
  <c r="Q46" i="131"/>
  <c r="P46" i="131"/>
  <c r="O46" i="131"/>
  <c r="N46" i="131"/>
  <c r="M46" i="131"/>
  <c r="J46" i="131"/>
  <c r="I46" i="131"/>
  <c r="H46" i="131"/>
  <c r="G46" i="131"/>
  <c r="F46" i="131"/>
  <c r="E46" i="131"/>
  <c r="D46" i="131"/>
  <c r="C46" i="131"/>
  <c r="T45" i="131"/>
  <c r="S45" i="131"/>
  <c r="R45" i="131"/>
  <c r="Q45" i="131"/>
  <c r="P45" i="131"/>
  <c r="O45" i="131"/>
  <c r="N45" i="131"/>
  <c r="M45" i="131"/>
  <c r="J45" i="131"/>
  <c r="I45" i="131"/>
  <c r="H45" i="131"/>
  <c r="G45" i="131"/>
  <c r="F45" i="131"/>
  <c r="E45" i="131"/>
  <c r="D45" i="131"/>
  <c r="C45" i="131"/>
  <c r="T44" i="131"/>
  <c r="S44" i="131"/>
  <c r="R44" i="131"/>
  <c r="Q44" i="131"/>
  <c r="P44" i="131"/>
  <c r="O44" i="131"/>
  <c r="N44" i="131"/>
  <c r="M44" i="131"/>
  <c r="J44" i="131"/>
  <c r="I44" i="131"/>
  <c r="H44" i="131"/>
  <c r="G44" i="131"/>
  <c r="F44" i="131"/>
  <c r="E44" i="131"/>
  <c r="D44" i="131"/>
  <c r="C44" i="131"/>
  <c r="T43" i="131"/>
  <c r="S43" i="131"/>
  <c r="R43" i="131"/>
  <c r="Q43" i="131"/>
  <c r="P43" i="131"/>
  <c r="O43" i="131"/>
  <c r="N43" i="131"/>
  <c r="M43" i="131"/>
  <c r="J43" i="131"/>
  <c r="I43" i="131"/>
  <c r="H43" i="131"/>
  <c r="G43" i="131"/>
  <c r="F43" i="131"/>
  <c r="E43" i="131"/>
  <c r="D43" i="131"/>
  <c r="C43" i="131"/>
  <c r="T42" i="131"/>
  <c r="S42" i="131"/>
  <c r="R42" i="131"/>
  <c r="Q42" i="131"/>
  <c r="P42" i="131"/>
  <c r="O42" i="131"/>
  <c r="N42" i="131"/>
  <c r="M42" i="131"/>
  <c r="J42" i="131"/>
  <c r="I42" i="131"/>
  <c r="H42" i="131"/>
  <c r="G42" i="131"/>
  <c r="F42" i="131"/>
  <c r="E42" i="131"/>
  <c r="D42" i="131"/>
  <c r="C42" i="131"/>
  <c r="T41" i="131"/>
  <c r="S41" i="131"/>
  <c r="R41" i="131"/>
  <c r="Q41" i="131"/>
  <c r="P41" i="131"/>
  <c r="O41" i="131"/>
  <c r="N41" i="131"/>
  <c r="M41" i="131"/>
  <c r="J41" i="131"/>
  <c r="I41" i="131"/>
  <c r="H41" i="131"/>
  <c r="G41" i="131"/>
  <c r="F41" i="131"/>
  <c r="E41" i="131"/>
  <c r="D41" i="131"/>
  <c r="C41" i="131"/>
  <c r="T40" i="131"/>
  <c r="S40" i="131"/>
  <c r="R40" i="131"/>
  <c r="Q40" i="131"/>
  <c r="P40" i="131"/>
  <c r="O40" i="131"/>
  <c r="N40" i="131"/>
  <c r="M40" i="131"/>
  <c r="J40" i="131"/>
  <c r="I40" i="131"/>
  <c r="H40" i="131"/>
  <c r="G40" i="131"/>
  <c r="F40" i="131"/>
  <c r="E40" i="131"/>
  <c r="D40" i="131"/>
  <c r="C40" i="131"/>
  <c r="T39" i="131"/>
  <c r="S39" i="131"/>
  <c r="R39" i="131"/>
  <c r="Q39" i="131"/>
  <c r="P39" i="131"/>
  <c r="O39" i="131"/>
  <c r="N39" i="131"/>
  <c r="M39" i="131"/>
  <c r="J39" i="131"/>
  <c r="I39" i="131"/>
  <c r="H39" i="131"/>
  <c r="G39" i="131"/>
  <c r="F39" i="131"/>
  <c r="E39" i="131"/>
  <c r="D39" i="131"/>
  <c r="C39" i="131"/>
  <c r="T38" i="131"/>
  <c r="S38" i="131"/>
  <c r="R38" i="131"/>
  <c r="Q38" i="131"/>
  <c r="P38" i="131"/>
  <c r="O38" i="131"/>
  <c r="N38" i="131"/>
  <c r="M38" i="131"/>
  <c r="J38" i="131"/>
  <c r="I38" i="131"/>
  <c r="H38" i="131"/>
  <c r="G38" i="131"/>
  <c r="F38" i="131"/>
  <c r="E38" i="131"/>
  <c r="D38" i="131"/>
  <c r="C38" i="131"/>
  <c r="T37" i="131"/>
  <c r="S37" i="131"/>
  <c r="R37" i="131"/>
  <c r="Q37" i="131"/>
  <c r="P37" i="131"/>
  <c r="O37" i="131"/>
  <c r="N37" i="131"/>
  <c r="M37" i="131"/>
  <c r="J37" i="131"/>
  <c r="I37" i="131"/>
  <c r="H37" i="131"/>
  <c r="G37" i="131"/>
  <c r="F37" i="131"/>
  <c r="E37" i="131"/>
  <c r="D37" i="131"/>
  <c r="C37" i="131"/>
  <c r="T36" i="131"/>
  <c r="S36" i="131"/>
  <c r="R36" i="131"/>
  <c r="Q36" i="131"/>
  <c r="P36" i="131"/>
  <c r="O36" i="131"/>
  <c r="N36" i="131"/>
  <c r="M36" i="131"/>
  <c r="J36" i="131"/>
  <c r="I36" i="131"/>
  <c r="H36" i="131"/>
  <c r="G36" i="131"/>
  <c r="F36" i="131"/>
  <c r="E36" i="131"/>
  <c r="D36" i="131"/>
  <c r="C36" i="131"/>
  <c r="T35" i="131"/>
  <c r="S35" i="131"/>
  <c r="R35" i="131"/>
  <c r="Q35" i="131"/>
  <c r="P35" i="131"/>
  <c r="O35" i="131"/>
  <c r="N35" i="131"/>
  <c r="M35" i="131"/>
  <c r="J35" i="131"/>
  <c r="I35" i="131"/>
  <c r="H35" i="131"/>
  <c r="G35" i="131"/>
  <c r="F35" i="131"/>
  <c r="E35" i="131"/>
  <c r="D35" i="131"/>
  <c r="C35" i="131"/>
  <c r="T34" i="131"/>
  <c r="S34" i="131"/>
  <c r="R34" i="131"/>
  <c r="Q34" i="131"/>
  <c r="P34" i="131"/>
  <c r="O34" i="131"/>
  <c r="N34" i="131"/>
  <c r="M34" i="131"/>
  <c r="J34" i="131"/>
  <c r="I34" i="131"/>
  <c r="H34" i="131"/>
  <c r="G34" i="131"/>
  <c r="F34" i="131"/>
  <c r="E34" i="131"/>
  <c r="D34" i="131"/>
  <c r="C34" i="131"/>
  <c r="T33" i="131"/>
  <c r="S33" i="131"/>
  <c r="R33" i="131"/>
  <c r="Q33" i="131"/>
  <c r="P33" i="131"/>
  <c r="O33" i="131"/>
  <c r="N33" i="131"/>
  <c r="M33" i="131"/>
  <c r="J33" i="131"/>
  <c r="I33" i="131"/>
  <c r="H33" i="131"/>
  <c r="G33" i="131"/>
  <c r="F33" i="131"/>
  <c r="E33" i="131"/>
  <c r="D33" i="131"/>
  <c r="C33" i="131"/>
  <c r="T32" i="131"/>
  <c r="S32" i="131"/>
  <c r="R32" i="131"/>
  <c r="Q32" i="131"/>
  <c r="P32" i="131"/>
  <c r="O32" i="131"/>
  <c r="N32" i="131"/>
  <c r="M32" i="131"/>
  <c r="J32" i="131"/>
  <c r="I32" i="131"/>
  <c r="H32" i="131"/>
  <c r="G32" i="131"/>
  <c r="F32" i="131"/>
  <c r="E32" i="131"/>
  <c r="D32" i="131"/>
  <c r="C32" i="131"/>
  <c r="T31" i="131"/>
  <c r="S31" i="131"/>
  <c r="R31" i="131"/>
  <c r="Q31" i="131"/>
  <c r="P31" i="131"/>
  <c r="O31" i="131"/>
  <c r="N31" i="131"/>
  <c r="M31" i="131"/>
  <c r="J31" i="131"/>
  <c r="I31" i="131"/>
  <c r="H31" i="131"/>
  <c r="G31" i="131"/>
  <c r="F31" i="131"/>
  <c r="E31" i="131"/>
  <c r="D31" i="131"/>
  <c r="C31" i="131"/>
  <c r="T30" i="131"/>
  <c r="S30" i="131"/>
  <c r="R30" i="131"/>
  <c r="Q30" i="131"/>
  <c r="P30" i="131"/>
  <c r="O30" i="131"/>
  <c r="N30" i="131"/>
  <c r="M30" i="131"/>
  <c r="J30" i="131"/>
  <c r="I30" i="131"/>
  <c r="H30" i="131"/>
  <c r="G30" i="131"/>
  <c r="F30" i="131"/>
  <c r="E30" i="131"/>
  <c r="D30" i="131"/>
  <c r="C30" i="131"/>
  <c r="T29" i="131"/>
  <c r="S29" i="131"/>
  <c r="R29" i="131"/>
  <c r="Q29" i="131"/>
  <c r="P29" i="131"/>
  <c r="O29" i="131"/>
  <c r="N29" i="131"/>
  <c r="M29" i="131"/>
  <c r="J29" i="131"/>
  <c r="I29" i="131"/>
  <c r="H29" i="131"/>
  <c r="G29" i="131"/>
  <c r="F29" i="131"/>
  <c r="E29" i="131"/>
  <c r="D29" i="131"/>
  <c r="C29" i="131"/>
  <c r="T28" i="131"/>
  <c r="S28" i="131"/>
  <c r="R28" i="131"/>
  <c r="Q28" i="131"/>
  <c r="P28" i="131"/>
  <c r="O28" i="131"/>
  <c r="N28" i="131"/>
  <c r="M28" i="131"/>
  <c r="J28" i="131"/>
  <c r="I28" i="131"/>
  <c r="H28" i="131"/>
  <c r="G28" i="131"/>
  <c r="F28" i="131"/>
  <c r="E28" i="131"/>
  <c r="D28" i="131"/>
  <c r="C28" i="131"/>
  <c r="T27" i="131"/>
  <c r="S27" i="131"/>
  <c r="R27" i="131"/>
  <c r="Q27" i="131"/>
  <c r="P27" i="131"/>
  <c r="O27" i="131"/>
  <c r="N27" i="131"/>
  <c r="M27" i="131"/>
  <c r="J27" i="131"/>
  <c r="I27" i="131"/>
  <c r="H27" i="131"/>
  <c r="G27" i="131"/>
  <c r="F27" i="131"/>
  <c r="E27" i="131"/>
  <c r="D27" i="131"/>
  <c r="C27" i="131"/>
  <c r="T26" i="131"/>
  <c r="S26" i="131"/>
  <c r="R26" i="131"/>
  <c r="Q26" i="131"/>
  <c r="P26" i="131"/>
  <c r="O26" i="131"/>
  <c r="N26" i="131"/>
  <c r="M26" i="131"/>
  <c r="J26" i="131"/>
  <c r="I26" i="131"/>
  <c r="H26" i="131"/>
  <c r="G26" i="131"/>
  <c r="F26" i="131"/>
  <c r="E26" i="131"/>
  <c r="D26" i="131"/>
  <c r="C26" i="131"/>
  <c r="T25" i="131"/>
  <c r="S25" i="131"/>
  <c r="R25" i="131"/>
  <c r="Q25" i="131"/>
  <c r="P25" i="131"/>
  <c r="O25" i="131"/>
  <c r="N25" i="131"/>
  <c r="M25" i="131"/>
  <c r="J25" i="131"/>
  <c r="I25" i="131"/>
  <c r="H25" i="131"/>
  <c r="G25" i="131"/>
  <c r="F25" i="131"/>
  <c r="E25" i="131"/>
  <c r="D25" i="131"/>
  <c r="C25" i="131"/>
  <c r="T24" i="131"/>
  <c r="S24" i="131"/>
  <c r="R24" i="131"/>
  <c r="Q24" i="131"/>
  <c r="P24" i="131"/>
  <c r="O24" i="131"/>
  <c r="N24" i="131"/>
  <c r="M24" i="131"/>
  <c r="J24" i="131"/>
  <c r="I24" i="131"/>
  <c r="H24" i="131"/>
  <c r="G24" i="131"/>
  <c r="F24" i="131"/>
  <c r="E24" i="131"/>
  <c r="D24" i="131"/>
  <c r="C24" i="131"/>
  <c r="T23" i="131"/>
  <c r="S23" i="131"/>
  <c r="R23" i="131"/>
  <c r="Q23" i="131"/>
  <c r="P23" i="131"/>
  <c r="O23" i="131"/>
  <c r="N23" i="131"/>
  <c r="M23" i="131"/>
  <c r="J23" i="131"/>
  <c r="I23" i="131"/>
  <c r="H23" i="131"/>
  <c r="G23" i="131"/>
  <c r="F23" i="131"/>
  <c r="E23" i="131"/>
  <c r="D23" i="131"/>
  <c r="C23" i="131"/>
  <c r="T22" i="131"/>
  <c r="S22" i="131"/>
  <c r="R22" i="131"/>
  <c r="Q22" i="131"/>
  <c r="P22" i="131"/>
  <c r="O22" i="131"/>
  <c r="N22" i="131"/>
  <c r="M22" i="131"/>
  <c r="J22" i="131"/>
  <c r="I22" i="131"/>
  <c r="H22" i="131"/>
  <c r="G22" i="131"/>
  <c r="F22" i="131"/>
  <c r="E22" i="131"/>
  <c r="D22" i="131"/>
  <c r="C22" i="131"/>
  <c r="T21" i="131"/>
  <c r="S21" i="131"/>
  <c r="R21" i="131"/>
  <c r="Q21" i="131"/>
  <c r="P21" i="131"/>
  <c r="O21" i="131"/>
  <c r="N21" i="131"/>
  <c r="M21" i="131"/>
  <c r="J21" i="131"/>
  <c r="I21" i="131"/>
  <c r="H21" i="131"/>
  <c r="G21" i="131"/>
  <c r="F21" i="131"/>
  <c r="E21" i="131"/>
  <c r="D21" i="131"/>
  <c r="C21" i="131"/>
  <c r="T20" i="131"/>
  <c r="S20" i="131"/>
  <c r="R20" i="131"/>
  <c r="Q20" i="131"/>
  <c r="P20" i="131"/>
  <c r="O20" i="131"/>
  <c r="N20" i="131"/>
  <c r="M20" i="131"/>
  <c r="J20" i="131"/>
  <c r="I20" i="131"/>
  <c r="H20" i="131"/>
  <c r="G20" i="131"/>
  <c r="F20" i="131"/>
  <c r="E20" i="131"/>
  <c r="D20" i="131"/>
  <c r="C20" i="131"/>
  <c r="T19" i="131"/>
  <c r="S19" i="131"/>
  <c r="R19" i="131"/>
  <c r="Q19" i="131"/>
  <c r="P19" i="131"/>
  <c r="O19" i="131"/>
  <c r="N19" i="131"/>
  <c r="M19" i="131"/>
  <c r="J19" i="131"/>
  <c r="I19" i="131"/>
  <c r="H19" i="131"/>
  <c r="G19" i="131"/>
  <c r="F19" i="131"/>
  <c r="E19" i="131"/>
  <c r="D19" i="131"/>
  <c r="C19" i="131"/>
  <c r="T18" i="131"/>
  <c r="S18" i="131"/>
  <c r="R18" i="131"/>
  <c r="Q18" i="131"/>
  <c r="P18" i="131"/>
  <c r="O18" i="131"/>
  <c r="N18" i="131"/>
  <c r="M18" i="131"/>
  <c r="J18" i="131"/>
  <c r="I18" i="131"/>
  <c r="H18" i="131"/>
  <c r="G18" i="131"/>
  <c r="F18" i="131"/>
  <c r="E18" i="131"/>
  <c r="D18" i="131"/>
  <c r="C18" i="131"/>
  <c r="T17" i="131"/>
  <c r="S17" i="131"/>
  <c r="R17" i="131"/>
  <c r="Q17" i="131"/>
  <c r="P17" i="131"/>
  <c r="O17" i="131"/>
  <c r="N17" i="131"/>
  <c r="M17" i="131"/>
  <c r="J17" i="131"/>
  <c r="I17" i="131"/>
  <c r="H17" i="131"/>
  <c r="G17" i="131"/>
  <c r="F17" i="131"/>
  <c r="E17" i="131"/>
  <c r="D17" i="131"/>
  <c r="C17" i="131"/>
  <c r="T16" i="131"/>
  <c r="S16" i="131"/>
  <c r="R16" i="131"/>
  <c r="Q16" i="131"/>
  <c r="P16" i="131"/>
  <c r="O16" i="131"/>
  <c r="N16" i="131"/>
  <c r="M16" i="131"/>
  <c r="J16" i="131"/>
  <c r="I16" i="131"/>
  <c r="H16" i="131"/>
  <c r="G16" i="131"/>
  <c r="F16" i="131"/>
  <c r="E16" i="131"/>
  <c r="D16" i="131"/>
  <c r="C16" i="131"/>
  <c r="T15" i="131"/>
  <c r="S15" i="131"/>
  <c r="R15" i="131"/>
  <c r="Q15" i="131"/>
  <c r="P15" i="131"/>
  <c r="O15" i="131"/>
  <c r="N15" i="131"/>
  <c r="M15" i="131"/>
  <c r="J15" i="131"/>
  <c r="I15" i="131"/>
  <c r="H15" i="131"/>
  <c r="G15" i="131"/>
  <c r="F15" i="131"/>
  <c r="E15" i="131"/>
  <c r="D15" i="131"/>
  <c r="C15" i="131"/>
  <c r="T14" i="131"/>
  <c r="S14" i="131"/>
  <c r="R14" i="131"/>
  <c r="Q14" i="131"/>
  <c r="P14" i="131"/>
  <c r="O14" i="131"/>
  <c r="N14" i="131"/>
  <c r="M14" i="131"/>
  <c r="J14" i="131"/>
  <c r="I14" i="131"/>
  <c r="H14" i="131"/>
  <c r="G14" i="131"/>
  <c r="F14" i="131"/>
  <c r="E14" i="131"/>
  <c r="D14" i="131"/>
  <c r="C14" i="131"/>
  <c r="T13" i="131"/>
  <c r="S13" i="131"/>
  <c r="R13" i="131"/>
  <c r="Q13" i="131"/>
  <c r="P13" i="131"/>
  <c r="O13" i="131"/>
  <c r="N13" i="131"/>
  <c r="M13" i="131"/>
  <c r="J13" i="131"/>
  <c r="I13" i="131"/>
  <c r="H13" i="131"/>
  <c r="G13" i="131"/>
  <c r="F13" i="131"/>
  <c r="E13" i="131"/>
  <c r="D13" i="131"/>
  <c r="C13" i="131"/>
  <c r="T12" i="131"/>
  <c r="S12" i="131"/>
  <c r="R12" i="131"/>
  <c r="Q12" i="131"/>
  <c r="P12" i="131"/>
  <c r="O12" i="131"/>
  <c r="N12" i="131"/>
  <c r="M12" i="131"/>
  <c r="J12" i="131"/>
  <c r="I12" i="131"/>
  <c r="H12" i="131"/>
  <c r="G12" i="131"/>
  <c r="F12" i="131"/>
  <c r="E12" i="131"/>
  <c r="D12" i="131"/>
  <c r="C12" i="131"/>
  <c r="T11" i="131"/>
  <c r="S11" i="131"/>
  <c r="R11" i="131"/>
  <c r="Q11" i="131"/>
  <c r="P11" i="131"/>
  <c r="O11" i="131"/>
  <c r="N11" i="131"/>
  <c r="M11" i="131"/>
  <c r="J11" i="131"/>
  <c r="I11" i="131"/>
  <c r="H11" i="131"/>
  <c r="G11" i="131"/>
  <c r="F11" i="131"/>
  <c r="E11" i="131"/>
  <c r="D11" i="131"/>
  <c r="C11" i="131"/>
  <c r="T10" i="131"/>
  <c r="S10" i="131"/>
  <c r="R10" i="131"/>
  <c r="Q10" i="131"/>
  <c r="P10" i="131"/>
  <c r="O10" i="131"/>
  <c r="N10" i="131"/>
  <c r="M10" i="131"/>
  <c r="J10" i="131"/>
  <c r="I10" i="131"/>
  <c r="H10" i="131"/>
  <c r="G10" i="131"/>
  <c r="F10" i="131"/>
  <c r="E10" i="131"/>
  <c r="D10" i="131"/>
  <c r="C10" i="131"/>
  <c r="T9" i="131"/>
  <c r="S9" i="131"/>
  <c r="R9" i="131"/>
  <c r="Q9" i="131"/>
  <c r="P9" i="131"/>
  <c r="O9" i="131"/>
  <c r="N9" i="131"/>
  <c r="M9" i="131"/>
  <c r="J9" i="131"/>
  <c r="I9" i="131"/>
  <c r="H9" i="131"/>
  <c r="G9" i="131"/>
  <c r="F9" i="131"/>
  <c r="E9" i="131"/>
  <c r="D9" i="131"/>
  <c r="C9" i="131"/>
  <c r="T8" i="131"/>
  <c r="S8" i="131"/>
  <c r="R8" i="131"/>
  <c r="Q8" i="131"/>
  <c r="P8" i="131"/>
  <c r="O8" i="131"/>
  <c r="N8" i="131"/>
  <c r="M8" i="131"/>
  <c r="J8" i="131"/>
  <c r="I8" i="131"/>
  <c r="H8" i="131"/>
  <c r="G8" i="131"/>
  <c r="F8" i="131"/>
  <c r="E8" i="131"/>
  <c r="D8" i="131"/>
  <c r="C8" i="131"/>
  <c r="T7" i="131"/>
  <c r="S7" i="131"/>
  <c r="R7" i="131"/>
  <c r="Q7" i="131"/>
  <c r="P7" i="131"/>
  <c r="O7" i="131"/>
  <c r="N7" i="131"/>
  <c r="M7" i="131"/>
  <c r="J7" i="131"/>
  <c r="I7" i="131"/>
  <c r="H7" i="131"/>
  <c r="G7" i="131"/>
  <c r="F7" i="131"/>
  <c r="E7" i="131"/>
  <c r="D7" i="131"/>
  <c r="C7" i="131"/>
  <c r="T6" i="131"/>
  <c r="S6" i="131"/>
  <c r="R6" i="131"/>
  <c r="Q6" i="131"/>
  <c r="P6" i="131"/>
  <c r="O6" i="131"/>
  <c r="N6" i="131"/>
  <c r="M6" i="131"/>
  <c r="J6" i="131"/>
  <c r="I6" i="131"/>
  <c r="H6" i="131"/>
  <c r="G6" i="131"/>
  <c r="F6" i="131"/>
  <c r="E6" i="131"/>
  <c r="D6" i="131"/>
  <c r="C6" i="131"/>
  <c r="T5" i="131"/>
  <c r="S5" i="131"/>
  <c r="R5" i="131"/>
  <c r="Q5" i="131"/>
  <c r="P5" i="131"/>
  <c r="O5" i="131"/>
  <c r="N5" i="131"/>
  <c r="M5" i="131"/>
  <c r="J5" i="131"/>
  <c r="I5" i="131"/>
  <c r="H5" i="131"/>
  <c r="G5" i="131"/>
  <c r="F5" i="131"/>
  <c r="E5" i="131"/>
  <c r="D5" i="131"/>
  <c r="C5" i="131"/>
  <c r="T4" i="131"/>
  <c r="S4" i="131"/>
  <c r="R4" i="131"/>
  <c r="Q4" i="131"/>
  <c r="P4" i="131"/>
  <c r="O4" i="131"/>
  <c r="N4" i="131"/>
  <c r="M4" i="131"/>
  <c r="J4" i="131"/>
  <c r="I4" i="131"/>
  <c r="H4" i="131"/>
  <c r="G4" i="131"/>
  <c r="F4" i="131"/>
  <c r="E4" i="131"/>
  <c r="D4" i="131"/>
  <c r="C4" i="131"/>
  <c r="AU57" i="85"/>
  <c r="AT57" i="85"/>
  <c r="AS57" i="85"/>
  <c r="AR57" i="85"/>
  <c r="AQ57" i="85"/>
  <c r="AP57" i="85"/>
  <c r="AO57" i="85"/>
  <c r="AN57" i="85"/>
  <c r="AU56" i="85"/>
  <c r="AT56" i="85"/>
  <c r="AS56" i="85"/>
  <c r="AR56" i="85"/>
  <c r="AQ56" i="85"/>
  <c r="AP56" i="85"/>
  <c r="AO56" i="85"/>
  <c r="AN56" i="85"/>
  <c r="AU55" i="85"/>
  <c r="AT55" i="85"/>
  <c r="AS55" i="85"/>
  <c r="AR55" i="85"/>
  <c r="AQ55" i="85"/>
  <c r="AP55" i="85"/>
  <c r="AO55" i="85"/>
  <c r="AN55" i="85"/>
  <c r="AU54" i="85"/>
  <c r="AT54" i="85"/>
  <c r="AS54" i="85"/>
  <c r="AR54" i="85"/>
  <c r="AQ54" i="85"/>
  <c r="AP54" i="85"/>
  <c r="AO54" i="85"/>
  <c r="AN54" i="85"/>
  <c r="AU53" i="85"/>
  <c r="AT53" i="85"/>
  <c r="AS53" i="85"/>
  <c r="AR53" i="85"/>
  <c r="AQ53" i="85"/>
  <c r="AP53" i="85"/>
  <c r="AO53" i="85"/>
  <c r="AN53" i="85"/>
  <c r="AU52" i="85"/>
  <c r="AT52" i="85"/>
  <c r="AS52" i="85"/>
  <c r="AR52" i="85"/>
  <c r="AQ52" i="85"/>
  <c r="AP52" i="85"/>
  <c r="AO52" i="85"/>
  <c r="AN52" i="85"/>
  <c r="AU51" i="85"/>
  <c r="AT51" i="85"/>
  <c r="AS51" i="85"/>
  <c r="AR51" i="85"/>
  <c r="AQ51" i="85"/>
  <c r="AP51" i="85"/>
  <c r="AO51" i="85"/>
  <c r="AN51" i="85"/>
  <c r="AU50" i="85"/>
  <c r="AT50" i="85"/>
  <c r="AS50" i="85"/>
  <c r="AR50" i="85"/>
  <c r="AQ50" i="85"/>
  <c r="AP50" i="85"/>
  <c r="AO50" i="85"/>
  <c r="AN50" i="85"/>
  <c r="AU49" i="85"/>
  <c r="AT49" i="85"/>
  <c r="AS49" i="85"/>
  <c r="AR49" i="85"/>
  <c r="AQ49" i="85"/>
  <c r="AP49" i="85"/>
  <c r="AO49" i="85"/>
  <c r="AN49" i="85"/>
  <c r="AU48" i="85"/>
  <c r="AT48" i="85"/>
  <c r="AS48" i="85"/>
  <c r="AR48" i="85"/>
  <c r="AQ48" i="85"/>
  <c r="AP48" i="85"/>
  <c r="AO48" i="85"/>
  <c r="AN48" i="85"/>
  <c r="AU47" i="85"/>
  <c r="AT47" i="85"/>
  <c r="AS47" i="85"/>
  <c r="AR47" i="85"/>
  <c r="AQ47" i="85"/>
  <c r="AP47" i="85"/>
  <c r="AO47" i="85"/>
  <c r="AN47" i="85"/>
  <c r="AU46" i="85"/>
  <c r="AT46" i="85"/>
  <c r="AS46" i="85"/>
  <c r="AR46" i="85"/>
  <c r="AQ46" i="85"/>
  <c r="AP46" i="85"/>
  <c r="AO46" i="85"/>
  <c r="AN46" i="85"/>
  <c r="AU45" i="85"/>
  <c r="AT45" i="85"/>
  <c r="AS45" i="85"/>
  <c r="AR45" i="85"/>
  <c r="AQ45" i="85"/>
  <c r="AP45" i="85"/>
  <c r="AO45" i="85"/>
  <c r="AN45" i="85"/>
  <c r="AU44" i="85"/>
  <c r="AT44" i="85"/>
  <c r="AS44" i="85"/>
  <c r="AR44" i="85"/>
  <c r="AQ44" i="85"/>
  <c r="AP44" i="85"/>
  <c r="AO44" i="85"/>
  <c r="AN44" i="85"/>
  <c r="AU43" i="85"/>
  <c r="AT43" i="85"/>
  <c r="AS43" i="85"/>
  <c r="AR43" i="85"/>
  <c r="AQ43" i="85"/>
  <c r="AP43" i="85"/>
  <c r="AO43" i="85"/>
  <c r="AN43" i="85"/>
  <c r="AU42" i="85"/>
  <c r="AT42" i="85"/>
  <c r="AS42" i="85"/>
  <c r="AR42" i="85"/>
  <c r="AQ42" i="85"/>
  <c r="AP42" i="85"/>
  <c r="AO42" i="85"/>
  <c r="AN42" i="85"/>
  <c r="AU41" i="85"/>
  <c r="AT41" i="85"/>
  <c r="AS41" i="85"/>
  <c r="AR41" i="85"/>
  <c r="AQ41" i="85"/>
  <c r="AP41" i="85"/>
  <c r="AO41" i="85"/>
  <c r="AN41" i="85"/>
  <c r="AU40" i="85"/>
  <c r="AT40" i="85"/>
  <c r="AS40" i="85"/>
  <c r="AR40" i="85"/>
  <c r="AQ40" i="85"/>
  <c r="AP40" i="85"/>
  <c r="AO40" i="85"/>
  <c r="AN40" i="85"/>
  <c r="AU39" i="85"/>
  <c r="AT39" i="85"/>
  <c r="AS39" i="85"/>
  <c r="AR39" i="85"/>
  <c r="AQ39" i="85"/>
  <c r="AP39" i="85"/>
  <c r="AO39" i="85"/>
  <c r="AN39" i="85"/>
  <c r="AU38" i="85"/>
  <c r="AT38" i="85"/>
  <c r="AS38" i="85"/>
  <c r="AR38" i="85"/>
  <c r="AQ38" i="85"/>
  <c r="AP38" i="85"/>
  <c r="AO38" i="85"/>
  <c r="AN38" i="85"/>
  <c r="AU37" i="85"/>
  <c r="AT37" i="85"/>
  <c r="AS37" i="85"/>
  <c r="AR37" i="85"/>
  <c r="AQ37" i="85"/>
  <c r="AP37" i="85"/>
  <c r="AO37" i="85"/>
  <c r="AN37" i="85"/>
  <c r="AU36" i="85"/>
  <c r="AT36" i="85"/>
  <c r="AS36" i="85"/>
  <c r="AR36" i="85"/>
  <c r="AQ36" i="85"/>
  <c r="AP36" i="85"/>
  <c r="AO36" i="85"/>
  <c r="AN36" i="85"/>
  <c r="AU35" i="85"/>
  <c r="AT35" i="85"/>
  <c r="AS35" i="85"/>
  <c r="AR35" i="85"/>
  <c r="AQ35" i="85"/>
  <c r="AP35" i="85"/>
  <c r="AO35" i="85"/>
  <c r="AN35" i="85"/>
  <c r="AU34" i="85"/>
  <c r="AT34" i="85"/>
  <c r="AS34" i="85"/>
  <c r="AR34" i="85"/>
  <c r="AQ34" i="85"/>
  <c r="AP34" i="85"/>
  <c r="AO34" i="85"/>
  <c r="AN34" i="85"/>
  <c r="AU33" i="85"/>
  <c r="AT33" i="85"/>
  <c r="AS33" i="85"/>
  <c r="AR33" i="85"/>
  <c r="AQ33" i="85"/>
  <c r="AP33" i="85"/>
  <c r="AO33" i="85"/>
  <c r="AN33" i="85"/>
  <c r="AU32" i="85"/>
  <c r="AT32" i="85"/>
  <c r="AS32" i="85"/>
  <c r="AR32" i="85"/>
  <c r="AQ32" i="85"/>
  <c r="AP32" i="85"/>
  <c r="AO32" i="85"/>
  <c r="AN32" i="85"/>
  <c r="AU29" i="85"/>
  <c r="AT29" i="85"/>
  <c r="AS29" i="85"/>
  <c r="AR29" i="85"/>
  <c r="AQ29" i="85"/>
  <c r="AP29" i="85"/>
  <c r="AO29" i="85"/>
  <c r="AN29" i="85"/>
  <c r="X29" i="85"/>
  <c r="W29" i="85"/>
  <c r="V29" i="85"/>
  <c r="U29" i="85"/>
  <c r="T29" i="85"/>
  <c r="S29" i="85"/>
  <c r="R29" i="85"/>
  <c r="Q29" i="85"/>
  <c r="L29" i="85"/>
  <c r="K29" i="85"/>
  <c r="J29" i="85"/>
  <c r="I29" i="85"/>
  <c r="H29" i="85"/>
  <c r="G29" i="85"/>
  <c r="F29" i="85"/>
  <c r="E29" i="85"/>
  <c r="AU28" i="85"/>
  <c r="AT28" i="85"/>
  <c r="AS28" i="85"/>
  <c r="AR28" i="85"/>
  <c r="AQ28" i="85"/>
  <c r="AP28" i="85"/>
  <c r="AO28" i="85"/>
  <c r="AN28" i="85"/>
  <c r="X28" i="85"/>
  <c r="W28" i="85"/>
  <c r="V28" i="85"/>
  <c r="U28" i="85"/>
  <c r="T28" i="85"/>
  <c r="S28" i="85"/>
  <c r="R28" i="85"/>
  <c r="Q28" i="85"/>
  <c r="L28" i="85"/>
  <c r="K28" i="85"/>
  <c r="J28" i="85"/>
  <c r="I28" i="85"/>
  <c r="H28" i="85"/>
  <c r="G28" i="85"/>
  <c r="F28" i="85"/>
  <c r="E28" i="85"/>
  <c r="AU27" i="85"/>
  <c r="AT27" i="85"/>
  <c r="AS27" i="85"/>
  <c r="AR27" i="85"/>
  <c r="AQ27" i="85"/>
  <c r="AP27" i="85"/>
  <c r="AO27" i="85"/>
  <c r="AN27" i="85"/>
  <c r="X27" i="85"/>
  <c r="W27" i="85"/>
  <c r="V27" i="85"/>
  <c r="U27" i="85"/>
  <c r="T27" i="85"/>
  <c r="S27" i="85"/>
  <c r="R27" i="85"/>
  <c r="Q27" i="85"/>
  <c r="L27" i="85"/>
  <c r="K27" i="85"/>
  <c r="J27" i="85"/>
  <c r="I27" i="85"/>
  <c r="H27" i="85"/>
  <c r="G27" i="85"/>
  <c r="F27" i="85"/>
  <c r="E27" i="85"/>
  <c r="AU26" i="85"/>
  <c r="AT26" i="85"/>
  <c r="AS26" i="85"/>
  <c r="AR26" i="85"/>
  <c r="AQ26" i="85"/>
  <c r="AP26" i="85"/>
  <c r="AO26" i="85"/>
  <c r="AN26" i="85"/>
  <c r="AI26" i="85"/>
  <c r="AH26" i="85"/>
  <c r="AG26" i="85"/>
  <c r="AF26" i="85"/>
  <c r="AE26" i="85"/>
  <c r="AD26" i="85"/>
  <c r="AC26" i="85"/>
  <c r="AB26" i="85"/>
  <c r="X26" i="85"/>
  <c r="W26" i="85"/>
  <c r="V26" i="85"/>
  <c r="U26" i="85"/>
  <c r="T26" i="85"/>
  <c r="S26" i="85"/>
  <c r="R26" i="85"/>
  <c r="Q26" i="85"/>
  <c r="L26" i="85"/>
  <c r="K26" i="85"/>
  <c r="J26" i="85"/>
  <c r="I26" i="85"/>
  <c r="H26" i="85"/>
  <c r="G26" i="85"/>
  <c r="F26" i="85"/>
  <c r="E26" i="85"/>
  <c r="AU25" i="85"/>
  <c r="AT25" i="85"/>
  <c r="AS25" i="85"/>
  <c r="AR25" i="85"/>
  <c r="AQ25" i="85"/>
  <c r="AP25" i="85"/>
  <c r="AO25" i="85"/>
  <c r="AN25" i="85"/>
  <c r="AI25" i="85"/>
  <c r="AH25" i="85"/>
  <c r="AG25" i="85"/>
  <c r="AF25" i="85"/>
  <c r="AE25" i="85"/>
  <c r="AD25" i="85"/>
  <c r="AC25" i="85"/>
  <c r="AB25" i="85"/>
  <c r="X25" i="85"/>
  <c r="W25" i="85"/>
  <c r="V25" i="85"/>
  <c r="U25" i="85"/>
  <c r="T25" i="85"/>
  <c r="S25" i="85"/>
  <c r="R25" i="85"/>
  <c r="Q25" i="85"/>
  <c r="L25" i="85"/>
  <c r="K25" i="85"/>
  <c r="J25" i="85"/>
  <c r="I25" i="85"/>
  <c r="H25" i="85"/>
  <c r="G25" i="85"/>
  <c r="F25" i="85"/>
  <c r="E25" i="85"/>
  <c r="AU24" i="85"/>
  <c r="AT24" i="85"/>
  <c r="AS24" i="85"/>
  <c r="AR24" i="85"/>
  <c r="AQ24" i="85"/>
  <c r="AP24" i="85"/>
  <c r="AO24" i="85"/>
  <c r="AN24" i="85"/>
  <c r="AI24" i="85"/>
  <c r="AH24" i="85"/>
  <c r="AG24" i="85"/>
  <c r="AF24" i="85"/>
  <c r="AE24" i="85"/>
  <c r="AD24" i="85"/>
  <c r="AC24" i="85"/>
  <c r="AB24" i="85"/>
  <c r="X24" i="85"/>
  <c r="W24" i="85"/>
  <c r="V24" i="85"/>
  <c r="U24" i="85"/>
  <c r="T24" i="85"/>
  <c r="S24" i="85"/>
  <c r="R24" i="85"/>
  <c r="Q24" i="85"/>
  <c r="L24" i="85"/>
  <c r="K24" i="85"/>
  <c r="J24" i="85"/>
  <c r="I24" i="85"/>
  <c r="H24" i="85"/>
  <c r="G24" i="85"/>
  <c r="F24" i="85"/>
  <c r="E24" i="85"/>
  <c r="AU23" i="85"/>
  <c r="AT23" i="85"/>
  <c r="AS23" i="85"/>
  <c r="AR23" i="85"/>
  <c r="AQ23" i="85"/>
  <c r="AP23" i="85"/>
  <c r="AO23" i="85"/>
  <c r="AN23" i="85"/>
  <c r="AI23" i="85"/>
  <c r="AH23" i="85"/>
  <c r="AG23" i="85"/>
  <c r="AF23" i="85"/>
  <c r="AE23" i="85"/>
  <c r="AD23" i="85"/>
  <c r="AC23" i="85"/>
  <c r="AB23" i="85"/>
  <c r="X23" i="85"/>
  <c r="W23" i="85"/>
  <c r="V23" i="85"/>
  <c r="U23" i="85"/>
  <c r="T23" i="85"/>
  <c r="S23" i="85"/>
  <c r="R23" i="85"/>
  <c r="Q23" i="85"/>
  <c r="L23" i="85"/>
  <c r="K23" i="85"/>
  <c r="J23" i="85"/>
  <c r="I23" i="85"/>
  <c r="H23" i="85"/>
  <c r="G23" i="85"/>
  <c r="F23" i="85"/>
  <c r="E23" i="85"/>
  <c r="AU22" i="85"/>
  <c r="AT22" i="85"/>
  <c r="AS22" i="85"/>
  <c r="AR22" i="85"/>
  <c r="AQ22" i="85"/>
  <c r="AP22" i="85"/>
  <c r="AO22" i="85"/>
  <c r="AN22" i="85"/>
  <c r="AI22" i="85"/>
  <c r="AH22" i="85"/>
  <c r="AG22" i="85"/>
  <c r="AF22" i="85"/>
  <c r="AE22" i="85"/>
  <c r="AD22" i="85"/>
  <c r="AC22" i="85"/>
  <c r="AB22" i="85"/>
  <c r="X22" i="85"/>
  <c r="W22" i="85"/>
  <c r="V22" i="85"/>
  <c r="U22" i="85"/>
  <c r="T22" i="85"/>
  <c r="S22" i="85"/>
  <c r="R22" i="85"/>
  <c r="Q22" i="85"/>
  <c r="L22" i="85"/>
  <c r="K22" i="85"/>
  <c r="J22" i="85"/>
  <c r="I22" i="85"/>
  <c r="H22" i="85"/>
  <c r="G22" i="85"/>
  <c r="F22" i="85"/>
  <c r="E22" i="85"/>
  <c r="AU21" i="85"/>
  <c r="AT21" i="85"/>
  <c r="AS21" i="85"/>
  <c r="AR21" i="85"/>
  <c r="AQ21" i="85"/>
  <c r="AP21" i="85"/>
  <c r="AO21" i="85"/>
  <c r="AN21" i="85"/>
  <c r="AI21" i="85"/>
  <c r="AH21" i="85"/>
  <c r="AG21" i="85"/>
  <c r="AF21" i="85"/>
  <c r="AE21" i="85"/>
  <c r="AD21" i="85"/>
  <c r="AC21" i="85"/>
  <c r="AB21" i="85"/>
  <c r="X21" i="85"/>
  <c r="W21" i="85"/>
  <c r="V21" i="85"/>
  <c r="U21" i="85"/>
  <c r="T21" i="85"/>
  <c r="S21" i="85"/>
  <c r="R21" i="85"/>
  <c r="Q21" i="85"/>
  <c r="L21" i="85"/>
  <c r="K21" i="85"/>
  <c r="J21" i="85"/>
  <c r="I21" i="85"/>
  <c r="H21" i="85"/>
  <c r="G21" i="85"/>
  <c r="F21" i="85"/>
  <c r="E21" i="85"/>
  <c r="AU20" i="85"/>
  <c r="AT20" i="85"/>
  <c r="AS20" i="85"/>
  <c r="AR20" i="85"/>
  <c r="AQ20" i="85"/>
  <c r="AP20" i="85"/>
  <c r="AO20" i="85"/>
  <c r="AN20" i="85"/>
  <c r="AI20" i="85"/>
  <c r="AH20" i="85"/>
  <c r="AG20" i="85"/>
  <c r="AF20" i="85"/>
  <c r="AE20" i="85"/>
  <c r="AD20" i="85"/>
  <c r="AC20" i="85"/>
  <c r="AB20" i="85"/>
  <c r="X20" i="85"/>
  <c r="W20" i="85"/>
  <c r="V20" i="85"/>
  <c r="U20" i="85"/>
  <c r="T20" i="85"/>
  <c r="S20" i="85"/>
  <c r="R20" i="85"/>
  <c r="Q20" i="85"/>
  <c r="L20" i="85"/>
  <c r="K20" i="85"/>
  <c r="J20" i="85"/>
  <c r="I20" i="85"/>
  <c r="H20" i="85"/>
  <c r="G20" i="85"/>
  <c r="F20" i="85"/>
  <c r="E20" i="85"/>
  <c r="AU19" i="85"/>
  <c r="AT19" i="85"/>
  <c r="AS19" i="85"/>
  <c r="AR19" i="85"/>
  <c r="AQ19" i="85"/>
  <c r="AP19" i="85"/>
  <c r="AO19" i="85"/>
  <c r="AN19" i="85"/>
  <c r="AI19" i="85"/>
  <c r="AH19" i="85"/>
  <c r="AG19" i="85"/>
  <c r="AF19" i="85"/>
  <c r="AE19" i="85"/>
  <c r="AD19" i="85"/>
  <c r="AC19" i="85"/>
  <c r="AB19" i="85"/>
  <c r="X19" i="85"/>
  <c r="W19" i="85"/>
  <c r="V19" i="85"/>
  <c r="U19" i="85"/>
  <c r="T19" i="85"/>
  <c r="S19" i="85"/>
  <c r="R19" i="85"/>
  <c r="Q19" i="85"/>
  <c r="L19" i="85"/>
  <c r="K19" i="85"/>
  <c r="J19" i="85"/>
  <c r="I19" i="85"/>
  <c r="H19" i="85"/>
  <c r="G19" i="85"/>
  <c r="F19" i="85"/>
  <c r="E19" i="85"/>
  <c r="AU18" i="85"/>
  <c r="AT18" i="85"/>
  <c r="AS18" i="85"/>
  <c r="AR18" i="85"/>
  <c r="AQ18" i="85"/>
  <c r="AP18" i="85"/>
  <c r="AO18" i="85"/>
  <c r="AN18" i="85"/>
  <c r="AI18" i="85"/>
  <c r="AH18" i="85"/>
  <c r="AG18" i="85"/>
  <c r="AF18" i="85"/>
  <c r="AE18" i="85"/>
  <c r="AD18" i="85"/>
  <c r="AC18" i="85"/>
  <c r="AB18" i="85"/>
  <c r="X18" i="85"/>
  <c r="W18" i="85"/>
  <c r="V18" i="85"/>
  <c r="U18" i="85"/>
  <c r="T18" i="85"/>
  <c r="S18" i="85"/>
  <c r="R18" i="85"/>
  <c r="Q18" i="85"/>
  <c r="L18" i="85"/>
  <c r="K18" i="85"/>
  <c r="J18" i="85"/>
  <c r="I18" i="85"/>
  <c r="H18" i="85"/>
  <c r="G18" i="85"/>
  <c r="F18" i="85"/>
  <c r="E18" i="85"/>
  <c r="AU17" i="85"/>
  <c r="AT17" i="85"/>
  <c r="AS17" i="85"/>
  <c r="AR17" i="85"/>
  <c r="AQ17" i="85"/>
  <c r="AP17" i="85"/>
  <c r="AO17" i="85"/>
  <c r="AN17" i="85"/>
  <c r="AU16" i="85"/>
  <c r="AT16" i="85"/>
  <c r="AS16" i="85"/>
  <c r="AR16" i="85"/>
  <c r="AQ16" i="85"/>
  <c r="AP16" i="85"/>
  <c r="AO16" i="85"/>
  <c r="AN16" i="85"/>
  <c r="AU15" i="85"/>
  <c r="AT15" i="85"/>
  <c r="AS15" i="85"/>
  <c r="AR15" i="85"/>
  <c r="AQ15" i="85"/>
  <c r="AP15" i="85"/>
  <c r="AO15" i="85"/>
  <c r="AN15" i="85"/>
  <c r="X15" i="85"/>
  <c r="W15" i="85"/>
  <c r="V15" i="85"/>
  <c r="U15" i="85"/>
  <c r="T15" i="85"/>
  <c r="S15" i="85"/>
  <c r="R15" i="85"/>
  <c r="Q15" i="85"/>
  <c r="L15" i="85"/>
  <c r="K15" i="85"/>
  <c r="J15" i="85"/>
  <c r="I15" i="85"/>
  <c r="H15" i="85"/>
  <c r="G15" i="85"/>
  <c r="F15" i="85"/>
  <c r="E15" i="85"/>
  <c r="AU14" i="85"/>
  <c r="AT14" i="85"/>
  <c r="AS14" i="85"/>
  <c r="AR14" i="85"/>
  <c r="AQ14" i="85"/>
  <c r="AP14" i="85"/>
  <c r="AO14" i="85"/>
  <c r="AN14" i="85"/>
  <c r="X14" i="85"/>
  <c r="W14" i="85"/>
  <c r="V14" i="85"/>
  <c r="U14" i="85"/>
  <c r="T14" i="85"/>
  <c r="S14" i="85"/>
  <c r="R14" i="85"/>
  <c r="Q14" i="85"/>
  <c r="L14" i="85"/>
  <c r="K14" i="85"/>
  <c r="J14" i="85"/>
  <c r="I14" i="85"/>
  <c r="H14" i="85"/>
  <c r="G14" i="85"/>
  <c r="F14" i="85"/>
  <c r="E14" i="85"/>
  <c r="AU13" i="85"/>
  <c r="AT13" i="85"/>
  <c r="AS13" i="85"/>
  <c r="AR13" i="85"/>
  <c r="AQ13" i="85"/>
  <c r="AP13" i="85"/>
  <c r="AO13" i="85"/>
  <c r="AN13" i="85"/>
  <c r="X13" i="85"/>
  <c r="W13" i="85"/>
  <c r="V13" i="85"/>
  <c r="U13" i="85"/>
  <c r="T13" i="85"/>
  <c r="S13" i="85"/>
  <c r="R13" i="85"/>
  <c r="Q13" i="85"/>
  <c r="L13" i="85"/>
  <c r="K13" i="85"/>
  <c r="J13" i="85"/>
  <c r="I13" i="85"/>
  <c r="H13" i="85"/>
  <c r="G13" i="85"/>
  <c r="F13" i="85"/>
  <c r="E13" i="85"/>
  <c r="AU12" i="85"/>
  <c r="AT12" i="85"/>
  <c r="AS12" i="85"/>
  <c r="AR12" i="85"/>
  <c r="AQ12" i="85"/>
  <c r="AP12" i="85"/>
  <c r="AO12" i="85"/>
  <c r="AN12" i="85"/>
  <c r="AI12" i="85"/>
  <c r="AH12" i="85"/>
  <c r="AG12" i="85"/>
  <c r="AF12" i="85"/>
  <c r="AE12" i="85"/>
  <c r="AD12" i="85"/>
  <c r="AC12" i="85"/>
  <c r="AB12" i="85"/>
  <c r="X12" i="85"/>
  <c r="W12" i="85"/>
  <c r="V12" i="85"/>
  <c r="U12" i="85"/>
  <c r="T12" i="85"/>
  <c r="S12" i="85"/>
  <c r="R12" i="85"/>
  <c r="Q12" i="85"/>
  <c r="L12" i="85"/>
  <c r="K12" i="85"/>
  <c r="J12" i="85"/>
  <c r="I12" i="85"/>
  <c r="H12" i="85"/>
  <c r="G12" i="85"/>
  <c r="F12" i="85"/>
  <c r="E12" i="85"/>
  <c r="AU11" i="85"/>
  <c r="AT11" i="85"/>
  <c r="AS11" i="85"/>
  <c r="AR11" i="85"/>
  <c r="AQ11" i="85"/>
  <c r="AP11" i="85"/>
  <c r="AO11" i="85"/>
  <c r="AN11" i="85"/>
  <c r="AI11" i="85"/>
  <c r="AH11" i="85"/>
  <c r="AG11" i="85"/>
  <c r="AF11" i="85"/>
  <c r="AE11" i="85"/>
  <c r="AD11" i="85"/>
  <c r="AC11" i="85"/>
  <c r="AB11" i="85"/>
  <c r="X11" i="85"/>
  <c r="W11" i="85"/>
  <c r="V11" i="85"/>
  <c r="U11" i="85"/>
  <c r="T11" i="85"/>
  <c r="S11" i="85"/>
  <c r="R11" i="85"/>
  <c r="Q11" i="85"/>
  <c r="L11" i="85"/>
  <c r="K11" i="85"/>
  <c r="J11" i="85"/>
  <c r="I11" i="85"/>
  <c r="H11" i="85"/>
  <c r="G11" i="85"/>
  <c r="F11" i="85"/>
  <c r="E11" i="85"/>
  <c r="AU10" i="85"/>
  <c r="AT10" i="85"/>
  <c r="AS10" i="85"/>
  <c r="AR10" i="85"/>
  <c r="AQ10" i="85"/>
  <c r="AP10" i="85"/>
  <c r="AO10" i="85"/>
  <c r="AN10" i="85"/>
  <c r="AI10" i="85"/>
  <c r="AH10" i="85"/>
  <c r="AG10" i="85"/>
  <c r="AF10" i="85"/>
  <c r="AE10" i="85"/>
  <c r="AD10" i="85"/>
  <c r="AC10" i="85"/>
  <c r="AB10" i="85"/>
  <c r="X10" i="85"/>
  <c r="W10" i="85"/>
  <c r="V10" i="85"/>
  <c r="U10" i="85"/>
  <c r="T10" i="85"/>
  <c r="S10" i="85"/>
  <c r="R10" i="85"/>
  <c r="Q10" i="85"/>
  <c r="L10" i="85"/>
  <c r="K10" i="85"/>
  <c r="J10" i="85"/>
  <c r="I10" i="85"/>
  <c r="H10" i="85"/>
  <c r="G10" i="85"/>
  <c r="F10" i="85"/>
  <c r="E10" i="85"/>
  <c r="AU9" i="85"/>
  <c r="AT9" i="85"/>
  <c r="AS9" i="85"/>
  <c r="AR9" i="85"/>
  <c r="AQ9" i="85"/>
  <c r="AP9" i="85"/>
  <c r="AO9" i="85"/>
  <c r="AN9" i="85"/>
  <c r="AI9" i="85"/>
  <c r="AH9" i="85"/>
  <c r="AG9" i="85"/>
  <c r="AF9" i="85"/>
  <c r="AE9" i="85"/>
  <c r="AD9" i="85"/>
  <c r="AC9" i="85"/>
  <c r="AB9" i="85"/>
  <c r="X9" i="85"/>
  <c r="W9" i="85"/>
  <c r="V9" i="85"/>
  <c r="U9" i="85"/>
  <c r="T9" i="85"/>
  <c r="S9" i="85"/>
  <c r="R9" i="85"/>
  <c r="Q9" i="85"/>
  <c r="L9" i="85"/>
  <c r="K9" i="85"/>
  <c r="J9" i="85"/>
  <c r="I9" i="85"/>
  <c r="H9" i="85"/>
  <c r="G9" i="85"/>
  <c r="F9" i="85"/>
  <c r="E9" i="85"/>
  <c r="AU8" i="85"/>
  <c r="AT8" i="85"/>
  <c r="AS8" i="85"/>
  <c r="AR8" i="85"/>
  <c r="AQ8" i="85"/>
  <c r="AP8" i="85"/>
  <c r="AO8" i="85"/>
  <c r="AN8" i="85"/>
  <c r="AI8" i="85"/>
  <c r="AH8" i="85"/>
  <c r="AG8" i="85"/>
  <c r="AF8" i="85"/>
  <c r="AE8" i="85"/>
  <c r="AD8" i="85"/>
  <c r="AC8" i="85"/>
  <c r="AB8" i="85"/>
  <c r="X8" i="85"/>
  <c r="W8" i="85"/>
  <c r="V8" i="85"/>
  <c r="U8" i="85"/>
  <c r="T8" i="85"/>
  <c r="S8" i="85"/>
  <c r="R8" i="85"/>
  <c r="Q8" i="85"/>
  <c r="L8" i="85"/>
  <c r="K8" i="85"/>
  <c r="J8" i="85"/>
  <c r="I8" i="85"/>
  <c r="H8" i="85"/>
  <c r="G8" i="85"/>
  <c r="F8" i="85"/>
  <c r="E8" i="85"/>
  <c r="AU7" i="85"/>
  <c r="AT7" i="85"/>
  <c r="AS7" i="85"/>
  <c r="AR7" i="85"/>
  <c r="AQ7" i="85"/>
  <c r="AP7" i="85"/>
  <c r="AO7" i="85"/>
  <c r="AN7" i="85"/>
  <c r="AI7" i="85"/>
  <c r="AH7" i="85"/>
  <c r="AG7" i="85"/>
  <c r="AF7" i="85"/>
  <c r="AE7" i="85"/>
  <c r="AD7" i="85"/>
  <c r="AC7" i="85"/>
  <c r="AB7" i="85"/>
  <c r="X7" i="85"/>
  <c r="W7" i="85"/>
  <c r="V7" i="85"/>
  <c r="U7" i="85"/>
  <c r="T7" i="85"/>
  <c r="S7" i="85"/>
  <c r="R7" i="85"/>
  <c r="Q7" i="85"/>
  <c r="L7" i="85"/>
  <c r="K7" i="85"/>
  <c r="J7" i="85"/>
  <c r="I7" i="85"/>
  <c r="H7" i="85"/>
  <c r="G7" i="85"/>
  <c r="F7" i="85"/>
  <c r="E7" i="85"/>
  <c r="AU6" i="85"/>
  <c r="AT6" i="85"/>
  <c r="AS6" i="85"/>
  <c r="AR6" i="85"/>
  <c r="AQ6" i="85"/>
  <c r="AP6" i="85"/>
  <c r="AO6" i="85"/>
  <c r="AN6" i="85"/>
  <c r="AI6" i="85"/>
  <c r="AH6" i="85"/>
  <c r="AG6" i="85"/>
  <c r="AF6" i="85"/>
  <c r="AE6" i="85"/>
  <c r="AD6" i="85"/>
  <c r="AC6" i="85"/>
  <c r="AB6" i="85"/>
  <c r="X6" i="85"/>
  <c r="W6" i="85"/>
  <c r="V6" i="85"/>
  <c r="U6" i="85"/>
  <c r="T6" i="85"/>
  <c r="S6" i="85"/>
  <c r="R6" i="85"/>
  <c r="Q6" i="85"/>
  <c r="L6" i="85"/>
  <c r="K6" i="85"/>
  <c r="J6" i="85"/>
  <c r="I6" i="85"/>
  <c r="H6" i="85"/>
  <c r="G6" i="85"/>
  <c r="F6" i="85"/>
  <c r="E6" i="85"/>
  <c r="AU5" i="85"/>
  <c r="AT5" i="85"/>
  <c r="AS5" i="85"/>
  <c r="AR5" i="85"/>
  <c r="AQ5" i="85"/>
  <c r="AP5" i="85"/>
  <c r="AO5" i="85"/>
  <c r="AN5" i="85"/>
  <c r="AI5" i="85"/>
  <c r="AH5" i="85"/>
  <c r="AG5" i="85"/>
  <c r="AF5" i="85"/>
  <c r="AE5" i="85"/>
  <c r="AD5" i="85"/>
  <c r="AC5" i="85"/>
  <c r="AB5" i="85"/>
  <c r="X5" i="85"/>
  <c r="W5" i="85"/>
  <c r="V5" i="85"/>
  <c r="U5" i="85"/>
  <c r="T5" i="85"/>
  <c r="S5" i="85"/>
  <c r="R5" i="85"/>
  <c r="Q5" i="85"/>
  <c r="L5" i="85"/>
  <c r="K5" i="85"/>
  <c r="J5" i="85"/>
  <c r="I5" i="85"/>
  <c r="H5" i="85"/>
  <c r="G5" i="85"/>
  <c r="F5" i="85"/>
  <c r="E5" i="85"/>
  <c r="AU4" i="85"/>
  <c r="AT4" i="85"/>
  <c r="AS4" i="85"/>
  <c r="AR4" i="85"/>
  <c r="AQ4" i="85"/>
  <c r="AP4" i="85"/>
  <c r="AO4" i="85"/>
  <c r="AN4" i="85"/>
  <c r="AI4" i="85"/>
  <c r="AH4" i="85"/>
  <c r="AG4" i="85"/>
  <c r="AF4" i="85"/>
  <c r="AE4" i="85"/>
  <c r="AD4" i="85"/>
  <c r="AC4" i="85"/>
  <c r="AB4" i="85"/>
  <c r="X4" i="85"/>
  <c r="W4" i="85"/>
  <c r="V4" i="85"/>
  <c r="U4" i="85"/>
  <c r="T4" i="85"/>
  <c r="S4" i="85"/>
  <c r="R4" i="85"/>
  <c r="Q4" i="85"/>
  <c r="L4" i="85"/>
  <c r="K4" i="85"/>
  <c r="J4" i="85"/>
  <c r="I4" i="85"/>
  <c r="H4" i="85"/>
  <c r="G4" i="85"/>
  <c r="F4" i="85"/>
  <c r="E4" i="85"/>
  <c r="AT10" i="67"/>
  <c r="AS10" i="67"/>
  <c r="AR10" i="67"/>
  <c r="AQ10" i="67"/>
  <c r="AP10" i="67"/>
  <c r="AO10" i="67"/>
  <c r="AN10" i="67"/>
  <c r="AM10" i="67"/>
  <c r="AH10" i="67"/>
  <c r="AG10" i="67"/>
  <c r="AF10" i="67"/>
  <c r="AE10" i="67"/>
  <c r="AD10" i="67"/>
  <c r="AC10" i="67"/>
  <c r="AB10" i="67"/>
  <c r="AA10" i="67"/>
  <c r="W10" i="67"/>
  <c r="V10" i="67"/>
  <c r="U10" i="67"/>
  <c r="T10" i="67"/>
  <c r="S10" i="67"/>
  <c r="R10" i="67"/>
  <c r="Q10" i="67"/>
  <c r="P10" i="67"/>
  <c r="K10" i="67"/>
  <c r="J10" i="67"/>
  <c r="I10" i="67"/>
  <c r="H10" i="67"/>
  <c r="G10" i="67"/>
  <c r="F10" i="67"/>
  <c r="E10" i="67"/>
  <c r="D10" i="67"/>
  <c r="AT9" i="67"/>
  <c r="AS9" i="67"/>
  <c r="AR9" i="67"/>
  <c r="AQ9" i="67"/>
  <c r="AP9" i="67"/>
  <c r="AO9" i="67"/>
  <c r="AN9" i="67"/>
  <c r="AM9" i="67"/>
  <c r="AH9" i="67"/>
  <c r="AG9" i="67"/>
  <c r="AF9" i="67"/>
  <c r="AE9" i="67"/>
  <c r="AD9" i="67"/>
  <c r="AC9" i="67"/>
  <c r="AB9" i="67"/>
  <c r="AA9" i="67"/>
  <c r="W9" i="67"/>
  <c r="V9" i="67"/>
  <c r="U9" i="67"/>
  <c r="T9" i="67"/>
  <c r="S9" i="67"/>
  <c r="R9" i="67"/>
  <c r="Q9" i="67"/>
  <c r="P9" i="67"/>
  <c r="K9" i="67"/>
  <c r="J9" i="67"/>
  <c r="I9" i="67"/>
  <c r="H9" i="67"/>
  <c r="G9" i="67"/>
  <c r="F9" i="67"/>
  <c r="E9" i="67"/>
  <c r="D9" i="67"/>
  <c r="AT8" i="67"/>
  <c r="AS8" i="67"/>
  <c r="AR8" i="67"/>
  <c r="AQ8" i="67"/>
  <c r="AP8" i="67"/>
  <c r="AO8" i="67"/>
  <c r="AN8" i="67"/>
  <c r="AM8" i="67"/>
  <c r="AH8" i="67"/>
  <c r="AG8" i="67"/>
  <c r="AF8" i="67"/>
  <c r="AE8" i="67"/>
  <c r="AD8" i="67"/>
  <c r="AC8" i="67"/>
  <c r="AB8" i="67"/>
  <c r="AA8" i="67"/>
  <c r="W8" i="67"/>
  <c r="V8" i="67"/>
  <c r="U8" i="67"/>
  <c r="T8" i="67"/>
  <c r="S8" i="67"/>
  <c r="R8" i="67"/>
  <c r="Q8" i="67"/>
  <c r="P8" i="67"/>
  <c r="K8" i="67"/>
  <c r="J8" i="67"/>
  <c r="I8" i="67"/>
  <c r="H8" i="67"/>
  <c r="G8" i="67"/>
  <c r="F8" i="67"/>
  <c r="E8" i="67"/>
  <c r="D8" i="67"/>
  <c r="AT7" i="67"/>
  <c r="AS7" i="67"/>
  <c r="AR7" i="67"/>
  <c r="AQ7" i="67"/>
  <c r="AP7" i="67"/>
  <c r="AO7" i="67"/>
  <c r="AN7" i="67"/>
  <c r="AM7" i="67"/>
  <c r="AH7" i="67"/>
  <c r="AG7" i="67"/>
  <c r="AF7" i="67"/>
  <c r="AE7" i="67"/>
  <c r="AD7" i="67"/>
  <c r="AC7" i="67"/>
  <c r="AB7" i="67"/>
  <c r="AA7" i="67"/>
  <c r="W7" i="67"/>
  <c r="V7" i="67"/>
  <c r="U7" i="67"/>
  <c r="T7" i="67"/>
  <c r="S7" i="67"/>
  <c r="R7" i="67"/>
  <c r="Q7" i="67"/>
  <c r="P7" i="67"/>
  <c r="K7" i="67"/>
  <c r="J7" i="67"/>
  <c r="I7" i="67"/>
  <c r="H7" i="67"/>
  <c r="G7" i="67"/>
  <c r="F7" i="67"/>
  <c r="E7" i="67"/>
  <c r="D7" i="67"/>
  <c r="AT6" i="67"/>
  <c r="AS6" i="67"/>
  <c r="AR6" i="67"/>
  <c r="AQ6" i="67"/>
  <c r="AP6" i="67"/>
  <c r="AO6" i="67"/>
  <c r="AN6" i="67"/>
  <c r="AM6" i="67"/>
  <c r="AH6" i="67"/>
  <c r="AG6" i="67"/>
  <c r="AF6" i="67"/>
  <c r="AE6" i="67"/>
  <c r="AD6" i="67"/>
  <c r="AC6" i="67"/>
  <c r="AB6" i="67"/>
  <c r="AA6" i="67"/>
  <c r="W6" i="67"/>
  <c r="V6" i="67"/>
  <c r="U6" i="67"/>
  <c r="T6" i="67"/>
  <c r="S6" i="67"/>
  <c r="R6" i="67"/>
  <c r="Q6" i="67"/>
  <c r="P6" i="67"/>
  <c r="K6" i="67"/>
  <c r="J6" i="67"/>
  <c r="I6" i="67"/>
  <c r="H6" i="67"/>
  <c r="G6" i="67"/>
  <c r="F6" i="67"/>
  <c r="E6" i="67"/>
  <c r="D6" i="67"/>
  <c r="AT5" i="67"/>
  <c r="AS5" i="67"/>
  <c r="AR5" i="67"/>
  <c r="AQ5" i="67"/>
  <c r="AP5" i="67"/>
  <c r="AO5" i="67"/>
  <c r="AN5" i="67"/>
  <c r="AM5" i="67"/>
  <c r="AH5" i="67"/>
  <c r="AG5" i="67"/>
  <c r="AF5" i="67"/>
  <c r="AE5" i="67"/>
  <c r="AD5" i="67"/>
  <c r="AC5" i="67"/>
  <c r="AB5" i="67"/>
  <c r="AA5" i="67"/>
  <c r="W5" i="67"/>
  <c r="V5" i="67"/>
  <c r="U5" i="67"/>
  <c r="T5" i="67"/>
  <c r="S5" i="67"/>
  <c r="R5" i="67"/>
  <c r="Q5" i="67"/>
  <c r="P5" i="67"/>
  <c r="K5" i="67"/>
  <c r="J5" i="67"/>
  <c r="I5" i="67"/>
  <c r="H5" i="67"/>
  <c r="G5" i="67"/>
  <c r="F5" i="67"/>
  <c r="E5" i="67"/>
  <c r="D5" i="67"/>
  <c r="AT4" i="67"/>
  <c r="AS4" i="67"/>
  <c r="AR4" i="67"/>
  <c r="AQ4" i="67"/>
  <c r="AP4" i="67"/>
  <c r="AO4" i="67"/>
  <c r="AN4" i="67"/>
  <c r="AM4" i="67"/>
  <c r="AH4" i="67"/>
  <c r="AG4" i="67"/>
  <c r="AF4" i="67"/>
  <c r="AE4" i="67"/>
  <c r="AD4" i="67"/>
  <c r="AC4" i="67"/>
  <c r="AB4" i="67"/>
  <c r="AA4" i="67"/>
  <c r="W4" i="67"/>
  <c r="V4" i="67"/>
  <c r="U4" i="67"/>
  <c r="T4" i="67"/>
  <c r="S4" i="67"/>
  <c r="R4" i="67"/>
  <c r="Q4" i="67"/>
  <c r="P4" i="67"/>
  <c r="K4" i="67"/>
  <c r="J4" i="67"/>
  <c r="I4" i="67"/>
  <c r="H4" i="67"/>
  <c r="G4" i="67"/>
  <c r="F4" i="67"/>
  <c r="E4" i="67"/>
  <c r="D4" i="67"/>
  <c r="K94" i="138"/>
  <c r="J94" i="138"/>
  <c r="I94" i="138"/>
  <c r="H94" i="138"/>
  <c r="G94" i="138"/>
  <c r="F94" i="138"/>
  <c r="E94" i="138"/>
  <c r="D94" i="138"/>
  <c r="K93" i="138"/>
  <c r="J93" i="138"/>
  <c r="I93" i="138"/>
  <c r="H93" i="138"/>
  <c r="G93" i="138"/>
  <c r="F93" i="138"/>
  <c r="E93" i="138"/>
  <c r="D93" i="138"/>
  <c r="K90" i="138"/>
  <c r="J90" i="138"/>
  <c r="I90" i="138"/>
  <c r="H90" i="138"/>
  <c r="G90" i="138"/>
  <c r="F90" i="138"/>
  <c r="E90" i="138"/>
  <c r="D90" i="138"/>
  <c r="K89" i="138"/>
  <c r="J89" i="138"/>
  <c r="I89" i="138"/>
  <c r="H89" i="138"/>
  <c r="G89" i="138"/>
  <c r="F89" i="138"/>
  <c r="E89" i="138"/>
  <c r="D89" i="138"/>
  <c r="K86" i="138"/>
  <c r="J86" i="138"/>
  <c r="I86" i="138"/>
  <c r="H86" i="138"/>
  <c r="G86" i="138"/>
  <c r="F86" i="138"/>
  <c r="E86" i="138"/>
  <c r="D86" i="138"/>
  <c r="K85" i="138"/>
  <c r="J85" i="138"/>
  <c r="I85" i="138"/>
  <c r="H85" i="138"/>
  <c r="G85" i="138"/>
  <c r="F85" i="138"/>
  <c r="E85" i="138"/>
  <c r="D85" i="138"/>
  <c r="K82" i="138"/>
  <c r="J82" i="138"/>
  <c r="I82" i="138"/>
  <c r="H82" i="138"/>
  <c r="G82" i="138"/>
  <c r="F82" i="138"/>
  <c r="E82" i="138"/>
  <c r="D82" i="138"/>
  <c r="K81" i="138"/>
  <c r="J81" i="138"/>
  <c r="I81" i="138"/>
  <c r="H81" i="138"/>
  <c r="G81" i="138"/>
  <c r="F81" i="138"/>
  <c r="E81" i="138"/>
  <c r="D81" i="138"/>
  <c r="K79" i="138"/>
  <c r="J79" i="138"/>
  <c r="I79" i="138"/>
  <c r="H79" i="138"/>
  <c r="G79" i="138"/>
  <c r="F79" i="138"/>
  <c r="E79" i="138"/>
  <c r="D79" i="138"/>
  <c r="K78" i="138"/>
  <c r="J78" i="138"/>
  <c r="I78" i="138"/>
  <c r="H78" i="138"/>
  <c r="G78" i="138"/>
  <c r="F78" i="138"/>
  <c r="E78" i="138"/>
  <c r="D78" i="138"/>
  <c r="K77" i="138"/>
  <c r="J77" i="138"/>
  <c r="I77" i="138"/>
  <c r="H77" i="138"/>
  <c r="G77" i="138"/>
  <c r="F77" i="138"/>
  <c r="E77" i="138"/>
  <c r="D77" i="138"/>
  <c r="K76" i="138"/>
  <c r="J76" i="138"/>
  <c r="I76" i="138"/>
  <c r="H76" i="138"/>
  <c r="G76" i="138"/>
  <c r="F76" i="138"/>
  <c r="E76" i="138"/>
  <c r="D76" i="138"/>
  <c r="K74" i="138"/>
  <c r="J74" i="138"/>
  <c r="I74" i="138"/>
  <c r="H74" i="138"/>
  <c r="G74" i="138"/>
  <c r="F74" i="138"/>
  <c r="E74" i="138"/>
  <c r="D74" i="138"/>
  <c r="K73" i="138"/>
  <c r="J73" i="138"/>
  <c r="I73" i="138"/>
  <c r="H73" i="138"/>
  <c r="G73" i="138"/>
  <c r="F73" i="138"/>
  <c r="E73" i="138"/>
  <c r="D73" i="138"/>
  <c r="K72" i="138"/>
  <c r="J72" i="138"/>
  <c r="I72" i="138"/>
  <c r="H72" i="138"/>
  <c r="G72" i="138"/>
  <c r="F72" i="138"/>
  <c r="E72" i="138"/>
  <c r="D72" i="138"/>
  <c r="K71" i="138"/>
  <c r="J71" i="138"/>
  <c r="I71" i="138"/>
  <c r="H71" i="138"/>
  <c r="G71" i="138"/>
  <c r="F71" i="138"/>
  <c r="E71" i="138"/>
  <c r="D71" i="138"/>
  <c r="K69" i="138"/>
  <c r="J69" i="138"/>
  <c r="I69" i="138"/>
  <c r="H69" i="138"/>
  <c r="G69" i="138"/>
  <c r="F69" i="138"/>
  <c r="E69" i="138"/>
  <c r="D69" i="138"/>
  <c r="K68" i="138"/>
  <c r="J68" i="138"/>
  <c r="I68" i="138"/>
  <c r="H68" i="138"/>
  <c r="G68" i="138"/>
  <c r="F68" i="138"/>
  <c r="E68" i="138"/>
  <c r="D68" i="138"/>
  <c r="K67" i="138"/>
  <c r="J67" i="138"/>
  <c r="I67" i="138"/>
  <c r="H67" i="138"/>
  <c r="G67" i="138"/>
  <c r="F67" i="138"/>
  <c r="E67" i="138"/>
  <c r="D67" i="138"/>
  <c r="K66" i="138"/>
  <c r="J66" i="138"/>
  <c r="I66" i="138"/>
  <c r="H66" i="138"/>
  <c r="G66" i="138"/>
  <c r="F66" i="138"/>
  <c r="E66" i="138"/>
  <c r="D66" i="138"/>
  <c r="K45" i="138"/>
  <c r="J45" i="138"/>
  <c r="I45" i="138"/>
  <c r="H45" i="138"/>
  <c r="G45" i="138"/>
  <c r="F45" i="138"/>
  <c r="E45" i="138"/>
  <c r="D45" i="138"/>
  <c r="K44" i="138"/>
  <c r="J44" i="138"/>
  <c r="I44" i="138"/>
  <c r="H44" i="138"/>
  <c r="G44" i="138"/>
  <c r="F44" i="138"/>
  <c r="E44" i="138"/>
  <c r="D44" i="138"/>
  <c r="K43" i="138"/>
  <c r="J43" i="138"/>
  <c r="I43" i="138"/>
  <c r="H43" i="138"/>
  <c r="G43" i="138"/>
  <c r="F43" i="138"/>
  <c r="E43" i="138"/>
  <c r="D43" i="138"/>
  <c r="K42" i="138"/>
  <c r="J42" i="138"/>
  <c r="I42" i="138"/>
  <c r="H42" i="138"/>
  <c r="G42" i="138"/>
  <c r="F42" i="138"/>
  <c r="E42" i="138"/>
  <c r="D42" i="138"/>
  <c r="K41" i="138"/>
  <c r="J41" i="138"/>
  <c r="I41" i="138"/>
  <c r="H41" i="138"/>
  <c r="G41" i="138"/>
  <c r="F41" i="138"/>
  <c r="E41" i="138"/>
  <c r="D41" i="138"/>
  <c r="K40" i="138"/>
  <c r="J40" i="138"/>
  <c r="I40" i="138"/>
  <c r="H40" i="138"/>
  <c r="G40" i="138"/>
  <c r="F40" i="138"/>
  <c r="E40" i="138"/>
  <c r="D40" i="138"/>
  <c r="K39" i="138"/>
  <c r="J39" i="138"/>
  <c r="I39" i="138"/>
  <c r="H39" i="138"/>
  <c r="G39" i="138"/>
  <c r="F39" i="138"/>
  <c r="E39" i="138"/>
  <c r="D39" i="138"/>
  <c r="K38" i="138"/>
  <c r="J38" i="138"/>
  <c r="I38" i="138"/>
  <c r="H38" i="138"/>
  <c r="G38" i="138"/>
  <c r="F38" i="138"/>
  <c r="E38" i="138"/>
  <c r="D38" i="138"/>
  <c r="K37" i="138"/>
  <c r="J37" i="138"/>
  <c r="I37" i="138"/>
  <c r="H37" i="138"/>
  <c r="G37" i="138"/>
  <c r="F37" i="138"/>
  <c r="E37" i="138"/>
  <c r="D37" i="138"/>
  <c r="K36" i="138"/>
  <c r="J36" i="138"/>
  <c r="I36" i="138"/>
  <c r="H36" i="138"/>
  <c r="G36" i="138"/>
  <c r="F36" i="138"/>
  <c r="E36" i="138"/>
  <c r="D36" i="138"/>
  <c r="K33" i="138"/>
  <c r="J33" i="138"/>
  <c r="I33" i="138"/>
  <c r="H33" i="138"/>
  <c r="G33" i="138"/>
  <c r="F33" i="138"/>
  <c r="E33" i="138"/>
  <c r="D33" i="138"/>
  <c r="K32" i="138"/>
  <c r="J32" i="138"/>
  <c r="I32" i="138"/>
  <c r="H32" i="138"/>
  <c r="G32" i="138"/>
  <c r="F32" i="138"/>
  <c r="E32" i="138"/>
  <c r="D32" i="138"/>
  <c r="K31" i="138"/>
  <c r="J31" i="138"/>
  <c r="I31" i="138"/>
  <c r="H31" i="138"/>
  <c r="G31" i="138"/>
  <c r="F31" i="138"/>
  <c r="E31" i="138"/>
  <c r="D31" i="138"/>
  <c r="K30" i="138"/>
  <c r="J30" i="138"/>
  <c r="I30" i="138"/>
  <c r="H30" i="138"/>
  <c r="G30" i="138"/>
  <c r="F30" i="138"/>
  <c r="E30" i="138"/>
  <c r="D30" i="138"/>
  <c r="K29" i="138"/>
  <c r="J29" i="138"/>
  <c r="I29" i="138"/>
  <c r="H29" i="138"/>
  <c r="G29" i="138"/>
  <c r="F29" i="138"/>
  <c r="E29" i="138"/>
  <c r="D29" i="138"/>
  <c r="K28" i="138"/>
  <c r="J28" i="138"/>
  <c r="I28" i="138"/>
  <c r="H28" i="138"/>
  <c r="G28" i="138"/>
  <c r="F28" i="138"/>
  <c r="E28" i="138"/>
  <c r="D28" i="138"/>
  <c r="K27" i="138"/>
  <c r="J27" i="138"/>
  <c r="I27" i="138"/>
  <c r="H27" i="138"/>
  <c r="G27" i="138"/>
  <c r="F27" i="138"/>
  <c r="E27" i="138"/>
  <c r="D27" i="138"/>
  <c r="K26" i="138"/>
  <c r="J26" i="138"/>
  <c r="I26" i="138"/>
  <c r="H26" i="138"/>
  <c r="G26" i="138"/>
  <c r="F26" i="138"/>
  <c r="E26" i="138"/>
  <c r="D26" i="138"/>
  <c r="K25" i="138"/>
  <c r="J25" i="138"/>
  <c r="I25" i="138"/>
  <c r="H25" i="138"/>
  <c r="G25" i="138"/>
  <c r="F25" i="138"/>
  <c r="E25" i="138"/>
  <c r="D25" i="138"/>
  <c r="K24" i="138"/>
  <c r="J24" i="138"/>
  <c r="I24" i="138"/>
  <c r="H24" i="138"/>
  <c r="G24" i="138"/>
  <c r="F24" i="138"/>
  <c r="E24" i="138"/>
  <c r="D24" i="138"/>
  <c r="K22" i="138"/>
  <c r="J22" i="138"/>
  <c r="I22" i="138"/>
  <c r="H22" i="138"/>
  <c r="G22" i="138"/>
  <c r="F22" i="138"/>
  <c r="E22" i="138"/>
  <c r="D22" i="138"/>
  <c r="K21" i="138"/>
  <c r="J21" i="138"/>
  <c r="I21" i="138"/>
  <c r="H21" i="138"/>
  <c r="G21" i="138"/>
  <c r="F21" i="138"/>
  <c r="E21" i="138"/>
  <c r="D21" i="138"/>
  <c r="K20" i="138"/>
  <c r="J20" i="138"/>
  <c r="I20" i="138"/>
  <c r="H20" i="138"/>
  <c r="G20" i="138"/>
  <c r="F20" i="138"/>
  <c r="E20" i="138"/>
  <c r="D20" i="138"/>
  <c r="K19" i="138"/>
  <c r="J19" i="138"/>
  <c r="I19" i="138"/>
  <c r="H19" i="138"/>
  <c r="G19" i="138"/>
  <c r="F19" i="138"/>
  <c r="E19" i="138"/>
  <c r="D19" i="138"/>
  <c r="K18" i="138"/>
  <c r="J18" i="138"/>
  <c r="I18" i="138"/>
  <c r="H18" i="138"/>
  <c r="G18" i="138"/>
  <c r="F18" i="138"/>
  <c r="E18" i="138"/>
  <c r="D18" i="138"/>
  <c r="K17" i="138"/>
  <c r="J17" i="138"/>
  <c r="I17" i="138"/>
  <c r="H17" i="138"/>
  <c r="G17" i="138"/>
  <c r="F17" i="138"/>
  <c r="E17" i="138"/>
  <c r="D17" i="138"/>
  <c r="K16" i="138"/>
  <c r="J16" i="138"/>
  <c r="I16" i="138"/>
  <c r="H16" i="138"/>
  <c r="G16" i="138"/>
  <c r="F16" i="138"/>
  <c r="E16" i="138"/>
  <c r="D16" i="138"/>
  <c r="K14" i="138"/>
  <c r="J14" i="138"/>
  <c r="I14" i="138"/>
  <c r="H14" i="138"/>
  <c r="G14" i="138"/>
  <c r="F14" i="138"/>
  <c r="E14" i="138"/>
  <c r="D14" i="138"/>
  <c r="K13" i="138"/>
  <c r="J13" i="138"/>
  <c r="I13" i="138"/>
  <c r="H13" i="138"/>
  <c r="G13" i="138"/>
  <c r="F13" i="138"/>
  <c r="E13" i="138"/>
  <c r="D13" i="138"/>
  <c r="K12" i="138"/>
  <c r="J12" i="138"/>
  <c r="I12" i="138"/>
  <c r="H12" i="138"/>
  <c r="G12" i="138"/>
  <c r="F12" i="138"/>
  <c r="E12" i="138"/>
  <c r="D12" i="138"/>
  <c r="K11" i="138"/>
  <c r="J11" i="138"/>
  <c r="I11" i="138"/>
  <c r="H11" i="138"/>
  <c r="G11" i="138"/>
  <c r="F11" i="138"/>
  <c r="E11" i="138"/>
  <c r="D11" i="138"/>
  <c r="K9" i="138"/>
  <c r="J9" i="138"/>
  <c r="I9" i="138"/>
  <c r="H9" i="138"/>
  <c r="G9" i="138"/>
  <c r="F9" i="138"/>
  <c r="E9" i="138"/>
  <c r="D9" i="138"/>
  <c r="K8" i="138"/>
  <c r="J8" i="138"/>
  <c r="I8" i="138"/>
  <c r="H8" i="138"/>
  <c r="G8" i="138"/>
  <c r="F8" i="138"/>
  <c r="E8" i="138"/>
  <c r="D8" i="138"/>
  <c r="K7" i="138"/>
  <c r="J7" i="138"/>
  <c r="I7" i="138"/>
  <c r="H7" i="138"/>
  <c r="G7" i="138"/>
  <c r="F7" i="138"/>
  <c r="E7" i="138"/>
  <c r="D7" i="138"/>
  <c r="K6" i="138"/>
  <c r="J6" i="138"/>
  <c r="I6" i="138"/>
  <c r="H6" i="138"/>
  <c r="G6" i="138"/>
  <c r="F6" i="138"/>
  <c r="E6" i="138"/>
  <c r="D6" i="138"/>
  <c r="K5" i="138"/>
  <c r="J5" i="138"/>
  <c r="I5" i="138"/>
  <c r="H5" i="138"/>
  <c r="G5" i="138"/>
  <c r="F5" i="138"/>
  <c r="E5" i="138"/>
  <c r="D5" i="138"/>
  <c r="K4" i="138"/>
  <c r="J4" i="138"/>
  <c r="I4" i="138"/>
  <c r="H4" i="138"/>
  <c r="G4" i="138"/>
  <c r="F4" i="138"/>
  <c r="E4" i="138"/>
  <c r="D4" i="138"/>
  <c r="K3" i="138"/>
  <c r="J3" i="138"/>
  <c r="I3" i="138"/>
  <c r="H3" i="138"/>
  <c r="G3" i="138"/>
  <c r="F3" i="138"/>
  <c r="E3" i="138"/>
  <c r="D3" i="138"/>
  <c r="DQ106" i="137"/>
  <c r="DP106" i="137"/>
  <c r="DO106" i="137"/>
  <c r="DN106" i="137"/>
  <c r="DM106" i="137"/>
  <c r="DL106" i="137"/>
  <c r="DK106" i="137"/>
  <c r="DJ106" i="137"/>
  <c r="DQ104" i="137"/>
  <c r="DP104" i="137"/>
  <c r="DO104" i="137"/>
  <c r="DN104" i="137"/>
  <c r="DM104" i="137"/>
  <c r="DL104" i="137"/>
  <c r="DK104" i="137"/>
  <c r="DJ104" i="137"/>
  <c r="DQ103" i="137"/>
  <c r="DP103" i="137"/>
  <c r="DO103" i="137"/>
  <c r="DN103" i="137"/>
  <c r="DM103" i="137"/>
  <c r="DL103" i="137"/>
  <c r="DK103" i="137"/>
  <c r="DJ103" i="137"/>
  <c r="DQ102" i="137"/>
  <c r="DP102" i="137"/>
  <c r="DO102" i="137"/>
  <c r="DN102" i="137"/>
  <c r="DM102" i="137"/>
  <c r="DL102" i="137"/>
  <c r="DK102" i="137"/>
  <c r="DJ102" i="137"/>
  <c r="DQ101" i="137"/>
  <c r="DP101" i="137"/>
  <c r="DO101" i="137"/>
  <c r="DN101" i="137"/>
  <c r="DM101" i="137"/>
  <c r="DL101" i="137"/>
  <c r="DK101" i="137"/>
  <c r="DJ101" i="137"/>
  <c r="DQ99" i="137"/>
  <c r="DP99" i="137"/>
  <c r="DO99" i="137"/>
  <c r="DN99" i="137"/>
  <c r="DM99" i="137"/>
  <c r="DL99" i="137"/>
  <c r="DK99" i="137"/>
  <c r="DJ99" i="137"/>
  <c r="DQ98" i="137"/>
  <c r="DP98" i="137"/>
  <c r="DO98" i="137"/>
  <c r="DN98" i="137"/>
  <c r="DM98" i="137"/>
  <c r="DL98" i="137"/>
  <c r="DK98" i="137"/>
  <c r="DJ98" i="137"/>
  <c r="DQ97" i="137"/>
  <c r="DP97" i="137"/>
  <c r="DO97" i="137"/>
  <c r="DN97" i="137"/>
  <c r="DM97" i="137"/>
  <c r="DL97" i="137"/>
  <c r="DK97" i="137"/>
  <c r="DJ97" i="137"/>
  <c r="DQ96" i="137"/>
  <c r="DP96" i="137"/>
  <c r="DO96" i="137"/>
  <c r="DN96" i="137"/>
  <c r="DM96" i="137"/>
  <c r="DL96" i="137"/>
  <c r="DK96" i="137"/>
  <c r="DJ96" i="137"/>
  <c r="DQ95" i="137"/>
  <c r="DP95" i="137"/>
  <c r="DO95" i="137"/>
  <c r="DN95" i="137"/>
  <c r="DM95" i="137"/>
  <c r="DL95" i="137"/>
  <c r="DK95" i="137"/>
  <c r="DJ95" i="137"/>
  <c r="DQ94" i="137"/>
  <c r="DP94" i="137"/>
  <c r="DO94" i="137"/>
  <c r="DN94" i="137"/>
  <c r="DM94" i="137"/>
  <c r="DL94" i="137"/>
  <c r="DK94" i="137"/>
  <c r="DJ94" i="137"/>
  <c r="DQ91" i="137"/>
  <c r="DP91" i="137"/>
  <c r="DO91" i="137"/>
  <c r="DN91" i="137"/>
  <c r="DM91" i="137"/>
  <c r="DL91" i="137"/>
  <c r="DK91" i="137"/>
  <c r="DJ91" i="137"/>
  <c r="DQ90" i="137"/>
  <c r="DP90" i="137"/>
  <c r="DO90" i="137"/>
  <c r="DN90" i="137"/>
  <c r="DM90" i="137"/>
  <c r="DL90" i="137"/>
  <c r="DK90" i="137"/>
  <c r="DJ90" i="137"/>
  <c r="DQ89" i="137"/>
  <c r="DP89" i="137"/>
  <c r="DO89" i="137"/>
  <c r="DN89" i="137"/>
  <c r="DM89" i="137"/>
  <c r="DL89" i="137"/>
  <c r="DK89" i="137"/>
  <c r="DJ89" i="137"/>
  <c r="DQ88" i="137"/>
  <c r="DP88" i="137"/>
  <c r="DO88" i="137"/>
  <c r="DN88" i="137"/>
  <c r="DM88" i="137"/>
  <c r="DL88" i="137"/>
  <c r="DK88" i="137"/>
  <c r="DJ88" i="137"/>
  <c r="DQ77" i="137"/>
  <c r="DP77" i="137"/>
  <c r="DO77" i="137"/>
  <c r="DN77" i="137"/>
  <c r="DM77" i="137"/>
  <c r="DL77" i="137"/>
  <c r="DK77" i="137"/>
  <c r="DJ77" i="137"/>
  <c r="DQ76" i="137"/>
  <c r="DP76" i="137"/>
  <c r="DO76" i="137"/>
  <c r="DN76" i="137"/>
  <c r="DM76" i="137"/>
  <c r="DL76" i="137"/>
  <c r="DK76" i="137"/>
  <c r="DJ76" i="137"/>
  <c r="DQ75" i="137"/>
  <c r="DP75" i="137"/>
  <c r="DO75" i="137"/>
  <c r="DN75" i="137"/>
  <c r="DM75" i="137"/>
  <c r="DL75" i="137"/>
  <c r="DK75" i="137"/>
  <c r="DJ75" i="137"/>
  <c r="DQ74" i="137"/>
  <c r="DP74" i="137"/>
  <c r="DO74" i="137"/>
  <c r="DN74" i="137"/>
  <c r="DM74" i="137"/>
  <c r="DL74" i="137"/>
  <c r="DK74" i="137"/>
  <c r="DJ74" i="137"/>
  <c r="DQ73" i="137"/>
  <c r="DP73" i="137"/>
  <c r="DO73" i="137"/>
  <c r="DN73" i="137"/>
  <c r="DM73" i="137"/>
  <c r="DL73" i="137"/>
  <c r="DK73" i="137"/>
  <c r="DJ73" i="137"/>
  <c r="DQ67" i="137"/>
  <c r="DP67" i="137"/>
  <c r="DO67" i="137"/>
  <c r="DN67" i="137"/>
  <c r="DM67" i="137"/>
  <c r="DL67" i="137"/>
  <c r="DK67" i="137"/>
  <c r="DJ67" i="137"/>
  <c r="AJ67" i="137"/>
  <c r="AI67" i="137"/>
  <c r="AH67" i="137"/>
  <c r="AG67" i="137"/>
  <c r="AF67" i="137"/>
  <c r="AE67" i="137"/>
  <c r="AD67" i="137"/>
  <c r="AC67" i="137"/>
  <c r="AJ65" i="137"/>
  <c r="AI65" i="137"/>
  <c r="AH65" i="137"/>
  <c r="AG65" i="137"/>
  <c r="AF65" i="137"/>
  <c r="AE65" i="137"/>
  <c r="AD65" i="137"/>
  <c r="AC65" i="137"/>
  <c r="AJ64" i="137"/>
  <c r="AI64" i="137"/>
  <c r="AH64" i="137"/>
  <c r="AG64" i="137"/>
  <c r="AF64" i="137"/>
  <c r="AE64" i="137"/>
  <c r="AD64" i="137"/>
  <c r="AC64" i="137"/>
  <c r="DQ63" i="137"/>
  <c r="DP63" i="137"/>
  <c r="DO63" i="137"/>
  <c r="DN63" i="137"/>
  <c r="DM63" i="137"/>
  <c r="DL63" i="137"/>
  <c r="DK63" i="137"/>
  <c r="DJ63" i="137"/>
  <c r="AJ63" i="137"/>
  <c r="AI63" i="137"/>
  <c r="AH63" i="137"/>
  <c r="AG63" i="137"/>
  <c r="AF63" i="137"/>
  <c r="AE63" i="137"/>
  <c r="AD63" i="137"/>
  <c r="AC63" i="137"/>
  <c r="DQ62" i="137"/>
  <c r="DP62" i="137"/>
  <c r="DO62" i="137"/>
  <c r="DN62" i="137"/>
  <c r="DM62" i="137"/>
  <c r="DL62" i="137"/>
  <c r="DK62" i="137"/>
  <c r="DJ62" i="137"/>
  <c r="AJ62" i="137"/>
  <c r="AI62" i="137"/>
  <c r="AH62" i="137"/>
  <c r="AG62" i="137"/>
  <c r="AF62" i="137"/>
  <c r="AE62" i="137"/>
  <c r="AD62" i="137"/>
  <c r="AC62" i="137"/>
  <c r="DQ61" i="137"/>
  <c r="DP61" i="137"/>
  <c r="DO61" i="137"/>
  <c r="DN61" i="137"/>
  <c r="DM61" i="137"/>
  <c r="DL61" i="137"/>
  <c r="DK61" i="137"/>
  <c r="DJ61" i="137"/>
  <c r="DD61" i="137"/>
  <c r="DC61" i="137"/>
  <c r="DB61" i="137"/>
  <c r="DA61" i="137"/>
  <c r="CZ61" i="137"/>
  <c r="CY61" i="137"/>
  <c r="CX61" i="137"/>
  <c r="CW61" i="137"/>
  <c r="AJ61" i="137"/>
  <c r="AI61" i="137"/>
  <c r="AH61" i="137"/>
  <c r="AG61" i="137"/>
  <c r="AF61" i="137"/>
  <c r="AE61" i="137"/>
  <c r="AD61" i="137"/>
  <c r="AC61" i="137"/>
  <c r="DQ60" i="137"/>
  <c r="DP60" i="137"/>
  <c r="DO60" i="137"/>
  <c r="DN60" i="137"/>
  <c r="DM60" i="137"/>
  <c r="DL60" i="137"/>
  <c r="DK60" i="137"/>
  <c r="DJ60" i="137"/>
  <c r="DD60" i="137"/>
  <c r="DC60" i="137"/>
  <c r="DB60" i="137"/>
  <c r="DA60" i="137"/>
  <c r="CZ60" i="137"/>
  <c r="CY60" i="137"/>
  <c r="CX60" i="137"/>
  <c r="CW60" i="137"/>
  <c r="AJ60" i="137"/>
  <c r="AI60" i="137"/>
  <c r="AH60" i="137"/>
  <c r="AG60" i="137"/>
  <c r="AF60" i="137"/>
  <c r="AE60" i="137"/>
  <c r="AD60" i="137"/>
  <c r="AC60" i="137"/>
  <c r="DQ59" i="137"/>
  <c r="DP59" i="137"/>
  <c r="DO59" i="137"/>
  <c r="DN59" i="137"/>
  <c r="DM59" i="137"/>
  <c r="DL59" i="137"/>
  <c r="DK59" i="137"/>
  <c r="DJ59" i="137"/>
  <c r="DD59" i="137"/>
  <c r="DC59" i="137"/>
  <c r="DB59" i="137"/>
  <c r="DA59" i="137"/>
  <c r="CZ59" i="137"/>
  <c r="CY59" i="137"/>
  <c r="CX59" i="137"/>
  <c r="CW59" i="137"/>
  <c r="AJ59" i="137"/>
  <c r="AI59" i="137"/>
  <c r="AH59" i="137"/>
  <c r="AG59" i="137"/>
  <c r="AF59" i="137"/>
  <c r="AE59" i="137"/>
  <c r="AD59" i="137"/>
  <c r="AC59" i="137"/>
  <c r="DD58" i="137"/>
  <c r="DC58" i="137"/>
  <c r="DB58" i="137"/>
  <c r="DA58" i="137"/>
  <c r="CZ58" i="137"/>
  <c r="CY58" i="137"/>
  <c r="CX58" i="137"/>
  <c r="CW58" i="137"/>
  <c r="AJ58" i="137"/>
  <c r="AI58" i="137"/>
  <c r="AH58" i="137"/>
  <c r="AG58" i="137"/>
  <c r="AF58" i="137"/>
  <c r="AE58" i="137"/>
  <c r="AD58" i="137"/>
  <c r="AC58" i="137"/>
  <c r="DD57" i="137"/>
  <c r="DC57" i="137"/>
  <c r="DB57" i="137"/>
  <c r="DA57" i="137"/>
  <c r="CZ57" i="137"/>
  <c r="CY57" i="137"/>
  <c r="CX57" i="137"/>
  <c r="CW57" i="137"/>
  <c r="DQ56" i="137"/>
  <c r="DP56" i="137"/>
  <c r="DO56" i="137"/>
  <c r="DN56" i="137"/>
  <c r="DM56" i="137"/>
  <c r="DL56" i="137"/>
  <c r="DK56" i="137"/>
  <c r="DJ56" i="137"/>
  <c r="DD56" i="137"/>
  <c r="DC56" i="137"/>
  <c r="DB56" i="137"/>
  <c r="DA56" i="137"/>
  <c r="CZ56" i="137"/>
  <c r="CY56" i="137"/>
  <c r="CX56" i="137"/>
  <c r="CW56" i="137"/>
  <c r="DQ55" i="137"/>
  <c r="DP55" i="137"/>
  <c r="DO55" i="137"/>
  <c r="DN55" i="137"/>
  <c r="DM55" i="137"/>
  <c r="DL55" i="137"/>
  <c r="DK55" i="137"/>
  <c r="DJ55" i="137"/>
  <c r="DD55" i="137"/>
  <c r="DC55" i="137"/>
  <c r="DB55" i="137"/>
  <c r="DA55" i="137"/>
  <c r="CZ55" i="137"/>
  <c r="CY55" i="137"/>
  <c r="CX55" i="137"/>
  <c r="CW55" i="137"/>
  <c r="DQ54" i="137"/>
  <c r="DP54" i="137"/>
  <c r="DO54" i="137"/>
  <c r="DN54" i="137"/>
  <c r="DM54" i="137"/>
  <c r="DL54" i="137"/>
  <c r="DK54" i="137"/>
  <c r="DJ54" i="137"/>
  <c r="DD54" i="137"/>
  <c r="DC54" i="137"/>
  <c r="DB54" i="137"/>
  <c r="DA54" i="137"/>
  <c r="CZ54" i="137"/>
  <c r="CY54" i="137"/>
  <c r="CX54" i="137"/>
  <c r="CW54" i="137"/>
  <c r="DQ53" i="137"/>
  <c r="DP53" i="137"/>
  <c r="DO53" i="137"/>
  <c r="DN53" i="137"/>
  <c r="DM53" i="137"/>
  <c r="DL53" i="137"/>
  <c r="DK53" i="137"/>
  <c r="DJ53" i="137"/>
  <c r="DD53" i="137"/>
  <c r="DC53" i="137"/>
  <c r="DB53" i="137"/>
  <c r="DA53" i="137"/>
  <c r="CZ53" i="137"/>
  <c r="CY53" i="137"/>
  <c r="CX53" i="137"/>
  <c r="CW53" i="137"/>
  <c r="DQ52" i="137"/>
  <c r="DP52" i="137"/>
  <c r="DO52" i="137"/>
  <c r="DN52" i="137"/>
  <c r="DM52" i="137"/>
  <c r="DL52" i="137"/>
  <c r="DK52" i="137"/>
  <c r="DJ52" i="137"/>
  <c r="DD52" i="137"/>
  <c r="DC52" i="137"/>
  <c r="DB52" i="137"/>
  <c r="DA52" i="137"/>
  <c r="CZ52" i="137"/>
  <c r="CY52" i="137"/>
  <c r="CX52" i="137"/>
  <c r="CW52" i="137"/>
  <c r="DD51" i="137"/>
  <c r="DC51" i="137"/>
  <c r="DB51" i="137"/>
  <c r="DA51" i="137"/>
  <c r="CZ51" i="137"/>
  <c r="CY51" i="137"/>
  <c r="CX51" i="137"/>
  <c r="CW51" i="137"/>
  <c r="DD50" i="137"/>
  <c r="DC50" i="137"/>
  <c r="DB50" i="137"/>
  <c r="DA50" i="137"/>
  <c r="CZ50" i="137"/>
  <c r="CY50" i="137"/>
  <c r="CX50" i="137"/>
  <c r="CW50" i="137"/>
  <c r="DQ49" i="137"/>
  <c r="DP49" i="137"/>
  <c r="DO49" i="137"/>
  <c r="DN49" i="137"/>
  <c r="DM49" i="137"/>
  <c r="DL49" i="137"/>
  <c r="DK49" i="137"/>
  <c r="DJ49" i="137"/>
  <c r="DD49" i="137"/>
  <c r="DC49" i="137"/>
  <c r="DB49" i="137"/>
  <c r="DA49" i="137"/>
  <c r="CZ49" i="137"/>
  <c r="CY49" i="137"/>
  <c r="CX49" i="137"/>
  <c r="CW49" i="137"/>
  <c r="DQ48" i="137"/>
  <c r="DP48" i="137"/>
  <c r="DO48" i="137"/>
  <c r="DN48" i="137"/>
  <c r="DM48" i="137"/>
  <c r="DL48" i="137"/>
  <c r="DK48" i="137"/>
  <c r="DJ48" i="137"/>
  <c r="DD48" i="137"/>
  <c r="DC48" i="137"/>
  <c r="DB48" i="137"/>
  <c r="DA48" i="137"/>
  <c r="CZ48" i="137"/>
  <c r="CY48" i="137"/>
  <c r="CX48" i="137"/>
  <c r="CW48" i="137"/>
  <c r="DQ47" i="137"/>
  <c r="DP47" i="137"/>
  <c r="DO47" i="137"/>
  <c r="DN47" i="137"/>
  <c r="DM47" i="137"/>
  <c r="DL47" i="137"/>
  <c r="DK47" i="137"/>
  <c r="DJ47" i="137"/>
  <c r="DD47" i="137"/>
  <c r="DC47" i="137"/>
  <c r="DB47" i="137"/>
  <c r="DA47" i="137"/>
  <c r="CZ47" i="137"/>
  <c r="CY47" i="137"/>
  <c r="CX47" i="137"/>
  <c r="CW47" i="137"/>
  <c r="DQ46" i="137"/>
  <c r="DP46" i="137"/>
  <c r="DO46" i="137"/>
  <c r="DN46" i="137"/>
  <c r="DM46" i="137"/>
  <c r="DL46" i="137"/>
  <c r="DK46" i="137"/>
  <c r="DJ46" i="137"/>
  <c r="DD46" i="137"/>
  <c r="DC46" i="137"/>
  <c r="DB46" i="137"/>
  <c r="DA46" i="137"/>
  <c r="CZ46" i="137"/>
  <c r="CY46" i="137"/>
  <c r="CX46" i="137"/>
  <c r="CW46" i="137"/>
  <c r="DQ45" i="137"/>
  <c r="DP45" i="137"/>
  <c r="DO45" i="137"/>
  <c r="DN45" i="137"/>
  <c r="DM45" i="137"/>
  <c r="DL45" i="137"/>
  <c r="DK45" i="137"/>
  <c r="DJ45" i="137"/>
  <c r="DD45" i="137"/>
  <c r="DC45" i="137"/>
  <c r="DB45" i="137"/>
  <c r="DA45" i="137"/>
  <c r="CZ45" i="137"/>
  <c r="CY45" i="137"/>
  <c r="CX45" i="137"/>
  <c r="CW45" i="137"/>
  <c r="DQ44" i="137"/>
  <c r="DP44" i="137"/>
  <c r="DO44" i="137"/>
  <c r="DN44" i="137"/>
  <c r="DM44" i="137"/>
  <c r="DL44" i="137"/>
  <c r="DK44" i="137"/>
  <c r="DJ44" i="137"/>
  <c r="DQ43" i="137"/>
  <c r="DP43" i="137"/>
  <c r="DO43" i="137"/>
  <c r="DN43" i="137"/>
  <c r="DM43" i="137"/>
  <c r="DL43" i="137"/>
  <c r="DK43" i="137"/>
  <c r="DJ43" i="137"/>
  <c r="DQ42" i="137"/>
  <c r="DP42" i="137"/>
  <c r="DO42" i="137"/>
  <c r="DN42" i="137"/>
  <c r="DM42" i="137"/>
  <c r="DL42" i="137"/>
  <c r="DK42" i="137"/>
  <c r="DJ42" i="137"/>
  <c r="DQ41" i="137"/>
  <c r="DP41" i="137"/>
  <c r="DO41" i="137"/>
  <c r="DN41" i="137"/>
  <c r="DM41" i="137"/>
  <c r="DL41" i="137"/>
  <c r="DK41" i="137"/>
  <c r="DJ41" i="137"/>
  <c r="DQ40" i="137"/>
  <c r="DP40" i="137"/>
  <c r="DO40" i="137"/>
  <c r="DN40" i="137"/>
  <c r="DM40" i="137"/>
  <c r="DL40" i="137"/>
  <c r="DK40" i="137"/>
  <c r="DJ40" i="137"/>
  <c r="DQ38" i="137"/>
  <c r="DP38" i="137"/>
  <c r="DO38" i="137"/>
  <c r="DN38" i="137"/>
  <c r="DM38" i="137"/>
  <c r="DL38" i="137"/>
  <c r="DK38" i="137"/>
  <c r="DJ38" i="137"/>
  <c r="DQ37" i="137"/>
  <c r="DP37" i="137"/>
  <c r="DO37" i="137"/>
  <c r="DN37" i="137"/>
  <c r="DM37" i="137"/>
  <c r="DL37" i="137"/>
  <c r="DK37" i="137"/>
  <c r="DJ37" i="137"/>
  <c r="DQ36" i="137"/>
  <c r="DP36" i="137"/>
  <c r="DO36" i="137"/>
  <c r="DN36" i="137"/>
  <c r="DM36" i="137"/>
  <c r="DL36" i="137"/>
  <c r="DK36" i="137"/>
  <c r="DJ36" i="137"/>
  <c r="CR36" i="137"/>
  <c r="CQ36" i="137"/>
  <c r="CP36" i="137"/>
  <c r="CO36" i="137"/>
  <c r="CN36" i="137"/>
  <c r="CM36" i="137"/>
  <c r="CL36" i="137"/>
  <c r="CK36" i="137"/>
  <c r="DQ35" i="137"/>
  <c r="DP35" i="137"/>
  <c r="DO35" i="137"/>
  <c r="DN35" i="137"/>
  <c r="DM35" i="137"/>
  <c r="DL35" i="137"/>
  <c r="DK35" i="137"/>
  <c r="DJ35" i="137"/>
  <c r="CR35" i="137"/>
  <c r="CQ35" i="137"/>
  <c r="CP35" i="137"/>
  <c r="CO35" i="137"/>
  <c r="CN35" i="137"/>
  <c r="CM35" i="137"/>
  <c r="CL35" i="137"/>
  <c r="CK35" i="137"/>
  <c r="DQ34" i="137"/>
  <c r="DP34" i="137"/>
  <c r="DO34" i="137"/>
  <c r="DN34" i="137"/>
  <c r="DM34" i="137"/>
  <c r="DL34" i="137"/>
  <c r="DK34" i="137"/>
  <c r="DJ34" i="137"/>
  <c r="CR34" i="137"/>
  <c r="CQ34" i="137"/>
  <c r="CP34" i="137"/>
  <c r="CO34" i="137"/>
  <c r="CN34" i="137"/>
  <c r="CM34" i="137"/>
  <c r="CL34" i="137"/>
  <c r="CK34" i="137"/>
  <c r="DQ32" i="137"/>
  <c r="DP32" i="137"/>
  <c r="DO32" i="137"/>
  <c r="DN32" i="137"/>
  <c r="DM32" i="137"/>
  <c r="DL32" i="137"/>
  <c r="DK32" i="137"/>
  <c r="DJ32" i="137"/>
  <c r="DQ31" i="137"/>
  <c r="DP31" i="137"/>
  <c r="DO31" i="137"/>
  <c r="DN31" i="137"/>
  <c r="DM31" i="137"/>
  <c r="DL31" i="137"/>
  <c r="DK31" i="137"/>
  <c r="DJ31" i="137"/>
  <c r="L31" i="137"/>
  <c r="K31" i="137"/>
  <c r="J31" i="137"/>
  <c r="I31" i="137"/>
  <c r="H31" i="137"/>
  <c r="G31" i="137"/>
  <c r="F31" i="137"/>
  <c r="E31" i="137"/>
  <c r="DQ30" i="137"/>
  <c r="DP30" i="137"/>
  <c r="DO30" i="137"/>
  <c r="DN30" i="137"/>
  <c r="DM30" i="137"/>
  <c r="DL30" i="137"/>
  <c r="DK30" i="137"/>
  <c r="DJ30" i="137"/>
  <c r="CR30" i="137"/>
  <c r="CQ30" i="137"/>
  <c r="CP30" i="137"/>
  <c r="CO30" i="137"/>
  <c r="CN30" i="137"/>
  <c r="CM30" i="137"/>
  <c r="CL30" i="137"/>
  <c r="CK30" i="137"/>
  <c r="L30" i="137"/>
  <c r="K30" i="137"/>
  <c r="J30" i="137"/>
  <c r="I30" i="137"/>
  <c r="H30" i="137"/>
  <c r="G30" i="137"/>
  <c r="F30" i="137"/>
  <c r="E30" i="137"/>
  <c r="DQ29" i="137"/>
  <c r="DP29" i="137"/>
  <c r="DO29" i="137"/>
  <c r="DN29" i="137"/>
  <c r="DM29" i="137"/>
  <c r="DL29" i="137"/>
  <c r="DK29" i="137"/>
  <c r="DJ29" i="137"/>
  <c r="CR29" i="137"/>
  <c r="CQ29" i="137"/>
  <c r="CP29" i="137"/>
  <c r="CO29" i="137"/>
  <c r="CN29" i="137"/>
  <c r="CM29" i="137"/>
  <c r="CL29" i="137"/>
  <c r="CK29" i="137"/>
  <c r="L29" i="137"/>
  <c r="K29" i="137"/>
  <c r="J29" i="137"/>
  <c r="I29" i="137"/>
  <c r="H29" i="137"/>
  <c r="G29" i="137"/>
  <c r="F29" i="137"/>
  <c r="E29" i="137"/>
  <c r="DQ28" i="137"/>
  <c r="DP28" i="137"/>
  <c r="DO28" i="137"/>
  <c r="DN28" i="137"/>
  <c r="DM28" i="137"/>
  <c r="DL28" i="137"/>
  <c r="DK28" i="137"/>
  <c r="DJ28" i="137"/>
  <c r="CR28" i="137"/>
  <c r="CQ28" i="137"/>
  <c r="CP28" i="137"/>
  <c r="CO28" i="137"/>
  <c r="CN28" i="137"/>
  <c r="CM28" i="137"/>
  <c r="CL28" i="137"/>
  <c r="CK28" i="137"/>
  <c r="L28" i="137"/>
  <c r="K28" i="137"/>
  <c r="J28" i="137"/>
  <c r="I28" i="137"/>
  <c r="H28" i="137"/>
  <c r="G28" i="137"/>
  <c r="F28" i="137"/>
  <c r="E28" i="137"/>
  <c r="AJ27" i="137"/>
  <c r="AI27" i="137"/>
  <c r="AH27" i="137"/>
  <c r="AG27" i="137"/>
  <c r="AF27" i="137"/>
  <c r="AE27" i="137"/>
  <c r="AD27" i="137"/>
  <c r="AC27" i="137"/>
  <c r="L27" i="137"/>
  <c r="K27" i="137"/>
  <c r="J27" i="137"/>
  <c r="I27" i="137"/>
  <c r="H27" i="137"/>
  <c r="G27" i="137"/>
  <c r="F27" i="137"/>
  <c r="E27" i="137"/>
  <c r="CR26" i="137"/>
  <c r="CQ26" i="137"/>
  <c r="CP26" i="137"/>
  <c r="CO26" i="137"/>
  <c r="CN26" i="137"/>
  <c r="CM26" i="137"/>
  <c r="CL26" i="137"/>
  <c r="CK26" i="137"/>
  <c r="AJ26" i="137"/>
  <c r="AI26" i="137"/>
  <c r="AH26" i="137"/>
  <c r="AG26" i="137"/>
  <c r="AF26" i="137"/>
  <c r="AE26" i="137"/>
  <c r="AD26" i="137"/>
  <c r="AC26" i="137"/>
  <c r="L26" i="137"/>
  <c r="K26" i="137"/>
  <c r="J26" i="137"/>
  <c r="I26" i="137"/>
  <c r="H26" i="137"/>
  <c r="G26" i="137"/>
  <c r="F26" i="137"/>
  <c r="E26" i="137"/>
  <c r="DQ25" i="137"/>
  <c r="DP25" i="137"/>
  <c r="DO25" i="137"/>
  <c r="DN25" i="137"/>
  <c r="DM25" i="137"/>
  <c r="DL25" i="137"/>
  <c r="DK25" i="137"/>
  <c r="DJ25" i="137"/>
  <c r="CR25" i="137"/>
  <c r="CQ25" i="137"/>
  <c r="CP25" i="137"/>
  <c r="CO25" i="137"/>
  <c r="CN25" i="137"/>
  <c r="CM25" i="137"/>
  <c r="CL25" i="137"/>
  <c r="CK25" i="137"/>
  <c r="L25" i="137"/>
  <c r="K25" i="137"/>
  <c r="J25" i="137"/>
  <c r="I25" i="137"/>
  <c r="H25" i="137"/>
  <c r="G25" i="137"/>
  <c r="F25" i="137"/>
  <c r="E25" i="137"/>
  <c r="DQ24" i="137"/>
  <c r="DP24" i="137"/>
  <c r="DO24" i="137"/>
  <c r="DN24" i="137"/>
  <c r="DM24" i="137"/>
  <c r="DL24" i="137"/>
  <c r="DK24" i="137"/>
  <c r="DJ24" i="137"/>
  <c r="CR24" i="137"/>
  <c r="CQ24" i="137"/>
  <c r="CP24" i="137"/>
  <c r="CO24" i="137"/>
  <c r="CN24" i="137"/>
  <c r="CM24" i="137"/>
  <c r="CL24" i="137"/>
  <c r="CK24" i="137"/>
  <c r="L24" i="137"/>
  <c r="K24" i="137"/>
  <c r="J24" i="137"/>
  <c r="I24" i="137"/>
  <c r="H24" i="137"/>
  <c r="G24" i="137"/>
  <c r="F24" i="137"/>
  <c r="E24" i="137"/>
  <c r="DQ23" i="137"/>
  <c r="DP23" i="137"/>
  <c r="DO23" i="137"/>
  <c r="DN23" i="137"/>
  <c r="DM23" i="137"/>
  <c r="DL23" i="137"/>
  <c r="DK23" i="137"/>
  <c r="DJ23" i="137"/>
  <c r="AJ23" i="137"/>
  <c r="AI23" i="137"/>
  <c r="AH23" i="137"/>
  <c r="AG23" i="137"/>
  <c r="AF23" i="137"/>
  <c r="AE23" i="137"/>
  <c r="AD23" i="137"/>
  <c r="AC23" i="137"/>
  <c r="L23" i="137"/>
  <c r="K23" i="137"/>
  <c r="J23" i="137"/>
  <c r="I23" i="137"/>
  <c r="H23" i="137"/>
  <c r="G23" i="137"/>
  <c r="F23" i="137"/>
  <c r="E23" i="137"/>
  <c r="DQ22" i="137"/>
  <c r="DP22" i="137"/>
  <c r="DO22" i="137"/>
  <c r="DN22" i="137"/>
  <c r="DM22" i="137"/>
  <c r="DL22" i="137"/>
  <c r="DK22" i="137"/>
  <c r="DJ22" i="137"/>
  <c r="DD22" i="137"/>
  <c r="DC22" i="137"/>
  <c r="DB22" i="137"/>
  <c r="DA22" i="137"/>
  <c r="CZ22" i="137"/>
  <c r="CY22" i="137"/>
  <c r="CX22" i="137"/>
  <c r="CW22" i="137"/>
  <c r="CR22" i="137"/>
  <c r="CQ22" i="137"/>
  <c r="CP22" i="137"/>
  <c r="CO22" i="137"/>
  <c r="CN22" i="137"/>
  <c r="CM22" i="137"/>
  <c r="CL22" i="137"/>
  <c r="CK22" i="137"/>
  <c r="BQ22" i="137"/>
  <c r="BP22" i="137"/>
  <c r="BO22" i="137"/>
  <c r="BN22" i="137"/>
  <c r="BM22" i="137"/>
  <c r="BL22" i="137"/>
  <c r="BK22" i="137"/>
  <c r="BJ22" i="137"/>
  <c r="AJ22" i="137"/>
  <c r="AI22" i="137"/>
  <c r="AH22" i="137"/>
  <c r="AG22" i="137"/>
  <c r="AF22" i="137"/>
  <c r="AE22" i="137"/>
  <c r="AD22" i="137"/>
  <c r="AC22" i="137"/>
  <c r="L22" i="137"/>
  <c r="K22" i="137"/>
  <c r="J22" i="137"/>
  <c r="I22" i="137"/>
  <c r="H22" i="137"/>
  <c r="G22" i="137"/>
  <c r="F22" i="137"/>
  <c r="E22" i="137"/>
  <c r="DQ21" i="137"/>
  <c r="DP21" i="137"/>
  <c r="DO21" i="137"/>
  <c r="DN21" i="137"/>
  <c r="DM21" i="137"/>
  <c r="DL21" i="137"/>
  <c r="DK21" i="137"/>
  <c r="DJ21" i="137"/>
  <c r="DD21" i="137"/>
  <c r="DC21" i="137"/>
  <c r="DB21" i="137"/>
  <c r="DA21" i="137"/>
  <c r="CZ21" i="137"/>
  <c r="CY21" i="137"/>
  <c r="CX21" i="137"/>
  <c r="CW21" i="137"/>
  <c r="CR21" i="137"/>
  <c r="CQ21" i="137"/>
  <c r="CP21" i="137"/>
  <c r="CO21" i="137"/>
  <c r="CN21" i="137"/>
  <c r="CM21" i="137"/>
  <c r="CL21" i="137"/>
  <c r="CK21" i="137"/>
  <c r="CE21" i="137"/>
  <c r="CD21" i="137"/>
  <c r="CC21" i="137"/>
  <c r="CB21" i="137"/>
  <c r="CA21" i="137"/>
  <c r="BZ21" i="137"/>
  <c r="BY21" i="137"/>
  <c r="BX21" i="137"/>
  <c r="BQ21" i="137"/>
  <c r="BP21" i="137"/>
  <c r="BO21" i="137"/>
  <c r="BN21" i="137"/>
  <c r="BM21" i="137"/>
  <c r="BL21" i="137"/>
  <c r="BK21" i="137"/>
  <c r="BJ21" i="137"/>
  <c r="AJ21" i="137"/>
  <c r="AI21" i="137"/>
  <c r="AH21" i="137"/>
  <c r="AG21" i="137"/>
  <c r="AF21" i="137"/>
  <c r="AE21" i="137"/>
  <c r="AD21" i="137"/>
  <c r="AC21" i="137"/>
  <c r="L21" i="137"/>
  <c r="K21" i="137"/>
  <c r="J21" i="137"/>
  <c r="I21" i="137"/>
  <c r="H21" i="137"/>
  <c r="G21" i="137"/>
  <c r="F21" i="137"/>
  <c r="E21" i="137"/>
  <c r="DQ20" i="137"/>
  <c r="DP20" i="137"/>
  <c r="DO20" i="137"/>
  <c r="DN20" i="137"/>
  <c r="DM20" i="137"/>
  <c r="DL20" i="137"/>
  <c r="DK20" i="137"/>
  <c r="DJ20" i="137"/>
  <c r="CR20" i="137"/>
  <c r="CQ20" i="137"/>
  <c r="CP20" i="137"/>
  <c r="CO20" i="137"/>
  <c r="CN20" i="137"/>
  <c r="CM20" i="137"/>
  <c r="CL20" i="137"/>
  <c r="CK20" i="137"/>
  <c r="CE20" i="137"/>
  <c r="CD20" i="137"/>
  <c r="CC20" i="137"/>
  <c r="CB20" i="137"/>
  <c r="CA20" i="137"/>
  <c r="BZ20" i="137"/>
  <c r="BY20" i="137"/>
  <c r="BX20" i="137"/>
  <c r="BQ20" i="137"/>
  <c r="BP20" i="137"/>
  <c r="BO20" i="137"/>
  <c r="BN20" i="137"/>
  <c r="BM20" i="137"/>
  <c r="BL20" i="137"/>
  <c r="BK20" i="137"/>
  <c r="BJ20" i="137"/>
  <c r="L20" i="137"/>
  <c r="K20" i="137"/>
  <c r="J20" i="137"/>
  <c r="I20" i="137"/>
  <c r="H20" i="137"/>
  <c r="G20" i="137"/>
  <c r="F20" i="137"/>
  <c r="E20" i="137"/>
  <c r="DQ19" i="137"/>
  <c r="DP19" i="137"/>
  <c r="DO19" i="137"/>
  <c r="DN19" i="137"/>
  <c r="DM19" i="137"/>
  <c r="DL19" i="137"/>
  <c r="DK19" i="137"/>
  <c r="DJ19" i="137"/>
  <c r="DD19" i="137"/>
  <c r="DC19" i="137"/>
  <c r="DB19" i="137"/>
  <c r="DA19" i="137"/>
  <c r="CZ19" i="137"/>
  <c r="CY19" i="137"/>
  <c r="CX19" i="137"/>
  <c r="CW19" i="137"/>
  <c r="BQ19" i="137"/>
  <c r="BP19" i="137"/>
  <c r="BO19" i="137"/>
  <c r="BN19" i="137"/>
  <c r="BM19" i="137"/>
  <c r="BL19" i="137"/>
  <c r="BK19" i="137"/>
  <c r="BJ19" i="137"/>
  <c r="BC19" i="137"/>
  <c r="BB19" i="137"/>
  <c r="BA19" i="137"/>
  <c r="AZ19" i="137"/>
  <c r="AY19" i="137"/>
  <c r="AX19" i="137"/>
  <c r="AW19" i="137"/>
  <c r="AV19" i="137"/>
  <c r="AJ19" i="137"/>
  <c r="AI19" i="137"/>
  <c r="AH19" i="137"/>
  <c r="AG19" i="137"/>
  <c r="AF19" i="137"/>
  <c r="AE19" i="137"/>
  <c r="AD19" i="137"/>
  <c r="AC19" i="137"/>
  <c r="L19" i="137"/>
  <c r="K19" i="137"/>
  <c r="J19" i="137"/>
  <c r="I19" i="137"/>
  <c r="H19" i="137"/>
  <c r="G19" i="137"/>
  <c r="F19" i="137"/>
  <c r="E19" i="137"/>
  <c r="DQ18" i="137"/>
  <c r="DP18" i="137"/>
  <c r="DO18" i="137"/>
  <c r="DN18" i="137"/>
  <c r="DM18" i="137"/>
  <c r="DL18" i="137"/>
  <c r="DK18" i="137"/>
  <c r="DJ18" i="137"/>
  <c r="DD18" i="137"/>
  <c r="DC18" i="137"/>
  <c r="DB18" i="137"/>
  <c r="DA18" i="137"/>
  <c r="CZ18" i="137"/>
  <c r="CY18" i="137"/>
  <c r="CX18" i="137"/>
  <c r="CW18" i="137"/>
  <c r="CR18" i="137"/>
  <c r="CQ18" i="137"/>
  <c r="CP18" i="137"/>
  <c r="CO18" i="137"/>
  <c r="CN18" i="137"/>
  <c r="CM18" i="137"/>
  <c r="CL18" i="137"/>
  <c r="CK18" i="137"/>
  <c r="BC18" i="137"/>
  <c r="BB18" i="137"/>
  <c r="BA18" i="137"/>
  <c r="AZ18" i="137"/>
  <c r="AY18" i="137"/>
  <c r="AX18" i="137"/>
  <c r="AW18" i="137"/>
  <c r="AV18" i="137"/>
  <c r="AJ18" i="137"/>
  <c r="AI18" i="137"/>
  <c r="AH18" i="137"/>
  <c r="AG18" i="137"/>
  <c r="AF18" i="137"/>
  <c r="AE18" i="137"/>
  <c r="AD18" i="137"/>
  <c r="AC18" i="137"/>
  <c r="L18" i="137"/>
  <c r="K18" i="137"/>
  <c r="J18" i="137"/>
  <c r="I18" i="137"/>
  <c r="H18" i="137"/>
  <c r="G18" i="137"/>
  <c r="F18" i="137"/>
  <c r="E18" i="137"/>
  <c r="DQ17" i="137"/>
  <c r="DP17" i="137"/>
  <c r="DO17" i="137"/>
  <c r="DN17" i="137"/>
  <c r="DM17" i="137"/>
  <c r="DL17" i="137"/>
  <c r="DK17" i="137"/>
  <c r="DJ17" i="137"/>
  <c r="CR17" i="137"/>
  <c r="CQ17" i="137"/>
  <c r="CP17" i="137"/>
  <c r="CO17" i="137"/>
  <c r="CN17" i="137"/>
  <c r="CM17" i="137"/>
  <c r="CL17" i="137"/>
  <c r="CK17" i="137"/>
  <c r="BC17" i="137"/>
  <c r="BB17" i="137"/>
  <c r="BA17" i="137"/>
  <c r="AZ17" i="137"/>
  <c r="AY17" i="137"/>
  <c r="AX17" i="137"/>
  <c r="AW17" i="137"/>
  <c r="AV17" i="137"/>
  <c r="AJ17" i="137"/>
  <c r="AI17" i="137"/>
  <c r="AH17" i="137"/>
  <c r="AG17" i="137"/>
  <c r="AF17" i="137"/>
  <c r="AE17" i="137"/>
  <c r="AD17" i="137"/>
  <c r="AC17" i="137"/>
  <c r="L17" i="137"/>
  <c r="K17" i="137"/>
  <c r="J17" i="137"/>
  <c r="I17" i="137"/>
  <c r="H17" i="137"/>
  <c r="G17" i="137"/>
  <c r="F17" i="137"/>
  <c r="E17" i="137"/>
  <c r="DQ16" i="137"/>
  <c r="DP16" i="137"/>
  <c r="DO16" i="137"/>
  <c r="DN16" i="137"/>
  <c r="DM16" i="137"/>
  <c r="DL16" i="137"/>
  <c r="DK16" i="137"/>
  <c r="DJ16" i="137"/>
  <c r="DD16" i="137"/>
  <c r="DC16" i="137"/>
  <c r="DB16" i="137"/>
  <c r="DA16" i="137"/>
  <c r="CZ16" i="137"/>
  <c r="CY16" i="137"/>
  <c r="CX16" i="137"/>
  <c r="CW16" i="137"/>
  <c r="CR16" i="137"/>
  <c r="CQ16" i="137"/>
  <c r="CP16" i="137"/>
  <c r="CO16" i="137"/>
  <c r="CN16" i="137"/>
  <c r="CM16" i="137"/>
  <c r="CL16" i="137"/>
  <c r="CK16" i="137"/>
  <c r="CE16" i="137"/>
  <c r="CD16" i="137"/>
  <c r="CC16" i="137"/>
  <c r="CB16" i="137"/>
  <c r="CA16" i="137"/>
  <c r="BZ16" i="137"/>
  <c r="BY16" i="137"/>
  <c r="BX16" i="137"/>
  <c r="BQ16" i="137"/>
  <c r="BP16" i="137"/>
  <c r="BO16" i="137"/>
  <c r="BN16" i="137"/>
  <c r="BM16" i="137"/>
  <c r="BL16" i="137"/>
  <c r="BK16" i="137"/>
  <c r="BJ16" i="137"/>
  <c r="BC16" i="137"/>
  <c r="BB16" i="137"/>
  <c r="BA16" i="137"/>
  <c r="AZ16" i="137"/>
  <c r="AY16" i="137"/>
  <c r="AX16" i="137"/>
  <c r="AW16" i="137"/>
  <c r="AV16" i="137"/>
  <c r="AJ16" i="137"/>
  <c r="AI16" i="137"/>
  <c r="AH16" i="137"/>
  <c r="AG16" i="137"/>
  <c r="AF16" i="137"/>
  <c r="AE16" i="137"/>
  <c r="AD16" i="137"/>
  <c r="AC16" i="137"/>
  <c r="DD15" i="137"/>
  <c r="DC15" i="137"/>
  <c r="DB15" i="137"/>
  <c r="DA15" i="137"/>
  <c r="CZ15" i="137"/>
  <c r="CY15" i="137"/>
  <c r="CX15" i="137"/>
  <c r="CW15" i="137"/>
  <c r="CE15" i="137"/>
  <c r="CD15" i="137"/>
  <c r="CC15" i="137"/>
  <c r="CB15" i="137"/>
  <c r="CA15" i="137"/>
  <c r="BZ15" i="137"/>
  <c r="BY15" i="137"/>
  <c r="BX15" i="137"/>
  <c r="BQ15" i="137"/>
  <c r="BP15" i="137"/>
  <c r="BO15" i="137"/>
  <c r="BN15" i="137"/>
  <c r="BM15" i="137"/>
  <c r="BL15" i="137"/>
  <c r="BK15" i="137"/>
  <c r="BJ15" i="137"/>
  <c r="BC15" i="137"/>
  <c r="BB15" i="137"/>
  <c r="BA15" i="137"/>
  <c r="AZ15" i="137"/>
  <c r="AY15" i="137"/>
  <c r="AX15" i="137"/>
  <c r="AW15" i="137"/>
  <c r="AV15" i="137"/>
  <c r="AJ15" i="137"/>
  <c r="AI15" i="137"/>
  <c r="AH15" i="137"/>
  <c r="AG15" i="137"/>
  <c r="AF15" i="137"/>
  <c r="AE15" i="137"/>
  <c r="AD15" i="137"/>
  <c r="AC15" i="137"/>
  <c r="DQ14" i="137"/>
  <c r="DP14" i="137"/>
  <c r="DO14" i="137"/>
  <c r="DN14" i="137"/>
  <c r="DM14" i="137"/>
  <c r="DL14" i="137"/>
  <c r="DK14" i="137"/>
  <c r="DJ14" i="137"/>
  <c r="DD14" i="137"/>
  <c r="DC14" i="137"/>
  <c r="DB14" i="137"/>
  <c r="DA14" i="137"/>
  <c r="CZ14" i="137"/>
  <c r="CY14" i="137"/>
  <c r="CX14" i="137"/>
  <c r="CW14" i="137"/>
  <c r="CE14" i="137"/>
  <c r="CD14" i="137"/>
  <c r="CC14" i="137"/>
  <c r="CB14" i="137"/>
  <c r="CA14" i="137"/>
  <c r="BZ14" i="137"/>
  <c r="BY14" i="137"/>
  <c r="BX14" i="137"/>
  <c r="BQ14" i="137"/>
  <c r="BP14" i="137"/>
  <c r="BO14" i="137"/>
  <c r="BN14" i="137"/>
  <c r="BM14" i="137"/>
  <c r="BL14" i="137"/>
  <c r="BK14" i="137"/>
  <c r="BJ14" i="137"/>
  <c r="BC14" i="137"/>
  <c r="BB14" i="137"/>
  <c r="BA14" i="137"/>
  <c r="AZ14" i="137"/>
  <c r="AY14" i="137"/>
  <c r="AX14" i="137"/>
  <c r="AW14" i="137"/>
  <c r="AV14" i="137"/>
  <c r="AJ14" i="137"/>
  <c r="AI14" i="137"/>
  <c r="AH14" i="137"/>
  <c r="AG14" i="137"/>
  <c r="AF14" i="137"/>
  <c r="AE14" i="137"/>
  <c r="AD14" i="137"/>
  <c r="AC14" i="137"/>
  <c r="L14" i="137"/>
  <c r="K14" i="137"/>
  <c r="J14" i="137"/>
  <c r="I14" i="137"/>
  <c r="H14" i="137"/>
  <c r="G14" i="137"/>
  <c r="F14" i="137"/>
  <c r="E14" i="137"/>
  <c r="DQ13" i="137"/>
  <c r="DP13" i="137"/>
  <c r="DO13" i="137"/>
  <c r="DN13" i="137"/>
  <c r="DM13" i="137"/>
  <c r="DL13" i="137"/>
  <c r="DK13" i="137"/>
  <c r="DJ13" i="137"/>
  <c r="DD13" i="137"/>
  <c r="DC13" i="137"/>
  <c r="DB13" i="137"/>
  <c r="DA13" i="137"/>
  <c r="CZ13" i="137"/>
  <c r="CY13" i="137"/>
  <c r="CX13" i="137"/>
  <c r="CW13" i="137"/>
  <c r="CE13" i="137"/>
  <c r="CD13" i="137"/>
  <c r="CC13" i="137"/>
  <c r="CB13" i="137"/>
  <c r="CA13" i="137"/>
  <c r="BZ13" i="137"/>
  <c r="BY13" i="137"/>
  <c r="BX13" i="137"/>
  <c r="BC13" i="137"/>
  <c r="BB13" i="137"/>
  <c r="BA13" i="137"/>
  <c r="AZ13" i="137"/>
  <c r="AY13" i="137"/>
  <c r="AX13" i="137"/>
  <c r="AW13" i="137"/>
  <c r="AV13" i="137"/>
  <c r="DQ12" i="137"/>
  <c r="DP12" i="137"/>
  <c r="DO12" i="137"/>
  <c r="DN12" i="137"/>
  <c r="DM12" i="137"/>
  <c r="DL12" i="137"/>
  <c r="DK12" i="137"/>
  <c r="DJ12" i="137"/>
  <c r="DD12" i="137"/>
  <c r="DC12" i="137"/>
  <c r="DB12" i="137"/>
  <c r="DA12" i="137"/>
  <c r="CZ12" i="137"/>
  <c r="CY12" i="137"/>
  <c r="CX12" i="137"/>
  <c r="CW12" i="137"/>
  <c r="DQ11" i="137"/>
  <c r="DP11" i="137"/>
  <c r="DO11" i="137"/>
  <c r="DN11" i="137"/>
  <c r="DM11" i="137"/>
  <c r="DL11" i="137"/>
  <c r="DK11" i="137"/>
  <c r="DJ11" i="137"/>
  <c r="DD11" i="137"/>
  <c r="DC11" i="137"/>
  <c r="DB11" i="137"/>
  <c r="DA11" i="137"/>
  <c r="CZ11" i="137"/>
  <c r="CY11" i="137"/>
  <c r="CX11" i="137"/>
  <c r="CW11" i="137"/>
  <c r="AJ11" i="137"/>
  <c r="AI11" i="137"/>
  <c r="AH11" i="137"/>
  <c r="AG11" i="137"/>
  <c r="AF11" i="137"/>
  <c r="AE11" i="137"/>
  <c r="AD11" i="137"/>
  <c r="AC11" i="137"/>
  <c r="DQ10" i="137"/>
  <c r="DP10" i="137"/>
  <c r="DO10" i="137"/>
  <c r="DN10" i="137"/>
  <c r="DM10" i="137"/>
  <c r="DL10" i="137"/>
  <c r="DK10" i="137"/>
  <c r="DJ10" i="137"/>
  <c r="DD10" i="137"/>
  <c r="DC10" i="137"/>
  <c r="DB10" i="137"/>
  <c r="DA10" i="137"/>
  <c r="CZ10" i="137"/>
  <c r="CY10" i="137"/>
  <c r="CX10" i="137"/>
  <c r="CW10" i="137"/>
  <c r="AJ10" i="137"/>
  <c r="AI10" i="137"/>
  <c r="AH10" i="137"/>
  <c r="AG10" i="137"/>
  <c r="AF10" i="137"/>
  <c r="AE10" i="137"/>
  <c r="AD10" i="137"/>
  <c r="AC10" i="137"/>
  <c r="X10" i="137"/>
  <c r="W10" i="137"/>
  <c r="V10" i="137"/>
  <c r="U10" i="137"/>
  <c r="T10" i="137"/>
  <c r="S10" i="137"/>
  <c r="R10" i="137"/>
  <c r="Q10" i="137"/>
  <c r="L10" i="137"/>
  <c r="K10" i="137"/>
  <c r="J10" i="137"/>
  <c r="I10" i="137"/>
  <c r="H10" i="137"/>
  <c r="G10" i="137"/>
  <c r="F10" i="137"/>
  <c r="E10" i="137"/>
  <c r="DQ9" i="137"/>
  <c r="DP9" i="137"/>
  <c r="DO9" i="137"/>
  <c r="DN9" i="137"/>
  <c r="DM9" i="137"/>
  <c r="DL9" i="137"/>
  <c r="DK9" i="137"/>
  <c r="DJ9" i="137"/>
  <c r="DD9" i="137"/>
  <c r="DC9" i="137"/>
  <c r="DB9" i="137"/>
  <c r="DA9" i="137"/>
  <c r="CZ9" i="137"/>
  <c r="CY9" i="137"/>
  <c r="CX9" i="137"/>
  <c r="CW9" i="137"/>
  <c r="BQ9" i="137"/>
  <c r="BP9" i="137"/>
  <c r="BO9" i="137"/>
  <c r="BN9" i="137"/>
  <c r="BM9" i="137"/>
  <c r="BL9" i="137"/>
  <c r="BK9" i="137"/>
  <c r="BJ9" i="137"/>
  <c r="AJ9" i="137"/>
  <c r="AI9" i="137"/>
  <c r="AH9" i="137"/>
  <c r="AG9" i="137"/>
  <c r="AF9" i="137"/>
  <c r="AE9" i="137"/>
  <c r="AD9" i="137"/>
  <c r="AC9" i="137"/>
  <c r="L9" i="137"/>
  <c r="K9" i="137"/>
  <c r="J9" i="137"/>
  <c r="I9" i="137"/>
  <c r="H9" i="137"/>
  <c r="G9" i="137"/>
  <c r="F9" i="137"/>
  <c r="E9" i="137"/>
  <c r="CE8" i="137"/>
  <c r="CD8" i="137"/>
  <c r="CC8" i="137"/>
  <c r="CB8" i="137"/>
  <c r="CA8" i="137"/>
  <c r="BZ8" i="137"/>
  <c r="BY8" i="137"/>
  <c r="BX8" i="137"/>
  <c r="BQ8" i="137"/>
  <c r="BP8" i="137"/>
  <c r="BO8" i="137"/>
  <c r="BN8" i="137"/>
  <c r="BM8" i="137"/>
  <c r="BL8" i="137"/>
  <c r="BK8" i="137"/>
  <c r="BJ8" i="137"/>
  <c r="AJ8" i="137"/>
  <c r="AI8" i="137"/>
  <c r="AH8" i="137"/>
  <c r="AG8" i="137"/>
  <c r="AF8" i="137"/>
  <c r="AE8" i="137"/>
  <c r="AD8" i="137"/>
  <c r="AC8" i="137"/>
  <c r="X8" i="137"/>
  <c r="W8" i="137"/>
  <c r="V8" i="137"/>
  <c r="U8" i="137"/>
  <c r="T8" i="137"/>
  <c r="S8" i="137"/>
  <c r="R8" i="137"/>
  <c r="Q8" i="137"/>
  <c r="L8" i="137"/>
  <c r="K8" i="137"/>
  <c r="J8" i="137"/>
  <c r="I8" i="137"/>
  <c r="H8" i="137"/>
  <c r="G8" i="137"/>
  <c r="F8" i="137"/>
  <c r="E8" i="137"/>
  <c r="DQ7" i="137"/>
  <c r="DP7" i="137"/>
  <c r="DO7" i="137"/>
  <c r="DN7" i="137"/>
  <c r="DM7" i="137"/>
  <c r="DL7" i="137"/>
  <c r="DK7" i="137"/>
  <c r="DJ7" i="137"/>
  <c r="DD7" i="137"/>
  <c r="DC7" i="137"/>
  <c r="DB7" i="137"/>
  <c r="DA7" i="137"/>
  <c r="CZ7" i="137"/>
  <c r="CY7" i="137"/>
  <c r="CX7" i="137"/>
  <c r="CW7" i="137"/>
  <c r="CR7" i="137"/>
  <c r="CQ7" i="137"/>
  <c r="CP7" i="137"/>
  <c r="CO7" i="137"/>
  <c r="CN7" i="137"/>
  <c r="CM7" i="137"/>
  <c r="CL7" i="137"/>
  <c r="CK7" i="137"/>
  <c r="CE7" i="137"/>
  <c r="CD7" i="137"/>
  <c r="CC7" i="137"/>
  <c r="CB7" i="137"/>
  <c r="CA7" i="137"/>
  <c r="BZ7" i="137"/>
  <c r="BY7" i="137"/>
  <c r="BX7" i="137"/>
  <c r="BQ7" i="137"/>
  <c r="BP7" i="137"/>
  <c r="BO7" i="137"/>
  <c r="BN7" i="137"/>
  <c r="BM7" i="137"/>
  <c r="BL7" i="137"/>
  <c r="BK7" i="137"/>
  <c r="BJ7" i="137"/>
  <c r="AJ7" i="137"/>
  <c r="AI7" i="137"/>
  <c r="AH7" i="137"/>
  <c r="AG7" i="137"/>
  <c r="AF7" i="137"/>
  <c r="AE7" i="137"/>
  <c r="AD7" i="137"/>
  <c r="AC7" i="137"/>
  <c r="X7" i="137"/>
  <c r="W7" i="137"/>
  <c r="V7" i="137"/>
  <c r="U7" i="137"/>
  <c r="T7" i="137"/>
  <c r="S7" i="137"/>
  <c r="R7" i="137"/>
  <c r="Q7" i="137"/>
  <c r="L7" i="137"/>
  <c r="K7" i="137"/>
  <c r="J7" i="137"/>
  <c r="I7" i="137"/>
  <c r="H7" i="137"/>
  <c r="G7" i="137"/>
  <c r="F7" i="137"/>
  <c r="E7" i="137"/>
  <c r="DQ6" i="137"/>
  <c r="DP6" i="137"/>
  <c r="DO6" i="137"/>
  <c r="DN6" i="137"/>
  <c r="DM6" i="137"/>
  <c r="DL6" i="137"/>
  <c r="DK6" i="137"/>
  <c r="DJ6" i="137"/>
  <c r="DD6" i="137"/>
  <c r="DC6" i="137"/>
  <c r="DB6" i="137"/>
  <c r="DA6" i="137"/>
  <c r="CZ6" i="137"/>
  <c r="CY6" i="137"/>
  <c r="CX6" i="137"/>
  <c r="CW6" i="137"/>
  <c r="CR6" i="137"/>
  <c r="CQ6" i="137"/>
  <c r="CP6" i="137"/>
  <c r="CO6" i="137"/>
  <c r="CN6" i="137"/>
  <c r="CM6" i="137"/>
  <c r="CL6" i="137"/>
  <c r="CK6" i="137"/>
  <c r="CE6" i="137"/>
  <c r="CD6" i="137"/>
  <c r="CC6" i="137"/>
  <c r="CB6" i="137"/>
  <c r="CA6" i="137"/>
  <c r="BZ6" i="137"/>
  <c r="BY6" i="137"/>
  <c r="BX6" i="137"/>
  <c r="BQ6" i="137"/>
  <c r="BP6" i="137"/>
  <c r="BO6" i="137"/>
  <c r="BN6" i="137"/>
  <c r="BM6" i="137"/>
  <c r="BL6" i="137"/>
  <c r="BK6" i="137"/>
  <c r="BJ6" i="137"/>
  <c r="BC6" i="137"/>
  <c r="BB6" i="137"/>
  <c r="BA6" i="137"/>
  <c r="AZ6" i="137"/>
  <c r="AY6" i="137"/>
  <c r="AX6" i="137"/>
  <c r="AW6" i="137"/>
  <c r="AV6" i="137"/>
  <c r="AJ6" i="137"/>
  <c r="AI6" i="137"/>
  <c r="AH6" i="137"/>
  <c r="AG6" i="137"/>
  <c r="AF6" i="137"/>
  <c r="AE6" i="137"/>
  <c r="AD6" i="137"/>
  <c r="AC6" i="137"/>
  <c r="L6" i="137"/>
  <c r="K6" i="137"/>
  <c r="J6" i="137"/>
  <c r="I6" i="137"/>
  <c r="H6" i="137"/>
  <c r="G6" i="137"/>
  <c r="F6" i="137"/>
  <c r="E6" i="137"/>
  <c r="DQ5" i="137"/>
  <c r="DP5" i="137"/>
  <c r="DO5" i="137"/>
  <c r="DN5" i="137"/>
  <c r="DM5" i="137"/>
  <c r="DL5" i="137"/>
  <c r="DK5" i="137"/>
  <c r="DJ5" i="137"/>
  <c r="DD5" i="137"/>
  <c r="DC5" i="137"/>
  <c r="DB5" i="137"/>
  <c r="DA5" i="137"/>
  <c r="CZ5" i="137"/>
  <c r="CY5" i="137"/>
  <c r="CX5" i="137"/>
  <c r="CW5" i="137"/>
  <c r="CR5" i="137"/>
  <c r="CQ5" i="137"/>
  <c r="CP5" i="137"/>
  <c r="CO5" i="137"/>
  <c r="CN5" i="137"/>
  <c r="CM5" i="137"/>
  <c r="CL5" i="137"/>
  <c r="CK5" i="137"/>
  <c r="BQ5" i="137"/>
  <c r="BP5" i="137"/>
  <c r="BO5" i="137"/>
  <c r="BN5" i="137"/>
  <c r="BM5" i="137"/>
  <c r="BL5" i="137"/>
  <c r="BK5" i="137"/>
  <c r="BJ5" i="137"/>
  <c r="BC5" i="137"/>
  <c r="BB5" i="137"/>
  <c r="BA5" i="137"/>
  <c r="AZ5" i="137"/>
  <c r="AY5" i="137"/>
  <c r="AX5" i="137"/>
  <c r="AW5" i="137"/>
  <c r="AV5" i="137"/>
  <c r="AJ5" i="137"/>
  <c r="AI5" i="137"/>
  <c r="AH5" i="137"/>
  <c r="AG5" i="137"/>
  <c r="AF5" i="137"/>
  <c r="AE5" i="137"/>
  <c r="AD5" i="137"/>
  <c r="AC5" i="137"/>
  <c r="X5" i="137"/>
  <c r="W5" i="137"/>
  <c r="V5" i="137"/>
  <c r="U5" i="137"/>
  <c r="T5" i="137"/>
  <c r="S5" i="137"/>
  <c r="R5" i="137"/>
  <c r="Q5" i="137"/>
  <c r="L5" i="137"/>
  <c r="K5" i="137"/>
  <c r="J5" i="137"/>
  <c r="I5" i="137"/>
  <c r="H5" i="137"/>
  <c r="G5" i="137"/>
  <c r="F5" i="137"/>
  <c r="E5" i="137"/>
  <c r="DQ4" i="137"/>
  <c r="DP4" i="137"/>
  <c r="DO4" i="137"/>
  <c r="DN4" i="137"/>
  <c r="DM4" i="137"/>
  <c r="DL4" i="137"/>
  <c r="DK4" i="137"/>
  <c r="DJ4" i="137"/>
  <c r="BQ4" i="137"/>
  <c r="BP4" i="137"/>
  <c r="BO4" i="137"/>
  <c r="BN4" i="137"/>
  <c r="BM4" i="137"/>
  <c r="BL4" i="137"/>
  <c r="BK4" i="137"/>
  <c r="BJ4" i="137"/>
  <c r="BC4" i="137"/>
  <c r="BB4" i="137"/>
  <c r="BA4" i="137"/>
  <c r="AZ4" i="137"/>
  <c r="AY4" i="137"/>
  <c r="AX4" i="137"/>
  <c r="AW4" i="137"/>
  <c r="AV4" i="137"/>
  <c r="AJ4" i="137"/>
  <c r="AI4" i="137"/>
  <c r="AH4" i="137"/>
  <c r="AG4" i="137"/>
  <c r="AF4" i="137"/>
  <c r="AE4" i="137"/>
  <c r="AD4" i="137"/>
  <c r="AC4" i="137"/>
  <c r="X4" i="137"/>
  <c r="W4" i="137"/>
  <c r="V4" i="137"/>
  <c r="U4" i="137"/>
  <c r="T4" i="137"/>
  <c r="S4" i="137"/>
  <c r="R4" i="137"/>
  <c r="Q4" i="137"/>
  <c r="L4" i="137"/>
  <c r="K4" i="137"/>
  <c r="J4" i="137"/>
  <c r="I4" i="137"/>
  <c r="H4" i="137"/>
  <c r="G4" i="137"/>
  <c r="F4" i="137"/>
  <c r="E4" i="137"/>
  <c r="L43" i="136"/>
  <c r="K43" i="136"/>
  <c r="J43" i="136"/>
  <c r="I43" i="136"/>
  <c r="H43" i="136"/>
  <c r="G43" i="136"/>
  <c r="F43" i="136"/>
  <c r="E43" i="136"/>
  <c r="L42" i="136"/>
  <c r="K42" i="136"/>
  <c r="J42" i="136"/>
  <c r="I42" i="136"/>
  <c r="H42" i="136"/>
  <c r="G42" i="136"/>
  <c r="F42" i="136"/>
  <c r="E42" i="136"/>
  <c r="L41" i="136"/>
  <c r="K41" i="136"/>
  <c r="J41" i="136"/>
  <c r="I41" i="136"/>
  <c r="H41" i="136"/>
  <c r="G41" i="136"/>
  <c r="F41" i="136"/>
  <c r="E41" i="136"/>
  <c r="L40" i="136"/>
  <c r="K40" i="136"/>
  <c r="J40" i="136"/>
  <c r="I40" i="136"/>
  <c r="H40" i="136"/>
  <c r="G40" i="136"/>
  <c r="F40" i="136"/>
  <c r="E40" i="136"/>
  <c r="L39" i="136"/>
  <c r="K39" i="136"/>
  <c r="J39" i="136"/>
  <c r="I39" i="136"/>
  <c r="H39" i="136"/>
  <c r="G39" i="136"/>
  <c r="F39" i="136"/>
  <c r="E39" i="136"/>
  <c r="L38" i="136"/>
  <c r="K38" i="136"/>
  <c r="J38" i="136"/>
  <c r="I38" i="136"/>
  <c r="H38" i="136"/>
  <c r="G38" i="136"/>
  <c r="F38" i="136"/>
  <c r="E38" i="136"/>
  <c r="L37" i="136"/>
  <c r="K37" i="136"/>
  <c r="J37" i="136"/>
  <c r="I37" i="136"/>
  <c r="H37" i="136"/>
  <c r="G37" i="136"/>
  <c r="F37" i="136"/>
  <c r="E37" i="136"/>
  <c r="L36" i="136"/>
  <c r="K36" i="136"/>
  <c r="J36" i="136"/>
  <c r="I36" i="136"/>
  <c r="H36" i="136"/>
  <c r="G36" i="136"/>
  <c r="F36" i="136"/>
  <c r="E36" i="136"/>
  <c r="L35" i="136"/>
  <c r="K35" i="136"/>
  <c r="J35" i="136"/>
  <c r="I35" i="136"/>
  <c r="H35" i="136"/>
  <c r="G35" i="136"/>
  <c r="F35" i="136"/>
  <c r="E35" i="136"/>
  <c r="L34" i="136"/>
  <c r="K34" i="136"/>
  <c r="J34" i="136"/>
  <c r="I34" i="136"/>
  <c r="H34" i="136"/>
  <c r="G34" i="136"/>
  <c r="F34" i="136"/>
  <c r="E34" i="136"/>
  <c r="L33" i="136"/>
  <c r="K33" i="136"/>
  <c r="J33" i="136"/>
  <c r="I33" i="136"/>
  <c r="H33" i="136"/>
  <c r="G33" i="136"/>
  <c r="F33" i="136"/>
  <c r="E33" i="136"/>
  <c r="L32" i="136"/>
  <c r="K32" i="136"/>
  <c r="J32" i="136"/>
  <c r="I32" i="136"/>
  <c r="H32" i="136"/>
  <c r="G32" i="136"/>
  <c r="F32" i="136"/>
  <c r="E32" i="136"/>
  <c r="L31" i="136"/>
  <c r="K31" i="136"/>
  <c r="J31" i="136"/>
  <c r="I31" i="136"/>
  <c r="H31" i="136"/>
  <c r="G31" i="136"/>
  <c r="F31" i="136"/>
  <c r="E31" i="136"/>
  <c r="L30" i="136"/>
  <c r="K30" i="136"/>
  <c r="J30" i="136"/>
  <c r="I30" i="136"/>
  <c r="H30" i="136"/>
  <c r="G30" i="136"/>
  <c r="F30" i="136"/>
  <c r="E30" i="136"/>
  <c r="L29" i="136"/>
  <c r="K29" i="136"/>
  <c r="J29" i="136"/>
  <c r="I29" i="136"/>
  <c r="H29" i="136"/>
  <c r="G29" i="136"/>
  <c r="F29" i="136"/>
  <c r="E29" i="136"/>
  <c r="L28" i="136"/>
  <c r="K28" i="136"/>
  <c r="J28" i="136"/>
  <c r="I28" i="136"/>
  <c r="H28" i="136"/>
  <c r="G28" i="136"/>
  <c r="F28" i="136"/>
  <c r="E28" i="136"/>
  <c r="L27" i="136"/>
  <c r="K27" i="136"/>
  <c r="J27" i="136"/>
  <c r="I27" i="136"/>
  <c r="H27" i="136"/>
  <c r="G27" i="136"/>
  <c r="F27" i="136"/>
  <c r="E27" i="136"/>
  <c r="L26" i="136"/>
  <c r="K26" i="136"/>
  <c r="J26" i="136"/>
  <c r="I26" i="136"/>
  <c r="H26" i="136"/>
  <c r="G26" i="136"/>
  <c r="F26" i="136"/>
  <c r="E26" i="136"/>
  <c r="L19" i="136"/>
  <c r="K19" i="136"/>
  <c r="J19" i="136"/>
  <c r="I19" i="136"/>
  <c r="H19" i="136"/>
  <c r="G19" i="136"/>
  <c r="F19" i="136"/>
  <c r="E19" i="136"/>
  <c r="Y18" i="136"/>
  <c r="X18" i="136"/>
  <c r="W18" i="136"/>
  <c r="V18" i="136"/>
  <c r="U18" i="136"/>
  <c r="T18" i="136"/>
  <c r="S18" i="136"/>
  <c r="R18" i="136"/>
  <c r="L18" i="136"/>
  <c r="K18" i="136"/>
  <c r="J18" i="136"/>
  <c r="I18" i="136"/>
  <c r="H18" i="136"/>
  <c r="G18" i="136"/>
  <c r="F18" i="136"/>
  <c r="E18" i="136"/>
  <c r="Y17" i="136"/>
  <c r="X17" i="136"/>
  <c r="W17" i="136"/>
  <c r="V17" i="136"/>
  <c r="U17" i="136"/>
  <c r="T17" i="136"/>
  <c r="S17" i="136"/>
  <c r="R17" i="136"/>
  <c r="Y16" i="136"/>
  <c r="X16" i="136"/>
  <c r="W16" i="136"/>
  <c r="V16" i="136"/>
  <c r="U16" i="136"/>
  <c r="T16" i="136"/>
  <c r="S16" i="136"/>
  <c r="R16" i="136"/>
  <c r="L16" i="136"/>
  <c r="K16" i="136"/>
  <c r="J16" i="136"/>
  <c r="I16" i="136"/>
  <c r="H16" i="136"/>
  <c r="G16" i="136"/>
  <c r="F16" i="136"/>
  <c r="E16" i="136"/>
  <c r="AN15" i="136"/>
  <c r="AM15" i="136"/>
  <c r="AL15" i="136"/>
  <c r="AK15" i="136"/>
  <c r="AJ15" i="136"/>
  <c r="AI15" i="136"/>
  <c r="AH15" i="136"/>
  <c r="AG15" i="136"/>
  <c r="Y15" i="136"/>
  <c r="X15" i="136"/>
  <c r="W15" i="136"/>
  <c r="V15" i="136"/>
  <c r="U15" i="136"/>
  <c r="T15" i="136"/>
  <c r="S15" i="136"/>
  <c r="R15" i="136"/>
  <c r="L15" i="136"/>
  <c r="K15" i="136"/>
  <c r="J15" i="136"/>
  <c r="I15" i="136"/>
  <c r="H15" i="136"/>
  <c r="G15" i="136"/>
  <c r="F15" i="136"/>
  <c r="E15" i="136"/>
  <c r="AN14" i="136"/>
  <c r="AM14" i="136"/>
  <c r="AL14" i="136"/>
  <c r="AK14" i="136"/>
  <c r="AJ14" i="136"/>
  <c r="AI14" i="136"/>
  <c r="AH14" i="136"/>
  <c r="AG14" i="136"/>
  <c r="Y14" i="136"/>
  <c r="X14" i="136"/>
  <c r="W14" i="136"/>
  <c r="V14" i="136"/>
  <c r="U14" i="136"/>
  <c r="T14" i="136"/>
  <c r="S14" i="136"/>
  <c r="R14" i="136"/>
  <c r="L14" i="136"/>
  <c r="K14" i="136"/>
  <c r="J14" i="136"/>
  <c r="I14" i="136"/>
  <c r="H14" i="136"/>
  <c r="G14" i="136"/>
  <c r="F14" i="136"/>
  <c r="E14" i="136"/>
  <c r="AN13" i="136"/>
  <c r="AM13" i="136"/>
  <c r="AL13" i="136"/>
  <c r="AK13" i="136"/>
  <c r="AJ13" i="136"/>
  <c r="AI13" i="136"/>
  <c r="AH13" i="136"/>
  <c r="AG13" i="136"/>
  <c r="Y13" i="136"/>
  <c r="X13" i="136"/>
  <c r="W13" i="136"/>
  <c r="V13" i="136"/>
  <c r="U13" i="136"/>
  <c r="T13" i="136"/>
  <c r="S13" i="136"/>
  <c r="R13" i="136"/>
  <c r="L13" i="136"/>
  <c r="K13" i="136"/>
  <c r="J13" i="136"/>
  <c r="I13" i="136"/>
  <c r="H13" i="136"/>
  <c r="G13" i="136"/>
  <c r="F13" i="136"/>
  <c r="E13" i="136"/>
  <c r="AN12" i="136"/>
  <c r="AM12" i="136"/>
  <c r="AL12" i="136"/>
  <c r="AK12" i="136"/>
  <c r="AJ12" i="136"/>
  <c r="AI12" i="136"/>
  <c r="AH12" i="136"/>
  <c r="AG12" i="136"/>
  <c r="Y12" i="136"/>
  <c r="X12" i="136"/>
  <c r="W12" i="136"/>
  <c r="V12" i="136"/>
  <c r="U12" i="136"/>
  <c r="T12" i="136"/>
  <c r="S12" i="136"/>
  <c r="R12" i="136"/>
  <c r="L12" i="136"/>
  <c r="K12" i="136"/>
  <c r="J12" i="136"/>
  <c r="I12" i="136"/>
  <c r="H12" i="136"/>
  <c r="G12" i="136"/>
  <c r="F12" i="136"/>
  <c r="E12" i="136"/>
  <c r="AN11" i="136"/>
  <c r="AM11" i="136"/>
  <c r="AL11" i="136"/>
  <c r="AK11" i="136"/>
  <c r="AJ11" i="136"/>
  <c r="AI11" i="136"/>
  <c r="AH11" i="136"/>
  <c r="AG11" i="136"/>
  <c r="Y11" i="136"/>
  <c r="X11" i="136"/>
  <c r="W11" i="136"/>
  <c r="V11" i="136"/>
  <c r="U11" i="136"/>
  <c r="T11" i="136"/>
  <c r="S11" i="136"/>
  <c r="R11" i="136"/>
  <c r="L11" i="136"/>
  <c r="K11" i="136"/>
  <c r="J11" i="136"/>
  <c r="I11" i="136"/>
  <c r="H11" i="136"/>
  <c r="G11" i="136"/>
  <c r="F11" i="136"/>
  <c r="E11" i="136"/>
  <c r="AN10" i="136"/>
  <c r="AM10" i="136"/>
  <c r="AL10" i="136"/>
  <c r="AK10" i="136"/>
  <c r="AJ10" i="136"/>
  <c r="AI10" i="136"/>
  <c r="AH10" i="136"/>
  <c r="AG10" i="136"/>
  <c r="L10" i="136"/>
  <c r="K10" i="136"/>
  <c r="J10" i="136"/>
  <c r="I10" i="136"/>
  <c r="H10" i="136"/>
  <c r="G10" i="136"/>
  <c r="F10" i="136"/>
  <c r="E10" i="136"/>
  <c r="AN9" i="136"/>
  <c r="AM9" i="136"/>
  <c r="AL9" i="136"/>
  <c r="AK9" i="136"/>
  <c r="AJ9" i="136"/>
  <c r="AI9" i="136"/>
  <c r="AH9" i="136"/>
  <c r="AG9" i="136"/>
  <c r="L9" i="136"/>
  <c r="K9" i="136"/>
  <c r="J9" i="136"/>
  <c r="I9" i="136"/>
  <c r="H9" i="136"/>
  <c r="G9" i="136"/>
  <c r="F9" i="136"/>
  <c r="E9" i="136"/>
  <c r="AN8" i="136"/>
  <c r="AM8" i="136"/>
  <c r="AL8" i="136"/>
  <c r="AK8" i="136"/>
  <c r="AJ8" i="136"/>
  <c r="AI8" i="136"/>
  <c r="AH8" i="136"/>
  <c r="AG8" i="136"/>
  <c r="L8" i="136"/>
  <c r="K8" i="136"/>
  <c r="J8" i="136"/>
  <c r="I8" i="136"/>
  <c r="H8" i="136"/>
  <c r="G8" i="136"/>
  <c r="F8" i="136"/>
  <c r="E8" i="136"/>
  <c r="AN7" i="136"/>
  <c r="AM7" i="136"/>
  <c r="AL7" i="136"/>
  <c r="AK7" i="136"/>
  <c r="AJ7" i="136"/>
  <c r="AI7" i="136"/>
  <c r="AH7" i="136"/>
  <c r="AG7" i="136"/>
  <c r="L7" i="136"/>
  <c r="K7" i="136"/>
  <c r="J7" i="136"/>
  <c r="I7" i="136"/>
  <c r="H7" i="136"/>
  <c r="G7" i="136"/>
  <c r="F7" i="136"/>
  <c r="E7" i="136"/>
  <c r="AN6" i="136"/>
  <c r="AM6" i="136"/>
  <c r="AL6" i="136"/>
  <c r="AK6" i="136"/>
  <c r="AJ6" i="136"/>
  <c r="AI6" i="136"/>
  <c r="AH6" i="136"/>
  <c r="AG6" i="136"/>
  <c r="AN5" i="136"/>
  <c r="AM5" i="136"/>
  <c r="AL5" i="136"/>
  <c r="AK5" i="136"/>
  <c r="AJ5" i="136"/>
  <c r="AI5" i="136"/>
  <c r="AH5" i="136"/>
  <c r="AG5" i="136"/>
  <c r="Y5" i="136"/>
  <c r="X5" i="136"/>
  <c r="W5" i="136"/>
  <c r="V5" i="136"/>
  <c r="U5" i="136"/>
  <c r="T5" i="136"/>
  <c r="S5" i="136"/>
  <c r="R5" i="136"/>
  <c r="AN4" i="136"/>
  <c r="AM4" i="136"/>
  <c r="AL4" i="136"/>
  <c r="AK4" i="136"/>
  <c r="AJ4" i="136"/>
  <c r="AI4" i="136"/>
  <c r="AH4" i="136"/>
  <c r="AG4" i="136"/>
  <c r="Y4" i="136"/>
  <c r="X4" i="136"/>
  <c r="W4" i="136"/>
  <c r="V4" i="136"/>
  <c r="U4" i="136"/>
  <c r="T4" i="136"/>
  <c r="S4" i="136"/>
  <c r="R4" i="136"/>
  <c r="L4" i="136"/>
  <c r="K4" i="136"/>
  <c r="J4" i="136"/>
  <c r="I4" i="136"/>
  <c r="H4" i="136"/>
  <c r="G4" i="136"/>
  <c r="F4" i="136"/>
  <c r="E4" i="136"/>
  <c r="Y22" i="74"/>
  <c r="X22" i="74"/>
  <c r="W22" i="74"/>
  <c r="V22" i="74"/>
  <c r="U22" i="74"/>
  <c r="T22" i="74"/>
  <c r="S22" i="74"/>
  <c r="R22" i="74"/>
  <c r="Y21" i="74"/>
  <c r="X21" i="74"/>
  <c r="W21" i="74"/>
  <c r="V21" i="74"/>
  <c r="U21" i="74"/>
  <c r="T21" i="74"/>
  <c r="S21" i="74"/>
  <c r="R21" i="74"/>
  <c r="AX20" i="74"/>
  <c r="AW20" i="74"/>
  <c r="AV20" i="74"/>
  <c r="AU20" i="74"/>
  <c r="AT20" i="74"/>
  <c r="AS20" i="74"/>
  <c r="AR20" i="74"/>
  <c r="AQ20" i="74"/>
  <c r="Y20" i="74"/>
  <c r="X20" i="74"/>
  <c r="W20" i="74"/>
  <c r="V20" i="74"/>
  <c r="U20" i="74"/>
  <c r="T20" i="74"/>
  <c r="S20" i="74"/>
  <c r="R20" i="74"/>
  <c r="AX19" i="74"/>
  <c r="AW19" i="74"/>
  <c r="AV19" i="74"/>
  <c r="AU19" i="74"/>
  <c r="AT19" i="74"/>
  <c r="AS19" i="74"/>
  <c r="AR19" i="74"/>
  <c r="AQ19" i="74"/>
  <c r="AX18" i="74"/>
  <c r="AW18" i="74"/>
  <c r="AV18" i="74"/>
  <c r="AU18" i="74"/>
  <c r="AT18" i="74"/>
  <c r="AS18" i="74"/>
  <c r="AR18" i="74"/>
  <c r="AQ18" i="74"/>
  <c r="Y18" i="74"/>
  <c r="X18" i="74"/>
  <c r="W18" i="74"/>
  <c r="V18" i="74"/>
  <c r="U18" i="74"/>
  <c r="T18" i="74"/>
  <c r="S18" i="74"/>
  <c r="R18" i="74"/>
  <c r="AX17" i="74"/>
  <c r="AW17" i="74"/>
  <c r="AV17" i="74"/>
  <c r="AU17" i="74"/>
  <c r="AT17" i="74"/>
  <c r="AS17" i="74"/>
  <c r="AR17" i="74"/>
  <c r="AQ17" i="74"/>
  <c r="Y17" i="74"/>
  <c r="X17" i="74"/>
  <c r="W17" i="74"/>
  <c r="V17" i="74"/>
  <c r="U17" i="74"/>
  <c r="T17" i="74"/>
  <c r="S17" i="74"/>
  <c r="R17" i="74"/>
  <c r="AX16" i="74"/>
  <c r="AW16" i="74"/>
  <c r="AV16" i="74"/>
  <c r="AU16" i="74"/>
  <c r="AT16" i="74"/>
  <c r="AS16" i="74"/>
  <c r="AR16" i="74"/>
  <c r="AQ16" i="74"/>
  <c r="Y16" i="74"/>
  <c r="X16" i="74"/>
  <c r="W16" i="74"/>
  <c r="V16" i="74"/>
  <c r="U16" i="74"/>
  <c r="T16" i="74"/>
  <c r="S16" i="74"/>
  <c r="R16" i="74"/>
  <c r="AX15" i="74"/>
  <c r="AW15" i="74"/>
  <c r="AV15" i="74"/>
  <c r="AU15" i="74"/>
  <c r="AT15" i="74"/>
  <c r="AS15" i="74"/>
  <c r="AR15" i="74"/>
  <c r="AQ15" i="74"/>
  <c r="AL15" i="74"/>
  <c r="AK15" i="74"/>
  <c r="AJ15" i="74"/>
  <c r="AI15" i="74"/>
  <c r="AH15" i="74"/>
  <c r="AG15" i="74"/>
  <c r="AF15" i="74"/>
  <c r="AE15" i="74"/>
  <c r="Y15" i="74"/>
  <c r="X15" i="74"/>
  <c r="W15" i="74"/>
  <c r="V15" i="74"/>
  <c r="U15" i="74"/>
  <c r="T15" i="74"/>
  <c r="S15" i="74"/>
  <c r="R15" i="74"/>
  <c r="AX14" i="74"/>
  <c r="AW14" i="74"/>
  <c r="AV14" i="74"/>
  <c r="AU14" i="74"/>
  <c r="AT14" i="74"/>
  <c r="AS14" i="74"/>
  <c r="AR14" i="74"/>
  <c r="AQ14" i="74"/>
  <c r="AL14" i="74"/>
  <c r="AK14" i="74"/>
  <c r="AJ14" i="74"/>
  <c r="AI14" i="74"/>
  <c r="AH14" i="74"/>
  <c r="AG14" i="74"/>
  <c r="AF14" i="74"/>
  <c r="AE14" i="74"/>
  <c r="Y14" i="74"/>
  <c r="X14" i="74"/>
  <c r="W14" i="74"/>
  <c r="V14" i="74"/>
  <c r="U14" i="74"/>
  <c r="T14" i="74"/>
  <c r="S14" i="74"/>
  <c r="R14" i="74"/>
  <c r="AX13" i="74"/>
  <c r="AW13" i="74"/>
  <c r="AV13" i="74"/>
  <c r="AU13" i="74"/>
  <c r="AT13" i="74"/>
  <c r="AS13" i="74"/>
  <c r="AR13" i="74"/>
  <c r="AQ13" i="74"/>
  <c r="AL13" i="74"/>
  <c r="AK13" i="74"/>
  <c r="AJ13" i="74"/>
  <c r="AI13" i="74"/>
  <c r="AH13" i="74"/>
  <c r="AG13" i="74"/>
  <c r="AF13" i="74"/>
  <c r="AE13" i="74"/>
  <c r="Y13" i="74"/>
  <c r="X13" i="74"/>
  <c r="W13" i="74"/>
  <c r="V13" i="74"/>
  <c r="U13" i="74"/>
  <c r="T13" i="74"/>
  <c r="S13" i="74"/>
  <c r="R13" i="74"/>
  <c r="AX12" i="74"/>
  <c r="AW12" i="74"/>
  <c r="AV12" i="74"/>
  <c r="AU12" i="74"/>
  <c r="AT12" i="74"/>
  <c r="AS12" i="74"/>
  <c r="AR12" i="74"/>
  <c r="AQ12" i="74"/>
  <c r="AL12" i="74"/>
  <c r="AK12" i="74"/>
  <c r="AJ12" i="74"/>
  <c r="AI12" i="74"/>
  <c r="AH12" i="74"/>
  <c r="AG12" i="74"/>
  <c r="AF12" i="74"/>
  <c r="AE12" i="74"/>
  <c r="Y12" i="74"/>
  <c r="X12" i="74"/>
  <c r="W12" i="74"/>
  <c r="V12" i="74"/>
  <c r="U12" i="74"/>
  <c r="T12" i="74"/>
  <c r="S12" i="74"/>
  <c r="R12" i="74"/>
  <c r="AX11" i="74"/>
  <c r="AW11" i="74"/>
  <c r="AV11" i="74"/>
  <c r="AU11" i="74"/>
  <c r="AT11" i="74"/>
  <c r="AS11" i="74"/>
  <c r="AR11" i="74"/>
  <c r="AQ11" i="74"/>
  <c r="AL11" i="74"/>
  <c r="AK11" i="74"/>
  <c r="AJ11" i="74"/>
  <c r="AI11" i="74"/>
  <c r="AH11" i="74"/>
  <c r="AG11" i="74"/>
  <c r="AF11" i="74"/>
  <c r="AE11" i="74"/>
  <c r="Y11" i="74"/>
  <c r="X11" i="74"/>
  <c r="W11" i="74"/>
  <c r="V11" i="74"/>
  <c r="U11" i="74"/>
  <c r="T11" i="74"/>
  <c r="S11" i="74"/>
  <c r="R11" i="74"/>
  <c r="AX10" i="74"/>
  <c r="AW10" i="74"/>
  <c r="AV10" i="74"/>
  <c r="AU10" i="74"/>
  <c r="AT10" i="74"/>
  <c r="AS10" i="74"/>
  <c r="AR10" i="74"/>
  <c r="AQ10" i="74"/>
  <c r="AL10" i="74"/>
  <c r="AK10" i="74"/>
  <c r="AJ10" i="74"/>
  <c r="AI10" i="74"/>
  <c r="AH10" i="74"/>
  <c r="AG10" i="74"/>
  <c r="AF10" i="74"/>
  <c r="AE10" i="74"/>
  <c r="Y10" i="74"/>
  <c r="X10" i="74"/>
  <c r="W10" i="74"/>
  <c r="V10" i="74"/>
  <c r="U10" i="74"/>
  <c r="T10" i="74"/>
  <c r="S10" i="74"/>
  <c r="R10" i="74"/>
  <c r="AX9" i="74"/>
  <c r="AW9" i="74"/>
  <c r="AV9" i="74"/>
  <c r="AU9" i="74"/>
  <c r="AT9" i="74"/>
  <c r="AS9" i="74"/>
  <c r="AR9" i="74"/>
  <c r="AQ9" i="74"/>
  <c r="AL9" i="74"/>
  <c r="AK9" i="74"/>
  <c r="AJ9" i="74"/>
  <c r="AI9" i="74"/>
  <c r="AH9" i="74"/>
  <c r="AG9" i="74"/>
  <c r="AF9" i="74"/>
  <c r="AE9" i="74"/>
  <c r="Y9" i="74"/>
  <c r="X9" i="74"/>
  <c r="W9" i="74"/>
  <c r="V9" i="74"/>
  <c r="U9" i="74"/>
  <c r="T9" i="74"/>
  <c r="S9" i="74"/>
  <c r="R9" i="74"/>
  <c r="AX8" i="74"/>
  <c r="AW8" i="74"/>
  <c r="AV8" i="74"/>
  <c r="AU8" i="74"/>
  <c r="AT8" i="74"/>
  <c r="AS8" i="74"/>
  <c r="AR8" i="74"/>
  <c r="AQ8" i="74"/>
  <c r="AL8" i="74"/>
  <c r="AK8" i="74"/>
  <c r="AJ8" i="74"/>
  <c r="AI8" i="74"/>
  <c r="AH8" i="74"/>
  <c r="AG8" i="74"/>
  <c r="AF8" i="74"/>
  <c r="AE8" i="74"/>
  <c r="Y8" i="74"/>
  <c r="X8" i="74"/>
  <c r="W8" i="74"/>
  <c r="V8" i="74"/>
  <c r="U8" i="74"/>
  <c r="T8" i="74"/>
  <c r="S8" i="74"/>
  <c r="R8" i="74"/>
  <c r="AX7" i="74"/>
  <c r="AW7" i="74"/>
  <c r="AV7" i="74"/>
  <c r="AU7" i="74"/>
  <c r="AT7" i="74"/>
  <c r="AS7" i="74"/>
  <c r="AR7" i="74"/>
  <c r="AQ7" i="74"/>
  <c r="AL7" i="74"/>
  <c r="AK7" i="74"/>
  <c r="AJ7" i="74"/>
  <c r="AI7" i="74"/>
  <c r="AH7" i="74"/>
  <c r="AG7" i="74"/>
  <c r="AF7" i="74"/>
  <c r="AE7" i="74"/>
  <c r="Y7" i="74"/>
  <c r="X7" i="74"/>
  <c r="W7" i="74"/>
  <c r="V7" i="74"/>
  <c r="U7" i="74"/>
  <c r="T7" i="74"/>
  <c r="S7" i="74"/>
  <c r="R7" i="74"/>
  <c r="AX6" i="74"/>
  <c r="AW6" i="74"/>
  <c r="AV6" i="74"/>
  <c r="AU6" i="74"/>
  <c r="AT6" i="74"/>
  <c r="AS6" i="74"/>
  <c r="AR6" i="74"/>
  <c r="AQ6" i="74"/>
  <c r="AL6" i="74"/>
  <c r="AK6" i="74"/>
  <c r="AJ6" i="74"/>
  <c r="AI6" i="74"/>
  <c r="AH6" i="74"/>
  <c r="AG6" i="74"/>
  <c r="AF6" i="74"/>
  <c r="AE6" i="74"/>
  <c r="Y6" i="74"/>
  <c r="X6" i="74"/>
  <c r="W6" i="74"/>
  <c r="V6" i="74"/>
  <c r="U6" i="74"/>
  <c r="T6" i="74"/>
  <c r="S6" i="74"/>
  <c r="R6" i="74"/>
  <c r="AX5" i="74"/>
  <c r="AW5" i="74"/>
  <c r="AV5" i="74"/>
  <c r="AU5" i="74"/>
  <c r="AT5" i="74"/>
  <c r="AS5" i="74"/>
  <c r="AR5" i="74"/>
  <c r="AQ5" i="74"/>
  <c r="AL5" i="74"/>
  <c r="AK5" i="74"/>
  <c r="AJ5" i="74"/>
  <c r="AI5" i="74"/>
  <c r="AH5" i="74"/>
  <c r="AG5" i="74"/>
  <c r="AF5" i="74"/>
  <c r="AE5" i="74"/>
  <c r="Y5" i="74"/>
  <c r="X5" i="74"/>
  <c r="W5" i="74"/>
  <c r="V5" i="74"/>
  <c r="U5" i="74"/>
  <c r="T5" i="74"/>
  <c r="S5" i="74"/>
  <c r="R5" i="74"/>
  <c r="AX4" i="74"/>
  <c r="AW4" i="74"/>
  <c r="AV4" i="74"/>
  <c r="AU4" i="74"/>
  <c r="AT4" i="74"/>
  <c r="AS4" i="74"/>
  <c r="AR4" i="74"/>
  <c r="AQ4" i="74"/>
  <c r="AL4" i="74"/>
  <c r="AK4" i="74"/>
  <c r="AJ4" i="74"/>
  <c r="AI4" i="74"/>
  <c r="AH4" i="74"/>
  <c r="AG4" i="74"/>
  <c r="AF4" i="74"/>
  <c r="AE4" i="74"/>
  <c r="Y4" i="74"/>
  <c r="X4" i="74"/>
  <c r="W4" i="74"/>
  <c r="V4" i="74"/>
  <c r="U4" i="74"/>
  <c r="T4" i="74"/>
  <c r="S4" i="74"/>
  <c r="R4" i="74"/>
  <c r="AV33" i="75"/>
  <c r="AU33" i="75"/>
  <c r="AT33" i="75"/>
  <c r="AS33" i="75"/>
  <c r="AR33" i="75"/>
  <c r="AQ33" i="75"/>
  <c r="AP33" i="75"/>
  <c r="AO33" i="75"/>
  <c r="AV32" i="75"/>
  <c r="AU32" i="75"/>
  <c r="AT32" i="75"/>
  <c r="AS32" i="75"/>
  <c r="AR32" i="75"/>
  <c r="AQ32" i="75"/>
  <c r="AP32" i="75"/>
  <c r="AO32" i="75"/>
  <c r="AV31" i="75"/>
  <c r="AU31" i="75"/>
  <c r="AT31" i="75"/>
  <c r="AS31" i="75"/>
  <c r="AR31" i="75"/>
  <c r="AQ31" i="75"/>
  <c r="AP31" i="75"/>
  <c r="AO31" i="75"/>
  <c r="AV29" i="75"/>
  <c r="AU29" i="75"/>
  <c r="AT29" i="75"/>
  <c r="AS29" i="75"/>
  <c r="AR29" i="75"/>
  <c r="AQ29" i="75"/>
  <c r="AP29" i="75"/>
  <c r="AO29" i="75"/>
  <c r="AV28" i="75"/>
  <c r="AU28" i="75"/>
  <c r="AT28" i="75"/>
  <c r="AS28" i="75"/>
  <c r="AR28" i="75"/>
  <c r="AQ28" i="75"/>
  <c r="AP28" i="75"/>
  <c r="AO28" i="75"/>
  <c r="AV27" i="75"/>
  <c r="AU27" i="75"/>
  <c r="AT27" i="75"/>
  <c r="AS27" i="75"/>
  <c r="AR27" i="75"/>
  <c r="AQ27" i="75"/>
  <c r="AP27" i="75"/>
  <c r="AO27" i="75"/>
  <c r="AV26" i="75"/>
  <c r="AU26" i="75"/>
  <c r="AT26" i="75"/>
  <c r="AS26" i="75"/>
  <c r="AR26" i="75"/>
  <c r="AQ26" i="75"/>
  <c r="AP26" i="75"/>
  <c r="AO26" i="75"/>
  <c r="AV25" i="75"/>
  <c r="AU25" i="75"/>
  <c r="AT25" i="75"/>
  <c r="AS25" i="75"/>
  <c r="AR25" i="75"/>
  <c r="AQ25" i="75"/>
  <c r="AP25" i="75"/>
  <c r="AO25" i="75"/>
  <c r="AV24" i="75"/>
  <c r="AU24" i="75"/>
  <c r="AT24" i="75"/>
  <c r="AS24" i="75"/>
  <c r="AR24" i="75"/>
  <c r="AQ24" i="75"/>
  <c r="AP24" i="75"/>
  <c r="AO24" i="75"/>
  <c r="AV23" i="75"/>
  <c r="AU23" i="75"/>
  <c r="AT23" i="75"/>
  <c r="AS23" i="75"/>
  <c r="AR23" i="75"/>
  <c r="AQ23" i="75"/>
  <c r="AP23" i="75"/>
  <c r="AO23" i="75"/>
  <c r="AV22" i="75"/>
  <c r="AU22" i="75"/>
  <c r="AT22" i="75"/>
  <c r="AS22" i="75"/>
  <c r="AR22" i="75"/>
  <c r="AQ22" i="75"/>
  <c r="AP22" i="75"/>
  <c r="AO22" i="75"/>
  <c r="AV21" i="75"/>
  <c r="AU21" i="75"/>
  <c r="AT21" i="75"/>
  <c r="AS21" i="75"/>
  <c r="AR21" i="75"/>
  <c r="AQ21" i="75"/>
  <c r="AP21" i="75"/>
  <c r="AO21" i="75"/>
  <c r="AV20" i="75"/>
  <c r="AU20" i="75"/>
  <c r="AT20" i="75"/>
  <c r="AS20" i="75"/>
  <c r="AR20" i="75"/>
  <c r="AQ20" i="75"/>
  <c r="AP20" i="75"/>
  <c r="AO20" i="75"/>
  <c r="AV19" i="75"/>
  <c r="AU19" i="75"/>
  <c r="AT19" i="75"/>
  <c r="AS19" i="75"/>
  <c r="AR19" i="75"/>
  <c r="AQ19" i="75"/>
  <c r="AP19" i="75"/>
  <c r="AO19" i="75"/>
  <c r="AV18" i="75"/>
  <c r="AU18" i="75"/>
  <c r="AT18" i="75"/>
  <c r="AS18" i="75"/>
  <c r="AR18" i="75"/>
  <c r="AQ18" i="75"/>
  <c r="AP18" i="75"/>
  <c r="AO18" i="75"/>
  <c r="AV17" i="75"/>
  <c r="AU17" i="75"/>
  <c r="AT17" i="75"/>
  <c r="AS17" i="75"/>
  <c r="AR17" i="75"/>
  <c r="AQ17" i="75"/>
  <c r="AP17" i="75"/>
  <c r="AO17" i="75"/>
  <c r="AV16" i="75"/>
  <c r="AU16" i="75"/>
  <c r="AT16" i="75"/>
  <c r="AS16" i="75"/>
  <c r="AR16" i="75"/>
  <c r="AQ16" i="75"/>
  <c r="AP16" i="75"/>
  <c r="AO16" i="75"/>
  <c r="AV15" i="75"/>
  <c r="AU15" i="75"/>
  <c r="AT15" i="75"/>
  <c r="AS15" i="75"/>
  <c r="AR15" i="75"/>
  <c r="AQ15" i="75"/>
  <c r="AP15" i="75"/>
  <c r="AO15" i="75"/>
  <c r="AV14" i="75"/>
  <c r="AU14" i="75"/>
  <c r="AT14" i="75"/>
  <c r="AS14" i="75"/>
  <c r="AR14" i="75"/>
  <c r="AQ14" i="75"/>
  <c r="AP14" i="75"/>
  <c r="AO14" i="75"/>
  <c r="AV13" i="75"/>
  <c r="AU13" i="75"/>
  <c r="AT13" i="75"/>
  <c r="AS13" i="75"/>
  <c r="AR13" i="75"/>
  <c r="AQ13" i="75"/>
  <c r="AP13" i="75"/>
  <c r="AO13" i="75"/>
  <c r="AV12" i="75"/>
  <c r="AU12" i="75"/>
  <c r="AT12" i="75"/>
  <c r="AS12" i="75"/>
  <c r="AR12" i="75"/>
  <c r="AQ12" i="75"/>
  <c r="AP12" i="75"/>
  <c r="AO12" i="75"/>
  <c r="AV11" i="75"/>
  <c r="AU11" i="75"/>
  <c r="AT11" i="75"/>
  <c r="AS11" i="75"/>
  <c r="AR11" i="75"/>
  <c r="AQ11" i="75"/>
  <c r="AP11" i="75"/>
  <c r="AO11" i="75"/>
  <c r="AV10" i="75"/>
  <c r="AU10" i="75"/>
  <c r="AT10" i="75"/>
  <c r="AS10" i="75"/>
  <c r="AR10" i="75"/>
  <c r="AQ10" i="75"/>
  <c r="AP10" i="75"/>
  <c r="AO10" i="75"/>
  <c r="AK10" i="75"/>
  <c r="AJ10" i="75"/>
  <c r="AI10" i="75"/>
  <c r="AH10" i="75"/>
  <c r="AG10" i="75"/>
  <c r="AF10" i="75"/>
  <c r="AE10" i="75"/>
  <c r="AD10" i="75"/>
  <c r="X10" i="75"/>
  <c r="W10" i="75"/>
  <c r="V10" i="75"/>
  <c r="U10" i="75"/>
  <c r="T10" i="75"/>
  <c r="S10" i="75"/>
  <c r="R10" i="75"/>
  <c r="Q10" i="75"/>
  <c r="AV9" i="75"/>
  <c r="AU9" i="75"/>
  <c r="AT9" i="75"/>
  <c r="AS9" i="75"/>
  <c r="AR9" i="75"/>
  <c r="AQ9" i="75"/>
  <c r="AP9" i="75"/>
  <c r="AO9" i="75"/>
  <c r="AK9" i="75"/>
  <c r="AJ9" i="75"/>
  <c r="AI9" i="75"/>
  <c r="AH9" i="75"/>
  <c r="AG9" i="75"/>
  <c r="AF9" i="75"/>
  <c r="AE9" i="75"/>
  <c r="AD9" i="75"/>
  <c r="X9" i="75"/>
  <c r="W9" i="75"/>
  <c r="V9" i="75"/>
  <c r="U9" i="75"/>
  <c r="T9" i="75"/>
  <c r="S9" i="75"/>
  <c r="R9" i="75"/>
  <c r="Q9" i="75"/>
  <c r="AV8" i="75"/>
  <c r="AU8" i="75"/>
  <c r="AT8" i="75"/>
  <c r="AS8" i="75"/>
  <c r="AR8" i="75"/>
  <c r="AQ8" i="75"/>
  <c r="AP8" i="75"/>
  <c r="AO8" i="75"/>
  <c r="X8" i="75"/>
  <c r="W8" i="75"/>
  <c r="V8" i="75"/>
  <c r="U8" i="75"/>
  <c r="T8" i="75"/>
  <c r="S8" i="75"/>
  <c r="R8" i="75"/>
  <c r="Q8" i="75"/>
  <c r="AV7" i="75"/>
  <c r="AU7" i="75"/>
  <c r="AT7" i="75"/>
  <c r="AS7" i="75"/>
  <c r="AR7" i="75"/>
  <c r="AQ7" i="75"/>
  <c r="AP7" i="75"/>
  <c r="AO7" i="75"/>
  <c r="AK7" i="75"/>
  <c r="AJ7" i="75"/>
  <c r="AI7" i="75"/>
  <c r="AH7" i="75"/>
  <c r="AG7" i="75"/>
  <c r="AF7" i="75"/>
  <c r="AE7" i="75"/>
  <c r="AD7" i="75"/>
  <c r="X7" i="75"/>
  <c r="W7" i="75"/>
  <c r="V7" i="75"/>
  <c r="U7" i="75"/>
  <c r="T7" i="75"/>
  <c r="S7" i="75"/>
  <c r="R7" i="75"/>
  <c r="Q7" i="75"/>
  <c r="AV6" i="75"/>
  <c r="AU6" i="75"/>
  <c r="AT6" i="75"/>
  <c r="AS6" i="75"/>
  <c r="AR6" i="75"/>
  <c r="AQ6" i="75"/>
  <c r="AP6" i="75"/>
  <c r="AO6" i="75"/>
  <c r="AK6" i="75"/>
  <c r="AJ6" i="75"/>
  <c r="AI6" i="75"/>
  <c r="AH6" i="75"/>
  <c r="AG6" i="75"/>
  <c r="AF6" i="75"/>
  <c r="AE6" i="75"/>
  <c r="AD6" i="75"/>
  <c r="X6" i="75"/>
  <c r="W6" i="75"/>
  <c r="V6" i="75"/>
  <c r="U6" i="75"/>
  <c r="T6" i="75"/>
  <c r="S6" i="75"/>
  <c r="R6" i="75"/>
  <c r="Q6" i="75"/>
  <c r="AV5" i="75"/>
  <c r="AU5" i="75"/>
  <c r="AT5" i="75"/>
  <c r="AS5" i="75"/>
  <c r="AR5" i="75"/>
  <c r="AQ5" i="75"/>
  <c r="AP5" i="75"/>
  <c r="AO5" i="75"/>
  <c r="AK5" i="75"/>
  <c r="AJ5" i="75"/>
  <c r="AI5" i="75"/>
  <c r="AH5" i="75"/>
  <c r="AG5" i="75"/>
  <c r="AF5" i="75"/>
  <c r="AE5" i="75"/>
  <c r="AD5" i="75"/>
  <c r="X5" i="75"/>
  <c r="W5" i="75"/>
  <c r="V5" i="75"/>
  <c r="U5" i="75"/>
  <c r="T5" i="75"/>
  <c r="S5" i="75"/>
  <c r="R5" i="75"/>
  <c r="Q5" i="75"/>
  <c r="AV4" i="75"/>
  <c r="AU4" i="75"/>
  <c r="AT4" i="75"/>
  <c r="AS4" i="75"/>
  <c r="AR4" i="75"/>
  <c r="AQ4" i="75"/>
  <c r="AP4" i="75"/>
  <c r="AO4" i="75"/>
  <c r="AK4" i="75"/>
  <c r="AJ4" i="75"/>
  <c r="AI4" i="75"/>
  <c r="AH4" i="75"/>
  <c r="AG4" i="75"/>
  <c r="AF4" i="75"/>
  <c r="AE4" i="75"/>
  <c r="AD4" i="75"/>
  <c r="X4" i="75"/>
  <c r="W4" i="75"/>
  <c r="V4" i="75"/>
  <c r="U4" i="75"/>
  <c r="T4" i="75"/>
  <c r="S4" i="75"/>
  <c r="R4" i="75"/>
  <c r="Q4" i="75"/>
  <c r="AJ42" i="64"/>
  <c r="AI42" i="64"/>
  <c r="AH42" i="64"/>
  <c r="AG42" i="64"/>
  <c r="AF42" i="64"/>
  <c r="AE42" i="64"/>
  <c r="AD42" i="64"/>
  <c r="AC42" i="64"/>
  <c r="BW41" i="64"/>
  <c r="BV41" i="64"/>
  <c r="BU41" i="64"/>
  <c r="BT41" i="64"/>
  <c r="BS41" i="64"/>
  <c r="BR41" i="64"/>
  <c r="BQ41" i="64"/>
  <c r="BP41" i="64"/>
  <c r="AJ41" i="64"/>
  <c r="AI41" i="64"/>
  <c r="AH41" i="64"/>
  <c r="AG41" i="64"/>
  <c r="AF41" i="64"/>
  <c r="AE41" i="64"/>
  <c r="AD41" i="64"/>
  <c r="AC41" i="64"/>
  <c r="BW40" i="64"/>
  <c r="BV40" i="64"/>
  <c r="BU40" i="64"/>
  <c r="BT40" i="64"/>
  <c r="BS40" i="64"/>
  <c r="BR40" i="64"/>
  <c r="BQ40" i="64"/>
  <c r="BP40" i="64"/>
  <c r="BJ40" i="64"/>
  <c r="BI40" i="64"/>
  <c r="BH40" i="64"/>
  <c r="BG40" i="64"/>
  <c r="BF40" i="64"/>
  <c r="BE40" i="64"/>
  <c r="BD40" i="64"/>
  <c r="BC40" i="64"/>
  <c r="AJ40" i="64"/>
  <c r="AI40" i="64"/>
  <c r="AH40" i="64"/>
  <c r="AG40" i="64"/>
  <c r="AF40" i="64"/>
  <c r="AE40" i="64"/>
  <c r="AD40" i="64"/>
  <c r="AC40" i="64"/>
  <c r="BW39" i="64"/>
  <c r="BV39" i="64"/>
  <c r="BU39" i="64"/>
  <c r="BT39" i="64"/>
  <c r="BS39" i="64"/>
  <c r="BR39" i="64"/>
  <c r="BQ39" i="64"/>
  <c r="BP39" i="64"/>
  <c r="BJ39" i="64"/>
  <c r="BI39" i="64"/>
  <c r="BH39" i="64"/>
  <c r="BG39" i="64"/>
  <c r="BF39" i="64"/>
  <c r="BE39" i="64"/>
  <c r="BD39" i="64"/>
  <c r="BC39" i="64"/>
  <c r="AJ39" i="64"/>
  <c r="AI39" i="64"/>
  <c r="AH39" i="64"/>
  <c r="AG39" i="64"/>
  <c r="AF39" i="64"/>
  <c r="AE39" i="64"/>
  <c r="AD39" i="64"/>
  <c r="AC39" i="64"/>
  <c r="BW38" i="64"/>
  <c r="BV38" i="64"/>
  <c r="BU38" i="64"/>
  <c r="BT38" i="64"/>
  <c r="BS38" i="64"/>
  <c r="BR38" i="64"/>
  <c r="BQ38" i="64"/>
  <c r="BP38" i="64"/>
  <c r="BJ38" i="64"/>
  <c r="BI38" i="64"/>
  <c r="BH38" i="64"/>
  <c r="BG38" i="64"/>
  <c r="BF38" i="64"/>
  <c r="BE38" i="64"/>
  <c r="BD38" i="64"/>
  <c r="BC38" i="64"/>
  <c r="AJ38" i="64"/>
  <c r="AI38" i="64"/>
  <c r="AH38" i="64"/>
  <c r="AG38" i="64"/>
  <c r="AF38" i="64"/>
  <c r="AE38" i="64"/>
  <c r="AD38" i="64"/>
  <c r="AC38" i="64"/>
  <c r="BW37" i="64"/>
  <c r="BV37" i="64"/>
  <c r="BU37" i="64"/>
  <c r="BT37" i="64"/>
  <c r="BS37" i="64"/>
  <c r="BR37" i="64"/>
  <c r="BQ37" i="64"/>
  <c r="BP37" i="64"/>
  <c r="BJ37" i="64"/>
  <c r="BI37" i="64"/>
  <c r="BH37" i="64"/>
  <c r="BG37" i="64"/>
  <c r="BF37" i="64"/>
  <c r="BE37" i="64"/>
  <c r="BD37" i="64"/>
  <c r="BC37" i="64"/>
  <c r="AJ37" i="64"/>
  <c r="AI37" i="64"/>
  <c r="AH37" i="64"/>
  <c r="AG37" i="64"/>
  <c r="AF37" i="64"/>
  <c r="AE37" i="64"/>
  <c r="AD37" i="64"/>
  <c r="AC37" i="64"/>
  <c r="BW36" i="64"/>
  <c r="BV36" i="64"/>
  <c r="BU36" i="64"/>
  <c r="BT36" i="64"/>
  <c r="BS36" i="64"/>
  <c r="BR36" i="64"/>
  <c r="BQ36" i="64"/>
  <c r="BP36" i="64"/>
  <c r="BJ36" i="64"/>
  <c r="BI36" i="64"/>
  <c r="BH36" i="64"/>
  <c r="BG36" i="64"/>
  <c r="BF36" i="64"/>
  <c r="BE36" i="64"/>
  <c r="BD36" i="64"/>
  <c r="BC36" i="64"/>
  <c r="AJ36" i="64"/>
  <c r="AI36" i="64"/>
  <c r="AH36" i="64"/>
  <c r="AG36" i="64"/>
  <c r="AF36" i="64"/>
  <c r="AE36" i="64"/>
  <c r="AD36" i="64"/>
  <c r="AC36" i="64"/>
  <c r="BW35" i="64"/>
  <c r="BV35" i="64"/>
  <c r="BU35" i="64"/>
  <c r="BT35" i="64"/>
  <c r="BS35" i="64"/>
  <c r="BR35" i="64"/>
  <c r="BQ35" i="64"/>
  <c r="BP35" i="64"/>
  <c r="BJ35" i="64"/>
  <c r="BI35" i="64"/>
  <c r="BH35" i="64"/>
  <c r="BG35" i="64"/>
  <c r="BF35" i="64"/>
  <c r="BE35" i="64"/>
  <c r="BD35" i="64"/>
  <c r="BC35" i="64"/>
  <c r="AJ35" i="64"/>
  <c r="AI35" i="64"/>
  <c r="AH35" i="64"/>
  <c r="AG35" i="64"/>
  <c r="AF35" i="64"/>
  <c r="AE35" i="64"/>
  <c r="AD35" i="64"/>
  <c r="AC35" i="64"/>
  <c r="BW34" i="64"/>
  <c r="BV34" i="64"/>
  <c r="BU34" i="64"/>
  <c r="BT34" i="64"/>
  <c r="BS34" i="64"/>
  <c r="BR34" i="64"/>
  <c r="BQ34" i="64"/>
  <c r="BP34" i="64"/>
  <c r="BJ34" i="64"/>
  <c r="BI34" i="64"/>
  <c r="BH34" i="64"/>
  <c r="BG34" i="64"/>
  <c r="BF34" i="64"/>
  <c r="BE34" i="64"/>
  <c r="BD34" i="64"/>
  <c r="BC34" i="64"/>
  <c r="AJ34" i="64"/>
  <c r="AI34" i="64"/>
  <c r="AH34" i="64"/>
  <c r="AG34" i="64"/>
  <c r="AF34" i="64"/>
  <c r="AE34" i="64"/>
  <c r="AD34" i="64"/>
  <c r="AC34" i="64"/>
  <c r="BW33" i="64"/>
  <c r="BV33" i="64"/>
  <c r="BU33" i="64"/>
  <c r="BT33" i="64"/>
  <c r="BS33" i="64"/>
  <c r="BR33" i="64"/>
  <c r="BQ33" i="64"/>
  <c r="BP33" i="64"/>
  <c r="BJ33" i="64"/>
  <c r="BI33" i="64"/>
  <c r="BH33" i="64"/>
  <c r="BG33" i="64"/>
  <c r="BF33" i="64"/>
  <c r="BE33" i="64"/>
  <c r="BD33" i="64"/>
  <c r="BC33" i="64"/>
  <c r="AW33" i="64"/>
  <c r="AV33" i="64"/>
  <c r="AU33" i="64"/>
  <c r="AT33" i="64"/>
  <c r="AS33" i="64"/>
  <c r="AR33" i="64"/>
  <c r="AQ33" i="64"/>
  <c r="AP33" i="64"/>
  <c r="AJ33" i="64"/>
  <c r="AI33" i="64"/>
  <c r="AH33" i="64"/>
  <c r="AG33" i="64"/>
  <c r="AF33" i="64"/>
  <c r="AE33" i="64"/>
  <c r="AD33" i="64"/>
  <c r="AC33" i="64"/>
  <c r="BW32" i="64"/>
  <c r="BV32" i="64"/>
  <c r="BU32" i="64"/>
  <c r="BT32" i="64"/>
  <c r="BS32" i="64"/>
  <c r="BR32" i="64"/>
  <c r="BQ32" i="64"/>
  <c r="BP32" i="64"/>
  <c r="BJ32" i="64"/>
  <c r="BI32" i="64"/>
  <c r="BH32" i="64"/>
  <c r="BG32" i="64"/>
  <c r="BF32" i="64"/>
  <c r="BE32" i="64"/>
  <c r="BD32" i="64"/>
  <c r="BC32" i="64"/>
  <c r="AW32" i="64"/>
  <c r="AV32" i="64"/>
  <c r="AU32" i="64"/>
  <c r="AT32" i="64"/>
  <c r="AS32" i="64"/>
  <c r="AR32" i="64"/>
  <c r="AQ32" i="64"/>
  <c r="AP32" i="64"/>
  <c r="AJ32" i="64"/>
  <c r="AI32" i="64"/>
  <c r="AH32" i="64"/>
  <c r="AG32" i="64"/>
  <c r="AF32" i="64"/>
  <c r="AE32" i="64"/>
  <c r="AD32" i="64"/>
  <c r="AC32" i="64"/>
  <c r="BW31" i="64"/>
  <c r="BV31" i="64"/>
  <c r="BU31" i="64"/>
  <c r="BT31" i="64"/>
  <c r="BS31" i="64"/>
  <c r="BR31" i="64"/>
  <c r="BQ31" i="64"/>
  <c r="BP31" i="64"/>
  <c r="BJ31" i="64"/>
  <c r="BI31" i="64"/>
  <c r="BH31" i="64"/>
  <c r="BG31" i="64"/>
  <c r="BF31" i="64"/>
  <c r="BE31" i="64"/>
  <c r="BD31" i="64"/>
  <c r="BC31" i="64"/>
  <c r="AW31" i="64"/>
  <c r="AV31" i="64"/>
  <c r="AU31" i="64"/>
  <c r="AT31" i="64"/>
  <c r="AS31" i="64"/>
  <c r="AR31" i="64"/>
  <c r="AQ31" i="64"/>
  <c r="AP31" i="64"/>
  <c r="AJ31" i="64"/>
  <c r="AI31" i="64"/>
  <c r="AH31" i="64"/>
  <c r="AG31" i="64"/>
  <c r="AF31" i="64"/>
  <c r="AE31" i="64"/>
  <c r="AD31" i="64"/>
  <c r="AC31" i="64"/>
  <c r="BW30" i="64"/>
  <c r="BV30" i="64"/>
  <c r="BU30" i="64"/>
  <c r="BT30" i="64"/>
  <c r="BS30" i="64"/>
  <c r="BR30" i="64"/>
  <c r="BQ30" i="64"/>
  <c r="BP30" i="64"/>
  <c r="BJ30" i="64"/>
  <c r="BI30" i="64"/>
  <c r="BH30" i="64"/>
  <c r="BG30" i="64"/>
  <c r="BF30" i="64"/>
  <c r="BE30" i="64"/>
  <c r="BD30" i="64"/>
  <c r="BC30" i="64"/>
  <c r="AW30" i="64"/>
  <c r="AV30" i="64"/>
  <c r="AU30" i="64"/>
  <c r="AT30" i="64"/>
  <c r="AS30" i="64"/>
  <c r="AR30" i="64"/>
  <c r="AQ30" i="64"/>
  <c r="AP30" i="64"/>
  <c r="AJ30" i="64"/>
  <c r="AI30" i="64"/>
  <c r="AH30" i="64"/>
  <c r="AG30" i="64"/>
  <c r="AF30" i="64"/>
  <c r="AE30" i="64"/>
  <c r="AD30" i="64"/>
  <c r="AC30" i="64"/>
  <c r="BW29" i="64"/>
  <c r="BV29" i="64"/>
  <c r="BU29" i="64"/>
  <c r="BT29" i="64"/>
  <c r="BS29" i="64"/>
  <c r="BR29" i="64"/>
  <c r="BQ29" i="64"/>
  <c r="BP29" i="64"/>
  <c r="BJ29" i="64"/>
  <c r="BI29" i="64"/>
  <c r="BH29" i="64"/>
  <c r="BG29" i="64"/>
  <c r="BF29" i="64"/>
  <c r="BE29" i="64"/>
  <c r="BD29" i="64"/>
  <c r="BC29" i="64"/>
  <c r="AW29" i="64"/>
  <c r="AV29" i="64"/>
  <c r="AU29" i="64"/>
  <c r="AT29" i="64"/>
  <c r="AS29" i="64"/>
  <c r="AR29" i="64"/>
  <c r="AQ29" i="64"/>
  <c r="AP29" i="64"/>
  <c r="AJ29" i="64"/>
  <c r="AI29" i="64"/>
  <c r="AH29" i="64"/>
  <c r="AG29" i="64"/>
  <c r="AF29" i="64"/>
  <c r="AE29" i="64"/>
  <c r="AD29" i="64"/>
  <c r="AC29" i="64"/>
  <c r="BW28" i="64"/>
  <c r="BV28" i="64"/>
  <c r="BU28" i="64"/>
  <c r="BT28" i="64"/>
  <c r="BS28" i="64"/>
  <c r="BR28" i="64"/>
  <c r="BQ28" i="64"/>
  <c r="BP28" i="64"/>
  <c r="BJ28" i="64"/>
  <c r="BI28" i="64"/>
  <c r="BH28" i="64"/>
  <c r="BG28" i="64"/>
  <c r="BF28" i="64"/>
  <c r="BE28" i="64"/>
  <c r="BD28" i="64"/>
  <c r="BC28" i="64"/>
  <c r="AW28" i="64"/>
  <c r="AV28" i="64"/>
  <c r="AU28" i="64"/>
  <c r="AT28" i="64"/>
  <c r="AS28" i="64"/>
  <c r="AR28" i="64"/>
  <c r="AQ28" i="64"/>
  <c r="AP28" i="64"/>
  <c r="AJ28" i="64"/>
  <c r="AI28" i="64"/>
  <c r="AH28" i="64"/>
  <c r="AG28" i="64"/>
  <c r="AF28" i="64"/>
  <c r="AE28" i="64"/>
  <c r="AD28" i="64"/>
  <c r="AC28" i="64"/>
  <c r="AW27" i="64"/>
  <c r="AV27" i="64"/>
  <c r="AU27" i="64"/>
  <c r="AT27" i="64"/>
  <c r="AS27" i="64"/>
  <c r="AR27" i="64"/>
  <c r="AQ27" i="64"/>
  <c r="AP27" i="64"/>
  <c r="AJ27" i="64"/>
  <c r="AI27" i="64"/>
  <c r="AH27" i="64"/>
  <c r="AG27" i="64"/>
  <c r="AF27" i="64"/>
  <c r="AE27" i="64"/>
  <c r="AD27" i="64"/>
  <c r="AC27" i="64"/>
  <c r="AW26" i="64"/>
  <c r="AV26" i="64"/>
  <c r="AU26" i="64"/>
  <c r="AT26" i="64"/>
  <c r="AS26" i="64"/>
  <c r="AR26" i="64"/>
  <c r="AQ26" i="64"/>
  <c r="AP26" i="64"/>
  <c r="AJ26" i="64"/>
  <c r="AI26" i="64"/>
  <c r="AH26" i="64"/>
  <c r="AG26" i="64"/>
  <c r="AF26" i="64"/>
  <c r="AE26" i="64"/>
  <c r="AD26" i="64"/>
  <c r="AC26" i="64"/>
  <c r="AJ20" i="64"/>
  <c r="AI20" i="64"/>
  <c r="AH20" i="64"/>
  <c r="AG20" i="64"/>
  <c r="AF20" i="64"/>
  <c r="AE20" i="64"/>
  <c r="AD20" i="64"/>
  <c r="AC20" i="64"/>
  <c r="AJ19" i="64"/>
  <c r="AI19" i="64"/>
  <c r="AH19" i="64"/>
  <c r="AG19" i="64"/>
  <c r="AF19" i="64"/>
  <c r="AE19" i="64"/>
  <c r="AD19" i="64"/>
  <c r="AC19" i="64"/>
  <c r="AJ18" i="64"/>
  <c r="AI18" i="64"/>
  <c r="AH18" i="64"/>
  <c r="AG18" i="64"/>
  <c r="AF18" i="64"/>
  <c r="AE18" i="64"/>
  <c r="AD18" i="64"/>
  <c r="AC18" i="64"/>
  <c r="BW17" i="64"/>
  <c r="BV17" i="64"/>
  <c r="BU17" i="64"/>
  <c r="BT17" i="64"/>
  <c r="BS17" i="64"/>
  <c r="BR17" i="64"/>
  <c r="BQ17" i="64"/>
  <c r="BP17" i="64"/>
  <c r="AJ17" i="64"/>
  <c r="AI17" i="64"/>
  <c r="AH17" i="64"/>
  <c r="AG17" i="64"/>
  <c r="AF17" i="64"/>
  <c r="AE17" i="64"/>
  <c r="AD17" i="64"/>
  <c r="AC17" i="64"/>
  <c r="BW16" i="64"/>
  <c r="BV16" i="64"/>
  <c r="BU16" i="64"/>
  <c r="BT16" i="64"/>
  <c r="BS16" i="64"/>
  <c r="BR16" i="64"/>
  <c r="BQ16" i="64"/>
  <c r="BP16" i="64"/>
  <c r="BJ16" i="64"/>
  <c r="BI16" i="64"/>
  <c r="BH16" i="64"/>
  <c r="BG16" i="64"/>
  <c r="BF16" i="64"/>
  <c r="BE16" i="64"/>
  <c r="BD16" i="64"/>
  <c r="BC16" i="64"/>
  <c r="AJ16" i="64"/>
  <c r="AI16" i="64"/>
  <c r="AH16" i="64"/>
  <c r="AG16" i="64"/>
  <c r="AF16" i="64"/>
  <c r="AE16" i="64"/>
  <c r="AD16" i="64"/>
  <c r="AC16" i="64"/>
  <c r="BW15" i="64"/>
  <c r="BV15" i="64"/>
  <c r="BU15" i="64"/>
  <c r="BT15" i="64"/>
  <c r="BS15" i="64"/>
  <c r="BR15" i="64"/>
  <c r="BQ15" i="64"/>
  <c r="BP15" i="64"/>
  <c r="BJ15" i="64"/>
  <c r="BI15" i="64"/>
  <c r="BH15" i="64"/>
  <c r="BG15" i="64"/>
  <c r="BF15" i="64"/>
  <c r="BE15" i="64"/>
  <c r="BD15" i="64"/>
  <c r="BC15" i="64"/>
  <c r="AJ15" i="64"/>
  <c r="AI15" i="64"/>
  <c r="AH15" i="64"/>
  <c r="AG15" i="64"/>
  <c r="AF15" i="64"/>
  <c r="AE15" i="64"/>
  <c r="AD15" i="64"/>
  <c r="AC15" i="64"/>
  <c r="BW14" i="64"/>
  <c r="BV14" i="64"/>
  <c r="BU14" i="64"/>
  <c r="BT14" i="64"/>
  <c r="BS14" i="64"/>
  <c r="BR14" i="64"/>
  <c r="BQ14" i="64"/>
  <c r="BP14" i="64"/>
  <c r="BJ14" i="64"/>
  <c r="BI14" i="64"/>
  <c r="BH14" i="64"/>
  <c r="BG14" i="64"/>
  <c r="BF14" i="64"/>
  <c r="BE14" i="64"/>
  <c r="BD14" i="64"/>
  <c r="BC14" i="64"/>
  <c r="AJ14" i="64"/>
  <c r="AI14" i="64"/>
  <c r="AH14" i="64"/>
  <c r="AG14" i="64"/>
  <c r="AF14" i="64"/>
  <c r="AE14" i="64"/>
  <c r="AD14" i="64"/>
  <c r="AC14" i="64"/>
  <c r="BW13" i="64"/>
  <c r="BV13" i="64"/>
  <c r="BU13" i="64"/>
  <c r="BT13" i="64"/>
  <c r="BS13" i="64"/>
  <c r="BR13" i="64"/>
  <c r="BQ13" i="64"/>
  <c r="BP13" i="64"/>
  <c r="BJ13" i="64"/>
  <c r="BI13" i="64"/>
  <c r="BH13" i="64"/>
  <c r="BG13" i="64"/>
  <c r="BF13" i="64"/>
  <c r="BE13" i="64"/>
  <c r="BD13" i="64"/>
  <c r="BC13" i="64"/>
  <c r="AJ13" i="64"/>
  <c r="AI13" i="64"/>
  <c r="AH13" i="64"/>
  <c r="AG13" i="64"/>
  <c r="AF13" i="64"/>
  <c r="AE13" i="64"/>
  <c r="AD13" i="64"/>
  <c r="AC13" i="64"/>
  <c r="BW12" i="64"/>
  <c r="BV12" i="64"/>
  <c r="BU12" i="64"/>
  <c r="BT12" i="64"/>
  <c r="BS12" i="64"/>
  <c r="BR12" i="64"/>
  <c r="BQ12" i="64"/>
  <c r="BP12" i="64"/>
  <c r="BJ12" i="64"/>
  <c r="BI12" i="64"/>
  <c r="BH12" i="64"/>
  <c r="BG12" i="64"/>
  <c r="BF12" i="64"/>
  <c r="BE12" i="64"/>
  <c r="BD12" i="64"/>
  <c r="BC12" i="64"/>
  <c r="AJ12" i="64"/>
  <c r="AI12" i="64"/>
  <c r="AH12" i="64"/>
  <c r="AG12" i="64"/>
  <c r="AF12" i="64"/>
  <c r="AE12" i="64"/>
  <c r="AD12" i="64"/>
  <c r="AC12" i="64"/>
  <c r="BW11" i="64"/>
  <c r="BV11" i="64"/>
  <c r="BU11" i="64"/>
  <c r="BT11" i="64"/>
  <c r="BS11" i="64"/>
  <c r="BR11" i="64"/>
  <c r="BQ11" i="64"/>
  <c r="BP11" i="64"/>
  <c r="BJ11" i="64"/>
  <c r="BI11" i="64"/>
  <c r="BH11" i="64"/>
  <c r="BG11" i="64"/>
  <c r="BF11" i="64"/>
  <c r="BE11" i="64"/>
  <c r="BD11" i="64"/>
  <c r="BC11" i="64"/>
  <c r="AW11" i="64"/>
  <c r="AV11" i="64"/>
  <c r="AU11" i="64"/>
  <c r="AT11" i="64"/>
  <c r="AS11" i="64"/>
  <c r="AR11" i="64"/>
  <c r="AQ11" i="64"/>
  <c r="AP11" i="64"/>
  <c r="AJ11" i="64"/>
  <c r="AI11" i="64"/>
  <c r="AH11" i="64"/>
  <c r="AG11" i="64"/>
  <c r="AF11" i="64"/>
  <c r="AE11" i="64"/>
  <c r="AD11" i="64"/>
  <c r="AC11" i="64"/>
  <c r="BW10" i="64"/>
  <c r="BV10" i="64"/>
  <c r="BU10" i="64"/>
  <c r="BT10" i="64"/>
  <c r="BS10" i="64"/>
  <c r="BR10" i="64"/>
  <c r="BQ10" i="64"/>
  <c r="BP10" i="64"/>
  <c r="BJ10" i="64"/>
  <c r="BI10" i="64"/>
  <c r="BH10" i="64"/>
  <c r="BG10" i="64"/>
  <c r="BF10" i="64"/>
  <c r="BE10" i="64"/>
  <c r="BD10" i="64"/>
  <c r="BC10" i="64"/>
  <c r="AW10" i="64"/>
  <c r="AV10" i="64"/>
  <c r="AU10" i="64"/>
  <c r="AT10" i="64"/>
  <c r="AS10" i="64"/>
  <c r="AR10" i="64"/>
  <c r="AQ10" i="64"/>
  <c r="AP10" i="64"/>
  <c r="AJ10" i="64"/>
  <c r="AI10" i="64"/>
  <c r="AH10" i="64"/>
  <c r="AG10" i="64"/>
  <c r="AF10" i="64"/>
  <c r="AE10" i="64"/>
  <c r="AD10" i="64"/>
  <c r="AC10" i="64"/>
  <c r="BW9" i="64"/>
  <c r="BV9" i="64"/>
  <c r="BU9" i="64"/>
  <c r="BT9" i="64"/>
  <c r="BS9" i="64"/>
  <c r="BR9" i="64"/>
  <c r="BQ9" i="64"/>
  <c r="BP9" i="64"/>
  <c r="BJ9" i="64"/>
  <c r="BI9" i="64"/>
  <c r="BH9" i="64"/>
  <c r="BG9" i="64"/>
  <c r="BF9" i="64"/>
  <c r="BE9" i="64"/>
  <c r="BD9" i="64"/>
  <c r="BC9" i="64"/>
  <c r="AW9" i="64"/>
  <c r="AV9" i="64"/>
  <c r="AU9" i="64"/>
  <c r="AT9" i="64"/>
  <c r="AS9" i="64"/>
  <c r="AR9" i="64"/>
  <c r="AQ9" i="64"/>
  <c r="AP9" i="64"/>
  <c r="AJ9" i="64"/>
  <c r="AI9" i="64"/>
  <c r="AH9" i="64"/>
  <c r="AG9" i="64"/>
  <c r="AF9" i="64"/>
  <c r="AE9" i="64"/>
  <c r="AD9" i="64"/>
  <c r="AC9" i="64"/>
  <c r="BW8" i="64"/>
  <c r="BV8" i="64"/>
  <c r="BU8" i="64"/>
  <c r="BT8" i="64"/>
  <c r="BS8" i="64"/>
  <c r="BR8" i="64"/>
  <c r="BQ8" i="64"/>
  <c r="BP8" i="64"/>
  <c r="BJ8" i="64"/>
  <c r="BI8" i="64"/>
  <c r="BH8" i="64"/>
  <c r="BG8" i="64"/>
  <c r="BF8" i="64"/>
  <c r="BE8" i="64"/>
  <c r="BD8" i="64"/>
  <c r="BC8" i="64"/>
  <c r="AW8" i="64"/>
  <c r="AV8" i="64"/>
  <c r="AU8" i="64"/>
  <c r="AT8" i="64"/>
  <c r="AS8" i="64"/>
  <c r="AR8" i="64"/>
  <c r="AQ8" i="64"/>
  <c r="AP8" i="64"/>
  <c r="AJ8" i="64"/>
  <c r="AI8" i="64"/>
  <c r="AH8" i="64"/>
  <c r="AG8" i="64"/>
  <c r="AF8" i="64"/>
  <c r="AE8" i="64"/>
  <c r="AD8" i="64"/>
  <c r="AC8" i="64"/>
  <c r="BW7" i="64"/>
  <c r="BV7" i="64"/>
  <c r="BU7" i="64"/>
  <c r="BT7" i="64"/>
  <c r="BS7" i="64"/>
  <c r="BR7" i="64"/>
  <c r="BQ7" i="64"/>
  <c r="BP7" i="64"/>
  <c r="BJ7" i="64"/>
  <c r="BI7" i="64"/>
  <c r="BH7" i="64"/>
  <c r="BG7" i="64"/>
  <c r="BF7" i="64"/>
  <c r="BE7" i="64"/>
  <c r="BD7" i="64"/>
  <c r="BC7" i="64"/>
  <c r="AW7" i="64"/>
  <c r="AV7" i="64"/>
  <c r="AU7" i="64"/>
  <c r="AT7" i="64"/>
  <c r="AS7" i="64"/>
  <c r="AR7" i="64"/>
  <c r="AQ7" i="64"/>
  <c r="AP7" i="64"/>
  <c r="AJ7" i="64"/>
  <c r="AI7" i="64"/>
  <c r="AH7" i="64"/>
  <c r="AG7" i="64"/>
  <c r="AF7" i="64"/>
  <c r="AE7" i="64"/>
  <c r="AD7" i="64"/>
  <c r="AC7" i="64"/>
  <c r="BW6" i="64"/>
  <c r="BV6" i="64"/>
  <c r="BU6" i="64"/>
  <c r="BT6" i="64"/>
  <c r="BS6" i="64"/>
  <c r="BR6" i="64"/>
  <c r="BQ6" i="64"/>
  <c r="BP6" i="64"/>
  <c r="BJ6" i="64"/>
  <c r="BI6" i="64"/>
  <c r="BH6" i="64"/>
  <c r="BG6" i="64"/>
  <c r="BF6" i="64"/>
  <c r="BE6" i="64"/>
  <c r="BD6" i="64"/>
  <c r="BC6" i="64"/>
  <c r="AW6" i="64"/>
  <c r="AV6" i="64"/>
  <c r="AU6" i="64"/>
  <c r="AT6" i="64"/>
  <c r="AS6" i="64"/>
  <c r="AR6" i="64"/>
  <c r="AQ6" i="64"/>
  <c r="AP6" i="64"/>
  <c r="AJ6" i="64"/>
  <c r="AI6" i="64"/>
  <c r="AH6" i="64"/>
  <c r="AG6" i="64"/>
  <c r="AF6" i="64"/>
  <c r="AE6" i="64"/>
  <c r="AD6" i="64"/>
  <c r="AC6" i="64"/>
  <c r="BW5" i="64"/>
  <c r="BV5" i="64"/>
  <c r="BU5" i="64"/>
  <c r="BT5" i="64"/>
  <c r="BS5" i="64"/>
  <c r="BR5" i="64"/>
  <c r="BQ5" i="64"/>
  <c r="BP5" i="64"/>
  <c r="BJ5" i="64"/>
  <c r="BI5" i="64"/>
  <c r="BH5" i="64"/>
  <c r="BG5" i="64"/>
  <c r="BF5" i="64"/>
  <c r="BE5" i="64"/>
  <c r="BD5" i="64"/>
  <c r="BC5" i="64"/>
  <c r="AW5" i="64"/>
  <c r="AV5" i="64"/>
  <c r="AU5" i="64"/>
  <c r="AT5" i="64"/>
  <c r="AS5" i="64"/>
  <c r="AR5" i="64"/>
  <c r="AQ5" i="64"/>
  <c r="AP5" i="64"/>
  <c r="AJ5" i="64"/>
  <c r="AI5" i="64"/>
  <c r="AH5" i="64"/>
  <c r="AG5" i="64"/>
  <c r="AF5" i="64"/>
  <c r="AE5" i="64"/>
  <c r="AD5" i="64"/>
  <c r="AC5" i="64"/>
  <c r="BW4" i="64"/>
  <c r="BV4" i="64"/>
  <c r="BU4" i="64"/>
  <c r="BT4" i="64"/>
  <c r="BS4" i="64"/>
  <c r="BR4" i="64"/>
  <c r="BQ4" i="64"/>
  <c r="BP4" i="64"/>
  <c r="BJ4" i="64"/>
  <c r="BI4" i="64"/>
  <c r="BH4" i="64"/>
  <c r="BG4" i="64"/>
  <c r="BF4" i="64"/>
  <c r="BE4" i="64"/>
  <c r="BD4" i="64"/>
  <c r="BC4" i="64"/>
  <c r="AW4" i="64"/>
  <c r="AV4" i="64"/>
  <c r="AU4" i="64"/>
  <c r="AT4" i="64"/>
  <c r="AS4" i="64"/>
  <c r="AR4" i="64"/>
  <c r="AQ4" i="64"/>
  <c r="AP4" i="64"/>
  <c r="AJ4" i="64"/>
  <c r="AI4" i="64"/>
  <c r="AH4" i="64"/>
  <c r="AG4" i="64"/>
  <c r="AF4" i="64"/>
  <c r="AE4" i="64"/>
  <c r="AD4" i="64"/>
  <c r="AC4" i="64"/>
  <c r="X195" i="92"/>
  <c r="W195" i="92"/>
  <c r="V195" i="92"/>
  <c r="U195" i="92"/>
  <c r="T195" i="92"/>
  <c r="S195" i="92"/>
  <c r="R195" i="92"/>
  <c r="Q195" i="92"/>
  <c r="X194" i="92"/>
  <c r="W194" i="92"/>
  <c r="V194" i="92"/>
  <c r="U194" i="92"/>
  <c r="T194" i="92"/>
  <c r="S194" i="92"/>
  <c r="R194" i="92"/>
  <c r="Q194" i="92"/>
  <c r="X193" i="92"/>
  <c r="W193" i="92"/>
  <c r="V193" i="92"/>
  <c r="U193" i="92"/>
  <c r="T193" i="92"/>
  <c r="S193" i="92"/>
  <c r="R193" i="92"/>
  <c r="Q193" i="92"/>
  <c r="X172" i="92"/>
  <c r="W172" i="92"/>
  <c r="V172" i="92"/>
  <c r="U172" i="92"/>
  <c r="T172" i="92"/>
  <c r="S172" i="92"/>
  <c r="R172" i="92"/>
  <c r="Q172" i="92"/>
  <c r="BR226" i="127"/>
  <c r="BQ226" i="127"/>
  <c r="BP226" i="127"/>
  <c r="BO226" i="127"/>
  <c r="BN226" i="127"/>
  <c r="BM226" i="127"/>
  <c r="BL226" i="127"/>
  <c r="BK226" i="127"/>
  <c r="BR225" i="127"/>
  <c r="BQ225" i="127"/>
  <c r="BP225" i="127"/>
  <c r="BO225" i="127"/>
  <c r="BN225" i="127"/>
  <c r="BM225" i="127"/>
  <c r="BL225" i="127"/>
  <c r="BK225" i="127"/>
  <c r="BR224" i="127"/>
  <c r="BQ224" i="127"/>
  <c r="BP224" i="127"/>
  <c r="BO224" i="127"/>
  <c r="BN224" i="127"/>
  <c r="BM224" i="127"/>
  <c r="BL224" i="127"/>
  <c r="BK224" i="127"/>
  <c r="BR223" i="127"/>
  <c r="BQ223" i="127"/>
  <c r="BP223" i="127"/>
  <c r="BO223" i="127"/>
  <c r="BN223" i="127"/>
  <c r="BM223" i="127"/>
  <c r="BL223" i="127"/>
  <c r="BK223" i="127"/>
  <c r="BR222" i="127"/>
  <c r="BQ222" i="127"/>
  <c r="BP222" i="127"/>
  <c r="BO222" i="127"/>
  <c r="BN222" i="127"/>
  <c r="BM222" i="127"/>
  <c r="BL222" i="127"/>
  <c r="BK222" i="127"/>
  <c r="BR221" i="127"/>
  <c r="BQ221" i="127"/>
  <c r="BP221" i="127"/>
  <c r="BO221" i="127"/>
  <c r="BN221" i="127"/>
  <c r="BM221" i="127"/>
  <c r="BL221" i="127"/>
  <c r="BK221" i="127"/>
  <c r="BR220" i="127"/>
  <c r="BQ220" i="127"/>
  <c r="BP220" i="127"/>
  <c r="BO220" i="127"/>
  <c r="BN220" i="127"/>
  <c r="BM220" i="127"/>
  <c r="BL220" i="127"/>
  <c r="BK220" i="127"/>
  <c r="BR219" i="127"/>
  <c r="BQ219" i="127"/>
  <c r="BP219" i="127"/>
  <c r="BO219" i="127"/>
  <c r="BN219" i="127"/>
  <c r="BM219" i="127"/>
  <c r="BL219" i="127"/>
  <c r="BK219" i="127"/>
  <c r="BR218" i="127"/>
  <c r="BQ218" i="127"/>
  <c r="BP218" i="127"/>
  <c r="BO218" i="127"/>
  <c r="BN218" i="127"/>
  <c r="BM218" i="127"/>
  <c r="BL218" i="127"/>
  <c r="BK218" i="127"/>
  <c r="BR217" i="127"/>
  <c r="BQ217" i="127"/>
  <c r="BP217" i="127"/>
  <c r="BO217" i="127"/>
  <c r="BN217" i="127"/>
  <c r="BM217" i="127"/>
  <c r="BL217" i="127"/>
  <c r="BK217" i="127"/>
  <c r="BR216" i="127"/>
  <c r="BQ216" i="127"/>
  <c r="BP216" i="127"/>
  <c r="BO216" i="127"/>
  <c r="BN216" i="127"/>
  <c r="BM216" i="127"/>
  <c r="BL216" i="127"/>
  <c r="BK216" i="127"/>
  <c r="BR215" i="127"/>
  <c r="BQ215" i="127"/>
  <c r="BP215" i="127"/>
  <c r="BO215" i="127"/>
  <c r="BN215" i="127"/>
  <c r="BM215" i="127"/>
  <c r="BL215" i="127"/>
  <c r="BK215" i="127"/>
  <c r="BR214" i="127"/>
  <c r="BQ214" i="127"/>
  <c r="BP214" i="127"/>
  <c r="BO214" i="127"/>
  <c r="BN214" i="127"/>
  <c r="BM214" i="127"/>
  <c r="BL214" i="127"/>
  <c r="BK214" i="127"/>
  <c r="BR213" i="127"/>
  <c r="BQ213" i="127"/>
  <c r="BP213" i="127"/>
  <c r="BO213" i="127"/>
  <c r="BN213" i="127"/>
  <c r="BM213" i="127"/>
  <c r="BL213" i="127"/>
  <c r="BK213" i="127"/>
  <c r="BR212" i="127"/>
  <c r="BQ212" i="127"/>
  <c r="BP212" i="127"/>
  <c r="BO212" i="127"/>
  <c r="BN212" i="127"/>
  <c r="BM212" i="127"/>
  <c r="BL212" i="127"/>
  <c r="BK212" i="127"/>
  <c r="BR211" i="127"/>
  <c r="BQ211" i="127"/>
  <c r="BP211" i="127"/>
  <c r="BO211" i="127"/>
  <c r="BN211" i="127"/>
  <c r="BM211" i="127"/>
  <c r="BL211" i="127"/>
  <c r="BK211" i="127"/>
  <c r="BR210" i="127"/>
  <c r="BQ210" i="127"/>
  <c r="BP210" i="127"/>
  <c r="BO210" i="127"/>
  <c r="BN210" i="127"/>
  <c r="BM210" i="127"/>
  <c r="BL210" i="127"/>
  <c r="BK210" i="127"/>
  <c r="BR209" i="127"/>
  <c r="BQ209" i="127"/>
  <c r="BP209" i="127"/>
  <c r="BO209" i="127"/>
  <c r="BN209" i="127"/>
  <c r="BM209" i="127"/>
  <c r="BL209" i="127"/>
  <c r="BK209" i="127"/>
  <c r="BR208" i="127"/>
  <c r="BQ208" i="127"/>
  <c r="BP208" i="127"/>
  <c r="BO208" i="127"/>
  <c r="BN208" i="127"/>
  <c r="BM208" i="127"/>
  <c r="BL208" i="127"/>
  <c r="BK208" i="127"/>
  <c r="BR207" i="127"/>
  <c r="BQ207" i="127"/>
  <c r="BP207" i="127"/>
  <c r="BO207" i="127"/>
  <c r="BN207" i="127"/>
  <c r="BM207" i="127"/>
  <c r="BL207" i="127"/>
  <c r="BK207" i="127"/>
  <c r="BR206" i="127"/>
  <c r="BQ206" i="127"/>
  <c r="BP206" i="127"/>
  <c r="BO206" i="127"/>
  <c r="BN206" i="127"/>
  <c r="BM206" i="127"/>
  <c r="BL206" i="127"/>
  <c r="BK206" i="127"/>
  <c r="BR205" i="127"/>
  <c r="BQ205" i="127"/>
  <c r="BP205" i="127"/>
  <c r="BO205" i="127"/>
  <c r="BN205" i="127"/>
  <c r="BM205" i="127"/>
  <c r="BL205" i="127"/>
  <c r="BK205" i="127"/>
  <c r="BR204" i="127"/>
  <c r="BQ204" i="127"/>
  <c r="BP204" i="127"/>
  <c r="BO204" i="127"/>
  <c r="BN204" i="127"/>
  <c r="BM204" i="127"/>
  <c r="BL204" i="127"/>
  <c r="BK204" i="127"/>
  <c r="BR203" i="127"/>
  <c r="BQ203" i="127"/>
  <c r="BP203" i="127"/>
  <c r="BO203" i="127"/>
  <c r="BN203" i="127"/>
  <c r="BM203" i="127"/>
  <c r="BL203" i="127"/>
  <c r="BK203" i="127"/>
  <c r="BR202" i="127"/>
  <c r="BQ202" i="127"/>
  <c r="BP202" i="127"/>
  <c r="BO202" i="127"/>
  <c r="BN202" i="127"/>
  <c r="BM202" i="127"/>
  <c r="BL202" i="127"/>
  <c r="BK202" i="127"/>
  <c r="BR201" i="127"/>
  <c r="BQ201" i="127"/>
  <c r="BP201" i="127"/>
  <c r="BO201" i="127"/>
  <c r="BN201" i="127"/>
  <c r="BM201" i="127"/>
  <c r="BL201" i="127"/>
  <c r="BK201" i="127"/>
  <c r="BR200" i="127"/>
  <c r="BQ200" i="127"/>
  <c r="BP200" i="127"/>
  <c r="BO200" i="127"/>
  <c r="BN200" i="127"/>
  <c r="BM200" i="127"/>
  <c r="BL200" i="127"/>
  <c r="BK200" i="127"/>
  <c r="BR199" i="127"/>
  <c r="BQ199" i="127"/>
  <c r="BP199" i="127"/>
  <c r="BO199" i="127"/>
  <c r="BN199" i="127"/>
  <c r="BM199" i="127"/>
  <c r="BL199" i="127"/>
  <c r="BK199" i="127"/>
  <c r="BR196" i="127"/>
  <c r="BQ196" i="127"/>
  <c r="BP196" i="127"/>
  <c r="BO196" i="127"/>
  <c r="BN196" i="127"/>
  <c r="BM196" i="127"/>
  <c r="BL196" i="127"/>
  <c r="BK196" i="127"/>
  <c r="BR195" i="127"/>
  <c r="BQ195" i="127"/>
  <c r="BP195" i="127"/>
  <c r="BO195" i="127"/>
  <c r="BN195" i="127"/>
  <c r="BM195" i="127"/>
  <c r="BL195" i="127"/>
  <c r="BK195" i="127"/>
  <c r="BR194" i="127"/>
  <c r="BQ194" i="127"/>
  <c r="BP194" i="127"/>
  <c r="BO194" i="127"/>
  <c r="BN194" i="127"/>
  <c r="BM194" i="127"/>
  <c r="BL194" i="127"/>
  <c r="BK194" i="127"/>
  <c r="BR193" i="127"/>
  <c r="BQ193" i="127"/>
  <c r="BP193" i="127"/>
  <c r="BO193" i="127"/>
  <c r="BN193" i="127"/>
  <c r="BM193" i="127"/>
  <c r="BL193" i="127"/>
  <c r="BK193" i="127"/>
  <c r="BR192" i="127"/>
  <c r="BQ192" i="127"/>
  <c r="BP192" i="127"/>
  <c r="BO192" i="127"/>
  <c r="BN192" i="127"/>
  <c r="BM192" i="127"/>
  <c r="BL192" i="127"/>
  <c r="BK192" i="127"/>
  <c r="BR176" i="127"/>
  <c r="BQ176" i="127"/>
  <c r="BP176" i="127"/>
  <c r="BO176" i="127"/>
  <c r="BN176" i="127"/>
  <c r="BM176" i="127"/>
  <c r="BL176" i="127"/>
  <c r="BK176" i="127"/>
  <c r="BR175" i="127"/>
  <c r="BQ175" i="127"/>
  <c r="BP175" i="127"/>
  <c r="BO175" i="127"/>
  <c r="BN175" i="127"/>
  <c r="BM175" i="127"/>
  <c r="BL175" i="127"/>
  <c r="BK175" i="127"/>
  <c r="BR174" i="127"/>
  <c r="BQ174" i="127"/>
  <c r="BP174" i="127"/>
  <c r="BO174" i="127"/>
  <c r="BN174" i="127"/>
  <c r="BM174" i="127"/>
  <c r="BL174" i="127"/>
  <c r="BK174" i="127"/>
  <c r="BR173" i="127"/>
  <c r="BQ173" i="127"/>
  <c r="BP173" i="127"/>
  <c r="BO173" i="127"/>
  <c r="BN173" i="127"/>
  <c r="BM173" i="127"/>
  <c r="BL173" i="127"/>
  <c r="BK173" i="127"/>
  <c r="BR172" i="127"/>
  <c r="BQ172" i="127"/>
  <c r="BP172" i="127"/>
  <c r="BO172" i="127"/>
  <c r="BN172" i="127"/>
  <c r="BM172" i="127"/>
  <c r="BL172" i="127"/>
  <c r="BK172" i="127"/>
  <c r="BR171" i="127"/>
  <c r="BQ171" i="127"/>
  <c r="BP171" i="127"/>
  <c r="BO171" i="127"/>
  <c r="BN171" i="127"/>
  <c r="BM171" i="127"/>
  <c r="BL171" i="127"/>
  <c r="BK171" i="127"/>
  <c r="BR170" i="127"/>
  <c r="BQ170" i="127"/>
  <c r="BP170" i="127"/>
  <c r="BO170" i="127"/>
  <c r="BN170" i="127"/>
  <c r="BM170" i="127"/>
  <c r="BL170" i="127"/>
  <c r="BK170" i="127"/>
  <c r="BR169" i="127"/>
  <c r="BQ169" i="127"/>
  <c r="BP169" i="127"/>
  <c r="BO169" i="127"/>
  <c r="BN169" i="127"/>
  <c r="BM169" i="127"/>
  <c r="BL169" i="127"/>
  <c r="BK169" i="127"/>
  <c r="BR168" i="127"/>
  <c r="BQ168" i="127"/>
  <c r="BP168" i="127"/>
  <c r="BO168" i="127"/>
  <c r="BN168" i="127"/>
  <c r="BM168" i="127"/>
  <c r="BL168" i="127"/>
  <c r="BK168" i="127"/>
  <c r="BR167" i="127"/>
  <c r="BQ167" i="127"/>
  <c r="BP167" i="127"/>
  <c r="BO167" i="127"/>
  <c r="BN167" i="127"/>
  <c r="BM167" i="127"/>
  <c r="BL167" i="127"/>
  <c r="BK167" i="127"/>
  <c r="BR166" i="127"/>
  <c r="BQ166" i="127"/>
  <c r="BP166" i="127"/>
  <c r="BO166" i="127"/>
  <c r="BN166" i="127"/>
  <c r="BM166" i="127"/>
  <c r="BL166" i="127"/>
  <c r="BK166" i="127"/>
  <c r="BR165" i="127"/>
  <c r="BQ165" i="127"/>
  <c r="BP165" i="127"/>
  <c r="BO165" i="127"/>
  <c r="BN165" i="127"/>
  <c r="BM165" i="127"/>
  <c r="BL165" i="127"/>
  <c r="BK165" i="127"/>
  <c r="BR164" i="127"/>
  <c r="BQ164" i="127"/>
  <c r="BP164" i="127"/>
  <c r="BO164" i="127"/>
  <c r="BN164" i="127"/>
  <c r="BM164" i="127"/>
  <c r="BL164" i="127"/>
  <c r="BK164" i="127"/>
  <c r="BR163" i="127"/>
  <c r="BQ163" i="127"/>
  <c r="BP163" i="127"/>
  <c r="BO163" i="127"/>
  <c r="BN163" i="127"/>
  <c r="BM163" i="127"/>
  <c r="BL163" i="127"/>
  <c r="BK163" i="127"/>
  <c r="BR162" i="127"/>
  <c r="BQ162" i="127"/>
  <c r="BP162" i="127"/>
  <c r="BO162" i="127"/>
  <c r="BN162" i="127"/>
  <c r="BM162" i="127"/>
  <c r="BL162" i="127"/>
  <c r="BK162" i="127"/>
  <c r="BR161" i="127"/>
  <c r="BQ161" i="127"/>
  <c r="BP161" i="127"/>
  <c r="BO161" i="127"/>
  <c r="BN161" i="127"/>
  <c r="BM161" i="127"/>
  <c r="BL161" i="127"/>
  <c r="BK161" i="127"/>
  <c r="BR160" i="127"/>
  <c r="BQ160" i="127"/>
  <c r="BP160" i="127"/>
  <c r="BO160" i="127"/>
  <c r="BN160" i="127"/>
  <c r="BM160" i="127"/>
  <c r="BL160" i="127"/>
  <c r="BK160" i="127"/>
  <c r="BR159" i="127"/>
  <c r="BQ159" i="127"/>
  <c r="BP159" i="127"/>
  <c r="BO159" i="127"/>
  <c r="BN159" i="127"/>
  <c r="BM159" i="127"/>
  <c r="BL159" i="127"/>
  <c r="BK159" i="127"/>
  <c r="BR158" i="127"/>
  <c r="BQ158" i="127"/>
  <c r="BP158" i="127"/>
  <c r="BO158" i="127"/>
  <c r="BN158" i="127"/>
  <c r="BM158" i="127"/>
  <c r="BL158" i="127"/>
  <c r="BK158" i="127"/>
  <c r="BR157" i="127"/>
  <c r="BQ157" i="127"/>
  <c r="BP157" i="127"/>
  <c r="BO157" i="127"/>
  <c r="BN157" i="127"/>
  <c r="BM157" i="127"/>
  <c r="BL157" i="127"/>
  <c r="BK157" i="127"/>
  <c r="BR156" i="127"/>
  <c r="BQ156" i="127"/>
  <c r="BP156" i="127"/>
  <c r="BO156" i="127"/>
  <c r="BN156" i="127"/>
  <c r="BM156" i="127"/>
  <c r="BL156" i="127"/>
  <c r="BK156" i="127"/>
  <c r="BR155" i="127"/>
  <c r="BQ155" i="127"/>
  <c r="BP155" i="127"/>
  <c r="BO155" i="127"/>
  <c r="BN155" i="127"/>
  <c r="BM155" i="127"/>
  <c r="BL155" i="127"/>
  <c r="BK155" i="127"/>
  <c r="BR154" i="127"/>
  <c r="BQ154" i="127"/>
  <c r="BP154" i="127"/>
  <c r="BO154" i="127"/>
  <c r="BN154" i="127"/>
  <c r="BM154" i="127"/>
  <c r="BL154" i="127"/>
  <c r="BK154" i="127"/>
  <c r="BR153" i="127"/>
  <c r="BQ153" i="127"/>
  <c r="BP153" i="127"/>
  <c r="BO153" i="127"/>
  <c r="BN153" i="127"/>
  <c r="BM153" i="127"/>
  <c r="BL153" i="127"/>
  <c r="BK153" i="127"/>
  <c r="BR152" i="127"/>
  <c r="BQ152" i="127"/>
  <c r="BP152" i="127"/>
  <c r="BO152" i="127"/>
  <c r="BN152" i="127"/>
  <c r="BM152" i="127"/>
  <c r="BL152" i="127"/>
  <c r="BK152" i="127"/>
  <c r="BR151" i="127"/>
  <c r="BQ151" i="127"/>
  <c r="BP151" i="127"/>
  <c r="BO151" i="127"/>
  <c r="BN151" i="127"/>
  <c r="BM151" i="127"/>
  <c r="BL151" i="127"/>
  <c r="BK151" i="127"/>
  <c r="BR148" i="127"/>
  <c r="BQ148" i="127"/>
  <c r="BP148" i="127"/>
  <c r="BO148" i="127"/>
  <c r="BN148" i="127"/>
  <c r="BM148" i="127"/>
  <c r="BL148" i="127"/>
  <c r="BK148" i="127"/>
  <c r="BR147" i="127"/>
  <c r="BQ147" i="127"/>
  <c r="BP147" i="127"/>
  <c r="BO147" i="127"/>
  <c r="BN147" i="127"/>
  <c r="BM147" i="127"/>
  <c r="BL147" i="127"/>
  <c r="BK147" i="127"/>
  <c r="BR146" i="127"/>
  <c r="BQ146" i="127"/>
  <c r="BP146" i="127"/>
  <c r="BO146" i="127"/>
  <c r="BN146" i="127"/>
  <c r="BM146" i="127"/>
  <c r="BL146" i="127"/>
  <c r="BK146" i="127"/>
  <c r="BR145" i="127"/>
  <c r="BQ145" i="127"/>
  <c r="BP145" i="127"/>
  <c r="BO145" i="127"/>
  <c r="BN145" i="127"/>
  <c r="BM145" i="127"/>
  <c r="BL145" i="127"/>
  <c r="BK145" i="127"/>
  <c r="BR144" i="127"/>
  <c r="BQ144" i="127"/>
  <c r="BP144" i="127"/>
  <c r="BO144" i="127"/>
  <c r="BN144" i="127"/>
  <c r="BM144" i="127"/>
  <c r="BL144" i="127"/>
  <c r="BK144" i="127"/>
  <c r="BR143" i="127"/>
  <c r="BQ143" i="127"/>
  <c r="BP143" i="127"/>
  <c r="BO143" i="127"/>
  <c r="BN143" i="127"/>
  <c r="BM143" i="127"/>
  <c r="BL143" i="127"/>
  <c r="BK143" i="127"/>
  <c r="BR142" i="127"/>
  <c r="BQ142" i="127"/>
  <c r="BP142" i="127"/>
  <c r="BO142" i="127"/>
  <c r="BN142" i="127"/>
  <c r="BM142" i="127"/>
  <c r="BL142" i="127"/>
  <c r="BK142" i="127"/>
  <c r="BR141" i="127"/>
  <c r="BQ141" i="127"/>
  <c r="BP141" i="127"/>
  <c r="BO141" i="127"/>
  <c r="BN141" i="127"/>
  <c r="BM141" i="127"/>
  <c r="BL141" i="127"/>
  <c r="BK141" i="127"/>
  <c r="BR127" i="127"/>
  <c r="BQ127" i="127"/>
  <c r="BP127" i="127"/>
  <c r="BO127" i="127"/>
  <c r="BN127" i="127"/>
  <c r="BM127" i="127"/>
  <c r="BL127" i="127"/>
  <c r="BK127" i="127"/>
  <c r="BR126" i="127"/>
  <c r="BQ126" i="127"/>
  <c r="BP126" i="127"/>
  <c r="BO126" i="127"/>
  <c r="BN126" i="127"/>
  <c r="BM126" i="127"/>
  <c r="BL126" i="127"/>
  <c r="BK126" i="127"/>
  <c r="BR125" i="127"/>
  <c r="BQ125" i="127"/>
  <c r="BP125" i="127"/>
  <c r="BO125" i="127"/>
  <c r="BN125" i="127"/>
  <c r="BM125" i="127"/>
  <c r="BL125" i="127"/>
  <c r="BK125" i="127"/>
  <c r="BR124" i="127"/>
  <c r="BQ124" i="127"/>
  <c r="BP124" i="127"/>
  <c r="BO124" i="127"/>
  <c r="BN124" i="127"/>
  <c r="BM124" i="127"/>
  <c r="BL124" i="127"/>
  <c r="BK124" i="127"/>
  <c r="BR123" i="127"/>
  <c r="BQ123" i="127"/>
  <c r="BP123" i="127"/>
  <c r="BO123" i="127"/>
  <c r="BN123" i="127"/>
  <c r="BM123" i="127"/>
  <c r="BL123" i="127"/>
  <c r="BK123" i="127"/>
  <c r="BR122" i="127"/>
  <c r="BQ122" i="127"/>
  <c r="BP122" i="127"/>
  <c r="BO122" i="127"/>
  <c r="BN122" i="127"/>
  <c r="BM122" i="127"/>
  <c r="BL122" i="127"/>
  <c r="BK122" i="127"/>
  <c r="BR121" i="127"/>
  <c r="BQ121" i="127"/>
  <c r="BP121" i="127"/>
  <c r="BO121" i="127"/>
  <c r="BN121" i="127"/>
  <c r="BM121" i="127"/>
  <c r="BL121" i="127"/>
  <c r="BK121" i="127"/>
  <c r="BR120" i="127"/>
  <c r="BQ120" i="127"/>
  <c r="BP120" i="127"/>
  <c r="BO120" i="127"/>
  <c r="BN120" i="127"/>
  <c r="BM120" i="127"/>
  <c r="BL120" i="127"/>
  <c r="BK120" i="127"/>
  <c r="BR115" i="127"/>
  <c r="BQ115" i="127"/>
  <c r="BP115" i="127"/>
  <c r="BO115" i="127"/>
  <c r="BN115" i="127"/>
  <c r="BM115" i="127"/>
  <c r="BL115" i="127"/>
  <c r="BK115" i="127"/>
  <c r="BR114" i="127"/>
  <c r="BQ114" i="127"/>
  <c r="BP114" i="127"/>
  <c r="BO114" i="127"/>
  <c r="BN114" i="127"/>
  <c r="BM114" i="127"/>
  <c r="BL114" i="127"/>
  <c r="BK114" i="127"/>
  <c r="BR113" i="127"/>
  <c r="BQ113" i="127"/>
  <c r="BP113" i="127"/>
  <c r="BO113" i="127"/>
  <c r="BN113" i="127"/>
  <c r="BM113" i="127"/>
  <c r="BL113" i="127"/>
  <c r="BK113" i="127"/>
  <c r="BR112" i="127"/>
  <c r="BQ112" i="127"/>
  <c r="BP112" i="127"/>
  <c r="BO112" i="127"/>
  <c r="BN112" i="127"/>
  <c r="BM112" i="127"/>
  <c r="BL112" i="127"/>
  <c r="BK112" i="127"/>
  <c r="BR111" i="127"/>
  <c r="BQ111" i="127"/>
  <c r="BP111" i="127"/>
  <c r="BO111" i="127"/>
  <c r="BN111" i="127"/>
  <c r="BM111" i="127"/>
  <c r="BL111" i="127"/>
  <c r="BK111" i="127"/>
  <c r="BR110" i="127"/>
  <c r="BQ110" i="127"/>
  <c r="BP110" i="127"/>
  <c r="BO110" i="127"/>
  <c r="BN110" i="127"/>
  <c r="BM110" i="127"/>
  <c r="BL110" i="127"/>
  <c r="BK110" i="127"/>
  <c r="BR108" i="127"/>
  <c r="BQ108" i="127"/>
  <c r="BP108" i="127"/>
  <c r="BO108" i="127"/>
  <c r="BN108" i="127"/>
  <c r="BM108" i="127"/>
  <c r="BL108" i="127"/>
  <c r="BK108" i="127"/>
  <c r="BR107" i="127"/>
  <c r="BQ107" i="127"/>
  <c r="BP107" i="127"/>
  <c r="BO107" i="127"/>
  <c r="BN107" i="127"/>
  <c r="BM107" i="127"/>
  <c r="BL107" i="127"/>
  <c r="BK107" i="127"/>
  <c r="BR106" i="127"/>
  <c r="BQ106" i="127"/>
  <c r="BP106" i="127"/>
  <c r="BO106" i="127"/>
  <c r="BN106" i="127"/>
  <c r="BM106" i="127"/>
  <c r="BL106" i="127"/>
  <c r="BK106" i="127"/>
  <c r="BR105" i="127"/>
  <c r="BQ105" i="127"/>
  <c r="BP105" i="127"/>
  <c r="BO105" i="127"/>
  <c r="BN105" i="127"/>
  <c r="BM105" i="127"/>
  <c r="BL105" i="127"/>
  <c r="BK105" i="127"/>
  <c r="BR104" i="127"/>
  <c r="BQ104" i="127"/>
  <c r="BP104" i="127"/>
  <c r="BO104" i="127"/>
  <c r="BN104" i="127"/>
  <c r="BM104" i="127"/>
  <c r="BL104" i="127"/>
  <c r="BK104" i="127"/>
  <c r="BR103" i="127"/>
  <c r="BQ103" i="127"/>
  <c r="BP103" i="127"/>
  <c r="BO103" i="127"/>
  <c r="BN103" i="127"/>
  <c r="BM103" i="127"/>
  <c r="BL103" i="127"/>
  <c r="BK103" i="127"/>
  <c r="BR102" i="127"/>
  <c r="BQ102" i="127"/>
  <c r="BP102" i="127"/>
  <c r="BO102" i="127"/>
  <c r="BN102" i="127"/>
  <c r="BM102" i="127"/>
  <c r="BL102" i="127"/>
  <c r="BK102" i="127"/>
  <c r="BR100" i="127"/>
  <c r="BQ100" i="127"/>
  <c r="BP100" i="127"/>
  <c r="BO100" i="127"/>
  <c r="BN100" i="127"/>
  <c r="BM100" i="127"/>
  <c r="BL100" i="127"/>
  <c r="BK100" i="127"/>
  <c r="BR99" i="127"/>
  <c r="BQ99" i="127"/>
  <c r="BP99" i="127"/>
  <c r="BO99" i="127"/>
  <c r="BN99" i="127"/>
  <c r="BM99" i="127"/>
  <c r="BL99" i="127"/>
  <c r="BK99" i="127"/>
  <c r="BR97" i="127"/>
  <c r="BQ97" i="127"/>
  <c r="BP97" i="127"/>
  <c r="BO97" i="127"/>
  <c r="BN97" i="127"/>
  <c r="BM97" i="127"/>
  <c r="BL97" i="127"/>
  <c r="BK97" i="127"/>
  <c r="BR96" i="127"/>
  <c r="BQ96" i="127"/>
  <c r="BP96" i="127"/>
  <c r="BO96" i="127"/>
  <c r="BN96" i="127"/>
  <c r="BM96" i="127"/>
  <c r="BL96" i="127"/>
  <c r="BK96" i="127"/>
  <c r="BR93" i="127"/>
  <c r="BQ93" i="127"/>
  <c r="BP93" i="127"/>
  <c r="BO93" i="127"/>
  <c r="BN93" i="127"/>
  <c r="BM93" i="127"/>
  <c r="BL93" i="127"/>
  <c r="BK93" i="127"/>
  <c r="BR88" i="127"/>
  <c r="BQ88" i="127"/>
  <c r="BP88" i="127"/>
  <c r="BO88" i="127"/>
  <c r="BN88" i="127"/>
  <c r="BM88" i="127"/>
  <c r="BL88" i="127"/>
  <c r="BK88" i="127"/>
  <c r="BR87" i="127"/>
  <c r="BQ87" i="127"/>
  <c r="BP87" i="127"/>
  <c r="BO87" i="127"/>
  <c r="BN87" i="127"/>
  <c r="BM87" i="127"/>
  <c r="BL87" i="127"/>
  <c r="BK87" i="127"/>
  <c r="BR85" i="127"/>
  <c r="BQ85" i="127"/>
  <c r="BP85" i="127"/>
  <c r="BO85" i="127"/>
  <c r="BN85" i="127"/>
  <c r="BM85" i="127"/>
  <c r="BL85" i="127"/>
  <c r="BK85" i="127"/>
  <c r="BR84" i="127"/>
  <c r="BQ84" i="127"/>
  <c r="BP84" i="127"/>
  <c r="BO84" i="127"/>
  <c r="BN84" i="127"/>
  <c r="BM84" i="127"/>
  <c r="BL84" i="127"/>
  <c r="BK84" i="127"/>
  <c r="BR83" i="127"/>
  <c r="BQ83" i="127"/>
  <c r="BP83" i="127"/>
  <c r="BO83" i="127"/>
  <c r="BN83" i="127"/>
  <c r="BM83" i="127"/>
  <c r="BL83" i="127"/>
  <c r="BK83" i="127"/>
  <c r="BR82" i="127"/>
  <c r="BQ82" i="127"/>
  <c r="BP82" i="127"/>
  <c r="BO82" i="127"/>
  <c r="BN82" i="127"/>
  <c r="BM82" i="127"/>
  <c r="BL82" i="127"/>
  <c r="BK82" i="127"/>
  <c r="AI81" i="127"/>
  <c r="AH81" i="127"/>
  <c r="AG81" i="127"/>
  <c r="AF81" i="127"/>
  <c r="AE81" i="127"/>
  <c r="AD81" i="127"/>
  <c r="AC81" i="127"/>
  <c r="AB81" i="127"/>
  <c r="BR80" i="127"/>
  <c r="BQ80" i="127"/>
  <c r="BP80" i="127"/>
  <c r="BO80" i="127"/>
  <c r="BN80" i="127"/>
  <c r="BM80" i="127"/>
  <c r="BL80" i="127"/>
  <c r="BK80" i="127"/>
  <c r="AI80" i="127"/>
  <c r="AH80" i="127"/>
  <c r="AG80" i="127"/>
  <c r="AF80" i="127"/>
  <c r="AE80" i="127"/>
  <c r="AD80" i="127"/>
  <c r="AC80" i="127"/>
  <c r="AB80" i="127"/>
  <c r="AI79" i="127"/>
  <c r="AH79" i="127"/>
  <c r="AG79" i="127"/>
  <c r="AF79" i="127"/>
  <c r="AE79" i="127"/>
  <c r="AD79" i="127"/>
  <c r="AC79" i="127"/>
  <c r="AB79" i="127"/>
  <c r="AI78" i="127"/>
  <c r="AH78" i="127"/>
  <c r="AG78" i="127"/>
  <c r="AF78" i="127"/>
  <c r="AE78" i="127"/>
  <c r="AD78" i="127"/>
  <c r="AC78" i="127"/>
  <c r="AB78" i="127"/>
  <c r="BR77" i="127"/>
  <c r="BQ77" i="127"/>
  <c r="BP77" i="127"/>
  <c r="BO77" i="127"/>
  <c r="BN77" i="127"/>
  <c r="BM77" i="127"/>
  <c r="BL77" i="127"/>
  <c r="BK77" i="127"/>
  <c r="AI77" i="127"/>
  <c r="AH77" i="127"/>
  <c r="AG77" i="127"/>
  <c r="AF77" i="127"/>
  <c r="AE77" i="127"/>
  <c r="AD77" i="127"/>
  <c r="AC77" i="127"/>
  <c r="AB77" i="127"/>
  <c r="AI76" i="127"/>
  <c r="AH76" i="127"/>
  <c r="AG76" i="127"/>
  <c r="AF76" i="127"/>
  <c r="AE76" i="127"/>
  <c r="AD76" i="127"/>
  <c r="AC76" i="127"/>
  <c r="AB76" i="127"/>
  <c r="BR75" i="127"/>
  <c r="BQ75" i="127"/>
  <c r="BP75" i="127"/>
  <c r="BO75" i="127"/>
  <c r="BN75" i="127"/>
  <c r="BM75" i="127"/>
  <c r="BL75" i="127"/>
  <c r="BK75" i="127"/>
  <c r="AI75" i="127"/>
  <c r="AH75" i="127"/>
  <c r="AG75" i="127"/>
  <c r="AF75" i="127"/>
  <c r="AE75" i="127"/>
  <c r="AD75" i="127"/>
  <c r="AC75" i="127"/>
  <c r="AB75" i="127"/>
  <c r="BR74" i="127"/>
  <c r="BQ74" i="127"/>
  <c r="BP74" i="127"/>
  <c r="BO74" i="127"/>
  <c r="BN74" i="127"/>
  <c r="BM74" i="127"/>
  <c r="BL74" i="127"/>
  <c r="BK74" i="127"/>
  <c r="BR71" i="127"/>
  <c r="BQ71" i="127"/>
  <c r="BP71" i="127"/>
  <c r="BO71" i="127"/>
  <c r="BN71" i="127"/>
  <c r="BM71" i="127"/>
  <c r="BL71" i="127"/>
  <c r="BK71" i="127"/>
  <c r="AI71" i="127"/>
  <c r="AH71" i="127"/>
  <c r="AG71" i="127"/>
  <c r="AF71" i="127"/>
  <c r="AE71" i="127"/>
  <c r="AD71" i="127"/>
  <c r="AC71" i="127"/>
  <c r="AB71" i="127"/>
  <c r="AI70" i="127"/>
  <c r="AH70" i="127"/>
  <c r="AG70" i="127"/>
  <c r="AF70" i="127"/>
  <c r="AE70" i="127"/>
  <c r="AD70" i="127"/>
  <c r="AC70" i="127"/>
  <c r="AB70" i="127"/>
  <c r="BR69" i="127"/>
  <c r="BQ69" i="127"/>
  <c r="BP69" i="127"/>
  <c r="BO69" i="127"/>
  <c r="BN69" i="127"/>
  <c r="BM69" i="127"/>
  <c r="BL69" i="127"/>
  <c r="BK69" i="127"/>
  <c r="AI69" i="127"/>
  <c r="AH69" i="127"/>
  <c r="AG69" i="127"/>
  <c r="AF69" i="127"/>
  <c r="AE69" i="127"/>
  <c r="AD69" i="127"/>
  <c r="AC69" i="127"/>
  <c r="AB69" i="127"/>
  <c r="BR68" i="127"/>
  <c r="BQ68" i="127"/>
  <c r="BP68" i="127"/>
  <c r="BO68" i="127"/>
  <c r="BN68" i="127"/>
  <c r="BM68" i="127"/>
  <c r="BL68" i="127"/>
  <c r="BK68" i="127"/>
  <c r="AI68" i="127"/>
  <c r="AH68" i="127"/>
  <c r="AG68" i="127"/>
  <c r="AF68" i="127"/>
  <c r="AE68" i="127"/>
  <c r="AD68" i="127"/>
  <c r="AC68" i="127"/>
  <c r="AB68" i="127"/>
  <c r="BR67" i="127"/>
  <c r="BQ67" i="127"/>
  <c r="BP67" i="127"/>
  <c r="BO67" i="127"/>
  <c r="BN67" i="127"/>
  <c r="BM67" i="127"/>
  <c r="BL67" i="127"/>
  <c r="BK67" i="127"/>
  <c r="AU67" i="127"/>
  <c r="AT67" i="127"/>
  <c r="AS67" i="127"/>
  <c r="AR67" i="127"/>
  <c r="AQ67" i="127"/>
  <c r="AP67" i="127"/>
  <c r="AO67" i="127"/>
  <c r="AN67" i="127"/>
  <c r="AI67" i="127"/>
  <c r="AH67" i="127"/>
  <c r="AG67" i="127"/>
  <c r="AF67" i="127"/>
  <c r="AE67" i="127"/>
  <c r="AD67" i="127"/>
  <c r="AC67" i="127"/>
  <c r="AB67" i="127"/>
  <c r="BR66" i="127"/>
  <c r="BQ66" i="127"/>
  <c r="BP66" i="127"/>
  <c r="BO66" i="127"/>
  <c r="BN66" i="127"/>
  <c r="BM66" i="127"/>
  <c r="BL66" i="127"/>
  <c r="BK66" i="127"/>
  <c r="AU66" i="127"/>
  <c r="AT66" i="127"/>
  <c r="AS66" i="127"/>
  <c r="AR66" i="127"/>
  <c r="AQ66" i="127"/>
  <c r="AP66" i="127"/>
  <c r="AO66" i="127"/>
  <c r="AN66" i="127"/>
  <c r="BR65" i="127"/>
  <c r="BQ65" i="127"/>
  <c r="BP65" i="127"/>
  <c r="BO65" i="127"/>
  <c r="BN65" i="127"/>
  <c r="BM65" i="127"/>
  <c r="BL65" i="127"/>
  <c r="BK65" i="127"/>
  <c r="AU65" i="127"/>
  <c r="AT65" i="127"/>
  <c r="AS65" i="127"/>
  <c r="AR65" i="127"/>
  <c r="AQ65" i="127"/>
  <c r="AP65" i="127"/>
  <c r="AO65" i="127"/>
  <c r="AN65" i="127"/>
  <c r="AU64" i="127"/>
  <c r="AT64" i="127"/>
  <c r="AS64" i="127"/>
  <c r="AR64" i="127"/>
  <c r="AQ64" i="127"/>
  <c r="AP64" i="127"/>
  <c r="AO64" i="127"/>
  <c r="AN64" i="127"/>
  <c r="AI64" i="127"/>
  <c r="AH64" i="127"/>
  <c r="AG64" i="127"/>
  <c r="AF64" i="127"/>
  <c r="AE64" i="127"/>
  <c r="AD64" i="127"/>
  <c r="AC64" i="127"/>
  <c r="AB64" i="127"/>
  <c r="BR63" i="127"/>
  <c r="BQ63" i="127"/>
  <c r="BP63" i="127"/>
  <c r="BO63" i="127"/>
  <c r="BN63" i="127"/>
  <c r="BM63" i="127"/>
  <c r="BL63" i="127"/>
  <c r="BK63" i="127"/>
  <c r="AU63" i="127"/>
  <c r="AT63" i="127"/>
  <c r="AS63" i="127"/>
  <c r="AR63" i="127"/>
  <c r="AQ63" i="127"/>
  <c r="AP63" i="127"/>
  <c r="AO63" i="127"/>
  <c r="AN63" i="127"/>
  <c r="AI63" i="127"/>
  <c r="AH63" i="127"/>
  <c r="AG63" i="127"/>
  <c r="AF63" i="127"/>
  <c r="AE63" i="127"/>
  <c r="AD63" i="127"/>
  <c r="AC63" i="127"/>
  <c r="AB63" i="127"/>
  <c r="BR62" i="127"/>
  <c r="BQ62" i="127"/>
  <c r="BP62" i="127"/>
  <c r="BO62" i="127"/>
  <c r="BN62" i="127"/>
  <c r="BM62" i="127"/>
  <c r="BL62" i="127"/>
  <c r="BK62" i="127"/>
  <c r="AU62" i="127"/>
  <c r="AT62" i="127"/>
  <c r="AS62" i="127"/>
  <c r="AR62" i="127"/>
  <c r="AQ62" i="127"/>
  <c r="AP62" i="127"/>
  <c r="AO62" i="127"/>
  <c r="AN62" i="127"/>
  <c r="AI62" i="127"/>
  <c r="AH62" i="127"/>
  <c r="AG62" i="127"/>
  <c r="AF62" i="127"/>
  <c r="AE62" i="127"/>
  <c r="AD62" i="127"/>
  <c r="AC62" i="127"/>
  <c r="AB62" i="127"/>
  <c r="BR61" i="127"/>
  <c r="BQ61" i="127"/>
  <c r="BP61" i="127"/>
  <c r="BO61" i="127"/>
  <c r="BN61" i="127"/>
  <c r="BM61" i="127"/>
  <c r="BL61" i="127"/>
  <c r="BK61" i="127"/>
  <c r="AU61" i="127"/>
  <c r="AT61" i="127"/>
  <c r="AS61" i="127"/>
  <c r="AR61" i="127"/>
  <c r="AQ61" i="127"/>
  <c r="AP61" i="127"/>
  <c r="AO61" i="127"/>
  <c r="AN61" i="127"/>
  <c r="AI61" i="127"/>
  <c r="AH61" i="127"/>
  <c r="AG61" i="127"/>
  <c r="AF61" i="127"/>
  <c r="AE61" i="127"/>
  <c r="AD61" i="127"/>
  <c r="AC61" i="127"/>
  <c r="AB61" i="127"/>
  <c r="AU60" i="127"/>
  <c r="AT60" i="127"/>
  <c r="AS60" i="127"/>
  <c r="AR60" i="127"/>
  <c r="AQ60" i="127"/>
  <c r="AP60" i="127"/>
  <c r="AO60" i="127"/>
  <c r="AN60" i="127"/>
  <c r="AI60" i="127"/>
  <c r="AH60" i="127"/>
  <c r="AG60" i="127"/>
  <c r="AF60" i="127"/>
  <c r="AE60" i="127"/>
  <c r="AD60" i="127"/>
  <c r="AC60" i="127"/>
  <c r="AB60" i="127"/>
  <c r="AU59" i="127"/>
  <c r="AT59" i="127"/>
  <c r="AS59" i="127"/>
  <c r="AR59" i="127"/>
  <c r="AQ59" i="127"/>
  <c r="AP59" i="127"/>
  <c r="AO59" i="127"/>
  <c r="AN59" i="127"/>
  <c r="AI59" i="127"/>
  <c r="AH59" i="127"/>
  <c r="AG59" i="127"/>
  <c r="AF59" i="127"/>
  <c r="AE59" i="127"/>
  <c r="AD59" i="127"/>
  <c r="AC59" i="127"/>
  <c r="AB59" i="127"/>
  <c r="AU58" i="127"/>
  <c r="AT58" i="127"/>
  <c r="AS58" i="127"/>
  <c r="AR58" i="127"/>
  <c r="AQ58" i="127"/>
  <c r="AP58" i="127"/>
  <c r="AO58" i="127"/>
  <c r="AN58" i="127"/>
  <c r="AI58" i="127"/>
  <c r="AH58" i="127"/>
  <c r="AG58" i="127"/>
  <c r="AF58" i="127"/>
  <c r="AE58" i="127"/>
  <c r="AD58" i="127"/>
  <c r="AC58" i="127"/>
  <c r="AB58" i="127"/>
  <c r="BR57" i="127"/>
  <c r="BQ57" i="127"/>
  <c r="BP57" i="127"/>
  <c r="BO57" i="127"/>
  <c r="BN57" i="127"/>
  <c r="BM57" i="127"/>
  <c r="BL57" i="127"/>
  <c r="BK57" i="127"/>
  <c r="AU57" i="127"/>
  <c r="AT57" i="127"/>
  <c r="AS57" i="127"/>
  <c r="AR57" i="127"/>
  <c r="AQ57" i="127"/>
  <c r="AP57" i="127"/>
  <c r="AO57" i="127"/>
  <c r="AN57" i="127"/>
  <c r="AI57" i="127"/>
  <c r="AH57" i="127"/>
  <c r="AG57" i="127"/>
  <c r="AF57" i="127"/>
  <c r="AE57" i="127"/>
  <c r="AD57" i="127"/>
  <c r="AC57" i="127"/>
  <c r="AB57" i="127"/>
  <c r="BR56" i="127"/>
  <c r="BQ56" i="127"/>
  <c r="BP56" i="127"/>
  <c r="BO56" i="127"/>
  <c r="BN56" i="127"/>
  <c r="BM56" i="127"/>
  <c r="BL56" i="127"/>
  <c r="BK56" i="127"/>
  <c r="AU56" i="127"/>
  <c r="AT56" i="127"/>
  <c r="AS56" i="127"/>
  <c r="AR56" i="127"/>
  <c r="AQ56" i="127"/>
  <c r="AP56" i="127"/>
  <c r="AO56" i="127"/>
  <c r="AN56" i="127"/>
  <c r="AI56" i="127"/>
  <c r="AH56" i="127"/>
  <c r="AG56" i="127"/>
  <c r="AF56" i="127"/>
  <c r="AE56" i="127"/>
  <c r="AD56" i="127"/>
  <c r="AC56" i="127"/>
  <c r="AB56" i="127"/>
  <c r="BR55" i="127"/>
  <c r="BQ55" i="127"/>
  <c r="BP55" i="127"/>
  <c r="BO55" i="127"/>
  <c r="BN55" i="127"/>
  <c r="BM55" i="127"/>
  <c r="BL55" i="127"/>
  <c r="BK55" i="127"/>
  <c r="AU55" i="127"/>
  <c r="AT55" i="127"/>
  <c r="AS55" i="127"/>
  <c r="AR55" i="127"/>
  <c r="AQ55" i="127"/>
  <c r="AP55" i="127"/>
  <c r="AO55" i="127"/>
  <c r="AN55" i="127"/>
  <c r="AI55" i="127"/>
  <c r="AH55" i="127"/>
  <c r="AG55" i="127"/>
  <c r="AF55" i="127"/>
  <c r="AE55" i="127"/>
  <c r="AD55" i="127"/>
  <c r="AC55" i="127"/>
  <c r="AB55" i="127"/>
  <c r="BR54" i="127"/>
  <c r="BQ54" i="127"/>
  <c r="BP54" i="127"/>
  <c r="BO54" i="127"/>
  <c r="BN54" i="127"/>
  <c r="BM54" i="127"/>
  <c r="BL54" i="127"/>
  <c r="BK54" i="127"/>
  <c r="AU54" i="127"/>
  <c r="AT54" i="127"/>
  <c r="AS54" i="127"/>
  <c r="AR54" i="127"/>
  <c r="AQ54" i="127"/>
  <c r="AP54" i="127"/>
  <c r="AO54" i="127"/>
  <c r="AN54" i="127"/>
  <c r="BR53" i="127"/>
  <c r="BQ53" i="127"/>
  <c r="BP53" i="127"/>
  <c r="BO53" i="127"/>
  <c r="BN53" i="127"/>
  <c r="BM53" i="127"/>
  <c r="BL53" i="127"/>
  <c r="BK53" i="127"/>
  <c r="AU53" i="127"/>
  <c r="AT53" i="127"/>
  <c r="AS53" i="127"/>
  <c r="AR53" i="127"/>
  <c r="AQ53" i="127"/>
  <c r="AP53" i="127"/>
  <c r="AO53" i="127"/>
  <c r="AN53" i="127"/>
  <c r="AI53" i="127"/>
  <c r="AH53" i="127"/>
  <c r="AG53" i="127"/>
  <c r="AF53" i="127"/>
  <c r="AE53" i="127"/>
  <c r="AD53" i="127"/>
  <c r="AC53" i="127"/>
  <c r="AB53" i="127"/>
  <c r="BR52" i="127"/>
  <c r="BQ52" i="127"/>
  <c r="BP52" i="127"/>
  <c r="BO52" i="127"/>
  <c r="BN52" i="127"/>
  <c r="BM52" i="127"/>
  <c r="BL52" i="127"/>
  <c r="BK52" i="127"/>
  <c r="AU52" i="127"/>
  <c r="AT52" i="127"/>
  <c r="AS52" i="127"/>
  <c r="AR52" i="127"/>
  <c r="AQ52" i="127"/>
  <c r="AP52" i="127"/>
  <c r="AO52" i="127"/>
  <c r="AN52" i="127"/>
  <c r="AI52" i="127"/>
  <c r="AH52" i="127"/>
  <c r="AG52" i="127"/>
  <c r="AF52" i="127"/>
  <c r="AE52" i="127"/>
  <c r="AD52" i="127"/>
  <c r="AC52" i="127"/>
  <c r="AB52" i="127"/>
  <c r="AU51" i="127"/>
  <c r="AT51" i="127"/>
  <c r="AS51" i="127"/>
  <c r="AR51" i="127"/>
  <c r="AQ51" i="127"/>
  <c r="AP51" i="127"/>
  <c r="AO51" i="127"/>
  <c r="AN51" i="127"/>
  <c r="AI51" i="127"/>
  <c r="AH51" i="127"/>
  <c r="AG51" i="127"/>
  <c r="AF51" i="127"/>
  <c r="AE51" i="127"/>
  <c r="AD51" i="127"/>
  <c r="AC51" i="127"/>
  <c r="AB51" i="127"/>
  <c r="BR50" i="127"/>
  <c r="BQ50" i="127"/>
  <c r="BP50" i="127"/>
  <c r="BO50" i="127"/>
  <c r="BN50" i="127"/>
  <c r="BM50" i="127"/>
  <c r="BL50" i="127"/>
  <c r="BK50" i="127"/>
  <c r="AU50" i="127"/>
  <c r="AT50" i="127"/>
  <c r="AS50" i="127"/>
  <c r="AR50" i="127"/>
  <c r="AQ50" i="127"/>
  <c r="AP50" i="127"/>
  <c r="AO50" i="127"/>
  <c r="AN50" i="127"/>
  <c r="BR49" i="127"/>
  <c r="BQ49" i="127"/>
  <c r="BP49" i="127"/>
  <c r="BO49" i="127"/>
  <c r="BN49" i="127"/>
  <c r="BM49" i="127"/>
  <c r="BL49" i="127"/>
  <c r="BK49" i="127"/>
  <c r="AU49" i="127"/>
  <c r="AT49" i="127"/>
  <c r="AS49" i="127"/>
  <c r="AR49" i="127"/>
  <c r="AQ49" i="127"/>
  <c r="AP49" i="127"/>
  <c r="AO49" i="127"/>
  <c r="AN49" i="127"/>
  <c r="AI49" i="127"/>
  <c r="AH49" i="127"/>
  <c r="AG49" i="127"/>
  <c r="AF49" i="127"/>
  <c r="AE49" i="127"/>
  <c r="AD49" i="127"/>
  <c r="AC49" i="127"/>
  <c r="AB49" i="127"/>
  <c r="BR48" i="127"/>
  <c r="BQ48" i="127"/>
  <c r="BP48" i="127"/>
  <c r="BO48" i="127"/>
  <c r="BN48" i="127"/>
  <c r="BM48" i="127"/>
  <c r="BL48" i="127"/>
  <c r="BK48" i="127"/>
  <c r="AU48" i="127"/>
  <c r="AT48" i="127"/>
  <c r="AS48" i="127"/>
  <c r="AR48" i="127"/>
  <c r="AQ48" i="127"/>
  <c r="AP48" i="127"/>
  <c r="AO48" i="127"/>
  <c r="AN48" i="127"/>
  <c r="AI48" i="127"/>
  <c r="AH48" i="127"/>
  <c r="AG48" i="127"/>
  <c r="AF48" i="127"/>
  <c r="AE48" i="127"/>
  <c r="AD48" i="127"/>
  <c r="AC48" i="127"/>
  <c r="AB48" i="127"/>
  <c r="BR47" i="127"/>
  <c r="BQ47" i="127"/>
  <c r="BP47" i="127"/>
  <c r="BO47" i="127"/>
  <c r="BN47" i="127"/>
  <c r="BM47" i="127"/>
  <c r="BL47" i="127"/>
  <c r="BK47" i="127"/>
  <c r="AI47" i="127"/>
  <c r="AH47" i="127"/>
  <c r="AG47" i="127"/>
  <c r="AF47" i="127"/>
  <c r="AE47" i="127"/>
  <c r="AD47" i="127"/>
  <c r="AC47" i="127"/>
  <c r="AB47" i="127"/>
  <c r="BR46" i="127"/>
  <c r="BQ46" i="127"/>
  <c r="BP46" i="127"/>
  <c r="BO46" i="127"/>
  <c r="BN46" i="127"/>
  <c r="BM46" i="127"/>
  <c r="BL46" i="127"/>
  <c r="BK46" i="127"/>
  <c r="AI46" i="127"/>
  <c r="AH46" i="127"/>
  <c r="AG46" i="127"/>
  <c r="AF46" i="127"/>
  <c r="AE46" i="127"/>
  <c r="AD46" i="127"/>
  <c r="AC46" i="127"/>
  <c r="AB46" i="127"/>
  <c r="AI45" i="127"/>
  <c r="AH45" i="127"/>
  <c r="AG45" i="127"/>
  <c r="AF45" i="127"/>
  <c r="AE45" i="127"/>
  <c r="AD45" i="127"/>
  <c r="AC45" i="127"/>
  <c r="AB45" i="127"/>
  <c r="AI44" i="127"/>
  <c r="AH44" i="127"/>
  <c r="AG44" i="127"/>
  <c r="AF44" i="127"/>
  <c r="AE44" i="127"/>
  <c r="AD44" i="127"/>
  <c r="AC44" i="127"/>
  <c r="AB44" i="127"/>
  <c r="AI43" i="127"/>
  <c r="AH43" i="127"/>
  <c r="AG43" i="127"/>
  <c r="AF43" i="127"/>
  <c r="AE43" i="127"/>
  <c r="AD43" i="127"/>
  <c r="AC43" i="127"/>
  <c r="AB43" i="127"/>
  <c r="BR42" i="127"/>
  <c r="BQ42" i="127"/>
  <c r="BP42" i="127"/>
  <c r="BO42" i="127"/>
  <c r="BN42" i="127"/>
  <c r="BM42" i="127"/>
  <c r="BL42" i="127"/>
  <c r="BK42" i="127"/>
  <c r="AI42" i="127"/>
  <c r="AH42" i="127"/>
  <c r="AG42" i="127"/>
  <c r="AF42" i="127"/>
  <c r="AE42" i="127"/>
  <c r="AD42" i="127"/>
  <c r="AC42" i="127"/>
  <c r="AB42" i="127"/>
  <c r="BR41" i="127"/>
  <c r="BQ41" i="127"/>
  <c r="BP41" i="127"/>
  <c r="BO41" i="127"/>
  <c r="BN41" i="127"/>
  <c r="BM41" i="127"/>
  <c r="BL41" i="127"/>
  <c r="BK41" i="127"/>
  <c r="AI41" i="127"/>
  <c r="AH41" i="127"/>
  <c r="AG41" i="127"/>
  <c r="AF41" i="127"/>
  <c r="AE41" i="127"/>
  <c r="AD41" i="127"/>
  <c r="AC41" i="127"/>
  <c r="AB41" i="127"/>
  <c r="BR40" i="127"/>
  <c r="BQ40" i="127"/>
  <c r="BP40" i="127"/>
  <c r="BO40" i="127"/>
  <c r="BN40" i="127"/>
  <c r="BM40" i="127"/>
  <c r="BL40" i="127"/>
  <c r="BK40" i="127"/>
  <c r="AI40" i="127"/>
  <c r="AH40" i="127"/>
  <c r="AG40" i="127"/>
  <c r="AF40" i="127"/>
  <c r="AE40" i="127"/>
  <c r="AD40" i="127"/>
  <c r="AC40" i="127"/>
  <c r="AB40" i="127"/>
  <c r="BR39" i="127"/>
  <c r="BQ39" i="127"/>
  <c r="BP39" i="127"/>
  <c r="BO39" i="127"/>
  <c r="BN39" i="127"/>
  <c r="BM39" i="127"/>
  <c r="BL39" i="127"/>
  <c r="BK39" i="127"/>
  <c r="AI39" i="127"/>
  <c r="AH39" i="127"/>
  <c r="AG39" i="127"/>
  <c r="AF39" i="127"/>
  <c r="AE39" i="127"/>
  <c r="AD39" i="127"/>
  <c r="AC39" i="127"/>
  <c r="AB39" i="127"/>
  <c r="BR38" i="127"/>
  <c r="BQ38" i="127"/>
  <c r="BP38" i="127"/>
  <c r="BO38" i="127"/>
  <c r="BN38" i="127"/>
  <c r="BM38" i="127"/>
  <c r="BL38" i="127"/>
  <c r="BK38" i="127"/>
  <c r="AI38" i="127"/>
  <c r="AH38" i="127"/>
  <c r="AG38" i="127"/>
  <c r="AF38" i="127"/>
  <c r="AE38" i="127"/>
  <c r="AD38" i="127"/>
  <c r="AC38" i="127"/>
  <c r="AB38" i="127"/>
  <c r="BR37" i="127"/>
  <c r="BQ37" i="127"/>
  <c r="BP37" i="127"/>
  <c r="BO37" i="127"/>
  <c r="BN37" i="127"/>
  <c r="BM37" i="127"/>
  <c r="BL37" i="127"/>
  <c r="BK37" i="127"/>
  <c r="AI37" i="127"/>
  <c r="AH37" i="127"/>
  <c r="AG37" i="127"/>
  <c r="AF37" i="127"/>
  <c r="AE37" i="127"/>
  <c r="AD37" i="127"/>
  <c r="AC37" i="127"/>
  <c r="AB37" i="127"/>
  <c r="BR36" i="127"/>
  <c r="BQ36" i="127"/>
  <c r="BP36" i="127"/>
  <c r="BO36" i="127"/>
  <c r="BN36" i="127"/>
  <c r="BM36" i="127"/>
  <c r="BL36" i="127"/>
  <c r="BK36" i="127"/>
  <c r="AI36" i="127"/>
  <c r="AH36" i="127"/>
  <c r="AG36" i="127"/>
  <c r="AF36" i="127"/>
  <c r="AE36" i="127"/>
  <c r="AD36" i="127"/>
  <c r="AC36" i="127"/>
  <c r="AB36" i="127"/>
  <c r="BR35" i="127"/>
  <c r="BQ35" i="127"/>
  <c r="BP35" i="127"/>
  <c r="BO35" i="127"/>
  <c r="BN35" i="127"/>
  <c r="BM35" i="127"/>
  <c r="BL35" i="127"/>
  <c r="BK35" i="127"/>
  <c r="AI35" i="127"/>
  <c r="AH35" i="127"/>
  <c r="AG35" i="127"/>
  <c r="AF35" i="127"/>
  <c r="AE35" i="127"/>
  <c r="AD35" i="127"/>
  <c r="AC35" i="127"/>
  <c r="AB35" i="127"/>
  <c r="BR34" i="127"/>
  <c r="BQ34" i="127"/>
  <c r="BP34" i="127"/>
  <c r="BO34" i="127"/>
  <c r="BN34" i="127"/>
  <c r="BM34" i="127"/>
  <c r="BL34" i="127"/>
  <c r="BK34" i="127"/>
  <c r="AI34" i="127"/>
  <c r="AH34" i="127"/>
  <c r="AG34" i="127"/>
  <c r="AF34" i="127"/>
  <c r="AE34" i="127"/>
  <c r="AD34" i="127"/>
  <c r="AC34" i="127"/>
  <c r="AB34" i="127"/>
  <c r="BR33" i="127"/>
  <c r="BQ33" i="127"/>
  <c r="BP33" i="127"/>
  <c r="BO33" i="127"/>
  <c r="BN33" i="127"/>
  <c r="BM33" i="127"/>
  <c r="BL33" i="127"/>
  <c r="BK33" i="127"/>
  <c r="AI33" i="127"/>
  <c r="AH33" i="127"/>
  <c r="AG33" i="127"/>
  <c r="AF33" i="127"/>
  <c r="AE33" i="127"/>
  <c r="AD33" i="127"/>
  <c r="AC33" i="127"/>
  <c r="AB33" i="127"/>
  <c r="BR32" i="127"/>
  <c r="BQ32" i="127"/>
  <c r="BP32" i="127"/>
  <c r="BO32" i="127"/>
  <c r="BN32" i="127"/>
  <c r="BM32" i="127"/>
  <c r="BL32" i="127"/>
  <c r="BK32" i="127"/>
  <c r="AI32" i="127"/>
  <c r="AH32" i="127"/>
  <c r="AG32" i="127"/>
  <c r="AF32" i="127"/>
  <c r="AE32" i="127"/>
  <c r="AD32" i="127"/>
  <c r="AC32" i="127"/>
  <c r="AB32" i="127"/>
  <c r="BR31" i="127"/>
  <c r="BQ31" i="127"/>
  <c r="BP31" i="127"/>
  <c r="BO31" i="127"/>
  <c r="BN31" i="127"/>
  <c r="BM31" i="127"/>
  <c r="BL31" i="127"/>
  <c r="BK31" i="127"/>
  <c r="AI31" i="127"/>
  <c r="AH31" i="127"/>
  <c r="AG31" i="127"/>
  <c r="AF31" i="127"/>
  <c r="AE31" i="127"/>
  <c r="AD31" i="127"/>
  <c r="AC31" i="127"/>
  <c r="AB31" i="127"/>
  <c r="W31" i="127"/>
  <c r="V31" i="127"/>
  <c r="U31" i="127"/>
  <c r="T31" i="127"/>
  <c r="S31" i="127"/>
  <c r="R31" i="127"/>
  <c r="Q31" i="127"/>
  <c r="P31" i="127"/>
  <c r="BR30" i="127"/>
  <c r="BQ30" i="127"/>
  <c r="BP30" i="127"/>
  <c r="BO30" i="127"/>
  <c r="BN30" i="127"/>
  <c r="BM30" i="127"/>
  <c r="BL30" i="127"/>
  <c r="BK30" i="127"/>
  <c r="AI30" i="127"/>
  <c r="AH30" i="127"/>
  <c r="AG30" i="127"/>
  <c r="AF30" i="127"/>
  <c r="AE30" i="127"/>
  <c r="AD30" i="127"/>
  <c r="AC30" i="127"/>
  <c r="AB30" i="127"/>
  <c r="W30" i="127"/>
  <c r="V30" i="127"/>
  <c r="U30" i="127"/>
  <c r="T30" i="127"/>
  <c r="S30" i="127"/>
  <c r="R30" i="127"/>
  <c r="Q30" i="127"/>
  <c r="P30" i="127"/>
  <c r="BR29" i="127"/>
  <c r="BQ29" i="127"/>
  <c r="BP29" i="127"/>
  <c r="BO29" i="127"/>
  <c r="BN29" i="127"/>
  <c r="BM29" i="127"/>
  <c r="BL29" i="127"/>
  <c r="BK29" i="127"/>
  <c r="AI29" i="127"/>
  <c r="AH29" i="127"/>
  <c r="AG29" i="127"/>
  <c r="AF29" i="127"/>
  <c r="AE29" i="127"/>
  <c r="AD29" i="127"/>
  <c r="AC29" i="127"/>
  <c r="AB29" i="127"/>
  <c r="CD28" i="127"/>
  <c r="CC28" i="127"/>
  <c r="CB28" i="127"/>
  <c r="CA28" i="127"/>
  <c r="BZ28" i="127"/>
  <c r="BY28" i="127"/>
  <c r="BX28" i="127"/>
  <c r="BW28" i="127"/>
  <c r="BR28" i="127"/>
  <c r="BQ28" i="127"/>
  <c r="BP28" i="127"/>
  <c r="BO28" i="127"/>
  <c r="BN28" i="127"/>
  <c r="BM28" i="127"/>
  <c r="BL28" i="127"/>
  <c r="BK28" i="127"/>
  <c r="AI28" i="127"/>
  <c r="AH28" i="127"/>
  <c r="AG28" i="127"/>
  <c r="AF28" i="127"/>
  <c r="AE28" i="127"/>
  <c r="AD28" i="127"/>
  <c r="AC28" i="127"/>
  <c r="AB28" i="127"/>
  <c r="W28" i="127"/>
  <c r="V28" i="127"/>
  <c r="U28" i="127"/>
  <c r="T28" i="127"/>
  <c r="S28" i="127"/>
  <c r="R28" i="127"/>
  <c r="Q28" i="127"/>
  <c r="P28" i="127"/>
  <c r="CD27" i="127"/>
  <c r="CC27" i="127"/>
  <c r="CB27" i="127"/>
  <c r="CA27" i="127"/>
  <c r="BZ27" i="127"/>
  <c r="BY27" i="127"/>
  <c r="BX27" i="127"/>
  <c r="BW27" i="127"/>
  <c r="BR27" i="127"/>
  <c r="BQ27" i="127"/>
  <c r="BP27" i="127"/>
  <c r="BO27" i="127"/>
  <c r="BN27" i="127"/>
  <c r="BM27" i="127"/>
  <c r="BL27" i="127"/>
  <c r="BK27" i="127"/>
  <c r="AI27" i="127"/>
  <c r="AH27" i="127"/>
  <c r="AG27" i="127"/>
  <c r="AF27" i="127"/>
  <c r="AE27" i="127"/>
  <c r="AD27" i="127"/>
  <c r="AC27" i="127"/>
  <c r="AB27" i="127"/>
  <c r="W27" i="127"/>
  <c r="V27" i="127"/>
  <c r="U27" i="127"/>
  <c r="T27" i="127"/>
  <c r="S27" i="127"/>
  <c r="R27" i="127"/>
  <c r="Q27" i="127"/>
  <c r="P27" i="127"/>
  <c r="CD26" i="127"/>
  <c r="CC26" i="127"/>
  <c r="CB26" i="127"/>
  <c r="CA26" i="127"/>
  <c r="BZ26" i="127"/>
  <c r="BY26" i="127"/>
  <c r="BX26" i="127"/>
  <c r="BW26" i="127"/>
  <c r="BR26" i="127"/>
  <c r="BQ26" i="127"/>
  <c r="BP26" i="127"/>
  <c r="BO26" i="127"/>
  <c r="BN26" i="127"/>
  <c r="BM26" i="127"/>
  <c r="BL26" i="127"/>
  <c r="BK26" i="127"/>
  <c r="AI26" i="127"/>
  <c r="AH26" i="127"/>
  <c r="AG26" i="127"/>
  <c r="AF26" i="127"/>
  <c r="AE26" i="127"/>
  <c r="AD26" i="127"/>
  <c r="AC26" i="127"/>
  <c r="AB26" i="127"/>
  <c r="W26" i="127"/>
  <c r="V26" i="127"/>
  <c r="U26" i="127"/>
  <c r="T26" i="127"/>
  <c r="S26" i="127"/>
  <c r="R26" i="127"/>
  <c r="Q26" i="127"/>
  <c r="P26" i="127"/>
  <c r="CD25" i="127"/>
  <c r="CC25" i="127"/>
  <c r="CB25" i="127"/>
  <c r="CA25" i="127"/>
  <c r="BZ25" i="127"/>
  <c r="BY25" i="127"/>
  <c r="BX25" i="127"/>
  <c r="BW25" i="127"/>
  <c r="BR25" i="127"/>
  <c r="BQ25" i="127"/>
  <c r="BP25" i="127"/>
  <c r="BO25" i="127"/>
  <c r="BN25" i="127"/>
  <c r="BM25" i="127"/>
  <c r="BL25" i="127"/>
  <c r="BK25" i="127"/>
  <c r="AI25" i="127"/>
  <c r="AH25" i="127"/>
  <c r="AG25" i="127"/>
  <c r="AF25" i="127"/>
  <c r="AE25" i="127"/>
  <c r="AD25" i="127"/>
  <c r="AC25" i="127"/>
  <c r="AB25" i="127"/>
  <c r="W25" i="127"/>
  <c r="V25" i="127"/>
  <c r="U25" i="127"/>
  <c r="T25" i="127"/>
  <c r="S25" i="127"/>
  <c r="R25" i="127"/>
  <c r="Q25" i="127"/>
  <c r="P25" i="127"/>
  <c r="CD24" i="127"/>
  <c r="CC24" i="127"/>
  <c r="CB24" i="127"/>
  <c r="CA24" i="127"/>
  <c r="BZ24" i="127"/>
  <c r="BY24" i="127"/>
  <c r="BX24" i="127"/>
  <c r="BW24" i="127"/>
  <c r="BR24" i="127"/>
  <c r="BQ24" i="127"/>
  <c r="BP24" i="127"/>
  <c r="BO24" i="127"/>
  <c r="BN24" i="127"/>
  <c r="BM24" i="127"/>
  <c r="BL24" i="127"/>
  <c r="BK24" i="127"/>
  <c r="AI24" i="127"/>
  <c r="AH24" i="127"/>
  <c r="AG24" i="127"/>
  <c r="AF24" i="127"/>
  <c r="AE24" i="127"/>
  <c r="AD24" i="127"/>
  <c r="AC24" i="127"/>
  <c r="AB24" i="127"/>
  <c r="W24" i="127"/>
  <c r="V24" i="127"/>
  <c r="U24" i="127"/>
  <c r="T24" i="127"/>
  <c r="S24" i="127"/>
  <c r="R24" i="127"/>
  <c r="Q24" i="127"/>
  <c r="P24" i="127"/>
  <c r="CD23" i="127"/>
  <c r="CC23" i="127"/>
  <c r="CB23" i="127"/>
  <c r="CA23" i="127"/>
  <c r="BZ23" i="127"/>
  <c r="BY23" i="127"/>
  <c r="BX23" i="127"/>
  <c r="BW23" i="127"/>
  <c r="BR23" i="127"/>
  <c r="BQ23" i="127"/>
  <c r="BP23" i="127"/>
  <c r="BO23" i="127"/>
  <c r="BN23" i="127"/>
  <c r="BM23" i="127"/>
  <c r="BL23" i="127"/>
  <c r="BK23" i="127"/>
  <c r="AI23" i="127"/>
  <c r="AH23" i="127"/>
  <c r="AG23" i="127"/>
  <c r="AF23" i="127"/>
  <c r="AE23" i="127"/>
  <c r="AD23" i="127"/>
  <c r="AC23" i="127"/>
  <c r="AB23" i="127"/>
  <c r="W23" i="127"/>
  <c r="V23" i="127"/>
  <c r="U23" i="127"/>
  <c r="T23" i="127"/>
  <c r="S23" i="127"/>
  <c r="R23" i="127"/>
  <c r="Q23" i="127"/>
  <c r="P23" i="127"/>
  <c r="CD22" i="127"/>
  <c r="CC22" i="127"/>
  <c r="CB22" i="127"/>
  <c r="CA22" i="127"/>
  <c r="BZ22" i="127"/>
  <c r="BY22" i="127"/>
  <c r="BX22" i="127"/>
  <c r="BW22" i="127"/>
  <c r="BR22" i="127"/>
  <c r="BQ22" i="127"/>
  <c r="BP22" i="127"/>
  <c r="BO22" i="127"/>
  <c r="BN22" i="127"/>
  <c r="BM22" i="127"/>
  <c r="BL22" i="127"/>
  <c r="BK22" i="127"/>
  <c r="AI22" i="127"/>
  <c r="AH22" i="127"/>
  <c r="AG22" i="127"/>
  <c r="AF22" i="127"/>
  <c r="AE22" i="127"/>
  <c r="AD22" i="127"/>
  <c r="AC22" i="127"/>
  <c r="AB22" i="127"/>
  <c r="W22" i="127"/>
  <c r="V22" i="127"/>
  <c r="U22" i="127"/>
  <c r="T22" i="127"/>
  <c r="S22" i="127"/>
  <c r="R22" i="127"/>
  <c r="Q22" i="127"/>
  <c r="P22" i="127"/>
  <c r="CD21" i="127"/>
  <c r="CC21" i="127"/>
  <c r="CB21" i="127"/>
  <c r="CA21" i="127"/>
  <c r="BZ21" i="127"/>
  <c r="BY21" i="127"/>
  <c r="BX21" i="127"/>
  <c r="BW21" i="127"/>
  <c r="BR21" i="127"/>
  <c r="BQ21" i="127"/>
  <c r="BP21" i="127"/>
  <c r="BO21" i="127"/>
  <c r="BN21" i="127"/>
  <c r="BM21" i="127"/>
  <c r="BL21" i="127"/>
  <c r="BK21" i="127"/>
  <c r="AI21" i="127"/>
  <c r="AH21" i="127"/>
  <c r="AG21" i="127"/>
  <c r="AF21" i="127"/>
  <c r="AE21" i="127"/>
  <c r="AD21" i="127"/>
  <c r="AC21" i="127"/>
  <c r="AB21" i="127"/>
  <c r="W21" i="127"/>
  <c r="V21" i="127"/>
  <c r="U21" i="127"/>
  <c r="T21" i="127"/>
  <c r="S21" i="127"/>
  <c r="R21" i="127"/>
  <c r="Q21" i="127"/>
  <c r="P21" i="127"/>
  <c r="CD20" i="127"/>
  <c r="CC20" i="127"/>
  <c r="CB20" i="127"/>
  <c r="CA20" i="127"/>
  <c r="BZ20" i="127"/>
  <c r="BY20" i="127"/>
  <c r="BX20" i="127"/>
  <c r="BW20" i="127"/>
  <c r="BR20" i="127"/>
  <c r="BQ20" i="127"/>
  <c r="BP20" i="127"/>
  <c r="BO20" i="127"/>
  <c r="BN20" i="127"/>
  <c r="BM20" i="127"/>
  <c r="BL20" i="127"/>
  <c r="BK20" i="127"/>
  <c r="AI20" i="127"/>
  <c r="AH20" i="127"/>
  <c r="AG20" i="127"/>
  <c r="AF20" i="127"/>
  <c r="AE20" i="127"/>
  <c r="AD20" i="127"/>
  <c r="AC20" i="127"/>
  <c r="AB20" i="127"/>
  <c r="W20" i="127"/>
  <c r="V20" i="127"/>
  <c r="U20" i="127"/>
  <c r="T20" i="127"/>
  <c r="S20" i="127"/>
  <c r="R20" i="127"/>
  <c r="Q20" i="127"/>
  <c r="P20" i="127"/>
  <c r="CD19" i="127"/>
  <c r="CC19" i="127"/>
  <c r="CB19" i="127"/>
  <c r="CA19" i="127"/>
  <c r="BZ19" i="127"/>
  <c r="BY19" i="127"/>
  <c r="BX19" i="127"/>
  <c r="BW19" i="127"/>
  <c r="BR19" i="127"/>
  <c r="BQ19" i="127"/>
  <c r="BP19" i="127"/>
  <c r="BO19" i="127"/>
  <c r="BN19" i="127"/>
  <c r="BM19" i="127"/>
  <c r="BL19" i="127"/>
  <c r="BK19" i="127"/>
  <c r="AI19" i="127"/>
  <c r="AH19" i="127"/>
  <c r="AG19" i="127"/>
  <c r="AF19" i="127"/>
  <c r="AE19" i="127"/>
  <c r="AD19" i="127"/>
  <c r="AC19" i="127"/>
  <c r="AB19" i="127"/>
  <c r="W19" i="127"/>
  <c r="V19" i="127"/>
  <c r="U19" i="127"/>
  <c r="T19" i="127"/>
  <c r="S19" i="127"/>
  <c r="R19" i="127"/>
  <c r="Q19" i="127"/>
  <c r="P19" i="127"/>
  <c r="CD18" i="127"/>
  <c r="CC18" i="127"/>
  <c r="CB18" i="127"/>
  <c r="CA18" i="127"/>
  <c r="BZ18" i="127"/>
  <c r="BY18" i="127"/>
  <c r="BX18" i="127"/>
  <c r="BW18" i="127"/>
  <c r="BR18" i="127"/>
  <c r="BQ18" i="127"/>
  <c r="BP18" i="127"/>
  <c r="BO18" i="127"/>
  <c r="BN18" i="127"/>
  <c r="BM18" i="127"/>
  <c r="BL18" i="127"/>
  <c r="BK18" i="127"/>
  <c r="AI18" i="127"/>
  <c r="AH18" i="127"/>
  <c r="AG18" i="127"/>
  <c r="AF18" i="127"/>
  <c r="AE18" i="127"/>
  <c r="AD18" i="127"/>
  <c r="AC18" i="127"/>
  <c r="AB18" i="127"/>
  <c r="W18" i="127"/>
  <c r="V18" i="127"/>
  <c r="U18" i="127"/>
  <c r="T18" i="127"/>
  <c r="S18" i="127"/>
  <c r="R18" i="127"/>
  <c r="Q18" i="127"/>
  <c r="P18" i="127"/>
  <c r="CD17" i="127"/>
  <c r="CC17" i="127"/>
  <c r="CB17" i="127"/>
  <c r="CA17" i="127"/>
  <c r="BZ17" i="127"/>
  <c r="BY17" i="127"/>
  <c r="BX17" i="127"/>
  <c r="BW17" i="127"/>
  <c r="BR17" i="127"/>
  <c r="BQ17" i="127"/>
  <c r="BP17" i="127"/>
  <c r="BO17" i="127"/>
  <c r="BN17" i="127"/>
  <c r="BM17" i="127"/>
  <c r="BL17" i="127"/>
  <c r="BK17" i="127"/>
  <c r="AI17" i="127"/>
  <c r="AH17" i="127"/>
  <c r="AG17" i="127"/>
  <c r="AF17" i="127"/>
  <c r="AE17" i="127"/>
  <c r="AD17" i="127"/>
  <c r="AC17" i="127"/>
  <c r="AB17" i="127"/>
  <c r="W17" i="127"/>
  <c r="V17" i="127"/>
  <c r="U17" i="127"/>
  <c r="T17" i="127"/>
  <c r="S17" i="127"/>
  <c r="R17" i="127"/>
  <c r="Q17" i="127"/>
  <c r="P17" i="127"/>
  <c r="CD16" i="127"/>
  <c r="CC16" i="127"/>
  <c r="CB16" i="127"/>
  <c r="CA16" i="127"/>
  <c r="BZ16" i="127"/>
  <c r="BY16" i="127"/>
  <c r="BX16" i="127"/>
  <c r="BW16" i="127"/>
  <c r="BR16" i="127"/>
  <c r="BQ16" i="127"/>
  <c r="BP16" i="127"/>
  <c r="BO16" i="127"/>
  <c r="BN16" i="127"/>
  <c r="BM16" i="127"/>
  <c r="BL16" i="127"/>
  <c r="BK16" i="127"/>
  <c r="BE16" i="127"/>
  <c r="BD16" i="127"/>
  <c r="BC16" i="127"/>
  <c r="BB16" i="127"/>
  <c r="BA16" i="127"/>
  <c r="AZ16" i="127"/>
  <c r="AY16" i="127"/>
  <c r="AX16" i="127"/>
  <c r="AI16" i="127"/>
  <c r="AH16" i="127"/>
  <c r="AG16" i="127"/>
  <c r="AF16" i="127"/>
  <c r="AE16" i="127"/>
  <c r="AD16" i="127"/>
  <c r="AC16" i="127"/>
  <c r="AB16" i="127"/>
  <c r="W16" i="127"/>
  <c r="V16" i="127"/>
  <c r="U16" i="127"/>
  <c r="T16" i="127"/>
  <c r="S16" i="127"/>
  <c r="R16" i="127"/>
  <c r="Q16" i="127"/>
  <c r="P16" i="127"/>
  <c r="CD15" i="127"/>
  <c r="CC15" i="127"/>
  <c r="CB15" i="127"/>
  <c r="CA15" i="127"/>
  <c r="BZ15" i="127"/>
  <c r="BY15" i="127"/>
  <c r="BX15" i="127"/>
  <c r="BW15" i="127"/>
  <c r="BR15" i="127"/>
  <c r="BQ15" i="127"/>
  <c r="BP15" i="127"/>
  <c r="BO15" i="127"/>
  <c r="BN15" i="127"/>
  <c r="BM15" i="127"/>
  <c r="BL15" i="127"/>
  <c r="BK15" i="127"/>
  <c r="BE15" i="127"/>
  <c r="BD15" i="127"/>
  <c r="BC15" i="127"/>
  <c r="BB15" i="127"/>
  <c r="BA15" i="127"/>
  <c r="AZ15" i="127"/>
  <c r="AY15" i="127"/>
  <c r="AX15" i="127"/>
  <c r="AI15" i="127"/>
  <c r="AH15" i="127"/>
  <c r="AG15" i="127"/>
  <c r="AF15" i="127"/>
  <c r="AE15" i="127"/>
  <c r="AD15" i="127"/>
  <c r="AC15" i="127"/>
  <c r="AB15" i="127"/>
  <c r="W15" i="127"/>
  <c r="V15" i="127"/>
  <c r="U15" i="127"/>
  <c r="T15" i="127"/>
  <c r="S15" i="127"/>
  <c r="R15" i="127"/>
  <c r="Q15" i="127"/>
  <c r="P15" i="127"/>
  <c r="CD14" i="127"/>
  <c r="CC14" i="127"/>
  <c r="CB14" i="127"/>
  <c r="CA14" i="127"/>
  <c r="BZ14" i="127"/>
  <c r="BY14" i="127"/>
  <c r="BX14" i="127"/>
  <c r="BW14" i="127"/>
  <c r="BR14" i="127"/>
  <c r="BQ14" i="127"/>
  <c r="BP14" i="127"/>
  <c r="BO14" i="127"/>
  <c r="BN14" i="127"/>
  <c r="BM14" i="127"/>
  <c r="BL14" i="127"/>
  <c r="BK14" i="127"/>
  <c r="AI14" i="127"/>
  <c r="AH14" i="127"/>
  <c r="AG14" i="127"/>
  <c r="AF14" i="127"/>
  <c r="AE14" i="127"/>
  <c r="AD14" i="127"/>
  <c r="AC14" i="127"/>
  <c r="AB14" i="127"/>
  <c r="W14" i="127"/>
  <c r="V14" i="127"/>
  <c r="U14" i="127"/>
  <c r="T14" i="127"/>
  <c r="S14" i="127"/>
  <c r="R14" i="127"/>
  <c r="Q14" i="127"/>
  <c r="P14" i="127"/>
  <c r="CD13" i="127"/>
  <c r="CC13" i="127"/>
  <c r="CB13" i="127"/>
  <c r="CA13" i="127"/>
  <c r="BZ13" i="127"/>
  <c r="BY13" i="127"/>
  <c r="BX13" i="127"/>
  <c r="BW13" i="127"/>
  <c r="BR13" i="127"/>
  <c r="BQ13" i="127"/>
  <c r="BP13" i="127"/>
  <c r="BO13" i="127"/>
  <c r="BN13" i="127"/>
  <c r="BM13" i="127"/>
  <c r="BL13" i="127"/>
  <c r="BK13" i="127"/>
  <c r="AI13" i="127"/>
  <c r="AH13" i="127"/>
  <c r="AG13" i="127"/>
  <c r="AF13" i="127"/>
  <c r="AE13" i="127"/>
  <c r="AD13" i="127"/>
  <c r="AC13" i="127"/>
  <c r="AB13" i="127"/>
  <c r="W13" i="127"/>
  <c r="V13" i="127"/>
  <c r="U13" i="127"/>
  <c r="T13" i="127"/>
  <c r="S13" i="127"/>
  <c r="R13" i="127"/>
  <c r="Q13" i="127"/>
  <c r="P13" i="127"/>
  <c r="CD12" i="127"/>
  <c r="CC12" i="127"/>
  <c r="CB12" i="127"/>
  <c r="CA12" i="127"/>
  <c r="BZ12" i="127"/>
  <c r="BY12" i="127"/>
  <c r="BX12" i="127"/>
  <c r="BW12" i="127"/>
  <c r="BR12" i="127"/>
  <c r="BQ12" i="127"/>
  <c r="BP12" i="127"/>
  <c r="BO12" i="127"/>
  <c r="BN12" i="127"/>
  <c r="BM12" i="127"/>
  <c r="BL12" i="127"/>
  <c r="BK12" i="127"/>
  <c r="AU12" i="127"/>
  <c r="AT12" i="127"/>
  <c r="AS12" i="127"/>
  <c r="AR12" i="127"/>
  <c r="AQ12" i="127"/>
  <c r="AP12" i="127"/>
  <c r="AO12" i="127"/>
  <c r="AN12" i="127"/>
  <c r="AI12" i="127"/>
  <c r="AH12" i="127"/>
  <c r="AG12" i="127"/>
  <c r="AF12" i="127"/>
  <c r="AE12" i="127"/>
  <c r="AD12" i="127"/>
  <c r="AC12" i="127"/>
  <c r="AB12" i="127"/>
  <c r="W12" i="127"/>
  <c r="V12" i="127"/>
  <c r="U12" i="127"/>
  <c r="T12" i="127"/>
  <c r="S12" i="127"/>
  <c r="R12" i="127"/>
  <c r="Q12" i="127"/>
  <c r="P12" i="127"/>
  <c r="CD11" i="127"/>
  <c r="CC11" i="127"/>
  <c r="CB11" i="127"/>
  <c r="CA11" i="127"/>
  <c r="BZ11" i="127"/>
  <c r="BY11" i="127"/>
  <c r="BX11" i="127"/>
  <c r="BW11" i="127"/>
  <c r="BR11" i="127"/>
  <c r="BQ11" i="127"/>
  <c r="BP11" i="127"/>
  <c r="BO11" i="127"/>
  <c r="BN11" i="127"/>
  <c r="BM11" i="127"/>
  <c r="BL11" i="127"/>
  <c r="BK11" i="127"/>
  <c r="AU11" i="127"/>
  <c r="AT11" i="127"/>
  <c r="AS11" i="127"/>
  <c r="AR11" i="127"/>
  <c r="AQ11" i="127"/>
  <c r="AP11" i="127"/>
  <c r="AO11" i="127"/>
  <c r="AN11" i="127"/>
  <c r="AI11" i="127"/>
  <c r="AH11" i="127"/>
  <c r="AG11" i="127"/>
  <c r="AF11" i="127"/>
  <c r="AE11" i="127"/>
  <c r="AD11" i="127"/>
  <c r="AC11" i="127"/>
  <c r="AB11" i="127"/>
  <c r="W11" i="127"/>
  <c r="V11" i="127"/>
  <c r="U11" i="127"/>
  <c r="T11" i="127"/>
  <c r="S11" i="127"/>
  <c r="R11" i="127"/>
  <c r="Q11" i="127"/>
  <c r="P11" i="127"/>
  <c r="CD10" i="127"/>
  <c r="CC10" i="127"/>
  <c r="CB10" i="127"/>
  <c r="CA10" i="127"/>
  <c r="BZ10" i="127"/>
  <c r="BY10" i="127"/>
  <c r="BX10" i="127"/>
  <c r="BW10" i="127"/>
  <c r="BR10" i="127"/>
  <c r="BQ10" i="127"/>
  <c r="BP10" i="127"/>
  <c r="BO10" i="127"/>
  <c r="BN10" i="127"/>
  <c r="BM10" i="127"/>
  <c r="BL10" i="127"/>
  <c r="BK10" i="127"/>
  <c r="AU10" i="127"/>
  <c r="AT10" i="127"/>
  <c r="AS10" i="127"/>
  <c r="AR10" i="127"/>
  <c r="AQ10" i="127"/>
  <c r="AP10" i="127"/>
  <c r="AO10" i="127"/>
  <c r="AN10" i="127"/>
  <c r="AI10" i="127"/>
  <c r="AH10" i="127"/>
  <c r="AG10" i="127"/>
  <c r="AF10" i="127"/>
  <c r="AE10" i="127"/>
  <c r="AD10" i="127"/>
  <c r="AC10" i="127"/>
  <c r="AB10" i="127"/>
  <c r="W10" i="127"/>
  <c r="V10" i="127"/>
  <c r="U10" i="127"/>
  <c r="T10" i="127"/>
  <c r="S10" i="127"/>
  <c r="R10" i="127"/>
  <c r="Q10" i="127"/>
  <c r="P10" i="127"/>
  <c r="CD9" i="127"/>
  <c r="CC9" i="127"/>
  <c r="CB9" i="127"/>
  <c r="CA9" i="127"/>
  <c r="BZ9" i="127"/>
  <c r="BY9" i="127"/>
  <c r="BX9" i="127"/>
  <c r="BW9" i="127"/>
  <c r="BR9" i="127"/>
  <c r="BQ9" i="127"/>
  <c r="BP9" i="127"/>
  <c r="BO9" i="127"/>
  <c r="BN9" i="127"/>
  <c r="BM9" i="127"/>
  <c r="BL9" i="127"/>
  <c r="BK9" i="127"/>
  <c r="AU9" i="127"/>
  <c r="AT9" i="127"/>
  <c r="AS9" i="127"/>
  <c r="AR9" i="127"/>
  <c r="AQ9" i="127"/>
  <c r="AP9" i="127"/>
  <c r="AO9" i="127"/>
  <c r="AN9" i="127"/>
  <c r="AI9" i="127"/>
  <c r="AH9" i="127"/>
  <c r="AG9" i="127"/>
  <c r="AF9" i="127"/>
  <c r="AE9" i="127"/>
  <c r="AD9" i="127"/>
  <c r="AC9" i="127"/>
  <c r="AB9" i="127"/>
  <c r="W9" i="127"/>
  <c r="V9" i="127"/>
  <c r="U9" i="127"/>
  <c r="T9" i="127"/>
  <c r="S9" i="127"/>
  <c r="R9" i="127"/>
  <c r="Q9" i="127"/>
  <c r="P9" i="127"/>
  <c r="CD8" i="127"/>
  <c r="CC8" i="127"/>
  <c r="CB8" i="127"/>
  <c r="CA8" i="127"/>
  <c r="BZ8" i="127"/>
  <c r="BY8" i="127"/>
  <c r="BX8" i="127"/>
  <c r="BW8" i="127"/>
  <c r="BR8" i="127"/>
  <c r="BQ8" i="127"/>
  <c r="BP8" i="127"/>
  <c r="BO8" i="127"/>
  <c r="BN8" i="127"/>
  <c r="BM8" i="127"/>
  <c r="BL8" i="127"/>
  <c r="BK8" i="127"/>
  <c r="AI8" i="127"/>
  <c r="AH8" i="127"/>
  <c r="AG8" i="127"/>
  <c r="AF8" i="127"/>
  <c r="AE8" i="127"/>
  <c r="AD8" i="127"/>
  <c r="AC8" i="127"/>
  <c r="AB8" i="127"/>
  <c r="W8" i="127"/>
  <c r="V8" i="127"/>
  <c r="U8" i="127"/>
  <c r="T8" i="127"/>
  <c r="S8" i="127"/>
  <c r="R8" i="127"/>
  <c r="Q8" i="127"/>
  <c r="P8" i="127"/>
  <c r="CD7" i="127"/>
  <c r="CC7" i="127"/>
  <c r="CB7" i="127"/>
  <c r="CA7" i="127"/>
  <c r="BZ7" i="127"/>
  <c r="BY7" i="127"/>
  <c r="BX7" i="127"/>
  <c r="BW7" i="127"/>
  <c r="BR7" i="127"/>
  <c r="BQ7" i="127"/>
  <c r="BP7" i="127"/>
  <c r="BO7" i="127"/>
  <c r="BN7" i="127"/>
  <c r="BM7" i="127"/>
  <c r="BL7" i="127"/>
  <c r="BK7" i="127"/>
  <c r="AI7" i="127"/>
  <c r="AH7" i="127"/>
  <c r="AG7" i="127"/>
  <c r="AF7" i="127"/>
  <c r="AE7" i="127"/>
  <c r="AD7" i="127"/>
  <c r="AC7" i="127"/>
  <c r="AB7" i="127"/>
  <c r="W7" i="127"/>
  <c r="V7" i="127"/>
  <c r="U7" i="127"/>
  <c r="T7" i="127"/>
  <c r="S7" i="127"/>
  <c r="R7" i="127"/>
  <c r="Q7" i="127"/>
  <c r="P7" i="127"/>
  <c r="CD6" i="127"/>
  <c r="CC6" i="127"/>
  <c r="CB6" i="127"/>
  <c r="CA6" i="127"/>
  <c r="BZ6" i="127"/>
  <c r="BY6" i="127"/>
  <c r="BX6" i="127"/>
  <c r="BW6" i="127"/>
  <c r="BR6" i="127"/>
  <c r="BQ6" i="127"/>
  <c r="BP6" i="127"/>
  <c r="BO6" i="127"/>
  <c r="BN6" i="127"/>
  <c r="BM6" i="127"/>
  <c r="BL6" i="127"/>
  <c r="BK6" i="127"/>
  <c r="AU6" i="127"/>
  <c r="AT6" i="127"/>
  <c r="AS6" i="127"/>
  <c r="AR6" i="127"/>
  <c r="AQ6" i="127"/>
  <c r="AP6" i="127"/>
  <c r="AO6" i="127"/>
  <c r="AN6" i="127"/>
  <c r="AI6" i="127"/>
  <c r="AH6" i="127"/>
  <c r="AG6" i="127"/>
  <c r="AF6" i="127"/>
  <c r="AE6" i="127"/>
  <c r="AD6" i="127"/>
  <c r="AC6" i="127"/>
  <c r="AB6" i="127"/>
  <c r="W6" i="127"/>
  <c r="V6" i="127"/>
  <c r="U6" i="127"/>
  <c r="T6" i="127"/>
  <c r="S6" i="127"/>
  <c r="R6" i="127"/>
  <c r="Q6" i="127"/>
  <c r="P6" i="127"/>
  <c r="CD5" i="127"/>
  <c r="CC5" i="127"/>
  <c r="CB5" i="127"/>
  <c r="CA5" i="127"/>
  <c r="BZ5" i="127"/>
  <c r="BY5" i="127"/>
  <c r="BX5" i="127"/>
  <c r="BW5" i="127"/>
  <c r="BR5" i="127"/>
  <c r="BQ5" i="127"/>
  <c r="BP5" i="127"/>
  <c r="BO5" i="127"/>
  <c r="BN5" i="127"/>
  <c r="BM5" i="127"/>
  <c r="BL5" i="127"/>
  <c r="BK5" i="127"/>
  <c r="AU5" i="127"/>
  <c r="AT5" i="127"/>
  <c r="AS5" i="127"/>
  <c r="AR5" i="127"/>
  <c r="AQ5" i="127"/>
  <c r="AP5" i="127"/>
  <c r="AO5" i="127"/>
  <c r="AN5" i="127"/>
  <c r="AI5" i="127"/>
  <c r="AH5" i="127"/>
  <c r="AG5" i="127"/>
  <c r="AF5" i="127"/>
  <c r="AE5" i="127"/>
  <c r="AD5" i="127"/>
  <c r="AC5" i="127"/>
  <c r="AB5" i="127"/>
  <c r="W5" i="127"/>
  <c r="V5" i="127"/>
  <c r="U5" i="127"/>
  <c r="T5" i="127"/>
  <c r="S5" i="127"/>
  <c r="R5" i="127"/>
  <c r="Q5" i="127"/>
  <c r="P5" i="127"/>
  <c r="CD4" i="127"/>
  <c r="CC4" i="127"/>
  <c r="CB4" i="127"/>
  <c r="CA4" i="127"/>
  <c r="BZ4" i="127"/>
  <c r="BY4" i="127"/>
  <c r="BX4" i="127"/>
  <c r="BW4" i="127"/>
  <c r="AU4" i="127"/>
  <c r="AT4" i="127"/>
  <c r="AS4" i="127"/>
  <c r="AR4" i="127"/>
  <c r="AQ4" i="127"/>
  <c r="AP4" i="127"/>
  <c r="AO4" i="127"/>
  <c r="AN4" i="127"/>
  <c r="AI4" i="127"/>
  <c r="AH4" i="127"/>
  <c r="AG4" i="127"/>
  <c r="AF4" i="127"/>
  <c r="AE4" i="127"/>
  <c r="AD4" i="127"/>
  <c r="AC4" i="127"/>
  <c r="AB4" i="127"/>
  <c r="W4" i="127"/>
  <c r="V4" i="127"/>
  <c r="U4" i="127"/>
  <c r="T4" i="127"/>
  <c r="S4" i="127"/>
  <c r="R4" i="127"/>
  <c r="Q4" i="127"/>
  <c r="P4" i="127"/>
  <c r="W53" i="91"/>
  <c r="V53" i="91"/>
  <c r="U53" i="91"/>
  <c r="T53" i="91"/>
  <c r="S53" i="91"/>
  <c r="R53" i="91"/>
  <c r="Q53" i="91"/>
  <c r="P53" i="91"/>
  <c r="W52" i="91"/>
  <c r="V52" i="91"/>
  <c r="U52" i="91"/>
  <c r="T52" i="91"/>
  <c r="S52" i="91"/>
  <c r="R52" i="91"/>
  <c r="Q52" i="91"/>
  <c r="P52" i="91"/>
  <c r="W51" i="91"/>
  <c r="V51" i="91"/>
  <c r="U51" i="91"/>
  <c r="T51" i="91"/>
  <c r="S51" i="91"/>
  <c r="R51" i="91"/>
  <c r="Q51" i="91"/>
  <c r="P51" i="91"/>
  <c r="W50" i="91"/>
  <c r="V50" i="91"/>
  <c r="U50" i="91"/>
  <c r="T50" i="91"/>
  <c r="S50" i="91"/>
  <c r="R50" i="91"/>
  <c r="Q50" i="91"/>
  <c r="P50" i="91"/>
  <c r="W49" i="91"/>
  <c r="V49" i="91"/>
  <c r="U49" i="91"/>
  <c r="T49" i="91"/>
  <c r="S49" i="91"/>
  <c r="R49" i="91"/>
  <c r="Q49" i="91"/>
  <c r="P49" i="91"/>
  <c r="W48" i="91"/>
  <c r="V48" i="91"/>
  <c r="U48" i="91"/>
  <c r="T48" i="91"/>
  <c r="S48" i="91"/>
  <c r="R48" i="91"/>
  <c r="Q48" i="91"/>
  <c r="P48" i="91"/>
  <c r="W47" i="91"/>
  <c r="V47" i="91"/>
  <c r="U47" i="91"/>
  <c r="T47" i="91"/>
  <c r="S47" i="91"/>
  <c r="R47" i="91"/>
  <c r="Q47" i="91"/>
  <c r="P47" i="91"/>
  <c r="W46" i="91"/>
  <c r="V46" i="91"/>
  <c r="U46" i="91"/>
  <c r="T46" i="91"/>
  <c r="S46" i="91"/>
  <c r="R46" i="91"/>
  <c r="Q46" i="91"/>
  <c r="P46" i="91"/>
  <c r="W43" i="91"/>
  <c r="V43" i="91"/>
  <c r="U43" i="91"/>
  <c r="T43" i="91"/>
  <c r="S43" i="91"/>
  <c r="R43" i="91"/>
  <c r="Q43" i="91"/>
  <c r="P43" i="91"/>
  <c r="W42" i="91"/>
  <c r="V42" i="91"/>
  <c r="U42" i="91"/>
  <c r="T42" i="91"/>
  <c r="S42" i="91"/>
  <c r="R42" i="91"/>
  <c r="Q42" i="91"/>
  <c r="P42" i="91"/>
  <c r="W41" i="91"/>
  <c r="V41" i="91"/>
  <c r="U41" i="91"/>
  <c r="T41" i="91"/>
  <c r="S41" i="91"/>
  <c r="R41" i="91"/>
  <c r="Q41" i="91"/>
  <c r="P41" i="91"/>
  <c r="W40" i="91"/>
  <c r="V40" i="91"/>
  <c r="U40" i="91"/>
  <c r="T40" i="91"/>
  <c r="S40" i="91"/>
  <c r="R40" i="91"/>
  <c r="Q40" i="91"/>
  <c r="P40" i="91"/>
  <c r="W39" i="91"/>
  <c r="V39" i="91"/>
  <c r="U39" i="91"/>
  <c r="T39" i="91"/>
  <c r="S39" i="91"/>
  <c r="R39" i="91"/>
  <c r="P39" i="91"/>
  <c r="W38" i="91"/>
  <c r="V38" i="91"/>
  <c r="U38" i="91"/>
  <c r="T38" i="91"/>
  <c r="S38" i="91"/>
  <c r="R38" i="91"/>
  <c r="Q38" i="91"/>
  <c r="P38" i="91"/>
  <c r="W37" i="91"/>
  <c r="V37" i="91"/>
  <c r="U37" i="91"/>
  <c r="T37" i="91"/>
  <c r="S37" i="91"/>
  <c r="R37" i="91"/>
  <c r="Q37" i="91"/>
  <c r="P37" i="91"/>
  <c r="W36" i="91"/>
  <c r="V36" i="91"/>
  <c r="U36" i="91"/>
  <c r="T36" i="91"/>
  <c r="S36" i="91"/>
  <c r="R36" i="91"/>
  <c r="Q36" i="91"/>
  <c r="P36" i="91"/>
  <c r="W31" i="91"/>
  <c r="V31" i="91"/>
  <c r="U31" i="91"/>
  <c r="T31" i="91"/>
  <c r="S31" i="91"/>
  <c r="R31" i="91"/>
  <c r="Q31" i="91"/>
  <c r="P31" i="91"/>
  <c r="W30" i="91"/>
  <c r="V30" i="91"/>
  <c r="U30" i="91"/>
  <c r="T30" i="91"/>
  <c r="S30" i="91"/>
  <c r="R30" i="91"/>
  <c r="Q30" i="91"/>
  <c r="P30" i="91"/>
  <c r="W29" i="91"/>
  <c r="V29" i="91"/>
  <c r="U29" i="91"/>
  <c r="T29" i="91"/>
  <c r="S29" i="91"/>
  <c r="R29" i="91"/>
  <c r="Q29" i="91"/>
  <c r="P29" i="91"/>
  <c r="W26" i="91"/>
  <c r="V26" i="91"/>
  <c r="U26" i="91"/>
  <c r="T26" i="91"/>
  <c r="S26" i="91"/>
  <c r="R26" i="91"/>
  <c r="Q26" i="91"/>
  <c r="P26" i="91"/>
  <c r="W25" i="91"/>
  <c r="V25" i="91"/>
  <c r="U25" i="91"/>
  <c r="T25" i="91"/>
  <c r="S25" i="91"/>
  <c r="R25" i="91"/>
  <c r="Q25" i="91"/>
  <c r="P25" i="91"/>
  <c r="J25" i="91"/>
  <c r="I25" i="91"/>
  <c r="H25" i="91"/>
  <c r="G25" i="91"/>
  <c r="F25" i="91"/>
  <c r="E25" i="91"/>
  <c r="D25" i="91"/>
  <c r="W24" i="91"/>
  <c r="V24" i="91"/>
  <c r="U24" i="91"/>
  <c r="T24" i="91"/>
  <c r="S24" i="91"/>
  <c r="R24" i="91"/>
  <c r="Q24" i="91"/>
  <c r="P24" i="91"/>
  <c r="J24" i="91"/>
  <c r="I24" i="91"/>
  <c r="H24" i="91"/>
  <c r="G24" i="91"/>
  <c r="F24" i="91"/>
  <c r="E24" i="91"/>
  <c r="D24" i="91"/>
  <c r="W23" i="91"/>
  <c r="V23" i="91"/>
  <c r="U23" i="91"/>
  <c r="T23" i="91"/>
  <c r="S23" i="91"/>
  <c r="R23" i="91"/>
  <c r="Q23" i="91"/>
  <c r="P23" i="91"/>
  <c r="W22" i="91"/>
  <c r="V22" i="91"/>
  <c r="U22" i="91"/>
  <c r="T22" i="91"/>
  <c r="S22" i="91"/>
  <c r="R22" i="91"/>
  <c r="Q22" i="91"/>
  <c r="P22" i="91"/>
  <c r="W21" i="91"/>
  <c r="V21" i="91"/>
  <c r="U21" i="91"/>
  <c r="T21" i="91"/>
  <c r="S21" i="91"/>
  <c r="R21" i="91"/>
  <c r="Q21" i="91"/>
  <c r="P21" i="91"/>
  <c r="W20" i="91"/>
  <c r="V20" i="91"/>
  <c r="U20" i="91"/>
  <c r="T20" i="91"/>
  <c r="S20" i="91"/>
  <c r="R20" i="91"/>
  <c r="Q20" i="91"/>
  <c r="P20" i="91"/>
  <c r="W19" i="91"/>
  <c r="V19" i="91"/>
  <c r="U19" i="91"/>
  <c r="T19" i="91"/>
  <c r="S19" i="91"/>
  <c r="R19" i="91"/>
  <c r="Q19" i="91"/>
  <c r="P19" i="91"/>
  <c r="J17" i="91"/>
  <c r="I17" i="91"/>
  <c r="H17" i="91"/>
  <c r="G17" i="91"/>
  <c r="F17" i="91"/>
  <c r="E17" i="91"/>
  <c r="D17" i="91"/>
  <c r="W15" i="91"/>
  <c r="V15" i="91"/>
  <c r="U15" i="91"/>
  <c r="T15" i="91"/>
  <c r="S15" i="91"/>
  <c r="R15" i="91"/>
  <c r="Q15" i="91"/>
  <c r="P15" i="91"/>
  <c r="W14" i="91"/>
  <c r="V14" i="91"/>
  <c r="U14" i="91"/>
  <c r="T14" i="91"/>
  <c r="S14" i="91"/>
  <c r="R14" i="91"/>
  <c r="Q14" i="91"/>
  <c r="P14" i="91"/>
  <c r="W13" i="91"/>
  <c r="V13" i="91"/>
  <c r="U13" i="91"/>
  <c r="T13" i="91"/>
  <c r="S13" i="91"/>
  <c r="R13" i="91"/>
  <c r="Q13" i="91"/>
  <c r="P13" i="91"/>
  <c r="W12" i="91"/>
  <c r="V12" i="91"/>
  <c r="U12" i="91"/>
  <c r="T12" i="91"/>
  <c r="S12" i="91"/>
  <c r="R12" i="91"/>
  <c r="Q12" i="91"/>
  <c r="P12" i="91"/>
  <c r="W11" i="91"/>
  <c r="V11" i="91"/>
  <c r="U11" i="91"/>
  <c r="T11" i="91"/>
  <c r="S11" i="91"/>
  <c r="R11" i="91"/>
  <c r="Q11" i="91"/>
  <c r="P11" i="91"/>
  <c r="J11" i="91"/>
  <c r="I11" i="91"/>
  <c r="H11" i="91"/>
  <c r="G11" i="91"/>
  <c r="F11" i="91"/>
  <c r="E11" i="91"/>
  <c r="D11" i="91"/>
  <c r="W9" i="91"/>
  <c r="V9" i="91"/>
  <c r="U9" i="91"/>
  <c r="T9" i="91"/>
  <c r="S9" i="91"/>
  <c r="R9" i="91"/>
  <c r="Q9" i="91"/>
  <c r="P9" i="91"/>
  <c r="W8" i="91"/>
  <c r="V8" i="91"/>
  <c r="U8" i="91"/>
  <c r="T8" i="91"/>
  <c r="S8" i="91"/>
  <c r="R8" i="91"/>
  <c r="Q8" i="91"/>
  <c r="P8" i="91"/>
  <c r="W7" i="91"/>
  <c r="V7" i="91"/>
  <c r="U7" i="91"/>
  <c r="T7" i="91"/>
  <c r="S7" i="91"/>
  <c r="R7" i="91"/>
  <c r="Q7" i="91"/>
  <c r="P7" i="91"/>
  <c r="J7" i="91"/>
  <c r="I7" i="91"/>
  <c r="H7" i="91"/>
  <c r="G7" i="91"/>
  <c r="F7" i="91"/>
  <c r="E7" i="91"/>
  <c r="D7" i="91"/>
  <c r="W6" i="91"/>
  <c r="V6" i="91"/>
  <c r="U6" i="91"/>
  <c r="T6" i="91"/>
  <c r="S6" i="91"/>
  <c r="R6" i="91"/>
  <c r="Q6" i="91"/>
  <c r="P6" i="91"/>
  <c r="J6" i="91"/>
  <c r="I6" i="91"/>
  <c r="H6" i="91"/>
  <c r="G6" i="91"/>
  <c r="F6" i="91"/>
  <c r="E6" i="91"/>
  <c r="D6" i="91"/>
  <c r="W5" i="91"/>
  <c r="V5" i="91"/>
  <c r="U5" i="91"/>
  <c r="T5" i="91"/>
  <c r="S5" i="91"/>
  <c r="R5" i="91"/>
  <c r="Q5" i="91"/>
  <c r="P5" i="91"/>
  <c r="J5" i="91"/>
  <c r="I5" i="91"/>
  <c r="H5" i="91"/>
  <c r="G5" i="91"/>
  <c r="F5" i="91"/>
  <c r="E5" i="91"/>
  <c r="D5" i="91"/>
  <c r="W4" i="91"/>
  <c r="V4" i="91"/>
  <c r="U4" i="91"/>
  <c r="T4" i="91"/>
  <c r="S4" i="91"/>
  <c r="R4" i="91"/>
  <c r="Q4" i="91"/>
  <c r="P4" i="91"/>
  <c r="J4" i="91"/>
  <c r="I4" i="91"/>
  <c r="H4" i="91"/>
  <c r="G4" i="91"/>
  <c r="F4" i="91"/>
  <c r="E4" i="91"/>
  <c r="D4" i="91"/>
  <c r="AZ10" i="130"/>
  <c r="BA10" i="130"/>
  <c r="BB10" i="130"/>
  <c r="BC10" i="130"/>
  <c r="BD10" i="130"/>
  <c r="BE10" i="130"/>
  <c r="BF10" i="130"/>
  <c r="BG10" i="130"/>
  <c r="AP76" i="130"/>
  <c r="AQ76" i="130"/>
  <c r="AR76" i="130"/>
  <c r="AS76" i="130"/>
  <c r="AT76" i="130"/>
  <c r="AU76" i="130"/>
  <c r="AV76" i="130"/>
  <c r="AW76" i="130"/>
  <c r="AP77" i="130"/>
  <c r="AQ77" i="130"/>
  <c r="AR77" i="130"/>
  <c r="AS77" i="130"/>
  <c r="AT77" i="130"/>
  <c r="AU77" i="130"/>
  <c r="AV77" i="130"/>
  <c r="AW77" i="130"/>
  <c r="AP73" i="130"/>
  <c r="AQ73" i="130"/>
  <c r="AR73" i="130"/>
  <c r="AS73" i="130"/>
  <c r="AT73" i="130"/>
  <c r="AU73" i="130"/>
  <c r="AV73" i="130"/>
  <c r="AW73" i="130"/>
  <c r="AP18" i="130"/>
  <c r="AQ18" i="130"/>
  <c r="AR18" i="130"/>
  <c r="AS18" i="130"/>
  <c r="AT18" i="130"/>
  <c r="AU18" i="130"/>
  <c r="AV18" i="130"/>
  <c r="AW18" i="130"/>
  <c r="AF46" i="130"/>
  <c r="AG46" i="130"/>
  <c r="AH46" i="130"/>
  <c r="AI46" i="130"/>
  <c r="AJ46" i="130"/>
  <c r="AK46" i="130"/>
  <c r="AL46" i="130"/>
  <c r="AM46" i="130"/>
  <c r="AF43" i="130"/>
  <c r="AG43" i="130"/>
  <c r="AH43" i="130"/>
  <c r="AI43" i="130"/>
  <c r="AJ43" i="130"/>
  <c r="AK43" i="130"/>
  <c r="AL43" i="130"/>
  <c r="AM43" i="130"/>
  <c r="AF13" i="130"/>
  <c r="AG13" i="130"/>
  <c r="AH13" i="130"/>
  <c r="AI13" i="130"/>
  <c r="AJ13" i="130"/>
  <c r="AK13" i="130"/>
  <c r="AL13" i="130"/>
  <c r="AM13" i="130"/>
  <c r="AF14" i="130"/>
  <c r="AG14" i="130"/>
  <c r="AH14" i="130"/>
  <c r="AI14" i="130"/>
  <c r="AJ14" i="130"/>
  <c r="AK14" i="130"/>
  <c r="AL14" i="130"/>
  <c r="AM14" i="130"/>
  <c r="AF15" i="130"/>
  <c r="AG15" i="130"/>
  <c r="AH15" i="130"/>
  <c r="AI15" i="130"/>
  <c r="AJ15" i="130"/>
  <c r="AK15" i="130"/>
  <c r="AL15" i="130"/>
  <c r="AM15" i="130"/>
  <c r="AF16" i="130"/>
  <c r="AG16" i="130"/>
  <c r="AH16" i="130"/>
  <c r="AI16" i="130"/>
  <c r="AJ16" i="130"/>
  <c r="AK16" i="130"/>
  <c r="AL16" i="130"/>
  <c r="AM16" i="130"/>
  <c r="AF17" i="130"/>
  <c r="AG17" i="130"/>
  <c r="AH17" i="130"/>
  <c r="AI17" i="130"/>
  <c r="AJ17" i="130"/>
  <c r="AK17" i="130"/>
  <c r="AL17" i="130"/>
  <c r="AM17" i="130"/>
  <c r="AG4" i="130"/>
  <c r="AH4" i="130"/>
  <c r="AI4" i="130"/>
  <c r="AJ4" i="130"/>
  <c r="AK4" i="130"/>
  <c r="AL4" i="130"/>
  <c r="AM4" i="130"/>
  <c r="AG5" i="130"/>
  <c r="AH5" i="130"/>
  <c r="AI5" i="130"/>
  <c r="AJ5" i="130"/>
  <c r="AK5" i="130"/>
  <c r="AL5" i="130"/>
  <c r="AM5" i="130"/>
  <c r="AF5" i="130"/>
  <c r="M7" i="123"/>
  <c r="M6" i="123"/>
  <c r="M5" i="123"/>
  <c r="G8" i="70"/>
  <c r="H8" i="70" s="1"/>
  <c r="I8" i="70" s="1"/>
  <c r="J8" i="70" s="1"/>
  <c r="F8" i="70"/>
  <c r="J9" i="100" l="1"/>
  <c r="K9" i="100"/>
  <c r="J3" i="100"/>
  <c r="I9" i="100"/>
  <c r="D9" i="100"/>
  <c r="D7" i="100"/>
  <c r="K3" i="100"/>
  <c r="K4" i="100"/>
  <c r="K6" i="100"/>
  <c r="I5" i="100"/>
  <c r="J8" i="100"/>
  <c r="K5" i="100"/>
  <c r="K8" i="100"/>
  <c r="I6" i="100"/>
  <c r="E4" i="100"/>
  <c r="I7" i="100"/>
  <c r="I4" i="100"/>
  <c r="I8" i="100"/>
  <c r="D6" i="100"/>
  <c r="J7" i="100"/>
  <c r="E9" i="100"/>
  <c r="D3" i="100"/>
  <c r="J4" i="100"/>
  <c r="E6" i="100"/>
  <c r="E3" i="100"/>
  <c r="D8" i="100"/>
  <c r="D5" i="100"/>
  <c r="J6" i="100"/>
  <c r="E8" i="100"/>
  <c r="E5" i="100"/>
  <c r="G5" i="100"/>
  <c r="F8" i="100"/>
  <c r="H3" i="100"/>
  <c r="H5" i="100"/>
  <c r="H7" i="100"/>
  <c r="H9" i="100"/>
  <c r="F3" i="100"/>
  <c r="F5" i="100"/>
  <c r="G4" i="100"/>
  <c r="G7" i="100"/>
  <c r="G9" i="100"/>
  <c r="H4" i="100"/>
  <c r="H6" i="100"/>
  <c r="F4" i="100"/>
  <c r="F6" i="100"/>
  <c r="F7" i="100"/>
  <c r="G3" i="100"/>
  <c r="G6" i="100"/>
  <c r="AQ218" i="130"/>
  <c r="AR218" i="130"/>
  <c r="AS218" i="130"/>
  <c r="AT218" i="130"/>
  <c r="AU218" i="130"/>
  <c r="AV218" i="130"/>
  <c r="AW218" i="130"/>
  <c r="AQ219" i="130"/>
  <c r="AR219" i="130"/>
  <c r="AS219" i="130"/>
  <c r="AT219" i="130"/>
  <c r="AU219" i="130"/>
  <c r="AV219" i="130"/>
  <c r="AW219" i="130"/>
  <c r="AP218" i="130"/>
  <c r="AP219" i="130"/>
  <c r="AZ5" i="145" l="1"/>
  <c r="BA5" i="145"/>
  <c r="BB5" i="145"/>
  <c r="BC5" i="145"/>
  <c r="BD5" i="145"/>
  <c r="BE5" i="145"/>
  <c r="BF5" i="145"/>
  <c r="BG5" i="145"/>
  <c r="AZ6" i="145"/>
  <c r="BA6" i="145"/>
  <c r="BB6" i="145"/>
  <c r="BC6" i="145"/>
  <c r="BD6" i="145"/>
  <c r="BE6" i="145"/>
  <c r="BF6" i="145"/>
  <c r="BG6" i="145"/>
  <c r="AZ7" i="145"/>
  <c r="BA7" i="145"/>
  <c r="BB7" i="145"/>
  <c r="BC7" i="145"/>
  <c r="BD7" i="145"/>
  <c r="BE7" i="145"/>
  <c r="BF7" i="145"/>
  <c r="BG7" i="145"/>
  <c r="AZ8" i="145"/>
  <c r="BA8" i="145"/>
  <c r="BB8" i="145"/>
  <c r="BC8" i="145"/>
  <c r="BD8" i="145"/>
  <c r="BE8" i="145"/>
  <c r="BF8" i="145"/>
  <c r="BG8" i="145"/>
  <c r="AZ9" i="145"/>
  <c r="BA9" i="145"/>
  <c r="BB9" i="145"/>
  <c r="BC9" i="145"/>
  <c r="BD9" i="145"/>
  <c r="BE9" i="145"/>
  <c r="BF9" i="145"/>
  <c r="BG9" i="145"/>
  <c r="AZ10" i="145"/>
  <c r="BA10" i="145"/>
  <c r="BB10" i="145"/>
  <c r="BC10" i="145"/>
  <c r="BD10" i="145"/>
  <c r="BE10" i="145"/>
  <c r="BF10" i="145"/>
  <c r="BG10" i="145"/>
  <c r="AZ11" i="145"/>
  <c r="BA11" i="145"/>
  <c r="BB11" i="145"/>
  <c r="BC11" i="145"/>
  <c r="BD11" i="145"/>
  <c r="BE11" i="145"/>
  <c r="BF11" i="145"/>
  <c r="BG11" i="145"/>
  <c r="AZ12" i="145"/>
  <c r="BA12" i="145"/>
  <c r="BB12" i="145"/>
  <c r="BC12" i="145"/>
  <c r="BD12" i="145"/>
  <c r="BE12" i="145"/>
  <c r="BF12" i="145"/>
  <c r="BG12" i="145"/>
  <c r="AZ13" i="145"/>
  <c r="BA13" i="145"/>
  <c r="BB13" i="145"/>
  <c r="BC13" i="145"/>
  <c r="BD13" i="145"/>
  <c r="BE13" i="145"/>
  <c r="BF13" i="145"/>
  <c r="BG13" i="145"/>
  <c r="AZ14" i="145"/>
  <c r="BA14" i="145"/>
  <c r="BB14" i="145"/>
  <c r="BC14" i="145"/>
  <c r="BD14" i="145"/>
  <c r="BE14" i="145"/>
  <c r="BF14" i="145"/>
  <c r="BG14" i="145"/>
  <c r="AZ15" i="145"/>
  <c r="BA15" i="145"/>
  <c r="BB15" i="145"/>
  <c r="BC15" i="145"/>
  <c r="BD15" i="145"/>
  <c r="BE15" i="145"/>
  <c r="BF15" i="145"/>
  <c r="BG15" i="145"/>
  <c r="AZ16" i="145"/>
  <c r="BA16" i="145"/>
  <c r="BB16" i="145"/>
  <c r="BC16" i="145"/>
  <c r="BD16" i="145"/>
  <c r="BE16" i="145"/>
  <c r="BF16" i="145"/>
  <c r="BG16" i="145"/>
  <c r="AZ17" i="145"/>
  <c r="BA17" i="145"/>
  <c r="BB17" i="145"/>
  <c r="BC17" i="145"/>
  <c r="BD17" i="145"/>
  <c r="BE17" i="145"/>
  <c r="BF17" i="145"/>
  <c r="BG17" i="145"/>
  <c r="AZ18" i="145"/>
  <c r="BA18" i="145"/>
  <c r="BB18" i="145"/>
  <c r="BC18" i="145"/>
  <c r="BD18" i="145"/>
  <c r="BE18" i="145"/>
  <c r="BF18" i="145"/>
  <c r="BG18" i="145"/>
  <c r="AZ19" i="145"/>
  <c r="BA19" i="145"/>
  <c r="BB19" i="145"/>
  <c r="BC19" i="145"/>
  <c r="BD19" i="145"/>
  <c r="BE19" i="145"/>
  <c r="BF19" i="145"/>
  <c r="BG19" i="145"/>
  <c r="AZ20" i="145"/>
  <c r="BA20" i="145"/>
  <c r="BB20" i="145"/>
  <c r="BC20" i="145"/>
  <c r="BD20" i="145"/>
  <c r="BE20" i="145"/>
  <c r="BF20" i="145"/>
  <c r="BG20" i="145"/>
  <c r="AZ21" i="145"/>
  <c r="BA21" i="145"/>
  <c r="BB21" i="145"/>
  <c r="BC21" i="145"/>
  <c r="BD21" i="145"/>
  <c r="BE21" i="145"/>
  <c r="BF21" i="145"/>
  <c r="BG21" i="145"/>
  <c r="AZ22" i="145"/>
  <c r="BA22" i="145"/>
  <c r="BB22" i="145"/>
  <c r="BC22" i="145"/>
  <c r="BD22" i="145"/>
  <c r="BE22" i="145"/>
  <c r="BF22" i="145"/>
  <c r="BG22" i="145"/>
  <c r="AZ23" i="145"/>
  <c r="BA23" i="145"/>
  <c r="BB23" i="145"/>
  <c r="BC23" i="145"/>
  <c r="BD23" i="145"/>
  <c r="BE23" i="145"/>
  <c r="BF23" i="145"/>
  <c r="BG23" i="145"/>
  <c r="AZ24" i="145"/>
  <c r="BA24" i="145"/>
  <c r="BB24" i="145"/>
  <c r="BC24" i="145"/>
  <c r="BD24" i="145"/>
  <c r="BE24" i="145"/>
  <c r="BF24" i="145"/>
  <c r="BG24" i="145"/>
  <c r="AZ25" i="145"/>
  <c r="BA25" i="145"/>
  <c r="BB25" i="145"/>
  <c r="BC25" i="145"/>
  <c r="BD25" i="145"/>
  <c r="BE25" i="145"/>
  <c r="BF25" i="145"/>
  <c r="BG25" i="145"/>
  <c r="AZ26" i="145"/>
  <c r="BA26" i="145"/>
  <c r="BB26" i="145"/>
  <c r="BC26" i="145"/>
  <c r="BD26" i="145"/>
  <c r="BE26" i="145"/>
  <c r="BF26" i="145"/>
  <c r="BG26" i="145"/>
  <c r="AZ27" i="145"/>
  <c r="BA27" i="145"/>
  <c r="BB27" i="145"/>
  <c r="BC27" i="145"/>
  <c r="BD27" i="145"/>
  <c r="BE27" i="145"/>
  <c r="BF27" i="145"/>
  <c r="BG27" i="145"/>
  <c r="AZ28" i="145"/>
  <c r="BA28" i="145"/>
  <c r="BB28" i="145"/>
  <c r="BC28" i="145"/>
  <c r="BD28" i="145"/>
  <c r="BE28" i="145"/>
  <c r="BF28" i="145"/>
  <c r="BG28" i="145"/>
  <c r="AZ29" i="145"/>
  <c r="BA29" i="145"/>
  <c r="BB29" i="145"/>
  <c r="BC29" i="145"/>
  <c r="BD29" i="145"/>
  <c r="BE29" i="145"/>
  <c r="BF29" i="145"/>
  <c r="BG29" i="145"/>
  <c r="AZ30" i="145"/>
  <c r="BA30" i="145"/>
  <c r="BB30" i="145"/>
  <c r="BC30" i="145"/>
  <c r="BD30" i="145"/>
  <c r="BE30" i="145"/>
  <c r="BF30" i="145"/>
  <c r="BG30" i="145"/>
  <c r="AZ31" i="145"/>
  <c r="BA31" i="145"/>
  <c r="BB31" i="145"/>
  <c r="BC31" i="145"/>
  <c r="BD31" i="145"/>
  <c r="BE31" i="145"/>
  <c r="BF31" i="145"/>
  <c r="BG31" i="145"/>
  <c r="AZ32" i="145"/>
  <c r="BA32" i="145"/>
  <c r="BB32" i="145"/>
  <c r="BC32" i="145"/>
  <c r="BD32" i="145"/>
  <c r="BE32" i="145"/>
  <c r="BF32" i="145"/>
  <c r="BG32" i="145"/>
  <c r="AZ33" i="145"/>
  <c r="BA33" i="145"/>
  <c r="BB33" i="145"/>
  <c r="BC33" i="145"/>
  <c r="BD33" i="145"/>
  <c r="BE33" i="145"/>
  <c r="BF33" i="145"/>
  <c r="BG33" i="145"/>
  <c r="AZ34" i="145"/>
  <c r="BA34" i="145"/>
  <c r="BB34" i="145"/>
  <c r="BC34" i="145"/>
  <c r="BD34" i="145"/>
  <c r="BE34" i="145"/>
  <c r="BF34" i="145"/>
  <c r="BG34" i="145"/>
  <c r="AZ35" i="145"/>
  <c r="BA35" i="145"/>
  <c r="BB35" i="145"/>
  <c r="BC35" i="145"/>
  <c r="BD35" i="145"/>
  <c r="BE35" i="145"/>
  <c r="BF35" i="145"/>
  <c r="BG35" i="145"/>
  <c r="AZ36" i="145"/>
  <c r="BA36" i="145"/>
  <c r="BB36" i="145"/>
  <c r="BC36" i="145"/>
  <c r="BD36" i="145"/>
  <c r="BE36" i="145"/>
  <c r="BF36" i="145"/>
  <c r="BG36" i="145"/>
  <c r="AZ37" i="145"/>
  <c r="BA37" i="145"/>
  <c r="BB37" i="145"/>
  <c r="BC37" i="145"/>
  <c r="BD37" i="145"/>
  <c r="BE37" i="145"/>
  <c r="BF37" i="145"/>
  <c r="BG37" i="145"/>
  <c r="AZ38" i="145"/>
  <c r="BA38" i="145"/>
  <c r="BB38" i="145"/>
  <c r="BC38" i="145"/>
  <c r="BD38" i="145"/>
  <c r="BE38" i="145"/>
  <c r="BF38" i="145"/>
  <c r="BG38" i="145"/>
  <c r="AZ39" i="145"/>
  <c r="BA39" i="145"/>
  <c r="BB39" i="145"/>
  <c r="BC39" i="145"/>
  <c r="BD39" i="145"/>
  <c r="BE39" i="145"/>
  <c r="BF39" i="145"/>
  <c r="BG39" i="145"/>
  <c r="AZ40" i="145"/>
  <c r="BA40" i="145"/>
  <c r="BB40" i="145"/>
  <c r="BC40" i="145"/>
  <c r="BD40" i="145"/>
  <c r="BE40" i="145"/>
  <c r="BF40" i="145"/>
  <c r="BG40" i="145"/>
  <c r="AZ41" i="145"/>
  <c r="BA41" i="145"/>
  <c r="BB41" i="145"/>
  <c r="BC41" i="145"/>
  <c r="BD41" i="145"/>
  <c r="BE41" i="145"/>
  <c r="BF41" i="145"/>
  <c r="BG41" i="145"/>
  <c r="AZ42" i="145"/>
  <c r="BA42" i="145"/>
  <c r="BB42" i="145"/>
  <c r="BC42" i="145"/>
  <c r="BD42" i="145"/>
  <c r="BE42" i="145"/>
  <c r="BF42" i="145"/>
  <c r="BG42" i="145"/>
  <c r="AZ43" i="145"/>
  <c r="BA43" i="145"/>
  <c r="BB43" i="145"/>
  <c r="BC43" i="145"/>
  <c r="BD43" i="145"/>
  <c r="BE43" i="145"/>
  <c r="BF43" i="145"/>
  <c r="BG43" i="145"/>
  <c r="AZ44" i="145"/>
  <c r="BA44" i="145"/>
  <c r="BB44" i="145"/>
  <c r="BC44" i="145"/>
  <c r="BD44" i="145"/>
  <c r="BE44" i="145"/>
  <c r="BF44" i="145"/>
  <c r="BG44" i="145"/>
  <c r="AZ45" i="145"/>
  <c r="BA45" i="145"/>
  <c r="BB45" i="145"/>
  <c r="BC45" i="145"/>
  <c r="BD45" i="145"/>
  <c r="BE45" i="145"/>
  <c r="BF45" i="145"/>
  <c r="BG45" i="145"/>
  <c r="AZ46" i="145"/>
  <c r="BA46" i="145"/>
  <c r="BB46" i="145"/>
  <c r="BC46" i="145"/>
  <c r="BD46" i="145"/>
  <c r="BE46" i="145"/>
  <c r="BF46" i="145"/>
  <c r="BG46" i="145"/>
  <c r="AZ47" i="145"/>
  <c r="BA47" i="145"/>
  <c r="BB47" i="145"/>
  <c r="BC47" i="145"/>
  <c r="BD47" i="145"/>
  <c r="BE47" i="145"/>
  <c r="BF47" i="145"/>
  <c r="BG47" i="145"/>
  <c r="AZ48" i="145"/>
  <c r="BA48" i="145"/>
  <c r="BB48" i="145"/>
  <c r="BC48" i="145"/>
  <c r="BD48" i="145"/>
  <c r="BE48" i="145"/>
  <c r="BF48" i="145"/>
  <c r="BG48" i="145"/>
  <c r="AZ49" i="145"/>
  <c r="BA49" i="145"/>
  <c r="BB49" i="145"/>
  <c r="BC49" i="145"/>
  <c r="BD49" i="145"/>
  <c r="BE49" i="145"/>
  <c r="BF49" i="145"/>
  <c r="BG49" i="145"/>
  <c r="AZ50" i="145"/>
  <c r="BA50" i="145"/>
  <c r="BB50" i="145"/>
  <c r="BC50" i="145"/>
  <c r="BD50" i="145"/>
  <c r="BE50" i="145"/>
  <c r="BF50" i="145"/>
  <c r="BG50" i="145"/>
  <c r="AZ51" i="145"/>
  <c r="BA51" i="145"/>
  <c r="BB51" i="145"/>
  <c r="BC51" i="145"/>
  <c r="BD51" i="145"/>
  <c r="BE51" i="145"/>
  <c r="BF51" i="145"/>
  <c r="BG51" i="145"/>
  <c r="AZ52" i="145"/>
  <c r="BA52" i="145"/>
  <c r="BB52" i="145"/>
  <c r="BC52" i="145"/>
  <c r="BD52" i="145"/>
  <c r="BE52" i="145"/>
  <c r="BF52" i="145"/>
  <c r="BG52" i="145"/>
  <c r="AZ53" i="145"/>
  <c r="BA53" i="145"/>
  <c r="BB53" i="145"/>
  <c r="BC53" i="145"/>
  <c r="BD53" i="145"/>
  <c r="BE53" i="145"/>
  <c r="BF53" i="145"/>
  <c r="BG53" i="145"/>
  <c r="AZ54" i="145"/>
  <c r="BA54" i="145"/>
  <c r="BB54" i="145"/>
  <c r="BC54" i="145"/>
  <c r="BD54" i="145"/>
  <c r="BE54" i="145"/>
  <c r="BF54" i="145"/>
  <c r="BG54" i="145"/>
  <c r="AZ55" i="145"/>
  <c r="BA55" i="145"/>
  <c r="BB55" i="145"/>
  <c r="BC55" i="145"/>
  <c r="BD55" i="145"/>
  <c r="BE55" i="145"/>
  <c r="BF55" i="145"/>
  <c r="BG55" i="145"/>
  <c r="AZ56" i="145"/>
  <c r="BA56" i="145"/>
  <c r="BB56" i="145"/>
  <c r="BC56" i="145"/>
  <c r="BD56" i="145"/>
  <c r="BE56" i="145"/>
  <c r="BF56" i="145"/>
  <c r="BG56" i="145"/>
  <c r="AZ57" i="145"/>
  <c r="BA57" i="145"/>
  <c r="BB57" i="145"/>
  <c r="BC57" i="145"/>
  <c r="BD57" i="145"/>
  <c r="BE57" i="145"/>
  <c r="BF57" i="145"/>
  <c r="BG57" i="145"/>
  <c r="AZ58" i="145"/>
  <c r="BA58" i="145"/>
  <c r="BB58" i="145"/>
  <c r="BC58" i="145"/>
  <c r="BD58" i="145"/>
  <c r="BE58" i="145"/>
  <c r="BF58" i="145"/>
  <c r="BG58" i="145"/>
  <c r="AZ59" i="145"/>
  <c r="BA59" i="145"/>
  <c r="BB59" i="145"/>
  <c r="BC59" i="145"/>
  <c r="BD59" i="145"/>
  <c r="BE59" i="145"/>
  <c r="BF59" i="145"/>
  <c r="BG59" i="145"/>
  <c r="AZ60" i="145"/>
  <c r="BA60" i="145"/>
  <c r="BB60" i="145"/>
  <c r="BC60" i="145"/>
  <c r="BD60" i="145"/>
  <c r="BE60" i="145"/>
  <c r="BF60" i="145"/>
  <c r="BG60" i="145"/>
  <c r="AZ61" i="145"/>
  <c r="BA61" i="145"/>
  <c r="BB61" i="145"/>
  <c r="BC61" i="145"/>
  <c r="BD61" i="145"/>
  <c r="BE61" i="145"/>
  <c r="BF61" i="145"/>
  <c r="BG61" i="145"/>
  <c r="AZ62" i="145"/>
  <c r="BA62" i="145"/>
  <c r="BB62" i="145"/>
  <c r="BC62" i="145"/>
  <c r="BD62" i="145"/>
  <c r="BE62" i="145"/>
  <c r="BF62" i="145"/>
  <c r="BG62" i="145"/>
  <c r="AZ63" i="145"/>
  <c r="BA63" i="145"/>
  <c r="BB63" i="145"/>
  <c r="BC63" i="145"/>
  <c r="BD63" i="145"/>
  <c r="BE63" i="145"/>
  <c r="BF63" i="145"/>
  <c r="BG63" i="145"/>
  <c r="AZ64" i="145"/>
  <c r="BA64" i="145"/>
  <c r="BB64" i="145"/>
  <c r="BC64" i="145"/>
  <c r="BD64" i="145"/>
  <c r="BE64" i="145"/>
  <c r="BF64" i="145"/>
  <c r="BG64" i="145"/>
  <c r="AZ65" i="145"/>
  <c r="BA65" i="145"/>
  <c r="BB65" i="145"/>
  <c r="BC65" i="145"/>
  <c r="BD65" i="145"/>
  <c r="BE65" i="145"/>
  <c r="BF65" i="145"/>
  <c r="BG65" i="145"/>
  <c r="AZ66" i="145"/>
  <c r="BA66" i="145"/>
  <c r="BB66" i="145"/>
  <c r="BC66" i="145"/>
  <c r="BD66" i="145"/>
  <c r="BE66" i="145"/>
  <c r="BF66" i="145"/>
  <c r="BG66" i="145"/>
  <c r="AZ67" i="145"/>
  <c r="BA67" i="145"/>
  <c r="BB67" i="145"/>
  <c r="BC67" i="145"/>
  <c r="BD67" i="145"/>
  <c r="BE67" i="145"/>
  <c r="BF67" i="145"/>
  <c r="BG67" i="145"/>
  <c r="AZ68" i="145"/>
  <c r="BA68" i="145"/>
  <c r="BB68" i="145"/>
  <c r="BC68" i="145"/>
  <c r="BD68" i="145"/>
  <c r="BE68" i="145"/>
  <c r="BF68" i="145"/>
  <c r="BG68" i="145"/>
  <c r="AZ69" i="145"/>
  <c r="BA69" i="145"/>
  <c r="BB69" i="145"/>
  <c r="BC69" i="145"/>
  <c r="BD69" i="145"/>
  <c r="BE69" i="145"/>
  <c r="BF69" i="145"/>
  <c r="BG69" i="145"/>
  <c r="AZ70" i="145"/>
  <c r="BA70" i="145"/>
  <c r="BB70" i="145"/>
  <c r="BC70" i="145"/>
  <c r="BD70" i="145"/>
  <c r="BE70" i="145"/>
  <c r="BF70" i="145"/>
  <c r="BG70" i="145"/>
  <c r="AZ71" i="145"/>
  <c r="BA71" i="145"/>
  <c r="BB71" i="145"/>
  <c r="BC71" i="145"/>
  <c r="BD71" i="145"/>
  <c r="BE71" i="145"/>
  <c r="BF71" i="145"/>
  <c r="BG71" i="145"/>
  <c r="AZ72" i="145"/>
  <c r="BA72" i="145"/>
  <c r="BB72" i="145"/>
  <c r="BC72" i="145"/>
  <c r="BD72" i="145"/>
  <c r="BE72" i="145"/>
  <c r="BF72" i="145"/>
  <c r="BG72" i="145"/>
  <c r="AZ73" i="145"/>
  <c r="BA73" i="145"/>
  <c r="BB73" i="145"/>
  <c r="BC73" i="145"/>
  <c r="BD73" i="145"/>
  <c r="BE73" i="145"/>
  <c r="BF73" i="145"/>
  <c r="BG73" i="145"/>
  <c r="AZ74" i="145"/>
  <c r="BA74" i="145"/>
  <c r="BB74" i="145"/>
  <c r="BC74" i="145"/>
  <c r="BD74" i="145"/>
  <c r="BE74" i="145"/>
  <c r="BF74" i="145"/>
  <c r="BG74" i="145"/>
  <c r="AZ75" i="145"/>
  <c r="BA75" i="145"/>
  <c r="BB75" i="145"/>
  <c r="BC75" i="145"/>
  <c r="BD75" i="145"/>
  <c r="BE75" i="145"/>
  <c r="BF75" i="145"/>
  <c r="BG75" i="145"/>
  <c r="AZ76" i="145"/>
  <c r="BA76" i="145"/>
  <c r="BB76" i="145"/>
  <c r="BC76" i="145"/>
  <c r="BD76" i="145"/>
  <c r="BE76" i="145"/>
  <c r="BF76" i="145"/>
  <c r="BG76" i="145"/>
  <c r="AZ77" i="145"/>
  <c r="BA77" i="145"/>
  <c r="BB77" i="145"/>
  <c r="BC77" i="145"/>
  <c r="BD77" i="145"/>
  <c r="BE77" i="145"/>
  <c r="BF77" i="145"/>
  <c r="BG77" i="145"/>
  <c r="AZ78" i="145"/>
  <c r="BA78" i="145"/>
  <c r="BB78" i="145"/>
  <c r="BC78" i="145"/>
  <c r="BD78" i="145"/>
  <c r="BE78" i="145"/>
  <c r="BF78" i="145"/>
  <c r="BG78" i="145"/>
  <c r="AZ79" i="145"/>
  <c r="BA79" i="145"/>
  <c r="BB79" i="145"/>
  <c r="BC79" i="145"/>
  <c r="BD79" i="145"/>
  <c r="BE79" i="145"/>
  <c r="BF79" i="145"/>
  <c r="BG79" i="145"/>
  <c r="AZ80" i="145"/>
  <c r="BA80" i="145"/>
  <c r="BB80" i="145"/>
  <c r="BC80" i="145"/>
  <c r="BD80" i="145"/>
  <c r="BE80" i="145"/>
  <c r="BF80" i="145"/>
  <c r="BG80" i="145"/>
  <c r="AZ81" i="145"/>
  <c r="BA81" i="145"/>
  <c r="BB81" i="145"/>
  <c r="BC81" i="145"/>
  <c r="BD81" i="145"/>
  <c r="BE81" i="145"/>
  <c r="BF81" i="145"/>
  <c r="BG81" i="145"/>
  <c r="AZ82" i="145"/>
  <c r="BA82" i="145"/>
  <c r="BB82" i="145"/>
  <c r="BC82" i="145"/>
  <c r="BD82" i="145"/>
  <c r="BE82" i="145"/>
  <c r="BF82" i="145"/>
  <c r="BG82" i="145"/>
  <c r="AZ83" i="145"/>
  <c r="BA83" i="145"/>
  <c r="BB83" i="145"/>
  <c r="BC83" i="145"/>
  <c r="BD83" i="145"/>
  <c r="BE83" i="145"/>
  <c r="BF83" i="145"/>
  <c r="BG83" i="145"/>
  <c r="AZ84" i="145"/>
  <c r="BA84" i="145"/>
  <c r="BB84" i="145"/>
  <c r="BC84" i="145"/>
  <c r="BD84" i="145"/>
  <c r="BE84" i="145"/>
  <c r="BF84" i="145"/>
  <c r="BG84" i="145"/>
  <c r="AZ85" i="145"/>
  <c r="BA85" i="145"/>
  <c r="BB85" i="145"/>
  <c r="BC85" i="145"/>
  <c r="BD85" i="145"/>
  <c r="BE85" i="145"/>
  <c r="BF85" i="145"/>
  <c r="BG85" i="145"/>
  <c r="AZ86" i="145"/>
  <c r="BA86" i="145"/>
  <c r="BB86" i="145"/>
  <c r="BC86" i="145"/>
  <c r="BD86" i="145"/>
  <c r="BE86" i="145"/>
  <c r="BF86" i="145"/>
  <c r="BG86" i="145"/>
  <c r="AZ87" i="145"/>
  <c r="BA87" i="145"/>
  <c r="BB87" i="145"/>
  <c r="BC87" i="145"/>
  <c r="BD87" i="145"/>
  <c r="BE87" i="145"/>
  <c r="BF87" i="145"/>
  <c r="BG87" i="145"/>
  <c r="AZ88" i="145"/>
  <c r="BA88" i="145"/>
  <c r="BB88" i="145"/>
  <c r="BC88" i="145"/>
  <c r="BD88" i="145"/>
  <c r="BE88" i="145"/>
  <c r="BF88" i="145"/>
  <c r="BG88" i="145"/>
  <c r="AZ89" i="145"/>
  <c r="BA89" i="145"/>
  <c r="BB89" i="145"/>
  <c r="BC89" i="145"/>
  <c r="BD89" i="145"/>
  <c r="BE89" i="145"/>
  <c r="BF89" i="145"/>
  <c r="BG89" i="145"/>
  <c r="AZ90" i="145"/>
  <c r="BA90" i="145"/>
  <c r="BB90" i="145"/>
  <c r="BC90" i="145"/>
  <c r="BD90" i="145"/>
  <c r="BE90" i="145"/>
  <c r="BF90" i="145"/>
  <c r="BG90" i="145"/>
  <c r="AZ91" i="145"/>
  <c r="BA91" i="145"/>
  <c r="BB91" i="145"/>
  <c r="BC91" i="145"/>
  <c r="BD91" i="145"/>
  <c r="BE91" i="145"/>
  <c r="BF91" i="145"/>
  <c r="BG91" i="145"/>
  <c r="AZ92" i="145"/>
  <c r="BA92" i="145"/>
  <c r="BB92" i="145"/>
  <c r="BC92" i="145"/>
  <c r="BD92" i="145"/>
  <c r="BE92" i="145"/>
  <c r="BF92" i="145"/>
  <c r="BG92" i="145"/>
  <c r="AZ93" i="145"/>
  <c r="BA93" i="145"/>
  <c r="BB93" i="145"/>
  <c r="BC93" i="145"/>
  <c r="BD93" i="145"/>
  <c r="BE93" i="145"/>
  <c r="BF93" i="145"/>
  <c r="BG93" i="145"/>
  <c r="AZ94" i="145"/>
  <c r="BA94" i="145"/>
  <c r="BB94" i="145"/>
  <c r="BC94" i="145"/>
  <c r="BD94" i="145"/>
  <c r="BE94" i="145"/>
  <c r="BF94" i="145"/>
  <c r="BG94" i="145"/>
  <c r="AZ95" i="145"/>
  <c r="BA95" i="145"/>
  <c r="BB95" i="145"/>
  <c r="BC95" i="145"/>
  <c r="BD95" i="145"/>
  <c r="BE95" i="145"/>
  <c r="BF95" i="145"/>
  <c r="BG95" i="145"/>
  <c r="AZ96" i="145"/>
  <c r="BA96" i="145"/>
  <c r="BB96" i="145"/>
  <c r="BC96" i="145"/>
  <c r="BD96" i="145"/>
  <c r="BE96" i="145"/>
  <c r="BF96" i="145"/>
  <c r="BG96" i="145"/>
  <c r="AZ97" i="145"/>
  <c r="BA97" i="145"/>
  <c r="BB97" i="145"/>
  <c r="BC97" i="145"/>
  <c r="BD97" i="145"/>
  <c r="BE97" i="145"/>
  <c r="BF97" i="145"/>
  <c r="BG97" i="145"/>
  <c r="AZ98" i="145"/>
  <c r="BA98" i="145"/>
  <c r="BB98" i="145"/>
  <c r="BC98" i="145"/>
  <c r="BD98" i="145"/>
  <c r="BE98" i="145"/>
  <c r="BF98" i="145"/>
  <c r="BG98" i="145"/>
  <c r="AZ99" i="145"/>
  <c r="BA99" i="145"/>
  <c r="BB99" i="145"/>
  <c r="BC99" i="145"/>
  <c r="BD99" i="145"/>
  <c r="BE99" i="145"/>
  <c r="BF99" i="145"/>
  <c r="BG99" i="145"/>
  <c r="AZ100" i="145"/>
  <c r="BA100" i="145"/>
  <c r="BB100" i="145"/>
  <c r="BC100" i="145"/>
  <c r="BD100" i="145"/>
  <c r="BE100" i="145"/>
  <c r="BF100" i="145"/>
  <c r="BG100" i="145"/>
  <c r="AZ101" i="145"/>
  <c r="BA101" i="145"/>
  <c r="BB101" i="145"/>
  <c r="BC101" i="145"/>
  <c r="BD101" i="145"/>
  <c r="BE101" i="145"/>
  <c r="BF101" i="145"/>
  <c r="BG101" i="145"/>
  <c r="AZ102" i="145"/>
  <c r="BA102" i="145"/>
  <c r="BB102" i="145"/>
  <c r="BC102" i="145"/>
  <c r="BD102" i="145"/>
  <c r="BE102" i="145"/>
  <c r="BF102" i="145"/>
  <c r="BG102" i="145"/>
  <c r="AZ103" i="145"/>
  <c r="BA103" i="145"/>
  <c r="BB103" i="145"/>
  <c r="BC103" i="145"/>
  <c r="BD103" i="145"/>
  <c r="BE103" i="145"/>
  <c r="BF103" i="145"/>
  <c r="BG103" i="145"/>
  <c r="AZ104" i="145"/>
  <c r="BA104" i="145"/>
  <c r="BB104" i="145"/>
  <c r="BC104" i="145"/>
  <c r="BD104" i="145"/>
  <c r="BE104" i="145"/>
  <c r="BF104" i="145"/>
  <c r="BG104" i="145"/>
  <c r="AZ105" i="145"/>
  <c r="BA105" i="145"/>
  <c r="BB105" i="145"/>
  <c r="BC105" i="145"/>
  <c r="BD105" i="145"/>
  <c r="BE105" i="145"/>
  <c r="BF105" i="145"/>
  <c r="BG105" i="145"/>
  <c r="AZ106" i="145"/>
  <c r="BA106" i="145"/>
  <c r="BB106" i="145"/>
  <c r="BC106" i="145"/>
  <c r="BD106" i="145"/>
  <c r="BE106" i="145"/>
  <c r="BF106" i="145"/>
  <c r="BG106" i="145"/>
  <c r="AZ107" i="145"/>
  <c r="BA107" i="145"/>
  <c r="BB107" i="145"/>
  <c r="BC107" i="145"/>
  <c r="BD107" i="145"/>
  <c r="BE107" i="145"/>
  <c r="BF107" i="145"/>
  <c r="BG107" i="145"/>
  <c r="AZ108" i="145"/>
  <c r="BA108" i="145"/>
  <c r="BB108" i="145"/>
  <c r="BC108" i="145"/>
  <c r="BD108" i="145"/>
  <c r="BE108" i="145"/>
  <c r="BF108" i="145"/>
  <c r="BG108" i="145"/>
  <c r="AZ109" i="145"/>
  <c r="BA109" i="145"/>
  <c r="BB109" i="145"/>
  <c r="BC109" i="145"/>
  <c r="BD109" i="145"/>
  <c r="BE109" i="145"/>
  <c r="BF109" i="145"/>
  <c r="BG109" i="145"/>
  <c r="AZ110" i="145"/>
  <c r="BA110" i="145"/>
  <c r="BB110" i="145"/>
  <c r="BC110" i="145"/>
  <c r="BD110" i="145"/>
  <c r="BE110" i="145"/>
  <c r="BF110" i="145"/>
  <c r="BG110" i="145"/>
  <c r="AZ111" i="145"/>
  <c r="BA111" i="145"/>
  <c r="BB111" i="145"/>
  <c r="BC111" i="145"/>
  <c r="BD111" i="145"/>
  <c r="BE111" i="145"/>
  <c r="BF111" i="145"/>
  <c r="BG111" i="145"/>
  <c r="AZ112" i="145"/>
  <c r="BA112" i="145"/>
  <c r="BB112" i="145"/>
  <c r="BC112" i="145"/>
  <c r="BD112" i="145"/>
  <c r="BE112" i="145"/>
  <c r="BF112" i="145"/>
  <c r="BG112" i="145"/>
  <c r="AZ113" i="145"/>
  <c r="BA113" i="145"/>
  <c r="BB113" i="145"/>
  <c r="BC113" i="145"/>
  <c r="BD113" i="145"/>
  <c r="BE113" i="145"/>
  <c r="BF113" i="145"/>
  <c r="BG113" i="145"/>
  <c r="AZ114" i="145"/>
  <c r="BA114" i="145"/>
  <c r="BB114" i="145"/>
  <c r="BC114" i="145"/>
  <c r="BD114" i="145"/>
  <c r="BE114" i="145"/>
  <c r="BF114" i="145"/>
  <c r="BG114" i="145"/>
  <c r="AZ115" i="145"/>
  <c r="BA115" i="145"/>
  <c r="BB115" i="145"/>
  <c r="BC115" i="145"/>
  <c r="BD115" i="145"/>
  <c r="BE115" i="145"/>
  <c r="BF115" i="145"/>
  <c r="BG115" i="145"/>
  <c r="AZ116" i="145"/>
  <c r="BA116" i="145"/>
  <c r="BB116" i="145"/>
  <c r="BC116" i="145"/>
  <c r="BD116" i="145"/>
  <c r="BE116" i="145"/>
  <c r="BF116" i="145"/>
  <c r="BG116" i="145"/>
  <c r="AZ117" i="145"/>
  <c r="BA117" i="145"/>
  <c r="BB117" i="145"/>
  <c r="BC117" i="145"/>
  <c r="BD117" i="145"/>
  <c r="BE117" i="145"/>
  <c r="BF117" i="145"/>
  <c r="BG117" i="145"/>
  <c r="AZ118" i="145"/>
  <c r="BA118" i="145"/>
  <c r="BB118" i="145"/>
  <c r="BC118" i="145"/>
  <c r="BD118" i="145"/>
  <c r="BE118" i="145"/>
  <c r="BF118" i="145"/>
  <c r="BG118" i="145"/>
  <c r="AZ119" i="145"/>
  <c r="BA119" i="145"/>
  <c r="BB119" i="145"/>
  <c r="BC119" i="145"/>
  <c r="BD119" i="145"/>
  <c r="BE119" i="145"/>
  <c r="BF119" i="145"/>
  <c r="BG119" i="145"/>
  <c r="AZ120" i="145"/>
  <c r="BA120" i="145"/>
  <c r="BB120" i="145"/>
  <c r="BC120" i="145"/>
  <c r="BD120" i="145"/>
  <c r="BE120" i="145"/>
  <c r="BF120" i="145"/>
  <c r="BG120" i="145"/>
  <c r="AZ121" i="145"/>
  <c r="BA121" i="145"/>
  <c r="BB121" i="145"/>
  <c r="BC121" i="145"/>
  <c r="BD121" i="145"/>
  <c r="BE121" i="145"/>
  <c r="BF121" i="145"/>
  <c r="BG121" i="145"/>
  <c r="AZ122" i="145"/>
  <c r="BA122" i="145"/>
  <c r="BB122" i="145"/>
  <c r="BC122" i="145"/>
  <c r="BD122" i="145"/>
  <c r="BE122" i="145"/>
  <c r="BF122" i="145"/>
  <c r="BG122" i="145"/>
  <c r="AZ123" i="145"/>
  <c r="BA123" i="145"/>
  <c r="BB123" i="145"/>
  <c r="BC123" i="145"/>
  <c r="BD123" i="145"/>
  <c r="BE123" i="145"/>
  <c r="BF123" i="145"/>
  <c r="BG123" i="145"/>
  <c r="AZ124" i="145"/>
  <c r="BA124" i="145"/>
  <c r="BB124" i="145"/>
  <c r="BC124" i="145"/>
  <c r="BD124" i="145"/>
  <c r="BE124" i="145"/>
  <c r="BF124" i="145"/>
  <c r="BG124" i="145"/>
  <c r="AZ125" i="145"/>
  <c r="BA125" i="145"/>
  <c r="BB125" i="145"/>
  <c r="BC125" i="145"/>
  <c r="BD125" i="145"/>
  <c r="BE125" i="145"/>
  <c r="BF125" i="145"/>
  <c r="BG125" i="145"/>
  <c r="AZ126" i="145"/>
  <c r="BA126" i="145"/>
  <c r="BB126" i="145"/>
  <c r="BC126" i="145"/>
  <c r="BD126" i="145"/>
  <c r="BE126" i="145"/>
  <c r="BF126" i="145"/>
  <c r="BG126" i="145"/>
  <c r="AZ127" i="145"/>
  <c r="BA127" i="145"/>
  <c r="BB127" i="145"/>
  <c r="BC127" i="145"/>
  <c r="BD127" i="145"/>
  <c r="BE127" i="145"/>
  <c r="BF127" i="145"/>
  <c r="BG127" i="145"/>
  <c r="AZ128" i="145"/>
  <c r="BA128" i="145"/>
  <c r="BB128" i="145"/>
  <c r="BC128" i="145"/>
  <c r="BD128" i="145"/>
  <c r="BE128" i="145"/>
  <c r="BF128" i="145"/>
  <c r="BG128" i="145"/>
  <c r="AZ129" i="145"/>
  <c r="BA129" i="145"/>
  <c r="BB129" i="145"/>
  <c r="BC129" i="145"/>
  <c r="BD129" i="145"/>
  <c r="BE129" i="145"/>
  <c r="BF129" i="145"/>
  <c r="BG129" i="145"/>
  <c r="AZ130" i="145"/>
  <c r="BA130" i="145"/>
  <c r="BB130" i="145"/>
  <c r="BC130" i="145"/>
  <c r="BD130" i="145"/>
  <c r="BE130" i="145"/>
  <c r="BF130" i="145"/>
  <c r="BG130" i="145"/>
  <c r="AZ131" i="145"/>
  <c r="BA131" i="145"/>
  <c r="BB131" i="145"/>
  <c r="BC131" i="145"/>
  <c r="BD131" i="145"/>
  <c r="BE131" i="145"/>
  <c r="BF131" i="145"/>
  <c r="BG131" i="145"/>
  <c r="AZ132" i="145"/>
  <c r="BA132" i="145"/>
  <c r="BB132" i="145"/>
  <c r="BC132" i="145"/>
  <c r="BD132" i="145"/>
  <c r="BE132" i="145"/>
  <c r="BF132" i="145"/>
  <c r="BG132" i="145"/>
  <c r="AZ133" i="145"/>
  <c r="BA133" i="145"/>
  <c r="BB133" i="145"/>
  <c r="BC133" i="145"/>
  <c r="BD133" i="145"/>
  <c r="BE133" i="145"/>
  <c r="BF133" i="145"/>
  <c r="BG133" i="145"/>
  <c r="AZ134" i="145"/>
  <c r="BA134" i="145"/>
  <c r="BB134" i="145"/>
  <c r="BC134" i="145"/>
  <c r="BD134" i="145"/>
  <c r="BE134" i="145"/>
  <c r="BF134" i="145"/>
  <c r="BG134" i="145"/>
  <c r="AZ135" i="145"/>
  <c r="BA135" i="145"/>
  <c r="BB135" i="145"/>
  <c r="BC135" i="145"/>
  <c r="BD135" i="145"/>
  <c r="BE135" i="145"/>
  <c r="BF135" i="145"/>
  <c r="BG135" i="145"/>
  <c r="AZ136" i="145"/>
  <c r="BA136" i="145"/>
  <c r="BB136" i="145"/>
  <c r="BC136" i="145"/>
  <c r="BD136" i="145"/>
  <c r="BE136" i="145"/>
  <c r="BF136" i="145"/>
  <c r="BG136" i="145"/>
  <c r="AZ137" i="145"/>
  <c r="BA137" i="145"/>
  <c r="BB137" i="145"/>
  <c r="BC137" i="145"/>
  <c r="BD137" i="145"/>
  <c r="BE137" i="145"/>
  <c r="BF137" i="145"/>
  <c r="BG137" i="145"/>
  <c r="AZ138" i="145"/>
  <c r="BA138" i="145"/>
  <c r="BB138" i="145"/>
  <c r="BC138" i="145"/>
  <c r="BD138" i="145"/>
  <c r="BE138" i="145"/>
  <c r="BF138" i="145"/>
  <c r="BG138" i="145"/>
  <c r="AZ139" i="145"/>
  <c r="BA139" i="145"/>
  <c r="BB139" i="145"/>
  <c r="BC139" i="145"/>
  <c r="BD139" i="145"/>
  <c r="BE139" i="145"/>
  <c r="BF139" i="145"/>
  <c r="BG139" i="145"/>
  <c r="AZ140" i="145"/>
  <c r="BA140" i="145"/>
  <c r="BB140" i="145"/>
  <c r="BC140" i="145"/>
  <c r="BD140" i="145"/>
  <c r="BE140" i="145"/>
  <c r="BF140" i="145"/>
  <c r="BG140" i="145"/>
  <c r="AZ141" i="145"/>
  <c r="BA141" i="145"/>
  <c r="BB141" i="145"/>
  <c r="BC141" i="145"/>
  <c r="BD141" i="145"/>
  <c r="BE141" i="145"/>
  <c r="BF141" i="145"/>
  <c r="BG141" i="145"/>
  <c r="AZ142" i="145"/>
  <c r="BA142" i="145"/>
  <c r="BB142" i="145"/>
  <c r="BC142" i="145"/>
  <c r="BD142" i="145"/>
  <c r="BE142" i="145"/>
  <c r="BF142" i="145"/>
  <c r="BG142" i="145"/>
  <c r="AZ143" i="145"/>
  <c r="BA143" i="145"/>
  <c r="BB143" i="145"/>
  <c r="BC143" i="145"/>
  <c r="BD143" i="145"/>
  <c r="BE143" i="145"/>
  <c r="BF143" i="145"/>
  <c r="BG143" i="145"/>
  <c r="BA4" i="145"/>
  <c r="BB4" i="145"/>
  <c r="BC4" i="145"/>
  <c r="BD4" i="145"/>
  <c r="BE4" i="145"/>
  <c r="BF4" i="145"/>
  <c r="BG4" i="145"/>
  <c r="AZ4" i="145"/>
  <c r="AP231" i="145"/>
  <c r="AQ231" i="145"/>
  <c r="AR231" i="145"/>
  <c r="AS231" i="145"/>
  <c r="AT231" i="145"/>
  <c r="AU231" i="145"/>
  <c r="AV231" i="145"/>
  <c r="AW231" i="145"/>
  <c r="AP232" i="145"/>
  <c r="AQ232" i="145"/>
  <c r="AR232" i="145"/>
  <c r="AS232" i="145"/>
  <c r="AT232" i="145"/>
  <c r="AU232" i="145"/>
  <c r="AV232" i="145"/>
  <c r="AW232" i="145"/>
  <c r="AP233" i="145"/>
  <c r="AQ233" i="145"/>
  <c r="AR233" i="145"/>
  <c r="AS233" i="145"/>
  <c r="AT233" i="145"/>
  <c r="AU233" i="145"/>
  <c r="AV233" i="145"/>
  <c r="AW233" i="145"/>
  <c r="AP234" i="145"/>
  <c r="AQ234" i="145"/>
  <c r="AR234" i="145"/>
  <c r="AS234" i="145"/>
  <c r="AT234" i="145"/>
  <c r="AU234" i="145"/>
  <c r="AV234" i="145"/>
  <c r="AW234" i="145"/>
  <c r="AP235" i="145"/>
  <c r="AQ235" i="145"/>
  <c r="AR235" i="145"/>
  <c r="AS235" i="145"/>
  <c r="AT235" i="145"/>
  <c r="AU235" i="145"/>
  <c r="AV235" i="145"/>
  <c r="AW235" i="145"/>
  <c r="AP236" i="145"/>
  <c r="AQ236" i="145"/>
  <c r="AR236" i="145"/>
  <c r="AS236" i="145"/>
  <c r="AT236" i="145"/>
  <c r="AU236" i="145"/>
  <c r="AV236" i="145"/>
  <c r="AW236" i="145"/>
  <c r="AP237" i="145"/>
  <c r="AQ237" i="145"/>
  <c r="AR237" i="145"/>
  <c r="AS237" i="145"/>
  <c r="AT237" i="145"/>
  <c r="AU237" i="145"/>
  <c r="AV237" i="145"/>
  <c r="AW237" i="145"/>
  <c r="AP238" i="145"/>
  <c r="AQ238" i="145"/>
  <c r="AR238" i="145"/>
  <c r="AS238" i="145"/>
  <c r="AT238" i="145"/>
  <c r="AU238" i="145"/>
  <c r="AV238" i="145"/>
  <c r="AW238" i="145"/>
  <c r="AP239" i="145"/>
  <c r="AQ239" i="145"/>
  <c r="AR239" i="145"/>
  <c r="AS239" i="145"/>
  <c r="AT239" i="145"/>
  <c r="AU239" i="145"/>
  <c r="AV239" i="145"/>
  <c r="AW239" i="145"/>
  <c r="AP240" i="145"/>
  <c r="AQ240" i="145"/>
  <c r="AR240" i="145"/>
  <c r="AS240" i="145"/>
  <c r="AT240" i="145"/>
  <c r="AU240" i="145"/>
  <c r="AV240" i="145"/>
  <c r="AW240" i="145"/>
  <c r="AP241" i="145"/>
  <c r="AQ241" i="145"/>
  <c r="AR241" i="145"/>
  <c r="AS241" i="145"/>
  <c r="AT241" i="145"/>
  <c r="AU241" i="145"/>
  <c r="AV241" i="145"/>
  <c r="AW241" i="145"/>
  <c r="AP242" i="145"/>
  <c r="AQ242" i="145"/>
  <c r="AR242" i="145"/>
  <c r="AS242" i="145"/>
  <c r="AT242" i="145"/>
  <c r="AU242" i="145"/>
  <c r="AV242" i="145"/>
  <c r="AW242" i="145"/>
  <c r="AP243" i="145"/>
  <c r="AQ243" i="145"/>
  <c r="AR243" i="145"/>
  <c r="AS243" i="145"/>
  <c r="AT243" i="145"/>
  <c r="AU243" i="145"/>
  <c r="AV243" i="145"/>
  <c r="AW243" i="145"/>
  <c r="AP244" i="145"/>
  <c r="AQ244" i="145"/>
  <c r="AR244" i="145"/>
  <c r="AS244" i="145"/>
  <c r="AT244" i="145"/>
  <c r="AU244" i="145"/>
  <c r="AV244" i="145"/>
  <c r="AW244" i="145"/>
  <c r="AP245" i="145"/>
  <c r="AQ245" i="145"/>
  <c r="AR245" i="145"/>
  <c r="AS245" i="145"/>
  <c r="AT245" i="145"/>
  <c r="AU245" i="145"/>
  <c r="AV245" i="145"/>
  <c r="AW245" i="145"/>
  <c r="AP246" i="145"/>
  <c r="AQ246" i="145"/>
  <c r="AR246" i="145"/>
  <c r="AS246" i="145"/>
  <c r="AT246" i="145"/>
  <c r="AU246" i="145"/>
  <c r="AV246" i="145"/>
  <c r="AW246" i="145"/>
  <c r="AP247" i="145"/>
  <c r="AQ247" i="145"/>
  <c r="AR247" i="145"/>
  <c r="AS247" i="145"/>
  <c r="AT247" i="145"/>
  <c r="AU247" i="145"/>
  <c r="AV247" i="145"/>
  <c r="AW247" i="145"/>
  <c r="AP248" i="145"/>
  <c r="AQ248" i="145"/>
  <c r="AR248" i="145"/>
  <c r="AS248" i="145"/>
  <c r="AT248" i="145"/>
  <c r="AU248" i="145"/>
  <c r="AV248" i="145"/>
  <c r="AW248" i="145"/>
  <c r="AP249" i="145"/>
  <c r="AQ249" i="145"/>
  <c r="AR249" i="145"/>
  <c r="AS249" i="145"/>
  <c r="AT249" i="145"/>
  <c r="AU249" i="145"/>
  <c r="AV249" i="145"/>
  <c r="AW249" i="145"/>
  <c r="AP250" i="145"/>
  <c r="AQ250" i="145"/>
  <c r="AR250" i="145"/>
  <c r="AS250" i="145"/>
  <c r="AT250" i="145"/>
  <c r="AU250" i="145"/>
  <c r="AV250" i="145"/>
  <c r="AW250" i="145"/>
  <c r="AP251" i="145"/>
  <c r="AQ251" i="145"/>
  <c r="AR251" i="145"/>
  <c r="AS251" i="145"/>
  <c r="AT251" i="145"/>
  <c r="AU251" i="145"/>
  <c r="AV251" i="145"/>
  <c r="AW251" i="145"/>
  <c r="AP252" i="145"/>
  <c r="AQ252" i="145"/>
  <c r="AR252" i="145"/>
  <c r="AS252" i="145"/>
  <c r="AT252" i="145"/>
  <c r="AU252" i="145"/>
  <c r="AV252" i="145"/>
  <c r="AW252" i="145"/>
  <c r="AP253" i="145"/>
  <c r="AQ253" i="145"/>
  <c r="AR253" i="145"/>
  <c r="AS253" i="145"/>
  <c r="AT253" i="145"/>
  <c r="AU253" i="145"/>
  <c r="AV253" i="145"/>
  <c r="AW253" i="145"/>
  <c r="AP254" i="145"/>
  <c r="AQ254" i="145"/>
  <c r="AR254" i="145"/>
  <c r="AS254" i="145"/>
  <c r="AT254" i="145"/>
  <c r="AU254" i="145"/>
  <c r="AV254" i="145"/>
  <c r="AW254" i="145"/>
  <c r="AP255" i="145"/>
  <c r="AQ255" i="145"/>
  <c r="AR255" i="145"/>
  <c r="AS255" i="145"/>
  <c r="AT255" i="145"/>
  <c r="AU255" i="145"/>
  <c r="AV255" i="145"/>
  <c r="AW255" i="145"/>
  <c r="AP256" i="145"/>
  <c r="AQ256" i="145"/>
  <c r="AR256" i="145"/>
  <c r="AS256" i="145"/>
  <c r="AT256" i="145"/>
  <c r="AU256" i="145"/>
  <c r="AV256" i="145"/>
  <c r="AW256" i="145"/>
  <c r="AP257" i="145"/>
  <c r="AQ257" i="145"/>
  <c r="AR257" i="145"/>
  <c r="AS257" i="145"/>
  <c r="AT257" i="145"/>
  <c r="AU257" i="145"/>
  <c r="AV257" i="145"/>
  <c r="AW257" i="145"/>
  <c r="AP258" i="145"/>
  <c r="AQ258" i="145"/>
  <c r="AR258" i="145"/>
  <c r="AS258" i="145"/>
  <c r="AT258" i="145"/>
  <c r="AU258" i="145"/>
  <c r="AV258" i="145"/>
  <c r="AW258" i="145"/>
  <c r="AP259" i="145"/>
  <c r="AQ259" i="145"/>
  <c r="AR259" i="145"/>
  <c r="AS259" i="145"/>
  <c r="AT259" i="145"/>
  <c r="AU259" i="145"/>
  <c r="AV259" i="145"/>
  <c r="AW259" i="145"/>
  <c r="AP260" i="145"/>
  <c r="AQ260" i="145"/>
  <c r="AR260" i="145"/>
  <c r="AS260" i="145"/>
  <c r="AT260" i="145"/>
  <c r="AU260" i="145"/>
  <c r="AV260" i="145"/>
  <c r="AW260" i="145"/>
  <c r="AP261" i="145"/>
  <c r="AQ261" i="145"/>
  <c r="AR261" i="145"/>
  <c r="AS261" i="145"/>
  <c r="AT261" i="145"/>
  <c r="AU261" i="145"/>
  <c r="AV261" i="145"/>
  <c r="AW261" i="145"/>
  <c r="AP262" i="145"/>
  <c r="AQ262" i="145"/>
  <c r="AR262" i="145"/>
  <c r="AS262" i="145"/>
  <c r="AT262" i="145"/>
  <c r="AU262" i="145"/>
  <c r="AV262" i="145"/>
  <c r="AW262" i="145"/>
  <c r="AP263" i="145"/>
  <c r="AQ263" i="145"/>
  <c r="AR263" i="145"/>
  <c r="AS263" i="145"/>
  <c r="AT263" i="145"/>
  <c r="AU263" i="145"/>
  <c r="AV263" i="145"/>
  <c r="AW263" i="145"/>
  <c r="AP264" i="145"/>
  <c r="AQ264" i="145"/>
  <c r="AR264" i="145"/>
  <c r="AS264" i="145"/>
  <c r="AT264" i="145"/>
  <c r="AU264" i="145"/>
  <c r="AV264" i="145"/>
  <c r="AW264" i="145"/>
  <c r="AQ230" i="145"/>
  <c r="AR230" i="145"/>
  <c r="AS230" i="145"/>
  <c r="AT230" i="145"/>
  <c r="AU230" i="145"/>
  <c r="AV230" i="145"/>
  <c r="AW230" i="145"/>
  <c r="AP230" i="145"/>
  <c r="AP209" i="145"/>
  <c r="AQ209" i="145"/>
  <c r="AR209" i="145"/>
  <c r="AS209" i="145"/>
  <c r="AT209" i="145"/>
  <c r="AU209" i="145"/>
  <c r="AV209" i="145"/>
  <c r="AW209" i="145"/>
  <c r="AP210" i="145"/>
  <c r="AQ210" i="145"/>
  <c r="AR210" i="145"/>
  <c r="AS210" i="145"/>
  <c r="AT210" i="145"/>
  <c r="AU210" i="145"/>
  <c r="AV210" i="145"/>
  <c r="AW210" i="145"/>
  <c r="AP211" i="145"/>
  <c r="AQ211" i="145"/>
  <c r="AR211" i="145"/>
  <c r="AS211" i="145"/>
  <c r="AT211" i="145"/>
  <c r="AU211" i="145"/>
  <c r="AV211" i="145"/>
  <c r="AW211" i="145"/>
  <c r="AP212" i="145"/>
  <c r="AQ212" i="145"/>
  <c r="AR212" i="145"/>
  <c r="AS212" i="145"/>
  <c r="AT212" i="145"/>
  <c r="AU212" i="145"/>
  <c r="AV212" i="145"/>
  <c r="AW212" i="145"/>
  <c r="AP213" i="145"/>
  <c r="AQ213" i="145"/>
  <c r="AR213" i="145"/>
  <c r="AS213" i="145"/>
  <c r="AT213" i="145"/>
  <c r="AU213" i="145"/>
  <c r="AV213" i="145"/>
  <c r="AW213" i="145"/>
  <c r="AP214" i="145"/>
  <c r="AQ214" i="145"/>
  <c r="AR214" i="145"/>
  <c r="AS214" i="145"/>
  <c r="AT214" i="145"/>
  <c r="AU214" i="145"/>
  <c r="AV214" i="145"/>
  <c r="AW214" i="145"/>
  <c r="AP215" i="145"/>
  <c r="AQ215" i="145"/>
  <c r="AR215" i="145"/>
  <c r="AS215" i="145"/>
  <c r="AT215" i="145"/>
  <c r="AU215" i="145"/>
  <c r="AV215" i="145"/>
  <c r="AW215" i="145"/>
  <c r="AP216" i="145"/>
  <c r="AQ216" i="145"/>
  <c r="AR216" i="145"/>
  <c r="AS216" i="145"/>
  <c r="AT216" i="145"/>
  <c r="AU216" i="145"/>
  <c r="AV216" i="145"/>
  <c r="AW216" i="145"/>
  <c r="AP217" i="145"/>
  <c r="AQ217" i="145"/>
  <c r="AR217" i="145"/>
  <c r="AS217" i="145"/>
  <c r="AT217" i="145"/>
  <c r="AU217" i="145"/>
  <c r="AV217" i="145"/>
  <c r="AW217" i="145"/>
  <c r="AP218" i="145"/>
  <c r="AQ218" i="145"/>
  <c r="AR218" i="145"/>
  <c r="AS218" i="145"/>
  <c r="AT218" i="145"/>
  <c r="AU218" i="145"/>
  <c r="AV218" i="145"/>
  <c r="AW218" i="145"/>
  <c r="AP219" i="145"/>
  <c r="AQ219" i="145"/>
  <c r="AR219" i="145"/>
  <c r="AS219" i="145"/>
  <c r="AT219" i="145"/>
  <c r="AU219" i="145"/>
  <c r="AV219" i="145"/>
  <c r="AW219" i="145"/>
  <c r="AP220" i="145"/>
  <c r="AQ220" i="145"/>
  <c r="AR220" i="145"/>
  <c r="AS220" i="145"/>
  <c r="AT220" i="145"/>
  <c r="AU220" i="145"/>
  <c r="AV220" i="145"/>
  <c r="AW220" i="145"/>
  <c r="AP221" i="145"/>
  <c r="AQ221" i="145"/>
  <c r="AR221" i="145"/>
  <c r="AS221" i="145"/>
  <c r="AT221" i="145"/>
  <c r="AU221" i="145"/>
  <c r="AV221" i="145"/>
  <c r="AW221" i="145"/>
  <c r="AP222" i="145"/>
  <c r="AQ222" i="145"/>
  <c r="AR222" i="145"/>
  <c r="AS222" i="145"/>
  <c r="AT222" i="145"/>
  <c r="AU222" i="145"/>
  <c r="AV222" i="145"/>
  <c r="AW222" i="145"/>
  <c r="AP223" i="145"/>
  <c r="AQ223" i="145"/>
  <c r="AR223" i="145"/>
  <c r="AS223" i="145"/>
  <c r="AT223" i="145"/>
  <c r="AU223" i="145"/>
  <c r="AV223" i="145"/>
  <c r="AW223" i="145"/>
  <c r="AP224" i="145"/>
  <c r="AQ224" i="145"/>
  <c r="AR224" i="145"/>
  <c r="AS224" i="145"/>
  <c r="AT224" i="145"/>
  <c r="AU224" i="145"/>
  <c r="AV224" i="145"/>
  <c r="AW224" i="145"/>
  <c r="AP225" i="145"/>
  <c r="AQ225" i="145"/>
  <c r="AR225" i="145"/>
  <c r="AS225" i="145"/>
  <c r="AT225" i="145"/>
  <c r="AU225" i="145"/>
  <c r="AV225" i="145"/>
  <c r="AW225" i="145"/>
  <c r="AP226" i="145"/>
  <c r="AQ226" i="145"/>
  <c r="AR226" i="145"/>
  <c r="AS226" i="145"/>
  <c r="AT226" i="145"/>
  <c r="AU226" i="145"/>
  <c r="AV226" i="145"/>
  <c r="AW226" i="145"/>
  <c r="AQ208" i="145"/>
  <c r="AR208" i="145"/>
  <c r="AS208" i="145"/>
  <c r="AT208" i="145"/>
  <c r="AU208" i="145"/>
  <c r="AV208" i="145"/>
  <c r="AW208" i="145"/>
  <c r="AP208" i="145"/>
  <c r="AP182" i="145"/>
  <c r="AQ182" i="145"/>
  <c r="AR182" i="145"/>
  <c r="AS182" i="145"/>
  <c r="AT182" i="145"/>
  <c r="AU182" i="145"/>
  <c r="AV182" i="145"/>
  <c r="AW182" i="145"/>
  <c r="AP183" i="145"/>
  <c r="AQ183" i="145"/>
  <c r="AR183" i="145"/>
  <c r="AS183" i="145"/>
  <c r="AT183" i="145"/>
  <c r="AU183" i="145"/>
  <c r="AV183" i="145"/>
  <c r="AW183" i="145"/>
  <c r="AP184" i="145"/>
  <c r="AQ184" i="145"/>
  <c r="AR184" i="145"/>
  <c r="AS184" i="145"/>
  <c r="AT184" i="145"/>
  <c r="AU184" i="145"/>
  <c r="AV184" i="145"/>
  <c r="AW184" i="145"/>
  <c r="AP185" i="145"/>
  <c r="AQ185" i="145"/>
  <c r="AR185" i="145"/>
  <c r="AS185" i="145"/>
  <c r="AT185" i="145"/>
  <c r="AU185" i="145"/>
  <c r="AV185" i="145"/>
  <c r="AW185" i="145"/>
  <c r="AP186" i="145"/>
  <c r="AQ186" i="145"/>
  <c r="AR186" i="145"/>
  <c r="AS186" i="145"/>
  <c r="AT186" i="145"/>
  <c r="AU186" i="145"/>
  <c r="AV186" i="145"/>
  <c r="AW186" i="145"/>
  <c r="AP187" i="145"/>
  <c r="AQ187" i="145"/>
  <c r="AR187" i="145"/>
  <c r="AS187" i="145"/>
  <c r="AT187" i="145"/>
  <c r="AU187" i="145"/>
  <c r="AV187" i="145"/>
  <c r="AW187" i="145"/>
  <c r="AP188" i="145"/>
  <c r="AQ188" i="145"/>
  <c r="AR188" i="145"/>
  <c r="AS188" i="145"/>
  <c r="AT188" i="145"/>
  <c r="AU188" i="145"/>
  <c r="AV188" i="145"/>
  <c r="AW188" i="145"/>
  <c r="AP189" i="145"/>
  <c r="AQ189" i="145"/>
  <c r="AR189" i="145"/>
  <c r="AS189" i="145"/>
  <c r="AT189" i="145"/>
  <c r="AU189" i="145"/>
  <c r="AV189" i="145"/>
  <c r="AW189" i="145"/>
  <c r="AP190" i="145"/>
  <c r="AQ190" i="145"/>
  <c r="AR190" i="145"/>
  <c r="AS190" i="145"/>
  <c r="AT190" i="145"/>
  <c r="AU190" i="145"/>
  <c r="AV190" i="145"/>
  <c r="AW190" i="145"/>
  <c r="AP191" i="145"/>
  <c r="AQ191" i="145"/>
  <c r="AR191" i="145"/>
  <c r="AS191" i="145"/>
  <c r="AT191" i="145"/>
  <c r="AU191" i="145"/>
  <c r="AV191" i="145"/>
  <c r="AW191" i="145"/>
  <c r="AP192" i="145"/>
  <c r="AQ192" i="145"/>
  <c r="AR192" i="145"/>
  <c r="AS192" i="145"/>
  <c r="AT192" i="145"/>
  <c r="AU192" i="145"/>
  <c r="AV192" i="145"/>
  <c r="AW192" i="145"/>
  <c r="AP193" i="145"/>
  <c r="AQ193" i="145"/>
  <c r="AR193" i="145"/>
  <c r="AS193" i="145"/>
  <c r="AT193" i="145"/>
  <c r="AU193" i="145"/>
  <c r="AV193" i="145"/>
  <c r="AW193" i="145"/>
  <c r="AP194" i="145"/>
  <c r="AQ194" i="145"/>
  <c r="AR194" i="145"/>
  <c r="AS194" i="145"/>
  <c r="AT194" i="145"/>
  <c r="AU194" i="145"/>
  <c r="AV194" i="145"/>
  <c r="AW194" i="145"/>
  <c r="AP195" i="145"/>
  <c r="AQ195" i="145"/>
  <c r="AR195" i="145"/>
  <c r="AS195" i="145"/>
  <c r="AT195" i="145"/>
  <c r="AU195" i="145"/>
  <c r="AV195" i="145"/>
  <c r="AW195" i="145"/>
  <c r="AP196" i="145"/>
  <c r="AQ196" i="145"/>
  <c r="AR196" i="145"/>
  <c r="AS196" i="145"/>
  <c r="AT196" i="145"/>
  <c r="AU196" i="145"/>
  <c r="AV196" i="145"/>
  <c r="AW196" i="145"/>
  <c r="AP197" i="145"/>
  <c r="AQ197" i="145"/>
  <c r="AR197" i="145"/>
  <c r="AS197" i="145"/>
  <c r="AT197" i="145"/>
  <c r="AU197" i="145"/>
  <c r="AV197" i="145"/>
  <c r="AW197" i="145"/>
  <c r="AP198" i="145"/>
  <c r="AQ198" i="145"/>
  <c r="AR198" i="145"/>
  <c r="AS198" i="145"/>
  <c r="AT198" i="145"/>
  <c r="AU198" i="145"/>
  <c r="AV198" i="145"/>
  <c r="AW198" i="145"/>
  <c r="AP199" i="145"/>
  <c r="AQ199" i="145"/>
  <c r="AR199" i="145"/>
  <c r="AS199" i="145"/>
  <c r="AT199" i="145"/>
  <c r="AU199" i="145"/>
  <c r="AV199" i="145"/>
  <c r="AW199" i="145"/>
  <c r="AP200" i="145"/>
  <c r="AQ200" i="145"/>
  <c r="AR200" i="145"/>
  <c r="AS200" i="145"/>
  <c r="AT200" i="145"/>
  <c r="AU200" i="145"/>
  <c r="AV200" i="145"/>
  <c r="AW200" i="145"/>
  <c r="AP201" i="145"/>
  <c r="AQ201" i="145"/>
  <c r="AR201" i="145"/>
  <c r="AS201" i="145"/>
  <c r="AT201" i="145"/>
  <c r="AU201" i="145"/>
  <c r="AV201" i="145"/>
  <c r="AW201" i="145"/>
  <c r="AP202" i="145"/>
  <c r="AQ202" i="145"/>
  <c r="AR202" i="145"/>
  <c r="AS202" i="145"/>
  <c r="AT202" i="145"/>
  <c r="AU202" i="145"/>
  <c r="AV202" i="145"/>
  <c r="AW202" i="145"/>
  <c r="AQ181" i="145"/>
  <c r="AR181" i="145"/>
  <c r="AS181" i="145"/>
  <c r="AT181" i="145"/>
  <c r="AU181" i="145"/>
  <c r="AV181" i="145"/>
  <c r="AW181" i="145"/>
  <c r="AP181" i="145"/>
  <c r="AP87" i="145"/>
  <c r="AQ87" i="145"/>
  <c r="AR87" i="145"/>
  <c r="AS87" i="145"/>
  <c r="AT87" i="145"/>
  <c r="AU87" i="145"/>
  <c r="AV87" i="145"/>
  <c r="AW87" i="145"/>
  <c r="AP88" i="145"/>
  <c r="AQ88" i="145"/>
  <c r="AR88" i="145"/>
  <c r="AS88" i="145"/>
  <c r="AT88" i="145"/>
  <c r="AU88" i="145"/>
  <c r="AV88" i="145"/>
  <c r="AW88" i="145"/>
  <c r="AP89" i="145"/>
  <c r="AQ89" i="145"/>
  <c r="AR89" i="145"/>
  <c r="AS89" i="145"/>
  <c r="AT89" i="145"/>
  <c r="AU89" i="145"/>
  <c r="AV89" i="145"/>
  <c r="AW89" i="145"/>
  <c r="AP90" i="145"/>
  <c r="AQ90" i="145"/>
  <c r="AR90" i="145"/>
  <c r="AS90" i="145"/>
  <c r="AT90" i="145"/>
  <c r="AU90" i="145"/>
  <c r="AV90" i="145"/>
  <c r="AW90" i="145"/>
  <c r="AP91" i="145"/>
  <c r="AQ91" i="145"/>
  <c r="AR91" i="145"/>
  <c r="AS91" i="145"/>
  <c r="AT91" i="145"/>
  <c r="AU91" i="145"/>
  <c r="AV91" i="145"/>
  <c r="AW91" i="145"/>
  <c r="AP92" i="145"/>
  <c r="AQ92" i="145"/>
  <c r="AR92" i="145"/>
  <c r="AS92" i="145"/>
  <c r="AT92" i="145"/>
  <c r="AU92" i="145"/>
  <c r="AV92" i="145"/>
  <c r="AW92" i="145"/>
  <c r="AP93" i="145"/>
  <c r="AQ93" i="145"/>
  <c r="AR93" i="145"/>
  <c r="AS93" i="145"/>
  <c r="AT93" i="145"/>
  <c r="AU93" i="145"/>
  <c r="AV93" i="145"/>
  <c r="AW93" i="145"/>
  <c r="AP94" i="145"/>
  <c r="AQ94" i="145"/>
  <c r="AR94" i="145"/>
  <c r="AS94" i="145"/>
  <c r="AT94" i="145"/>
  <c r="AU94" i="145"/>
  <c r="AV94" i="145"/>
  <c r="AW94" i="145"/>
  <c r="AP95" i="145"/>
  <c r="AQ95" i="145"/>
  <c r="AR95" i="145"/>
  <c r="AS95" i="145"/>
  <c r="AT95" i="145"/>
  <c r="AU95" i="145"/>
  <c r="AV95" i="145"/>
  <c r="AW95" i="145"/>
  <c r="AP96" i="145"/>
  <c r="AQ96" i="145"/>
  <c r="AR96" i="145"/>
  <c r="AS96" i="145"/>
  <c r="AT96" i="145"/>
  <c r="AU96" i="145"/>
  <c r="AV96" i="145"/>
  <c r="AW96" i="145"/>
  <c r="AP97" i="145"/>
  <c r="AQ97" i="145"/>
  <c r="AR97" i="145"/>
  <c r="AS97" i="145"/>
  <c r="AT97" i="145"/>
  <c r="AU97" i="145"/>
  <c r="AV97" i="145"/>
  <c r="AW97" i="145"/>
  <c r="AP98" i="145"/>
  <c r="AQ98" i="145"/>
  <c r="AR98" i="145"/>
  <c r="AS98" i="145"/>
  <c r="AT98" i="145"/>
  <c r="AU98" i="145"/>
  <c r="AV98" i="145"/>
  <c r="AW98" i="145"/>
  <c r="AP99" i="145"/>
  <c r="AQ99" i="145"/>
  <c r="AR99" i="145"/>
  <c r="AS99" i="145"/>
  <c r="AT99" i="145"/>
  <c r="AU99" i="145"/>
  <c r="AV99" i="145"/>
  <c r="AW99" i="145"/>
  <c r="AP100" i="145"/>
  <c r="AQ100" i="145"/>
  <c r="AR100" i="145"/>
  <c r="AS100" i="145"/>
  <c r="AT100" i="145"/>
  <c r="AU100" i="145"/>
  <c r="AV100" i="145"/>
  <c r="AW100" i="145"/>
  <c r="AP101" i="145"/>
  <c r="AQ101" i="145"/>
  <c r="AR101" i="145"/>
  <c r="AS101" i="145"/>
  <c r="AT101" i="145"/>
  <c r="AU101" i="145"/>
  <c r="AV101" i="145"/>
  <c r="AW101" i="145"/>
  <c r="AP102" i="145"/>
  <c r="AQ102" i="145"/>
  <c r="AR102" i="145"/>
  <c r="AS102" i="145"/>
  <c r="AT102" i="145"/>
  <c r="AU102" i="145"/>
  <c r="AV102" i="145"/>
  <c r="AW102" i="145"/>
  <c r="AP103" i="145"/>
  <c r="AQ103" i="145"/>
  <c r="AR103" i="145"/>
  <c r="AS103" i="145"/>
  <c r="AT103" i="145"/>
  <c r="AU103" i="145"/>
  <c r="AV103" i="145"/>
  <c r="AW103" i="145"/>
  <c r="AP104" i="145"/>
  <c r="AQ104" i="145"/>
  <c r="AR104" i="145"/>
  <c r="AS104" i="145"/>
  <c r="AT104" i="145"/>
  <c r="AU104" i="145"/>
  <c r="AV104" i="145"/>
  <c r="AW104" i="145"/>
  <c r="AP105" i="145"/>
  <c r="AQ105" i="145"/>
  <c r="AR105" i="145"/>
  <c r="AS105" i="145"/>
  <c r="AT105" i="145"/>
  <c r="AU105" i="145"/>
  <c r="AV105" i="145"/>
  <c r="AW105" i="145"/>
  <c r="AP106" i="145"/>
  <c r="AQ106" i="145"/>
  <c r="AR106" i="145"/>
  <c r="AS106" i="145"/>
  <c r="AT106" i="145"/>
  <c r="AU106" i="145"/>
  <c r="AV106" i="145"/>
  <c r="AW106" i="145"/>
  <c r="AP107" i="145"/>
  <c r="AQ107" i="145"/>
  <c r="AR107" i="145"/>
  <c r="AS107" i="145"/>
  <c r="AT107" i="145"/>
  <c r="AU107" i="145"/>
  <c r="AV107" i="145"/>
  <c r="AW107" i="145"/>
  <c r="AP108" i="145"/>
  <c r="AQ108" i="145"/>
  <c r="AR108" i="145"/>
  <c r="AS108" i="145"/>
  <c r="AT108" i="145"/>
  <c r="AU108" i="145"/>
  <c r="AV108" i="145"/>
  <c r="AW108" i="145"/>
  <c r="AP109" i="145"/>
  <c r="AQ109" i="145"/>
  <c r="AR109" i="145"/>
  <c r="AS109" i="145"/>
  <c r="AT109" i="145"/>
  <c r="AU109" i="145"/>
  <c r="AV109" i="145"/>
  <c r="AW109" i="145"/>
  <c r="AP110" i="145"/>
  <c r="AQ110" i="145"/>
  <c r="AR110" i="145"/>
  <c r="AS110" i="145"/>
  <c r="AT110" i="145"/>
  <c r="AU110" i="145"/>
  <c r="AV110" i="145"/>
  <c r="AW110" i="145"/>
  <c r="AP111" i="145"/>
  <c r="AQ111" i="145"/>
  <c r="AR111" i="145"/>
  <c r="AS111" i="145"/>
  <c r="AT111" i="145"/>
  <c r="AU111" i="145"/>
  <c r="AV111" i="145"/>
  <c r="AW111" i="145"/>
  <c r="AP112" i="145"/>
  <c r="AQ112" i="145"/>
  <c r="AR112" i="145"/>
  <c r="AS112" i="145"/>
  <c r="AT112" i="145"/>
  <c r="AU112" i="145"/>
  <c r="AV112" i="145"/>
  <c r="AW112" i="145"/>
  <c r="AP113" i="145"/>
  <c r="AQ113" i="145"/>
  <c r="AR113" i="145"/>
  <c r="AS113" i="145"/>
  <c r="AT113" i="145"/>
  <c r="AU113" i="145"/>
  <c r="AV113" i="145"/>
  <c r="AW113" i="145"/>
  <c r="AP114" i="145"/>
  <c r="AQ114" i="145"/>
  <c r="AR114" i="145"/>
  <c r="AS114" i="145"/>
  <c r="AT114" i="145"/>
  <c r="AU114" i="145"/>
  <c r="AV114" i="145"/>
  <c r="AW114" i="145"/>
  <c r="AP115" i="145"/>
  <c r="AQ115" i="145"/>
  <c r="AR115" i="145"/>
  <c r="AS115" i="145"/>
  <c r="AT115" i="145"/>
  <c r="AU115" i="145"/>
  <c r="AV115" i="145"/>
  <c r="AW115" i="145"/>
  <c r="AP116" i="145"/>
  <c r="AQ116" i="145"/>
  <c r="AR116" i="145"/>
  <c r="AS116" i="145"/>
  <c r="AT116" i="145"/>
  <c r="AU116" i="145"/>
  <c r="AV116" i="145"/>
  <c r="AW116" i="145"/>
  <c r="AP117" i="145"/>
  <c r="AQ117" i="145"/>
  <c r="AR117" i="145"/>
  <c r="AS117" i="145"/>
  <c r="AT117" i="145"/>
  <c r="AU117" i="145"/>
  <c r="AV117" i="145"/>
  <c r="AW117" i="145"/>
  <c r="AP118" i="145"/>
  <c r="AQ118" i="145"/>
  <c r="AR118" i="145"/>
  <c r="AS118" i="145"/>
  <c r="AT118" i="145"/>
  <c r="AU118" i="145"/>
  <c r="AV118" i="145"/>
  <c r="AW118" i="145"/>
  <c r="AP119" i="145"/>
  <c r="AQ119" i="145"/>
  <c r="AR119" i="145"/>
  <c r="AS119" i="145"/>
  <c r="AT119" i="145"/>
  <c r="AU119" i="145"/>
  <c r="AV119" i="145"/>
  <c r="AW119" i="145"/>
  <c r="AP120" i="145"/>
  <c r="AQ120" i="145"/>
  <c r="AR120" i="145"/>
  <c r="AS120" i="145"/>
  <c r="AT120" i="145"/>
  <c r="AU120" i="145"/>
  <c r="AV120" i="145"/>
  <c r="AW120" i="145"/>
  <c r="AP121" i="145"/>
  <c r="AQ121" i="145"/>
  <c r="AR121" i="145"/>
  <c r="AS121" i="145"/>
  <c r="AT121" i="145"/>
  <c r="AU121" i="145"/>
  <c r="AV121" i="145"/>
  <c r="AW121" i="145"/>
  <c r="AP122" i="145"/>
  <c r="AQ122" i="145"/>
  <c r="AR122" i="145"/>
  <c r="AS122" i="145"/>
  <c r="AT122" i="145"/>
  <c r="AU122" i="145"/>
  <c r="AV122" i="145"/>
  <c r="AW122" i="145"/>
  <c r="AP123" i="145"/>
  <c r="AQ123" i="145"/>
  <c r="AR123" i="145"/>
  <c r="AS123" i="145"/>
  <c r="AT123" i="145"/>
  <c r="AU123" i="145"/>
  <c r="AV123" i="145"/>
  <c r="AW123" i="145"/>
  <c r="AP124" i="145"/>
  <c r="AQ124" i="145"/>
  <c r="AR124" i="145"/>
  <c r="AS124" i="145"/>
  <c r="AT124" i="145"/>
  <c r="AU124" i="145"/>
  <c r="AV124" i="145"/>
  <c r="AW124" i="145"/>
  <c r="AP125" i="145"/>
  <c r="AQ125" i="145"/>
  <c r="AR125" i="145"/>
  <c r="AS125" i="145"/>
  <c r="AT125" i="145"/>
  <c r="AU125" i="145"/>
  <c r="AV125" i="145"/>
  <c r="AW125" i="145"/>
  <c r="AP126" i="145"/>
  <c r="AQ126" i="145"/>
  <c r="AR126" i="145"/>
  <c r="AS126" i="145"/>
  <c r="AT126" i="145"/>
  <c r="AU126" i="145"/>
  <c r="AV126" i="145"/>
  <c r="AW126" i="145"/>
  <c r="AP127" i="145"/>
  <c r="AQ127" i="145"/>
  <c r="AR127" i="145"/>
  <c r="AS127" i="145"/>
  <c r="AT127" i="145"/>
  <c r="AU127" i="145"/>
  <c r="AV127" i="145"/>
  <c r="AW127" i="145"/>
  <c r="AP128" i="145"/>
  <c r="AQ128" i="145"/>
  <c r="AR128" i="145"/>
  <c r="AS128" i="145"/>
  <c r="AT128" i="145"/>
  <c r="AU128" i="145"/>
  <c r="AV128" i="145"/>
  <c r="AW128" i="145"/>
  <c r="AP129" i="145"/>
  <c r="AQ129" i="145"/>
  <c r="AR129" i="145"/>
  <c r="AS129" i="145"/>
  <c r="AT129" i="145"/>
  <c r="AU129" i="145"/>
  <c r="AV129" i="145"/>
  <c r="AW129" i="145"/>
  <c r="AP130" i="145"/>
  <c r="AQ130" i="145"/>
  <c r="AR130" i="145"/>
  <c r="AS130" i="145"/>
  <c r="AT130" i="145"/>
  <c r="AU130" i="145"/>
  <c r="AV130" i="145"/>
  <c r="AW130" i="145"/>
  <c r="AP131" i="145"/>
  <c r="AQ131" i="145"/>
  <c r="AR131" i="145"/>
  <c r="AS131" i="145"/>
  <c r="AT131" i="145"/>
  <c r="AU131" i="145"/>
  <c r="AV131" i="145"/>
  <c r="AW131" i="145"/>
  <c r="AP132" i="145"/>
  <c r="AQ132" i="145"/>
  <c r="AR132" i="145"/>
  <c r="AS132" i="145"/>
  <c r="AT132" i="145"/>
  <c r="AU132" i="145"/>
  <c r="AV132" i="145"/>
  <c r="AW132" i="145"/>
  <c r="AP133" i="145"/>
  <c r="AQ133" i="145"/>
  <c r="AR133" i="145"/>
  <c r="AS133" i="145"/>
  <c r="AT133" i="145"/>
  <c r="AU133" i="145"/>
  <c r="AV133" i="145"/>
  <c r="AW133" i="145"/>
  <c r="AP134" i="145"/>
  <c r="AQ134" i="145"/>
  <c r="AR134" i="145"/>
  <c r="AS134" i="145"/>
  <c r="AT134" i="145"/>
  <c r="AU134" i="145"/>
  <c r="AV134" i="145"/>
  <c r="AW134" i="145"/>
  <c r="AP135" i="145"/>
  <c r="AQ135" i="145"/>
  <c r="AR135" i="145"/>
  <c r="AS135" i="145"/>
  <c r="AT135" i="145"/>
  <c r="AU135" i="145"/>
  <c r="AV135" i="145"/>
  <c r="AW135" i="145"/>
  <c r="AP136" i="145"/>
  <c r="AQ136" i="145"/>
  <c r="AR136" i="145"/>
  <c r="AS136" i="145"/>
  <c r="AT136" i="145"/>
  <c r="AU136" i="145"/>
  <c r="AV136" i="145"/>
  <c r="AW136" i="145"/>
  <c r="AP137" i="145"/>
  <c r="AQ137" i="145"/>
  <c r="AR137" i="145"/>
  <c r="AS137" i="145"/>
  <c r="AT137" i="145"/>
  <c r="AU137" i="145"/>
  <c r="AV137" i="145"/>
  <c r="AW137" i="145"/>
  <c r="AP138" i="145"/>
  <c r="AQ138" i="145"/>
  <c r="AR138" i="145"/>
  <c r="AS138" i="145"/>
  <c r="AT138" i="145"/>
  <c r="AU138" i="145"/>
  <c r="AV138" i="145"/>
  <c r="AW138" i="145"/>
  <c r="AP139" i="145"/>
  <c r="AQ139" i="145"/>
  <c r="AR139" i="145"/>
  <c r="AS139" i="145"/>
  <c r="AT139" i="145"/>
  <c r="AU139" i="145"/>
  <c r="AV139" i="145"/>
  <c r="AW139" i="145"/>
  <c r="AP140" i="145"/>
  <c r="AQ140" i="145"/>
  <c r="AR140" i="145"/>
  <c r="AS140" i="145"/>
  <c r="AT140" i="145"/>
  <c r="AU140" i="145"/>
  <c r="AV140" i="145"/>
  <c r="AW140" i="145"/>
  <c r="AP141" i="145"/>
  <c r="AQ141" i="145"/>
  <c r="AR141" i="145"/>
  <c r="AS141" i="145"/>
  <c r="AT141" i="145"/>
  <c r="AU141" i="145"/>
  <c r="AV141" i="145"/>
  <c r="AW141" i="145"/>
  <c r="AP142" i="145"/>
  <c r="AQ142" i="145"/>
  <c r="AR142" i="145"/>
  <c r="AS142" i="145"/>
  <c r="AT142" i="145"/>
  <c r="AU142" i="145"/>
  <c r="AV142" i="145"/>
  <c r="AW142" i="145"/>
  <c r="AP143" i="145"/>
  <c r="AQ143" i="145"/>
  <c r="AR143" i="145"/>
  <c r="AS143" i="145"/>
  <c r="AT143" i="145"/>
  <c r="AU143" i="145"/>
  <c r="AV143" i="145"/>
  <c r="AW143" i="145"/>
  <c r="AP144" i="145"/>
  <c r="AQ144" i="145"/>
  <c r="AR144" i="145"/>
  <c r="AS144" i="145"/>
  <c r="AT144" i="145"/>
  <c r="AU144" i="145"/>
  <c r="AV144" i="145"/>
  <c r="AW144" i="145"/>
  <c r="AP145" i="145"/>
  <c r="AQ145" i="145"/>
  <c r="AR145" i="145"/>
  <c r="AS145" i="145"/>
  <c r="AT145" i="145"/>
  <c r="AU145" i="145"/>
  <c r="AV145" i="145"/>
  <c r="AW145" i="145"/>
  <c r="AP146" i="145"/>
  <c r="AQ146" i="145"/>
  <c r="AR146" i="145"/>
  <c r="AS146" i="145"/>
  <c r="AT146" i="145"/>
  <c r="AU146" i="145"/>
  <c r="AV146" i="145"/>
  <c r="AW146" i="145"/>
  <c r="AP147" i="145"/>
  <c r="AQ147" i="145"/>
  <c r="AR147" i="145"/>
  <c r="AS147" i="145"/>
  <c r="AT147" i="145"/>
  <c r="AU147" i="145"/>
  <c r="AV147" i="145"/>
  <c r="AW147" i="145"/>
  <c r="AP148" i="145"/>
  <c r="AQ148" i="145"/>
  <c r="AR148" i="145"/>
  <c r="AS148" i="145"/>
  <c r="AT148" i="145"/>
  <c r="AU148" i="145"/>
  <c r="AV148" i="145"/>
  <c r="AW148" i="145"/>
  <c r="AP149" i="145"/>
  <c r="AQ149" i="145"/>
  <c r="AR149" i="145"/>
  <c r="AS149" i="145"/>
  <c r="AT149" i="145"/>
  <c r="AU149" i="145"/>
  <c r="AV149" i="145"/>
  <c r="AW149" i="145"/>
  <c r="AP150" i="145"/>
  <c r="AQ150" i="145"/>
  <c r="AR150" i="145"/>
  <c r="AS150" i="145"/>
  <c r="AT150" i="145"/>
  <c r="AU150" i="145"/>
  <c r="AV150" i="145"/>
  <c r="AW150" i="145"/>
  <c r="AP151" i="145"/>
  <c r="AQ151" i="145"/>
  <c r="AR151" i="145"/>
  <c r="AS151" i="145"/>
  <c r="AT151" i="145"/>
  <c r="AU151" i="145"/>
  <c r="AV151" i="145"/>
  <c r="AW151" i="145"/>
  <c r="AP152" i="145"/>
  <c r="AQ152" i="145"/>
  <c r="AR152" i="145"/>
  <c r="AS152" i="145"/>
  <c r="AT152" i="145"/>
  <c r="AU152" i="145"/>
  <c r="AV152" i="145"/>
  <c r="AW152" i="145"/>
  <c r="AP153" i="145"/>
  <c r="AQ153" i="145"/>
  <c r="AR153" i="145"/>
  <c r="AS153" i="145"/>
  <c r="AT153" i="145"/>
  <c r="AU153" i="145"/>
  <c r="AV153" i="145"/>
  <c r="AW153" i="145"/>
  <c r="AP154" i="145"/>
  <c r="AQ154" i="145"/>
  <c r="AR154" i="145"/>
  <c r="AS154" i="145"/>
  <c r="AT154" i="145"/>
  <c r="AU154" i="145"/>
  <c r="AV154" i="145"/>
  <c r="AW154" i="145"/>
  <c r="AP155" i="145"/>
  <c r="AQ155" i="145"/>
  <c r="AR155" i="145"/>
  <c r="AS155" i="145"/>
  <c r="AT155" i="145"/>
  <c r="AU155" i="145"/>
  <c r="AV155" i="145"/>
  <c r="AW155" i="145"/>
  <c r="AP156" i="145"/>
  <c r="AQ156" i="145"/>
  <c r="AR156" i="145"/>
  <c r="AS156" i="145"/>
  <c r="AT156" i="145"/>
  <c r="AU156" i="145"/>
  <c r="AV156" i="145"/>
  <c r="AW156" i="145"/>
  <c r="AP157" i="145"/>
  <c r="AQ157" i="145"/>
  <c r="AR157" i="145"/>
  <c r="AS157" i="145"/>
  <c r="AT157" i="145"/>
  <c r="AU157" i="145"/>
  <c r="AV157" i="145"/>
  <c r="AW157" i="145"/>
  <c r="AP158" i="145"/>
  <c r="AQ158" i="145"/>
  <c r="AR158" i="145"/>
  <c r="AS158" i="145"/>
  <c r="AT158" i="145"/>
  <c r="AU158" i="145"/>
  <c r="AV158" i="145"/>
  <c r="AW158" i="145"/>
  <c r="AP159" i="145"/>
  <c r="AQ159" i="145"/>
  <c r="AR159" i="145"/>
  <c r="AS159" i="145"/>
  <c r="AT159" i="145"/>
  <c r="AU159" i="145"/>
  <c r="AV159" i="145"/>
  <c r="AW159" i="145"/>
  <c r="AP160" i="145"/>
  <c r="AQ160" i="145"/>
  <c r="AR160" i="145"/>
  <c r="AS160" i="145"/>
  <c r="AT160" i="145"/>
  <c r="AU160" i="145"/>
  <c r="AV160" i="145"/>
  <c r="AW160" i="145"/>
  <c r="AP161" i="145"/>
  <c r="AQ161" i="145"/>
  <c r="AR161" i="145"/>
  <c r="AS161" i="145"/>
  <c r="AT161" i="145"/>
  <c r="AU161" i="145"/>
  <c r="AV161" i="145"/>
  <c r="AW161" i="145"/>
  <c r="AP162" i="145"/>
  <c r="AQ162" i="145"/>
  <c r="AR162" i="145"/>
  <c r="AS162" i="145"/>
  <c r="AT162" i="145"/>
  <c r="AU162" i="145"/>
  <c r="AV162" i="145"/>
  <c r="AW162" i="145"/>
  <c r="AP163" i="145"/>
  <c r="AQ163" i="145"/>
  <c r="AR163" i="145"/>
  <c r="AS163" i="145"/>
  <c r="AT163" i="145"/>
  <c r="AU163" i="145"/>
  <c r="AV163" i="145"/>
  <c r="AW163" i="145"/>
  <c r="AP164" i="145"/>
  <c r="AQ164" i="145"/>
  <c r="AR164" i="145"/>
  <c r="AS164" i="145"/>
  <c r="AT164" i="145"/>
  <c r="AU164" i="145"/>
  <c r="AV164" i="145"/>
  <c r="AW164" i="145"/>
  <c r="AP165" i="145"/>
  <c r="AQ165" i="145"/>
  <c r="AR165" i="145"/>
  <c r="AS165" i="145"/>
  <c r="AT165" i="145"/>
  <c r="AU165" i="145"/>
  <c r="AV165" i="145"/>
  <c r="AW165" i="145"/>
  <c r="AP166" i="145"/>
  <c r="AQ166" i="145"/>
  <c r="AR166" i="145"/>
  <c r="AS166" i="145"/>
  <c r="AT166" i="145"/>
  <c r="AU166" i="145"/>
  <c r="AV166" i="145"/>
  <c r="AW166" i="145"/>
  <c r="AP167" i="145"/>
  <c r="AQ167" i="145"/>
  <c r="AR167" i="145"/>
  <c r="AS167" i="145"/>
  <c r="AT167" i="145"/>
  <c r="AU167" i="145"/>
  <c r="AV167" i="145"/>
  <c r="AW167" i="145"/>
  <c r="AP168" i="145"/>
  <c r="AQ168" i="145"/>
  <c r="AR168" i="145"/>
  <c r="AS168" i="145"/>
  <c r="AT168" i="145"/>
  <c r="AU168" i="145"/>
  <c r="AV168" i="145"/>
  <c r="AW168" i="145"/>
  <c r="AP169" i="145"/>
  <c r="AQ169" i="145"/>
  <c r="AR169" i="145"/>
  <c r="AS169" i="145"/>
  <c r="AT169" i="145"/>
  <c r="AU169" i="145"/>
  <c r="AV169" i="145"/>
  <c r="AW169" i="145"/>
  <c r="AP170" i="145"/>
  <c r="AQ170" i="145"/>
  <c r="AR170" i="145"/>
  <c r="AS170" i="145"/>
  <c r="AT170" i="145"/>
  <c r="AU170" i="145"/>
  <c r="AV170" i="145"/>
  <c r="AW170" i="145"/>
  <c r="AP171" i="145"/>
  <c r="AQ171" i="145"/>
  <c r="AR171" i="145"/>
  <c r="AS171" i="145"/>
  <c r="AT171" i="145"/>
  <c r="AU171" i="145"/>
  <c r="AV171" i="145"/>
  <c r="AW171" i="145"/>
  <c r="AP172" i="145"/>
  <c r="AQ172" i="145"/>
  <c r="AR172" i="145"/>
  <c r="AS172" i="145"/>
  <c r="AT172" i="145"/>
  <c r="AU172" i="145"/>
  <c r="AV172" i="145"/>
  <c r="AW172" i="145"/>
  <c r="AP173" i="145"/>
  <c r="AQ173" i="145"/>
  <c r="AR173" i="145"/>
  <c r="AS173" i="145"/>
  <c r="AT173" i="145"/>
  <c r="AU173" i="145"/>
  <c r="AV173" i="145"/>
  <c r="AW173" i="145"/>
  <c r="AP174" i="145"/>
  <c r="AQ174" i="145"/>
  <c r="AR174" i="145"/>
  <c r="AS174" i="145"/>
  <c r="AT174" i="145"/>
  <c r="AU174" i="145"/>
  <c r="AV174" i="145"/>
  <c r="AW174" i="145"/>
  <c r="AP175" i="145"/>
  <c r="AQ175" i="145"/>
  <c r="AR175" i="145"/>
  <c r="AS175" i="145"/>
  <c r="AT175" i="145"/>
  <c r="AU175" i="145"/>
  <c r="AV175" i="145"/>
  <c r="AW175" i="145"/>
  <c r="AP176" i="145"/>
  <c r="AQ176" i="145"/>
  <c r="AR176" i="145"/>
  <c r="AS176" i="145"/>
  <c r="AT176" i="145"/>
  <c r="AU176" i="145"/>
  <c r="AV176" i="145"/>
  <c r="AW176" i="145"/>
  <c r="AP177" i="145"/>
  <c r="AQ177" i="145"/>
  <c r="AR177" i="145"/>
  <c r="AS177" i="145"/>
  <c r="AT177" i="145"/>
  <c r="AU177" i="145"/>
  <c r="AV177" i="145"/>
  <c r="AW177" i="145"/>
  <c r="AP178" i="145"/>
  <c r="AQ178" i="145"/>
  <c r="AR178" i="145"/>
  <c r="AS178" i="145"/>
  <c r="AT178" i="145"/>
  <c r="AU178" i="145"/>
  <c r="AV178" i="145"/>
  <c r="AW178" i="145"/>
  <c r="AQ86" i="145"/>
  <c r="AR86" i="145"/>
  <c r="AS86" i="145"/>
  <c r="AT86" i="145"/>
  <c r="AU86" i="145"/>
  <c r="AV86" i="145"/>
  <c r="AW86" i="145"/>
  <c r="AP86" i="145"/>
  <c r="AP37" i="145"/>
  <c r="AQ37" i="145"/>
  <c r="AR37" i="145"/>
  <c r="AS37" i="145"/>
  <c r="AT37" i="145"/>
  <c r="AU37" i="145"/>
  <c r="AV37" i="145"/>
  <c r="AW37" i="145"/>
  <c r="AP38" i="145"/>
  <c r="AQ38" i="145"/>
  <c r="AR38" i="145"/>
  <c r="AS38" i="145"/>
  <c r="AT38" i="145"/>
  <c r="AU38" i="145"/>
  <c r="AV38" i="145"/>
  <c r="AW38" i="145"/>
  <c r="AP39" i="145"/>
  <c r="AQ39" i="145"/>
  <c r="AR39" i="145"/>
  <c r="AS39" i="145"/>
  <c r="AT39" i="145"/>
  <c r="AU39" i="145"/>
  <c r="AV39" i="145"/>
  <c r="AW39" i="145"/>
  <c r="AP40" i="145"/>
  <c r="AQ40" i="145"/>
  <c r="AR40" i="145"/>
  <c r="AS40" i="145"/>
  <c r="AT40" i="145"/>
  <c r="AU40" i="145"/>
  <c r="AV40" i="145"/>
  <c r="AW40" i="145"/>
  <c r="AP41" i="145"/>
  <c r="AQ41" i="145"/>
  <c r="AR41" i="145"/>
  <c r="AS41" i="145"/>
  <c r="AT41" i="145"/>
  <c r="AU41" i="145"/>
  <c r="AV41" i="145"/>
  <c r="AW41" i="145"/>
  <c r="AP42" i="145"/>
  <c r="AQ42" i="145"/>
  <c r="AR42" i="145"/>
  <c r="AS42" i="145"/>
  <c r="AT42" i="145"/>
  <c r="AU42" i="145"/>
  <c r="AV42" i="145"/>
  <c r="AW42" i="145"/>
  <c r="AP43" i="145"/>
  <c r="AQ43" i="145"/>
  <c r="AR43" i="145"/>
  <c r="AS43" i="145"/>
  <c r="AT43" i="145"/>
  <c r="AU43" i="145"/>
  <c r="AV43" i="145"/>
  <c r="AW43" i="145"/>
  <c r="AP44" i="145"/>
  <c r="AQ44" i="145"/>
  <c r="AR44" i="145"/>
  <c r="AS44" i="145"/>
  <c r="AT44" i="145"/>
  <c r="AU44" i="145"/>
  <c r="AV44" i="145"/>
  <c r="AW44" i="145"/>
  <c r="AP45" i="145"/>
  <c r="AQ45" i="145"/>
  <c r="AR45" i="145"/>
  <c r="AS45" i="145"/>
  <c r="AT45" i="145"/>
  <c r="AU45" i="145"/>
  <c r="AV45" i="145"/>
  <c r="AW45" i="145"/>
  <c r="AP46" i="145"/>
  <c r="AQ46" i="145"/>
  <c r="AR46" i="145"/>
  <c r="AS46" i="145"/>
  <c r="AT46" i="145"/>
  <c r="AU46" i="145"/>
  <c r="AV46" i="145"/>
  <c r="AW46" i="145"/>
  <c r="AP47" i="145"/>
  <c r="AQ47" i="145"/>
  <c r="AR47" i="145"/>
  <c r="AS47" i="145"/>
  <c r="AT47" i="145"/>
  <c r="AU47" i="145"/>
  <c r="AV47" i="145"/>
  <c r="AW47" i="145"/>
  <c r="AP48" i="145"/>
  <c r="AQ48" i="145"/>
  <c r="AR48" i="145"/>
  <c r="AS48" i="145"/>
  <c r="AT48" i="145"/>
  <c r="AU48" i="145"/>
  <c r="AV48" i="145"/>
  <c r="AW48" i="145"/>
  <c r="AP49" i="145"/>
  <c r="AQ49" i="145"/>
  <c r="AR49" i="145"/>
  <c r="AS49" i="145"/>
  <c r="AT49" i="145"/>
  <c r="AU49" i="145"/>
  <c r="AV49" i="145"/>
  <c r="AW49" i="145"/>
  <c r="AP50" i="145"/>
  <c r="AQ50" i="145"/>
  <c r="AR50" i="145"/>
  <c r="AS50" i="145"/>
  <c r="AT50" i="145"/>
  <c r="AU50" i="145"/>
  <c r="AV50" i="145"/>
  <c r="AW50" i="145"/>
  <c r="AP51" i="145"/>
  <c r="AQ51" i="145"/>
  <c r="AR51" i="145"/>
  <c r="AS51" i="145"/>
  <c r="AT51" i="145"/>
  <c r="AU51" i="145"/>
  <c r="AV51" i="145"/>
  <c r="AW51" i="145"/>
  <c r="AP52" i="145"/>
  <c r="AQ52" i="145"/>
  <c r="AR52" i="145"/>
  <c r="AS52" i="145"/>
  <c r="AT52" i="145"/>
  <c r="AU52" i="145"/>
  <c r="AV52" i="145"/>
  <c r="AW52" i="145"/>
  <c r="AP53" i="145"/>
  <c r="AQ53" i="145"/>
  <c r="AR53" i="145"/>
  <c r="AS53" i="145"/>
  <c r="AT53" i="145"/>
  <c r="AU53" i="145"/>
  <c r="AV53" i="145"/>
  <c r="AW53" i="145"/>
  <c r="AP54" i="145"/>
  <c r="AQ54" i="145"/>
  <c r="AR54" i="145"/>
  <c r="AS54" i="145"/>
  <c r="AT54" i="145"/>
  <c r="AU54" i="145"/>
  <c r="AV54" i="145"/>
  <c r="AW54" i="145"/>
  <c r="AP55" i="145"/>
  <c r="AQ55" i="145"/>
  <c r="AR55" i="145"/>
  <c r="AS55" i="145"/>
  <c r="AT55" i="145"/>
  <c r="AU55" i="145"/>
  <c r="AV55" i="145"/>
  <c r="AW55" i="145"/>
  <c r="AP56" i="145"/>
  <c r="AQ56" i="145"/>
  <c r="AR56" i="145"/>
  <c r="AS56" i="145"/>
  <c r="AT56" i="145"/>
  <c r="AU56" i="145"/>
  <c r="AV56" i="145"/>
  <c r="AW56" i="145"/>
  <c r="AP57" i="145"/>
  <c r="AQ57" i="145"/>
  <c r="AR57" i="145"/>
  <c r="AS57" i="145"/>
  <c r="AT57" i="145"/>
  <c r="AU57" i="145"/>
  <c r="AV57" i="145"/>
  <c r="AW57" i="145"/>
  <c r="AP58" i="145"/>
  <c r="AQ58" i="145"/>
  <c r="AR58" i="145"/>
  <c r="AS58" i="145"/>
  <c r="AT58" i="145"/>
  <c r="AU58" i="145"/>
  <c r="AV58" i="145"/>
  <c r="AW58" i="145"/>
  <c r="AP59" i="145"/>
  <c r="AQ59" i="145"/>
  <c r="AR59" i="145"/>
  <c r="AS59" i="145"/>
  <c r="AT59" i="145"/>
  <c r="AU59" i="145"/>
  <c r="AV59" i="145"/>
  <c r="AW59" i="145"/>
  <c r="AP60" i="145"/>
  <c r="AQ60" i="145"/>
  <c r="AR60" i="145"/>
  <c r="AS60" i="145"/>
  <c r="AT60" i="145"/>
  <c r="AU60" i="145"/>
  <c r="AV60" i="145"/>
  <c r="AW60" i="145"/>
  <c r="AP61" i="145"/>
  <c r="AQ61" i="145"/>
  <c r="AR61" i="145"/>
  <c r="AS61" i="145"/>
  <c r="AT61" i="145"/>
  <c r="AU61" i="145"/>
  <c r="AV61" i="145"/>
  <c r="AW61" i="145"/>
  <c r="AP62" i="145"/>
  <c r="AQ62" i="145"/>
  <c r="AR62" i="145"/>
  <c r="AS62" i="145"/>
  <c r="AT62" i="145"/>
  <c r="AU62" i="145"/>
  <c r="AV62" i="145"/>
  <c r="AW62" i="145"/>
  <c r="AP63" i="145"/>
  <c r="AQ63" i="145"/>
  <c r="AR63" i="145"/>
  <c r="AS63" i="145"/>
  <c r="AT63" i="145"/>
  <c r="AU63" i="145"/>
  <c r="AV63" i="145"/>
  <c r="AW63" i="145"/>
  <c r="AP64" i="145"/>
  <c r="AQ64" i="145"/>
  <c r="AR64" i="145"/>
  <c r="AS64" i="145"/>
  <c r="AT64" i="145"/>
  <c r="AU64" i="145"/>
  <c r="AV64" i="145"/>
  <c r="AW64" i="145"/>
  <c r="AP65" i="145"/>
  <c r="AQ65" i="145"/>
  <c r="AR65" i="145"/>
  <c r="AS65" i="145"/>
  <c r="AT65" i="145"/>
  <c r="AU65" i="145"/>
  <c r="AV65" i="145"/>
  <c r="AW65" i="145"/>
  <c r="AP66" i="145"/>
  <c r="AQ66" i="145"/>
  <c r="AR66" i="145"/>
  <c r="AS66" i="145"/>
  <c r="AT66" i="145"/>
  <c r="AU66" i="145"/>
  <c r="AV66" i="145"/>
  <c r="AW66" i="145"/>
  <c r="AP67" i="145"/>
  <c r="AQ67" i="145"/>
  <c r="AR67" i="145"/>
  <c r="AS67" i="145"/>
  <c r="AT67" i="145"/>
  <c r="AU67" i="145"/>
  <c r="AV67" i="145"/>
  <c r="AW67" i="145"/>
  <c r="AP68" i="145"/>
  <c r="AQ68" i="145"/>
  <c r="AR68" i="145"/>
  <c r="AS68" i="145"/>
  <c r="AT68" i="145"/>
  <c r="AU68" i="145"/>
  <c r="AV68" i="145"/>
  <c r="AW68" i="145"/>
  <c r="AP69" i="145"/>
  <c r="AQ69" i="145"/>
  <c r="AR69" i="145"/>
  <c r="AS69" i="145"/>
  <c r="AT69" i="145"/>
  <c r="AU69" i="145"/>
  <c r="AV69" i="145"/>
  <c r="AW69" i="145"/>
  <c r="AP70" i="145"/>
  <c r="AQ70" i="145"/>
  <c r="AR70" i="145"/>
  <c r="AS70" i="145"/>
  <c r="AT70" i="145"/>
  <c r="AU70" i="145"/>
  <c r="AV70" i="145"/>
  <c r="AW70" i="145"/>
  <c r="AP71" i="145"/>
  <c r="AQ71" i="145"/>
  <c r="AR71" i="145"/>
  <c r="AS71" i="145"/>
  <c r="AT71" i="145"/>
  <c r="AU71" i="145"/>
  <c r="AV71" i="145"/>
  <c r="AW71" i="145"/>
  <c r="AP72" i="145"/>
  <c r="AQ72" i="145"/>
  <c r="AR72" i="145"/>
  <c r="AS72" i="145"/>
  <c r="AT72" i="145"/>
  <c r="AU72" i="145"/>
  <c r="AV72" i="145"/>
  <c r="AW72" i="145"/>
  <c r="AP73" i="145"/>
  <c r="AQ73" i="145"/>
  <c r="AR73" i="145"/>
  <c r="AS73" i="145"/>
  <c r="AT73" i="145"/>
  <c r="AU73" i="145"/>
  <c r="AV73" i="145"/>
  <c r="AW73" i="145"/>
  <c r="AP74" i="145"/>
  <c r="AQ74" i="145"/>
  <c r="AR74" i="145"/>
  <c r="AS74" i="145"/>
  <c r="AT74" i="145"/>
  <c r="AU74" i="145"/>
  <c r="AV74" i="145"/>
  <c r="AW74" i="145"/>
  <c r="AP75" i="145"/>
  <c r="AQ75" i="145"/>
  <c r="AR75" i="145"/>
  <c r="AS75" i="145"/>
  <c r="AT75" i="145"/>
  <c r="AU75" i="145"/>
  <c r="AV75" i="145"/>
  <c r="AW75" i="145"/>
  <c r="AP76" i="145"/>
  <c r="AQ76" i="145"/>
  <c r="AR76" i="145"/>
  <c r="AS76" i="145"/>
  <c r="AT76" i="145"/>
  <c r="AU76" i="145"/>
  <c r="AV76" i="145"/>
  <c r="AW76" i="145"/>
  <c r="AP77" i="145"/>
  <c r="AQ77" i="145"/>
  <c r="AR77" i="145"/>
  <c r="AS77" i="145"/>
  <c r="AT77" i="145"/>
  <c r="AU77" i="145"/>
  <c r="AV77" i="145"/>
  <c r="AW77" i="145"/>
  <c r="AP78" i="145"/>
  <c r="AQ78" i="145"/>
  <c r="AR78" i="145"/>
  <c r="AS78" i="145"/>
  <c r="AT78" i="145"/>
  <c r="AU78" i="145"/>
  <c r="AV78" i="145"/>
  <c r="AW78" i="145"/>
  <c r="AP79" i="145"/>
  <c r="AQ79" i="145"/>
  <c r="AR79" i="145"/>
  <c r="AS79" i="145"/>
  <c r="AT79" i="145"/>
  <c r="AU79" i="145"/>
  <c r="AV79" i="145"/>
  <c r="AW79" i="145"/>
  <c r="AP80" i="145"/>
  <c r="AQ80" i="145"/>
  <c r="AR80" i="145"/>
  <c r="AS80" i="145"/>
  <c r="AT80" i="145"/>
  <c r="AU80" i="145"/>
  <c r="AV80" i="145"/>
  <c r="AW80" i="145"/>
  <c r="AP81" i="145"/>
  <c r="AQ81" i="145"/>
  <c r="AR81" i="145"/>
  <c r="AS81" i="145"/>
  <c r="AT81" i="145"/>
  <c r="AU81" i="145"/>
  <c r="AV81" i="145"/>
  <c r="AW81" i="145"/>
  <c r="AP82" i="145"/>
  <c r="AQ82" i="145"/>
  <c r="AR82" i="145"/>
  <c r="AS82" i="145"/>
  <c r="AT82" i="145"/>
  <c r="AU82" i="145"/>
  <c r="AV82" i="145"/>
  <c r="AW82" i="145"/>
  <c r="AP83" i="145"/>
  <c r="AQ83" i="145"/>
  <c r="AR83" i="145"/>
  <c r="AS83" i="145"/>
  <c r="AT83" i="145"/>
  <c r="AU83" i="145"/>
  <c r="AV83" i="145"/>
  <c r="AW83" i="145"/>
  <c r="AQ36" i="145"/>
  <c r="AR36" i="145"/>
  <c r="AS36" i="145"/>
  <c r="AT36" i="145"/>
  <c r="AU36" i="145"/>
  <c r="AV36" i="145"/>
  <c r="AW36" i="145"/>
  <c r="AP36" i="145"/>
  <c r="AP5" i="145"/>
  <c r="AQ5" i="145"/>
  <c r="AR5" i="145"/>
  <c r="AS5" i="145"/>
  <c r="AT5" i="145"/>
  <c r="AU5" i="145"/>
  <c r="AV5" i="145"/>
  <c r="AW5" i="145"/>
  <c r="AP6" i="145"/>
  <c r="AQ6" i="145"/>
  <c r="AR6" i="145"/>
  <c r="AS6" i="145"/>
  <c r="AT6" i="145"/>
  <c r="AU6" i="145"/>
  <c r="AV6" i="145"/>
  <c r="AW6" i="145"/>
  <c r="AP7" i="145"/>
  <c r="AQ7" i="145"/>
  <c r="AR7" i="145"/>
  <c r="AS7" i="145"/>
  <c r="AT7" i="145"/>
  <c r="AU7" i="145"/>
  <c r="AV7" i="145"/>
  <c r="AW7" i="145"/>
  <c r="AP8" i="145"/>
  <c r="AQ8" i="145"/>
  <c r="AR8" i="145"/>
  <c r="AS8" i="145"/>
  <c r="AT8" i="145"/>
  <c r="AU8" i="145"/>
  <c r="AV8" i="145"/>
  <c r="AW8" i="145"/>
  <c r="AP9" i="145"/>
  <c r="AQ9" i="145"/>
  <c r="AR9" i="145"/>
  <c r="AS9" i="145"/>
  <c r="AT9" i="145"/>
  <c r="AU9" i="145"/>
  <c r="AV9" i="145"/>
  <c r="AW9" i="145"/>
  <c r="AP10" i="145"/>
  <c r="AQ10" i="145"/>
  <c r="AR10" i="145"/>
  <c r="AS10" i="145"/>
  <c r="AT10" i="145"/>
  <c r="AU10" i="145"/>
  <c r="AV10" i="145"/>
  <c r="AW10" i="145"/>
  <c r="AP11" i="145"/>
  <c r="AQ11" i="145"/>
  <c r="AR11" i="145"/>
  <c r="AS11" i="145"/>
  <c r="AT11" i="145"/>
  <c r="AU11" i="145"/>
  <c r="AV11" i="145"/>
  <c r="AW11" i="145"/>
  <c r="AP12" i="145"/>
  <c r="AQ12" i="145"/>
  <c r="AR12" i="145"/>
  <c r="AS12" i="145"/>
  <c r="AT12" i="145"/>
  <c r="AU12" i="145"/>
  <c r="AV12" i="145"/>
  <c r="AW12" i="145"/>
  <c r="AP13" i="145"/>
  <c r="AQ13" i="145"/>
  <c r="AR13" i="145"/>
  <c r="AS13" i="145"/>
  <c r="AT13" i="145"/>
  <c r="AU13" i="145"/>
  <c r="AV13" i="145"/>
  <c r="AW13" i="145"/>
  <c r="AP14" i="145"/>
  <c r="AQ14" i="145"/>
  <c r="AR14" i="145"/>
  <c r="AS14" i="145"/>
  <c r="AT14" i="145"/>
  <c r="AU14" i="145"/>
  <c r="AV14" i="145"/>
  <c r="AW14" i="145"/>
  <c r="AP15" i="145"/>
  <c r="AQ15" i="145"/>
  <c r="AR15" i="145"/>
  <c r="AS15" i="145"/>
  <c r="AT15" i="145"/>
  <c r="AU15" i="145"/>
  <c r="AV15" i="145"/>
  <c r="AW15" i="145"/>
  <c r="AP16" i="145"/>
  <c r="AQ16" i="145"/>
  <c r="AR16" i="145"/>
  <c r="AS16" i="145"/>
  <c r="AT16" i="145"/>
  <c r="AU16" i="145"/>
  <c r="AV16" i="145"/>
  <c r="AW16" i="145"/>
  <c r="AP17" i="145"/>
  <c r="AQ17" i="145"/>
  <c r="AR17" i="145"/>
  <c r="AS17" i="145"/>
  <c r="AT17" i="145"/>
  <c r="AU17" i="145"/>
  <c r="AV17" i="145"/>
  <c r="AW17" i="145"/>
  <c r="AP18" i="145"/>
  <c r="AQ18" i="145"/>
  <c r="AR18" i="145"/>
  <c r="AS18" i="145"/>
  <c r="AT18" i="145"/>
  <c r="AU18" i="145"/>
  <c r="AV18" i="145"/>
  <c r="AW18" i="145"/>
  <c r="AP19" i="145"/>
  <c r="AQ19" i="145"/>
  <c r="AR19" i="145"/>
  <c r="AS19" i="145"/>
  <c r="AT19" i="145"/>
  <c r="AU19" i="145"/>
  <c r="AV19" i="145"/>
  <c r="AW19" i="145"/>
  <c r="AP20" i="145"/>
  <c r="AQ20" i="145"/>
  <c r="AR20" i="145"/>
  <c r="AS20" i="145"/>
  <c r="AT20" i="145"/>
  <c r="AU20" i="145"/>
  <c r="AV20" i="145"/>
  <c r="AW20" i="145"/>
  <c r="AP21" i="145"/>
  <c r="AQ21" i="145"/>
  <c r="AR21" i="145"/>
  <c r="AS21" i="145"/>
  <c r="AT21" i="145"/>
  <c r="AU21" i="145"/>
  <c r="AV21" i="145"/>
  <c r="AW21" i="145"/>
  <c r="AP22" i="145"/>
  <c r="AQ22" i="145"/>
  <c r="AR22" i="145"/>
  <c r="AS22" i="145"/>
  <c r="AT22" i="145"/>
  <c r="AU22" i="145"/>
  <c r="AV22" i="145"/>
  <c r="AW22" i="145"/>
  <c r="AP23" i="145"/>
  <c r="AQ23" i="145"/>
  <c r="AR23" i="145"/>
  <c r="AS23" i="145"/>
  <c r="AT23" i="145"/>
  <c r="AU23" i="145"/>
  <c r="AV23" i="145"/>
  <c r="AW23" i="145"/>
  <c r="AP24" i="145"/>
  <c r="AQ24" i="145"/>
  <c r="AR24" i="145"/>
  <c r="AS24" i="145"/>
  <c r="AT24" i="145"/>
  <c r="AU24" i="145"/>
  <c r="AV24" i="145"/>
  <c r="AW24" i="145"/>
  <c r="AP25" i="145"/>
  <c r="AQ25" i="145"/>
  <c r="AR25" i="145"/>
  <c r="AS25" i="145"/>
  <c r="AT25" i="145"/>
  <c r="AU25" i="145"/>
  <c r="AV25" i="145"/>
  <c r="AW25" i="145"/>
  <c r="AP26" i="145"/>
  <c r="AQ26" i="145"/>
  <c r="AR26" i="145"/>
  <c r="AS26" i="145"/>
  <c r="AT26" i="145"/>
  <c r="AU26" i="145"/>
  <c r="AV26" i="145"/>
  <c r="AW26" i="145"/>
  <c r="AP27" i="145"/>
  <c r="AQ27" i="145"/>
  <c r="AR27" i="145"/>
  <c r="AS27" i="145"/>
  <c r="AT27" i="145"/>
  <c r="AU27" i="145"/>
  <c r="AV27" i="145"/>
  <c r="AW27" i="145"/>
  <c r="AP28" i="145"/>
  <c r="AQ28" i="145"/>
  <c r="AR28" i="145"/>
  <c r="AS28" i="145"/>
  <c r="AT28" i="145"/>
  <c r="AU28" i="145"/>
  <c r="AV28" i="145"/>
  <c r="AW28" i="145"/>
  <c r="AP29" i="145"/>
  <c r="AQ29" i="145"/>
  <c r="AR29" i="145"/>
  <c r="AS29" i="145"/>
  <c r="AT29" i="145"/>
  <c r="AU29" i="145"/>
  <c r="AV29" i="145"/>
  <c r="AW29" i="145"/>
  <c r="AP30" i="145"/>
  <c r="AQ30" i="145"/>
  <c r="AR30" i="145"/>
  <c r="AS30" i="145"/>
  <c r="AT30" i="145"/>
  <c r="AU30" i="145"/>
  <c r="AV30" i="145"/>
  <c r="AW30" i="145"/>
  <c r="AP31" i="145"/>
  <c r="AQ31" i="145"/>
  <c r="AR31" i="145"/>
  <c r="AS31" i="145"/>
  <c r="AT31" i="145"/>
  <c r="AU31" i="145"/>
  <c r="AV31" i="145"/>
  <c r="AW31" i="145"/>
  <c r="AP32" i="145"/>
  <c r="AQ32" i="145"/>
  <c r="AR32" i="145"/>
  <c r="AS32" i="145"/>
  <c r="AT32" i="145"/>
  <c r="AU32" i="145"/>
  <c r="AV32" i="145"/>
  <c r="AW32" i="145"/>
  <c r="AP33" i="145"/>
  <c r="AQ33" i="145"/>
  <c r="AR33" i="145"/>
  <c r="AS33" i="145"/>
  <c r="AT33" i="145"/>
  <c r="AU33" i="145"/>
  <c r="AV33" i="145"/>
  <c r="AW33" i="145"/>
  <c r="AQ4" i="145"/>
  <c r="AR4" i="145"/>
  <c r="AS4" i="145"/>
  <c r="AT4" i="145"/>
  <c r="AU4" i="145"/>
  <c r="AV4" i="145"/>
  <c r="AW4" i="145"/>
  <c r="AP4" i="145"/>
  <c r="AF37" i="145"/>
  <c r="AG37" i="145"/>
  <c r="AH37" i="145"/>
  <c r="AI37" i="145"/>
  <c r="AJ37" i="145"/>
  <c r="AK37" i="145"/>
  <c r="AL37" i="145"/>
  <c r="AM37" i="145"/>
  <c r="AF38" i="145"/>
  <c r="AG38" i="145"/>
  <c r="AH38" i="145"/>
  <c r="AI38" i="145"/>
  <c r="AJ38" i="145"/>
  <c r="AK38" i="145"/>
  <c r="AL38" i="145"/>
  <c r="AM38" i="145"/>
  <c r="AF39" i="145"/>
  <c r="AG39" i="145"/>
  <c r="AH39" i="145"/>
  <c r="AI39" i="145"/>
  <c r="AJ39" i="145"/>
  <c r="AK39" i="145"/>
  <c r="AL39" i="145"/>
  <c r="AM39" i="145"/>
  <c r="AF40" i="145"/>
  <c r="AG40" i="145"/>
  <c r="AH40" i="145"/>
  <c r="AI40" i="145"/>
  <c r="AJ40" i="145"/>
  <c r="AK40" i="145"/>
  <c r="AL40" i="145"/>
  <c r="AM40" i="145"/>
  <c r="AF41" i="145"/>
  <c r="AG41" i="145"/>
  <c r="AH41" i="145"/>
  <c r="AI41" i="145"/>
  <c r="AJ41" i="145"/>
  <c r="AK41" i="145"/>
  <c r="AL41" i="145"/>
  <c r="AM41" i="145"/>
  <c r="AF42" i="145"/>
  <c r="AG42" i="145"/>
  <c r="AH42" i="145"/>
  <c r="AI42" i="145"/>
  <c r="AJ42" i="145"/>
  <c r="AK42" i="145"/>
  <c r="AL42" i="145"/>
  <c r="AM42" i="145"/>
  <c r="AF43" i="145"/>
  <c r="AG43" i="145"/>
  <c r="AH43" i="145"/>
  <c r="AI43" i="145"/>
  <c r="AJ43" i="145"/>
  <c r="AK43" i="145"/>
  <c r="AL43" i="145"/>
  <c r="AM43" i="145"/>
  <c r="AF44" i="145"/>
  <c r="AG44" i="145"/>
  <c r="AH44" i="145"/>
  <c r="AI44" i="145"/>
  <c r="AJ44" i="145"/>
  <c r="AK44" i="145"/>
  <c r="AL44" i="145"/>
  <c r="AM44" i="145"/>
  <c r="AF45" i="145"/>
  <c r="AG45" i="145"/>
  <c r="AH45" i="145"/>
  <c r="AI45" i="145"/>
  <c r="AJ45" i="145"/>
  <c r="AK45" i="145"/>
  <c r="AL45" i="145"/>
  <c r="AM45" i="145"/>
  <c r="AF46" i="145"/>
  <c r="AG46" i="145"/>
  <c r="AH46" i="145"/>
  <c r="AI46" i="145"/>
  <c r="AJ46" i="145"/>
  <c r="AK46" i="145"/>
  <c r="AL46" i="145"/>
  <c r="AM46" i="145"/>
  <c r="AF47" i="145"/>
  <c r="AG47" i="145"/>
  <c r="AH47" i="145"/>
  <c r="AI47" i="145"/>
  <c r="AJ47" i="145"/>
  <c r="AK47" i="145"/>
  <c r="AL47" i="145"/>
  <c r="AM47" i="145"/>
  <c r="AF48" i="145"/>
  <c r="AG48" i="145"/>
  <c r="AH48" i="145"/>
  <c r="AI48" i="145"/>
  <c r="AJ48" i="145"/>
  <c r="AK48" i="145"/>
  <c r="AL48" i="145"/>
  <c r="AM48" i="145"/>
  <c r="AF49" i="145"/>
  <c r="AG49" i="145"/>
  <c r="AH49" i="145"/>
  <c r="AI49" i="145"/>
  <c r="AJ49" i="145"/>
  <c r="AK49" i="145"/>
  <c r="AL49" i="145"/>
  <c r="AM49" i="145"/>
  <c r="AF50" i="145"/>
  <c r="AG50" i="145"/>
  <c r="AH50" i="145"/>
  <c r="AI50" i="145"/>
  <c r="AJ50" i="145"/>
  <c r="AK50" i="145"/>
  <c r="AL50" i="145"/>
  <c r="AM50" i="145"/>
  <c r="AF51" i="145"/>
  <c r="AG51" i="145"/>
  <c r="AH51" i="145"/>
  <c r="AI51" i="145"/>
  <c r="AJ51" i="145"/>
  <c r="AK51" i="145"/>
  <c r="AL51" i="145"/>
  <c r="AM51" i="145"/>
  <c r="AF52" i="145"/>
  <c r="AG52" i="145"/>
  <c r="AH52" i="145"/>
  <c r="AI52" i="145"/>
  <c r="AJ52" i="145"/>
  <c r="AK52" i="145"/>
  <c r="AL52" i="145"/>
  <c r="AM52" i="145"/>
  <c r="AF53" i="145"/>
  <c r="AG53" i="145"/>
  <c r="AH53" i="145"/>
  <c r="AI53" i="145"/>
  <c r="AJ53" i="145"/>
  <c r="AK53" i="145"/>
  <c r="AL53" i="145"/>
  <c r="AM53" i="145"/>
  <c r="AF54" i="145"/>
  <c r="AG54" i="145"/>
  <c r="AH54" i="145"/>
  <c r="AI54" i="145"/>
  <c r="AJ54" i="145"/>
  <c r="AK54" i="145"/>
  <c r="AL54" i="145"/>
  <c r="AM54" i="145"/>
  <c r="AF55" i="145"/>
  <c r="AG55" i="145"/>
  <c r="AH55" i="145"/>
  <c r="AI55" i="145"/>
  <c r="AJ55" i="145"/>
  <c r="AK55" i="145"/>
  <c r="AL55" i="145"/>
  <c r="AM55" i="145"/>
  <c r="AF56" i="145"/>
  <c r="AG56" i="145"/>
  <c r="AH56" i="145"/>
  <c r="AI56" i="145"/>
  <c r="AJ56" i="145"/>
  <c r="AK56" i="145"/>
  <c r="AL56" i="145"/>
  <c r="AM56" i="145"/>
  <c r="AF57" i="145"/>
  <c r="AG57" i="145"/>
  <c r="AH57" i="145"/>
  <c r="AI57" i="145"/>
  <c r="AJ57" i="145"/>
  <c r="AK57" i="145"/>
  <c r="AL57" i="145"/>
  <c r="AM57" i="145"/>
  <c r="AF58" i="145"/>
  <c r="AG58" i="145"/>
  <c r="AH58" i="145"/>
  <c r="AI58" i="145"/>
  <c r="AJ58" i="145"/>
  <c r="AK58" i="145"/>
  <c r="AL58" i="145"/>
  <c r="AM58" i="145"/>
  <c r="AF59" i="145"/>
  <c r="AG59" i="145"/>
  <c r="AH59" i="145"/>
  <c r="AI59" i="145"/>
  <c r="AJ59" i="145"/>
  <c r="AK59" i="145"/>
  <c r="AL59" i="145"/>
  <c r="AM59" i="145"/>
  <c r="AF60" i="145"/>
  <c r="AG60" i="145"/>
  <c r="AH60" i="145"/>
  <c r="AI60" i="145"/>
  <c r="AJ60" i="145"/>
  <c r="AK60" i="145"/>
  <c r="AL60" i="145"/>
  <c r="AM60" i="145"/>
  <c r="AF61" i="145"/>
  <c r="AG61" i="145"/>
  <c r="AH61" i="145"/>
  <c r="AI61" i="145"/>
  <c r="AJ61" i="145"/>
  <c r="AK61" i="145"/>
  <c r="AL61" i="145"/>
  <c r="AM61" i="145"/>
  <c r="AF62" i="145"/>
  <c r="AG62" i="145"/>
  <c r="AH62" i="145"/>
  <c r="AI62" i="145"/>
  <c r="AJ62" i="145"/>
  <c r="AK62" i="145"/>
  <c r="AL62" i="145"/>
  <c r="AM62" i="145"/>
  <c r="AF63" i="145"/>
  <c r="AG63" i="145"/>
  <c r="AH63" i="145"/>
  <c r="AI63" i="145"/>
  <c r="AJ63" i="145"/>
  <c r="AK63" i="145"/>
  <c r="AL63" i="145"/>
  <c r="AM63" i="145"/>
  <c r="AF64" i="145"/>
  <c r="AG64" i="145"/>
  <c r="AH64" i="145"/>
  <c r="AI64" i="145"/>
  <c r="AJ64" i="145"/>
  <c r="AK64" i="145"/>
  <c r="AL64" i="145"/>
  <c r="AM64" i="145"/>
  <c r="AF65" i="145"/>
  <c r="AG65" i="145"/>
  <c r="AH65" i="145"/>
  <c r="AI65" i="145"/>
  <c r="AJ65" i="145"/>
  <c r="AK65" i="145"/>
  <c r="AL65" i="145"/>
  <c r="AM65" i="145"/>
  <c r="AF66" i="145"/>
  <c r="AG66" i="145"/>
  <c r="AH66" i="145"/>
  <c r="AI66" i="145"/>
  <c r="AJ66" i="145"/>
  <c r="AK66" i="145"/>
  <c r="AL66" i="145"/>
  <c r="AM66" i="145"/>
  <c r="AF67" i="145"/>
  <c r="AG67" i="145"/>
  <c r="AH67" i="145"/>
  <c r="AI67" i="145"/>
  <c r="AJ67" i="145"/>
  <c r="AK67" i="145"/>
  <c r="AL67" i="145"/>
  <c r="AM67" i="145"/>
  <c r="AF68" i="145"/>
  <c r="AG68" i="145"/>
  <c r="AH68" i="145"/>
  <c r="AI68" i="145"/>
  <c r="AJ68" i="145"/>
  <c r="AK68" i="145"/>
  <c r="AL68" i="145"/>
  <c r="AM68" i="145"/>
  <c r="AF69" i="145"/>
  <c r="AG69" i="145"/>
  <c r="AH69" i="145"/>
  <c r="AI69" i="145"/>
  <c r="AJ69" i="145"/>
  <c r="AK69" i="145"/>
  <c r="AL69" i="145"/>
  <c r="AM69" i="145"/>
  <c r="AF70" i="145"/>
  <c r="AG70" i="145"/>
  <c r="AH70" i="145"/>
  <c r="AI70" i="145"/>
  <c r="AJ70" i="145"/>
  <c r="AK70" i="145"/>
  <c r="AL70" i="145"/>
  <c r="AM70" i="145"/>
  <c r="AF71" i="145"/>
  <c r="AG71" i="145"/>
  <c r="AH71" i="145"/>
  <c r="AI71" i="145"/>
  <c r="AJ71" i="145"/>
  <c r="AK71" i="145"/>
  <c r="AL71" i="145"/>
  <c r="AM71" i="145"/>
  <c r="AF72" i="145"/>
  <c r="AG72" i="145"/>
  <c r="AH72" i="145"/>
  <c r="AI72" i="145"/>
  <c r="AJ72" i="145"/>
  <c r="AK72" i="145"/>
  <c r="AL72" i="145"/>
  <c r="AM72" i="145"/>
  <c r="AF73" i="145"/>
  <c r="AG73" i="145"/>
  <c r="AH73" i="145"/>
  <c r="AI73" i="145"/>
  <c r="AJ73" i="145"/>
  <c r="AK73" i="145"/>
  <c r="AL73" i="145"/>
  <c r="AM73" i="145"/>
  <c r="AF74" i="145"/>
  <c r="AG74" i="145"/>
  <c r="AH74" i="145"/>
  <c r="AI74" i="145"/>
  <c r="AJ74" i="145"/>
  <c r="AK74" i="145"/>
  <c r="AL74" i="145"/>
  <c r="AM74" i="145"/>
  <c r="AF75" i="145"/>
  <c r="AG75" i="145"/>
  <c r="AH75" i="145"/>
  <c r="AI75" i="145"/>
  <c r="AJ75" i="145"/>
  <c r="AK75" i="145"/>
  <c r="AL75" i="145"/>
  <c r="AM75" i="145"/>
  <c r="AF76" i="145"/>
  <c r="AG76" i="145"/>
  <c r="AH76" i="145"/>
  <c r="AI76" i="145"/>
  <c r="AJ76" i="145"/>
  <c r="AK76" i="145"/>
  <c r="AL76" i="145"/>
  <c r="AM76" i="145"/>
  <c r="AF77" i="145"/>
  <c r="AG77" i="145"/>
  <c r="AH77" i="145"/>
  <c r="AI77" i="145"/>
  <c r="AJ77" i="145"/>
  <c r="AK77" i="145"/>
  <c r="AL77" i="145"/>
  <c r="AM77" i="145"/>
  <c r="AF78" i="145"/>
  <c r="AG78" i="145"/>
  <c r="AH78" i="145"/>
  <c r="AI78" i="145"/>
  <c r="AJ78" i="145"/>
  <c r="AK78" i="145"/>
  <c r="AL78" i="145"/>
  <c r="AM78" i="145"/>
  <c r="AF79" i="145"/>
  <c r="AG79" i="145"/>
  <c r="AH79" i="145"/>
  <c r="AI79" i="145"/>
  <c r="AJ79" i="145"/>
  <c r="AK79" i="145"/>
  <c r="AL79" i="145"/>
  <c r="AM79" i="145"/>
  <c r="AF80" i="145"/>
  <c r="AG80" i="145"/>
  <c r="AH80" i="145"/>
  <c r="AI80" i="145"/>
  <c r="AJ80" i="145"/>
  <c r="AK80" i="145"/>
  <c r="AL80" i="145"/>
  <c r="AM80" i="145"/>
  <c r="AF81" i="145"/>
  <c r="AG81" i="145"/>
  <c r="AH81" i="145"/>
  <c r="AI81" i="145"/>
  <c r="AJ81" i="145"/>
  <c r="AK81" i="145"/>
  <c r="AL81" i="145"/>
  <c r="AM81" i="145"/>
  <c r="AF82" i="145"/>
  <c r="AG82" i="145"/>
  <c r="AH82" i="145"/>
  <c r="AI82" i="145"/>
  <c r="AJ82" i="145"/>
  <c r="AK82" i="145"/>
  <c r="AL82" i="145"/>
  <c r="AM82" i="145"/>
  <c r="AF83" i="145"/>
  <c r="AG83" i="145"/>
  <c r="AH83" i="145"/>
  <c r="AI83" i="145"/>
  <c r="AJ83" i="145"/>
  <c r="AK83" i="145"/>
  <c r="AL83" i="145"/>
  <c r="AM83" i="145"/>
  <c r="AF84" i="145"/>
  <c r="AG84" i="145"/>
  <c r="AH84" i="145"/>
  <c r="AI84" i="145"/>
  <c r="AJ84" i="145"/>
  <c r="AK84" i="145"/>
  <c r="AL84" i="145"/>
  <c r="AM84" i="145"/>
  <c r="AF85" i="145"/>
  <c r="AG85" i="145"/>
  <c r="AH85" i="145"/>
  <c r="AI85" i="145"/>
  <c r="AJ85" i="145"/>
  <c r="AK85" i="145"/>
  <c r="AL85" i="145"/>
  <c r="AM85" i="145"/>
  <c r="AF86" i="145"/>
  <c r="AG86" i="145"/>
  <c r="AH86" i="145"/>
  <c r="AI86" i="145"/>
  <c r="AJ86" i="145"/>
  <c r="AK86" i="145"/>
  <c r="AL86" i="145"/>
  <c r="AM86" i="145"/>
  <c r="AF87" i="145"/>
  <c r="AG87" i="145"/>
  <c r="AH87" i="145"/>
  <c r="AI87" i="145"/>
  <c r="AJ87" i="145"/>
  <c r="AK87" i="145"/>
  <c r="AL87" i="145"/>
  <c r="AM87" i="145"/>
  <c r="AF88" i="145"/>
  <c r="AG88" i="145"/>
  <c r="AH88" i="145"/>
  <c r="AI88" i="145"/>
  <c r="AJ88" i="145"/>
  <c r="AK88" i="145"/>
  <c r="AL88" i="145"/>
  <c r="AM88" i="145"/>
  <c r="AF89" i="145"/>
  <c r="AG89" i="145"/>
  <c r="AH89" i="145"/>
  <c r="AI89" i="145"/>
  <c r="AJ89" i="145"/>
  <c r="AK89" i="145"/>
  <c r="AL89" i="145"/>
  <c r="AM89" i="145"/>
  <c r="AF90" i="145"/>
  <c r="AG90" i="145"/>
  <c r="AH90" i="145"/>
  <c r="AI90" i="145"/>
  <c r="AJ90" i="145"/>
  <c r="AK90" i="145"/>
  <c r="AL90" i="145"/>
  <c r="AM90" i="145"/>
  <c r="AF91" i="145"/>
  <c r="AG91" i="145"/>
  <c r="AH91" i="145"/>
  <c r="AI91" i="145"/>
  <c r="AJ91" i="145"/>
  <c r="AK91" i="145"/>
  <c r="AL91" i="145"/>
  <c r="AM91" i="145"/>
  <c r="AF92" i="145"/>
  <c r="AG92" i="145"/>
  <c r="AH92" i="145"/>
  <c r="AI92" i="145"/>
  <c r="AJ92" i="145"/>
  <c r="AK92" i="145"/>
  <c r="AL92" i="145"/>
  <c r="AM92" i="145"/>
  <c r="AF93" i="145"/>
  <c r="AG93" i="145"/>
  <c r="AH93" i="145"/>
  <c r="AI93" i="145"/>
  <c r="AJ93" i="145"/>
  <c r="AK93" i="145"/>
  <c r="AL93" i="145"/>
  <c r="AM93" i="145"/>
  <c r="AF94" i="145"/>
  <c r="AG94" i="145"/>
  <c r="AH94" i="145"/>
  <c r="AI94" i="145"/>
  <c r="AJ94" i="145"/>
  <c r="AK94" i="145"/>
  <c r="AL94" i="145"/>
  <c r="AM94" i="145"/>
  <c r="AF95" i="145"/>
  <c r="AG95" i="145"/>
  <c r="AH95" i="145"/>
  <c r="AI95" i="145"/>
  <c r="AJ95" i="145"/>
  <c r="AK95" i="145"/>
  <c r="AL95" i="145"/>
  <c r="AM95" i="145"/>
  <c r="AF96" i="145"/>
  <c r="AG96" i="145"/>
  <c r="AH96" i="145"/>
  <c r="AI96" i="145"/>
  <c r="AJ96" i="145"/>
  <c r="AK96" i="145"/>
  <c r="AL96" i="145"/>
  <c r="AM96" i="145"/>
  <c r="AF97" i="145"/>
  <c r="AG97" i="145"/>
  <c r="AH97" i="145"/>
  <c r="AI97" i="145"/>
  <c r="AJ97" i="145"/>
  <c r="AK97" i="145"/>
  <c r="AL97" i="145"/>
  <c r="AM97" i="145"/>
  <c r="AF98" i="145"/>
  <c r="AG98" i="145"/>
  <c r="AH98" i="145"/>
  <c r="AI98" i="145"/>
  <c r="AJ98" i="145"/>
  <c r="AK98" i="145"/>
  <c r="AL98" i="145"/>
  <c r="AM98" i="145"/>
  <c r="AF99" i="145"/>
  <c r="AG99" i="145"/>
  <c r="AH99" i="145"/>
  <c r="AI99" i="145"/>
  <c r="AJ99" i="145"/>
  <c r="AK99" i="145"/>
  <c r="AL99" i="145"/>
  <c r="AM99" i="145"/>
  <c r="AF100" i="145"/>
  <c r="AG100" i="145"/>
  <c r="AH100" i="145"/>
  <c r="AI100" i="145"/>
  <c r="AJ100" i="145"/>
  <c r="AK100" i="145"/>
  <c r="AL100" i="145"/>
  <c r="AM100" i="145"/>
  <c r="AF101" i="145"/>
  <c r="AG101" i="145"/>
  <c r="AH101" i="145"/>
  <c r="AI101" i="145"/>
  <c r="AJ101" i="145"/>
  <c r="AK101" i="145"/>
  <c r="AL101" i="145"/>
  <c r="AM101" i="145"/>
  <c r="AF102" i="145"/>
  <c r="AG102" i="145"/>
  <c r="AH102" i="145"/>
  <c r="AI102" i="145"/>
  <c r="AJ102" i="145"/>
  <c r="AK102" i="145"/>
  <c r="AL102" i="145"/>
  <c r="AM102" i="145"/>
  <c r="AF103" i="145"/>
  <c r="AG103" i="145"/>
  <c r="AH103" i="145"/>
  <c r="AI103" i="145"/>
  <c r="AJ103" i="145"/>
  <c r="AK103" i="145"/>
  <c r="AL103" i="145"/>
  <c r="AM103" i="145"/>
  <c r="AF104" i="145"/>
  <c r="AG104" i="145"/>
  <c r="AH104" i="145"/>
  <c r="AI104" i="145"/>
  <c r="AJ104" i="145"/>
  <c r="AK104" i="145"/>
  <c r="AL104" i="145"/>
  <c r="AM104" i="145"/>
  <c r="AF105" i="145"/>
  <c r="AG105" i="145"/>
  <c r="AH105" i="145"/>
  <c r="AI105" i="145"/>
  <c r="AJ105" i="145"/>
  <c r="AK105" i="145"/>
  <c r="AL105" i="145"/>
  <c r="AM105" i="145"/>
  <c r="AF106" i="145"/>
  <c r="AG106" i="145"/>
  <c r="AH106" i="145"/>
  <c r="AI106" i="145"/>
  <c r="AJ106" i="145"/>
  <c r="AK106" i="145"/>
  <c r="AL106" i="145"/>
  <c r="AM106" i="145"/>
  <c r="AF107" i="145"/>
  <c r="AG107" i="145"/>
  <c r="AH107" i="145"/>
  <c r="AI107" i="145"/>
  <c r="AJ107" i="145"/>
  <c r="AK107" i="145"/>
  <c r="AL107" i="145"/>
  <c r="AM107" i="145"/>
  <c r="AG36" i="145"/>
  <c r="AH36" i="145"/>
  <c r="AI36" i="145"/>
  <c r="AJ36" i="145"/>
  <c r="AK36" i="145"/>
  <c r="AL36" i="145"/>
  <c r="AM36" i="145"/>
  <c r="AF36" i="145"/>
  <c r="AF5" i="145"/>
  <c r="AG5" i="145"/>
  <c r="AH5" i="145"/>
  <c r="AI5" i="145"/>
  <c r="AJ5" i="145"/>
  <c r="AK5" i="145"/>
  <c r="AL5" i="145"/>
  <c r="AM5" i="145"/>
  <c r="AF6" i="145"/>
  <c r="AG6" i="145"/>
  <c r="AH6" i="145"/>
  <c r="AI6" i="145"/>
  <c r="AJ6" i="145"/>
  <c r="AK6" i="145"/>
  <c r="AL6" i="145"/>
  <c r="AM6" i="145"/>
  <c r="AF7" i="145"/>
  <c r="AG7" i="145"/>
  <c r="AH7" i="145"/>
  <c r="AI7" i="145"/>
  <c r="AJ7" i="145"/>
  <c r="AK7" i="145"/>
  <c r="AL7" i="145"/>
  <c r="AM7" i="145"/>
  <c r="AF8" i="145"/>
  <c r="AG8" i="145"/>
  <c r="AH8" i="145"/>
  <c r="AI8" i="145"/>
  <c r="AJ8" i="145"/>
  <c r="AK8" i="145"/>
  <c r="AL8" i="145"/>
  <c r="AM8" i="145"/>
  <c r="AF9" i="145"/>
  <c r="AG9" i="145"/>
  <c r="AH9" i="145"/>
  <c r="AI9" i="145"/>
  <c r="AJ9" i="145"/>
  <c r="AK9" i="145"/>
  <c r="AL9" i="145"/>
  <c r="AM9" i="145"/>
  <c r="AF10" i="145"/>
  <c r="AG10" i="145"/>
  <c r="AH10" i="145"/>
  <c r="AI10" i="145"/>
  <c r="AJ10" i="145"/>
  <c r="AK10" i="145"/>
  <c r="AL10" i="145"/>
  <c r="AM10" i="145"/>
  <c r="AF11" i="145"/>
  <c r="AG11" i="145"/>
  <c r="AH11" i="145"/>
  <c r="AI11" i="145"/>
  <c r="AJ11" i="145"/>
  <c r="AK11" i="145"/>
  <c r="AL11" i="145"/>
  <c r="AM11" i="145"/>
  <c r="AF12" i="145"/>
  <c r="AG12" i="145"/>
  <c r="AH12" i="145"/>
  <c r="AI12" i="145"/>
  <c r="AJ12" i="145"/>
  <c r="AK12" i="145"/>
  <c r="AL12" i="145"/>
  <c r="AM12" i="145"/>
  <c r="AF13" i="145"/>
  <c r="AG13" i="145"/>
  <c r="AH13" i="145"/>
  <c r="AI13" i="145"/>
  <c r="AJ13" i="145"/>
  <c r="AK13" i="145"/>
  <c r="AL13" i="145"/>
  <c r="AM13" i="145"/>
  <c r="AF14" i="145"/>
  <c r="AG14" i="145"/>
  <c r="AH14" i="145"/>
  <c r="AI14" i="145"/>
  <c r="AJ14" i="145"/>
  <c r="AK14" i="145"/>
  <c r="AL14" i="145"/>
  <c r="AM14" i="145"/>
  <c r="AF15" i="145"/>
  <c r="AG15" i="145"/>
  <c r="AH15" i="145"/>
  <c r="AI15" i="145"/>
  <c r="AJ15" i="145"/>
  <c r="AK15" i="145"/>
  <c r="AL15" i="145"/>
  <c r="AM15" i="145"/>
  <c r="AF16" i="145"/>
  <c r="AG16" i="145"/>
  <c r="AH16" i="145"/>
  <c r="AI16" i="145"/>
  <c r="AJ16" i="145"/>
  <c r="AK16" i="145"/>
  <c r="AL16" i="145"/>
  <c r="AM16" i="145"/>
  <c r="AF17" i="145"/>
  <c r="AG17" i="145"/>
  <c r="AH17" i="145"/>
  <c r="AI17" i="145"/>
  <c r="AJ17" i="145"/>
  <c r="AK17" i="145"/>
  <c r="AL17" i="145"/>
  <c r="AM17" i="145"/>
  <c r="AF18" i="145"/>
  <c r="AG18" i="145"/>
  <c r="AH18" i="145"/>
  <c r="AI18" i="145"/>
  <c r="AJ18" i="145"/>
  <c r="AK18" i="145"/>
  <c r="AL18" i="145"/>
  <c r="AM18" i="145"/>
  <c r="AF19" i="145"/>
  <c r="AG19" i="145"/>
  <c r="AH19" i="145"/>
  <c r="AI19" i="145"/>
  <c r="AJ19" i="145"/>
  <c r="AK19" i="145"/>
  <c r="AL19" i="145"/>
  <c r="AM19" i="145"/>
  <c r="AF20" i="145"/>
  <c r="AG20" i="145"/>
  <c r="AH20" i="145"/>
  <c r="AI20" i="145"/>
  <c r="AJ20" i="145"/>
  <c r="AK20" i="145"/>
  <c r="AL20" i="145"/>
  <c r="AM20" i="145"/>
  <c r="AF21" i="145"/>
  <c r="AG21" i="145"/>
  <c r="AH21" i="145"/>
  <c r="AI21" i="145"/>
  <c r="AJ21" i="145"/>
  <c r="AK21" i="145"/>
  <c r="AL21" i="145"/>
  <c r="AM21" i="145"/>
  <c r="AF22" i="145"/>
  <c r="AG22" i="145"/>
  <c r="AH22" i="145"/>
  <c r="AI22" i="145"/>
  <c r="AJ22" i="145"/>
  <c r="AK22" i="145"/>
  <c r="AL22" i="145"/>
  <c r="AM22" i="145"/>
  <c r="AF23" i="145"/>
  <c r="AG23" i="145"/>
  <c r="AH23" i="145"/>
  <c r="AI23" i="145"/>
  <c r="AJ23" i="145"/>
  <c r="AK23" i="145"/>
  <c r="AL23" i="145"/>
  <c r="AM23" i="145"/>
  <c r="AF24" i="145"/>
  <c r="AG24" i="145"/>
  <c r="AH24" i="145"/>
  <c r="AI24" i="145"/>
  <c r="AJ24" i="145"/>
  <c r="AK24" i="145"/>
  <c r="AL24" i="145"/>
  <c r="AM24" i="145"/>
  <c r="AF25" i="145"/>
  <c r="AG25" i="145"/>
  <c r="AH25" i="145"/>
  <c r="AI25" i="145"/>
  <c r="AJ25" i="145"/>
  <c r="AK25" i="145"/>
  <c r="AL25" i="145"/>
  <c r="AM25" i="145"/>
  <c r="AF26" i="145"/>
  <c r="AG26" i="145"/>
  <c r="AH26" i="145"/>
  <c r="AI26" i="145"/>
  <c r="AJ26" i="145"/>
  <c r="AK26" i="145"/>
  <c r="AL26" i="145"/>
  <c r="AM26" i="145"/>
  <c r="AF27" i="145"/>
  <c r="AG27" i="145"/>
  <c r="AH27" i="145"/>
  <c r="AI27" i="145"/>
  <c r="AJ27" i="145"/>
  <c r="AK27" i="145"/>
  <c r="AL27" i="145"/>
  <c r="AM27" i="145"/>
  <c r="AF28" i="145"/>
  <c r="AG28" i="145"/>
  <c r="AH28" i="145"/>
  <c r="AI28" i="145"/>
  <c r="AJ28" i="145"/>
  <c r="AK28" i="145"/>
  <c r="AL28" i="145"/>
  <c r="AM28" i="145"/>
  <c r="AF29" i="145"/>
  <c r="AG29" i="145"/>
  <c r="AH29" i="145"/>
  <c r="AI29" i="145"/>
  <c r="AJ29" i="145"/>
  <c r="AK29" i="145"/>
  <c r="AL29" i="145"/>
  <c r="AM29" i="145"/>
  <c r="AF30" i="145"/>
  <c r="AG30" i="145"/>
  <c r="AH30" i="145"/>
  <c r="AI30" i="145"/>
  <c r="AJ30" i="145"/>
  <c r="AK30" i="145"/>
  <c r="AL30" i="145"/>
  <c r="AM30" i="145"/>
  <c r="AF31" i="145"/>
  <c r="AG31" i="145"/>
  <c r="AH31" i="145"/>
  <c r="AI31" i="145"/>
  <c r="AJ31" i="145"/>
  <c r="AK31" i="145"/>
  <c r="AL31" i="145"/>
  <c r="AM31" i="145"/>
  <c r="AF32" i="145"/>
  <c r="AG32" i="145"/>
  <c r="AH32" i="145"/>
  <c r="AI32" i="145"/>
  <c r="AJ32" i="145"/>
  <c r="AK32" i="145"/>
  <c r="AL32" i="145"/>
  <c r="AM32" i="145"/>
  <c r="AF33" i="145"/>
  <c r="AG33" i="145"/>
  <c r="AH33" i="145"/>
  <c r="AI33" i="145"/>
  <c r="AJ33" i="145"/>
  <c r="AK33" i="145"/>
  <c r="AL33" i="145"/>
  <c r="AM33" i="145"/>
  <c r="AF34" i="145"/>
  <c r="AG34" i="145"/>
  <c r="AH34" i="145"/>
  <c r="AI34" i="145"/>
  <c r="AJ34" i="145"/>
  <c r="AK34" i="145"/>
  <c r="AL34" i="145"/>
  <c r="AM34" i="145"/>
  <c r="AG4" i="145"/>
  <c r="AH4" i="145"/>
  <c r="AI4" i="145"/>
  <c r="AJ4" i="145"/>
  <c r="AK4" i="145"/>
  <c r="AL4" i="145"/>
  <c r="AM4" i="145"/>
  <c r="AF4" i="145"/>
  <c r="V85" i="145"/>
  <c r="W85" i="145"/>
  <c r="X85" i="145"/>
  <c r="Y85" i="145"/>
  <c r="Z85" i="145"/>
  <c r="AA85" i="145"/>
  <c r="AB85" i="145"/>
  <c r="AC85" i="145"/>
  <c r="V86" i="145"/>
  <c r="W86" i="145"/>
  <c r="X86" i="145"/>
  <c r="Y86" i="145"/>
  <c r="Z86" i="145"/>
  <c r="AA86" i="145"/>
  <c r="AB86" i="145"/>
  <c r="AC86" i="145"/>
  <c r="V87" i="145"/>
  <c r="W87" i="145"/>
  <c r="X87" i="145"/>
  <c r="Y87" i="145"/>
  <c r="Z87" i="145"/>
  <c r="AA87" i="145"/>
  <c r="AB87" i="145"/>
  <c r="AC87" i="145"/>
  <c r="V88" i="145"/>
  <c r="W88" i="145"/>
  <c r="X88" i="145"/>
  <c r="Y88" i="145"/>
  <c r="Z88" i="145"/>
  <c r="AA88" i="145"/>
  <c r="AB88" i="145"/>
  <c r="AC88" i="145"/>
  <c r="V89" i="145"/>
  <c r="W89" i="145"/>
  <c r="X89" i="145"/>
  <c r="Y89" i="145"/>
  <c r="Z89" i="145"/>
  <c r="AA89" i="145"/>
  <c r="AB89" i="145"/>
  <c r="AC89" i="145"/>
  <c r="V90" i="145"/>
  <c r="W90" i="145"/>
  <c r="X90" i="145"/>
  <c r="Y90" i="145"/>
  <c r="Z90" i="145"/>
  <c r="AA90" i="145"/>
  <c r="AB90" i="145"/>
  <c r="AC90" i="145"/>
  <c r="V91" i="145"/>
  <c r="W91" i="145"/>
  <c r="X91" i="145"/>
  <c r="Y91" i="145"/>
  <c r="Z91" i="145"/>
  <c r="AA91" i="145"/>
  <c r="AB91" i="145"/>
  <c r="AC91" i="145"/>
  <c r="V92" i="145"/>
  <c r="W92" i="145"/>
  <c r="X92" i="145"/>
  <c r="Y92" i="145"/>
  <c r="Z92" i="145"/>
  <c r="AA92" i="145"/>
  <c r="AB92" i="145"/>
  <c r="AC92" i="145"/>
  <c r="V93" i="145"/>
  <c r="W93" i="145"/>
  <c r="X93" i="145"/>
  <c r="Y93" i="145"/>
  <c r="Z93" i="145"/>
  <c r="AA93" i="145"/>
  <c r="AB93" i="145"/>
  <c r="AC93" i="145"/>
  <c r="V94" i="145"/>
  <c r="W94" i="145"/>
  <c r="X94" i="145"/>
  <c r="Y94" i="145"/>
  <c r="Z94" i="145"/>
  <c r="AA94" i="145"/>
  <c r="AB94" i="145"/>
  <c r="AC94" i="145"/>
  <c r="V95" i="145"/>
  <c r="W95" i="145"/>
  <c r="X95" i="145"/>
  <c r="Y95" i="145"/>
  <c r="Z95" i="145"/>
  <c r="AA95" i="145"/>
  <c r="AB95" i="145"/>
  <c r="AC95" i="145"/>
  <c r="V96" i="145"/>
  <c r="W96" i="145"/>
  <c r="X96" i="145"/>
  <c r="Y96" i="145"/>
  <c r="Z96" i="145"/>
  <c r="AA96" i="145"/>
  <c r="AB96" i="145"/>
  <c r="AC96" i="145"/>
  <c r="V97" i="145"/>
  <c r="W97" i="145"/>
  <c r="X97" i="145"/>
  <c r="Y97" i="145"/>
  <c r="Z97" i="145"/>
  <c r="AA97" i="145"/>
  <c r="AB97" i="145"/>
  <c r="AC97" i="145"/>
  <c r="V98" i="145"/>
  <c r="W98" i="145"/>
  <c r="X98" i="145"/>
  <c r="Y98" i="145"/>
  <c r="Z98" i="145"/>
  <c r="AA98" i="145"/>
  <c r="AB98" i="145"/>
  <c r="AC98" i="145"/>
  <c r="V99" i="145"/>
  <c r="W99" i="145"/>
  <c r="X99" i="145"/>
  <c r="Y99" i="145"/>
  <c r="Z99" i="145"/>
  <c r="AA99" i="145"/>
  <c r="AB99" i="145"/>
  <c r="AC99" i="145"/>
  <c r="V100" i="145"/>
  <c r="W100" i="145"/>
  <c r="X100" i="145"/>
  <c r="Y100" i="145"/>
  <c r="Z100" i="145"/>
  <c r="AA100" i="145"/>
  <c r="AB100" i="145"/>
  <c r="AC100" i="145"/>
  <c r="V101" i="145"/>
  <c r="W101" i="145"/>
  <c r="X101" i="145"/>
  <c r="Y101" i="145"/>
  <c r="Z101" i="145"/>
  <c r="AA101" i="145"/>
  <c r="AB101" i="145"/>
  <c r="AC101" i="145"/>
  <c r="V102" i="145"/>
  <c r="W102" i="145"/>
  <c r="X102" i="145"/>
  <c r="Y102" i="145"/>
  <c r="Z102" i="145"/>
  <c r="AA102" i="145"/>
  <c r="AB102" i="145"/>
  <c r="AC102" i="145"/>
  <c r="V103" i="145"/>
  <c r="W103" i="145"/>
  <c r="X103" i="145"/>
  <c r="Y103" i="145"/>
  <c r="Z103" i="145"/>
  <c r="AA103" i="145"/>
  <c r="AB103" i="145"/>
  <c r="AC103" i="145"/>
  <c r="V104" i="145"/>
  <c r="W104" i="145"/>
  <c r="X104" i="145"/>
  <c r="Y104" i="145"/>
  <c r="Z104" i="145"/>
  <c r="AA104" i="145"/>
  <c r="AB104" i="145"/>
  <c r="AC104" i="145"/>
  <c r="V105" i="145"/>
  <c r="W105" i="145"/>
  <c r="X105" i="145"/>
  <c r="Y105" i="145"/>
  <c r="Z105" i="145"/>
  <c r="AA105" i="145"/>
  <c r="AB105" i="145"/>
  <c r="AC105" i="145"/>
  <c r="V106" i="145"/>
  <c r="W106" i="145"/>
  <c r="X106" i="145"/>
  <c r="Y106" i="145"/>
  <c r="Z106" i="145"/>
  <c r="AA106" i="145"/>
  <c r="AB106" i="145"/>
  <c r="AC106" i="145"/>
  <c r="V107" i="145"/>
  <c r="W107" i="145"/>
  <c r="X107" i="145"/>
  <c r="Y107" i="145"/>
  <c r="Z107" i="145"/>
  <c r="AA107" i="145"/>
  <c r="AB107" i="145"/>
  <c r="AC107" i="145"/>
  <c r="V108" i="145"/>
  <c r="W108" i="145"/>
  <c r="X108" i="145"/>
  <c r="Y108" i="145"/>
  <c r="Z108" i="145"/>
  <c r="AA108" i="145"/>
  <c r="AB108" i="145"/>
  <c r="AC108" i="145"/>
  <c r="V109" i="145"/>
  <c r="W109" i="145"/>
  <c r="X109" i="145"/>
  <c r="Y109" i="145"/>
  <c r="Z109" i="145"/>
  <c r="AA109" i="145"/>
  <c r="AB109" i="145"/>
  <c r="AC109" i="145"/>
  <c r="V110" i="145"/>
  <c r="W110" i="145"/>
  <c r="X110" i="145"/>
  <c r="Y110" i="145"/>
  <c r="Z110" i="145"/>
  <c r="AA110" i="145"/>
  <c r="AB110" i="145"/>
  <c r="AC110" i="145"/>
  <c r="V111" i="145"/>
  <c r="W111" i="145"/>
  <c r="X111" i="145"/>
  <c r="Y111" i="145"/>
  <c r="Z111" i="145"/>
  <c r="AA111" i="145"/>
  <c r="AB111" i="145"/>
  <c r="AC111" i="145"/>
  <c r="V112" i="145"/>
  <c r="W112" i="145"/>
  <c r="X112" i="145"/>
  <c r="Y112" i="145"/>
  <c r="Z112" i="145"/>
  <c r="AA112" i="145"/>
  <c r="AB112" i="145"/>
  <c r="AC112" i="145"/>
  <c r="V113" i="145"/>
  <c r="W113" i="145"/>
  <c r="X113" i="145"/>
  <c r="Y113" i="145"/>
  <c r="Z113" i="145"/>
  <c r="AA113" i="145"/>
  <c r="AB113" i="145"/>
  <c r="AC113" i="145"/>
  <c r="V114" i="145"/>
  <c r="W114" i="145"/>
  <c r="X114" i="145"/>
  <c r="Y114" i="145"/>
  <c r="Z114" i="145"/>
  <c r="AA114" i="145"/>
  <c r="AB114" i="145"/>
  <c r="AC114" i="145"/>
  <c r="V115" i="145"/>
  <c r="W115" i="145"/>
  <c r="X115" i="145"/>
  <c r="Y115" i="145"/>
  <c r="Z115" i="145"/>
  <c r="AA115" i="145"/>
  <c r="AB115" i="145"/>
  <c r="AC115" i="145"/>
  <c r="V116" i="145"/>
  <c r="W116" i="145"/>
  <c r="X116" i="145"/>
  <c r="Y116" i="145"/>
  <c r="Z116" i="145"/>
  <c r="AA116" i="145"/>
  <c r="AB116" i="145"/>
  <c r="AC116" i="145"/>
  <c r="V117" i="145"/>
  <c r="W117" i="145"/>
  <c r="X117" i="145"/>
  <c r="Y117" i="145"/>
  <c r="Z117" i="145"/>
  <c r="AA117" i="145"/>
  <c r="AB117" i="145"/>
  <c r="AC117" i="145"/>
  <c r="V118" i="145"/>
  <c r="W118" i="145"/>
  <c r="X118" i="145"/>
  <c r="Y118" i="145"/>
  <c r="Z118" i="145"/>
  <c r="AA118" i="145"/>
  <c r="AB118" i="145"/>
  <c r="AC118" i="145"/>
  <c r="V119" i="145"/>
  <c r="W119" i="145"/>
  <c r="X119" i="145"/>
  <c r="Y119" i="145"/>
  <c r="Z119" i="145"/>
  <c r="AA119" i="145"/>
  <c r="AB119" i="145"/>
  <c r="AC119" i="145"/>
  <c r="V120" i="145"/>
  <c r="W120" i="145"/>
  <c r="X120" i="145"/>
  <c r="Y120" i="145"/>
  <c r="Z120" i="145"/>
  <c r="AA120" i="145"/>
  <c r="AB120" i="145"/>
  <c r="AC120" i="145"/>
  <c r="V121" i="145"/>
  <c r="W121" i="145"/>
  <c r="X121" i="145"/>
  <c r="Y121" i="145"/>
  <c r="Z121" i="145"/>
  <c r="AA121" i="145"/>
  <c r="AB121" i="145"/>
  <c r="AC121" i="145"/>
  <c r="V122" i="145"/>
  <c r="W122" i="145"/>
  <c r="X122" i="145"/>
  <c r="Y122" i="145"/>
  <c r="Z122" i="145"/>
  <c r="AA122" i="145"/>
  <c r="AB122" i="145"/>
  <c r="AC122" i="145"/>
  <c r="V123" i="145"/>
  <c r="W123" i="145"/>
  <c r="X123" i="145"/>
  <c r="Y123" i="145"/>
  <c r="Z123" i="145"/>
  <c r="AA123" i="145"/>
  <c r="AB123" i="145"/>
  <c r="AC123" i="145"/>
  <c r="V124" i="145"/>
  <c r="W124" i="145"/>
  <c r="X124" i="145"/>
  <c r="Y124" i="145"/>
  <c r="Z124" i="145"/>
  <c r="AA124" i="145"/>
  <c r="AB124" i="145"/>
  <c r="AC124" i="145"/>
  <c r="V125" i="145"/>
  <c r="W125" i="145"/>
  <c r="X125" i="145"/>
  <c r="Y125" i="145"/>
  <c r="Z125" i="145"/>
  <c r="AA125" i="145"/>
  <c r="AB125" i="145"/>
  <c r="AC125" i="145"/>
  <c r="V126" i="145"/>
  <c r="W126" i="145"/>
  <c r="X126" i="145"/>
  <c r="Y126" i="145"/>
  <c r="Z126" i="145"/>
  <c r="AA126" i="145"/>
  <c r="AB126" i="145"/>
  <c r="AC126" i="145"/>
  <c r="V127" i="145"/>
  <c r="W127" i="145"/>
  <c r="X127" i="145"/>
  <c r="Y127" i="145"/>
  <c r="Z127" i="145"/>
  <c r="AA127" i="145"/>
  <c r="AB127" i="145"/>
  <c r="AC127" i="145"/>
  <c r="V128" i="145"/>
  <c r="W128" i="145"/>
  <c r="X128" i="145"/>
  <c r="Y128" i="145"/>
  <c r="Z128" i="145"/>
  <c r="AA128" i="145"/>
  <c r="AB128" i="145"/>
  <c r="AC128" i="145"/>
  <c r="V129" i="145"/>
  <c r="W129" i="145"/>
  <c r="X129" i="145"/>
  <c r="Y129" i="145"/>
  <c r="Z129" i="145"/>
  <c r="AA129" i="145"/>
  <c r="AB129" i="145"/>
  <c r="AC129" i="145"/>
  <c r="V130" i="145"/>
  <c r="W130" i="145"/>
  <c r="X130" i="145"/>
  <c r="Y130" i="145"/>
  <c r="Z130" i="145"/>
  <c r="AA130" i="145"/>
  <c r="AB130" i="145"/>
  <c r="AC130" i="145"/>
  <c r="V131" i="145"/>
  <c r="W131" i="145"/>
  <c r="X131" i="145"/>
  <c r="Y131" i="145"/>
  <c r="Z131" i="145"/>
  <c r="AA131" i="145"/>
  <c r="AB131" i="145"/>
  <c r="AC131" i="145"/>
  <c r="V132" i="145"/>
  <c r="W132" i="145"/>
  <c r="X132" i="145"/>
  <c r="Y132" i="145"/>
  <c r="Z132" i="145"/>
  <c r="AA132" i="145"/>
  <c r="AB132" i="145"/>
  <c r="AC132" i="145"/>
  <c r="V133" i="145"/>
  <c r="W133" i="145"/>
  <c r="X133" i="145"/>
  <c r="Y133" i="145"/>
  <c r="Z133" i="145"/>
  <c r="AA133" i="145"/>
  <c r="AB133" i="145"/>
  <c r="AC133" i="145"/>
  <c r="V134" i="145"/>
  <c r="W134" i="145"/>
  <c r="X134" i="145"/>
  <c r="Y134" i="145"/>
  <c r="Z134" i="145"/>
  <c r="AA134" i="145"/>
  <c r="AB134" i="145"/>
  <c r="AC134" i="145"/>
  <c r="V135" i="145"/>
  <c r="W135" i="145"/>
  <c r="X135" i="145"/>
  <c r="Y135" i="145"/>
  <c r="Z135" i="145"/>
  <c r="AA135" i="145"/>
  <c r="AB135" i="145"/>
  <c r="AC135" i="145"/>
  <c r="V136" i="145"/>
  <c r="W136" i="145"/>
  <c r="X136" i="145"/>
  <c r="Y136" i="145"/>
  <c r="Z136" i="145"/>
  <c r="AA136" i="145"/>
  <c r="AB136" i="145"/>
  <c r="AC136" i="145"/>
  <c r="V137" i="145"/>
  <c r="W137" i="145"/>
  <c r="X137" i="145"/>
  <c r="Y137" i="145"/>
  <c r="Z137" i="145"/>
  <c r="AA137" i="145"/>
  <c r="AB137" i="145"/>
  <c r="AC137" i="145"/>
  <c r="V138" i="145"/>
  <c r="W138" i="145"/>
  <c r="X138" i="145"/>
  <c r="Y138" i="145"/>
  <c r="Z138" i="145"/>
  <c r="AA138" i="145"/>
  <c r="AB138" i="145"/>
  <c r="AC138" i="145"/>
  <c r="V139" i="145"/>
  <c r="W139" i="145"/>
  <c r="X139" i="145"/>
  <c r="Y139" i="145"/>
  <c r="Z139" i="145"/>
  <c r="AA139" i="145"/>
  <c r="AB139" i="145"/>
  <c r="AC139" i="145"/>
  <c r="V140" i="145"/>
  <c r="W140" i="145"/>
  <c r="X140" i="145"/>
  <c r="Y140" i="145"/>
  <c r="Z140" i="145"/>
  <c r="AA140" i="145"/>
  <c r="AB140" i="145"/>
  <c r="AC140" i="145"/>
  <c r="V141" i="145"/>
  <c r="W141" i="145"/>
  <c r="X141" i="145"/>
  <c r="Y141" i="145"/>
  <c r="Z141" i="145"/>
  <c r="AA141" i="145"/>
  <c r="AB141" i="145"/>
  <c r="AC141" i="145"/>
  <c r="V142" i="145"/>
  <c r="W142" i="145"/>
  <c r="X142" i="145"/>
  <c r="Y142" i="145"/>
  <c r="Z142" i="145"/>
  <c r="AA142" i="145"/>
  <c r="AB142" i="145"/>
  <c r="AC142" i="145"/>
  <c r="V143" i="145"/>
  <c r="W143" i="145"/>
  <c r="X143" i="145"/>
  <c r="Y143" i="145"/>
  <c r="Z143" i="145"/>
  <c r="AA143" i="145"/>
  <c r="AB143" i="145"/>
  <c r="AC143" i="145"/>
  <c r="V144" i="145"/>
  <c r="W144" i="145"/>
  <c r="X144" i="145"/>
  <c r="Y144" i="145"/>
  <c r="Z144" i="145"/>
  <c r="AA144" i="145"/>
  <c r="AB144" i="145"/>
  <c r="AC144" i="145"/>
  <c r="V145" i="145"/>
  <c r="W145" i="145"/>
  <c r="X145" i="145"/>
  <c r="Y145" i="145"/>
  <c r="Z145" i="145"/>
  <c r="AA145" i="145"/>
  <c r="AB145" i="145"/>
  <c r="AC145" i="145"/>
  <c r="V146" i="145"/>
  <c r="W146" i="145"/>
  <c r="X146" i="145"/>
  <c r="Y146" i="145"/>
  <c r="Z146" i="145"/>
  <c r="AA146" i="145"/>
  <c r="AB146" i="145"/>
  <c r="AC146" i="145"/>
  <c r="V147" i="145"/>
  <c r="W147" i="145"/>
  <c r="X147" i="145"/>
  <c r="Y147" i="145"/>
  <c r="Z147" i="145"/>
  <c r="AA147" i="145"/>
  <c r="AB147" i="145"/>
  <c r="AC147" i="145"/>
  <c r="V148" i="145"/>
  <c r="W148" i="145"/>
  <c r="X148" i="145"/>
  <c r="Y148" i="145"/>
  <c r="Z148" i="145"/>
  <c r="AA148" i="145"/>
  <c r="AB148" i="145"/>
  <c r="AC148" i="145"/>
  <c r="V149" i="145"/>
  <c r="W149" i="145"/>
  <c r="X149" i="145"/>
  <c r="Y149" i="145"/>
  <c r="Z149" i="145"/>
  <c r="AA149" i="145"/>
  <c r="AB149" i="145"/>
  <c r="AC149" i="145"/>
  <c r="V150" i="145"/>
  <c r="W150" i="145"/>
  <c r="X150" i="145"/>
  <c r="Y150" i="145"/>
  <c r="Z150" i="145"/>
  <c r="AA150" i="145"/>
  <c r="AB150" i="145"/>
  <c r="AC150" i="145"/>
  <c r="V151" i="145"/>
  <c r="W151" i="145"/>
  <c r="X151" i="145"/>
  <c r="Y151" i="145"/>
  <c r="Z151" i="145"/>
  <c r="AA151" i="145"/>
  <c r="AB151" i="145"/>
  <c r="AC151" i="145"/>
  <c r="V152" i="145"/>
  <c r="W152" i="145"/>
  <c r="X152" i="145"/>
  <c r="Y152" i="145"/>
  <c r="Z152" i="145"/>
  <c r="AA152" i="145"/>
  <c r="AB152" i="145"/>
  <c r="AC152" i="145"/>
  <c r="V153" i="145"/>
  <c r="W153" i="145"/>
  <c r="X153" i="145"/>
  <c r="Y153" i="145"/>
  <c r="Z153" i="145"/>
  <c r="AA153" i="145"/>
  <c r="AB153" i="145"/>
  <c r="AC153" i="145"/>
  <c r="V154" i="145"/>
  <c r="W154" i="145"/>
  <c r="X154" i="145"/>
  <c r="Y154" i="145"/>
  <c r="Z154" i="145"/>
  <c r="AA154" i="145"/>
  <c r="AB154" i="145"/>
  <c r="AC154" i="145"/>
  <c r="V155" i="145"/>
  <c r="W155" i="145"/>
  <c r="X155" i="145"/>
  <c r="Y155" i="145"/>
  <c r="Z155" i="145"/>
  <c r="AA155" i="145"/>
  <c r="AB155" i="145"/>
  <c r="AC155" i="145"/>
  <c r="V156" i="145"/>
  <c r="W156" i="145"/>
  <c r="X156" i="145"/>
  <c r="Y156" i="145"/>
  <c r="Z156" i="145"/>
  <c r="AA156" i="145"/>
  <c r="AB156" i="145"/>
  <c r="AC156" i="145"/>
  <c r="V157" i="145"/>
  <c r="W157" i="145"/>
  <c r="X157" i="145"/>
  <c r="Y157" i="145"/>
  <c r="Z157" i="145"/>
  <c r="AA157" i="145"/>
  <c r="AB157" i="145"/>
  <c r="AC157" i="145"/>
  <c r="V158" i="145"/>
  <c r="W158" i="145"/>
  <c r="X158" i="145"/>
  <c r="Y158" i="145"/>
  <c r="Z158" i="145"/>
  <c r="AA158" i="145"/>
  <c r="AB158" i="145"/>
  <c r="AC158" i="145"/>
  <c r="V159" i="145"/>
  <c r="W159" i="145"/>
  <c r="X159" i="145"/>
  <c r="Y159" i="145"/>
  <c r="Z159" i="145"/>
  <c r="AA159" i="145"/>
  <c r="AB159" i="145"/>
  <c r="AC159" i="145"/>
  <c r="V160" i="145"/>
  <c r="W160" i="145"/>
  <c r="X160" i="145"/>
  <c r="Y160" i="145"/>
  <c r="Z160" i="145"/>
  <c r="AA160" i="145"/>
  <c r="AB160" i="145"/>
  <c r="AC160" i="145"/>
  <c r="V161" i="145"/>
  <c r="W161" i="145"/>
  <c r="X161" i="145"/>
  <c r="Y161" i="145"/>
  <c r="Z161" i="145"/>
  <c r="AA161" i="145"/>
  <c r="AB161" i="145"/>
  <c r="AC161" i="145"/>
  <c r="V162" i="145"/>
  <c r="W162" i="145"/>
  <c r="X162" i="145"/>
  <c r="Y162" i="145"/>
  <c r="Z162" i="145"/>
  <c r="AA162" i="145"/>
  <c r="AB162" i="145"/>
  <c r="AC162" i="145"/>
  <c r="V163" i="145"/>
  <c r="W163" i="145"/>
  <c r="X163" i="145"/>
  <c r="Y163" i="145"/>
  <c r="Z163" i="145"/>
  <c r="AA163" i="145"/>
  <c r="AB163" i="145"/>
  <c r="AC163" i="145"/>
  <c r="W84" i="145"/>
  <c r="X84" i="145"/>
  <c r="Y84" i="145"/>
  <c r="Z84" i="145"/>
  <c r="AA84" i="145"/>
  <c r="AB84" i="145"/>
  <c r="AC84" i="145"/>
  <c r="V84" i="145"/>
  <c r="V5" i="145"/>
  <c r="W5" i="145"/>
  <c r="X5" i="145"/>
  <c r="Y5" i="145"/>
  <c r="Z5" i="145"/>
  <c r="AA5" i="145"/>
  <c r="AB5" i="145"/>
  <c r="AC5" i="145"/>
  <c r="V6" i="145"/>
  <c r="W6" i="145"/>
  <c r="X6" i="145"/>
  <c r="Y6" i="145"/>
  <c r="Z6" i="145"/>
  <c r="AA6" i="145"/>
  <c r="AB6" i="145"/>
  <c r="AC6" i="145"/>
  <c r="V7" i="145"/>
  <c r="W7" i="145"/>
  <c r="X7" i="145"/>
  <c r="Y7" i="145"/>
  <c r="Z7" i="145"/>
  <c r="AA7" i="145"/>
  <c r="AB7" i="145"/>
  <c r="AC7" i="145"/>
  <c r="V8" i="145"/>
  <c r="W8" i="145"/>
  <c r="X8" i="145"/>
  <c r="Y8" i="145"/>
  <c r="Z8" i="145"/>
  <c r="AA8" i="145"/>
  <c r="AB8" i="145"/>
  <c r="AC8" i="145"/>
  <c r="V9" i="145"/>
  <c r="W9" i="145"/>
  <c r="X9" i="145"/>
  <c r="Y9" i="145"/>
  <c r="Z9" i="145"/>
  <c r="AA9" i="145"/>
  <c r="AB9" i="145"/>
  <c r="AC9" i="145"/>
  <c r="V10" i="145"/>
  <c r="W10" i="145"/>
  <c r="X10" i="145"/>
  <c r="Y10" i="145"/>
  <c r="Z10" i="145"/>
  <c r="AA10" i="145"/>
  <c r="AB10" i="145"/>
  <c r="AC10" i="145"/>
  <c r="V11" i="145"/>
  <c r="W11" i="145"/>
  <c r="X11" i="145"/>
  <c r="Y11" i="145"/>
  <c r="Z11" i="145"/>
  <c r="AA11" i="145"/>
  <c r="AB11" i="145"/>
  <c r="AC11" i="145"/>
  <c r="V12" i="145"/>
  <c r="W12" i="145"/>
  <c r="X12" i="145"/>
  <c r="Y12" i="145"/>
  <c r="Z12" i="145"/>
  <c r="AA12" i="145"/>
  <c r="AB12" i="145"/>
  <c r="AC12" i="145"/>
  <c r="V13" i="145"/>
  <c r="W13" i="145"/>
  <c r="X13" i="145"/>
  <c r="Y13" i="145"/>
  <c r="Z13" i="145"/>
  <c r="AA13" i="145"/>
  <c r="AB13" i="145"/>
  <c r="AC13" i="145"/>
  <c r="V14" i="145"/>
  <c r="W14" i="145"/>
  <c r="X14" i="145"/>
  <c r="Y14" i="145"/>
  <c r="Z14" i="145"/>
  <c r="AA14" i="145"/>
  <c r="AB14" i="145"/>
  <c r="AC14" i="145"/>
  <c r="V15" i="145"/>
  <c r="W15" i="145"/>
  <c r="X15" i="145"/>
  <c r="Y15" i="145"/>
  <c r="Z15" i="145"/>
  <c r="AA15" i="145"/>
  <c r="AB15" i="145"/>
  <c r="AC15" i="145"/>
  <c r="V16" i="145"/>
  <c r="W16" i="145"/>
  <c r="X16" i="145"/>
  <c r="Y16" i="145"/>
  <c r="Z16" i="145"/>
  <c r="AA16" i="145"/>
  <c r="AB16" i="145"/>
  <c r="AC16" i="145"/>
  <c r="V17" i="145"/>
  <c r="W17" i="145"/>
  <c r="X17" i="145"/>
  <c r="Y17" i="145"/>
  <c r="Z17" i="145"/>
  <c r="AA17" i="145"/>
  <c r="AB17" i="145"/>
  <c r="AC17" i="145"/>
  <c r="V18" i="145"/>
  <c r="W18" i="145"/>
  <c r="X18" i="145"/>
  <c r="Y18" i="145"/>
  <c r="Z18" i="145"/>
  <c r="AA18" i="145"/>
  <c r="AB18" i="145"/>
  <c r="AC18" i="145"/>
  <c r="V19" i="145"/>
  <c r="W19" i="145"/>
  <c r="X19" i="145"/>
  <c r="Y19" i="145"/>
  <c r="Z19" i="145"/>
  <c r="AA19" i="145"/>
  <c r="AB19" i="145"/>
  <c r="AC19" i="145"/>
  <c r="V20" i="145"/>
  <c r="W20" i="145"/>
  <c r="X20" i="145"/>
  <c r="Y20" i="145"/>
  <c r="Z20" i="145"/>
  <c r="AA20" i="145"/>
  <c r="AB20" i="145"/>
  <c r="AC20" i="145"/>
  <c r="V21" i="145"/>
  <c r="W21" i="145"/>
  <c r="X21" i="145"/>
  <c r="Y21" i="145"/>
  <c r="Z21" i="145"/>
  <c r="AA21" i="145"/>
  <c r="AB21" i="145"/>
  <c r="AC21" i="145"/>
  <c r="V22" i="145"/>
  <c r="W22" i="145"/>
  <c r="X22" i="145"/>
  <c r="Y22" i="145"/>
  <c r="Z22" i="145"/>
  <c r="AA22" i="145"/>
  <c r="AB22" i="145"/>
  <c r="AC22" i="145"/>
  <c r="V23" i="145"/>
  <c r="W23" i="145"/>
  <c r="X23" i="145"/>
  <c r="Y23" i="145"/>
  <c r="Z23" i="145"/>
  <c r="AA23" i="145"/>
  <c r="AB23" i="145"/>
  <c r="AC23" i="145"/>
  <c r="V24" i="145"/>
  <c r="W24" i="145"/>
  <c r="X24" i="145"/>
  <c r="Y24" i="145"/>
  <c r="Z24" i="145"/>
  <c r="AA24" i="145"/>
  <c r="AB24" i="145"/>
  <c r="AC24" i="145"/>
  <c r="V25" i="145"/>
  <c r="W25" i="145"/>
  <c r="X25" i="145"/>
  <c r="Y25" i="145"/>
  <c r="Z25" i="145"/>
  <c r="AA25" i="145"/>
  <c r="AB25" i="145"/>
  <c r="AC25" i="145"/>
  <c r="V26" i="145"/>
  <c r="W26" i="145"/>
  <c r="X26" i="145"/>
  <c r="Y26" i="145"/>
  <c r="Z26" i="145"/>
  <c r="AA26" i="145"/>
  <c r="AB26" i="145"/>
  <c r="AC26" i="145"/>
  <c r="V27" i="145"/>
  <c r="W27" i="145"/>
  <c r="X27" i="145"/>
  <c r="Y27" i="145"/>
  <c r="Z27" i="145"/>
  <c r="AA27" i="145"/>
  <c r="AB27" i="145"/>
  <c r="AC27" i="145"/>
  <c r="V28" i="145"/>
  <c r="W28" i="145"/>
  <c r="X28" i="145"/>
  <c r="Y28" i="145"/>
  <c r="Z28" i="145"/>
  <c r="AA28" i="145"/>
  <c r="AB28" i="145"/>
  <c r="AC28" i="145"/>
  <c r="V29" i="145"/>
  <c r="W29" i="145"/>
  <c r="X29" i="145"/>
  <c r="Y29" i="145"/>
  <c r="Z29" i="145"/>
  <c r="AA29" i="145"/>
  <c r="AB29" i="145"/>
  <c r="AC29" i="145"/>
  <c r="V30" i="145"/>
  <c r="W30" i="145"/>
  <c r="X30" i="145"/>
  <c r="Y30" i="145"/>
  <c r="Z30" i="145"/>
  <c r="AA30" i="145"/>
  <c r="AB30" i="145"/>
  <c r="AC30" i="145"/>
  <c r="V31" i="145"/>
  <c r="W31" i="145"/>
  <c r="X31" i="145"/>
  <c r="Y31" i="145"/>
  <c r="Z31" i="145"/>
  <c r="AA31" i="145"/>
  <c r="AB31" i="145"/>
  <c r="AC31" i="145"/>
  <c r="V32" i="145"/>
  <c r="W32" i="145"/>
  <c r="X32" i="145"/>
  <c r="Y32" i="145"/>
  <c r="Z32" i="145"/>
  <c r="AA32" i="145"/>
  <c r="AB32" i="145"/>
  <c r="AC32" i="145"/>
  <c r="V33" i="145"/>
  <c r="W33" i="145"/>
  <c r="X33" i="145"/>
  <c r="Y33" i="145"/>
  <c r="Z33" i="145"/>
  <c r="AA33" i="145"/>
  <c r="AB33" i="145"/>
  <c r="AC33" i="145"/>
  <c r="V34" i="145"/>
  <c r="W34" i="145"/>
  <c r="X34" i="145"/>
  <c r="Y34" i="145"/>
  <c r="Z34" i="145"/>
  <c r="AA34" i="145"/>
  <c r="AB34" i="145"/>
  <c r="AC34" i="145"/>
  <c r="V35" i="145"/>
  <c r="W35" i="145"/>
  <c r="X35" i="145"/>
  <c r="Y35" i="145"/>
  <c r="Z35" i="145"/>
  <c r="AA35" i="145"/>
  <c r="AB35" i="145"/>
  <c r="AC35" i="145"/>
  <c r="V36" i="145"/>
  <c r="W36" i="145"/>
  <c r="X36" i="145"/>
  <c r="Y36" i="145"/>
  <c r="Z36" i="145"/>
  <c r="AA36" i="145"/>
  <c r="AB36" i="145"/>
  <c r="AC36" i="145"/>
  <c r="V37" i="145"/>
  <c r="W37" i="145"/>
  <c r="X37" i="145"/>
  <c r="Y37" i="145"/>
  <c r="Z37" i="145"/>
  <c r="AA37" i="145"/>
  <c r="AB37" i="145"/>
  <c r="AC37" i="145"/>
  <c r="V38" i="145"/>
  <c r="W38" i="145"/>
  <c r="X38" i="145"/>
  <c r="Y38" i="145"/>
  <c r="Z38" i="145"/>
  <c r="AA38" i="145"/>
  <c r="AB38" i="145"/>
  <c r="AC38" i="145"/>
  <c r="V39" i="145"/>
  <c r="W39" i="145"/>
  <c r="X39" i="145"/>
  <c r="Y39" i="145"/>
  <c r="Z39" i="145"/>
  <c r="AA39" i="145"/>
  <c r="AB39" i="145"/>
  <c r="AC39" i="145"/>
  <c r="V40" i="145"/>
  <c r="W40" i="145"/>
  <c r="X40" i="145"/>
  <c r="Y40" i="145"/>
  <c r="Z40" i="145"/>
  <c r="AA40" i="145"/>
  <c r="AB40" i="145"/>
  <c r="AC40" i="145"/>
  <c r="V41" i="145"/>
  <c r="W41" i="145"/>
  <c r="X41" i="145"/>
  <c r="Y41" i="145"/>
  <c r="Z41" i="145"/>
  <c r="AA41" i="145"/>
  <c r="AB41" i="145"/>
  <c r="AC41" i="145"/>
  <c r="V42" i="145"/>
  <c r="W42" i="145"/>
  <c r="X42" i="145"/>
  <c r="Y42" i="145"/>
  <c r="Z42" i="145"/>
  <c r="AA42" i="145"/>
  <c r="AB42" i="145"/>
  <c r="AC42" i="145"/>
  <c r="V43" i="145"/>
  <c r="W43" i="145"/>
  <c r="X43" i="145"/>
  <c r="Y43" i="145"/>
  <c r="Z43" i="145"/>
  <c r="AA43" i="145"/>
  <c r="AB43" i="145"/>
  <c r="AC43" i="145"/>
  <c r="V44" i="145"/>
  <c r="W44" i="145"/>
  <c r="X44" i="145"/>
  <c r="Y44" i="145"/>
  <c r="Z44" i="145"/>
  <c r="AA44" i="145"/>
  <c r="AB44" i="145"/>
  <c r="AC44" i="145"/>
  <c r="V45" i="145"/>
  <c r="W45" i="145"/>
  <c r="X45" i="145"/>
  <c r="Y45" i="145"/>
  <c r="Z45" i="145"/>
  <c r="AA45" i="145"/>
  <c r="AB45" i="145"/>
  <c r="AC45" i="145"/>
  <c r="V46" i="145"/>
  <c r="W46" i="145"/>
  <c r="X46" i="145"/>
  <c r="Y46" i="145"/>
  <c r="Z46" i="145"/>
  <c r="AA46" i="145"/>
  <c r="AB46" i="145"/>
  <c r="AC46" i="145"/>
  <c r="V47" i="145"/>
  <c r="W47" i="145"/>
  <c r="X47" i="145"/>
  <c r="Y47" i="145"/>
  <c r="Z47" i="145"/>
  <c r="AA47" i="145"/>
  <c r="AB47" i="145"/>
  <c r="AC47" i="145"/>
  <c r="V48" i="145"/>
  <c r="W48" i="145"/>
  <c r="X48" i="145"/>
  <c r="Y48" i="145"/>
  <c r="Z48" i="145"/>
  <c r="AA48" i="145"/>
  <c r="AB48" i="145"/>
  <c r="AC48" i="145"/>
  <c r="V49" i="145"/>
  <c r="W49" i="145"/>
  <c r="X49" i="145"/>
  <c r="Y49" i="145"/>
  <c r="Z49" i="145"/>
  <c r="AA49" i="145"/>
  <c r="AB49" i="145"/>
  <c r="AC49" i="145"/>
  <c r="V50" i="145"/>
  <c r="W50" i="145"/>
  <c r="X50" i="145"/>
  <c r="Y50" i="145"/>
  <c r="Z50" i="145"/>
  <c r="AA50" i="145"/>
  <c r="AB50" i="145"/>
  <c r="AC50" i="145"/>
  <c r="V51" i="145"/>
  <c r="W51" i="145"/>
  <c r="X51" i="145"/>
  <c r="Y51" i="145"/>
  <c r="Z51" i="145"/>
  <c r="AA51" i="145"/>
  <c r="AB51" i="145"/>
  <c r="AC51" i="145"/>
  <c r="V52" i="145"/>
  <c r="W52" i="145"/>
  <c r="X52" i="145"/>
  <c r="Y52" i="145"/>
  <c r="Z52" i="145"/>
  <c r="AA52" i="145"/>
  <c r="AB52" i="145"/>
  <c r="AC52" i="145"/>
  <c r="V53" i="145"/>
  <c r="W53" i="145"/>
  <c r="X53" i="145"/>
  <c r="Y53" i="145"/>
  <c r="Z53" i="145"/>
  <c r="AA53" i="145"/>
  <c r="AB53" i="145"/>
  <c r="AC53" i="145"/>
  <c r="V54" i="145"/>
  <c r="W54" i="145"/>
  <c r="X54" i="145"/>
  <c r="Y54" i="145"/>
  <c r="Z54" i="145"/>
  <c r="AA54" i="145"/>
  <c r="AB54" i="145"/>
  <c r="AC54" i="145"/>
  <c r="V55" i="145"/>
  <c r="W55" i="145"/>
  <c r="X55" i="145"/>
  <c r="Y55" i="145"/>
  <c r="Z55" i="145"/>
  <c r="AA55" i="145"/>
  <c r="AB55" i="145"/>
  <c r="AC55" i="145"/>
  <c r="V56" i="145"/>
  <c r="W56" i="145"/>
  <c r="X56" i="145"/>
  <c r="Y56" i="145"/>
  <c r="Z56" i="145"/>
  <c r="AA56" i="145"/>
  <c r="AB56" i="145"/>
  <c r="AC56" i="145"/>
  <c r="V57" i="145"/>
  <c r="W57" i="145"/>
  <c r="X57" i="145"/>
  <c r="Y57" i="145"/>
  <c r="Z57" i="145"/>
  <c r="AA57" i="145"/>
  <c r="AB57" i="145"/>
  <c r="AC57" i="145"/>
  <c r="V58" i="145"/>
  <c r="W58" i="145"/>
  <c r="X58" i="145"/>
  <c r="Y58" i="145"/>
  <c r="Z58" i="145"/>
  <c r="AA58" i="145"/>
  <c r="AB58" i="145"/>
  <c r="AC58" i="145"/>
  <c r="V59" i="145"/>
  <c r="W59" i="145"/>
  <c r="X59" i="145"/>
  <c r="Y59" i="145"/>
  <c r="Z59" i="145"/>
  <c r="AA59" i="145"/>
  <c r="AB59" i="145"/>
  <c r="AC59" i="145"/>
  <c r="V60" i="145"/>
  <c r="W60" i="145"/>
  <c r="X60" i="145"/>
  <c r="Y60" i="145"/>
  <c r="Z60" i="145"/>
  <c r="AA60" i="145"/>
  <c r="AB60" i="145"/>
  <c r="AC60" i="145"/>
  <c r="V61" i="145"/>
  <c r="W61" i="145"/>
  <c r="X61" i="145"/>
  <c r="Y61" i="145"/>
  <c r="Z61" i="145"/>
  <c r="AA61" i="145"/>
  <c r="AB61" i="145"/>
  <c r="AC61" i="145"/>
  <c r="V62" i="145"/>
  <c r="W62" i="145"/>
  <c r="X62" i="145"/>
  <c r="Y62" i="145"/>
  <c r="Z62" i="145"/>
  <c r="AA62" i="145"/>
  <c r="AB62" i="145"/>
  <c r="AC62" i="145"/>
  <c r="V63" i="145"/>
  <c r="W63" i="145"/>
  <c r="X63" i="145"/>
  <c r="Y63" i="145"/>
  <c r="Z63" i="145"/>
  <c r="AA63" i="145"/>
  <c r="AB63" i="145"/>
  <c r="AC63" i="145"/>
  <c r="V64" i="145"/>
  <c r="W64" i="145"/>
  <c r="X64" i="145"/>
  <c r="Y64" i="145"/>
  <c r="Z64" i="145"/>
  <c r="AA64" i="145"/>
  <c r="AB64" i="145"/>
  <c r="AC64" i="145"/>
  <c r="V65" i="145"/>
  <c r="W65" i="145"/>
  <c r="X65" i="145"/>
  <c r="Y65" i="145"/>
  <c r="Z65" i="145"/>
  <c r="AA65" i="145"/>
  <c r="AB65" i="145"/>
  <c r="AC65" i="145"/>
  <c r="V66" i="145"/>
  <c r="W66" i="145"/>
  <c r="X66" i="145"/>
  <c r="Y66" i="145"/>
  <c r="Z66" i="145"/>
  <c r="AA66" i="145"/>
  <c r="AB66" i="145"/>
  <c r="AC66" i="145"/>
  <c r="V67" i="145"/>
  <c r="W67" i="145"/>
  <c r="X67" i="145"/>
  <c r="Y67" i="145"/>
  <c r="Z67" i="145"/>
  <c r="AA67" i="145"/>
  <c r="AB67" i="145"/>
  <c r="AC67" i="145"/>
  <c r="V68" i="145"/>
  <c r="W68" i="145"/>
  <c r="X68" i="145"/>
  <c r="Y68" i="145"/>
  <c r="Z68" i="145"/>
  <c r="AA68" i="145"/>
  <c r="AB68" i="145"/>
  <c r="AC68" i="145"/>
  <c r="V69" i="145"/>
  <c r="W69" i="145"/>
  <c r="X69" i="145"/>
  <c r="Y69" i="145"/>
  <c r="Z69" i="145"/>
  <c r="AA69" i="145"/>
  <c r="AB69" i="145"/>
  <c r="AC69" i="145"/>
  <c r="V70" i="145"/>
  <c r="W70" i="145"/>
  <c r="X70" i="145"/>
  <c r="Y70" i="145"/>
  <c r="Z70" i="145"/>
  <c r="AA70" i="145"/>
  <c r="AB70" i="145"/>
  <c r="AC70" i="145"/>
  <c r="V71" i="145"/>
  <c r="W71" i="145"/>
  <c r="X71" i="145"/>
  <c r="Y71" i="145"/>
  <c r="Z71" i="145"/>
  <c r="AA71" i="145"/>
  <c r="AB71" i="145"/>
  <c r="AC71" i="145"/>
  <c r="V72" i="145"/>
  <c r="W72" i="145"/>
  <c r="X72" i="145"/>
  <c r="Y72" i="145"/>
  <c r="Z72" i="145"/>
  <c r="AA72" i="145"/>
  <c r="AB72" i="145"/>
  <c r="AC72" i="145"/>
  <c r="V73" i="145"/>
  <c r="W73" i="145"/>
  <c r="X73" i="145"/>
  <c r="Y73" i="145"/>
  <c r="Z73" i="145"/>
  <c r="AA73" i="145"/>
  <c r="AB73" i="145"/>
  <c r="AC73" i="145"/>
  <c r="V74" i="145"/>
  <c r="W74" i="145"/>
  <c r="X74" i="145"/>
  <c r="Y74" i="145"/>
  <c r="Z74" i="145"/>
  <c r="AA74" i="145"/>
  <c r="AB74" i="145"/>
  <c r="AC74" i="145"/>
  <c r="V75" i="145"/>
  <c r="W75" i="145"/>
  <c r="X75" i="145"/>
  <c r="Y75" i="145"/>
  <c r="Z75" i="145"/>
  <c r="AA75" i="145"/>
  <c r="AB75" i="145"/>
  <c r="AC75" i="145"/>
  <c r="V76" i="145"/>
  <c r="W76" i="145"/>
  <c r="X76" i="145"/>
  <c r="Y76" i="145"/>
  <c r="Z76" i="145"/>
  <c r="AA76" i="145"/>
  <c r="AB76" i="145"/>
  <c r="AC76" i="145"/>
  <c r="V77" i="145"/>
  <c r="W77" i="145"/>
  <c r="X77" i="145"/>
  <c r="Y77" i="145"/>
  <c r="Z77" i="145"/>
  <c r="AA77" i="145"/>
  <c r="AB77" i="145"/>
  <c r="AC77" i="145"/>
  <c r="V78" i="145"/>
  <c r="W78" i="145"/>
  <c r="X78" i="145"/>
  <c r="Y78" i="145"/>
  <c r="Z78" i="145"/>
  <c r="AA78" i="145"/>
  <c r="AB78" i="145"/>
  <c r="AC78" i="145"/>
  <c r="V79" i="145"/>
  <c r="W79" i="145"/>
  <c r="X79" i="145"/>
  <c r="Y79" i="145"/>
  <c r="Z79" i="145"/>
  <c r="AA79" i="145"/>
  <c r="AB79" i="145"/>
  <c r="AC79" i="145"/>
  <c r="V80" i="145"/>
  <c r="W80" i="145"/>
  <c r="X80" i="145"/>
  <c r="Y80" i="145"/>
  <c r="Z80" i="145"/>
  <c r="AA80" i="145"/>
  <c r="AB80" i="145"/>
  <c r="AC80" i="145"/>
  <c r="V81" i="145"/>
  <c r="W81" i="145"/>
  <c r="X81" i="145"/>
  <c r="Y81" i="145"/>
  <c r="Z81" i="145"/>
  <c r="AA81" i="145"/>
  <c r="AB81" i="145"/>
  <c r="AC81" i="145"/>
  <c r="W4" i="145"/>
  <c r="X4" i="145"/>
  <c r="Y4" i="145"/>
  <c r="Z4" i="145"/>
  <c r="AA4" i="145"/>
  <c r="AB4" i="145"/>
  <c r="AC4" i="145"/>
  <c r="V4" i="145"/>
  <c r="L5" i="145"/>
  <c r="M5" i="145"/>
  <c r="N5" i="145"/>
  <c r="O5" i="145"/>
  <c r="P5" i="145"/>
  <c r="Q5" i="145"/>
  <c r="R5" i="145"/>
  <c r="S5" i="145"/>
  <c r="L6" i="145"/>
  <c r="M6" i="145"/>
  <c r="N6" i="145"/>
  <c r="O6" i="145"/>
  <c r="P6" i="145"/>
  <c r="Q6" i="145"/>
  <c r="R6" i="145"/>
  <c r="S6" i="145"/>
  <c r="L7" i="145"/>
  <c r="M7" i="145"/>
  <c r="N7" i="145"/>
  <c r="O7" i="145"/>
  <c r="P7" i="145"/>
  <c r="Q7" i="145"/>
  <c r="R7" i="145"/>
  <c r="S7" i="145"/>
  <c r="L8" i="145"/>
  <c r="M8" i="145"/>
  <c r="N8" i="145"/>
  <c r="O8" i="145"/>
  <c r="P8" i="145"/>
  <c r="Q8" i="145"/>
  <c r="R8" i="145"/>
  <c r="S8" i="145"/>
  <c r="L9" i="145"/>
  <c r="M9" i="145"/>
  <c r="N9" i="145"/>
  <c r="O9" i="145"/>
  <c r="P9" i="145"/>
  <c r="Q9" i="145"/>
  <c r="R9" i="145"/>
  <c r="S9" i="145"/>
  <c r="L10" i="145"/>
  <c r="M10" i="145"/>
  <c r="N10" i="145"/>
  <c r="O10" i="145"/>
  <c r="P10" i="145"/>
  <c r="Q10" i="145"/>
  <c r="R10" i="145"/>
  <c r="S10" i="145"/>
  <c r="L11" i="145"/>
  <c r="M11" i="145"/>
  <c r="N11" i="145"/>
  <c r="O11" i="145"/>
  <c r="P11" i="145"/>
  <c r="Q11" i="145"/>
  <c r="R11" i="145"/>
  <c r="S11" i="145"/>
  <c r="L12" i="145"/>
  <c r="M12" i="145"/>
  <c r="N12" i="145"/>
  <c r="O12" i="145"/>
  <c r="P12" i="145"/>
  <c r="Q12" i="145"/>
  <c r="R12" i="145"/>
  <c r="S12" i="145"/>
  <c r="L13" i="145"/>
  <c r="M13" i="145"/>
  <c r="N13" i="145"/>
  <c r="O13" i="145"/>
  <c r="P13" i="145"/>
  <c r="Q13" i="145"/>
  <c r="R13" i="145"/>
  <c r="S13" i="145"/>
  <c r="L14" i="145"/>
  <c r="M14" i="145"/>
  <c r="N14" i="145"/>
  <c r="O14" i="145"/>
  <c r="P14" i="145"/>
  <c r="Q14" i="145"/>
  <c r="R14" i="145"/>
  <c r="S14" i="145"/>
  <c r="L15" i="145"/>
  <c r="M15" i="145"/>
  <c r="N15" i="145"/>
  <c r="O15" i="145"/>
  <c r="P15" i="145"/>
  <c r="Q15" i="145"/>
  <c r="R15" i="145"/>
  <c r="S15" i="145"/>
  <c r="L16" i="145"/>
  <c r="M16" i="145"/>
  <c r="N16" i="145"/>
  <c r="O16" i="145"/>
  <c r="P16" i="145"/>
  <c r="Q16" i="145"/>
  <c r="R16" i="145"/>
  <c r="S16" i="145"/>
  <c r="L17" i="145"/>
  <c r="M17" i="145"/>
  <c r="N17" i="145"/>
  <c r="O17" i="145"/>
  <c r="P17" i="145"/>
  <c r="Q17" i="145"/>
  <c r="R17" i="145"/>
  <c r="S17" i="145"/>
  <c r="L18" i="145"/>
  <c r="M18" i="145"/>
  <c r="N18" i="145"/>
  <c r="O18" i="145"/>
  <c r="P18" i="145"/>
  <c r="Q18" i="145"/>
  <c r="R18" i="145"/>
  <c r="S18" i="145"/>
  <c r="L19" i="145"/>
  <c r="M19" i="145"/>
  <c r="N19" i="145"/>
  <c r="O19" i="145"/>
  <c r="P19" i="145"/>
  <c r="Q19" i="145"/>
  <c r="R19" i="145"/>
  <c r="S19" i="145"/>
  <c r="L20" i="145"/>
  <c r="M20" i="145"/>
  <c r="N20" i="145"/>
  <c r="O20" i="145"/>
  <c r="P20" i="145"/>
  <c r="Q20" i="145"/>
  <c r="R20" i="145"/>
  <c r="S20" i="145"/>
  <c r="L21" i="145"/>
  <c r="M21" i="145"/>
  <c r="N21" i="145"/>
  <c r="O21" i="145"/>
  <c r="P21" i="145"/>
  <c r="Q21" i="145"/>
  <c r="R21" i="145"/>
  <c r="S21" i="145"/>
  <c r="L22" i="145"/>
  <c r="M22" i="145"/>
  <c r="N22" i="145"/>
  <c r="O22" i="145"/>
  <c r="P22" i="145"/>
  <c r="Q22" i="145"/>
  <c r="R22" i="145"/>
  <c r="S22" i="145"/>
  <c r="L23" i="145"/>
  <c r="M23" i="145"/>
  <c r="N23" i="145"/>
  <c r="O23" i="145"/>
  <c r="P23" i="145"/>
  <c r="Q23" i="145"/>
  <c r="R23" i="145"/>
  <c r="S23" i="145"/>
  <c r="L24" i="145"/>
  <c r="M24" i="145"/>
  <c r="N24" i="145"/>
  <c r="O24" i="145"/>
  <c r="P24" i="145"/>
  <c r="Q24" i="145"/>
  <c r="R24" i="145"/>
  <c r="S24" i="145"/>
  <c r="L25" i="145"/>
  <c r="M25" i="145"/>
  <c r="N25" i="145"/>
  <c r="O25" i="145"/>
  <c r="P25" i="145"/>
  <c r="Q25" i="145"/>
  <c r="R25" i="145"/>
  <c r="S25" i="145"/>
  <c r="L26" i="145"/>
  <c r="M26" i="145"/>
  <c r="N26" i="145"/>
  <c r="O26" i="145"/>
  <c r="P26" i="145"/>
  <c r="Q26" i="145"/>
  <c r="R26" i="145"/>
  <c r="S26" i="145"/>
  <c r="L27" i="145"/>
  <c r="M27" i="145"/>
  <c r="N27" i="145"/>
  <c r="O27" i="145"/>
  <c r="P27" i="145"/>
  <c r="Q27" i="145"/>
  <c r="R27" i="145"/>
  <c r="S27" i="145"/>
  <c r="L28" i="145"/>
  <c r="M28" i="145"/>
  <c r="N28" i="145"/>
  <c r="O28" i="145"/>
  <c r="P28" i="145"/>
  <c r="Q28" i="145"/>
  <c r="R28" i="145"/>
  <c r="S28" i="145"/>
  <c r="L29" i="145"/>
  <c r="M29" i="145"/>
  <c r="N29" i="145"/>
  <c r="O29" i="145"/>
  <c r="P29" i="145"/>
  <c r="Q29" i="145"/>
  <c r="R29" i="145"/>
  <c r="S29" i="145"/>
  <c r="L30" i="145"/>
  <c r="M30" i="145"/>
  <c r="N30" i="145"/>
  <c r="O30" i="145"/>
  <c r="P30" i="145"/>
  <c r="Q30" i="145"/>
  <c r="R30" i="145"/>
  <c r="S30" i="145"/>
  <c r="L31" i="145"/>
  <c r="M31" i="145"/>
  <c r="N31" i="145"/>
  <c r="O31" i="145"/>
  <c r="P31" i="145"/>
  <c r="Q31" i="145"/>
  <c r="R31" i="145"/>
  <c r="S31" i="145"/>
  <c r="L32" i="145"/>
  <c r="M32" i="145"/>
  <c r="N32" i="145"/>
  <c r="O32" i="145"/>
  <c r="P32" i="145"/>
  <c r="Q32" i="145"/>
  <c r="R32" i="145"/>
  <c r="S32" i="145"/>
  <c r="L33" i="145"/>
  <c r="M33" i="145"/>
  <c r="N33" i="145"/>
  <c r="O33" i="145"/>
  <c r="P33" i="145"/>
  <c r="Q33" i="145"/>
  <c r="R33" i="145"/>
  <c r="S33" i="145"/>
  <c r="L34" i="145"/>
  <c r="M34" i="145"/>
  <c r="N34" i="145"/>
  <c r="O34" i="145"/>
  <c r="P34" i="145"/>
  <c r="Q34" i="145"/>
  <c r="R34" i="145"/>
  <c r="S34" i="145"/>
  <c r="L35" i="145"/>
  <c r="M35" i="145"/>
  <c r="N35" i="145"/>
  <c r="O35" i="145"/>
  <c r="P35" i="145"/>
  <c r="Q35" i="145"/>
  <c r="R35" i="145"/>
  <c r="S35" i="145"/>
  <c r="M4" i="145"/>
  <c r="N4" i="145"/>
  <c r="O4" i="145"/>
  <c r="P4" i="145"/>
  <c r="Q4" i="145"/>
  <c r="R4" i="145"/>
  <c r="S4" i="145"/>
  <c r="L4" i="145"/>
  <c r="E239" i="145"/>
  <c r="E236" i="145" s="1"/>
  <c r="D239" i="145"/>
  <c r="D238" i="145"/>
  <c r="E235" i="145"/>
  <c r="E234" i="145"/>
  <c r="E238" i="145" s="1"/>
  <c r="D234" i="145"/>
  <c r="D230" i="145" s="1"/>
  <c r="E232" i="145"/>
  <c r="E231" i="145"/>
  <c r="AR266" i="145"/>
  <c r="E229" i="145"/>
  <c r="E233" i="145" s="1"/>
  <c r="D229" i="145"/>
  <c r="D231" i="145" s="1"/>
  <c r="E227" i="145"/>
  <c r="D226" i="145"/>
  <c r="D225" i="145"/>
  <c r="E224" i="145"/>
  <c r="E228" i="145" s="1"/>
  <c r="D224" i="145"/>
  <c r="D227" i="145" s="1"/>
  <c r="D222" i="145"/>
  <c r="D221" i="145"/>
  <c r="D220" i="145"/>
  <c r="E219" i="145"/>
  <c r="E223" i="145" s="1"/>
  <c r="D219" i="145"/>
  <c r="D223" i="145" s="1"/>
  <c r="E215" i="145"/>
  <c r="E214" i="145"/>
  <c r="E218" i="145" s="1"/>
  <c r="D214" i="145"/>
  <c r="D218" i="145" s="1"/>
  <c r="E212" i="145"/>
  <c r="E211" i="145"/>
  <c r="D210" i="145"/>
  <c r="I209" i="145"/>
  <c r="E209" i="145"/>
  <c r="J209" i="145" s="1"/>
  <c r="D209" i="145"/>
  <c r="D211" i="145" s="1"/>
  <c r="I206" i="145"/>
  <c r="H206" i="145"/>
  <c r="G206" i="145"/>
  <c r="F206" i="145"/>
  <c r="E206" i="145"/>
  <c r="D206" i="145"/>
  <c r="C206" i="145"/>
  <c r="H205" i="145"/>
  <c r="G205" i="145"/>
  <c r="F205" i="145"/>
  <c r="E205" i="145"/>
  <c r="D205" i="145"/>
  <c r="C205" i="145"/>
  <c r="H204" i="145"/>
  <c r="G204" i="145"/>
  <c r="F204" i="145"/>
  <c r="E204" i="145"/>
  <c r="D204" i="145"/>
  <c r="C204" i="145"/>
  <c r="H203" i="145"/>
  <c r="G203" i="145"/>
  <c r="F203" i="145"/>
  <c r="E203" i="145"/>
  <c r="D203" i="145"/>
  <c r="C203" i="145"/>
  <c r="H202" i="145"/>
  <c r="G202" i="145"/>
  <c r="F202" i="145"/>
  <c r="E202" i="145"/>
  <c r="D202" i="145"/>
  <c r="C202" i="145"/>
  <c r="H201" i="145"/>
  <c r="G201" i="145"/>
  <c r="F201" i="145"/>
  <c r="E201" i="145"/>
  <c r="D201" i="145"/>
  <c r="C201" i="145"/>
  <c r="H200" i="145"/>
  <c r="G200" i="145"/>
  <c r="F200" i="145"/>
  <c r="E200" i="145"/>
  <c r="D200" i="145"/>
  <c r="C200" i="145"/>
  <c r="H199" i="145"/>
  <c r="G199" i="145"/>
  <c r="F199" i="145"/>
  <c r="E199" i="145"/>
  <c r="D199" i="145"/>
  <c r="C199" i="145"/>
  <c r="H198" i="145"/>
  <c r="G198" i="145"/>
  <c r="F198" i="145"/>
  <c r="E198" i="145"/>
  <c r="D198" i="145"/>
  <c r="C198" i="145"/>
  <c r="I184" i="145"/>
  <c r="C109" i="145"/>
  <c r="B109" i="145"/>
  <c r="C108" i="145"/>
  <c r="C107" i="145"/>
  <c r="C106" i="145"/>
  <c r="C105" i="145"/>
  <c r="C104" i="145"/>
  <c r="C103" i="145"/>
  <c r="C102" i="145"/>
  <c r="C101" i="145"/>
  <c r="I100" i="145"/>
  <c r="H100" i="145"/>
  <c r="G100" i="145"/>
  <c r="F100" i="145"/>
  <c r="E100" i="145"/>
  <c r="D100" i="145"/>
  <c r="C100" i="145"/>
  <c r="B100" i="145"/>
  <c r="I99" i="145"/>
  <c r="H99" i="145"/>
  <c r="G99" i="145"/>
  <c r="F99" i="145"/>
  <c r="E99" i="145"/>
  <c r="D99" i="145"/>
  <c r="C99" i="145"/>
  <c r="B99" i="145"/>
  <c r="C98" i="145"/>
  <c r="C97" i="145"/>
  <c r="C96" i="145"/>
  <c r="C95" i="145"/>
  <c r="C94" i="145"/>
  <c r="C93" i="145"/>
  <c r="C92" i="145"/>
  <c r="C91" i="145"/>
  <c r="C90" i="145"/>
  <c r="I89" i="145"/>
  <c r="H89" i="145"/>
  <c r="G89" i="145"/>
  <c r="F89" i="145"/>
  <c r="E89" i="145"/>
  <c r="D89" i="145"/>
  <c r="C89" i="145"/>
  <c r="B89" i="145"/>
  <c r="I88" i="145"/>
  <c r="H88" i="145"/>
  <c r="G88" i="145"/>
  <c r="F88" i="145"/>
  <c r="E88" i="145"/>
  <c r="D88" i="145"/>
  <c r="C88" i="145"/>
  <c r="B88" i="145"/>
  <c r="B87" i="145"/>
  <c r="I78" i="145"/>
  <c r="H78" i="145"/>
  <c r="G78" i="145"/>
  <c r="F78" i="145"/>
  <c r="E78" i="145"/>
  <c r="D78" i="145"/>
  <c r="C78" i="145"/>
  <c r="B78" i="145"/>
  <c r="D11" i="145"/>
  <c r="D86" i="145" s="1"/>
  <c r="C11" i="145"/>
  <c r="C86" i="145" s="1"/>
  <c r="B10" i="145"/>
  <c r="BE144" i="145"/>
  <c r="G8" i="145" s="1"/>
  <c r="AC9" i="144"/>
  <c r="AD9" i="144"/>
  <c r="AE9" i="144"/>
  <c r="AF9" i="144"/>
  <c r="AG9" i="144"/>
  <c r="AH9" i="144"/>
  <c r="AI9" i="144"/>
  <c r="AJ9" i="144"/>
  <c r="AD8" i="144"/>
  <c r="AE8" i="144"/>
  <c r="AF8" i="144"/>
  <c r="AG8" i="144"/>
  <c r="AH8" i="144"/>
  <c r="AI8" i="144"/>
  <c r="AJ8" i="144"/>
  <c r="AC8" i="144"/>
  <c r="AC5" i="144"/>
  <c r="AD5" i="144"/>
  <c r="AE5" i="144"/>
  <c r="AF5" i="144"/>
  <c r="AG5" i="144"/>
  <c r="AH5" i="144"/>
  <c r="AI5" i="144"/>
  <c r="AJ5" i="144"/>
  <c r="AC6" i="144"/>
  <c r="AD6" i="144"/>
  <c r="AE6" i="144"/>
  <c r="AF6" i="144"/>
  <c r="AF7" i="144" s="1"/>
  <c r="AG6" i="144"/>
  <c r="AH6" i="144"/>
  <c r="AH7" i="144" s="1"/>
  <c r="AI6" i="144"/>
  <c r="AJ6" i="144"/>
  <c r="AD4" i="144"/>
  <c r="AE4" i="144"/>
  <c r="AF4" i="144"/>
  <c r="AG4" i="144"/>
  <c r="AH4" i="144"/>
  <c r="AI4" i="144"/>
  <c r="AJ4" i="144"/>
  <c r="AC4" i="144"/>
  <c r="Q31" i="144"/>
  <c r="R31" i="144"/>
  <c r="S31" i="144"/>
  <c r="T31" i="144"/>
  <c r="U31" i="144"/>
  <c r="V31" i="144"/>
  <c r="W31" i="144"/>
  <c r="X31" i="144"/>
  <c r="R30" i="144"/>
  <c r="S30" i="144"/>
  <c r="T30" i="144"/>
  <c r="U30" i="144"/>
  <c r="V30" i="144"/>
  <c r="W30" i="144"/>
  <c r="X30" i="144"/>
  <c r="Q30" i="144"/>
  <c r="Q27" i="144"/>
  <c r="R27" i="144"/>
  <c r="R29" i="144" s="1"/>
  <c r="S27" i="144"/>
  <c r="T27" i="144"/>
  <c r="U27" i="144"/>
  <c r="V27" i="144"/>
  <c r="W27" i="144"/>
  <c r="X27" i="144"/>
  <c r="Q28" i="144"/>
  <c r="R28" i="144"/>
  <c r="S28" i="144"/>
  <c r="T28" i="144"/>
  <c r="U28" i="144"/>
  <c r="V28" i="144"/>
  <c r="W28" i="144"/>
  <c r="X28" i="144"/>
  <c r="X29" i="144" s="1"/>
  <c r="R26" i="144"/>
  <c r="S26" i="144"/>
  <c r="T26" i="144"/>
  <c r="U26" i="144"/>
  <c r="V26" i="144"/>
  <c r="W26" i="144"/>
  <c r="X26" i="144"/>
  <c r="Q26" i="144"/>
  <c r="Q21" i="144"/>
  <c r="R21" i="144"/>
  <c r="S21" i="144"/>
  <c r="T21" i="144"/>
  <c r="U21" i="144"/>
  <c r="V21" i="144"/>
  <c r="W21" i="144"/>
  <c r="X21" i="144"/>
  <c r="R20" i="144"/>
  <c r="S20" i="144"/>
  <c r="T20" i="144"/>
  <c r="U20" i="144"/>
  <c r="V20" i="144"/>
  <c r="W20" i="144"/>
  <c r="X20" i="144"/>
  <c r="Q20" i="144"/>
  <c r="Q17" i="144"/>
  <c r="R17" i="144"/>
  <c r="S17" i="144"/>
  <c r="T17" i="144"/>
  <c r="U17" i="144"/>
  <c r="V17" i="144"/>
  <c r="W17" i="144"/>
  <c r="X17" i="144"/>
  <c r="Q18" i="144"/>
  <c r="Q19" i="144" s="1"/>
  <c r="R18" i="144"/>
  <c r="S18" i="144"/>
  <c r="T18" i="144"/>
  <c r="U18" i="144"/>
  <c r="V18" i="144"/>
  <c r="W18" i="144"/>
  <c r="X18" i="144"/>
  <c r="R16" i="144"/>
  <c r="S16" i="144"/>
  <c r="T16" i="144"/>
  <c r="U16" i="144"/>
  <c r="V16" i="144"/>
  <c r="W16" i="144"/>
  <c r="X16" i="144"/>
  <c r="Q16" i="144"/>
  <c r="E12" i="144"/>
  <c r="F12" i="144"/>
  <c r="G12" i="144"/>
  <c r="H12" i="144"/>
  <c r="I12" i="144"/>
  <c r="J12" i="144"/>
  <c r="K12" i="144"/>
  <c r="AK9" i="144" s="1"/>
  <c r="F11" i="144"/>
  <c r="G11" i="144"/>
  <c r="H11" i="144"/>
  <c r="I11" i="144"/>
  <c r="J11" i="144"/>
  <c r="K11" i="144"/>
  <c r="E11" i="144"/>
  <c r="F8" i="144"/>
  <c r="G8" i="144"/>
  <c r="H8" i="144"/>
  <c r="I8" i="144"/>
  <c r="J8" i="144"/>
  <c r="K8" i="144"/>
  <c r="E8" i="144"/>
  <c r="F7" i="144"/>
  <c r="G7" i="144"/>
  <c r="H7" i="144"/>
  <c r="I7" i="144"/>
  <c r="J7" i="144"/>
  <c r="K7" i="144"/>
  <c r="E7" i="144"/>
  <c r="Q8" i="144"/>
  <c r="Q9" i="144" s="1"/>
  <c r="F6" i="144" s="1"/>
  <c r="R8" i="144"/>
  <c r="R9" i="144" s="1"/>
  <c r="G6" i="144" s="1"/>
  <c r="S8" i="144"/>
  <c r="S9" i="144" s="1"/>
  <c r="H6" i="144" s="1"/>
  <c r="T8" i="144"/>
  <c r="T9" i="144" s="1"/>
  <c r="I6" i="144" s="1"/>
  <c r="U8" i="144"/>
  <c r="U9" i="144" s="1"/>
  <c r="J6" i="144" s="1"/>
  <c r="V8" i="144"/>
  <c r="V9" i="144" s="1"/>
  <c r="K6" i="144" s="1"/>
  <c r="W8" i="144"/>
  <c r="W9" i="144" s="1"/>
  <c r="P8" i="144"/>
  <c r="P9" i="144" s="1"/>
  <c r="E6" i="144" s="1"/>
  <c r="E5" i="144"/>
  <c r="F5" i="144"/>
  <c r="G5" i="144"/>
  <c r="H5" i="144"/>
  <c r="I5" i="144"/>
  <c r="J5" i="144"/>
  <c r="K5" i="144"/>
  <c r="AK5" i="144" s="1"/>
  <c r="F4" i="144"/>
  <c r="G4" i="144"/>
  <c r="H4" i="144"/>
  <c r="I4" i="144"/>
  <c r="J4" i="144"/>
  <c r="K4" i="144"/>
  <c r="E4" i="144"/>
  <c r="U29" i="144"/>
  <c r="T29" i="144"/>
  <c r="S29" i="144"/>
  <c r="V19" i="144"/>
  <c r="AQ34" i="145" l="1"/>
  <c r="C9" i="145" s="1"/>
  <c r="C84" i="145" s="1"/>
  <c r="T19" i="144"/>
  <c r="S19" i="144"/>
  <c r="AK6" i="144"/>
  <c r="B11" i="145"/>
  <c r="F10" i="145"/>
  <c r="F85" i="145" s="1"/>
  <c r="F193" i="145" s="1"/>
  <c r="AT84" i="145"/>
  <c r="I9" i="144"/>
  <c r="AG7" i="144"/>
  <c r="W19" i="144"/>
  <c r="U19" i="144"/>
  <c r="R19" i="144"/>
  <c r="Q29" i="144"/>
  <c r="H11" i="145"/>
  <c r="H86" i="145" s="1"/>
  <c r="V82" i="145"/>
  <c r="AP34" i="145"/>
  <c r="B9" i="145" s="1"/>
  <c r="AP84" i="145"/>
  <c r="AV203" i="145"/>
  <c r="AU265" i="145"/>
  <c r="AT227" i="145"/>
  <c r="AC7" i="144"/>
  <c r="W164" i="145"/>
  <c r="I10" i="145"/>
  <c r="I85" i="145" s="1"/>
  <c r="I171" i="145" s="1"/>
  <c r="AT34" i="145"/>
  <c r="F9" i="145" s="1"/>
  <c r="F84" i="145" s="1"/>
  <c r="F11" i="145"/>
  <c r="F86" i="145" s="1"/>
  <c r="F194" i="145" s="1"/>
  <c r="Q36" i="145"/>
  <c r="G4" i="145" s="1"/>
  <c r="G79" i="145" s="1"/>
  <c r="E11" i="145"/>
  <c r="E86" i="145" s="1"/>
  <c r="E194" i="145" s="1"/>
  <c r="H10" i="145"/>
  <c r="H85" i="145" s="1"/>
  <c r="AV34" i="145"/>
  <c r="H9" i="145" s="1"/>
  <c r="H20" i="145" s="1"/>
  <c r="H95" i="145" s="1"/>
  <c r="O36" i="145"/>
  <c r="E4" i="145" s="1"/>
  <c r="E79" i="145" s="1"/>
  <c r="AR84" i="145"/>
  <c r="AS203" i="145"/>
  <c r="AR203" i="145"/>
  <c r="M36" i="145"/>
  <c r="C4" i="145" s="1"/>
  <c r="C79" i="145" s="1"/>
  <c r="AQ179" i="145"/>
  <c r="R36" i="145"/>
  <c r="H4" i="145" s="1"/>
  <c r="AA164" i="145"/>
  <c r="G11" i="145"/>
  <c r="G86" i="145" s="1"/>
  <c r="G194" i="145" s="1"/>
  <c r="AT265" i="145"/>
  <c r="AI7" i="144"/>
  <c r="AE7" i="144"/>
  <c r="W29" i="144"/>
  <c r="K9" i="144"/>
  <c r="K10" i="144" s="1"/>
  <c r="AK8" i="144"/>
  <c r="AW84" i="145"/>
  <c r="AU34" i="145"/>
  <c r="G9" i="145" s="1"/>
  <c r="G84" i="145" s="1"/>
  <c r="AV84" i="145"/>
  <c r="AV179" i="145"/>
  <c r="I11" i="145"/>
  <c r="I86" i="145" s="1"/>
  <c r="I172" i="145" s="1"/>
  <c r="AV266" i="145"/>
  <c r="P36" i="145"/>
  <c r="F4" i="145" s="1"/>
  <c r="AA82" i="145"/>
  <c r="G10" i="145"/>
  <c r="G85" i="145" s="1"/>
  <c r="G193" i="145" s="1"/>
  <c r="AB82" i="145"/>
  <c r="AS34" i="145"/>
  <c r="E9" i="145" s="1"/>
  <c r="E33" i="145" s="1"/>
  <c r="E108" i="145" s="1"/>
  <c r="E10" i="145"/>
  <c r="E85" i="145" s="1"/>
  <c r="E171" i="145" s="1"/>
  <c r="D10" i="145"/>
  <c r="S36" i="145"/>
  <c r="I4" i="145" s="1"/>
  <c r="I26" i="145" s="1"/>
  <c r="I101" i="145" s="1"/>
  <c r="L36" i="145"/>
  <c r="B4" i="145" s="1"/>
  <c r="AQ84" i="145"/>
  <c r="AQ203" i="145"/>
  <c r="C10" i="145"/>
  <c r="C85" i="145" s="1"/>
  <c r="C193" i="145" s="1"/>
  <c r="BA144" i="145"/>
  <c r="C8" i="145" s="1"/>
  <c r="C83" i="145" s="1"/>
  <c r="C169" i="145" s="1"/>
  <c r="I10" i="144"/>
  <c r="AK4" i="144"/>
  <c r="AD7" i="144"/>
  <c r="AJ7" i="144"/>
  <c r="H9" i="144"/>
  <c r="H10" i="144" s="1"/>
  <c r="X19" i="144"/>
  <c r="J9" i="144"/>
  <c r="J10" i="144" s="1"/>
  <c r="V29" i="144"/>
  <c r="BF144" i="145"/>
  <c r="H8" i="145" s="1"/>
  <c r="H83" i="145" s="1"/>
  <c r="AP266" i="145"/>
  <c r="AR227" i="145"/>
  <c r="AV227" i="145"/>
  <c r="AU227" i="145"/>
  <c r="AP227" i="145"/>
  <c r="AP203" i="145"/>
  <c r="AU84" i="145"/>
  <c r="AW34" i="145"/>
  <c r="I9" i="145" s="1"/>
  <c r="I33" i="145" s="1"/>
  <c r="I108" i="145" s="1"/>
  <c r="AC82" i="145"/>
  <c r="W82" i="145"/>
  <c r="Z82" i="145"/>
  <c r="G83" i="145"/>
  <c r="C170" i="145"/>
  <c r="C192" i="145"/>
  <c r="F172" i="145"/>
  <c r="AS84" i="145"/>
  <c r="V164" i="145"/>
  <c r="AP179" i="145"/>
  <c r="AQ227" i="145"/>
  <c r="AW266" i="145"/>
  <c r="BG144" i="145"/>
  <c r="I8" i="145" s="1"/>
  <c r="I22" i="145"/>
  <c r="I97" i="145" s="1"/>
  <c r="X164" i="145"/>
  <c r="AR179" i="145"/>
  <c r="F171" i="145"/>
  <c r="AS227" i="145"/>
  <c r="AQ266" i="145"/>
  <c r="AZ144" i="145"/>
  <c r="B8" i="145" s="1"/>
  <c r="Y164" i="145"/>
  <c r="D85" i="145"/>
  <c r="AS179" i="145"/>
  <c r="AU203" i="145"/>
  <c r="AT203" i="145"/>
  <c r="C194" i="145"/>
  <c r="C172" i="145"/>
  <c r="Z164" i="145"/>
  <c r="AT179" i="145"/>
  <c r="AS266" i="145"/>
  <c r="AS265" i="145"/>
  <c r="X82" i="145"/>
  <c r="BB144" i="145"/>
  <c r="D8" i="145" s="1"/>
  <c r="D194" i="145"/>
  <c r="D172" i="145"/>
  <c r="AU179" i="145"/>
  <c r="D235" i="145"/>
  <c r="D236" i="145"/>
  <c r="D237" i="145"/>
  <c r="H194" i="145"/>
  <c r="H172" i="145"/>
  <c r="N36" i="145"/>
  <c r="D4" i="145" s="1"/>
  <c r="AR34" i="145"/>
  <c r="D9" i="145" s="1"/>
  <c r="BC144" i="145"/>
  <c r="E8" i="145" s="1"/>
  <c r="AB164" i="145"/>
  <c r="AW227" i="145"/>
  <c r="D22" i="145"/>
  <c r="D97" i="145" s="1"/>
  <c r="D32" i="145"/>
  <c r="D107" i="145" s="1"/>
  <c r="Y82" i="145"/>
  <c r="BD144" i="145"/>
  <c r="F8" i="145" s="1"/>
  <c r="F22" i="145"/>
  <c r="F97" i="145" s="1"/>
  <c r="F32" i="145"/>
  <c r="F107" i="145" s="1"/>
  <c r="AC164" i="145"/>
  <c r="AW179" i="145"/>
  <c r="AW203" i="145"/>
  <c r="D215" i="145"/>
  <c r="D216" i="145"/>
  <c r="D217" i="145"/>
  <c r="E210" i="145"/>
  <c r="J210" i="145" s="1"/>
  <c r="E222" i="145"/>
  <c r="E226" i="145"/>
  <c r="E230" i="145"/>
  <c r="AV265" i="145"/>
  <c r="AT266" i="145"/>
  <c r="D213" i="145"/>
  <c r="D233" i="145"/>
  <c r="AW265" i="145"/>
  <c r="AU266" i="145"/>
  <c r="AU267" i="145" s="1"/>
  <c r="I210" i="145"/>
  <c r="E213" i="145"/>
  <c r="E217" i="145"/>
  <c r="E221" i="145"/>
  <c r="E225" i="145"/>
  <c r="E237" i="145"/>
  <c r="AP265" i="145"/>
  <c r="D212" i="145"/>
  <c r="D228" i="145"/>
  <c r="D232" i="145"/>
  <c r="AQ265" i="145"/>
  <c r="E216" i="145"/>
  <c r="E220" i="145"/>
  <c r="AR265" i="145"/>
  <c r="AR267" i="145" s="1"/>
  <c r="E9" i="144"/>
  <c r="E10" i="144" s="1"/>
  <c r="G9" i="144"/>
  <c r="G10" i="144" s="1"/>
  <c r="F9" i="144"/>
  <c r="F10" i="144" s="1"/>
  <c r="E193" i="145" l="1"/>
  <c r="AP205" i="145"/>
  <c r="B7" i="145" s="1"/>
  <c r="F20" i="145"/>
  <c r="F95" i="145" s="1"/>
  <c r="F33" i="145"/>
  <c r="F108" i="145" s="1"/>
  <c r="H32" i="145"/>
  <c r="H107" i="145" s="1"/>
  <c r="I32" i="145"/>
  <c r="I107" i="145" s="1"/>
  <c r="G26" i="145"/>
  <c r="G101" i="145" s="1"/>
  <c r="G15" i="145"/>
  <c r="G90" i="145" s="1"/>
  <c r="E26" i="145"/>
  <c r="E101" i="145" s="1"/>
  <c r="H22" i="145"/>
  <c r="H97" i="145" s="1"/>
  <c r="G172" i="145"/>
  <c r="AK7" i="144"/>
  <c r="I15" i="145"/>
  <c r="I90" i="145" s="1"/>
  <c r="F15" i="145"/>
  <c r="F90" i="145" s="1"/>
  <c r="H26" i="145"/>
  <c r="H101" i="145" s="1"/>
  <c r="E32" i="145"/>
  <c r="E107" i="145" s="1"/>
  <c r="E22" i="145"/>
  <c r="E97" i="145" s="1"/>
  <c r="E15" i="145"/>
  <c r="E90" i="145" s="1"/>
  <c r="H171" i="145"/>
  <c r="H193" i="145"/>
  <c r="I79" i="145"/>
  <c r="I165" i="145" s="1"/>
  <c r="H15" i="145"/>
  <c r="H90" i="145" s="1"/>
  <c r="H79" i="145"/>
  <c r="H165" i="145" s="1"/>
  <c r="AV267" i="145"/>
  <c r="G32" i="145"/>
  <c r="G107" i="145" s="1"/>
  <c r="E172" i="145"/>
  <c r="G22" i="145"/>
  <c r="G97" i="145" s="1"/>
  <c r="AT267" i="145"/>
  <c r="G20" i="145"/>
  <c r="G95" i="145" s="1"/>
  <c r="G33" i="145"/>
  <c r="G108" i="145" s="1"/>
  <c r="G171" i="145"/>
  <c r="F79" i="145"/>
  <c r="F165" i="145" s="1"/>
  <c r="AQ205" i="145"/>
  <c r="C7" i="145" s="1"/>
  <c r="C82" i="145" s="1"/>
  <c r="C168" i="145" s="1"/>
  <c r="D21" i="145"/>
  <c r="D96" i="145" s="1"/>
  <c r="E84" i="145"/>
  <c r="E192" i="145" s="1"/>
  <c r="H84" i="145"/>
  <c r="H170" i="145" s="1"/>
  <c r="H30" i="145"/>
  <c r="H105" i="145" s="1"/>
  <c r="C191" i="145"/>
  <c r="G30" i="145"/>
  <c r="G105" i="145" s="1"/>
  <c r="E20" i="145"/>
  <c r="E95" i="145" s="1"/>
  <c r="G19" i="145"/>
  <c r="G94" i="145" s="1"/>
  <c r="H33" i="145"/>
  <c r="H108" i="145" s="1"/>
  <c r="AV205" i="145"/>
  <c r="H7" i="145" s="1"/>
  <c r="H82" i="145" s="1"/>
  <c r="I31" i="145"/>
  <c r="I106" i="145" s="1"/>
  <c r="H21" i="145"/>
  <c r="H96" i="145" s="1"/>
  <c r="E31" i="145"/>
  <c r="E106" i="145" s="1"/>
  <c r="D31" i="145"/>
  <c r="D106" i="145" s="1"/>
  <c r="C171" i="145"/>
  <c r="F26" i="145"/>
  <c r="F101" i="145" s="1"/>
  <c r="H31" i="145"/>
  <c r="H106" i="145" s="1"/>
  <c r="F31" i="145"/>
  <c r="F106" i="145" s="1"/>
  <c r="I21" i="145"/>
  <c r="I96" i="145" s="1"/>
  <c r="G31" i="145"/>
  <c r="G106" i="145" s="1"/>
  <c r="E21" i="145"/>
  <c r="E96" i="145" s="1"/>
  <c r="F21" i="145"/>
  <c r="F96" i="145" s="1"/>
  <c r="G21" i="145"/>
  <c r="G96" i="145" s="1"/>
  <c r="I84" i="145"/>
  <c r="I170" i="145" s="1"/>
  <c r="H19" i="145"/>
  <c r="H94" i="145" s="1"/>
  <c r="AP267" i="145"/>
  <c r="AW267" i="145"/>
  <c r="AQ267" i="145"/>
  <c r="AS267" i="145"/>
  <c r="AT205" i="145"/>
  <c r="F7" i="145" s="1"/>
  <c r="AS205" i="145"/>
  <c r="E7" i="145" s="1"/>
  <c r="I20" i="145"/>
  <c r="I95" i="145" s="1"/>
  <c r="AR205" i="145"/>
  <c r="D7" i="145" s="1"/>
  <c r="AW205" i="145"/>
  <c r="I7" i="145" s="1"/>
  <c r="I82" i="145" s="1"/>
  <c r="I168" i="145" s="1"/>
  <c r="J211" i="145"/>
  <c r="I83" i="145"/>
  <c r="I169" i="145" s="1"/>
  <c r="I30" i="145"/>
  <c r="I105" i="145" s="1"/>
  <c r="I19" i="145"/>
  <c r="I94" i="145" s="1"/>
  <c r="AU205" i="145"/>
  <c r="G7" i="145" s="1"/>
  <c r="C187" i="145"/>
  <c r="C165" i="145"/>
  <c r="G192" i="145"/>
  <c r="G170" i="145"/>
  <c r="F83" i="145"/>
  <c r="F19" i="145"/>
  <c r="F94" i="145" s="1"/>
  <c r="F30" i="145"/>
  <c r="F105" i="145" s="1"/>
  <c r="E83" i="145"/>
  <c r="E19" i="145"/>
  <c r="E94" i="145" s="1"/>
  <c r="E30" i="145"/>
  <c r="E105" i="145" s="1"/>
  <c r="D83" i="145"/>
  <c r="D19" i="145"/>
  <c r="D94" i="145" s="1"/>
  <c r="D30" i="145"/>
  <c r="D105" i="145" s="1"/>
  <c r="E170" i="145"/>
  <c r="D84" i="145"/>
  <c r="D33" i="145"/>
  <c r="D108" i="145" s="1"/>
  <c r="D20" i="145"/>
  <c r="D95" i="145" s="1"/>
  <c r="D171" i="145"/>
  <c r="D193" i="145"/>
  <c r="E187" i="145"/>
  <c r="E165" i="145"/>
  <c r="H169" i="145"/>
  <c r="H191" i="145"/>
  <c r="G191" i="145"/>
  <c r="G169" i="145"/>
  <c r="I211" i="145"/>
  <c r="D79" i="145"/>
  <c r="D15" i="145"/>
  <c r="D90" i="145" s="1"/>
  <c r="D26" i="145"/>
  <c r="D101" i="145" s="1"/>
  <c r="F192" i="145"/>
  <c r="F170" i="145"/>
  <c r="G187" i="145"/>
  <c r="G165" i="145"/>
  <c r="M14" i="122"/>
  <c r="L30" i="91"/>
  <c r="Q5" i="135"/>
  <c r="Q6" i="135"/>
  <c r="Q7" i="135"/>
  <c r="Q9" i="135"/>
  <c r="Q10" i="135"/>
  <c r="Q11" i="135"/>
  <c r="Q12" i="135"/>
  <c r="Q14" i="135"/>
  <c r="Q16" i="135"/>
  <c r="Q18" i="135"/>
  <c r="Q20" i="135"/>
  <c r="Q21" i="135"/>
  <c r="Q22" i="135"/>
  <c r="Q23" i="135"/>
  <c r="Q24" i="135"/>
  <c r="Q25" i="135"/>
  <c r="Q26" i="135"/>
  <c r="Q27" i="135"/>
  <c r="Q28" i="135"/>
  <c r="Q31" i="135"/>
  <c r="Q32" i="135"/>
  <c r="Q3" i="135"/>
  <c r="P4" i="135"/>
  <c r="P5" i="135"/>
  <c r="P7" i="135"/>
  <c r="P8" i="135"/>
  <c r="P11" i="135"/>
  <c r="P12" i="135"/>
  <c r="P13" i="135"/>
  <c r="P15" i="135"/>
  <c r="P16" i="135"/>
  <c r="P17" i="135"/>
  <c r="P18" i="135"/>
  <c r="P19" i="135"/>
  <c r="P20" i="135"/>
  <c r="P21" i="135"/>
  <c r="P24" i="135"/>
  <c r="P26" i="135"/>
  <c r="P27" i="135"/>
  <c r="P28" i="135"/>
  <c r="P29" i="135"/>
  <c r="P30" i="135"/>
  <c r="P32" i="135"/>
  <c r="P33" i="135"/>
  <c r="P3" i="135"/>
  <c r="O4" i="135"/>
  <c r="O6" i="135"/>
  <c r="O7" i="135"/>
  <c r="O8" i="135"/>
  <c r="O9" i="135"/>
  <c r="O10" i="135"/>
  <c r="O13" i="135"/>
  <c r="O14" i="135"/>
  <c r="O15" i="135"/>
  <c r="O17" i="135"/>
  <c r="O19" i="135"/>
  <c r="O20" i="135"/>
  <c r="O21" i="135"/>
  <c r="O22" i="135"/>
  <c r="O23" i="135"/>
  <c r="O24" i="135"/>
  <c r="O25" i="135"/>
  <c r="O28" i="135"/>
  <c r="O29" i="135"/>
  <c r="O30" i="135"/>
  <c r="O31" i="135"/>
  <c r="O32" i="135"/>
  <c r="O33" i="135"/>
  <c r="O3" i="135"/>
  <c r="N4" i="135"/>
  <c r="N5" i="135"/>
  <c r="N6" i="135"/>
  <c r="N8" i="135"/>
  <c r="N9" i="135"/>
  <c r="N10" i="135"/>
  <c r="N11" i="135"/>
  <c r="N12" i="135"/>
  <c r="N13" i="135"/>
  <c r="N14" i="135"/>
  <c r="N15" i="135"/>
  <c r="N16" i="135"/>
  <c r="N17" i="135"/>
  <c r="N18" i="135"/>
  <c r="N19" i="135"/>
  <c r="N20" i="135"/>
  <c r="N22" i="135"/>
  <c r="N23" i="135"/>
  <c r="N25" i="135"/>
  <c r="N26" i="135"/>
  <c r="N27" i="135"/>
  <c r="N29" i="135"/>
  <c r="N30" i="135"/>
  <c r="N31" i="135"/>
  <c r="N33" i="135"/>
  <c r="F187" i="145" l="1"/>
  <c r="F29" i="145"/>
  <c r="F104" i="145" s="1"/>
  <c r="H192" i="145"/>
  <c r="H187" i="145"/>
  <c r="C190" i="145"/>
  <c r="E29" i="145"/>
  <c r="E104" i="145" s="1"/>
  <c r="D18" i="145"/>
  <c r="D93" i="145" s="1"/>
  <c r="F82" i="145"/>
  <c r="F168" i="145" s="1"/>
  <c r="F18" i="145"/>
  <c r="F93" i="145" s="1"/>
  <c r="E18" i="145"/>
  <c r="E93" i="145" s="1"/>
  <c r="E82" i="145"/>
  <c r="E168" i="145" s="1"/>
  <c r="I18" i="145"/>
  <c r="I93" i="145" s="1"/>
  <c r="I29" i="145"/>
  <c r="I104" i="145" s="1"/>
  <c r="D82" i="145"/>
  <c r="D168" i="145" s="1"/>
  <c r="H18" i="145"/>
  <c r="H93" i="145" s="1"/>
  <c r="H29" i="145"/>
  <c r="H104" i="145" s="1"/>
  <c r="D29" i="145"/>
  <c r="D104" i="145" s="1"/>
  <c r="D187" i="145"/>
  <c r="D165" i="145"/>
  <c r="D191" i="145"/>
  <c r="D169" i="145"/>
  <c r="H168" i="145"/>
  <c r="H190" i="145"/>
  <c r="F191" i="145"/>
  <c r="F169" i="145"/>
  <c r="I212" i="145"/>
  <c r="E191" i="145"/>
  <c r="E169" i="145"/>
  <c r="J212" i="145"/>
  <c r="G82" i="145"/>
  <c r="G29" i="145"/>
  <c r="G104" i="145" s="1"/>
  <c r="G18" i="145"/>
  <c r="G93" i="145" s="1"/>
  <c r="D170" i="145"/>
  <c r="D192" i="145"/>
  <c r="N65" i="97"/>
  <c r="O65" i="97"/>
  <c r="P65" i="97"/>
  <c r="Q65" i="97"/>
  <c r="R65" i="97"/>
  <c r="S65" i="97"/>
  <c r="T65" i="97"/>
  <c r="M65" i="97"/>
  <c r="E5" i="71"/>
  <c r="F5" i="71"/>
  <c r="G5" i="71"/>
  <c r="H5" i="71"/>
  <c r="I5" i="71"/>
  <c r="J5" i="71"/>
  <c r="K5" i="71"/>
  <c r="F6" i="71"/>
  <c r="G6" i="71"/>
  <c r="H6" i="71"/>
  <c r="I6" i="71"/>
  <c r="J6" i="71"/>
  <c r="K6" i="71"/>
  <c r="E6" i="71"/>
  <c r="E31" i="110"/>
  <c r="F31" i="110"/>
  <c r="G31" i="110"/>
  <c r="H31" i="110"/>
  <c r="I31" i="110"/>
  <c r="J31" i="110"/>
  <c r="K31" i="110"/>
  <c r="D31" i="110"/>
  <c r="E12" i="110"/>
  <c r="F12" i="110"/>
  <c r="G12" i="110"/>
  <c r="H12" i="110"/>
  <c r="I12" i="110"/>
  <c r="J12" i="110"/>
  <c r="K12" i="110"/>
  <c r="D12" i="110"/>
  <c r="D37" i="99"/>
  <c r="E37" i="99"/>
  <c r="F37" i="99"/>
  <c r="G37" i="99"/>
  <c r="H37" i="99"/>
  <c r="I37" i="99"/>
  <c r="J37" i="99"/>
  <c r="K37" i="99"/>
  <c r="F190" i="145" l="1"/>
  <c r="E190" i="145"/>
  <c r="D190" i="145"/>
  <c r="G168" i="145"/>
  <c r="G190" i="145"/>
  <c r="I213" i="145"/>
  <c r="J213" i="145"/>
  <c r="P36" i="98"/>
  <c r="Q36" i="98"/>
  <c r="R36" i="98"/>
  <c r="S36" i="98"/>
  <c r="T36" i="98"/>
  <c r="U36" i="98"/>
  <c r="V36" i="98"/>
  <c r="O36" i="98"/>
  <c r="M67" i="97"/>
  <c r="N67" i="97"/>
  <c r="O67" i="97"/>
  <c r="P67" i="97"/>
  <c r="Q67" i="97"/>
  <c r="R67" i="97"/>
  <c r="S67" i="97"/>
  <c r="T67" i="97"/>
  <c r="N66" i="97"/>
  <c r="O66" i="97"/>
  <c r="P66" i="97"/>
  <c r="Q66" i="97"/>
  <c r="R66" i="97"/>
  <c r="S66" i="97"/>
  <c r="T66" i="97"/>
  <c r="M66" i="97"/>
  <c r="I214" i="145" l="1"/>
  <c r="J214" i="145"/>
  <c r="E9" i="108"/>
  <c r="F9" i="108"/>
  <c r="G9" i="108"/>
  <c r="H9" i="108"/>
  <c r="I9" i="108"/>
  <c r="J9" i="108"/>
  <c r="K9" i="108"/>
  <c r="D9" i="108"/>
  <c r="E67" i="110"/>
  <c r="F67" i="110"/>
  <c r="G67" i="110"/>
  <c r="H67" i="110"/>
  <c r="I67" i="110"/>
  <c r="J67" i="110"/>
  <c r="K67" i="110"/>
  <c r="D67" i="110"/>
  <c r="D33" i="110"/>
  <c r="E33" i="110"/>
  <c r="F33" i="110"/>
  <c r="G33" i="110"/>
  <c r="H33" i="110"/>
  <c r="I33" i="110"/>
  <c r="J33" i="110"/>
  <c r="K33" i="110"/>
  <c r="E32" i="110"/>
  <c r="F32" i="110"/>
  <c r="G32" i="110"/>
  <c r="H32" i="110"/>
  <c r="I32" i="110"/>
  <c r="J32" i="110"/>
  <c r="K32" i="110"/>
  <c r="D32" i="110"/>
  <c r="D14" i="110"/>
  <c r="E14" i="110"/>
  <c r="F14" i="110"/>
  <c r="G14" i="110"/>
  <c r="H14" i="110"/>
  <c r="I14" i="110"/>
  <c r="J14" i="110"/>
  <c r="K14" i="110"/>
  <c r="E13" i="110"/>
  <c r="F13" i="110"/>
  <c r="G13" i="110"/>
  <c r="H13" i="110"/>
  <c r="I13" i="110"/>
  <c r="J13" i="110"/>
  <c r="K13" i="110"/>
  <c r="D13" i="110"/>
  <c r="D30" i="112"/>
  <c r="E30" i="112"/>
  <c r="F30" i="112"/>
  <c r="G30" i="112"/>
  <c r="H30" i="112"/>
  <c r="I30" i="112"/>
  <c r="J30" i="112"/>
  <c r="K30" i="112"/>
  <c r="D31" i="112"/>
  <c r="E31" i="112"/>
  <c r="F31" i="112"/>
  <c r="G31" i="112"/>
  <c r="H31" i="112"/>
  <c r="I31" i="112"/>
  <c r="J31" i="112"/>
  <c r="K31" i="112"/>
  <c r="D32" i="112"/>
  <c r="E32" i="112"/>
  <c r="F32" i="112"/>
  <c r="G32" i="112"/>
  <c r="H32" i="112"/>
  <c r="I32" i="112"/>
  <c r="J32" i="112"/>
  <c r="K32" i="112"/>
  <c r="D33" i="112"/>
  <c r="E33" i="112"/>
  <c r="F33" i="112"/>
  <c r="G33" i="112"/>
  <c r="H33" i="112"/>
  <c r="I33" i="112"/>
  <c r="J33" i="112"/>
  <c r="K33" i="112"/>
  <c r="D34" i="112"/>
  <c r="E34" i="112"/>
  <c r="F34" i="112"/>
  <c r="G34" i="112"/>
  <c r="H34" i="112"/>
  <c r="I34" i="112"/>
  <c r="J34" i="112"/>
  <c r="K34" i="112"/>
  <c r="E29" i="112"/>
  <c r="F29" i="112"/>
  <c r="G29" i="112"/>
  <c r="H29" i="112"/>
  <c r="I29" i="112"/>
  <c r="J29" i="112"/>
  <c r="K29" i="112"/>
  <c r="D29" i="112"/>
  <c r="E4" i="112"/>
  <c r="F4" i="112"/>
  <c r="G4" i="112"/>
  <c r="H4" i="112"/>
  <c r="I4" i="112"/>
  <c r="J4" i="112"/>
  <c r="K4" i="112"/>
  <c r="D4" i="112"/>
  <c r="I215" i="145" l="1"/>
  <c r="J215" i="145"/>
  <c r="J216" i="145" l="1"/>
  <c r="I216" i="145"/>
  <c r="Q30" i="92"/>
  <c r="R30" i="92"/>
  <c r="S30" i="92"/>
  <c r="T30" i="92"/>
  <c r="U30" i="92"/>
  <c r="V30" i="92"/>
  <c r="W30" i="92"/>
  <c r="X30" i="92"/>
  <c r="I217" i="145" l="1"/>
  <c r="J217" i="145"/>
  <c r="AG80" i="130"/>
  <c r="AH80" i="130"/>
  <c r="AI80" i="130"/>
  <c r="AJ80" i="130"/>
  <c r="AK80" i="130"/>
  <c r="AL80" i="130"/>
  <c r="AM80" i="130"/>
  <c r="AG81" i="130"/>
  <c r="AH81" i="130"/>
  <c r="AI81" i="130"/>
  <c r="AJ81" i="130"/>
  <c r="AK81" i="130"/>
  <c r="AL81" i="130"/>
  <c r="AM81" i="130"/>
  <c r="AF81" i="130"/>
  <c r="E44" i="127"/>
  <c r="BL295" i="127"/>
  <c r="BM295" i="127" s="1"/>
  <c r="BM294" i="127"/>
  <c r="BM293" i="127"/>
  <c r="BM292" i="127"/>
  <c r="BM291" i="127"/>
  <c r="BM290" i="127"/>
  <c r="BM289" i="127"/>
  <c r="BM288" i="127"/>
  <c r="BM287" i="127"/>
  <c r="D44" i="91"/>
  <c r="C52" i="91"/>
  <c r="D52" i="91" s="1"/>
  <c r="D51" i="91"/>
  <c r="D50" i="91"/>
  <c r="D49" i="91"/>
  <c r="D48" i="91"/>
  <c r="D47" i="91"/>
  <c r="D46" i="91"/>
  <c r="D45" i="91"/>
  <c r="J218" i="145" l="1"/>
  <c r="I218" i="145"/>
  <c r="S9" i="137"/>
  <c r="X9" i="137"/>
  <c r="W9" i="137"/>
  <c r="V9" i="137"/>
  <c r="U9" i="137"/>
  <c r="T9" i="137"/>
  <c r="R9" i="137"/>
  <c r="J6" i="136"/>
  <c r="J5" i="136" s="1"/>
  <c r="I219" i="145" l="1"/>
  <c r="J219" i="145"/>
  <c r="J220" i="145" l="1"/>
  <c r="I220" i="145"/>
  <c r="H19" i="116"/>
  <c r="D57" i="110"/>
  <c r="E57" i="110"/>
  <c r="F57" i="110"/>
  <c r="G57" i="110"/>
  <c r="H57" i="110"/>
  <c r="I57" i="110"/>
  <c r="J57" i="110"/>
  <c r="K57" i="110"/>
  <c r="D58" i="110"/>
  <c r="E58" i="110"/>
  <c r="F58" i="110"/>
  <c r="G58" i="110"/>
  <c r="H58" i="110"/>
  <c r="I58" i="110"/>
  <c r="J58" i="110"/>
  <c r="K58" i="110"/>
  <c r="E56" i="110"/>
  <c r="F56" i="110"/>
  <c r="G56" i="110"/>
  <c r="H56" i="110"/>
  <c r="I56" i="110"/>
  <c r="J56" i="110"/>
  <c r="K56" i="110"/>
  <c r="D56" i="110"/>
  <c r="E47" i="110"/>
  <c r="F47" i="110"/>
  <c r="G47" i="110"/>
  <c r="H47" i="110"/>
  <c r="I47" i="110"/>
  <c r="J47" i="110"/>
  <c r="K47" i="110"/>
  <c r="D47" i="110"/>
  <c r="D35" i="110"/>
  <c r="E35" i="110"/>
  <c r="F35" i="110"/>
  <c r="G35" i="110"/>
  <c r="H35" i="110"/>
  <c r="I35" i="110"/>
  <c r="J35" i="110"/>
  <c r="K35" i="110"/>
  <c r="E34" i="110"/>
  <c r="F34" i="110"/>
  <c r="G34" i="110"/>
  <c r="H34" i="110"/>
  <c r="I34" i="110"/>
  <c r="J34" i="110"/>
  <c r="K34" i="110"/>
  <c r="D34" i="110"/>
  <c r="D16" i="110"/>
  <c r="E16" i="110"/>
  <c r="F16" i="110"/>
  <c r="G16" i="110"/>
  <c r="H16" i="110"/>
  <c r="I16" i="110"/>
  <c r="J16" i="110"/>
  <c r="K16" i="110"/>
  <c r="E15" i="110"/>
  <c r="F15" i="110"/>
  <c r="G15" i="110"/>
  <c r="H15" i="110"/>
  <c r="I15" i="110"/>
  <c r="J15" i="110"/>
  <c r="K15" i="110"/>
  <c r="D15" i="110"/>
  <c r="D75" i="102"/>
  <c r="E75" i="102"/>
  <c r="F75" i="102"/>
  <c r="G75" i="102"/>
  <c r="H75" i="102"/>
  <c r="I75" i="102"/>
  <c r="J75" i="102"/>
  <c r="C75" i="102"/>
  <c r="D13" i="102"/>
  <c r="E13" i="102"/>
  <c r="F13" i="102"/>
  <c r="G13" i="102"/>
  <c r="H13" i="102"/>
  <c r="I13" i="102"/>
  <c r="J13" i="102"/>
  <c r="C13" i="102"/>
  <c r="J221" i="145" l="1"/>
  <c r="I221" i="145"/>
  <c r="AC20" i="137"/>
  <c r="AJ20" i="137"/>
  <c r="AI20" i="137"/>
  <c r="AH20" i="137"/>
  <c r="AG20" i="137"/>
  <c r="AF20" i="137"/>
  <c r="AE20" i="137"/>
  <c r="AD20" i="137"/>
  <c r="J222" i="145" l="1"/>
  <c r="I222" i="145"/>
  <c r="P7" i="117"/>
  <c r="Q7" i="117"/>
  <c r="R7" i="117"/>
  <c r="S7" i="117"/>
  <c r="T7" i="117"/>
  <c r="U7" i="117"/>
  <c r="V7" i="117"/>
  <c r="O7" i="117"/>
  <c r="Q72" i="123"/>
  <c r="R72" i="123"/>
  <c r="S72" i="123"/>
  <c r="T72" i="123"/>
  <c r="U72" i="123"/>
  <c r="V72" i="123"/>
  <c r="W72" i="123"/>
  <c r="X72" i="123"/>
  <c r="Q73" i="123"/>
  <c r="R73" i="123"/>
  <c r="S73" i="123"/>
  <c r="T73" i="123"/>
  <c r="U73" i="123"/>
  <c r="V73" i="123"/>
  <c r="W73" i="123"/>
  <c r="X73" i="123"/>
  <c r="Q74" i="123"/>
  <c r="R74" i="123"/>
  <c r="S74" i="123"/>
  <c r="T74" i="123"/>
  <c r="U74" i="123"/>
  <c r="V74" i="123"/>
  <c r="W74" i="123"/>
  <c r="X74" i="123"/>
  <c r="Q75" i="123"/>
  <c r="R75" i="123"/>
  <c r="S75" i="123"/>
  <c r="T75" i="123"/>
  <c r="U75" i="123"/>
  <c r="V75" i="123"/>
  <c r="W75" i="123"/>
  <c r="X75" i="123"/>
  <c r="Q76" i="123"/>
  <c r="R76" i="123"/>
  <c r="S76" i="123"/>
  <c r="T76" i="123"/>
  <c r="U76" i="123"/>
  <c r="V76" i="123"/>
  <c r="W76" i="123"/>
  <c r="X76" i="123"/>
  <c r="Q77" i="123"/>
  <c r="R77" i="123"/>
  <c r="S77" i="123"/>
  <c r="T77" i="123"/>
  <c r="U77" i="123"/>
  <c r="V77" i="123"/>
  <c r="W77" i="123"/>
  <c r="X77" i="123"/>
  <c r="R78" i="123"/>
  <c r="S78" i="123"/>
  <c r="T78" i="123"/>
  <c r="U78" i="123"/>
  <c r="V78" i="123"/>
  <c r="W78" i="123"/>
  <c r="X78" i="123"/>
  <c r="Q79" i="123"/>
  <c r="R79" i="123"/>
  <c r="S79" i="123"/>
  <c r="T79" i="123"/>
  <c r="U79" i="123"/>
  <c r="V79" i="123"/>
  <c r="W79" i="123"/>
  <c r="X79" i="123"/>
  <c r="R71" i="123"/>
  <c r="S71" i="123"/>
  <c r="T71" i="123"/>
  <c r="U71" i="123"/>
  <c r="V71" i="123"/>
  <c r="W71" i="123"/>
  <c r="X71" i="123"/>
  <c r="Q71" i="123"/>
  <c r="Q7" i="123"/>
  <c r="R7" i="123"/>
  <c r="S7" i="123"/>
  <c r="T7" i="123"/>
  <c r="U7" i="123"/>
  <c r="V7" i="123"/>
  <c r="W7" i="123"/>
  <c r="X7" i="123"/>
  <c r="Q8" i="123"/>
  <c r="R8" i="123"/>
  <c r="S8" i="123"/>
  <c r="T8" i="123"/>
  <c r="U8" i="123"/>
  <c r="V8" i="123"/>
  <c r="W8" i="123"/>
  <c r="X8" i="123"/>
  <c r="R6" i="123"/>
  <c r="S6" i="123"/>
  <c r="T6" i="123"/>
  <c r="U6" i="123"/>
  <c r="V6" i="123"/>
  <c r="W6" i="123"/>
  <c r="X6" i="123"/>
  <c r="Q6" i="123"/>
  <c r="E9" i="91"/>
  <c r="F9" i="91"/>
  <c r="G9" i="91"/>
  <c r="H9" i="91"/>
  <c r="I9" i="91"/>
  <c r="J9" i="91"/>
  <c r="D9" i="91"/>
  <c r="R82" i="92"/>
  <c r="S82" i="92"/>
  <c r="T82" i="92"/>
  <c r="U82" i="92"/>
  <c r="V82" i="92"/>
  <c r="W82" i="92"/>
  <c r="X82" i="92"/>
  <c r="R83" i="92"/>
  <c r="S83" i="92"/>
  <c r="T83" i="92"/>
  <c r="U83" i="92"/>
  <c r="V83" i="92"/>
  <c r="W83" i="92"/>
  <c r="X83" i="92"/>
  <c r="Q83" i="92"/>
  <c r="I223" i="145" l="1"/>
  <c r="J223" i="145"/>
  <c r="M16" i="125"/>
  <c r="L15" i="125"/>
  <c r="L16" i="125"/>
  <c r="K15" i="125"/>
  <c r="K16" i="125"/>
  <c r="I15" i="125"/>
  <c r="I16" i="125"/>
  <c r="M15" i="125"/>
  <c r="H15" i="125"/>
  <c r="H16" i="125"/>
  <c r="J15" i="125"/>
  <c r="J16" i="125"/>
  <c r="G15" i="125"/>
  <c r="G16" i="125"/>
  <c r="K10" i="69" l="1"/>
  <c r="X10" i="136"/>
  <c r="X9" i="136"/>
  <c r="K13" i="69"/>
  <c r="K15" i="69"/>
  <c r="K19" i="69"/>
  <c r="G15" i="69"/>
  <c r="G10" i="69"/>
  <c r="T9" i="136"/>
  <c r="T10" i="136"/>
  <c r="G13" i="69"/>
  <c r="G19" i="69"/>
  <c r="J10" i="69"/>
  <c r="W10" i="136"/>
  <c r="W9" i="136"/>
  <c r="J13" i="69"/>
  <c r="J15" i="69"/>
  <c r="J19" i="69"/>
  <c r="W23" i="122"/>
  <c r="Y10" i="136"/>
  <c r="Y9" i="136"/>
  <c r="I10" i="69"/>
  <c r="V10" i="136"/>
  <c r="V9" i="136"/>
  <c r="I13" i="69"/>
  <c r="I15" i="69"/>
  <c r="I19" i="69"/>
  <c r="F13" i="69"/>
  <c r="F15" i="69"/>
  <c r="S10" i="136"/>
  <c r="F10" i="69"/>
  <c r="S9" i="136"/>
  <c r="F19" i="69"/>
  <c r="H15" i="69"/>
  <c r="H10" i="69"/>
  <c r="U10" i="136"/>
  <c r="U9" i="136"/>
  <c r="H13" i="69"/>
  <c r="H19" i="69"/>
  <c r="J224" i="145"/>
  <c r="I224" i="145"/>
  <c r="R163" i="92"/>
  <c r="S163" i="92"/>
  <c r="T163" i="92"/>
  <c r="U163" i="92"/>
  <c r="V163" i="92"/>
  <c r="W163" i="92"/>
  <c r="X163" i="92"/>
  <c r="R164" i="92"/>
  <c r="S164" i="92"/>
  <c r="T164" i="92"/>
  <c r="U164" i="92"/>
  <c r="V164" i="92"/>
  <c r="W164" i="92"/>
  <c r="X164" i="92"/>
  <c r="R165" i="92"/>
  <c r="S165" i="92"/>
  <c r="T165" i="92"/>
  <c r="U165" i="92"/>
  <c r="V165" i="92"/>
  <c r="W165" i="92"/>
  <c r="X165" i="92"/>
  <c r="Q164" i="92"/>
  <c r="Q165" i="92"/>
  <c r="R158" i="92"/>
  <c r="S158" i="92"/>
  <c r="T158" i="92"/>
  <c r="U158" i="92"/>
  <c r="V158" i="92"/>
  <c r="W158" i="92"/>
  <c r="X158" i="92"/>
  <c r="R159" i="92"/>
  <c r="S159" i="92"/>
  <c r="T159" i="92"/>
  <c r="U159" i="92"/>
  <c r="V159" i="92"/>
  <c r="W159" i="92"/>
  <c r="X159" i="92"/>
  <c r="Q159" i="92"/>
  <c r="R160" i="92"/>
  <c r="S160" i="92"/>
  <c r="T160" i="92"/>
  <c r="U160" i="92"/>
  <c r="V160" i="92"/>
  <c r="W160" i="92"/>
  <c r="X160" i="92"/>
  <c r="R161" i="92"/>
  <c r="S161" i="92"/>
  <c r="T161" i="92"/>
  <c r="U161" i="92"/>
  <c r="V161" i="92"/>
  <c r="W161" i="92"/>
  <c r="X161" i="92"/>
  <c r="Q161" i="92"/>
  <c r="R86" i="92"/>
  <c r="S86" i="92"/>
  <c r="T86" i="92"/>
  <c r="U86" i="92"/>
  <c r="V86" i="92"/>
  <c r="W86" i="92"/>
  <c r="X86" i="92"/>
  <c r="R87" i="92"/>
  <c r="S87" i="92"/>
  <c r="T87" i="92"/>
  <c r="U87" i="92"/>
  <c r="V87" i="92"/>
  <c r="W87" i="92"/>
  <c r="X87" i="92"/>
  <c r="Q87" i="92"/>
  <c r="I225" i="145" l="1"/>
  <c r="J225" i="145"/>
  <c r="R156" i="92"/>
  <c r="S156" i="92"/>
  <c r="T156" i="92"/>
  <c r="U156" i="92"/>
  <c r="V156" i="92"/>
  <c r="W156" i="92"/>
  <c r="X156" i="92"/>
  <c r="R157" i="92"/>
  <c r="S157" i="92"/>
  <c r="T157" i="92"/>
  <c r="U157" i="92"/>
  <c r="V157" i="92"/>
  <c r="W157" i="92"/>
  <c r="X157" i="92"/>
  <c r="Q157" i="92"/>
  <c r="J226" i="145" l="1"/>
  <c r="I226" i="145"/>
  <c r="Q213" i="92"/>
  <c r="R213" i="92"/>
  <c r="AB36" i="92" s="1"/>
  <c r="S213" i="92"/>
  <c r="AC36" i="92" s="1"/>
  <c r="T213" i="92"/>
  <c r="AD36" i="92" s="1"/>
  <c r="U213" i="92"/>
  <c r="AE36" i="92" s="1"/>
  <c r="V213" i="92"/>
  <c r="AF36" i="92" s="1"/>
  <c r="W213" i="92"/>
  <c r="AG36" i="92" s="1"/>
  <c r="X213" i="92"/>
  <c r="AH36" i="92" s="1"/>
  <c r="Q214" i="92"/>
  <c r="R214" i="92"/>
  <c r="AB70" i="92" s="1"/>
  <c r="S214" i="92"/>
  <c r="AC70" i="92" s="1"/>
  <c r="T214" i="92"/>
  <c r="AD70" i="92" s="1"/>
  <c r="U214" i="92"/>
  <c r="AE70" i="92" s="1"/>
  <c r="V214" i="92"/>
  <c r="AF70" i="92" s="1"/>
  <c r="W214" i="92"/>
  <c r="AG70" i="92" s="1"/>
  <c r="X214" i="92"/>
  <c r="AH70" i="92" s="1"/>
  <c r="Q215" i="92"/>
  <c r="R215" i="92"/>
  <c r="AB80" i="92" s="1"/>
  <c r="S215" i="92"/>
  <c r="AC80" i="92" s="1"/>
  <c r="T215" i="92"/>
  <c r="AD80" i="92" s="1"/>
  <c r="U215" i="92"/>
  <c r="AE80" i="92" s="1"/>
  <c r="V215" i="92"/>
  <c r="AF80" i="92" s="1"/>
  <c r="W215" i="92"/>
  <c r="AG80" i="92" s="1"/>
  <c r="X215" i="92"/>
  <c r="AH80" i="92" s="1"/>
  <c r="Q216" i="92"/>
  <c r="R216" i="92"/>
  <c r="S216" i="92"/>
  <c r="T216" i="92"/>
  <c r="U216" i="92"/>
  <c r="V216" i="92"/>
  <c r="W216" i="92"/>
  <c r="X216" i="92"/>
  <c r="Q217" i="92"/>
  <c r="R217" i="92"/>
  <c r="S217" i="92"/>
  <c r="T217" i="92"/>
  <c r="U217" i="92"/>
  <c r="V217" i="92"/>
  <c r="W217" i="92"/>
  <c r="X217" i="92"/>
  <c r="R212" i="92"/>
  <c r="AB12" i="92" s="1"/>
  <c r="S212" i="92"/>
  <c r="AC12" i="92" s="1"/>
  <c r="T212" i="92"/>
  <c r="AD12" i="92" s="1"/>
  <c r="U212" i="92"/>
  <c r="AE12" i="92" s="1"/>
  <c r="V212" i="92"/>
  <c r="AF12" i="92" s="1"/>
  <c r="W212" i="92"/>
  <c r="AG12" i="92" s="1"/>
  <c r="X212" i="92"/>
  <c r="AH12" i="92" s="1"/>
  <c r="Q212" i="92"/>
  <c r="I227" i="145" l="1"/>
  <c r="J227" i="145"/>
  <c r="Q219" i="92"/>
  <c r="U219" i="92"/>
  <c r="AE101" i="92" s="1"/>
  <c r="T219" i="92"/>
  <c r="AD101" i="92" s="1"/>
  <c r="S219" i="92"/>
  <c r="AC101" i="92" s="1"/>
  <c r="R219" i="92"/>
  <c r="AB101" i="92" s="1"/>
  <c r="X219" i="92"/>
  <c r="W219" i="92"/>
  <c r="AG101" i="92" s="1"/>
  <c r="V219" i="92"/>
  <c r="AF101" i="92" s="1"/>
  <c r="I228" i="145" l="1"/>
  <c r="J228" i="145"/>
  <c r="J229" i="145" l="1"/>
  <c r="I229" i="145"/>
  <c r="Q27" i="92"/>
  <c r="R27" i="92"/>
  <c r="S27" i="92"/>
  <c r="T27" i="92"/>
  <c r="U27" i="92"/>
  <c r="V27" i="92"/>
  <c r="W27" i="92"/>
  <c r="X27" i="92"/>
  <c r="AF93" i="130"/>
  <c r="AG93" i="130"/>
  <c r="AH93" i="130"/>
  <c r="AI93" i="130"/>
  <c r="AJ93" i="130"/>
  <c r="AK93" i="130"/>
  <c r="AL93" i="130"/>
  <c r="AM93" i="130"/>
  <c r="AF86" i="130"/>
  <c r="AG86" i="130"/>
  <c r="AH86" i="130"/>
  <c r="AI86" i="130"/>
  <c r="AJ86" i="130"/>
  <c r="AK86" i="130"/>
  <c r="AL86" i="130"/>
  <c r="AM86" i="130"/>
  <c r="AF78" i="130"/>
  <c r="AG78" i="130"/>
  <c r="AH78" i="130"/>
  <c r="AI78" i="130"/>
  <c r="AJ78" i="130"/>
  <c r="AK78" i="130"/>
  <c r="AL78" i="130"/>
  <c r="AM78" i="130"/>
  <c r="AF74" i="130"/>
  <c r="AG74" i="130"/>
  <c r="AH74" i="130"/>
  <c r="AI74" i="130"/>
  <c r="AJ74" i="130"/>
  <c r="AK74" i="130"/>
  <c r="AL74" i="130"/>
  <c r="AM74" i="130"/>
  <c r="AF8" i="130"/>
  <c r="AG8" i="130"/>
  <c r="AH8" i="130"/>
  <c r="AI8" i="130"/>
  <c r="AJ8" i="130"/>
  <c r="AK8" i="130"/>
  <c r="AL8" i="130"/>
  <c r="AM8" i="130"/>
  <c r="AP53" i="130"/>
  <c r="AQ53" i="130"/>
  <c r="AR53" i="130"/>
  <c r="AS53" i="130"/>
  <c r="AT53" i="130"/>
  <c r="AU53" i="130"/>
  <c r="AV53" i="130"/>
  <c r="AW53" i="130"/>
  <c r="AP54" i="130"/>
  <c r="AQ54" i="130"/>
  <c r="AR54" i="130"/>
  <c r="AS54" i="130"/>
  <c r="AT54" i="130"/>
  <c r="AU54" i="130"/>
  <c r="AV54" i="130"/>
  <c r="AW54" i="130"/>
  <c r="Q33" i="92"/>
  <c r="R33" i="92"/>
  <c r="S33" i="92"/>
  <c r="T33" i="92"/>
  <c r="U33" i="92"/>
  <c r="V33" i="92"/>
  <c r="W33" i="92"/>
  <c r="X33" i="92"/>
  <c r="G10" i="68"/>
  <c r="G11" i="68"/>
  <c r="H11" i="68"/>
  <c r="I11" i="68"/>
  <c r="J11" i="68"/>
  <c r="K11" i="68"/>
  <c r="L11" i="68"/>
  <c r="M11" i="68"/>
  <c r="O31" i="110"/>
  <c r="P31" i="110"/>
  <c r="Q31" i="110"/>
  <c r="R31" i="110"/>
  <c r="S31" i="110"/>
  <c r="T31" i="110"/>
  <c r="I230" i="145" l="1"/>
  <c r="J230" i="145"/>
  <c r="U31" i="110"/>
  <c r="J231" i="145" l="1"/>
  <c r="I231" i="145"/>
  <c r="G7" i="68"/>
  <c r="H7" i="68"/>
  <c r="I7" i="68"/>
  <c r="J7" i="68"/>
  <c r="K7" i="68"/>
  <c r="L7" i="68"/>
  <c r="M7" i="68"/>
  <c r="G8" i="68"/>
  <c r="H8" i="68"/>
  <c r="I8" i="68"/>
  <c r="J8" i="68"/>
  <c r="K8" i="68"/>
  <c r="L8" i="68"/>
  <c r="M8" i="68"/>
  <c r="G6" i="68"/>
  <c r="J6" i="68"/>
  <c r="G9" i="68"/>
  <c r="G5" i="68"/>
  <c r="C22" i="142"/>
  <c r="D22" i="142"/>
  <c r="E22" i="142"/>
  <c r="F22" i="142"/>
  <c r="G22" i="142"/>
  <c r="H22" i="142"/>
  <c r="I22" i="142"/>
  <c r="B22" i="142"/>
  <c r="H21" i="142"/>
  <c r="F21" i="142"/>
  <c r="D21" i="142"/>
  <c r="C16" i="142"/>
  <c r="D16" i="142"/>
  <c r="E16" i="142"/>
  <c r="F16" i="142"/>
  <c r="G16" i="142"/>
  <c r="H16" i="142"/>
  <c r="I16" i="142"/>
  <c r="B16" i="142"/>
  <c r="H15" i="142"/>
  <c r="F15" i="142"/>
  <c r="D15" i="142"/>
  <c r="C10" i="142"/>
  <c r="D10" i="142"/>
  <c r="E10" i="142"/>
  <c r="F10" i="142"/>
  <c r="G10" i="142"/>
  <c r="H10" i="142"/>
  <c r="I10" i="142"/>
  <c r="B10" i="142"/>
  <c r="H9" i="142"/>
  <c r="F9" i="142"/>
  <c r="D9" i="142"/>
  <c r="C4" i="142"/>
  <c r="D4" i="142"/>
  <c r="E4" i="142"/>
  <c r="F4" i="142"/>
  <c r="G4" i="142"/>
  <c r="H4" i="142"/>
  <c r="I4" i="142"/>
  <c r="B4" i="142"/>
  <c r="H3" i="142"/>
  <c r="F3" i="142"/>
  <c r="D3" i="142"/>
  <c r="AC32" i="137"/>
  <c r="AD32" i="137"/>
  <c r="AE32" i="137"/>
  <c r="AF32" i="137"/>
  <c r="AG32" i="137"/>
  <c r="AH32" i="137"/>
  <c r="AI32" i="137"/>
  <c r="W22" i="136"/>
  <c r="I232" i="145" l="1"/>
  <c r="J232" i="145"/>
  <c r="AC31" i="137"/>
  <c r="AI31" i="137"/>
  <c r="AH31" i="137"/>
  <c r="AG31" i="137"/>
  <c r="AF31" i="137"/>
  <c r="AE31" i="137"/>
  <c r="AD31" i="137"/>
  <c r="R206" i="92"/>
  <c r="S206" i="92"/>
  <c r="T206" i="92"/>
  <c r="U206" i="92"/>
  <c r="V206" i="92"/>
  <c r="W206" i="92"/>
  <c r="X206" i="92"/>
  <c r="Q206" i="92"/>
  <c r="R205" i="92"/>
  <c r="S205" i="92"/>
  <c r="T205" i="92"/>
  <c r="U205" i="92"/>
  <c r="V205" i="92"/>
  <c r="W205" i="92"/>
  <c r="X205" i="92"/>
  <c r="Q205" i="92"/>
  <c r="AS24" i="130"/>
  <c r="J233" i="145" l="1"/>
  <c r="I233" i="145"/>
  <c r="I234" i="145" l="1"/>
  <c r="J234" i="145"/>
  <c r="Q9" i="128"/>
  <c r="E10" i="129"/>
  <c r="L11" i="129"/>
  <c r="K11" i="129"/>
  <c r="J11" i="129"/>
  <c r="I11" i="129"/>
  <c r="H11" i="129"/>
  <c r="G11" i="129"/>
  <c r="F11" i="129"/>
  <c r="E11" i="129"/>
  <c r="I235" i="145" l="1"/>
  <c r="J235" i="145"/>
  <c r="X208" i="92"/>
  <c r="W208" i="92"/>
  <c r="AG100" i="92" s="1"/>
  <c r="V208" i="92"/>
  <c r="AF100" i="92" s="1"/>
  <c r="U208" i="92"/>
  <c r="AE100" i="92" s="1"/>
  <c r="T208" i="92"/>
  <c r="AD100" i="92" s="1"/>
  <c r="S208" i="92"/>
  <c r="AC100" i="92" s="1"/>
  <c r="R208" i="92"/>
  <c r="AB100" i="92" s="1"/>
  <c r="Q208" i="92"/>
  <c r="BA6" i="130"/>
  <c r="BB6" i="130"/>
  <c r="BC6" i="130"/>
  <c r="BD6" i="130"/>
  <c r="BE6" i="130"/>
  <c r="BF6" i="130"/>
  <c r="BG6" i="130"/>
  <c r="BA7" i="130"/>
  <c r="BB7" i="130"/>
  <c r="BC7" i="130"/>
  <c r="BD7" i="130"/>
  <c r="BE7" i="130"/>
  <c r="BF7" i="130"/>
  <c r="BG7" i="130"/>
  <c r="BA8" i="130"/>
  <c r="BB8" i="130"/>
  <c r="BC8" i="130"/>
  <c r="BD8" i="130"/>
  <c r="BE8" i="130"/>
  <c r="BF8" i="130"/>
  <c r="BG8" i="130"/>
  <c r="AZ7" i="130"/>
  <c r="AZ8" i="130"/>
  <c r="AQ251" i="130"/>
  <c r="AR251" i="130"/>
  <c r="AS251" i="130"/>
  <c r="AT251" i="130"/>
  <c r="AU251" i="130"/>
  <c r="AV251" i="130"/>
  <c r="AW251" i="130"/>
  <c r="AQ252" i="130"/>
  <c r="AR252" i="130"/>
  <c r="AS252" i="130"/>
  <c r="AT252" i="130"/>
  <c r="AU252" i="130"/>
  <c r="AV252" i="130"/>
  <c r="AW252" i="130"/>
  <c r="AQ253" i="130"/>
  <c r="AR253" i="130"/>
  <c r="AS253" i="130"/>
  <c r="AT253" i="130"/>
  <c r="AU253" i="130"/>
  <c r="AV253" i="130"/>
  <c r="AW253" i="130"/>
  <c r="AP252" i="130"/>
  <c r="AP253" i="130"/>
  <c r="AQ22" i="130"/>
  <c r="AR22" i="130"/>
  <c r="AS22" i="130"/>
  <c r="AT22" i="130"/>
  <c r="AU22" i="130"/>
  <c r="AV22" i="130"/>
  <c r="AW22" i="130"/>
  <c r="AQ23" i="130"/>
  <c r="AR23" i="130"/>
  <c r="AS23" i="130"/>
  <c r="AT23" i="130"/>
  <c r="AU23" i="130"/>
  <c r="AV23" i="130"/>
  <c r="AW23" i="130"/>
  <c r="AQ24" i="130"/>
  <c r="AR24" i="130"/>
  <c r="AT24" i="130"/>
  <c r="AU24" i="130"/>
  <c r="AV24" i="130"/>
  <c r="AW24" i="130"/>
  <c r="AP23" i="130"/>
  <c r="AP24" i="130"/>
  <c r="AQ47" i="130"/>
  <c r="AR47" i="130"/>
  <c r="AS47" i="130"/>
  <c r="AT47" i="130"/>
  <c r="AU47" i="130"/>
  <c r="AV47" i="130"/>
  <c r="AW47" i="130"/>
  <c r="AQ48" i="130"/>
  <c r="AR48" i="130"/>
  <c r="AS48" i="130"/>
  <c r="AT48" i="130"/>
  <c r="AU48" i="130"/>
  <c r="AV48" i="130"/>
  <c r="AW48" i="130"/>
  <c r="AQ49" i="130"/>
  <c r="AR49" i="130"/>
  <c r="AS49" i="130"/>
  <c r="AT49" i="130"/>
  <c r="AU49" i="130"/>
  <c r="AV49" i="130"/>
  <c r="AW49" i="130"/>
  <c r="AP48" i="130"/>
  <c r="AP49" i="130"/>
  <c r="AP47" i="130"/>
  <c r="BL179" i="127"/>
  <c r="BM179" i="127"/>
  <c r="BN179" i="127"/>
  <c r="BO179" i="127"/>
  <c r="BP179" i="127"/>
  <c r="BQ179" i="127"/>
  <c r="BR179" i="127"/>
  <c r="BK179" i="127"/>
  <c r="J236" i="145" l="1"/>
  <c r="I236" i="145"/>
  <c r="Z48" i="122"/>
  <c r="AG44" i="122"/>
  <c r="AF44" i="122"/>
  <c r="AE44" i="122"/>
  <c r="AD44" i="122"/>
  <c r="AC44" i="122"/>
  <c r="AB44" i="122"/>
  <c r="AA44" i="122"/>
  <c r="Z44" i="122"/>
  <c r="AG36" i="122"/>
  <c r="AF36" i="122"/>
  <c r="AE36" i="122"/>
  <c r="AD36" i="122"/>
  <c r="AC36" i="122"/>
  <c r="AB36" i="122"/>
  <c r="AA36" i="122"/>
  <c r="Z36" i="122"/>
  <c r="Z26" i="122"/>
  <c r="AG26" i="122"/>
  <c r="AF26" i="122"/>
  <c r="AE26" i="122"/>
  <c r="AD26" i="122"/>
  <c r="AC26" i="122"/>
  <c r="AB26" i="122"/>
  <c r="AA26" i="122"/>
  <c r="AG24" i="122"/>
  <c r="AF24" i="122"/>
  <c r="AE24" i="122"/>
  <c r="AD24" i="122"/>
  <c r="AC24" i="122"/>
  <c r="AB24" i="122"/>
  <c r="AA24" i="122"/>
  <c r="Z24" i="122"/>
  <c r="AG23" i="122"/>
  <c r="AF23" i="122"/>
  <c r="AE23" i="122"/>
  <c r="AD23" i="122"/>
  <c r="AC23" i="122"/>
  <c r="AB23" i="122"/>
  <c r="AA23" i="122"/>
  <c r="Z23" i="122"/>
  <c r="AG22" i="122"/>
  <c r="AF22" i="122"/>
  <c r="AE22" i="122"/>
  <c r="AD22" i="122"/>
  <c r="AC22" i="122"/>
  <c r="AB22" i="122"/>
  <c r="AA22" i="122"/>
  <c r="Z22" i="122"/>
  <c r="AG21" i="122"/>
  <c r="AG25" i="122" s="1"/>
  <c r="AF21" i="122"/>
  <c r="AF25" i="122" s="1"/>
  <c r="AE21" i="122"/>
  <c r="AE25" i="122" s="1"/>
  <c r="AD21" i="122"/>
  <c r="AC21" i="122"/>
  <c r="AB21" i="122"/>
  <c r="AA21" i="122"/>
  <c r="Z21" i="122"/>
  <c r="Z25" i="122" s="1"/>
  <c r="AA14" i="122"/>
  <c r="AB14" i="122"/>
  <c r="AC14" i="122"/>
  <c r="AD14" i="122"/>
  <c r="AE14" i="122"/>
  <c r="AF14" i="122"/>
  <c r="AG14" i="122"/>
  <c r="Z14" i="122"/>
  <c r="Z10" i="122"/>
  <c r="AA10" i="122"/>
  <c r="AB10" i="122"/>
  <c r="AC10" i="122"/>
  <c r="AD10" i="122"/>
  <c r="AE10" i="122"/>
  <c r="AF10" i="122"/>
  <c r="AG10" i="122"/>
  <c r="Z11" i="122"/>
  <c r="AA11" i="122"/>
  <c r="AB11" i="122"/>
  <c r="AC11" i="122"/>
  <c r="AD11" i="122"/>
  <c r="AE11" i="122"/>
  <c r="AF11" i="122"/>
  <c r="AG11" i="122"/>
  <c r="Z12" i="122"/>
  <c r="AA12" i="122"/>
  <c r="AB12" i="122"/>
  <c r="AC12" i="122"/>
  <c r="AD12" i="122"/>
  <c r="AE12" i="122"/>
  <c r="AF12" i="122"/>
  <c r="AG12" i="122"/>
  <c r="AA9" i="122"/>
  <c r="AB9" i="122"/>
  <c r="AC9" i="122"/>
  <c r="AD9" i="122"/>
  <c r="AE9" i="122"/>
  <c r="AF9" i="122"/>
  <c r="AG9" i="122"/>
  <c r="Z9" i="122"/>
  <c r="AG68" i="122"/>
  <c r="AF68" i="122"/>
  <c r="AE68" i="122"/>
  <c r="AD68" i="122"/>
  <c r="AC68" i="122"/>
  <c r="AB68" i="122"/>
  <c r="AA68" i="122"/>
  <c r="Z68" i="122"/>
  <c r="AG67" i="122"/>
  <c r="AF67" i="122"/>
  <c r="AE67" i="122"/>
  <c r="AD67" i="122"/>
  <c r="AD69" i="122" s="1"/>
  <c r="AC67" i="122"/>
  <c r="AB67" i="122"/>
  <c r="AA67" i="122"/>
  <c r="AA69" i="122" s="1"/>
  <c r="Z67" i="122"/>
  <c r="Z69" i="122" s="1"/>
  <c r="AG106" i="122"/>
  <c r="AF106" i="122"/>
  <c r="AE106" i="122"/>
  <c r="AD106" i="122"/>
  <c r="AC106" i="122"/>
  <c r="AB106" i="122"/>
  <c r="AA106" i="122"/>
  <c r="Z106" i="122"/>
  <c r="AG105" i="122"/>
  <c r="AF105" i="122"/>
  <c r="AE105" i="122"/>
  <c r="AD105" i="122"/>
  <c r="AC105" i="122"/>
  <c r="AB105" i="122"/>
  <c r="AA105" i="122"/>
  <c r="Z105" i="122"/>
  <c r="AG104" i="122"/>
  <c r="AG107" i="122" s="1"/>
  <c r="AF104" i="122"/>
  <c r="AE104" i="122"/>
  <c r="AD104" i="122"/>
  <c r="AD107" i="122" s="1"/>
  <c r="AC104" i="122"/>
  <c r="AB104" i="122"/>
  <c r="AA104" i="122"/>
  <c r="Z104" i="122"/>
  <c r="Z107" i="122" s="1"/>
  <c r="AG101" i="122"/>
  <c r="AF101" i="122"/>
  <c r="AE101" i="122"/>
  <c r="AD101" i="122"/>
  <c r="AC101" i="122"/>
  <c r="AB101" i="122"/>
  <c r="AA101" i="122"/>
  <c r="Z101" i="122"/>
  <c r="AG100" i="122"/>
  <c r="AG102" i="122" s="1"/>
  <c r="AF100" i="122"/>
  <c r="AF102" i="122" s="1"/>
  <c r="AE100" i="122"/>
  <c r="AD100" i="122"/>
  <c r="AC100" i="122"/>
  <c r="AB100" i="122"/>
  <c r="AA100" i="122"/>
  <c r="Z100" i="122"/>
  <c r="Z102" i="122" s="1"/>
  <c r="AG97" i="122"/>
  <c r="AF97" i="122"/>
  <c r="AE97" i="122"/>
  <c r="AD97" i="122"/>
  <c r="AC97" i="122"/>
  <c r="AB97" i="122"/>
  <c r="AA97" i="122"/>
  <c r="Z97" i="122"/>
  <c r="AG96" i="122"/>
  <c r="AF96" i="122"/>
  <c r="AE96" i="122"/>
  <c r="AD96" i="122"/>
  <c r="AC96" i="122"/>
  <c r="AB96" i="122"/>
  <c r="AA96" i="122"/>
  <c r="Z96" i="122"/>
  <c r="AG95" i="122"/>
  <c r="AF95" i="122"/>
  <c r="AE95" i="122"/>
  <c r="AD95" i="122"/>
  <c r="AC95" i="122"/>
  <c r="AB95" i="122"/>
  <c r="AA95" i="122"/>
  <c r="Z95" i="122"/>
  <c r="AG94" i="122"/>
  <c r="AF94" i="122"/>
  <c r="AE94" i="122"/>
  <c r="AD94" i="122"/>
  <c r="AC94" i="122"/>
  <c r="AB94" i="122"/>
  <c r="AA94" i="122"/>
  <c r="Z94" i="122"/>
  <c r="AG93" i="122"/>
  <c r="AF93" i="122"/>
  <c r="AF98" i="122" s="1"/>
  <c r="AE93" i="122"/>
  <c r="AD93" i="122"/>
  <c r="AD98" i="122" s="1"/>
  <c r="AC93" i="122"/>
  <c r="AB93" i="122"/>
  <c r="AB98" i="122" s="1"/>
  <c r="AA93" i="122"/>
  <c r="AA98" i="122" s="1"/>
  <c r="Z93" i="122"/>
  <c r="Z98" i="122" s="1"/>
  <c r="AG88" i="122"/>
  <c r="AF88" i="122"/>
  <c r="AE88" i="122"/>
  <c r="AD88" i="122"/>
  <c r="AC88" i="122"/>
  <c r="AB88" i="122"/>
  <c r="AA88" i="122"/>
  <c r="Z88" i="122"/>
  <c r="AG87" i="122"/>
  <c r="AF87" i="122"/>
  <c r="AE87" i="122"/>
  <c r="AD87" i="122"/>
  <c r="AC87" i="122"/>
  <c r="AB87" i="122"/>
  <c r="AA87" i="122"/>
  <c r="Z87" i="122"/>
  <c r="AG86" i="122"/>
  <c r="AF86" i="122"/>
  <c r="AE86" i="122"/>
  <c r="AD86" i="122"/>
  <c r="AC86" i="122"/>
  <c r="AB86" i="122"/>
  <c r="AA86" i="122"/>
  <c r="Z86" i="122"/>
  <c r="AG85" i="122"/>
  <c r="AF85" i="122"/>
  <c r="AE85" i="122"/>
  <c r="AD85" i="122"/>
  <c r="AC85" i="122"/>
  <c r="AB85" i="122"/>
  <c r="AA85" i="122"/>
  <c r="Z85" i="122"/>
  <c r="AG84" i="122"/>
  <c r="AF84" i="122"/>
  <c r="AE84" i="122"/>
  <c r="AD84" i="122"/>
  <c r="AC84" i="122"/>
  <c r="AB84" i="122"/>
  <c r="AA84" i="122"/>
  <c r="Z84" i="122"/>
  <c r="AG83" i="122"/>
  <c r="AF83" i="122"/>
  <c r="AE83" i="122"/>
  <c r="AD83" i="122"/>
  <c r="AC83" i="122"/>
  <c r="AB83" i="122"/>
  <c r="AA83" i="122"/>
  <c r="Z83" i="122"/>
  <c r="AG82" i="122"/>
  <c r="AF82" i="122"/>
  <c r="AE82" i="122"/>
  <c r="AD82" i="122"/>
  <c r="AC82" i="122"/>
  <c r="AB82" i="122"/>
  <c r="AA82" i="122"/>
  <c r="Z82" i="122"/>
  <c r="AG81" i="122"/>
  <c r="AF81" i="122"/>
  <c r="AE81" i="122"/>
  <c r="AD81" i="122"/>
  <c r="AC81" i="122"/>
  <c r="AB81" i="122"/>
  <c r="AA81" i="122"/>
  <c r="Z81" i="122"/>
  <c r="AG80" i="122"/>
  <c r="AF80" i="122"/>
  <c r="AE80" i="122"/>
  <c r="AD80" i="122"/>
  <c r="AC80" i="122"/>
  <c r="AB80" i="122"/>
  <c r="AA80" i="122"/>
  <c r="Z80" i="122"/>
  <c r="AG77" i="122"/>
  <c r="AF77" i="122"/>
  <c r="AE77" i="122"/>
  <c r="AD77" i="122"/>
  <c r="AC77" i="122"/>
  <c r="AB77" i="122"/>
  <c r="AA77" i="122"/>
  <c r="Z77" i="122"/>
  <c r="AG76" i="122"/>
  <c r="AF76" i="122"/>
  <c r="AE76" i="122"/>
  <c r="AD76" i="122"/>
  <c r="AC76" i="122"/>
  <c r="AB76" i="122"/>
  <c r="AA76" i="122"/>
  <c r="Z76" i="122"/>
  <c r="AG75" i="122"/>
  <c r="AF75" i="122"/>
  <c r="AE75" i="122"/>
  <c r="AD75" i="122"/>
  <c r="AC75" i="122"/>
  <c r="AB75" i="122"/>
  <c r="AA75" i="122"/>
  <c r="Z75" i="122"/>
  <c r="AG74" i="122"/>
  <c r="AF74" i="122"/>
  <c r="AE74" i="122"/>
  <c r="AD74" i="122"/>
  <c r="AC74" i="122"/>
  <c r="AB74" i="122"/>
  <c r="AA74" i="122"/>
  <c r="Z74" i="122"/>
  <c r="AG73" i="122"/>
  <c r="AF73" i="122"/>
  <c r="AE73" i="122"/>
  <c r="AD73" i="122"/>
  <c r="AC73" i="122"/>
  <c r="AB73" i="122"/>
  <c r="AA73" i="122"/>
  <c r="Z73" i="122"/>
  <c r="AG72" i="122"/>
  <c r="AF72" i="122"/>
  <c r="AE72" i="122"/>
  <c r="AD72" i="122"/>
  <c r="AC72" i="122"/>
  <c r="AB72" i="122"/>
  <c r="AA72" i="122"/>
  <c r="Z72" i="122"/>
  <c r="AG71" i="122"/>
  <c r="AF71" i="122"/>
  <c r="AE71" i="122"/>
  <c r="AD71" i="122"/>
  <c r="AC71" i="122"/>
  <c r="AB71" i="122"/>
  <c r="AA71" i="122"/>
  <c r="Z71" i="122"/>
  <c r="AG64" i="122"/>
  <c r="AF64" i="122"/>
  <c r="AE64" i="122"/>
  <c r="AD64" i="122"/>
  <c r="AC64" i="122"/>
  <c r="AB64" i="122"/>
  <c r="AA64" i="122"/>
  <c r="Z64" i="122"/>
  <c r="AG63" i="122"/>
  <c r="AF63" i="122"/>
  <c r="AE63" i="122"/>
  <c r="AD63" i="122"/>
  <c r="AC63" i="122"/>
  <c r="AB63" i="122"/>
  <c r="AA63" i="122"/>
  <c r="Z63" i="122"/>
  <c r="AG62" i="122"/>
  <c r="AF62" i="122"/>
  <c r="AE62" i="122"/>
  <c r="AD62" i="122"/>
  <c r="AC62" i="122"/>
  <c r="AB62" i="122"/>
  <c r="AA62" i="122"/>
  <c r="Z62" i="122"/>
  <c r="AG61" i="122"/>
  <c r="AF61" i="122"/>
  <c r="AE61" i="122"/>
  <c r="AD61" i="122"/>
  <c r="AC61" i="122"/>
  <c r="AB61" i="122"/>
  <c r="AA61" i="122"/>
  <c r="Z61" i="122"/>
  <c r="AG60" i="122"/>
  <c r="AF60" i="122"/>
  <c r="AE60" i="122"/>
  <c r="AD60" i="122"/>
  <c r="AC60" i="122"/>
  <c r="AB60" i="122"/>
  <c r="AA60" i="122"/>
  <c r="Z60" i="122"/>
  <c r="AG59" i="122"/>
  <c r="AF59" i="122"/>
  <c r="AE59" i="122"/>
  <c r="AD59" i="122"/>
  <c r="AC59" i="122"/>
  <c r="AB59" i="122"/>
  <c r="AA59" i="122"/>
  <c r="Z59" i="122"/>
  <c r="AG58" i="122"/>
  <c r="AG65" i="122" s="1"/>
  <c r="AF58" i="122"/>
  <c r="AE58" i="122"/>
  <c r="AD58" i="122"/>
  <c r="AD65" i="122" s="1"/>
  <c r="AC58" i="122"/>
  <c r="AC65" i="122" s="1"/>
  <c r="AB58" i="122"/>
  <c r="AA58" i="122"/>
  <c r="Z58" i="122"/>
  <c r="AG54" i="122"/>
  <c r="AF54" i="122"/>
  <c r="AE54" i="122"/>
  <c r="AD54" i="122"/>
  <c r="AC54" i="122"/>
  <c r="AB54" i="122"/>
  <c r="AA54" i="122"/>
  <c r="Z54" i="122"/>
  <c r="AG53" i="122"/>
  <c r="AF53" i="122"/>
  <c r="AE53" i="122"/>
  <c r="AD53" i="122"/>
  <c r="AC53" i="122"/>
  <c r="AB53" i="122"/>
  <c r="AA53" i="122"/>
  <c r="Z53" i="122"/>
  <c r="AG52" i="122"/>
  <c r="AF52" i="122"/>
  <c r="AE52" i="122"/>
  <c r="AD52" i="122"/>
  <c r="AC52" i="122"/>
  <c r="AB52" i="122"/>
  <c r="AA52" i="122"/>
  <c r="Z52" i="122"/>
  <c r="AG51" i="122"/>
  <c r="AF51" i="122"/>
  <c r="AE51" i="122"/>
  <c r="AD51" i="122"/>
  <c r="AC51" i="122"/>
  <c r="AB51" i="122"/>
  <c r="AA51" i="122"/>
  <c r="Z51" i="122"/>
  <c r="AG50" i="122"/>
  <c r="AF50" i="122"/>
  <c r="AE50" i="122"/>
  <c r="AD50" i="122"/>
  <c r="AC50" i="122"/>
  <c r="AB50" i="122"/>
  <c r="AA50" i="122"/>
  <c r="Z50" i="122"/>
  <c r="AG49" i="122"/>
  <c r="AF49" i="122"/>
  <c r="AE49" i="122"/>
  <c r="AD49" i="122"/>
  <c r="AC49" i="122"/>
  <c r="AB49" i="122"/>
  <c r="AA49" i="122"/>
  <c r="Z49" i="122"/>
  <c r="AG48" i="122"/>
  <c r="AG55" i="122" s="1"/>
  <c r="AF48" i="122"/>
  <c r="AF55" i="122" s="1"/>
  <c r="AE48" i="122"/>
  <c r="AD48" i="122"/>
  <c r="AC48" i="122"/>
  <c r="AB48" i="122"/>
  <c r="AA48" i="122"/>
  <c r="AG35" i="122"/>
  <c r="AF35" i="122"/>
  <c r="AE35" i="122"/>
  <c r="AD35" i="122"/>
  <c r="AC35" i="122"/>
  <c r="AB35" i="122"/>
  <c r="AA35" i="122"/>
  <c r="Z35" i="122"/>
  <c r="AG34" i="122"/>
  <c r="AF34" i="122"/>
  <c r="AE34" i="122"/>
  <c r="AD34" i="122"/>
  <c r="AC34" i="122"/>
  <c r="AB34" i="122"/>
  <c r="AA34" i="122"/>
  <c r="Z34" i="122"/>
  <c r="AG33" i="122"/>
  <c r="AF33" i="122"/>
  <c r="AE33" i="122"/>
  <c r="AD33" i="122"/>
  <c r="AC33" i="122"/>
  <c r="AB33" i="122"/>
  <c r="AA33" i="122"/>
  <c r="Z33" i="122"/>
  <c r="AG32" i="122"/>
  <c r="AF32" i="122"/>
  <c r="AE32" i="122"/>
  <c r="AD32" i="122"/>
  <c r="AC32" i="122"/>
  <c r="AB32" i="122"/>
  <c r="AA32" i="122"/>
  <c r="Z32" i="122"/>
  <c r="AG31" i="122"/>
  <c r="AF31" i="122"/>
  <c r="AE31" i="122"/>
  <c r="AD31" i="122"/>
  <c r="AC31" i="122"/>
  <c r="AB31" i="122"/>
  <c r="AA31" i="122"/>
  <c r="Z31" i="122"/>
  <c r="AG30" i="122"/>
  <c r="AF30" i="122"/>
  <c r="AE30" i="122"/>
  <c r="AD30" i="122"/>
  <c r="AC30" i="122"/>
  <c r="AB30" i="122"/>
  <c r="AA30" i="122"/>
  <c r="Z30" i="122"/>
  <c r="AG20" i="122"/>
  <c r="AF20" i="122"/>
  <c r="AE20" i="122"/>
  <c r="AD20" i="122"/>
  <c r="AC20" i="122"/>
  <c r="AB20" i="122"/>
  <c r="AA20" i="122"/>
  <c r="Z20" i="122"/>
  <c r="AG19" i="122"/>
  <c r="AF19" i="122"/>
  <c r="AE19" i="122"/>
  <c r="AD19" i="122"/>
  <c r="AC19" i="122"/>
  <c r="AB19" i="122"/>
  <c r="AA19" i="122"/>
  <c r="Z19" i="122"/>
  <c r="AG18" i="122"/>
  <c r="AF18" i="122"/>
  <c r="AE18" i="122"/>
  <c r="AD18" i="122"/>
  <c r="AC18" i="122"/>
  <c r="AB18" i="122"/>
  <c r="AA18" i="122"/>
  <c r="Z18" i="122"/>
  <c r="AA6" i="122"/>
  <c r="AB6" i="122"/>
  <c r="AC6" i="122"/>
  <c r="AD6" i="122"/>
  <c r="AE6" i="122"/>
  <c r="AF6" i="122"/>
  <c r="AG6" i="122"/>
  <c r="AA7" i="122"/>
  <c r="AB7" i="122"/>
  <c r="AC7" i="122"/>
  <c r="AD7" i="122"/>
  <c r="AE7" i="122"/>
  <c r="AF7" i="122"/>
  <c r="AG7" i="122"/>
  <c r="AA8" i="122"/>
  <c r="AB8" i="122"/>
  <c r="AC8" i="122"/>
  <c r="AD8" i="122"/>
  <c r="AE8" i="122"/>
  <c r="AF8" i="122"/>
  <c r="AG8" i="122"/>
  <c r="Z7" i="122"/>
  <c r="Z8" i="122"/>
  <c r="Z6" i="122"/>
  <c r="AC78" i="122" l="1"/>
  <c r="AC102" i="122"/>
  <c r="AF107" i="122"/>
  <c r="AE55" i="122"/>
  <c r="AD55" i="122"/>
  <c r="AE78" i="122"/>
  <c r="AD102" i="122"/>
  <c r="I237" i="145"/>
  <c r="J237" i="145"/>
  <c r="AB65" i="122"/>
  <c r="AA55" i="122"/>
  <c r="AB55" i="122"/>
  <c r="AB102" i="122"/>
  <c r="Z78" i="122"/>
  <c r="AB69" i="122"/>
  <c r="AE107" i="122"/>
  <c r="AB78" i="122"/>
  <c r="AD78" i="122"/>
  <c r="AC69" i="122"/>
  <c r="AB89" i="122"/>
  <c r="AC55" i="122"/>
  <c r="AE89" i="122"/>
  <c r="AF69" i="122"/>
  <c r="AF78" i="122"/>
  <c r="AA25" i="122"/>
  <c r="AA27" i="122" s="1"/>
  <c r="AE69" i="122"/>
  <c r="AA107" i="122"/>
  <c r="AC25" i="122"/>
  <c r="AC27" i="122" s="1"/>
  <c r="Z13" i="122"/>
  <c r="Z15" i="122" s="1"/>
  <c r="AD25" i="122"/>
  <c r="AD27" i="122" s="1"/>
  <c r="AG78" i="122"/>
  <c r="AG98" i="122"/>
  <c r="AG69" i="122"/>
  <c r="AB107" i="122"/>
  <c r="AC89" i="122"/>
  <c r="AC107" i="122"/>
  <c r="AA102" i="122"/>
  <c r="Z89" i="122"/>
  <c r="AF65" i="122"/>
  <c r="AG89" i="122"/>
  <c r="AA65" i="122"/>
  <c r="AA89" i="122"/>
  <c r="AC98" i="122"/>
  <c r="Z65" i="122"/>
  <c r="AA78" i="122"/>
  <c r="AB25" i="122"/>
  <c r="AB27" i="122" s="1"/>
  <c r="AD89" i="122"/>
  <c r="AF89" i="122"/>
  <c r="Z55" i="122"/>
  <c r="AE65" i="122"/>
  <c r="AE98" i="122"/>
  <c r="AE102" i="122"/>
  <c r="Z27" i="122"/>
  <c r="AC13" i="122"/>
  <c r="AC15" i="122" s="1"/>
  <c r="AA13" i="122"/>
  <c r="AA15" i="122" s="1"/>
  <c r="AD13" i="122"/>
  <c r="AD15" i="122" s="1"/>
  <c r="AF13" i="122"/>
  <c r="AF15" i="122" s="1"/>
  <c r="AB13" i="122"/>
  <c r="AB15" i="122" s="1"/>
  <c r="AG13" i="122"/>
  <c r="AG15" i="122" s="1"/>
  <c r="AE13" i="122"/>
  <c r="AE15" i="122" s="1"/>
  <c r="AF27" i="122"/>
  <c r="AG27" i="122"/>
  <c r="AE27" i="122"/>
  <c r="J238" i="145" l="1"/>
  <c r="I238" i="145"/>
  <c r="CL31" i="137"/>
  <c r="CP8" i="137"/>
  <c r="CK37" i="137"/>
  <c r="D10" i="91" s="1"/>
  <c r="CN31" i="137"/>
  <c r="CM31" i="137"/>
  <c r="CO8" i="137"/>
  <c r="CP31" i="137"/>
  <c r="CM8" i="137"/>
  <c r="CK31" i="137"/>
  <c r="CQ23" i="137"/>
  <c r="CP19" i="137"/>
  <c r="CQ8" i="137"/>
  <c r="CR8" i="137"/>
  <c r="CN27" i="137"/>
  <c r="CM19" i="137"/>
  <c r="CL23" i="137"/>
  <c r="CM27" i="137"/>
  <c r="CL19" i="137"/>
  <c r="CK27" i="137"/>
  <c r="CL27" i="137"/>
  <c r="CR23" i="137"/>
  <c r="CK19" i="137"/>
  <c r="CR19" i="137"/>
  <c r="CQ37" i="137"/>
  <c r="J10" i="91" s="1"/>
  <c r="CQ19" i="137"/>
  <c r="CP23" i="137"/>
  <c r="CQ27" i="137"/>
  <c r="CO23" i="137"/>
  <c r="CP27" i="137"/>
  <c r="CO19" i="137"/>
  <c r="CN23" i="137"/>
  <c r="CQ31" i="137"/>
  <c r="CR27" i="137"/>
  <c r="CL8" i="137"/>
  <c r="CO27" i="137"/>
  <c r="CN19" i="137"/>
  <c r="CM23" i="137"/>
  <c r="CO37" i="137"/>
  <c r="H10" i="91" s="1"/>
  <c r="CP37" i="137"/>
  <c r="I10" i="91" s="1"/>
  <c r="CK8" i="137"/>
  <c r="CN37" i="137"/>
  <c r="G10" i="91" s="1"/>
  <c r="CO31" i="137"/>
  <c r="CM37" i="137"/>
  <c r="F10" i="91" s="1"/>
  <c r="CL37" i="137"/>
  <c r="E10" i="91" s="1"/>
  <c r="CR37" i="137"/>
  <c r="CK23" i="137"/>
  <c r="CN8" i="137"/>
  <c r="CR31" i="137"/>
  <c r="I239" i="145" l="1"/>
  <c r="J239" i="145"/>
  <c r="CP13" i="137"/>
  <c r="CP15" i="137" s="1"/>
  <c r="CK13" i="137"/>
  <c r="CK15" i="137" s="1"/>
  <c r="CK14" i="137"/>
  <c r="CN13" i="137"/>
  <c r="CL13" i="137"/>
  <c r="CM13" i="137"/>
  <c r="CO13" i="137"/>
  <c r="CR13" i="137"/>
  <c r="CQ13" i="137"/>
  <c r="CQ14" i="137"/>
  <c r="CO14" i="137"/>
  <c r="CM14" i="137"/>
  <c r="CL14" i="137"/>
  <c r="CN14" i="137"/>
  <c r="CP14" i="137"/>
  <c r="CR14" i="137"/>
  <c r="CO15" i="137" l="1"/>
  <c r="CL15" i="137"/>
  <c r="CN15" i="137"/>
  <c r="CQ15" i="137"/>
  <c r="CR15" i="137"/>
  <c r="CM15" i="137"/>
  <c r="V35" i="127" l="1"/>
  <c r="S61" i="116" s="1"/>
  <c r="T35" i="127" l="1"/>
  <c r="Q61" i="116" s="1"/>
  <c r="R35" i="127"/>
  <c r="O61" i="116" s="1"/>
  <c r="Q35" i="127"/>
  <c r="N61" i="116" s="1"/>
  <c r="P35" i="127"/>
  <c r="S35" i="127"/>
  <c r="P61" i="116" s="1"/>
  <c r="U35" i="127"/>
  <c r="R61" i="116" s="1"/>
  <c r="W35" i="127"/>
  <c r="BL240" i="127"/>
  <c r="BM240" i="127"/>
  <c r="BN240" i="127"/>
  <c r="BO240" i="127"/>
  <c r="BP240" i="127"/>
  <c r="BQ240" i="127"/>
  <c r="BR240" i="127"/>
  <c r="R75" i="141"/>
  <c r="BK243" i="127"/>
  <c r="BL243" i="127"/>
  <c r="BM243" i="127"/>
  <c r="BN243" i="127"/>
  <c r="BO243" i="127"/>
  <c r="BP243" i="127"/>
  <c r="BQ243" i="127"/>
  <c r="BR243" i="127"/>
  <c r="BK240" i="127"/>
  <c r="AO68" i="127"/>
  <c r="AP68" i="127"/>
  <c r="AQ68" i="127"/>
  <c r="AR68" i="127"/>
  <c r="AS68" i="127"/>
  <c r="AT68" i="127"/>
  <c r="AU68" i="127"/>
  <c r="AN72" i="127"/>
  <c r="AO72" i="127"/>
  <c r="AP72" i="127"/>
  <c r="AQ72" i="127"/>
  <c r="AR72" i="127"/>
  <c r="AS72" i="127"/>
  <c r="AT72" i="127"/>
  <c r="AU72" i="127"/>
  <c r="AN68" i="127" l="1"/>
  <c r="AN70" i="127"/>
  <c r="AX20" i="127"/>
  <c r="AO74" i="127"/>
  <c r="AT74" i="127"/>
  <c r="AR74" i="127"/>
  <c r="AQ74" i="127"/>
  <c r="AP74" i="127"/>
  <c r="AR22" i="127"/>
  <c r="AP22" i="127"/>
  <c r="AU74" i="127"/>
  <c r="AT22" i="127"/>
  <c r="AS74" i="127"/>
  <c r="AQ22" i="127"/>
  <c r="AS22" i="127"/>
  <c r="AO22" i="127"/>
  <c r="AR70" i="127"/>
  <c r="AR73" i="127"/>
  <c r="AQ70" i="127"/>
  <c r="AQ73" i="127"/>
  <c r="AP70" i="127"/>
  <c r="AP73" i="127"/>
  <c r="AO70" i="127"/>
  <c r="AO73" i="127"/>
  <c r="AN73" i="127"/>
  <c r="AU70" i="127"/>
  <c r="AU73" i="127"/>
  <c r="AT70" i="127"/>
  <c r="AT73" i="127"/>
  <c r="AS70" i="127"/>
  <c r="AS73" i="127"/>
  <c r="BA20" i="127"/>
  <c r="AN22" i="127"/>
  <c r="AN74" i="127"/>
  <c r="AU22" i="127"/>
  <c r="BD20" i="127"/>
  <c r="BE20" i="127"/>
  <c r="AY20" i="127"/>
  <c r="AZ20" i="127"/>
  <c r="BB20" i="127"/>
  <c r="BC20" i="127"/>
  <c r="E40" i="137" l="1"/>
  <c r="I18" i="69" l="1"/>
  <c r="I72" i="69" s="1"/>
  <c r="H18" i="69" l="1"/>
  <c r="H72" i="69" s="1"/>
  <c r="E18" i="69"/>
  <c r="E72" i="69" s="1"/>
  <c r="G18" i="69"/>
  <c r="G72" i="69" s="1"/>
  <c r="F18" i="69"/>
  <c r="F72" i="69" s="1"/>
  <c r="K18" i="69"/>
  <c r="K72" i="69" s="1"/>
  <c r="J18" i="69"/>
  <c r="J72" i="69" s="1"/>
  <c r="L72" i="69"/>
  <c r="I39" i="110" l="1"/>
  <c r="AH24" i="137" s="1"/>
  <c r="AH25" i="137" s="1"/>
  <c r="AP44" i="130"/>
  <c r="AQ44" i="130"/>
  <c r="AR44" i="130"/>
  <c r="AS44" i="130"/>
  <c r="AT44" i="130"/>
  <c r="AU44" i="130"/>
  <c r="AV44" i="130"/>
  <c r="AW44" i="130"/>
  <c r="AP45" i="130"/>
  <c r="AQ45" i="130"/>
  <c r="AR45" i="130"/>
  <c r="AS45" i="130"/>
  <c r="AT45" i="130"/>
  <c r="AU45" i="130"/>
  <c r="AV45" i="130"/>
  <c r="AW45" i="130"/>
  <c r="AP46" i="130"/>
  <c r="AQ46" i="130"/>
  <c r="AR46" i="130"/>
  <c r="AS46" i="130"/>
  <c r="AT46" i="130"/>
  <c r="AU46" i="130"/>
  <c r="AV46" i="130"/>
  <c r="AW46" i="130"/>
  <c r="AP61" i="130" l="1"/>
  <c r="AF98" i="130"/>
  <c r="AG98" i="130"/>
  <c r="AH98" i="130"/>
  <c r="AI98" i="130"/>
  <c r="AJ98" i="130"/>
  <c r="AK98" i="130"/>
  <c r="AL98" i="130"/>
  <c r="AM98" i="130"/>
  <c r="AF45" i="130"/>
  <c r="AG45" i="130"/>
  <c r="AH45" i="130"/>
  <c r="AI45" i="130"/>
  <c r="AJ45" i="130"/>
  <c r="AK45" i="130"/>
  <c r="AL45" i="130"/>
  <c r="AM45" i="130"/>
  <c r="AF115" i="130"/>
  <c r="AG115" i="130"/>
  <c r="AH115" i="130"/>
  <c r="AI115" i="130"/>
  <c r="AJ115" i="130"/>
  <c r="AK115" i="130"/>
  <c r="AL115" i="130"/>
  <c r="AM115" i="130"/>
  <c r="AF97" i="130"/>
  <c r="AG97" i="130"/>
  <c r="AH97" i="130"/>
  <c r="AI97" i="130"/>
  <c r="AJ97" i="130"/>
  <c r="AK97" i="130"/>
  <c r="AL97" i="130"/>
  <c r="AM97" i="130"/>
  <c r="AF114" i="130" l="1"/>
  <c r="AG114" i="130"/>
  <c r="AH114" i="130"/>
  <c r="AI114" i="130"/>
  <c r="AJ114" i="130"/>
  <c r="AK114" i="130"/>
  <c r="AL114" i="130"/>
  <c r="AM114" i="130"/>
  <c r="AF96" i="130" l="1"/>
  <c r="AF95" i="130"/>
  <c r="AG95" i="130"/>
  <c r="AH95" i="130"/>
  <c r="AI95" i="130"/>
  <c r="AJ95" i="130"/>
  <c r="AK95" i="130"/>
  <c r="AL95" i="130"/>
  <c r="AM95" i="130"/>
  <c r="AG96" i="130"/>
  <c r="AH96" i="130"/>
  <c r="AI96" i="130"/>
  <c r="AJ96" i="130"/>
  <c r="AK96" i="130"/>
  <c r="AL96" i="130"/>
  <c r="AM96" i="130"/>
  <c r="AF92" i="130"/>
  <c r="AG92" i="130"/>
  <c r="AH92" i="130"/>
  <c r="AI92" i="130"/>
  <c r="AJ92" i="130"/>
  <c r="AK92" i="130"/>
  <c r="AL92" i="130"/>
  <c r="AM92" i="130"/>
  <c r="AF94" i="130"/>
  <c r="AG94" i="130"/>
  <c r="AH94" i="130"/>
  <c r="AI94" i="130"/>
  <c r="AJ94" i="130"/>
  <c r="AK94" i="130"/>
  <c r="AL94" i="130"/>
  <c r="AM94" i="130"/>
  <c r="AF91" i="130"/>
  <c r="AG91" i="130"/>
  <c r="AH91" i="130"/>
  <c r="AI91" i="130"/>
  <c r="AJ91" i="130"/>
  <c r="AK91" i="130"/>
  <c r="AL91" i="130"/>
  <c r="AM91" i="130"/>
  <c r="R29" i="92" l="1"/>
  <c r="S29" i="92"/>
  <c r="T29" i="92"/>
  <c r="U29" i="92"/>
  <c r="V29" i="92"/>
  <c r="W29" i="92"/>
  <c r="X29" i="92"/>
  <c r="R31" i="92"/>
  <c r="S31" i="92"/>
  <c r="T31" i="92"/>
  <c r="U31" i="92"/>
  <c r="V31" i="92"/>
  <c r="W31" i="92"/>
  <c r="X31" i="92"/>
  <c r="R32" i="92"/>
  <c r="S32" i="92"/>
  <c r="T32" i="92"/>
  <c r="U32" i="92"/>
  <c r="V32" i="92"/>
  <c r="W32" i="92"/>
  <c r="X32" i="92"/>
  <c r="R34" i="92"/>
  <c r="S34" i="92"/>
  <c r="T34" i="92"/>
  <c r="U34" i="92"/>
  <c r="V34" i="92"/>
  <c r="W34" i="92"/>
  <c r="X34" i="92"/>
  <c r="Q34" i="92"/>
  <c r="Q31" i="92"/>
  <c r="Q29" i="92"/>
  <c r="Q32" i="92"/>
  <c r="S6" i="76" l="1"/>
  <c r="I7" i="60"/>
  <c r="H7" i="60"/>
  <c r="G7" i="60"/>
  <c r="F7" i="60"/>
  <c r="J10" i="76"/>
  <c r="I10" i="76"/>
  <c r="H10" i="76"/>
  <c r="G10" i="76"/>
  <c r="F10" i="76"/>
  <c r="E10" i="76"/>
  <c r="D10" i="76"/>
  <c r="E7" i="60" l="1"/>
  <c r="D7" i="60"/>
  <c r="J7" i="60"/>
  <c r="J12" i="60"/>
  <c r="J12" i="64"/>
  <c r="Z6" i="76"/>
  <c r="D12" i="60"/>
  <c r="D12" i="64"/>
  <c r="Y6" i="76"/>
  <c r="E12" i="60"/>
  <c r="E12" i="64"/>
  <c r="X6" i="76"/>
  <c r="F12" i="60"/>
  <c r="F12" i="64"/>
  <c r="W6" i="76"/>
  <c r="G12" i="60"/>
  <c r="G12" i="64"/>
  <c r="V6" i="76"/>
  <c r="H12" i="60"/>
  <c r="H12" i="64"/>
  <c r="U6" i="76"/>
  <c r="I12" i="60"/>
  <c r="I12" i="64"/>
  <c r="T6" i="76"/>
  <c r="G7" i="76"/>
  <c r="H7" i="76"/>
  <c r="I7" i="76"/>
  <c r="J7" i="76"/>
  <c r="D7" i="76"/>
  <c r="E7" i="76"/>
  <c r="F7" i="76"/>
  <c r="C39" i="91" l="1"/>
  <c r="E46" i="91"/>
  <c r="F46" i="91" s="1"/>
  <c r="I16" i="91"/>
  <c r="D16" i="91"/>
  <c r="Q71" i="92" l="1"/>
  <c r="R71" i="92"/>
  <c r="S71" i="92"/>
  <c r="T71" i="92"/>
  <c r="U71" i="92"/>
  <c r="V71" i="92"/>
  <c r="W71" i="92"/>
  <c r="X71" i="92"/>
  <c r="Q96" i="92"/>
  <c r="R96" i="92"/>
  <c r="S96" i="92"/>
  <c r="T96" i="92"/>
  <c r="U96" i="92"/>
  <c r="V96" i="92"/>
  <c r="W96" i="92"/>
  <c r="X96" i="92"/>
  <c r="Q39" i="92"/>
  <c r="R39" i="92"/>
  <c r="S39" i="92"/>
  <c r="T39" i="92"/>
  <c r="U39" i="92"/>
  <c r="V39" i="92"/>
  <c r="W39" i="92"/>
  <c r="X39" i="92"/>
  <c r="R38" i="92"/>
  <c r="S38" i="92"/>
  <c r="T38" i="92"/>
  <c r="U38" i="92"/>
  <c r="V38" i="92"/>
  <c r="W38" i="92"/>
  <c r="X38" i="92"/>
  <c r="Q38" i="92"/>
  <c r="Q162" i="92"/>
  <c r="R162" i="92"/>
  <c r="S162" i="92"/>
  <c r="T162" i="92"/>
  <c r="U162" i="92"/>
  <c r="V162" i="92"/>
  <c r="W162" i="92"/>
  <c r="X162" i="92"/>
  <c r="Q163" i="92"/>
  <c r="Q166" i="92"/>
  <c r="R166" i="92"/>
  <c r="S166" i="92"/>
  <c r="T166" i="92"/>
  <c r="U166" i="92"/>
  <c r="V166" i="92"/>
  <c r="W166" i="92"/>
  <c r="X166" i="92"/>
  <c r="B12" i="92"/>
  <c r="B14" i="92"/>
  <c r="B18" i="92"/>
  <c r="B19" i="92"/>
  <c r="B20" i="92"/>
  <c r="B21" i="92"/>
  <c r="B60" i="92"/>
  <c r="B61" i="92"/>
  <c r="B62" i="92"/>
  <c r="B64" i="92"/>
  <c r="B65" i="92"/>
  <c r="B66" i="92"/>
  <c r="B67" i="92"/>
  <c r="B68" i="92"/>
  <c r="B70" i="92"/>
  <c r="B104" i="92"/>
  <c r="B107" i="92"/>
  <c r="B109" i="92"/>
  <c r="B110" i="92"/>
  <c r="B111" i="92"/>
  <c r="B112" i="92"/>
  <c r="B113" i="92"/>
  <c r="B114" i="92"/>
  <c r="B117" i="92"/>
  <c r="B118" i="92"/>
  <c r="B119" i="92"/>
  <c r="B132" i="92"/>
  <c r="B134" i="92"/>
  <c r="B135" i="92"/>
  <c r="B140" i="92"/>
  <c r="B141" i="92"/>
  <c r="B142" i="92"/>
  <c r="B143" i="92"/>
  <c r="B144" i="92"/>
  <c r="B145" i="92"/>
  <c r="B4" i="92"/>
  <c r="B5" i="92"/>
  <c r="B9" i="92"/>
  <c r="B10" i="92"/>
  <c r="B11" i="92"/>
  <c r="B2" i="92"/>
  <c r="X127" i="92"/>
  <c r="C10" i="97"/>
  <c r="J10" i="97"/>
  <c r="I10" i="97"/>
  <c r="H10" i="97"/>
  <c r="G10" i="97"/>
  <c r="F10" i="97"/>
  <c r="E10" i="97"/>
  <c r="D10" i="97"/>
  <c r="D5" i="97"/>
  <c r="E5" i="97"/>
  <c r="F5" i="97"/>
  <c r="G5" i="97"/>
  <c r="H5" i="97"/>
  <c r="I5" i="97"/>
  <c r="J5" i="97"/>
  <c r="C5" i="97"/>
  <c r="S11" i="122"/>
  <c r="Q11" i="122"/>
  <c r="R11" i="122"/>
  <c r="T11" i="122"/>
  <c r="U11" i="122"/>
  <c r="V11" i="122"/>
  <c r="W11" i="122"/>
  <c r="P11" i="122"/>
  <c r="U6" i="122"/>
  <c r="Q6" i="122"/>
  <c r="R6" i="122"/>
  <c r="S6" i="122"/>
  <c r="T6" i="122"/>
  <c r="V6" i="122"/>
  <c r="W6" i="122"/>
  <c r="P6" i="122"/>
  <c r="CZ64" i="137" l="1"/>
  <c r="DD64" i="137" l="1"/>
  <c r="DB64" i="137"/>
  <c r="CZ66" i="137"/>
  <c r="CW66" i="137"/>
  <c r="DB66" i="137"/>
  <c r="CY64" i="137"/>
  <c r="CY66" i="137"/>
  <c r="DD66" i="137"/>
  <c r="DC66" i="137"/>
  <c r="DC64" i="137"/>
  <c r="CW64" i="137"/>
  <c r="DA64" i="137"/>
  <c r="DA66" i="137"/>
  <c r="DC67" i="137"/>
  <c r="CZ67" i="137"/>
  <c r="CZ65" i="137"/>
  <c r="CY67" i="137"/>
  <c r="CY65" i="137"/>
  <c r="CW67" i="137"/>
  <c r="CW65" i="137"/>
  <c r="DD67" i="137"/>
  <c r="DD65" i="137"/>
  <c r="DC65" i="137"/>
  <c r="DB67" i="137"/>
  <c r="DB65" i="137"/>
  <c r="DA67" i="137"/>
  <c r="DA65" i="137"/>
  <c r="E543" i="141"/>
  <c r="F543" i="141"/>
  <c r="G543" i="141"/>
  <c r="H543" i="141"/>
  <c r="I543" i="141"/>
  <c r="J543" i="141"/>
  <c r="K543" i="141"/>
  <c r="L543" i="141"/>
  <c r="E544" i="141"/>
  <c r="F544" i="141"/>
  <c r="G544" i="141"/>
  <c r="H544" i="141"/>
  <c r="I544" i="141"/>
  <c r="J544" i="141"/>
  <c r="K544" i="141"/>
  <c r="L544" i="141"/>
  <c r="E545" i="141"/>
  <c r="F545" i="141"/>
  <c r="G545" i="141"/>
  <c r="H545" i="141"/>
  <c r="I545" i="141"/>
  <c r="J545" i="141"/>
  <c r="K545" i="141"/>
  <c r="L545" i="141"/>
  <c r="E546" i="141"/>
  <c r="F546" i="141"/>
  <c r="G546" i="141"/>
  <c r="H546" i="141"/>
  <c r="I546" i="141"/>
  <c r="J546" i="141"/>
  <c r="K546" i="141"/>
  <c r="L546" i="141"/>
  <c r="E547" i="141"/>
  <c r="F547" i="141"/>
  <c r="G547" i="141"/>
  <c r="H547" i="141"/>
  <c r="I547" i="141"/>
  <c r="J547" i="141"/>
  <c r="K547" i="141"/>
  <c r="L547" i="141"/>
  <c r="E548" i="141"/>
  <c r="F548" i="141"/>
  <c r="G548" i="141"/>
  <c r="H548" i="141"/>
  <c r="I548" i="141"/>
  <c r="J548" i="141"/>
  <c r="K548" i="141"/>
  <c r="L548" i="141"/>
  <c r="E549" i="141"/>
  <c r="F549" i="141"/>
  <c r="G549" i="141"/>
  <c r="H549" i="141"/>
  <c r="I549" i="141"/>
  <c r="J549" i="141"/>
  <c r="K549" i="141"/>
  <c r="L549" i="141"/>
  <c r="E550" i="141"/>
  <c r="F550" i="141"/>
  <c r="G550" i="141"/>
  <c r="H550" i="141"/>
  <c r="I550" i="141"/>
  <c r="J550" i="141"/>
  <c r="K550" i="141"/>
  <c r="L550" i="141"/>
  <c r="E551" i="141"/>
  <c r="F551" i="141"/>
  <c r="G551" i="141"/>
  <c r="H551" i="141"/>
  <c r="I551" i="141"/>
  <c r="J551" i="141"/>
  <c r="K551" i="141"/>
  <c r="L551" i="141"/>
  <c r="E552" i="141"/>
  <c r="F552" i="141"/>
  <c r="G552" i="141"/>
  <c r="H552" i="141"/>
  <c r="I552" i="141"/>
  <c r="J552" i="141"/>
  <c r="K552" i="141"/>
  <c r="L552" i="141"/>
  <c r="E553" i="141"/>
  <c r="F553" i="141"/>
  <c r="G553" i="141"/>
  <c r="H553" i="141"/>
  <c r="I553" i="141"/>
  <c r="J553" i="141"/>
  <c r="K553" i="141"/>
  <c r="L553" i="141"/>
  <c r="E554" i="141"/>
  <c r="F554" i="141"/>
  <c r="G554" i="141"/>
  <c r="H554" i="141"/>
  <c r="I554" i="141"/>
  <c r="J554" i="141"/>
  <c r="K554" i="141"/>
  <c r="L554" i="141"/>
  <c r="E555" i="141"/>
  <c r="F555" i="141"/>
  <c r="G555" i="141"/>
  <c r="H555" i="141"/>
  <c r="I555" i="141"/>
  <c r="J555" i="141"/>
  <c r="K555" i="141"/>
  <c r="L555" i="141"/>
  <c r="E556" i="141"/>
  <c r="F556" i="141"/>
  <c r="G556" i="141"/>
  <c r="H556" i="141"/>
  <c r="I556" i="141"/>
  <c r="J556" i="141"/>
  <c r="K556" i="141"/>
  <c r="L556" i="141"/>
  <c r="E557" i="141"/>
  <c r="F557" i="141"/>
  <c r="G557" i="141"/>
  <c r="H557" i="141"/>
  <c r="I557" i="141"/>
  <c r="J557" i="141"/>
  <c r="K557" i="141"/>
  <c r="L557" i="141"/>
  <c r="E558" i="141"/>
  <c r="F558" i="141"/>
  <c r="G558" i="141"/>
  <c r="H558" i="141"/>
  <c r="I558" i="141"/>
  <c r="J558" i="141"/>
  <c r="K558" i="141"/>
  <c r="L558" i="141"/>
  <c r="E559" i="141"/>
  <c r="F559" i="141"/>
  <c r="G559" i="141"/>
  <c r="H559" i="141"/>
  <c r="I559" i="141"/>
  <c r="J559" i="141"/>
  <c r="K559" i="141"/>
  <c r="L559" i="141"/>
  <c r="E560" i="141"/>
  <c r="F560" i="141"/>
  <c r="G560" i="141"/>
  <c r="H560" i="141"/>
  <c r="I560" i="141"/>
  <c r="J560" i="141"/>
  <c r="K560" i="141"/>
  <c r="L560" i="141"/>
  <c r="E561" i="141"/>
  <c r="F561" i="141"/>
  <c r="G561" i="141"/>
  <c r="H561" i="141"/>
  <c r="I561" i="141"/>
  <c r="J561" i="141"/>
  <c r="K561" i="141"/>
  <c r="L561" i="141"/>
  <c r="E562" i="141"/>
  <c r="F562" i="141"/>
  <c r="G562" i="141"/>
  <c r="H562" i="141"/>
  <c r="I562" i="141"/>
  <c r="J562" i="141"/>
  <c r="K562" i="141"/>
  <c r="L562" i="141"/>
  <c r="E563" i="141"/>
  <c r="F563" i="141"/>
  <c r="G563" i="141"/>
  <c r="H563" i="141"/>
  <c r="I563" i="141"/>
  <c r="J563" i="141"/>
  <c r="K563" i="141"/>
  <c r="L563" i="141"/>
  <c r="E564" i="141"/>
  <c r="F564" i="141"/>
  <c r="G564" i="141"/>
  <c r="H564" i="141"/>
  <c r="I564" i="141"/>
  <c r="J564" i="141"/>
  <c r="K564" i="141"/>
  <c r="L564" i="141"/>
  <c r="E565" i="141"/>
  <c r="F565" i="141"/>
  <c r="G565" i="141"/>
  <c r="H565" i="141"/>
  <c r="I565" i="141"/>
  <c r="J565" i="141"/>
  <c r="K565" i="141"/>
  <c r="L565" i="141"/>
  <c r="E566" i="141"/>
  <c r="F566" i="141"/>
  <c r="G566" i="141"/>
  <c r="H566" i="141"/>
  <c r="I566" i="141"/>
  <c r="J566" i="141"/>
  <c r="K566" i="141"/>
  <c r="L566" i="141"/>
  <c r="E567" i="141"/>
  <c r="F567" i="141"/>
  <c r="G567" i="141"/>
  <c r="H567" i="141"/>
  <c r="I567" i="141"/>
  <c r="J567" i="141"/>
  <c r="K567" i="141"/>
  <c r="L567" i="141"/>
  <c r="E568" i="141"/>
  <c r="F568" i="141"/>
  <c r="G568" i="141"/>
  <c r="H568" i="141"/>
  <c r="I568" i="141"/>
  <c r="J568" i="141"/>
  <c r="K568" i="141"/>
  <c r="L568" i="141"/>
  <c r="E569" i="141"/>
  <c r="F569" i="141"/>
  <c r="G569" i="141"/>
  <c r="H569" i="141"/>
  <c r="I569" i="141"/>
  <c r="J569" i="141"/>
  <c r="K569" i="141"/>
  <c r="L569" i="141"/>
  <c r="E570" i="141"/>
  <c r="F570" i="141"/>
  <c r="G570" i="141"/>
  <c r="H570" i="141"/>
  <c r="I570" i="141"/>
  <c r="J570" i="141"/>
  <c r="K570" i="141"/>
  <c r="L570" i="141"/>
  <c r="E571" i="141"/>
  <c r="F571" i="141"/>
  <c r="G571" i="141"/>
  <c r="H571" i="141"/>
  <c r="I571" i="141"/>
  <c r="J571" i="141"/>
  <c r="K571" i="141"/>
  <c r="L571" i="141"/>
  <c r="E572" i="141"/>
  <c r="F572" i="141"/>
  <c r="G572" i="141"/>
  <c r="H572" i="141"/>
  <c r="I572" i="141"/>
  <c r="J572" i="141"/>
  <c r="K572" i="141"/>
  <c r="L572" i="141"/>
  <c r="E573" i="141"/>
  <c r="F573" i="141"/>
  <c r="G573" i="141"/>
  <c r="H573" i="141"/>
  <c r="I573" i="141"/>
  <c r="J573" i="141"/>
  <c r="K573" i="141"/>
  <c r="L573" i="141"/>
  <c r="E574" i="141"/>
  <c r="F574" i="141"/>
  <c r="G574" i="141"/>
  <c r="H574" i="141"/>
  <c r="I574" i="141"/>
  <c r="J574" i="141"/>
  <c r="K574" i="141"/>
  <c r="L574" i="141"/>
  <c r="E575" i="141"/>
  <c r="F575" i="141"/>
  <c r="G575" i="141"/>
  <c r="H575" i="141"/>
  <c r="I575" i="141"/>
  <c r="J575" i="141"/>
  <c r="K575" i="141"/>
  <c r="L575" i="141"/>
  <c r="E576" i="141"/>
  <c r="F576" i="141"/>
  <c r="G576" i="141"/>
  <c r="H576" i="141"/>
  <c r="I576" i="141"/>
  <c r="J576" i="141"/>
  <c r="K576" i="141"/>
  <c r="L576" i="141"/>
  <c r="E577" i="141"/>
  <c r="F577" i="141"/>
  <c r="G577" i="141"/>
  <c r="H577" i="141"/>
  <c r="I577" i="141"/>
  <c r="J577" i="141"/>
  <c r="K577" i="141"/>
  <c r="L577" i="141"/>
  <c r="E578" i="141"/>
  <c r="F578" i="141"/>
  <c r="G578" i="141"/>
  <c r="H578" i="141"/>
  <c r="I578" i="141"/>
  <c r="J578" i="141"/>
  <c r="K578" i="141"/>
  <c r="L578" i="141"/>
  <c r="E579" i="141"/>
  <c r="F579" i="141"/>
  <c r="G579" i="141"/>
  <c r="H579" i="141"/>
  <c r="I579" i="141"/>
  <c r="J579" i="141"/>
  <c r="K579" i="141"/>
  <c r="L579" i="141"/>
  <c r="E580" i="141"/>
  <c r="F580" i="141"/>
  <c r="G580" i="141"/>
  <c r="H580" i="141"/>
  <c r="I580" i="141"/>
  <c r="J580" i="141"/>
  <c r="K580" i="141"/>
  <c r="L580" i="141"/>
  <c r="E581" i="141"/>
  <c r="F581" i="141"/>
  <c r="G581" i="141"/>
  <c r="H581" i="141"/>
  <c r="I581" i="141"/>
  <c r="J581" i="141"/>
  <c r="K581" i="141"/>
  <c r="L581" i="141"/>
  <c r="E582" i="141"/>
  <c r="F582" i="141"/>
  <c r="G582" i="141"/>
  <c r="H582" i="141"/>
  <c r="I582" i="141"/>
  <c r="J582" i="141"/>
  <c r="K582" i="141"/>
  <c r="L582" i="141"/>
  <c r="E583" i="141"/>
  <c r="F583" i="141"/>
  <c r="G583" i="141"/>
  <c r="H583" i="141"/>
  <c r="I583" i="141"/>
  <c r="J583" i="141"/>
  <c r="K583" i="141"/>
  <c r="L583" i="141"/>
  <c r="E584" i="141"/>
  <c r="F584" i="141"/>
  <c r="G584" i="141"/>
  <c r="H584" i="141"/>
  <c r="I584" i="141"/>
  <c r="J584" i="141"/>
  <c r="K584" i="141"/>
  <c r="L584" i="141"/>
  <c r="E585" i="141"/>
  <c r="F585" i="141"/>
  <c r="G585" i="141"/>
  <c r="H585" i="141"/>
  <c r="I585" i="141"/>
  <c r="J585" i="141"/>
  <c r="K585" i="141"/>
  <c r="L585" i="141"/>
  <c r="E586" i="141"/>
  <c r="F586" i="141"/>
  <c r="G586" i="141"/>
  <c r="H586" i="141"/>
  <c r="I586" i="141"/>
  <c r="J586" i="141"/>
  <c r="K586" i="141"/>
  <c r="L586" i="141"/>
  <c r="E587" i="141"/>
  <c r="F587" i="141"/>
  <c r="G587" i="141"/>
  <c r="H587" i="141"/>
  <c r="I587" i="141"/>
  <c r="J587" i="141"/>
  <c r="K587" i="141"/>
  <c r="L587" i="141"/>
  <c r="E588" i="141"/>
  <c r="F588" i="141"/>
  <c r="G588" i="141"/>
  <c r="H588" i="141"/>
  <c r="I588" i="141"/>
  <c r="J588" i="141"/>
  <c r="K588" i="141"/>
  <c r="L588" i="141"/>
  <c r="E589" i="141"/>
  <c r="F589" i="141"/>
  <c r="G589" i="141"/>
  <c r="H589" i="141"/>
  <c r="I589" i="141"/>
  <c r="J589" i="141"/>
  <c r="K589" i="141"/>
  <c r="L589" i="141"/>
  <c r="E590" i="141"/>
  <c r="F590" i="141"/>
  <c r="G590" i="141"/>
  <c r="H590" i="141"/>
  <c r="I590" i="141"/>
  <c r="J590" i="141"/>
  <c r="K590" i="141"/>
  <c r="L590" i="141"/>
  <c r="E591" i="141"/>
  <c r="F591" i="141"/>
  <c r="G591" i="141"/>
  <c r="H591" i="141"/>
  <c r="I591" i="141"/>
  <c r="J591" i="141"/>
  <c r="K591" i="141"/>
  <c r="L591" i="141"/>
  <c r="E592" i="141"/>
  <c r="F592" i="141"/>
  <c r="G592" i="141"/>
  <c r="H592" i="141"/>
  <c r="I592" i="141"/>
  <c r="J592" i="141"/>
  <c r="K592" i="141"/>
  <c r="L592" i="141"/>
  <c r="E593" i="141"/>
  <c r="F593" i="141"/>
  <c r="G593" i="141"/>
  <c r="H593" i="141"/>
  <c r="I593" i="141"/>
  <c r="J593" i="141"/>
  <c r="K593" i="141"/>
  <c r="L593" i="141"/>
  <c r="E594" i="141"/>
  <c r="F594" i="141"/>
  <c r="G594" i="141"/>
  <c r="H594" i="141"/>
  <c r="I594" i="141"/>
  <c r="J594" i="141"/>
  <c r="K594" i="141"/>
  <c r="L594" i="141"/>
  <c r="E595" i="141"/>
  <c r="F595" i="141"/>
  <c r="G595" i="141"/>
  <c r="H595" i="141"/>
  <c r="I595" i="141"/>
  <c r="J595" i="141"/>
  <c r="K595" i="141"/>
  <c r="L595" i="141"/>
  <c r="E596" i="141"/>
  <c r="F596" i="141"/>
  <c r="G596" i="141"/>
  <c r="H596" i="141"/>
  <c r="I596" i="141"/>
  <c r="J596" i="141"/>
  <c r="K596" i="141"/>
  <c r="L596" i="141"/>
  <c r="E597" i="141"/>
  <c r="F597" i="141"/>
  <c r="G597" i="141"/>
  <c r="H597" i="141"/>
  <c r="I597" i="141"/>
  <c r="J597" i="141"/>
  <c r="K597" i="141"/>
  <c r="L597" i="141"/>
  <c r="E598" i="141"/>
  <c r="F598" i="141"/>
  <c r="G598" i="141"/>
  <c r="H598" i="141"/>
  <c r="I598" i="141"/>
  <c r="J598" i="141"/>
  <c r="K598" i="141"/>
  <c r="L598" i="141"/>
  <c r="E599" i="141"/>
  <c r="F599" i="141"/>
  <c r="G599" i="141"/>
  <c r="H599" i="141"/>
  <c r="I599" i="141"/>
  <c r="J599" i="141"/>
  <c r="K599" i="141"/>
  <c r="L599" i="141"/>
  <c r="E600" i="141"/>
  <c r="F600" i="141"/>
  <c r="G600" i="141"/>
  <c r="H600" i="141"/>
  <c r="I600" i="141"/>
  <c r="J600" i="141"/>
  <c r="K600" i="141"/>
  <c r="L600" i="141"/>
  <c r="E601" i="141"/>
  <c r="F601" i="141"/>
  <c r="G601" i="141"/>
  <c r="H601" i="141"/>
  <c r="I601" i="141"/>
  <c r="J601" i="141"/>
  <c r="K601" i="141"/>
  <c r="L601" i="141"/>
  <c r="E602" i="141"/>
  <c r="F602" i="141"/>
  <c r="G602" i="141"/>
  <c r="H602" i="141"/>
  <c r="I602" i="141"/>
  <c r="J602" i="141"/>
  <c r="K602" i="141"/>
  <c r="L602" i="141"/>
  <c r="E603" i="141"/>
  <c r="F603" i="141"/>
  <c r="G603" i="141"/>
  <c r="H603" i="141"/>
  <c r="I603" i="141"/>
  <c r="J603" i="141"/>
  <c r="K603" i="141"/>
  <c r="L603" i="141"/>
  <c r="E604" i="141"/>
  <c r="F604" i="141"/>
  <c r="G604" i="141"/>
  <c r="H604" i="141"/>
  <c r="I604" i="141"/>
  <c r="J604" i="141"/>
  <c r="K604" i="141"/>
  <c r="L604" i="141"/>
  <c r="E605" i="141"/>
  <c r="F605" i="141"/>
  <c r="G605" i="141"/>
  <c r="H605" i="141"/>
  <c r="I605" i="141"/>
  <c r="J605" i="141"/>
  <c r="K605" i="141"/>
  <c r="L605" i="141"/>
  <c r="F542" i="141"/>
  <c r="G542" i="141"/>
  <c r="H542" i="141"/>
  <c r="I542" i="141"/>
  <c r="J542" i="141"/>
  <c r="K542" i="141"/>
  <c r="L542" i="141"/>
  <c r="E542" i="141"/>
  <c r="K686" i="141" l="1"/>
  <c r="E686" i="141"/>
  <c r="J686" i="141"/>
  <c r="G686" i="141"/>
  <c r="H686" i="141"/>
  <c r="I686" i="141"/>
  <c r="L685" i="141"/>
  <c r="F686" i="141"/>
  <c r="L686" i="141"/>
  <c r="L687" i="141"/>
  <c r="K688" i="141"/>
  <c r="K685" i="141"/>
  <c r="K687" i="141"/>
  <c r="J688" i="141"/>
  <c r="J685" i="141"/>
  <c r="J687" i="141"/>
  <c r="I688" i="141"/>
  <c r="I685" i="141"/>
  <c r="I687" i="141"/>
  <c r="H688" i="141"/>
  <c r="H685" i="141"/>
  <c r="H687" i="141"/>
  <c r="G688" i="141"/>
  <c r="G685" i="141"/>
  <c r="G687" i="141"/>
  <c r="F688" i="141"/>
  <c r="F685" i="141"/>
  <c r="F687" i="141"/>
  <c r="E688" i="141"/>
  <c r="E685" i="141"/>
  <c r="E687" i="141"/>
  <c r="L688" i="141"/>
  <c r="E689" i="141" l="1"/>
  <c r="L689" i="141"/>
  <c r="Q67" i="92" l="1"/>
  <c r="Q103" i="92"/>
  <c r="R103" i="92"/>
  <c r="S103" i="92"/>
  <c r="T103" i="92"/>
  <c r="U103" i="92"/>
  <c r="V103" i="92"/>
  <c r="W103" i="92"/>
  <c r="X103" i="92"/>
  <c r="R149" i="92" l="1"/>
  <c r="S149" i="92"/>
  <c r="T149" i="92"/>
  <c r="U149" i="92"/>
  <c r="V149" i="92"/>
  <c r="W149" i="92"/>
  <c r="X149" i="92"/>
  <c r="R150" i="92"/>
  <c r="S150" i="92"/>
  <c r="T150" i="92"/>
  <c r="U150" i="92"/>
  <c r="V150" i="92"/>
  <c r="W150" i="92"/>
  <c r="X150" i="92"/>
  <c r="R151" i="92"/>
  <c r="S151" i="92"/>
  <c r="T151" i="92"/>
  <c r="U151" i="92"/>
  <c r="V151" i="92"/>
  <c r="W151" i="92"/>
  <c r="X151" i="92"/>
  <c r="R152" i="92"/>
  <c r="S152" i="92"/>
  <c r="T152" i="92"/>
  <c r="U152" i="92"/>
  <c r="V152" i="92"/>
  <c r="W152" i="92"/>
  <c r="X152" i="92"/>
  <c r="Q152" i="92"/>
  <c r="Q151" i="92"/>
  <c r="Q150" i="92"/>
  <c r="Q149" i="92"/>
  <c r="R42" i="92"/>
  <c r="S42" i="92"/>
  <c r="T42" i="92"/>
  <c r="U42" i="92"/>
  <c r="V42" i="92"/>
  <c r="W42" i="92"/>
  <c r="X42" i="92"/>
  <c r="Q42" i="92"/>
  <c r="D82" i="102" l="1"/>
  <c r="G82" i="102"/>
  <c r="E82" i="102"/>
  <c r="F82" i="102"/>
  <c r="H82" i="102"/>
  <c r="I82" i="102"/>
  <c r="C83" i="102"/>
  <c r="J83" i="102"/>
  <c r="I83" i="102"/>
  <c r="H83" i="102"/>
  <c r="G83" i="102"/>
  <c r="F83" i="102"/>
  <c r="E83" i="102"/>
  <c r="D83" i="102"/>
  <c r="J82" i="102"/>
  <c r="C82" i="102"/>
  <c r="Q91" i="92"/>
  <c r="R91" i="92"/>
  <c r="S91" i="92"/>
  <c r="T91" i="92"/>
  <c r="U91" i="92"/>
  <c r="V91" i="92"/>
  <c r="W91" i="92"/>
  <c r="X91" i="92"/>
  <c r="Q92" i="92"/>
  <c r="R92" i="92"/>
  <c r="S92" i="92"/>
  <c r="T92" i="92"/>
  <c r="U92" i="92"/>
  <c r="V92" i="92"/>
  <c r="W92" i="92"/>
  <c r="X92" i="92"/>
  <c r="Q93" i="92"/>
  <c r="R93" i="92"/>
  <c r="S93" i="92"/>
  <c r="T93" i="92"/>
  <c r="U93" i="92"/>
  <c r="V93" i="92"/>
  <c r="W93" i="92"/>
  <c r="X93" i="92"/>
  <c r="Q94" i="92"/>
  <c r="R94" i="92"/>
  <c r="S94" i="92"/>
  <c r="T94" i="92"/>
  <c r="U94" i="92"/>
  <c r="V94" i="92"/>
  <c r="W94" i="92"/>
  <c r="X94" i="92"/>
  <c r="Q95" i="92"/>
  <c r="R95" i="92"/>
  <c r="S95" i="92"/>
  <c r="T95" i="92"/>
  <c r="U95" i="92"/>
  <c r="V95" i="92"/>
  <c r="W95" i="92"/>
  <c r="X95" i="92"/>
  <c r="Q90" i="92" l="1"/>
  <c r="R90" i="92"/>
  <c r="S90" i="92"/>
  <c r="T90" i="92"/>
  <c r="U90" i="92"/>
  <c r="V90" i="92"/>
  <c r="W90" i="92"/>
  <c r="X90" i="92"/>
  <c r="Q89" i="92" l="1"/>
  <c r="R89" i="92"/>
  <c r="S89" i="92"/>
  <c r="T89" i="92"/>
  <c r="U89" i="92"/>
  <c r="V89" i="92"/>
  <c r="W89" i="92"/>
  <c r="X89" i="92"/>
  <c r="Q72" i="92"/>
  <c r="R72" i="92"/>
  <c r="S72" i="92"/>
  <c r="T72" i="92"/>
  <c r="U72" i="92"/>
  <c r="V72" i="92"/>
  <c r="W72" i="92"/>
  <c r="X72" i="92"/>
  <c r="DQ108" i="137"/>
  <c r="DP108" i="137"/>
  <c r="DO108" i="137"/>
  <c r="DN108" i="137"/>
  <c r="DM108" i="137"/>
  <c r="DL108" i="137"/>
  <c r="DK108" i="137"/>
  <c r="DJ108" i="137"/>
  <c r="R7" i="136" l="1"/>
  <c r="R13" i="141" l="1"/>
  <c r="Q63" i="92" l="1"/>
  <c r="Q64" i="92"/>
  <c r="R64" i="92"/>
  <c r="S64" i="92"/>
  <c r="T64" i="92"/>
  <c r="U64" i="92"/>
  <c r="V64" i="92"/>
  <c r="W64" i="92"/>
  <c r="X64" i="92"/>
  <c r="Q65" i="92"/>
  <c r="R65" i="92"/>
  <c r="S65" i="92"/>
  <c r="T65" i="92"/>
  <c r="U65" i="92"/>
  <c r="V65" i="92"/>
  <c r="W65" i="92"/>
  <c r="X65" i="92"/>
  <c r="Q66" i="92"/>
  <c r="R66" i="92"/>
  <c r="S66" i="92"/>
  <c r="T66" i="92"/>
  <c r="U66" i="92"/>
  <c r="V66" i="92"/>
  <c r="W66" i="92"/>
  <c r="X66" i="92"/>
  <c r="R67" i="92"/>
  <c r="S67" i="92"/>
  <c r="T67" i="92"/>
  <c r="U67" i="92"/>
  <c r="V67" i="92"/>
  <c r="W67" i="92"/>
  <c r="X67" i="92"/>
  <c r="Q68" i="92"/>
  <c r="R68" i="92"/>
  <c r="S68" i="92"/>
  <c r="T68" i="92"/>
  <c r="U68" i="92"/>
  <c r="V68" i="92"/>
  <c r="W68" i="92"/>
  <c r="X68" i="92"/>
  <c r="X63" i="92"/>
  <c r="W63" i="92"/>
  <c r="V63" i="92"/>
  <c r="U63" i="92"/>
  <c r="T63" i="92"/>
  <c r="S63" i="92"/>
  <c r="R63" i="92"/>
  <c r="Q13" i="70"/>
  <c r="X13" i="70"/>
  <c r="W13" i="70"/>
  <c r="V13" i="70"/>
  <c r="U13" i="70"/>
  <c r="T13" i="70"/>
  <c r="S13" i="70"/>
  <c r="R13" i="70"/>
  <c r="S30" i="110"/>
  <c r="P30" i="110"/>
  <c r="R58" i="102"/>
  <c r="N58" i="102"/>
  <c r="U57" i="102"/>
  <c r="T57" i="102"/>
  <c r="S57" i="102"/>
  <c r="R57" i="102"/>
  <c r="Q57" i="102"/>
  <c r="P57" i="102"/>
  <c r="O57" i="102"/>
  <c r="N57" i="102"/>
  <c r="U44" i="102"/>
  <c r="T44" i="102"/>
  <c r="S44" i="102"/>
  <c r="R44" i="102"/>
  <c r="Q44" i="102"/>
  <c r="P44" i="102"/>
  <c r="O44" i="102"/>
  <c r="N44" i="102"/>
  <c r="U4" i="102"/>
  <c r="S6" i="102"/>
  <c r="N6" i="102"/>
  <c r="K41" i="100"/>
  <c r="J41" i="100"/>
  <c r="I41" i="100"/>
  <c r="H41" i="100"/>
  <c r="G41" i="100"/>
  <c r="G44" i="100" s="1"/>
  <c r="F41" i="100"/>
  <c r="E41" i="100"/>
  <c r="D41" i="100"/>
  <c r="AG19" i="116"/>
  <c r="AF19" i="116"/>
  <c r="AD19" i="116"/>
  <c r="AC19" i="116"/>
  <c r="AA19" i="116"/>
  <c r="X9" i="128"/>
  <c r="W9" i="128"/>
  <c r="V9" i="128"/>
  <c r="U9" i="128"/>
  <c r="T9" i="128"/>
  <c r="S9" i="128"/>
  <c r="R9" i="128"/>
  <c r="X7" i="128"/>
  <c r="W7" i="128"/>
  <c r="V7" i="128"/>
  <c r="U7" i="128"/>
  <c r="T7" i="128"/>
  <c r="S7" i="128"/>
  <c r="R7" i="128"/>
  <c r="Q7" i="128"/>
  <c r="Q164" i="125"/>
  <c r="Q165" i="125"/>
  <c r="Q166" i="125"/>
  <c r="Q167" i="125"/>
  <c r="Q168" i="125"/>
  <c r="Q169" i="125"/>
  <c r="Q170" i="125"/>
  <c r="Q171" i="125"/>
  <c r="Q172" i="125"/>
  <c r="Q173" i="125"/>
  <c r="Q174" i="125"/>
  <c r="Q175" i="125"/>
  <c r="Q176" i="125"/>
  <c r="Q177" i="125"/>
  <c r="Q178" i="125"/>
  <c r="Q179" i="125"/>
  <c r="Q180" i="125"/>
  <c r="Q181" i="125"/>
  <c r="Q182" i="125"/>
  <c r="Q183" i="125"/>
  <c r="Q184" i="125"/>
  <c r="Q185" i="125"/>
  <c r="Q186" i="125"/>
  <c r="Q187" i="125"/>
  <c r="Q188" i="125"/>
  <c r="Q189" i="125"/>
  <c r="Q190" i="125"/>
  <c r="Q191" i="125"/>
  <c r="Q192" i="125"/>
  <c r="Q193" i="125"/>
  <c r="Q194" i="125"/>
  <c r="Q195" i="125"/>
  <c r="Q196" i="125"/>
  <c r="Q197" i="125"/>
  <c r="Q198" i="125"/>
  <c r="Q199" i="125"/>
  <c r="Q200" i="125"/>
  <c r="Q201" i="125"/>
  <c r="Q202" i="125"/>
  <c r="Q203" i="125"/>
  <c r="Q204" i="125"/>
  <c r="Q205" i="125"/>
  <c r="Q206" i="125"/>
  <c r="Q207" i="125"/>
  <c r="Q208" i="125"/>
  <c r="Q209" i="125"/>
  <c r="Q210" i="125"/>
  <c r="Q211" i="125"/>
  <c r="Q212" i="125"/>
  <c r="Q213" i="125"/>
  <c r="Q214" i="125"/>
  <c r="Q215" i="125"/>
  <c r="Q216" i="125"/>
  <c r="Q217" i="125"/>
  <c r="Q218" i="125"/>
  <c r="Q219" i="125"/>
  <c r="Q220" i="125"/>
  <c r="Q163" i="125"/>
  <c r="P56" i="102" l="1"/>
  <c r="O6" i="102"/>
  <c r="O4" i="102"/>
  <c r="K41" i="110"/>
  <c r="Z19" i="116"/>
  <c r="Q6" i="102"/>
  <c r="R6" i="102"/>
  <c r="E79" i="102"/>
  <c r="D79" i="102"/>
  <c r="O56" i="102"/>
  <c r="P6" i="102"/>
  <c r="X25" i="123"/>
  <c r="T6" i="102"/>
  <c r="C60" i="116"/>
  <c r="AE19" i="116"/>
  <c r="U6" i="102"/>
  <c r="AB19" i="116"/>
  <c r="T4" i="102"/>
  <c r="N4" i="102"/>
  <c r="N56" i="102"/>
  <c r="P4" i="102"/>
  <c r="Q4" i="102"/>
  <c r="R4" i="102"/>
  <c r="S4" i="102"/>
  <c r="U56" i="102"/>
  <c r="G79" i="102"/>
  <c r="T56" i="102"/>
  <c r="R56" i="102"/>
  <c r="F79" i="102"/>
  <c r="Q56" i="102"/>
  <c r="H79" i="102"/>
  <c r="S56" i="102"/>
  <c r="I79" i="102"/>
  <c r="J79" i="102"/>
  <c r="C79" i="102"/>
  <c r="N59" i="102"/>
  <c r="J20" i="141"/>
  <c r="L668" i="141"/>
  <c r="K668" i="141"/>
  <c r="J668" i="141"/>
  <c r="I668" i="141"/>
  <c r="H668" i="141"/>
  <c r="G668" i="141"/>
  <c r="F668" i="141"/>
  <c r="E668" i="141"/>
  <c r="L667" i="141"/>
  <c r="K667" i="141"/>
  <c r="J667" i="141"/>
  <c r="I667" i="141"/>
  <c r="H667" i="141"/>
  <c r="G667" i="141"/>
  <c r="F667" i="141"/>
  <c r="E667" i="141"/>
  <c r="L666" i="141"/>
  <c r="K666" i="141"/>
  <c r="J666" i="141"/>
  <c r="I666" i="141"/>
  <c r="I669" i="141" s="1"/>
  <c r="H666" i="141"/>
  <c r="G666" i="141"/>
  <c r="F666" i="141"/>
  <c r="E666" i="141"/>
  <c r="L665" i="141"/>
  <c r="K665" i="141"/>
  <c r="J665" i="141"/>
  <c r="I665" i="141"/>
  <c r="H665" i="141"/>
  <c r="G665" i="141"/>
  <c r="F665" i="141"/>
  <c r="E665" i="141"/>
  <c r="L626" i="141"/>
  <c r="K626" i="141"/>
  <c r="J626" i="141"/>
  <c r="I626" i="141"/>
  <c r="H626" i="141"/>
  <c r="G626" i="141"/>
  <c r="F626" i="141"/>
  <c r="E626" i="141"/>
  <c r="L621" i="141"/>
  <c r="K621" i="141"/>
  <c r="J621" i="141"/>
  <c r="I621" i="141"/>
  <c r="H621" i="141"/>
  <c r="G621" i="141"/>
  <c r="F621" i="141"/>
  <c r="E621" i="141"/>
  <c r="L620" i="141"/>
  <c r="K620" i="141"/>
  <c r="J620" i="141"/>
  <c r="I620" i="141"/>
  <c r="H620" i="141"/>
  <c r="G620" i="141"/>
  <c r="F620" i="141"/>
  <c r="E620" i="141"/>
  <c r="L619" i="141"/>
  <c r="K619" i="141"/>
  <c r="J619" i="141"/>
  <c r="I619" i="141"/>
  <c r="H619" i="141"/>
  <c r="G619" i="141"/>
  <c r="F619" i="141"/>
  <c r="E619" i="141"/>
  <c r="L618" i="141"/>
  <c r="K618" i="141"/>
  <c r="J618" i="141"/>
  <c r="J623" i="141" s="1"/>
  <c r="I618" i="141"/>
  <c r="H618" i="141"/>
  <c r="G618" i="141"/>
  <c r="F618" i="141"/>
  <c r="E618" i="141"/>
  <c r="E623" i="141" s="1"/>
  <c r="E625" i="141" s="1"/>
  <c r="L617" i="141"/>
  <c r="K617" i="141"/>
  <c r="J617" i="141"/>
  <c r="I617" i="141"/>
  <c r="I622" i="141" s="1"/>
  <c r="H617" i="141"/>
  <c r="G617" i="141"/>
  <c r="F617" i="141"/>
  <c r="E617" i="141"/>
  <c r="L538" i="141"/>
  <c r="K538" i="141"/>
  <c r="J538" i="141"/>
  <c r="I538" i="141"/>
  <c r="H538" i="141"/>
  <c r="G538" i="141"/>
  <c r="F538" i="141"/>
  <c r="E538" i="141"/>
  <c r="L537" i="141"/>
  <c r="K537" i="141"/>
  <c r="J537" i="141"/>
  <c r="I537" i="141"/>
  <c r="H537" i="141"/>
  <c r="G537" i="141"/>
  <c r="F537" i="141"/>
  <c r="E537" i="141"/>
  <c r="L536" i="141"/>
  <c r="K536" i="141"/>
  <c r="J536" i="141"/>
  <c r="I536" i="141"/>
  <c r="H536" i="141"/>
  <c r="G536" i="141"/>
  <c r="F536" i="141"/>
  <c r="E536" i="141"/>
  <c r="L535" i="141"/>
  <c r="K535" i="141"/>
  <c r="J535" i="141"/>
  <c r="I535" i="141"/>
  <c r="H535" i="141"/>
  <c r="G535" i="141"/>
  <c r="F535" i="141"/>
  <c r="E535" i="141"/>
  <c r="L534" i="141"/>
  <c r="K534" i="141"/>
  <c r="J534" i="141"/>
  <c r="I534" i="141"/>
  <c r="H534" i="141"/>
  <c r="G534" i="141"/>
  <c r="F534" i="141"/>
  <c r="E534" i="141"/>
  <c r="L533" i="141"/>
  <c r="K533" i="141"/>
  <c r="J533" i="141"/>
  <c r="I533" i="141"/>
  <c r="H533" i="141"/>
  <c r="G533" i="141"/>
  <c r="F533" i="141"/>
  <c r="E533" i="141"/>
  <c r="L532" i="141"/>
  <c r="K532" i="141"/>
  <c r="J532" i="141"/>
  <c r="I532" i="141"/>
  <c r="H532" i="141"/>
  <c r="G532" i="141"/>
  <c r="F532" i="141"/>
  <c r="E532" i="141"/>
  <c r="L531" i="141"/>
  <c r="K531" i="141"/>
  <c r="J531" i="141"/>
  <c r="I531" i="141"/>
  <c r="H531" i="141"/>
  <c r="G531" i="141"/>
  <c r="F531" i="141"/>
  <c r="E531" i="141"/>
  <c r="L530" i="141"/>
  <c r="K530" i="141"/>
  <c r="J530" i="141"/>
  <c r="I530" i="141"/>
  <c r="H530" i="141"/>
  <c r="G530" i="141"/>
  <c r="F530" i="141"/>
  <c r="E530" i="141"/>
  <c r="L529" i="141"/>
  <c r="K529" i="141"/>
  <c r="J529" i="141"/>
  <c r="I529" i="141"/>
  <c r="H529" i="141"/>
  <c r="G529" i="141"/>
  <c r="F529" i="141"/>
  <c r="E529" i="141"/>
  <c r="L528" i="141"/>
  <c r="K528" i="141"/>
  <c r="J528" i="141"/>
  <c r="I528" i="141"/>
  <c r="H528" i="141"/>
  <c r="G528" i="141"/>
  <c r="F528" i="141"/>
  <c r="E528" i="141"/>
  <c r="L527" i="141"/>
  <c r="K527" i="141"/>
  <c r="J527" i="141"/>
  <c r="I527" i="141"/>
  <c r="H527" i="141"/>
  <c r="G527" i="141"/>
  <c r="F527" i="141"/>
  <c r="E527" i="141"/>
  <c r="L526" i="141"/>
  <c r="K526" i="141"/>
  <c r="J526" i="141"/>
  <c r="I526" i="141"/>
  <c r="H526" i="141"/>
  <c r="G526" i="141"/>
  <c r="F526" i="141"/>
  <c r="E526" i="141"/>
  <c r="L525" i="141"/>
  <c r="K525" i="141"/>
  <c r="J525" i="141"/>
  <c r="I525" i="141"/>
  <c r="H525" i="141"/>
  <c r="G525" i="141"/>
  <c r="F525" i="141"/>
  <c r="E525" i="141"/>
  <c r="L524" i="141"/>
  <c r="K524" i="141"/>
  <c r="J524" i="141"/>
  <c r="I524" i="141"/>
  <c r="H524" i="141"/>
  <c r="G524" i="141"/>
  <c r="F524" i="141"/>
  <c r="E524" i="141"/>
  <c r="L523" i="141"/>
  <c r="K523" i="141"/>
  <c r="J523" i="141"/>
  <c r="I523" i="141"/>
  <c r="H523" i="141"/>
  <c r="G523" i="141"/>
  <c r="F523" i="141"/>
  <c r="E523" i="141"/>
  <c r="L522" i="141"/>
  <c r="K522" i="141"/>
  <c r="J522" i="141"/>
  <c r="I522" i="141"/>
  <c r="H522" i="141"/>
  <c r="G522" i="141"/>
  <c r="F522" i="141"/>
  <c r="E522" i="141"/>
  <c r="L521" i="141"/>
  <c r="K521" i="141"/>
  <c r="J521" i="141"/>
  <c r="I521" i="141"/>
  <c r="H521" i="141"/>
  <c r="H539" i="141" s="1"/>
  <c r="G521" i="141"/>
  <c r="F521" i="141"/>
  <c r="E521" i="141"/>
  <c r="L519" i="141"/>
  <c r="K519" i="141"/>
  <c r="J519" i="141"/>
  <c r="I519" i="141"/>
  <c r="H519" i="141"/>
  <c r="G519" i="141"/>
  <c r="F519" i="141"/>
  <c r="E519" i="141"/>
  <c r="L518" i="141"/>
  <c r="K518" i="141"/>
  <c r="J518" i="141"/>
  <c r="I518" i="141"/>
  <c r="H518" i="141"/>
  <c r="G518" i="141"/>
  <c r="F518" i="141"/>
  <c r="E518" i="141"/>
  <c r="L517" i="141"/>
  <c r="K517" i="141"/>
  <c r="J517" i="141"/>
  <c r="I517" i="141"/>
  <c r="H517" i="141"/>
  <c r="G517" i="141"/>
  <c r="F517" i="141"/>
  <c r="E517" i="141"/>
  <c r="L516" i="141"/>
  <c r="K516" i="141"/>
  <c r="J516" i="141"/>
  <c r="I516" i="141"/>
  <c r="H516" i="141"/>
  <c r="G516" i="141"/>
  <c r="F516" i="141"/>
  <c r="E516" i="141"/>
  <c r="L515" i="141"/>
  <c r="K515" i="141"/>
  <c r="J515" i="141"/>
  <c r="I515" i="141"/>
  <c r="H515" i="141"/>
  <c r="G515" i="141"/>
  <c r="F515" i="141"/>
  <c r="E515" i="141"/>
  <c r="L514" i="141"/>
  <c r="K514" i="141"/>
  <c r="J514" i="141"/>
  <c r="I514" i="141"/>
  <c r="H514" i="141"/>
  <c r="G514" i="141"/>
  <c r="F514" i="141"/>
  <c r="E514" i="141"/>
  <c r="L513" i="141"/>
  <c r="K513" i="141"/>
  <c r="J513" i="141"/>
  <c r="I513" i="141"/>
  <c r="H513" i="141"/>
  <c r="G513" i="141"/>
  <c r="F513" i="141"/>
  <c r="E513" i="141"/>
  <c r="L512" i="141"/>
  <c r="K512" i="141"/>
  <c r="J512" i="141"/>
  <c r="I512" i="141"/>
  <c r="H512" i="141"/>
  <c r="G512" i="141"/>
  <c r="F512" i="141"/>
  <c r="E512" i="141"/>
  <c r="L511" i="141"/>
  <c r="K511" i="141"/>
  <c r="J511" i="141"/>
  <c r="I511" i="141"/>
  <c r="H511" i="141"/>
  <c r="G511" i="141"/>
  <c r="F511" i="141"/>
  <c r="E511" i="141"/>
  <c r="L510" i="141"/>
  <c r="K510" i="141"/>
  <c r="J510" i="141"/>
  <c r="I510" i="141"/>
  <c r="H510" i="141"/>
  <c r="G510" i="141"/>
  <c r="F510" i="141"/>
  <c r="E510" i="141"/>
  <c r="L509" i="141"/>
  <c r="K509" i="141"/>
  <c r="J509" i="141"/>
  <c r="I509" i="141"/>
  <c r="H509" i="141"/>
  <c r="G509" i="141"/>
  <c r="F509" i="141"/>
  <c r="E509" i="141"/>
  <c r="L508" i="141"/>
  <c r="K508" i="141"/>
  <c r="J508" i="141"/>
  <c r="I508" i="141"/>
  <c r="H508" i="141"/>
  <c r="G508" i="141"/>
  <c r="F508" i="141"/>
  <c r="E508" i="141"/>
  <c r="L507" i="141"/>
  <c r="K507" i="141"/>
  <c r="J507" i="141"/>
  <c r="I507" i="141"/>
  <c r="H507" i="141"/>
  <c r="G507" i="141"/>
  <c r="F507" i="141"/>
  <c r="E507" i="141"/>
  <c r="L506" i="141"/>
  <c r="K506" i="141"/>
  <c r="J506" i="141"/>
  <c r="I506" i="141"/>
  <c r="H506" i="141"/>
  <c r="G506" i="141"/>
  <c r="F506" i="141"/>
  <c r="E506" i="141"/>
  <c r="L505" i="141"/>
  <c r="K505" i="141"/>
  <c r="J505" i="141"/>
  <c r="I505" i="141"/>
  <c r="H505" i="141"/>
  <c r="G505" i="141"/>
  <c r="F505" i="141"/>
  <c r="E505" i="141"/>
  <c r="L504" i="141"/>
  <c r="K504" i="141"/>
  <c r="J504" i="141"/>
  <c r="I504" i="141"/>
  <c r="H504" i="141"/>
  <c r="G504" i="141"/>
  <c r="F504" i="141"/>
  <c r="E504" i="141"/>
  <c r="L503" i="141"/>
  <c r="K503" i="141"/>
  <c r="J503" i="141"/>
  <c r="I503" i="141"/>
  <c r="H503" i="141"/>
  <c r="G503" i="141"/>
  <c r="F503" i="141"/>
  <c r="E503" i="141"/>
  <c r="L502" i="141"/>
  <c r="K502" i="141"/>
  <c r="J502" i="141"/>
  <c r="I502" i="141"/>
  <c r="I520" i="141" s="1"/>
  <c r="H502" i="141"/>
  <c r="G502" i="141"/>
  <c r="F502" i="141"/>
  <c r="E502" i="141"/>
  <c r="E520" i="141" s="1"/>
  <c r="L500" i="141"/>
  <c r="K500" i="141"/>
  <c r="J500" i="141"/>
  <c r="I500" i="141"/>
  <c r="H500" i="141"/>
  <c r="G500" i="141"/>
  <c r="F500" i="141"/>
  <c r="E500" i="141"/>
  <c r="L499" i="141"/>
  <c r="K499" i="141"/>
  <c r="J499" i="141"/>
  <c r="I499" i="141"/>
  <c r="H499" i="141"/>
  <c r="G499" i="141"/>
  <c r="F499" i="141"/>
  <c r="E499" i="141"/>
  <c r="L498" i="141"/>
  <c r="K498" i="141"/>
  <c r="J498" i="141"/>
  <c r="I498" i="141"/>
  <c r="H498" i="141"/>
  <c r="G498" i="141"/>
  <c r="F498" i="141"/>
  <c r="E498" i="141"/>
  <c r="L497" i="141"/>
  <c r="K497" i="141"/>
  <c r="J497" i="141"/>
  <c r="I497" i="141"/>
  <c r="H497" i="141"/>
  <c r="G497" i="141"/>
  <c r="F497" i="141"/>
  <c r="E497" i="141"/>
  <c r="L496" i="141"/>
  <c r="K496" i="141"/>
  <c r="J496" i="141"/>
  <c r="I496" i="141"/>
  <c r="H496" i="141"/>
  <c r="G496" i="141"/>
  <c r="F496" i="141"/>
  <c r="E496" i="141"/>
  <c r="L495" i="141"/>
  <c r="K495" i="141"/>
  <c r="J495" i="141"/>
  <c r="I495" i="141"/>
  <c r="H495" i="141"/>
  <c r="G495" i="141"/>
  <c r="F495" i="141"/>
  <c r="E495" i="141"/>
  <c r="L494" i="141"/>
  <c r="K494" i="141"/>
  <c r="J494" i="141"/>
  <c r="I494" i="141"/>
  <c r="H494" i="141"/>
  <c r="G494" i="141"/>
  <c r="F494" i="141"/>
  <c r="E494" i="141"/>
  <c r="L493" i="141"/>
  <c r="K493" i="141"/>
  <c r="J493" i="141"/>
  <c r="I493" i="141"/>
  <c r="H493" i="141"/>
  <c r="G493" i="141"/>
  <c r="F493" i="141"/>
  <c r="E493" i="141"/>
  <c r="L492" i="141"/>
  <c r="K492" i="141"/>
  <c r="J492" i="141"/>
  <c r="I492" i="141"/>
  <c r="H492" i="141"/>
  <c r="G492" i="141"/>
  <c r="F492" i="141"/>
  <c r="E492" i="141"/>
  <c r="L491" i="141"/>
  <c r="K491" i="141"/>
  <c r="J491" i="141"/>
  <c r="I491" i="141"/>
  <c r="H491" i="141"/>
  <c r="G491" i="141"/>
  <c r="F491" i="141"/>
  <c r="E491" i="141"/>
  <c r="L490" i="141"/>
  <c r="K490" i="141"/>
  <c r="J490" i="141"/>
  <c r="I490" i="141"/>
  <c r="H490" i="141"/>
  <c r="G490" i="141"/>
  <c r="F490" i="141"/>
  <c r="E490" i="141"/>
  <c r="L489" i="141"/>
  <c r="K489" i="141"/>
  <c r="J489" i="141"/>
  <c r="I489" i="141"/>
  <c r="H489" i="141"/>
  <c r="G489" i="141"/>
  <c r="F489" i="141"/>
  <c r="E489" i="141"/>
  <c r="L488" i="141"/>
  <c r="K488" i="141"/>
  <c r="J488" i="141"/>
  <c r="I488" i="141"/>
  <c r="H488" i="141"/>
  <c r="G488" i="141"/>
  <c r="F488" i="141"/>
  <c r="E488" i="141"/>
  <c r="L487" i="141"/>
  <c r="K487" i="141"/>
  <c r="J487" i="141"/>
  <c r="I487" i="141"/>
  <c r="H487" i="141"/>
  <c r="G487" i="141"/>
  <c r="F487" i="141"/>
  <c r="E487" i="141"/>
  <c r="L486" i="141"/>
  <c r="K486" i="141"/>
  <c r="J486" i="141"/>
  <c r="I486" i="141"/>
  <c r="H486" i="141"/>
  <c r="G486" i="141"/>
  <c r="F486" i="141"/>
  <c r="E486" i="141"/>
  <c r="L485" i="141"/>
  <c r="K485" i="141"/>
  <c r="J485" i="141"/>
  <c r="I485" i="141"/>
  <c r="H485" i="141"/>
  <c r="G485" i="141"/>
  <c r="F485" i="141"/>
  <c r="E485" i="141"/>
  <c r="L484" i="141"/>
  <c r="K484" i="141"/>
  <c r="J484" i="141"/>
  <c r="I484" i="141"/>
  <c r="H484" i="141"/>
  <c r="G484" i="141"/>
  <c r="F484" i="141"/>
  <c r="E484" i="141"/>
  <c r="L483" i="141"/>
  <c r="K483" i="141"/>
  <c r="J483" i="141"/>
  <c r="I483" i="141"/>
  <c r="H483" i="141"/>
  <c r="H501" i="141" s="1"/>
  <c r="G483" i="141"/>
  <c r="F483" i="141"/>
  <c r="E483" i="141"/>
  <c r="L481" i="141"/>
  <c r="K481" i="141"/>
  <c r="J481" i="141"/>
  <c r="I481" i="141"/>
  <c r="H481" i="141"/>
  <c r="G481" i="141"/>
  <c r="F481" i="141"/>
  <c r="E481" i="141"/>
  <c r="L480" i="141"/>
  <c r="K480" i="141"/>
  <c r="J480" i="141"/>
  <c r="I480" i="141"/>
  <c r="H480" i="141"/>
  <c r="G480" i="141"/>
  <c r="F480" i="141"/>
  <c r="E480" i="141"/>
  <c r="L479" i="141"/>
  <c r="K479" i="141"/>
  <c r="J479" i="141"/>
  <c r="I479" i="141"/>
  <c r="H479" i="141"/>
  <c r="G479" i="141"/>
  <c r="F479" i="141"/>
  <c r="E479" i="141"/>
  <c r="L478" i="141"/>
  <c r="K478" i="141"/>
  <c r="J478" i="141"/>
  <c r="I478" i="141"/>
  <c r="H478" i="141"/>
  <c r="G478" i="141"/>
  <c r="F478" i="141"/>
  <c r="E478" i="141"/>
  <c r="L477" i="141"/>
  <c r="K477" i="141"/>
  <c r="J477" i="141"/>
  <c r="I477" i="141"/>
  <c r="H477" i="141"/>
  <c r="G477" i="141"/>
  <c r="F477" i="141"/>
  <c r="E477" i="141"/>
  <c r="L476" i="141"/>
  <c r="K476" i="141"/>
  <c r="J476" i="141"/>
  <c r="I476" i="141"/>
  <c r="H476" i="141"/>
  <c r="G476" i="141"/>
  <c r="F476" i="141"/>
  <c r="E476" i="141"/>
  <c r="L475" i="141"/>
  <c r="K475" i="141"/>
  <c r="J475" i="141"/>
  <c r="I475" i="141"/>
  <c r="H475" i="141"/>
  <c r="G475" i="141"/>
  <c r="F475" i="141"/>
  <c r="E475" i="141"/>
  <c r="L474" i="141"/>
  <c r="K474" i="141"/>
  <c r="J474" i="141"/>
  <c r="I474" i="141"/>
  <c r="H474" i="141"/>
  <c r="G474" i="141"/>
  <c r="F474" i="141"/>
  <c r="E474" i="141"/>
  <c r="L473" i="141"/>
  <c r="K473" i="141"/>
  <c r="J473" i="141"/>
  <c r="I473" i="141"/>
  <c r="H473" i="141"/>
  <c r="G473" i="141"/>
  <c r="F473" i="141"/>
  <c r="E473" i="141"/>
  <c r="L472" i="141"/>
  <c r="K472" i="141"/>
  <c r="J472" i="141"/>
  <c r="J615" i="141" s="1"/>
  <c r="I472" i="141"/>
  <c r="H472" i="141"/>
  <c r="H615" i="141" s="1"/>
  <c r="G472" i="141"/>
  <c r="F472" i="141"/>
  <c r="F615" i="141" s="1"/>
  <c r="E472" i="141"/>
  <c r="L471" i="141"/>
  <c r="K471" i="141"/>
  <c r="J471" i="141"/>
  <c r="J614" i="141" s="1"/>
  <c r="I471" i="141"/>
  <c r="H471" i="141"/>
  <c r="H614" i="141" s="1"/>
  <c r="G471" i="141"/>
  <c r="F471" i="141"/>
  <c r="F614" i="141" s="1"/>
  <c r="E471" i="141"/>
  <c r="E614" i="141" s="1"/>
  <c r="L470" i="141"/>
  <c r="L613" i="141" s="1"/>
  <c r="K470" i="141"/>
  <c r="K613" i="141" s="1"/>
  <c r="J470" i="141"/>
  <c r="I470" i="141"/>
  <c r="H470" i="141"/>
  <c r="G470" i="141"/>
  <c r="F470" i="141"/>
  <c r="F613" i="141" s="1"/>
  <c r="E470" i="141"/>
  <c r="E613" i="141" s="1"/>
  <c r="L469" i="141"/>
  <c r="L612" i="141" s="1"/>
  <c r="K469" i="141"/>
  <c r="J469" i="141"/>
  <c r="J612" i="141" s="1"/>
  <c r="I469" i="141"/>
  <c r="H469" i="141"/>
  <c r="H612" i="141" s="1"/>
  <c r="G469" i="141"/>
  <c r="F469" i="141"/>
  <c r="E469" i="141"/>
  <c r="E612" i="141" s="1"/>
  <c r="L468" i="141"/>
  <c r="L611" i="141" s="1"/>
  <c r="K468" i="141"/>
  <c r="J468" i="141"/>
  <c r="I468" i="141"/>
  <c r="H468" i="141"/>
  <c r="H611" i="141" s="1"/>
  <c r="G468" i="141"/>
  <c r="F468" i="141"/>
  <c r="E468" i="141"/>
  <c r="E611" i="141" s="1"/>
  <c r="L467" i="141"/>
  <c r="K467" i="141"/>
  <c r="K610" i="141" s="1"/>
  <c r="J467" i="141"/>
  <c r="J610" i="141" s="1"/>
  <c r="I467" i="141"/>
  <c r="H467" i="141"/>
  <c r="H610" i="141" s="1"/>
  <c r="G467" i="141"/>
  <c r="F467" i="141"/>
  <c r="E467" i="141"/>
  <c r="E610" i="141" s="1"/>
  <c r="L466" i="141"/>
  <c r="K466" i="141"/>
  <c r="J466" i="141"/>
  <c r="I466" i="141"/>
  <c r="H466" i="141"/>
  <c r="H609" i="141" s="1"/>
  <c r="G466" i="141"/>
  <c r="F466" i="141"/>
  <c r="F609" i="141" s="1"/>
  <c r="E466" i="141"/>
  <c r="E609" i="141" s="1"/>
  <c r="L465" i="141"/>
  <c r="K465" i="141"/>
  <c r="J465" i="141"/>
  <c r="I465" i="141"/>
  <c r="I608" i="141" s="1"/>
  <c r="H465" i="141"/>
  <c r="H608" i="141" s="1"/>
  <c r="G465" i="141"/>
  <c r="F465" i="141"/>
  <c r="F608" i="141" s="1"/>
  <c r="E465" i="141"/>
  <c r="E608" i="141" s="1"/>
  <c r="L464" i="141"/>
  <c r="K464" i="141"/>
  <c r="K607" i="141" s="1"/>
  <c r="J464" i="141"/>
  <c r="I464" i="141"/>
  <c r="H464" i="141"/>
  <c r="H607" i="141" s="1"/>
  <c r="G464" i="141"/>
  <c r="F464" i="141"/>
  <c r="E464" i="141"/>
  <c r="L459" i="141"/>
  <c r="K459" i="141"/>
  <c r="J459" i="141"/>
  <c r="I459" i="141"/>
  <c r="H459" i="141"/>
  <c r="G459" i="141"/>
  <c r="F459" i="141"/>
  <c r="E459" i="141"/>
  <c r="L458" i="141"/>
  <c r="K458" i="141"/>
  <c r="J458" i="141"/>
  <c r="I458" i="141"/>
  <c r="H458" i="141"/>
  <c r="G458" i="141"/>
  <c r="F458" i="141"/>
  <c r="E458" i="141"/>
  <c r="L457" i="141"/>
  <c r="K457" i="141"/>
  <c r="J457" i="141"/>
  <c r="I457" i="141"/>
  <c r="H457" i="141"/>
  <c r="G457" i="141"/>
  <c r="F457" i="141"/>
  <c r="E457" i="141"/>
  <c r="L456" i="141"/>
  <c r="K456" i="141"/>
  <c r="J456" i="141"/>
  <c r="I456" i="141"/>
  <c r="H456" i="141"/>
  <c r="G456" i="141"/>
  <c r="F456" i="141"/>
  <c r="E456" i="141"/>
  <c r="L455" i="141"/>
  <c r="K455" i="141"/>
  <c r="J455" i="141"/>
  <c r="I455" i="141"/>
  <c r="H455" i="141"/>
  <c r="G455" i="141"/>
  <c r="F455" i="141"/>
  <c r="E455" i="141"/>
  <c r="L454" i="141"/>
  <c r="K454" i="141"/>
  <c r="J454" i="141"/>
  <c r="I454" i="141"/>
  <c r="H454" i="141"/>
  <c r="G454" i="141"/>
  <c r="F454" i="141"/>
  <c r="E454" i="141"/>
  <c r="L453" i="141"/>
  <c r="K453" i="141"/>
  <c r="J453" i="141"/>
  <c r="I453" i="141"/>
  <c r="H453" i="141"/>
  <c r="G453" i="141"/>
  <c r="F453" i="141"/>
  <c r="E453" i="141"/>
  <c r="L451" i="141"/>
  <c r="K451" i="141"/>
  <c r="J451" i="141"/>
  <c r="I451" i="141"/>
  <c r="H451" i="141"/>
  <c r="G451" i="141"/>
  <c r="F451" i="141"/>
  <c r="E451" i="141"/>
  <c r="L450" i="141"/>
  <c r="K450" i="141"/>
  <c r="J450" i="141"/>
  <c r="I450" i="141"/>
  <c r="H450" i="141"/>
  <c r="G450" i="141"/>
  <c r="F450" i="141"/>
  <c r="E450" i="141"/>
  <c r="L449" i="141"/>
  <c r="K449" i="141"/>
  <c r="J449" i="141"/>
  <c r="I449" i="141"/>
  <c r="H449" i="141"/>
  <c r="G449" i="141"/>
  <c r="F449" i="141"/>
  <c r="E449" i="141"/>
  <c r="L448" i="141"/>
  <c r="K448" i="141"/>
  <c r="J448" i="141"/>
  <c r="I448" i="141"/>
  <c r="H448" i="141"/>
  <c r="G448" i="141"/>
  <c r="F448" i="141"/>
  <c r="E448" i="141"/>
  <c r="L447" i="141"/>
  <c r="K447" i="141"/>
  <c r="J447" i="141"/>
  <c r="I447" i="141"/>
  <c r="H447" i="141"/>
  <c r="G447" i="141"/>
  <c r="F447" i="141"/>
  <c r="E447" i="141"/>
  <c r="L446" i="141"/>
  <c r="K446" i="141"/>
  <c r="J446" i="141"/>
  <c r="I446" i="141"/>
  <c r="H446" i="141"/>
  <c r="G446" i="141"/>
  <c r="F446" i="141"/>
  <c r="E446" i="141"/>
  <c r="L445" i="141"/>
  <c r="L452" i="141" s="1"/>
  <c r="K445" i="141"/>
  <c r="J445" i="141"/>
  <c r="I445" i="141"/>
  <c r="I452" i="141" s="1"/>
  <c r="H445" i="141"/>
  <c r="G445" i="141"/>
  <c r="F445" i="141"/>
  <c r="E445" i="141"/>
  <c r="L442" i="141"/>
  <c r="K442" i="141"/>
  <c r="J442" i="141"/>
  <c r="I442" i="141"/>
  <c r="H442" i="141"/>
  <c r="G442" i="141"/>
  <c r="F442" i="141"/>
  <c r="E442" i="141"/>
  <c r="L441" i="141"/>
  <c r="K441" i="141"/>
  <c r="J441" i="141"/>
  <c r="I441" i="141"/>
  <c r="H441" i="141"/>
  <c r="G441" i="141"/>
  <c r="F441" i="141"/>
  <c r="E441" i="141"/>
  <c r="L440" i="141"/>
  <c r="K440" i="141"/>
  <c r="J440" i="141"/>
  <c r="I440" i="141"/>
  <c r="H440" i="141"/>
  <c r="G440" i="141"/>
  <c r="F440" i="141"/>
  <c r="E440" i="141"/>
  <c r="L439" i="141"/>
  <c r="K439" i="141"/>
  <c r="J439" i="141"/>
  <c r="I439" i="141"/>
  <c r="H439" i="141"/>
  <c r="G439" i="141"/>
  <c r="F439" i="141"/>
  <c r="E439" i="141"/>
  <c r="L438" i="141"/>
  <c r="K438" i="141"/>
  <c r="J438" i="141"/>
  <c r="I438" i="141"/>
  <c r="H438" i="141"/>
  <c r="G438" i="141"/>
  <c r="F438" i="141"/>
  <c r="E438" i="141"/>
  <c r="L437" i="141"/>
  <c r="K437" i="141"/>
  <c r="J437" i="141"/>
  <c r="I437" i="141"/>
  <c r="H437" i="141"/>
  <c r="G437" i="141"/>
  <c r="F437" i="141"/>
  <c r="E437" i="141"/>
  <c r="L436" i="141"/>
  <c r="L443" i="141" s="1"/>
  <c r="K436" i="141"/>
  <c r="J436" i="141"/>
  <c r="I436" i="141"/>
  <c r="I443" i="141" s="1"/>
  <c r="H436" i="141"/>
  <c r="G436" i="141"/>
  <c r="F436" i="141"/>
  <c r="E436" i="141"/>
  <c r="L434" i="141"/>
  <c r="K434" i="141"/>
  <c r="J434" i="141"/>
  <c r="I434" i="141"/>
  <c r="H434" i="141"/>
  <c r="G434" i="141"/>
  <c r="F434" i="141"/>
  <c r="E434" i="141"/>
  <c r="L433" i="141"/>
  <c r="K433" i="141"/>
  <c r="J433" i="141"/>
  <c r="I433" i="141"/>
  <c r="H433" i="141"/>
  <c r="G433" i="141"/>
  <c r="F433" i="141"/>
  <c r="E433" i="141"/>
  <c r="L432" i="141"/>
  <c r="K432" i="141"/>
  <c r="J432" i="141"/>
  <c r="I432" i="141"/>
  <c r="H432" i="141"/>
  <c r="G432" i="141"/>
  <c r="F432" i="141"/>
  <c r="E432" i="141"/>
  <c r="L431" i="141"/>
  <c r="K431" i="141"/>
  <c r="J431" i="141"/>
  <c r="I431" i="141"/>
  <c r="H431" i="141"/>
  <c r="G431" i="141"/>
  <c r="F431" i="141"/>
  <c r="E431" i="141"/>
  <c r="L430" i="141"/>
  <c r="K430" i="141"/>
  <c r="J430" i="141"/>
  <c r="I430" i="141"/>
  <c r="H430" i="141"/>
  <c r="G430" i="141"/>
  <c r="F430" i="141"/>
  <c r="E430" i="141"/>
  <c r="L429" i="141"/>
  <c r="K429" i="141"/>
  <c r="J429" i="141"/>
  <c r="I429" i="141"/>
  <c r="H429" i="141"/>
  <c r="G429" i="141"/>
  <c r="F429" i="141"/>
  <c r="E429" i="141"/>
  <c r="L428" i="141"/>
  <c r="L435" i="141" s="1"/>
  <c r="K428" i="141"/>
  <c r="J428" i="141"/>
  <c r="I428" i="141"/>
  <c r="I435" i="141" s="1"/>
  <c r="H428" i="141"/>
  <c r="G428" i="141"/>
  <c r="F428" i="141"/>
  <c r="F435" i="141" s="1"/>
  <c r="E428" i="141"/>
  <c r="L425" i="141"/>
  <c r="K425" i="141"/>
  <c r="J425" i="141"/>
  <c r="I425" i="141"/>
  <c r="H425" i="141"/>
  <c r="G425" i="141"/>
  <c r="F425" i="141"/>
  <c r="E425" i="141"/>
  <c r="L424" i="141"/>
  <c r="K424" i="141"/>
  <c r="J424" i="141"/>
  <c r="I424" i="141"/>
  <c r="H424" i="141"/>
  <c r="G424" i="141"/>
  <c r="F424" i="141"/>
  <c r="E424" i="141"/>
  <c r="L423" i="141"/>
  <c r="K423" i="141"/>
  <c r="J423" i="141"/>
  <c r="I423" i="141"/>
  <c r="H423" i="141"/>
  <c r="G423" i="141"/>
  <c r="F423" i="141"/>
  <c r="E423" i="141"/>
  <c r="L422" i="141"/>
  <c r="K422" i="141"/>
  <c r="J422" i="141"/>
  <c r="I422" i="141"/>
  <c r="H422" i="141"/>
  <c r="G422" i="141"/>
  <c r="F422" i="141"/>
  <c r="E422" i="141"/>
  <c r="L421" i="141"/>
  <c r="K421" i="141"/>
  <c r="J421" i="141"/>
  <c r="I421" i="141"/>
  <c r="H421" i="141"/>
  <c r="G421" i="141"/>
  <c r="F421" i="141"/>
  <c r="E421" i="141"/>
  <c r="L420" i="141"/>
  <c r="K420" i="141"/>
  <c r="J420" i="141"/>
  <c r="I420" i="141"/>
  <c r="H420" i="141"/>
  <c r="G420" i="141"/>
  <c r="F420" i="141"/>
  <c r="E420" i="141"/>
  <c r="L419" i="141"/>
  <c r="K419" i="141"/>
  <c r="J419" i="141"/>
  <c r="I419" i="141"/>
  <c r="H419" i="141"/>
  <c r="G419" i="141"/>
  <c r="F419" i="141"/>
  <c r="E419" i="141"/>
  <c r="L418" i="141"/>
  <c r="K418" i="141"/>
  <c r="J418" i="141"/>
  <c r="I418" i="141"/>
  <c r="H418" i="141"/>
  <c r="G418" i="141"/>
  <c r="F418" i="141"/>
  <c r="E418" i="141"/>
  <c r="L417" i="141"/>
  <c r="L426" i="141" s="1"/>
  <c r="K417" i="141"/>
  <c r="J417" i="141"/>
  <c r="I417" i="141"/>
  <c r="H417" i="141"/>
  <c r="G417" i="141"/>
  <c r="F417" i="141"/>
  <c r="F426" i="141" s="1"/>
  <c r="E417" i="141"/>
  <c r="L415" i="141"/>
  <c r="K415" i="141"/>
  <c r="J415" i="141"/>
  <c r="I415" i="141"/>
  <c r="H415" i="141"/>
  <c r="G415" i="141"/>
  <c r="F415" i="141"/>
  <c r="E415" i="141"/>
  <c r="L414" i="141"/>
  <c r="K414" i="141"/>
  <c r="J414" i="141"/>
  <c r="I414" i="141"/>
  <c r="H414" i="141"/>
  <c r="G414" i="141"/>
  <c r="F414" i="141"/>
  <c r="E414" i="141"/>
  <c r="L413" i="141"/>
  <c r="K413" i="141"/>
  <c r="J413" i="141"/>
  <c r="I413" i="141"/>
  <c r="H413" i="141"/>
  <c r="G413" i="141"/>
  <c r="F413" i="141"/>
  <c r="E413" i="141"/>
  <c r="L412" i="141"/>
  <c r="K412" i="141"/>
  <c r="J412" i="141"/>
  <c r="I412" i="141"/>
  <c r="H412" i="141"/>
  <c r="G412" i="141"/>
  <c r="F412" i="141"/>
  <c r="E412" i="141"/>
  <c r="L411" i="141"/>
  <c r="K411" i="141"/>
  <c r="J411" i="141"/>
  <c r="I411" i="141"/>
  <c r="H411" i="141"/>
  <c r="G411" i="141"/>
  <c r="F411" i="141"/>
  <c r="E411" i="141"/>
  <c r="L410" i="141"/>
  <c r="K410" i="141"/>
  <c r="J410" i="141"/>
  <c r="I410" i="141"/>
  <c r="H410" i="141"/>
  <c r="G410" i="141"/>
  <c r="F410" i="141"/>
  <c r="E410" i="141"/>
  <c r="L409" i="141"/>
  <c r="K409" i="141"/>
  <c r="J409" i="141"/>
  <c r="I409" i="141"/>
  <c r="H409" i="141"/>
  <c r="G409" i="141"/>
  <c r="F409" i="141"/>
  <c r="E409" i="141"/>
  <c r="L408" i="141"/>
  <c r="K408" i="141"/>
  <c r="J408" i="141"/>
  <c r="I408" i="141"/>
  <c r="H408" i="141"/>
  <c r="G408" i="141"/>
  <c r="F408" i="141"/>
  <c r="E408" i="141"/>
  <c r="L407" i="141"/>
  <c r="L416" i="141" s="1"/>
  <c r="K407" i="141"/>
  <c r="K416" i="141" s="1"/>
  <c r="J407" i="141"/>
  <c r="I407" i="141"/>
  <c r="I416" i="141" s="1"/>
  <c r="H407" i="141"/>
  <c r="G407" i="141"/>
  <c r="F407" i="141"/>
  <c r="F416" i="141" s="1"/>
  <c r="E407" i="141"/>
  <c r="L404" i="141"/>
  <c r="K404" i="141"/>
  <c r="J404" i="141"/>
  <c r="I404" i="141"/>
  <c r="H404" i="141"/>
  <c r="G404" i="141"/>
  <c r="F404" i="141"/>
  <c r="E404" i="141"/>
  <c r="L403" i="141"/>
  <c r="K403" i="141"/>
  <c r="J403" i="141"/>
  <c r="I403" i="141"/>
  <c r="H403" i="141"/>
  <c r="G403" i="141"/>
  <c r="F403" i="141"/>
  <c r="E403" i="141"/>
  <c r="L402" i="141"/>
  <c r="K402" i="141"/>
  <c r="J402" i="141"/>
  <c r="I402" i="141"/>
  <c r="H402" i="141"/>
  <c r="G402" i="141"/>
  <c r="F402" i="141"/>
  <c r="E402" i="141"/>
  <c r="L401" i="141"/>
  <c r="K401" i="141"/>
  <c r="J401" i="141"/>
  <c r="I401" i="141"/>
  <c r="H401" i="141"/>
  <c r="G401" i="141"/>
  <c r="F401" i="141"/>
  <c r="E401" i="141"/>
  <c r="L400" i="141"/>
  <c r="K400" i="141"/>
  <c r="J400" i="141"/>
  <c r="I400" i="141"/>
  <c r="H400" i="141"/>
  <c r="G400" i="141"/>
  <c r="F400" i="141"/>
  <c r="E400" i="141"/>
  <c r="L399" i="141"/>
  <c r="K399" i="141"/>
  <c r="J399" i="141"/>
  <c r="I399" i="141"/>
  <c r="H399" i="141"/>
  <c r="G399" i="141"/>
  <c r="F399" i="141"/>
  <c r="E399" i="141"/>
  <c r="L398" i="141"/>
  <c r="K398" i="141"/>
  <c r="J398" i="141"/>
  <c r="I398" i="141"/>
  <c r="H398" i="141"/>
  <c r="G398" i="141"/>
  <c r="F398" i="141"/>
  <c r="E398" i="141"/>
  <c r="L397" i="141"/>
  <c r="K397" i="141"/>
  <c r="J397" i="141"/>
  <c r="I397" i="141"/>
  <c r="H397" i="141"/>
  <c r="G397" i="141"/>
  <c r="F397" i="141"/>
  <c r="E397" i="141"/>
  <c r="L396" i="141"/>
  <c r="L405" i="141" s="1"/>
  <c r="K396" i="141"/>
  <c r="J396" i="141"/>
  <c r="I396" i="141"/>
  <c r="H396" i="141"/>
  <c r="G396" i="141"/>
  <c r="F396" i="141"/>
  <c r="E396" i="141"/>
  <c r="L394" i="141"/>
  <c r="K394" i="141"/>
  <c r="J394" i="141"/>
  <c r="I394" i="141"/>
  <c r="H394" i="141"/>
  <c r="G394" i="141"/>
  <c r="F394" i="141"/>
  <c r="E394" i="141"/>
  <c r="L393" i="141"/>
  <c r="K393" i="141"/>
  <c r="J393" i="141"/>
  <c r="I393" i="141"/>
  <c r="H393" i="141"/>
  <c r="G393" i="141"/>
  <c r="F393" i="141"/>
  <c r="E393" i="141"/>
  <c r="L392" i="141"/>
  <c r="K392" i="141"/>
  <c r="J392" i="141"/>
  <c r="I392" i="141"/>
  <c r="H392" i="141"/>
  <c r="G392" i="141"/>
  <c r="F392" i="141"/>
  <c r="E392" i="141"/>
  <c r="L391" i="141"/>
  <c r="K391" i="141"/>
  <c r="J391" i="141"/>
  <c r="I391" i="141"/>
  <c r="H391" i="141"/>
  <c r="G391" i="141"/>
  <c r="F391" i="141"/>
  <c r="E391" i="141"/>
  <c r="L390" i="141"/>
  <c r="K390" i="141"/>
  <c r="J390" i="141"/>
  <c r="I390" i="141"/>
  <c r="H390" i="141"/>
  <c r="G390" i="141"/>
  <c r="F390" i="141"/>
  <c r="E390" i="141"/>
  <c r="L389" i="141"/>
  <c r="K389" i="141"/>
  <c r="J389" i="141"/>
  <c r="I389" i="141"/>
  <c r="H389" i="141"/>
  <c r="G389" i="141"/>
  <c r="F389" i="141"/>
  <c r="E389" i="141"/>
  <c r="L388" i="141"/>
  <c r="K388" i="141"/>
  <c r="J388" i="141"/>
  <c r="I388" i="141"/>
  <c r="H388" i="141"/>
  <c r="G388" i="141"/>
  <c r="F388" i="141"/>
  <c r="E388" i="141"/>
  <c r="L387" i="141"/>
  <c r="K387" i="141"/>
  <c r="J387" i="141"/>
  <c r="I387" i="141"/>
  <c r="H387" i="141"/>
  <c r="G387" i="141"/>
  <c r="F387" i="141"/>
  <c r="E387" i="141"/>
  <c r="L386" i="141"/>
  <c r="K386" i="141"/>
  <c r="K395" i="141" s="1"/>
  <c r="J386" i="141"/>
  <c r="I386" i="141"/>
  <c r="I395" i="141" s="1"/>
  <c r="H386" i="141"/>
  <c r="G386" i="141"/>
  <c r="F386" i="141"/>
  <c r="F395" i="141" s="1"/>
  <c r="E386" i="141"/>
  <c r="L381" i="141"/>
  <c r="K381" i="141"/>
  <c r="J381" i="141"/>
  <c r="I381" i="141"/>
  <c r="H381" i="141"/>
  <c r="G381" i="141"/>
  <c r="F381" i="141"/>
  <c r="E381" i="141"/>
  <c r="L380" i="141"/>
  <c r="K380" i="141"/>
  <c r="J380" i="141"/>
  <c r="I380" i="141"/>
  <c r="H380" i="141"/>
  <c r="G380" i="141"/>
  <c r="F380" i="141"/>
  <c r="E380" i="141"/>
  <c r="L379" i="141"/>
  <c r="K379" i="141"/>
  <c r="J379" i="141"/>
  <c r="I379" i="141"/>
  <c r="H379" i="141"/>
  <c r="G379" i="141"/>
  <c r="F379" i="141"/>
  <c r="E379" i="141"/>
  <c r="L378" i="141"/>
  <c r="K378" i="141"/>
  <c r="J378" i="141"/>
  <c r="I378" i="141"/>
  <c r="H378" i="141"/>
  <c r="G378" i="141"/>
  <c r="F378" i="141"/>
  <c r="E378" i="141"/>
  <c r="L377" i="141"/>
  <c r="K377" i="141"/>
  <c r="J377" i="141"/>
  <c r="I377" i="141"/>
  <c r="H377" i="141"/>
  <c r="G377" i="141"/>
  <c r="F377" i="141"/>
  <c r="E377" i="141"/>
  <c r="L376" i="141"/>
  <c r="K376" i="141"/>
  <c r="J376" i="141"/>
  <c r="I376" i="141"/>
  <c r="H376" i="141"/>
  <c r="G376" i="141"/>
  <c r="F376" i="141"/>
  <c r="E376" i="141"/>
  <c r="L375" i="141"/>
  <c r="L382" i="141" s="1"/>
  <c r="K375" i="141"/>
  <c r="J375" i="141"/>
  <c r="I375" i="141"/>
  <c r="H375" i="141"/>
  <c r="G375" i="141"/>
  <c r="F375" i="141"/>
  <c r="F382" i="141" s="1"/>
  <c r="E375" i="141"/>
  <c r="L373" i="141"/>
  <c r="K373" i="141"/>
  <c r="J373" i="141"/>
  <c r="I373" i="141"/>
  <c r="H373" i="141"/>
  <c r="G373" i="141"/>
  <c r="F373" i="141"/>
  <c r="E373" i="141"/>
  <c r="L372" i="141"/>
  <c r="K372" i="141"/>
  <c r="J372" i="141"/>
  <c r="I372" i="141"/>
  <c r="H372" i="141"/>
  <c r="G372" i="141"/>
  <c r="F372" i="141"/>
  <c r="E372" i="141"/>
  <c r="L371" i="141"/>
  <c r="K371" i="141"/>
  <c r="J371" i="141"/>
  <c r="I371" i="141"/>
  <c r="H371" i="141"/>
  <c r="G371" i="141"/>
  <c r="F371" i="141"/>
  <c r="E371" i="141"/>
  <c r="L370" i="141"/>
  <c r="K370" i="141"/>
  <c r="J370" i="141"/>
  <c r="I370" i="141"/>
  <c r="H370" i="141"/>
  <c r="G370" i="141"/>
  <c r="F370" i="141"/>
  <c r="E370" i="141"/>
  <c r="L369" i="141"/>
  <c r="K369" i="141"/>
  <c r="J369" i="141"/>
  <c r="I369" i="141"/>
  <c r="H369" i="141"/>
  <c r="G369" i="141"/>
  <c r="F369" i="141"/>
  <c r="E369" i="141"/>
  <c r="L368" i="141"/>
  <c r="K368" i="141"/>
  <c r="J368" i="141"/>
  <c r="I368" i="141"/>
  <c r="H368" i="141"/>
  <c r="G368" i="141"/>
  <c r="F368" i="141"/>
  <c r="E368" i="141"/>
  <c r="L367" i="141"/>
  <c r="L374" i="141" s="1"/>
  <c r="K367" i="141"/>
  <c r="J367" i="141"/>
  <c r="I367" i="141"/>
  <c r="I374" i="141" s="1"/>
  <c r="H367" i="141"/>
  <c r="G367" i="141"/>
  <c r="F367" i="141"/>
  <c r="E367" i="141"/>
  <c r="L364" i="141"/>
  <c r="K364" i="141"/>
  <c r="J364" i="141"/>
  <c r="I364" i="141"/>
  <c r="H364" i="141"/>
  <c r="G364" i="141"/>
  <c r="F364" i="141"/>
  <c r="E364" i="141"/>
  <c r="L363" i="141"/>
  <c r="K363" i="141"/>
  <c r="J363" i="141"/>
  <c r="I363" i="141"/>
  <c r="H363" i="141"/>
  <c r="G363" i="141"/>
  <c r="F363" i="141"/>
  <c r="E363" i="141"/>
  <c r="L362" i="141"/>
  <c r="K362" i="141"/>
  <c r="J362" i="141"/>
  <c r="I362" i="141"/>
  <c r="H362" i="141"/>
  <c r="G362" i="141"/>
  <c r="F362" i="141"/>
  <c r="E362" i="141"/>
  <c r="L361" i="141"/>
  <c r="K361" i="141"/>
  <c r="J361" i="141"/>
  <c r="I361" i="141"/>
  <c r="H361" i="141"/>
  <c r="G361" i="141"/>
  <c r="F361" i="141"/>
  <c r="E361" i="141"/>
  <c r="L360" i="141"/>
  <c r="K360" i="141"/>
  <c r="J360" i="141"/>
  <c r="I360" i="141"/>
  <c r="H360" i="141"/>
  <c r="G360" i="141"/>
  <c r="F360" i="141"/>
  <c r="E360" i="141"/>
  <c r="L359" i="141"/>
  <c r="K359" i="141"/>
  <c r="J359" i="141"/>
  <c r="I359" i="141"/>
  <c r="H359" i="141"/>
  <c r="G359" i="141"/>
  <c r="F359" i="141"/>
  <c r="E359" i="141"/>
  <c r="L358" i="141"/>
  <c r="L365" i="141" s="1"/>
  <c r="K358" i="141"/>
  <c r="J358" i="141"/>
  <c r="I358" i="141"/>
  <c r="H358" i="141"/>
  <c r="G358" i="141"/>
  <c r="F358" i="141"/>
  <c r="E358" i="141"/>
  <c r="L356" i="141"/>
  <c r="K356" i="141"/>
  <c r="J356" i="141"/>
  <c r="I356" i="141"/>
  <c r="H356" i="141"/>
  <c r="G356" i="141"/>
  <c r="F356" i="141"/>
  <c r="E356" i="141"/>
  <c r="L355" i="141"/>
  <c r="K355" i="141"/>
  <c r="J355" i="141"/>
  <c r="I355" i="141"/>
  <c r="H355" i="141"/>
  <c r="G355" i="141"/>
  <c r="F355" i="141"/>
  <c r="E355" i="141"/>
  <c r="L354" i="141"/>
  <c r="K354" i="141"/>
  <c r="J354" i="141"/>
  <c r="I354" i="141"/>
  <c r="H354" i="141"/>
  <c r="G354" i="141"/>
  <c r="F354" i="141"/>
  <c r="E354" i="141"/>
  <c r="L353" i="141"/>
  <c r="K353" i="141"/>
  <c r="J353" i="141"/>
  <c r="I353" i="141"/>
  <c r="H353" i="141"/>
  <c r="G353" i="141"/>
  <c r="F353" i="141"/>
  <c r="E353" i="141"/>
  <c r="L352" i="141"/>
  <c r="K352" i="141"/>
  <c r="J352" i="141"/>
  <c r="I352" i="141"/>
  <c r="H352" i="141"/>
  <c r="G352" i="141"/>
  <c r="F352" i="141"/>
  <c r="E352" i="141"/>
  <c r="L351" i="141"/>
  <c r="K351" i="141"/>
  <c r="J351" i="141"/>
  <c r="I351" i="141"/>
  <c r="H351" i="141"/>
  <c r="G351" i="141"/>
  <c r="F351" i="141"/>
  <c r="E351" i="141"/>
  <c r="L350" i="141"/>
  <c r="K350" i="141"/>
  <c r="J350" i="141"/>
  <c r="I350" i="141"/>
  <c r="I357" i="141" s="1"/>
  <c r="H350" i="141"/>
  <c r="H357" i="141" s="1"/>
  <c r="G350" i="141"/>
  <c r="F350" i="141"/>
  <c r="E350" i="141"/>
  <c r="L347" i="141"/>
  <c r="K347" i="141"/>
  <c r="J347" i="141"/>
  <c r="I347" i="141"/>
  <c r="H347" i="141"/>
  <c r="G347" i="141"/>
  <c r="F347" i="141"/>
  <c r="E347" i="141"/>
  <c r="L346" i="141"/>
  <c r="K346" i="141"/>
  <c r="J346" i="141"/>
  <c r="I346" i="141"/>
  <c r="H346" i="141"/>
  <c r="G346" i="141"/>
  <c r="F346" i="141"/>
  <c r="E346" i="141"/>
  <c r="L345" i="141"/>
  <c r="K345" i="141"/>
  <c r="J345" i="141"/>
  <c r="I345" i="141"/>
  <c r="H345" i="141"/>
  <c r="G345" i="141"/>
  <c r="F345" i="141"/>
  <c r="E345" i="141"/>
  <c r="L344" i="141"/>
  <c r="K344" i="141"/>
  <c r="J344" i="141"/>
  <c r="I344" i="141"/>
  <c r="H344" i="141"/>
  <c r="G344" i="141"/>
  <c r="F344" i="141"/>
  <c r="E344" i="141"/>
  <c r="L343" i="141"/>
  <c r="K343" i="141"/>
  <c r="J343" i="141"/>
  <c r="I343" i="141"/>
  <c r="H343" i="141"/>
  <c r="G343" i="141"/>
  <c r="F343" i="141"/>
  <c r="E343" i="141"/>
  <c r="L342" i="141"/>
  <c r="K342" i="141"/>
  <c r="J342" i="141"/>
  <c r="I342" i="141"/>
  <c r="H342" i="141"/>
  <c r="G342" i="141"/>
  <c r="F342" i="141"/>
  <c r="E342" i="141"/>
  <c r="L341" i="141"/>
  <c r="K341" i="141"/>
  <c r="J341" i="141"/>
  <c r="I341" i="141"/>
  <c r="H341" i="141"/>
  <c r="G341" i="141"/>
  <c r="F341" i="141"/>
  <c r="E341" i="141"/>
  <c r="L340" i="141"/>
  <c r="K340" i="141"/>
  <c r="J340" i="141"/>
  <c r="I340" i="141"/>
  <c r="H340" i="141"/>
  <c r="G340" i="141"/>
  <c r="F340" i="141"/>
  <c r="E340" i="141"/>
  <c r="L339" i="141"/>
  <c r="L348" i="141" s="1"/>
  <c r="K339" i="141"/>
  <c r="K348" i="141" s="1"/>
  <c r="J339" i="141"/>
  <c r="J348" i="141" s="1"/>
  <c r="I339" i="141"/>
  <c r="H339" i="141"/>
  <c r="G339" i="141"/>
  <c r="F339" i="141"/>
  <c r="E339" i="141"/>
  <c r="L337" i="141"/>
  <c r="K337" i="141"/>
  <c r="J337" i="141"/>
  <c r="I337" i="141"/>
  <c r="H337" i="141"/>
  <c r="G337" i="141"/>
  <c r="F337" i="141"/>
  <c r="E337" i="141"/>
  <c r="L336" i="141"/>
  <c r="K336" i="141"/>
  <c r="J336" i="141"/>
  <c r="I336" i="141"/>
  <c r="H336" i="141"/>
  <c r="G336" i="141"/>
  <c r="F336" i="141"/>
  <c r="E336" i="141"/>
  <c r="L335" i="141"/>
  <c r="K335" i="141"/>
  <c r="J335" i="141"/>
  <c r="I335" i="141"/>
  <c r="H335" i="141"/>
  <c r="G335" i="141"/>
  <c r="F335" i="141"/>
  <c r="E335" i="141"/>
  <c r="L334" i="141"/>
  <c r="K334" i="141"/>
  <c r="J334" i="141"/>
  <c r="I334" i="141"/>
  <c r="H334" i="141"/>
  <c r="G334" i="141"/>
  <c r="F334" i="141"/>
  <c r="E334" i="141"/>
  <c r="L333" i="141"/>
  <c r="K333" i="141"/>
  <c r="J333" i="141"/>
  <c r="I333" i="141"/>
  <c r="H333" i="141"/>
  <c r="G333" i="141"/>
  <c r="F333" i="141"/>
  <c r="E333" i="141"/>
  <c r="L332" i="141"/>
  <c r="K332" i="141"/>
  <c r="J332" i="141"/>
  <c r="I332" i="141"/>
  <c r="H332" i="141"/>
  <c r="G332" i="141"/>
  <c r="F332" i="141"/>
  <c r="E332" i="141"/>
  <c r="L331" i="141"/>
  <c r="K331" i="141"/>
  <c r="J331" i="141"/>
  <c r="I331" i="141"/>
  <c r="H331" i="141"/>
  <c r="G331" i="141"/>
  <c r="F331" i="141"/>
  <c r="E331" i="141"/>
  <c r="L330" i="141"/>
  <c r="K330" i="141"/>
  <c r="J330" i="141"/>
  <c r="I330" i="141"/>
  <c r="H330" i="141"/>
  <c r="G330" i="141"/>
  <c r="F330" i="141"/>
  <c r="E330" i="141"/>
  <c r="L329" i="141"/>
  <c r="L338" i="141" s="1"/>
  <c r="K329" i="141"/>
  <c r="J329" i="141"/>
  <c r="I329" i="141"/>
  <c r="H329" i="141"/>
  <c r="G329" i="141"/>
  <c r="F329" i="141"/>
  <c r="F338" i="141" s="1"/>
  <c r="E329" i="141"/>
  <c r="L326" i="141"/>
  <c r="K326" i="141"/>
  <c r="J326" i="141"/>
  <c r="I326" i="141"/>
  <c r="H326" i="141"/>
  <c r="G326" i="141"/>
  <c r="F326" i="141"/>
  <c r="E326" i="141"/>
  <c r="L325" i="141"/>
  <c r="K325" i="141"/>
  <c r="J325" i="141"/>
  <c r="I325" i="141"/>
  <c r="H325" i="141"/>
  <c r="G325" i="141"/>
  <c r="F325" i="141"/>
  <c r="E325" i="141"/>
  <c r="L324" i="141"/>
  <c r="K324" i="141"/>
  <c r="J324" i="141"/>
  <c r="I324" i="141"/>
  <c r="H324" i="141"/>
  <c r="G324" i="141"/>
  <c r="F324" i="141"/>
  <c r="E324" i="141"/>
  <c r="L323" i="141"/>
  <c r="K323" i="141"/>
  <c r="J323" i="141"/>
  <c r="I323" i="141"/>
  <c r="H323" i="141"/>
  <c r="G323" i="141"/>
  <c r="F323" i="141"/>
  <c r="E323" i="141"/>
  <c r="L322" i="141"/>
  <c r="K322" i="141"/>
  <c r="J322" i="141"/>
  <c r="I322" i="141"/>
  <c r="H322" i="141"/>
  <c r="G322" i="141"/>
  <c r="F322" i="141"/>
  <c r="E322" i="141"/>
  <c r="L321" i="141"/>
  <c r="K321" i="141"/>
  <c r="J321" i="141"/>
  <c r="I321" i="141"/>
  <c r="H321" i="141"/>
  <c r="G321" i="141"/>
  <c r="F321" i="141"/>
  <c r="E321" i="141"/>
  <c r="L320" i="141"/>
  <c r="K320" i="141"/>
  <c r="J320" i="141"/>
  <c r="I320" i="141"/>
  <c r="H320" i="141"/>
  <c r="G320" i="141"/>
  <c r="F320" i="141"/>
  <c r="E320" i="141"/>
  <c r="L319" i="141"/>
  <c r="K319" i="141"/>
  <c r="J319" i="141"/>
  <c r="I319" i="141"/>
  <c r="H319" i="141"/>
  <c r="G319" i="141"/>
  <c r="F319" i="141"/>
  <c r="E319" i="141"/>
  <c r="L318" i="141"/>
  <c r="L327" i="141" s="1"/>
  <c r="K318" i="141"/>
  <c r="J318" i="141"/>
  <c r="I318" i="141"/>
  <c r="H318" i="141"/>
  <c r="G318" i="141"/>
  <c r="F318" i="141"/>
  <c r="F327" i="141" s="1"/>
  <c r="E318" i="141"/>
  <c r="L316" i="141"/>
  <c r="K316" i="141"/>
  <c r="J316" i="141"/>
  <c r="I316" i="141"/>
  <c r="H316" i="141"/>
  <c r="G316" i="141"/>
  <c r="F316" i="141"/>
  <c r="E316" i="141"/>
  <c r="L315" i="141"/>
  <c r="K315" i="141"/>
  <c r="J315" i="141"/>
  <c r="I315" i="141"/>
  <c r="H315" i="141"/>
  <c r="G315" i="141"/>
  <c r="F315" i="141"/>
  <c r="E315" i="141"/>
  <c r="L314" i="141"/>
  <c r="K314" i="141"/>
  <c r="J314" i="141"/>
  <c r="I314" i="141"/>
  <c r="H314" i="141"/>
  <c r="G314" i="141"/>
  <c r="F314" i="141"/>
  <c r="E314" i="141"/>
  <c r="L313" i="141"/>
  <c r="K313" i="141"/>
  <c r="J313" i="141"/>
  <c r="I313" i="141"/>
  <c r="H313" i="141"/>
  <c r="G313" i="141"/>
  <c r="F313" i="141"/>
  <c r="E313" i="141"/>
  <c r="L312" i="141"/>
  <c r="K312" i="141"/>
  <c r="J312" i="141"/>
  <c r="I312" i="141"/>
  <c r="H312" i="141"/>
  <c r="G312" i="141"/>
  <c r="F312" i="141"/>
  <c r="E312" i="141"/>
  <c r="L311" i="141"/>
  <c r="K311" i="141"/>
  <c r="J311" i="141"/>
  <c r="I311" i="141"/>
  <c r="H311" i="141"/>
  <c r="G311" i="141"/>
  <c r="F311" i="141"/>
  <c r="E311" i="141"/>
  <c r="L310" i="141"/>
  <c r="K310" i="141"/>
  <c r="J310" i="141"/>
  <c r="I310" i="141"/>
  <c r="H310" i="141"/>
  <c r="G310" i="141"/>
  <c r="F310" i="141"/>
  <c r="E310" i="141"/>
  <c r="L309" i="141"/>
  <c r="K309" i="141"/>
  <c r="J309" i="141"/>
  <c r="I309" i="141"/>
  <c r="H309" i="141"/>
  <c r="G309" i="141"/>
  <c r="F309" i="141"/>
  <c r="E309" i="141"/>
  <c r="L308" i="141"/>
  <c r="K308" i="141"/>
  <c r="J308" i="141"/>
  <c r="I308" i="141"/>
  <c r="H308" i="141"/>
  <c r="G308" i="141"/>
  <c r="F308" i="141"/>
  <c r="E308" i="141"/>
  <c r="L303" i="141"/>
  <c r="K303" i="141"/>
  <c r="J303" i="141"/>
  <c r="I303" i="141"/>
  <c r="H303" i="141"/>
  <c r="G303" i="141"/>
  <c r="F303" i="141"/>
  <c r="E303" i="141"/>
  <c r="L302" i="141"/>
  <c r="K302" i="141"/>
  <c r="J302" i="141"/>
  <c r="I302" i="141"/>
  <c r="H302" i="141"/>
  <c r="G302" i="141"/>
  <c r="F302" i="141"/>
  <c r="E302" i="141"/>
  <c r="L301" i="141"/>
  <c r="K301" i="141"/>
  <c r="J301" i="141"/>
  <c r="I301" i="141"/>
  <c r="H301" i="141"/>
  <c r="G301" i="141"/>
  <c r="F301" i="141"/>
  <c r="E301" i="141"/>
  <c r="L300" i="141"/>
  <c r="K300" i="141"/>
  <c r="J300" i="141"/>
  <c r="I300" i="141"/>
  <c r="H300" i="141"/>
  <c r="G300" i="141"/>
  <c r="F300" i="141"/>
  <c r="E300" i="141"/>
  <c r="L299" i="141"/>
  <c r="K299" i="141"/>
  <c r="J299" i="141"/>
  <c r="I299" i="141"/>
  <c r="H299" i="141"/>
  <c r="G299" i="141"/>
  <c r="F299" i="141"/>
  <c r="E299" i="141"/>
  <c r="L298" i="141"/>
  <c r="K298" i="141"/>
  <c r="J298" i="141"/>
  <c r="I298" i="141"/>
  <c r="H298" i="141"/>
  <c r="G298" i="141"/>
  <c r="F298" i="141"/>
  <c r="E298" i="141"/>
  <c r="L297" i="141"/>
  <c r="L304" i="141" s="1"/>
  <c r="K297" i="141"/>
  <c r="J297" i="141"/>
  <c r="I297" i="141"/>
  <c r="I304" i="141" s="1"/>
  <c r="H297" i="141"/>
  <c r="G297" i="141"/>
  <c r="F297" i="141"/>
  <c r="E297" i="141"/>
  <c r="E304" i="141" s="1"/>
  <c r="L295" i="141"/>
  <c r="K295" i="141"/>
  <c r="J295" i="141"/>
  <c r="I295" i="141"/>
  <c r="H295" i="141"/>
  <c r="G295" i="141"/>
  <c r="F295" i="141"/>
  <c r="E295" i="141"/>
  <c r="L294" i="141"/>
  <c r="K294" i="141"/>
  <c r="J294" i="141"/>
  <c r="I294" i="141"/>
  <c r="H294" i="141"/>
  <c r="G294" i="141"/>
  <c r="F294" i="141"/>
  <c r="E294" i="141"/>
  <c r="L293" i="141"/>
  <c r="K293" i="141"/>
  <c r="J293" i="141"/>
  <c r="I293" i="141"/>
  <c r="H293" i="141"/>
  <c r="G293" i="141"/>
  <c r="F293" i="141"/>
  <c r="E293" i="141"/>
  <c r="L292" i="141"/>
  <c r="K292" i="141"/>
  <c r="J292" i="141"/>
  <c r="I292" i="141"/>
  <c r="H292" i="141"/>
  <c r="G292" i="141"/>
  <c r="F292" i="141"/>
  <c r="E292" i="141"/>
  <c r="L291" i="141"/>
  <c r="K291" i="141"/>
  <c r="J291" i="141"/>
  <c r="I291" i="141"/>
  <c r="H291" i="141"/>
  <c r="G291" i="141"/>
  <c r="F291" i="141"/>
  <c r="E291" i="141"/>
  <c r="L290" i="141"/>
  <c r="K290" i="141"/>
  <c r="J290" i="141"/>
  <c r="I290" i="141"/>
  <c r="H290" i="141"/>
  <c r="G290" i="141"/>
  <c r="F290" i="141"/>
  <c r="E290" i="141"/>
  <c r="L289" i="141"/>
  <c r="L296" i="141" s="1"/>
  <c r="K289" i="141"/>
  <c r="J289" i="141"/>
  <c r="I289" i="141"/>
  <c r="H289" i="141"/>
  <c r="G289" i="141"/>
  <c r="F289" i="141"/>
  <c r="E289" i="141"/>
  <c r="L286" i="141"/>
  <c r="K286" i="141"/>
  <c r="J286" i="141"/>
  <c r="I286" i="141"/>
  <c r="H286" i="141"/>
  <c r="G286" i="141"/>
  <c r="F286" i="141"/>
  <c r="E286" i="141"/>
  <c r="L285" i="141"/>
  <c r="K285" i="141"/>
  <c r="J285" i="141"/>
  <c r="I285" i="141"/>
  <c r="H285" i="141"/>
  <c r="G285" i="141"/>
  <c r="F285" i="141"/>
  <c r="E285" i="141"/>
  <c r="L284" i="141"/>
  <c r="K284" i="141"/>
  <c r="J284" i="141"/>
  <c r="I284" i="141"/>
  <c r="H284" i="141"/>
  <c r="G284" i="141"/>
  <c r="F284" i="141"/>
  <c r="E284" i="141"/>
  <c r="L283" i="141"/>
  <c r="K283" i="141"/>
  <c r="J283" i="141"/>
  <c r="I283" i="141"/>
  <c r="H283" i="141"/>
  <c r="G283" i="141"/>
  <c r="F283" i="141"/>
  <c r="E283" i="141"/>
  <c r="L282" i="141"/>
  <c r="K282" i="141"/>
  <c r="J282" i="141"/>
  <c r="I282" i="141"/>
  <c r="H282" i="141"/>
  <c r="G282" i="141"/>
  <c r="F282" i="141"/>
  <c r="E282" i="141"/>
  <c r="L281" i="141"/>
  <c r="K281" i="141"/>
  <c r="J281" i="141"/>
  <c r="I281" i="141"/>
  <c r="H281" i="141"/>
  <c r="G281" i="141"/>
  <c r="F281" i="141"/>
  <c r="E281" i="141"/>
  <c r="L280" i="141"/>
  <c r="K280" i="141"/>
  <c r="J280" i="141"/>
  <c r="I280" i="141"/>
  <c r="I287" i="141" s="1"/>
  <c r="H280" i="141"/>
  <c r="G280" i="141"/>
  <c r="F280" i="141"/>
  <c r="E280" i="141"/>
  <c r="E287" i="141" s="1"/>
  <c r="L278" i="141"/>
  <c r="K278" i="141"/>
  <c r="J278" i="141"/>
  <c r="I278" i="141"/>
  <c r="H278" i="141"/>
  <c r="G278" i="141"/>
  <c r="F278" i="141"/>
  <c r="E278" i="141"/>
  <c r="L277" i="141"/>
  <c r="K277" i="141"/>
  <c r="J277" i="141"/>
  <c r="I277" i="141"/>
  <c r="H277" i="141"/>
  <c r="G277" i="141"/>
  <c r="F277" i="141"/>
  <c r="E277" i="141"/>
  <c r="L276" i="141"/>
  <c r="K276" i="141"/>
  <c r="J276" i="141"/>
  <c r="I276" i="141"/>
  <c r="H276" i="141"/>
  <c r="G276" i="141"/>
  <c r="F276" i="141"/>
  <c r="E276" i="141"/>
  <c r="L275" i="141"/>
  <c r="K275" i="141"/>
  <c r="J275" i="141"/>
  <c r="I275" i="141"/>
  <c r="H275" i="141"/>
  <c r="G275" i="141"/>
  <c r="F275" i="141"/>
  <c r="E275" i="141"/>
  <c r="L274" i="141"/>
  <c r="K274" i="141"/>
  <c r="J274" i="141"/>
  <c r="I274" i="141"/>
  <c r="H274" i="141"/>
  <c r="G274" i="141"/>
  <c r="F274" i="141"/>
  <c r="E274" i="141"/>
  <c r="L273" i="141"/>
  <c r="K273" i="141"/>
  <c r="J273" i="141"/>
  <c r="I273" i="141"/>
  <c r="H273" i="141"/>
  <c r="G273" i="141"/>
  <c r="F273" i="141"/>
  <c r="E273" i="141"/>
  <c r="L272" i="141"/>
  <c r="L279" i="141" s="1"/>
  <c r="K272" i="141"/>
  <c r="J272" i="141"/>
  <c r="I272" i="141"/>
  <c r="H272" i="141"/>
  <c r="G272" i="141"/>
  <c r="F272" i="141"/>
  <c r="E272" i="141"/>
  <c r="L269" i="141"/>
  <c r="K269" i="141"/>
  <c r="J269" i="141"/>
  <c r="I269" i="141"/>
  <c r="H269" i="141"/>
  <c r="G269" i="141"/>
  <c r="F269" i="141"/>
  <c r="E269" i="141"/>
  <c r="L268" i="141"/>
  <c r="K268" i="141"/>
  <c r="J268" i="141"/>
  <c r="I268" i="141"/>
  <c r="H268" i="141"/>
  <c r="G268" i="141"/>
  <c r="F268" i="141"/>
  <c r="E268" i="141"/>
  <c r="L267" i="141"/>
  <c r="K267" i="141"/>
  <c r="J267" i="141"/>
  <c r="I267" i="141"/>
  <c r="H267" i="141"/>
  <c r="G267" i="141"/>
  <c r="F267" i="141"/>
  <c r="E267" i="141"/>
  <c r="L266" i="141"/>
  <c r="K266" i="141"/>
  <c r="J266" i="141"/>
  <c r="I266" i="141"/>
  <c r="H266" i="141"/>
  <c r="G266" i="141"/>
  <c r="F266" i="141"/>
  <c r="E266" i="141"/>
  <c r="L265" i="141"/>
  <c r="K265" i="141"/>
  <c r="J265" i="141"/>
  <c r="I265" i="141"/>
  <c r="H265" i="141"/>
  <c r="G265" i="141"/>
  <c r="F265" i="141"/>
  <c r="E265" i="141"/>
  <c r="L264" i="141"/>
  <c r="K264" i="141"/>
  <c r="J264" i="141"/>
  <c r="I264" i="141"/>
  <c r="H264" i="141"/>
  <c r="G264" i="141"/>
  <c r="F264" i="141"/>
  <c r="E264" i="141"/>
  <c r="L263" i="141"/>
  <c r="K263" i="141"/>
  <c r="J263" i="141"/>
  <c r="I263" i="141"/>
  <c r="H263" i="141"/>
  <c r="G263" i="141"/>
  <c r="F263" i="141"/>
  <c r="E263" i="141"/>
  <c r="L262" i="141"/>
  <c r="K262" i="141"/>
  <c r="J262" i="141"/>
  <c r="I262" i="141"/>
  <c r="H262" i="141"/>
  <c r="G262" i="141"/>
  <c r="F262" i="141"/>
  <c r="E262" i="141"/>
  <c r="L261" i="141"/>
  <c r="L270" i="141" s="1"/>
  <c r="K261" i="141"/>
  <c r="J261" i="141"/>
  <c r="I261" i="141"/>
  <c r="H261" i="141"/>
  <c r="G261" i="141"/>
  <c r="F261" i="141"/>
  <c r="E261" i="141"/>
  <c r="L259" i="141"/>
  <c r="K259" i="141"/>
  <c r="J259" i="141"/>
  <c r="I259" i="141"/>
  <c r="H259" i="141"/>
  <c r="G259" i="141"/>
  <c r="F259" i="141"/>
  <c r="E259" i="141"/>
  <c r="L258" i="141"/>
  <c r="K258" i="141"/>
  <c r="J258" i="141"/>
  <c r="I258" i="141"/>
  <c r="H258" i="141"/>
  <c r="G258" i="141"/>
  <c r="F258" i="141"/>
  <c r="E258" i="141"/>
  <c r="L257" i="141"/>
  <c r="K257" i="141"/>
  <c r="J257" i="141"/>
  <c r="I257" i="141"/>
  <c r="H257" i="141"/>
  <c r="G257" i="141"/>
  <c r="F257" i="141"/>
  <c r="E257" i="141"/>
  <c r="L256" i="141"/>
  <c r="K256" i="141"/>
  <c r="J256" i="141"/>
  <c r="I256" i="141"/>
  <c r="H256" i="141"/>
  <c r="G256" i="141"/>
  <c r="F256" i="141"/>
  <c r="E256" i="141"/>
  <c r="L255" i="141"/>
  <c r="K255" i="141"/>
  <c r="J255" i="141"/>
  <c r="I255" i="141"/>
  <c r="H255" i="141"/>
  <c r="G255" i="141"/>
  <c r="F255" i="141"/>
  <c r="E255" i="141"/>
  <c r="L254" i="141"/>
  <c r="K254" i="141"/>
  <c r="J254" i="141"/>
  <c r="I254" i="141"/>
  <c r="H254" i="141"/>
  <c r="G254" i="141"/>
  <c r="F254" i="141"/>
  <c r="E254" i="141"/>
  <c r="L253" i="141"/>
  <c r="K253" i="141"/>
  <c r="J253" i="141"/>
  <c r="I253" i="141"/>
  <c r="H253" i="141"/>
  <c r="G253" i="141"/>
  <c r="F253" i="141"/>
  <c r="E253" i="141"/>
  <c r="L252" i="141"/>
  <c r="K252" i="141"/>
  <c r="J252" i="141"/>
  <c r="I252" i="141"/>
  <c r="H252" i="141"/>
  <c r="G252" i="141"/>
  <c r="F252" i="141"/>
  <c r="E252" i="141"/>
  <c r="L251" i="141"/>
  <c r="L260" i="141" s="1"/>
  <c r="K251" i="141"/>
  <c r="J251" i="141"/>
  <c r="I251" i="141"/>
  <c r="I260" i="141" s="1"/>
  <c r="H251" i="141"/>
  <c r="G251" i="141"/>
  <c r="F251" i="141"/>
  <c r="E251" i="141"/>
  <c r="L248" i="141"/>
  <c r="K248" i="141"/>
  <c r="J248" i="141"/>
  <c r="I248" i="141"/>
  <c r="H248" i="141"/>
  <c r="G248" i="141"/>
  <c r="F248" i="141"/>
  <c r="E248" i="141"/>
  <c r="L247" i="141"/>
  <c r="K247" i="141"/>
  <c r="J247" i="141"/>
  <c r="I247" i="141"/>
  <c r="H247" i="141"/>
  <c r="G247" i="141"/>
  <c r="F247" i="141"/>
  <c r="E247" i="141"/>
  <c r="L246" i="141"/>
  <c r="K246" i="141"/>
  <c r="J246" i="141"/>
  <c r="I246" i="141"/>
  <c r="H246" i="141"/>
  <c r="G246" i="141"/>
  <c r="F246" i="141"/>
  <c r="E246" i="141"/>
  <c r="L245" i="141"/>
  <c r="K245" i="141"/>
  <c r="J245" i="141"/>
  <c r="I245" i="141"/>
  <c r="H245" i="141"/>
  <c r="G245" i="141"/>
  <c r="F245" i="141"/>
  <c r="E245" i="141"/>
  <c r="L244" i="141"/>
  <c r="K244" i="141"/>
  <c r="J244" i="141"/>
  <c r="I244" i="141"/>
  <c r="H244" i="141"/>
  <c r="G244" i="141"/>
  <c r="F244" i="141"/>
  <c r="E244" i="141"/>
  <c r="L243" i="141"/>
  <c r="K243" i="141"/>
  <c r="J243" i="141"/>
  <c r="I243" i="141"/>
  <c r="H243" i="141"/>
  <c r="G243" i="141"/>
  <c r="F243" i="141"/>
  <c r="E243" i="141"/>
  <c r="L242" i="141"/>
  <c r="K242" i="141"/>
  <c r="J242" i="141"/>
  <c r="I242" i="141"/>
  <c r="H242" i="141"/>
  <c r="G242" i="141"/>
  <c r="F242" i="141"/>
  <c r="E242" i="141"/>
  <c r="L241" i="141"/>
  <c r="K241" i="141"/>
  <c r="J241" i="141"/>
  <c r="I241" i="141"/>
  <c r="H241" i="141"/>
  <c r="G241" i="141"/>
  <c r="F241" i="141"/>
  <c r="E241" i="141"/>
  <c r="L240" i="141"/>
  <c r="L249" i="141" s="1"/>
  <c r="K240" i="141"/>
  <c r="J240" i="141"/>
  <c r="I240" i="141"/>
  <c r="I249" i="141" s="1"/>
  <c r="H240" i="141"/>
  <c r="G240" i="141"/>
  <c r="F240" i="141"/>
  <c r="F249" i="141" s="1"/>
  <c r="E240" i="141"/>
  <c r="E249" i="141" s="1"/>
  <c r="L238" i="141"/>
  <c r="K238" i="141"/>
  <c r="J238" i="141"/>
  <c r="I238" i="141"/>
  <c r="H238" i="141"/>
  <c r="G238" i="141"/>
  <c r="F238" i="141"/>
  <c r="E238" i="141"/>
  <c r="L237" i="141"/>
  <c r="K237" i="141"/>
  <c r="J237" i="141"/>
  <c r="I237" i="141"/>
  <c r="H237" i="141"/>
  <c r="G237" i="141"/>
  <c r="F237" i="141"/>
  <c r="E237" i="141"/>
  <c r="L236" i="141"/>
  <c r="K236" i="141"/>
  <c r="J236" i="141"/>
  <c r="I236" i="141"/>
  <c r="H236" i="141"/>
  <c r="G236" i="141"/>
  <c r="F236" i="141"/>
  <c r="E236" i="141"/>
  <c r="L235" i="141"/>
  <c r="K235" i="141"/>
  <c r="J235" i="141"/>
  <c r="I235" i="141"/>
  <c r="H235" i="141"/>
  <c r="G235" i="141"/>
  <c r="F235" i="141"/>
  <c r="E235" i="141"/>
  <c r="L234" i="141"/>
  <c r="K234" i="141"/>
  <c r="J234" i="141"/>
  <c r="I234" i="141"/>
  <c r="H234" i="141"/>
  <c r="G234" i="141"/>
  <c r="F234" i="141"/>
  <c r="E234" i="141"/>
  <c r="L233" i="141"/>
  <c r="K233" i="141"/>
  <c r="J233" i="141"/>
  <c r="I233" i="141"/>
  <c r="H233" i="141"/>
  <c r="G233" i="141"/>
  <c r="F233" i="141"/>
  <c r="E233" i="141"/>
  <c r="L232" i="141"/>
  <c r="K232" i="141"/>
  <c r="J232" i="141"/>
  <c r="I232" i="141"/>
  <c r="H232" i="141"/>
  <c r="G232" i="141"/>
  <c r="F232" i="141"/>
  <c r="E232" i="141"/>
  <c r="L231" i="141"/>
  <c r="K231" i="141"/>
  <c r="J231" i="141"/>
  <c r="I231" i="141"/>
  <c r="H231" i="141"/>
  <c r="G231" i="141"/>
  <c r="F231" i="141"/>
  <c r="E231" i="141"/>
  <c r="L230" i="141"/>
  <c r="L239" i="141" s="1"/>
  <c r="K230" i="141"/>
  <c r="J230" i="141"/>
  <c r="I230" i="141"/>
  <c r="H230" i="141"/>
  <c r="G230" i="141"/>
  <c r="F230" i="141"/>
  <c r="E230" i="141"/>
  <c r="L226" i="141"/>
  <c r="K226" i="141"/>
  <c r="J226" i="141"/>
  <c r="I226" i="141"/>
  <c r="H226" i="141"/>
  <c r="G226" i="141"/>
  <c r="F226" i="141"/>
  <c r="E226" i="141"/>
  <c r="L225" i="141"/>
  <c r="K225" i="141"/>
  <c r="J225" i="141"/>
  <c r="I225" i="141"/>
  <c r="H225" i="141"/>
  <c r="G225" i="141"/>
  <c r="F225" i="141"/>
  <c r="E225" i="141"/>
  <c r="L224" i="141"/>
  <c r="K224" i="141"/>
  <c r="J224" i="141"/>
  <c r="I224" i="141"/>
  <c r="H224" i="141"/>
  <c r="G224" i="141"/>
  <c r="F224" i="141"/>
  <c r="E224" i="141"/>
  <c r="L223" i="141"/>
  <c r="K223" i="141"/>
  <c r="J223" i="141"/>
  <c r="I223" i="141"/>
  <c r="H223" i="141"/>
  <c r="G223" i="141"/>
  <c r="F223" i="141"/>
  <c r="E223" i="141"/>
  <c r="L222" i="141"/>
  <c r="K222" i="141"/>
  <c r="J222" i="141"/>
  <c r="I222" i="141"/>
  <c r="H222" i="141"/>
  <c r="G222" i="141"/>
  <c r="F222" i="141"/>
  <c r="E222" i="141"/>
  <c r="L221" i="141"/>
  <c r="K221" i="141"/>
  <c r="J221" i="141"/>
  <c r="I221" i="141"/>
  <c r="H221" i="141"/>
  <c r="G221" i="141"/>
  <c r="F221" i="141"/>
  <c r="E221" i="141"/>
  <c r="L219" i="141"/>
  <c r="K219" i="141"/>
  <c r="J219" i="141"/>
  <c r="I219" i="141"/>
  <c r="H219" i="141"/>
  <c r="G219" i="141"/>
  <c r="F219" i="141"/>
  <c r="E219" i="141"/>
  <c r="L218" i="141"/>
  <c r="K218" i="141"/>
  <c r="J218" i="141"/>
  <c r="I218" i="141"/>
  <c r="H218" i="141"/>
  <c r="G218" i="141"/>
  <c r="F218" i="141"/>
  <c r="E218" i="141"/>
  <c r="L217" i="141"/>
  <c r="K217" i="141"/>
  <c r="J217" i="141"/>
  <c r="I217" i="141"/>
  <c r="H217" i="141"/>
  <c r="G217" i="141"/>
  <c r="F217" i="141"/>
  <c r="E217" i="141"/>
  <c r="L216" i="141"/>
  <c r="K216" i="141"/>
  <c r="J216" i="141"/>
  <c r="I216" i="141"/>
  <c r="H216" i="141"/>
  <c r="G216" i="141"/>
  <c r="F216" i="141"/>
  <c r="E216" i="141"/>
  <c r="L215" i="141"/>
  <c r="K215" i="141"/>
  <c r="J215" i="141"/>
  <c r="I215" i="141"/>
  <c r="H215" i="141"/>
  <c r="G215" i="141"/>
  <c r="F215" i="141"/>
  <c r="E215" i="141"/>
  <c r="L214" i="141"/>
  <c r="K214" i="141"/>
  <c r="J214" i="141"/>
  <c r="I214" i="141"/>
  <c r="H214" i="141"/>
  <c r="G214" i="141"/>
  <c r="F214" i="141"/>
  <c r="E214" i="141"/>
  <c r="L212" i="141"/>
  <c r="K212" i="141"/>
  <c r="J212" i="141"/>
  <c r="I212" i="141"/>
  <c r="H212" i="141"/>
  <c r="G212" i="141"/>
  <c r="F212" i="141"/>
  <c r="E212" i="141"/>
  <c r="L211" i="141"/>
  <c r="K211" i="141"/>
  <c r="J211" i="141"/>
  <c r="I211" i="141"/>
  <c r="H211" i="141"/>
  <c r="G211" i="141"/>
  <c r="F211" i="141"/>
  <c r="E211" i="141"/>
  <c r="L210" i="141"/>
  <c r="K210" i="141"/>
  <c r="J210" i="141"/>
  <c r="I210" i="141"/>
  <c r="H210" i="141"/>
  <c r="G210" i="141"/>
  <c r="F210" i="141"/>
  <c r="E210" i="141"/>
  <c r="L209" i="141"/>
  <c r="K209" i="141"/>
  <c r="J209" i="141"/>
  <c r="I209" i="141"/>
  <c r="H209" i="141"/>
  <c r="G209" i="141"/>
  <c r="F209" i="141"/>
  <c r="E209" i="141"/>
  <c r="L208" i="141"/>
  <c r="K208" i="141"/>
  <c r="J208" i="141"/>
  <c r="I208" i="141"/>
  <c r="H208" i="141"/>
  <c r="G208" i="141"/>
  <c r="F208" i="141"/>
  <c r="E208" i="141"/>
  <c r="L207" i="141"/>
  <c r="K207" i="141"/>
  <c r="J207" i="141"/>
  <c r="I207" i="141"/>
  <c r="H207" i="141"/>
  <c r="G207" i="141"/>
  <c r="F207" i="141"/>
  <c r="E207" i="141"/>
  <c r="L205" i="141"/>
  <c r="K205" i="141"/>
  <c r="J205" i="141"/>
  <c r="I205" i="141"/>
  <c r="H205" i="141"/>
  <c r="G205" i="141"/>
  <c r="F205" i="141"/>
  <c r="E205" i="141"/>
  <c r="L204" i="141"/>
  <c r="K204" i="141"/>
  <c r="J204" i="141"/>
  <c r="I204" i="141"/>
  <c r="H204" i="141"/>
  <c r="G204" i="141"/>
  <c r="F204" i="141"/>
  <c r="E204" i="141"/>
  <c r="L203" i="141"/>
  <c r="K203" i="141"/>
  <c r="J203" i="141"/>
  <c r="I203" i="141"/>
  <c r="H203" i="141"/>
  <c r="G203" i="141"/>
  <c r="F203" i="141"/>
  <c r="E203" i="141"/>
  <c r="L202" i="141"/>
  <c r="K202" i="141"/>
  <c r="J202" i="141"/>
  <c r="I202" i="141"/>
  <c r="H202" i="141"/>
  <c r="G202" i="141"/>
  <c r="F202" i="141"/>
  <c r="E202" i="141"/>
  <c r="L201" i="141"/>
  <c r="K201" i="141"/>
  <c r="J201" i="141"/>
  <c r="I201" i="141"/>
  <c r="H201" i="141"/>
  <c r="G201" i="141"/>
  <c r="F201" i="141"/>
  <c r="E201" i="141"/>
  <c r="L200" i="141"/>
  <c r="K200" i="141"/>
  <c r="J200" i="141"/>
  <c r="I200" i="141"/>
  <c r="I227" i="141" s="1" a="1"/>
  <c r="H200" i="141"/>
  <c r="G200" i="141"/>
  <c r="F200" i="141"/>
  <c r="E200" i="141"/>
  <c r="E644" i="141" s="1"/>
  <c r="L198" i="141"/>
  <c r="K198" i="141"/>
  <c r="J198" i="141"/>
  <c r="I198" i="141"/>
  <c r="H198" i="141"/>
  <c r="G198" i="141"/>
  <c r="F198" i="141"/>
  <c r="E198" i="141"/>
  <c r="L197" i="141"/>
  <c r="K197" i="141"/>
  <c r="J197" i="141"/>
  <c r="I197" i="141"/>
  <c r="H197" i="141"/>
  <c r="G197" i="141"/>
  <c r="F197" i="141"/>
  <c r="E197" i="141"/>
  <c r="L196" i="141"/>
  <c r="K196" i="141"/>
  <c r="J196" i="141"/>
  <c r="I196" i="141"/>
  <c r="H196" i="141"/>
  <c r="G196" i="141"/>
  <c r="F196" i="141"/>
  <c r="E196" i="141"/>
  <c r="L195" i="141"/>
  <c r="K195" i="141"/>
  <c r="J195" i="141"/>
  <c r="I195" i="141"/>
  <c r="H195" i="141"/>
  <c r="G195" i="141"/>
  <c r="F195" i="141"/>
  <c r="E195" i="141"/>
  <c r="L193" i="141"/>
  <c r="K193" i="141"/>
  <c r="J193" i="141"/>
  <c r="I193" i="141"/>
  <c r="H193" i="141"/>
  <c r="G193" i="141"/>
  <c r="F193" i="141"/>
  <c r="E193" i="141"/>
  <c r="L192" i="141"/>
  <c r="K192" i="141"/>
  <c r="J192" i="141"/>
  <c r="I192" i="141"/>
  <c r="H192" i="141"/>
  <c r="G192" i="141"/>
  <c r="F192" i="141"/>
  <c r="E192" i="141"/>
  <c r="L191" i="141"/>
  <c r="K191" i="141"/>
  <c r="J191" i="141"/>
  <c r="I191" i="141"/>
  <c r="H191" i="141"/>
  <c r="G191" i="141"/>
  <c r="F191" i="141"/>
  <c r="E191" i="141"/>
  <c r="L190" i="141"/>
  <c r="L643" i="141" s="1"/>
  <c r="BR91" i="127" s="1"/>
  <c r="K190" i="141"/>
  <c r="K643" i="141" s="1"/>
  <c r="BQ91" i="127" s="1"/>
  <c r="J190" i="141"/>
  <c r="J643" i="141" s="1"/>
  <c r="BP91" i="127" s="1"/>
  <c r="I190" i="141"/>
  <c r="I643" i="141" s="1"/>
  <c r="BO91" i="127" s="1"/>
  <c r="H190" i="141"/>
  <c r="H643" i="141" s="1"/>
  <c r="BN91" i="127" s="1"/>
  <c r="G190" i="141"/>
  <c r="F190" i="141"/>
  <c r="E190" i="141"/>
  <c r="E643" i="141" s="1"/>
  <c r="BK91" i="127" s="1"/>
  <c r="L188" i="141"/>
  <c r="K188" i="141"/>
  <c r="J188" i="141"/>
  <c r="I188" i="141"/>
  <c r="H188" i="141"/>
  <c r="G188" i="141"/>
  <c r="F188" i="141"/>
  <c r="E188" i="141"/>
  <c r="L187" i="141"/>
  <c r="K187" i="141"/>
  <c r="J187" i="141"/>
  <c r="I187" i="141"/>
  <c r="H187" i="141"/>
  <c r="G187" i="141"/>
  <c r="F187" i="141"/>
  <c r="E187" i="141"/>
  <c r="L186" i="141"/>
  <c r="K186" i="141"/>
  <c r="J186" i="141"/>
  <c r="I186" i="141"/>
  <c r="H186" i="141"/>
  <c r="G186" i="141"/>
  <c r="F186" i="141"/>
  <c r="E186" i="141"/>
  <c r="L185" i="141"/>
  <c r="K185" i="141"/>
  <c r="J185" i="141"/>
  <c r="I185" i="141"/>
  <c r="H185" i="141"/>
  <c r="G185" i="141"/>
  <c r="F185" i="141"/>
  <c r="E185" i="141"/>
  <c r="L184" i="141"/>
  <c r="K184" i="141"/>
  <c r="J184" i="141"/>
  <c r="I184" i="141"/>
  <c r="H184" i="141"/>
  <c r="G184" i="141"/>
  <c r="F184" i="141"/>
  <c r="E184" i="141"/>
  <c r="L183" i="141"/>
  <c r="K183" i="141"/>
  <c r="J183" i="141"/>
  <c r="I183" i="141"/>
  <c r="H183" i="141"/>
  <c r="G183" i="141"/>
  <c r="F183" i="141"/>
  <c r="E183" i="141"/>
  <c r="L182" i="141"/>
  <c r="K182" i="141"/>
  <c r="J182" i="141"/>
  <c r="I182" i="141"/>
  <c r="H182" i="141"/>
  <c r="G182" i="141"/>
  <c r="F182" i="141"/>
  <c r="E182" i="141"/>
  <c r="L181" i="141"/>
  <c r="K181" i="141"/>
  <c r="J181" i="141"/>
  <c r="I181" i="141"/>
  <c r="H181" i="141"/>
  <c r="G181" i="141"/>
  <c r="F181" i="141"/>
  <c r="E181" i="141"/>
  <c r="L180" i="141"/>
  <c r="K180" i="141"/>
  <c r="J180" i="141"/>
  <c r="I180" i="141"/>
  <c r="H180" i="141"/>
  <c r="G180" i="141"/>
  <c r="F180" i="141"/>
  <c r="E180" i="141"/>
  <c r="L179" i="141"/>
  <c r="K179" i="141"/>
  <c r="J179" i="141"/>
  <c r="I179" i="141"/>
  <c r="H179" i="141"/>
  <c r="G179" i="141"/>
  <c r="F179" i="141"/>
  <c r="E179" i="141"/>
  <c r="L178" i="141"/>
  <c r="K178" i="141"/>
  <c r="J178" i="141"/>
  <c r="I178" i="141"/>
  <c r="H178" i="141"/>
  <c r="G178" i="141"/>
  <c r="F178" i="141"/>
  <c r="E178" i="141"/>
  <c r="L177" i="141"/>
  <c r="K177" i="141"/>
  <c r="J177" i="141"/>
  <c r="I177" i="141"/>
  <c r="H177" i="141"/>
  <c r="G177" i="141"/>
  <c r="F177" i="141"/>
  <c r="E177" i="141"/>
  <c r="L175" i="141"/>
  <c r="K175" i="141"/>
  <c r="J175" i="141"/>
  <c r="I175" i="141"/>
  <c r="H175" i="141"/>
  <c r="G175" i="141"/>
  <c r="F175" i="141"/>
  <c r="E175" i="141"/>
  <c r="L174" i="141"/>
  <c r="K174" i="141"/>
  <c r="J174" i="141"/>
  <c r="I174" i="141"/>
  <c r="H174" i="141"/>
  <c r="G174" i="141"/>
  <c r="F174" i="141"/>
  <c r="E174" i="141"/>
  <c r="L173" i="141"/>
  <c r="K173" i="141"/>
  <c r="J173" i="141"/>
  <c r="I173" i="141"/>
  <c r="H173" i="141"/>
  <c r="G173" i="141"/>
  <c r="F173" i="141"/>
  <c r="E173" i="141"/>
  <c r="L172" i="141"/>
  <c r="K172" i="141"/>
  <c r="J172" i="141"/>
  <c r="I172" i="141"/>
  <c r="H172" i="141"/>
  <c r="G172" i="141"/>
  <c r="F172" i="141"/>
  <c r="E172" i="141"/>
  <c r="L171" i="141"/>
  <c r="K171" i="141"/>
  <c r="J171" i="141"/>
  <c r="I171" i="141"/>
  <c r="H171" i="141"/>
  <c r="G171" i="141"/>
  <c r="F171" i="141"/>
  <c r="E171" i="141"/>
  <c r="L170" i="141"/>
  <c r="K170" i="141"/>
  <c r="J170" i="141"/>
  <c r="I170" i="141"/>
  <c r="H170" i="141"/>
  <c r="G170" i="141"/>
  <c r="F170" i="141"/>
  <c r="E170" i="141"/>
  <c r="L169" i="141"/>
  <c r="K169" i="141"/>
  <c r="J169" i="141"/>
  <c r="I169" i="141"/>
  <c r="H169" i="141"/>
  <c r="G169" i="141"/>
  <c r="F169" i="141"/>
  <c r="E169" i="141"/>
  <c r="L168" i="141"/>
  <c r="K168" i="141"/>
  <c r="J168" i="141"/>
  <c r="I168" i="141"/>
  <c r="H168" i="141"/>
  <c r="G168" i="141"/>
  <c r="F168" i="141"/>
  <c r="E168" i="141"/>
  <c r="L167" i="141"/>
  <c r="K167" i="141"/>
  <c r="J167" i="141"/>
  <c r="I167" i="141"/>
  <c r="H167" i="141"/>
  <c r="G167" i="141"/>
  <c r="F167" i="141"/>
  <c r="E167" i="141"/>
  <c r="L166" i="141"/>
  <c r="K166" i="141"/>
  <c r="J166" i="141"/>
  <c r="I166" i="141"/>
  <c r="H166" i="141"/>
  <c r="G166" i="141"/>
  <c r="F166" i="141"/>
  <c r="E166" i="141"/>
  <c r="L165" i="141"/>
  <c r="K165" i="141"/>
  <c r="J165" i="141"/>
  <c r="I165" i="141"/>
  <c r="H165" i="141"/>
  <c r="G165" i="141"/>
  <c r="F165" i="141"/>
  <c r="E165" i="141"/>
  <c r="L164" i="141"/>
  <c r="K164" i="141"/>
  <c r="J164" i="141"/>
  <c r="I164" i="141"/>
  <c r="H164" i="141"/>
  <c r="G164" i="141"/>
  <c r="F164" i="141"/>
  <c r="E164" i="141"/>
  <c r="L163" i="141"/>
  <c r="K163" i="141"/>
  <c r="J163" i="141"/>
  <c r="I163" i="141"/>
  <c r="H163" i="141"/>
  <c r="G163" i="141"/>
  <c r="F163" i="141"/>
  <c r="E163" i="141"/>
  <c r="L162" i="141"/>
  <c r="K162" i="141"/>
  <c r="J162" i="141"/>
  <c r="I162" i="141"/>
  <c r="H162" i="141"/>
  <c r="G162" i="141"/>
  <c r="F162" i="141"/>
  <c r="E162" i="141"/>
  <c r="L160" i="141"/>
  <c r="K160" i="141"/>
  <c r="J160" i="141"/>
  <c r="I160" i="141"/>
  <c r="H160" i="141"/>
  <c r="G160" i="141"/>
  <c r="F160" i="141"/>
  <c r="E160" i="141"/>
  <c r="L159" i="141"/>
  <c r="K159" i="141"/>
  <c r="J159" i="141"/>
  <c r="I159" i="141"/>
  <c r="H159" i="141"/>
  <c r="G159" i="141"/>
  <c r="F159" i="141"/>
  <c r="E159" i="141"/>
  <c r="L158" i="141"/>
  <c r="K158" i="141"/>
  <c r="J158" i="141"/>
  <c r="I158" i="141"/>
  <c r="H158" i="141"/>
  <c r="G158" i="141"/>
  <c r="F158" i="141"/>
  <c r="E158" i="141"/>
  <c r="L157" i="141"/>
  <c r="K157" i="141"/>
  <c r="J157" i="141"/>
  <c r="I157" i="141"/>
  <c r="H157" i="141"/>
  <c r="G157" i="141"/>
  <c r="F157" i="141"/>
  <c r="E157" i="141"/>
  <c r="L156" i="141"/>
  <c r="K156" i="141"/>
  <c r="J156" i="141"/>
  <c r="I156" i="141"/>
  <c r="H156" i="141"/>
  <c r="G156" i="141"/>
  <c r="F156" i="141"/>
  <c r="E156" i="141"/>
  <c r="L155" i="141"/>
  <c r="K155" i="141"/>
  <c r="J155" i="141"/>
  <c r="I155" i="141"/>
  <c r="H155" i="141"/>
  <c r="G155" i="141"/>
  <c r="F155" i="141"/>
  <c r="E155" i="141"/>
  <c r="L154" i="141"/>
  <c r="K154" i="141"/>
  <c r="J154" i="141"/>
  <c r="I154" i="141"/>
  <c r="H154" i="141"/>
  <c r="G154" i="141"/>
  <c r="F154" i="141"/>
  <c r="E154" i="141"/>
  <c r="L153" i="141"/>
  <c r="K153" i="141"/>
  <c r="J153" i="141"/>
  <c r="I153" i="141"/>
  <c r="H153" i="141"/>
  <c r="G153" i="141"/>
  <c r="F153" i="141"/>
  <c r="E153" i="141"/>
  <c r="L152" i="141"/>
  <c r="K152" i="141"/>
  <c r="J152" i="141"/>
  <c r="I152" i="141"/>
  <c r="H152" i="141"/>
  <c r="G152" i="141"/>
  <c r="F152" i="141"/>
  <c r="E152" i="141"/>
  <c r="L151" i="141"/>
  <c r="K151" i="141"/>
  <c r="J151" i="141"/>
  <c r="I151" i="141"/>
  <c r="H151" i="141"/>
  <c r="G151" i="141"/>
  <c r="F151" i="141"/>
  <c r="E151" i="141"/>
  <c r="L150" i="141"/>
  <c r="K150" i="141"/>
  <c r="J150" i="141"/>
  <c r="I150" i="141"/>
  <c r="H150" i="141"/>
  <c r="G150" i="141"/>
  <c r="F150" i="141"/>
  <c r="E150" i="141"/>
  <c r="L149" i="141"/>
  <c r="K149" i="141"/>
  <c r="J149" i="141"/>
  <c r="I149" i="141"/>
  <c r="H149" i="141"/>
  <c r="G149" i="141"/>
  <c r="F149" i="141"/>
  <c r="E149" i="141"/>
  <c r="L148" i="141"/>
  <c r="K148" i="141"/>
  <c r="J148" i="141"/>
  <c r="I148" i="141"/>
  <c r="H148" i="141"/>
  <c r="G148" i="141"/>
  <c r="F148" i="141"/>
  <c r="E148" i="141"/>
  <c r="L147" i="141"/>
  <c r="K147" i="141"/>
  <c r="J147" i="141"/>
  <c r="I147" i="141"/>
  <c r="H147" i="141"/>
  <c r="G147" i="141"/>
  <c r="F147" i="141"/>
  <c r="E147" i="141"/>
  <c r="L145" i="141"/>
  <c r="K145" i="141"/>
  <c r="J145" i="141"/>
  <c r="I145" i="141"/>
  <c r="H145" i="141"/>
  <c r="G145" i="141"/>
  <c r="F145" i="141"/>
  <c r="E145" i="141"/>
  <c r="L144" i="141"/>
  <c r="K144" i="141"/>
  <c r="J144" i="141"/>
  <c r="I144" i="141"/>
  <c r="H144" i="141"/>
  <c r="G144" i="141"/>
  <c r="F144" i="141"/>
  <c r="E144" i="141"/>
  <c r="L143" i="141"/>
  <c r="K143" i="141"/>
  <c r="J143" i="141"/>
  <c r="I143" i="141"/>
  <c r="H143" i="141"/>
  <c r="G143" i="141"/>
  <c r="F143" i="141"/>
  <c r="E143" i="141"/>
  <c r="L142" i="141"/>
  <c r="K142" i="141"/>
  <c r="J142" i="141"/>
  <c r="I142" i="141"/>
  <c r="H142" i="141"/>
  <c r="G142" i="141"/>
  <c r="F142" i="141"/>
  <c r="E142" i="141"/>
  <c r="L141" i="141"/>
  <c r="K141" i="141"/>
  <c r="J141" i="141"/>
  <c r="I141" i="141"/>
  <c r="H141" i="141"/>
  <c r="G141" i="141"/>
  <c r="F141" i="141"/>
  <c r="E141" i="141"/>
  <c r="L140" i="141"/>
  <c r="K140" i="141"/>
  <c r="J140" i="141"/>
  <c r="I140" i="141"/>
  <c r="H140" i="141"/>
  <c r="G140" i="141"/>
  <c r="F140" i="141"/>
  <c r="E140" i="141"/>
  <c r="L139" i="141"/>
  <c r="K139" i="141"/>
  <c r="J139" i="141"/>
  <c r="I139" i="141"/>
  <c r="H139" i="141"/>
  <c r="G139" i="141"/>
  <c r="F139" i="141"/>
  <c r="E139" i="141"/>
  <c r="L138" i="141"/>
  <c r="K138" i="141"/>
  <c r="J138" i="141"/>
  <c r="I138" i="141"/>
  <c r="H138" i="141"/>
  <c r="G138" i="141"/>
  <c r="F138" i="141"/>
  <c r="E138" i="141"/>
  <c r="L137" i="141"/>
  <c r="K137" i="141"/>
  <c r="J137" i="141"/>
  <c r="I137" i="141"/>
  <c r="H137" i="141"/>
  <c r="G137" i="141"/>
  <c r="F137" i="141"/>
  <c r="E137" i="141"/>
  <c r="L136" i="141"/>
  <c r="K136" i="141"/>
  <c r="J136" i="141"/>
  <c r="I136" i="141"/>
  <c r="H136" i="141"/>
  <c r="G136" i="141"/>
  <c r="F136" i="141"/>
  <c r="E136" i="141"/>
  <c r="L135" i="141"/>
  <c r="K135" i="141"/>
  <c r="J135" i="141"/>
  <c r="I135" i="141"/>
  <c r="H135" i="141"/>
  <c r="G135" i="141"/>
  <c r="F135" i="141"/>
  <c r="E135" i="141"/>
  <c r="L134" i="141"/>
  <c r="K134" i="141"/>
  <c r="J134" i="141"/>
  <c r="I134" i="141"/>
  <c r="H134" i="141"/>
  <c r="G134" i="141"/>
  <c r="F134" i="141"/>
  <c r="E134" i="141"/>
  <c r="L133" i="141"/>
  <c r="K133" i="141"/>
  <c r="J133" i="141"/>
  <c r="I133" i="141"/>
  <c r="H133" i="141"/>
  <c r="G133" i="141"/>
  <c r="F133" i="141"/>
  <c r="E133" i="141"/>
  <c r="L132" i="141"/>
  <c r="K132" i="141"/>
  <c r="J132" i="141"/>
  <c r="I132" i="141"/>
  <c r="H132" i="141"/>
  <c r="G132" i="141"/>
  <c r="F132" i="141"/>
  <c r="E132" i="141"/>
  <c r="L130" i="141"/>
  <c r="K130" i="141"/>
  <c r="J130" i="141"/>
  <c r="I130" i="141"/>
  <c r="H130" i="141"/>
  <c r="G130" i="141"/>
  <c r="F130" i="141"/>
  <c r="E130" i="141"/>
  <c r="L129" i="141"/>
  <c r="K129" i="141"/>
  <c r="J129" i="141"/>
  <c r="I129" i="141"/>
  <c r="H129" i="141"/>
  <c r="G129" i="141"/>
  <c r="F129" i="141"/>
  <c r="E129" i="141"/>
  <c r="L128" i="141"/>
  <c r="K128" i="141"/>
  <c r="J128" i="141"/>
  <c r="I128" i="141"/>
  <c r="H128" i="141"/>
  <c r="G128" i="141"/>
  <c r="F128" i="141"/>
  <c r="E128" i="141"/>
  <c r="L127" i="141"/>
  <c r="K127" i="141"/>
  <c r="J127" i="141"/>
  <c r="I127" i="141"/>
  <c r="H127" i="141"/>
  <c r="G127" i="141"/>
  <c r="F127" i="141"/>
  <c r="E127" i="141"/>
  <c r="L126" i="141"/>
  <c r="K126" i="141"/>
  <c r="J126" i="141"/>
  <c r="I126" i="141"/>
  <c r="H126" i="141"/>
  <c r="G126" i="141"/>
  <c r="F126" i="141"/>
  <c r="E126" i="141"/>
  <c r="L125" i="141"/>
  <c r="K125" i="141"/>
  <c r="J125" i="141"/>
  <c r="I125" i="141"/>
  <c r="H125" i="141"/>
  <c r="G125" i="141"/>
  <c r="F125" i="141"/>
  <c r="E125" i="141"/>
  <c r="L124" i="141"/>
  <c r="K124" i="141"/>
  <c r="J124" i="141"/>
  <c r="I124" i="141"/>
  <c r="H124" i="141"/>
  <c r="G124" i="141"/>
  <c r="F124" i="141"/>
  <c r="E124" i="141"/>
  <c r="L123" i="141"/>
  <c r="K123" i="141"/>
  <c r="J123" i="141"/>
  <c r="I123" i="141"/>
  <c r="H123" i="141"/>
  <c r="G123" i="141"/>
  <c r="F123" i="141"/>
  <c r="E123" i="141"/>
  <c r="L122" i="141"/>
  <c r="K122" i="141"/>
  <c r="J122" i="141"/>
  <c r="I122" i="141"/>
  <c r="H122" i="141"/>
  <c r="G122" i="141"/>
  <c r="F122" i="141"/>
  <c r="E122" i="141"/>
  <c r="L121" i="141"/>
  <c r="K121" i="141"/>
  <c r="J121" i="141"/>
  <c r="I121" i="141"/>
  <c r="H121" i="141"/>
  <c r="G121" i="141"/>
  <c r="F121" i="141"/>
  <c r="E121" i="141"/>
  <c r="L119" i="141"/>
  <c r="K119" i="141"/>
  <c r="J119" i="141"/>
  <c r="I119" i="141"/>
  <c r="H119" i="141"/>
  <c r="G119" i="141"/>
  <c r="F119" i="141"/>
  <c r="E119" i="141"/>
  <c r="L118" i="141"/>
  <c r="K118" i="141"/>
  <c r="J118" i="141"/>
  <c r="I118" i="141"/>
  <c r="H118" i="141"/>
  <c r="G118" i="141"/>
  <c r="F118" i="141"/>
  <c r="E118" i="141"/>
  <c r="L117" i="141"/>
  <c r="K117" i="141"/>
  <c r="J117" i="141"/>
  <c r="I117" i="141"/>
  <c r="H117" i="141"/>
  <c r="G117" i="141"/>
  <c r="F117" i="141"/>
  <c r="E117" i="141"/>
  <c r="L116" i="141"/>
  <c r="K116" i="141"/>
  <c r="J116" i="141"/>
  <c r="I116" i="141"/>
  <c r="H116" i="141"/>
  <c r="G116" i="141"/>
  <c r="F116" i="141"/>
  <c r="E116" i="141"/>
  <c r="L115" i="141"/>
  <c r="K115" i="141"/>
  <c r="J115" i="141"/>
  <c r="I115" i="141"/>
  <c r="H115" i="141"/>
  <c r="G115" i="141"/>
  <c r="F115" i="141"/>
  <c r="E115" i="141"/>
  <c r="L114" i="141"/>
  <c r="K114" i="141"/>
  <c r="J114" i="141"/>
  <c r="I114" i="141"/>
  <c r="H114" i="141"/>
  <c r="G114" i="141"/>
  <c r="F114" i="141"/>
  <c r="E114" i="141"/>
  <c r="L113" i="141"/>
  <c r="K113" i="141"/>
  <c r="J113" i="141"/>
  <c r="I113" i="141"/>
  <c r="H113" i="141"/>
  <c r="G113" i="141"/>
  <c r="F113" i="141"/>
  <c r="E113" i="141"/>
  <c r="L112" i="141"/>
  <c r="K112" i="141"/>
  <c r="J112" i="141"/>
  <c r="I112" i="141"/>
  <c r="H112" i="141"/>
  <c r="G112" i="141"/>
  <c r="F112" i="141"/>
  <c r="E112" i="141"/>
  <c r="L111" i="141"/>
  <c r="K111" i="141"/>
  <c r="J111" i="141"/>
  <c r="I111" i="141"/>
  <c r="H111" i="141"/>
  <c r="G111" i="141"/>
  <c r="F111" i="141"/>
  <c r="E111" i="141"/>
  <c r="L110" i="141"/>
  <c r="K110" i="141"/>
  <c r="J110" i="141"/>
  <c r="I110" i="141"/>
  <c r="H110" i="141"/>
  <c r="G110" i="141"/>
  <c r="F110" i="141"/>
  <c r="E110" i="141"/>
  <c r="L108" i="141"/>
  <c r="K108" i="141"/>
  <c r="J108" i="141"/>
  <c r="I108" i="141"/>
  <c r="H108" i="141"/>
  <c r="G108" i="141"/>
  <c r="F108" i="141"/>
  <c r="E108" i="141"/>
  <c r="L107" i="141"/>
  <c r="K107" i="141"/>
  <c r="J107" i="141"/>
  <c r="I107" i="141"/>
  <c r="H107" i="141"/>
  <c r="G107" i="141"/>
  <c r="F107" i="141"/>
  <c r="E107" i="141"/>
  <c r="L106" i="141"/>
  <c r="K106" i="141"/>
  <c r="J106" i="141"/>
  <c r="I106" i="141"/>
  <c r="H106" i="141"/>
  <c r="G106" i="141"/>
  <c r="F106" i="141"/>
  <c r="E106" i="141"/>
  <c r="L105" i="141"/>
  <c r="K105" i="141"/>
  <c r="J105" i="141"/>
  <c r="I105" i="141"/>
  <c r="H105" i="141"/>
  <c r="G105" i="141"/>
  <c r="F105" i="141"/>
  <c r="E105" i="141"/>
  <c r="L104" i="141"/>
  <c r="K104" i="141"/>
  <c r="J104" i="141"/>
  <c r="I104" i="141"/>
  <c r="H104" i="141"/>
  <c r="G104" i="141"/>
  <c r="F104" i="141"/>
  <c r="E104" i="141"/>
  <c r="L103" i="141"/>
  <c r="K103" i="141"/>
  <c r="J103" i="141"/>
  <c r="I103" i="141"/>
  <c r="H103" i="141"/>
  <c r="G103" i="141"/>
  <c r="F103" i="141"/>
  <c r="E103" i="141"/>
  <c r="L102" i="141"/>
  <c r="K102" i="141"/>
  <c r="J102" i="141"/>
  <c r="I102" i="141"/>
  <c r="H102" i="141"/>
  <c r="G102" i="141"/>
  <c r="F102" i="141"/>
  <c r="E102" i="141"/>
  <c r="L101" i="141"/>
  <c r="K101" i="141"/>
  <c r="J101" i="141"/>
  <c r="I101" i="141"/>
  <c r="H101" i="141"/>
  <c r="G101" i="141"/>
  <c r="F101" i="141"/>
  <c r="E101" i="141"/>
  <c r="L100" i="141"/>
  <c r="K100" i="141"/>
  <c r="J100" i="141"/>
  <c r="I100" i="141"/>
  <c r="H100" i="141"/>
  <c r="G100" i="141"/>
  <c r="F100" i="141"/>
  <c r="E100" i="141"/>
  <c r="L99" i="141"/>
  <c r="L649" i="141" s="1"/>
  <c r="L653" i="141" s="1"/>
  <c r="K99" i="141"/>
  <c r="J99" i="141"/>
  <c r="I99" i="141"/>
  <c r="H99" i="141"/>
  <c r="G99" i="141"/>
  <c r="F99" i="141"/>
  <c r="E99" i="141"/>
  <c r="L97" i="141"/>
  <c r="K97" i="141"/>
  <c r="J97" i="141"/>
  <c r="I97" i="141"/>
  <c r="H97" i="141"/>
  <c r="G97" i="141"/>
  <c r="F97" i="141"/>
  <c r="E97" i="141"/>
  <c r="L96" i="141"/>
  <c r="K96" i="141"/>
  <c r="J96" i="141"/>
  <c r="I96" i="141"/>
  <c r="H96" i="141"/>
  <c r="G96" i="141"/>
  <c r="F96" i="141"/>
  <c r="E96" i="141"/>
  <c r="L95" i="141"/>
  <c r="K95" i="141"/>
  <c r="J95" i="141"/>
  <c r="I95" i="141"/>
  <c r="H95" i="141"/>
  <c r="G95" i="141"/>
  <c r="F95" i="141"/>
  <c r="E95" i="141"/>
  <c r="L94" i="141"/>
  <c r="K94" i="141"/>
  <c r="J94" i="141"/>
  <c r="I94" i="141"/>
  <c r="H94" i="141"/>
  <c r="G94" i="141"/>
  <c r="F94" i="141"/>
  <c r="E94" i="141"/>
  <c r="L93" i="141"/>
  <c r="K93" i="141"/>
  <c r="J93" i="141"/>
  <c r="I93" i="141"/>
  <c r="H93" i="141"/>
  <c r="G93" i="141"/>
  <c r="F93" i="141"/>
  <c r="E93" i="141"/>
  <c r="L92" i="141"/>
  <c r="K92" i="141"/>
  <c r="J92" i="141"/>
  <c r="I92" i="141"/>
  <c r="H92" i="141"/>
  <c r="G92" i="141"/>
  <c r="F92" i="141"/>
  <c r="E92" i="141"/>
  <c r="L91" i="141"/>
  <c r="K91" i="141"/>
  <c r="J91" i="141"/>
  <c r="I91" i="141"/>
  <c r="H91" i="141"/>
  <c r="G91" i="141"/>
  <c r="F91" i="141"/>
  <c r="E91" i="141"/>
  <c r="L90" i="141"/>
  <c r="K90" i="141"/>
  <c r="J90" i="141"/>
  <c r="I90" i="141"/>
  <c r="H90" i="141"/>
  <c r="G90" i="141"/>
  <c r="F90" i="141"/>
  <c r="E90" i="141"/>
  <c r="L89" i="141"/>
  <c r="K89" i="141"/>
  <c r="J89" i="141"/>
  <c r="I89" i="141"/>
  <c r="H89" i="141"/>
  <c r="G89" i="141"/>
  <c r="F89" i="141"/>
  <c r="E89" i="141"/>
  <c r="L88" i="141"/>
  <c r="K88" i="141"/>
  <c r="J88" i="141"/>
  <c r="I88" i="141"/>
  <c r="H88" i="141"/>
  <c r="G88" i="141"/>
  <c r="F88" i="141"/>
  <c r="E88" i="141"/>
  <c r="Y99" i="141"/>
  <c r="X99" i="141"/>
  <c r="W99" i="141"/>
  <c r="V99" i="141"/>
  <c r="U99" i="141"/>
  <c r="T99" i="141"/>
  <c r="S99" i="141"/>
  <c r="R99" i="141"/>
  <c r="Y98" i="141"/>
  <c r="Y100" i="141" s="1"/>
  <c r="X98" i="141"/>
  <c r="W98" i="141"/>
  <c r="V98" i="141"/>
  <c r="V100" i="141" s="1"/>
  <c r="U98" i="141"/>
  <c r="U100" i="141" s="1"/>
  <c r="T98" i="141"/>
  <c r="S98" i="141"/>
  <c r="R98" i="141"/>
  <c r="R100" i="141" s="1"/>
  <c r="L82" i="141"/>
  <c r="K82" i="141"/>
  <c r="J82" i="141"/>
  <c r="I82" i="141"/>
  <c r="H82" i="141"/>
  <c r="G82" i="141"/>
  <c r="F82" i="141"/>
  <c r="E82" i="141"/>
  <c r="L81" i="141"/>
  <c r="K81" i="141"/>
  <c r="J81" i="141"/>
  <c r="I81" i="141"/>
  <c r="H81" i="141"/>
  <c r="G81" i="141"/>
  <c r="F81" i="141"/>
  <c r="E81" i="141"/>
  <c r="L80" i="141"/>
  <c r="K80" i="141"/>
  <c r="J80" i="141"/>
  <c r="I80" i="141"/>
  <c r="H80" i="141"/>
  <c r="G80" i="141"/>
  <c r="F80" i="141"/>
  <c r="E80" i="141"/>
  <c r="Y92" i="141"/>
  <c r="X92" i="141"/>
  <c r="W92" i="141"/>
  <c r="V92" i="141"/>
  <c r="U92" i="141"/>
  <c r="T92" i="141"/>
  <c r="S92" i="141"/>
  <c r="R92" i="141"/>
  <c r="L79" i="141"/>
  <c r="K79" i="141"/>
  <c r="J79" i="141"/>
  <c r="I79" i="141"/>
  <c r="H79" i="141"/>
  <c r="G79" i="141"/>
  <c r="F79" i="141"/>
  <c r="E79" i="141"/>
  <c r="Y91" i="141"/>
  <c r="X91" i="141"/>
  <c r="X93" i="141" s="1"/>
  <c r="W91" i="141"/>
  <c r="V91" i="141"/>
  <c r="U91" i="141"/>
  <c r="T91" i="141"/>
  <c r="S91" i="141"/>
  <c r="R91" i="141"/>
  <c r="L78" i="141"/>
  <c r="K78" i="141"/>
  <c r="J78" i="141"/>
  <c r="I78" i="141"/>
  <c r="H78" i="141"/>
  <c r="G78" i="141"/>
  <c r="F78" i="141"/>
  <c r="E78" i="141"/>
  <c r="L77" i="141"/>
  <c r="K77" i="141"/>
  <c r="J77" i="141"/>
  <c r="I77" i="141"/>
  <c r="H77" i="141"/>
  <c r="G77" i="141"/>
  <c r="F77" i="141"/>
  <c r="E77" i="141"/>
  <c r="L76" i="141"/>
  <c r="K76" i="141"/>
  <c r="J76" i="141"/>
  <c r="I76" i="141"/>
  <c r="H76" i="141"/>
  <c r="G76" i="141"/>
  <c r="F76" i="141"/>
  <c r="E76" i="141"/>
  <c r="L74" i="141"/>
  <c r="K74" i="141"/>
  <c r="J74" i="141"/>
  <c r="I74" i="141"/>
  <c r="H74" i="141"/>
  <c r="G74" i="141"/>
  <c r="F74" i="141"/>
  <c r="E74" i="141"/>
  <c r="L73" i="141"/>
  <c r="K73" i="141"/>
  <c r="J73" i="141"/>
  <c r="I73" i="141"/>
  <c r="H73" i="141"/>
  <c r="G73" i="141"/>
  <c r="F73" i="141"/>
  <c r="E73" i="141"/>
  <c r="Y78" i="141"/>
  <c r="Y81" i="141" s="1"/>
  <c r="BR89" i="127" s="1"/>
  <c r="X78" i="141"/>
  <c r="X81" i="141" s="1"/>
  <c r="BQ89" i="127" s="1"/>
  <c r="W78" i="141"/>
  <c r="W81" i="141" s="1"/>
  <c r="BP89" i="127" s="1"/>
  <c r="V78" i="141"/>
  <c r="V81" i="141" s="1"/>
  <c r="BO89" i="127" s="1"/>
  <c r="U78" i="141"/>
  <c r="U81" i="141" s="1"/>
  <c r="BN89" i="127" s="1"/>
  <c r="T78" i="141"/>
  <c r="T81" i="141" s="1"/>
  <c r="BM89" i="127" s="1"/>
  <c r="S78" i="141"/>
  <c r="S81" i="141" s="1"/>
  <c r="BL89" i="127" s="1"/>
  <c r="R78" i="141"/>
  <c r="R81" i="141" s="1"/>
  <c r="BK89" i="127" s="1"/>
  <c r="L72" i="141"/>
  <c r="K72" i="141"/>
  <c r="J72" i="141"/>
  <c r="I72" i="141"/>
  <c r="H72" i="141"/>
  <c r="G72" i="141"/>
  <c r="F72" i="141"/>
  <c r="E72" i="141"/>
  <c r="Y77" i="141"/>
  <c r="X77" i="141"/>
  <c r="W77" i="141"/>
  <c r="V77" i="141"/>
  <c r="U77" i="141"/>
  <c r="T77" i="141"/>
  <c r="S77" i="141"/>
  <c r="R77" i="141"/>
  <c r="L71" i="141"/>
  <c r="K71" i="141"/>
  <c r="J71" i="141"/>
  <c r="I71" i="141"/>
  <c r="H71" i="141"/>
  <c r="G71" i="141"/>
  <c r="F71" i="141"/>
  <c r="E71" i="141"/>
  <c r="Y76" i="141"/>
  <c r="X76" i="141"/>
  <c r="W76" i="141"/>
  <c r="V76" i="141"/>
  <c r="U76" i="141"/>
  <c r="T76" i="141"/>
  <c r="S76" i="141"/>
  <c r="R76" i="141"/>
  <c r="L70" i="141"/>
  <c r="K70" i="141"/>
  <c r="J70" i="141"/>
  <c r="I70" i="141"/>
  <c r="H70" i="141"/>
  <c r="G70" i="141"/>
  <c r="F70" i="141"/>
  <c r="E70" i="141"/>
  <c r="Y75" i="141"/>
  <c r="X75" i="141"/>
  <c r="W75" i="141"/>
  <c r="V75" i="141"/>
  <c r="U75" i="141"/>
  <c r="T75" i="141"/>
  <c r="S75" i="141"/>
  <c r="L69" i="141"/>
  <c r="K69" i="141"/>
  <c r="J69" i="141"/>
  <c r="I69" i="141"/>
  <c r="H69" i="141"/>
  <c r="G69" i="141"/>
  <c r="F69" i="141"/>
  <c r="E69" i="141"/>
  <c r="L68" i="141"/>
  <c r="K68" i="141"/>
  <c r="J68" i="141"/>
  <c r="I68" i="141"/>
  <c r="H68" i="141"/>
  <c r="G68" i="141"/>
  <c r="F68" i="141"/>
  <c r="E68" i="141"/>
  <c r="Y72" i="141"/>
  <c r="X72" i="141"/>
  <c r="W72" i="141"/>
  <c r="V72" i="141"/>
  <c r="U72" i="141"/>
  <c r="T72" i="141"/>
  <c r="S72" i="141"/>
  <c r="R72" i="141"/>
  <c r="Y71" i="141"/>
  <c r="X71" i="141"/>
  <c r="W71" i="141"/>
  <c r="V71" i="141"/>
  <c r="U71" i="141"/>
  <c r="T71" i="141"/>
  <c r="S71" i="141"/>
  <c r="R71" i="141"/>
  <c r="Y70" i="141"/>
  <c r="X70" i="141"/>
  <c r="W70" i="141"/>
  <c r="V70" i="141"/>
  <c r="U70" i="141"/>
  <c r="T70" i="141"/>
  <c r="S70" i="141"/>
  <c r="R70" i="141"/>
  <c r="L64" i="141"/>
  <c r="K64" i="141"/>
  <c r="J64" i="141"/>
  <c r="I64" i="141"/>
  <c r="H64" i="141"/>
  <c r="G64" i="141"/>
  <c r="F64" i="141"/>
  <c r="E64" i="141"/>
  <c r="L63" i="141"/>
  <c r="K63" i="141"/>
  <c r="J63" i="141"/>
  <c r="I63" i="141"/>
  <c r="H63" i="141"/>
  <c r="G63" i="141"/>
  <c r="F63" i="141"/>
  <c r="E63" i="141"/>
  <c r="L62" i="141"/>
  <c r="K62" i="141"/>
  <c r="J62" i="141"/>
  <c r="I62" i="141"/>
  <c r="H62" i="141"/>
  <c r="G62" i="141"/>
  <c r="F62" i="141"/>
  <c r="E62" i="141"/>
  <c r="Y67" i="141"/>
  <c r="X67" i="141"/>
  <c r="W67" i="141"/>
  <c r="V67" i="141"/>
  <c r="U67" i="141"/>
  <c r="T67" i="141"/>
  <c r="S67" i="141"/>
  <c r="R67" i="141"/>
  <c r="L61" i="141"/>
  <c r="K61" i="141"/>
  <c r="J61" i="141"/>
  <c r="I61" i="141"/>
  <c r="H61" i="141"/>
  <c r="G61" i="141"/>
  <c r="F61" i="141"/>
  <c r="E61" i="141"/>
  <c r="Y66" i="141"/>
  <c r="X66" i="141"/>
  <c r="W66" i="141"/>
  <c r="V66" i="141"/>
  <c r="U66" i="141"/>
  <c r="T66" i="141"/>
  <c r="S66" i="141"/>
  <c r="R66" i="141"/>
  <c r="L60" i="141"/>
  <c r="K60" i="141"/>
  <c r="J60" i="141"/>
  <c r="I60" i="141"/>
  <c r="H60" i="141"/>
  <c r="G60" i="141"/>
  <c r="F60" i="141"/>
  <c r="E60" i="141"/>
  <c r="Y65" i="141"/>
  <c r="X65" i="141"/>
  <c r="W65" i="141"/>
  <c r="V65" i="141"/>
  <c r="U65" i="141"/>
  <c r="T65" i="141"/>
  <c r="S65" i="141"/>
  <c r="R65" i="141"/>
  <c r="L59" i="141"/>
  <c r="K59" i="141"/>
  <c r="J59" i="141"/>
  <c r="I59" i="141"/>
  <c r="H59" i="141"/>
  <c r="G59" i="141"/>
  <c r="F59" i="141"/>
  <c r="E59" i="141"/>
  <c r="L58" i="141"/>
  <c r="K58" i="141"/>
  <c r="J58" i="141"/>
  <c r="I58" i="141"/>
  <c r="H58" i="141"/>
  <c r="G58" i="141"/>
  <c r="F58" i="141"/>
  <c r="E58" i="141"/>
  <c r="L56" i="141"/>
  <c r="K56" i="141"/>
  <c r="J56" i="141"/>
  <c r="I56" i="141"/>
  <c r="H56" i="141"/>
  <c r="G56" i="141"/>
  <c r="F56" i="141"/>
  <c r="E56" i="141"/>
  <c r="L55" i="141"/>
  <c r="K55" i="141"/>
  <c r="J55" i="141"/>
  <c r="I55" i="141"/>
  <c r="H55" i="141"/>
  <c r="G55" i="141"/>
  <c r="F55" i="141"/>
  <c r="E55" i="141"/>
  <c r="L54" i="141"/>
  <c r="K54" i="141"/>
  <c r="J54" i="141"/>
  <c r="I54" i="141"/>
  <c r="H54" i="141"/>
  <c r="G54" i="141"/>
  <c r="F54" i="141"/>
  <c r="E54" i="141"/>
  <c r="L53" i="141"/>
  <c r="K53" i="141"/>
  <c r="J53" i="141"/>
  <c r="I53" i="141"/>
  <c r="H53" i="141"/>
  <c r="G53" i="141"/>
  <c r="F53" i="141"/>
  <c r="E53" i="141"/>
  <c r="L52" i="141"/>
  <c r="K52" i="141"/>
  <c r="J52" i="141"/>
  <c r="I52" i="141"/>
  <c r="H52" i="141"/>
  <c r="G52" i="141"/>
  <c r="F52" i="141"/>
  <c r="E52" i="141"/>
  <c r="L51" i="141"/>
  <c r="K51" i="141"/>
  <c r="J51" i="141"/>
  <c r="I51" i="141"/>
  <c r="H51" i="141"/>
  <c r="G51" i="141"/>
  <c r="F51" i="141"/>
  <c r="E51" i="141"/>
  <c r="L50" i="141"/>
  <c r="K50" i="141"/>
  <c r="J50" i="141"/>
  <c r="I50" i="141"/>
  <c r="H50" i="141"/>
  <c r="G50" i="141"/>
  <c r="F50" i="141"/>
  <c r="E50" i="141"/>
  <c r="Y55" i="141"/>
  <c r="X55" i="141"/>
  <c r="W55" i="141"/>
  <c r="V55" i="141"/>
  <c r="U55" i="141"/>
  <c r="T55" i="141"/>
  <c r="S55" i="141"/>
  <c r="R55" i="141"/>
  <c r="Y54" i="141"/>
  <c r="X54" i="141"/>
  <c r="W54" i="141"/>
  <c r="V54" i="141"/>
  <c r="U54" i="141"/>
  <c r="T54" i="141"/>
  <c r="S54" i="141"/>
  <c r="R54" i="141"/>
  <c r="Y53" i="141"/>
  <c r="X53" i="141"/>
  <c r="W53" i="141"/>
  <c r="V53" i="141"/>
  <c r="U53" i="141"/>
  <c r="T53" i="141"/>
  <c r="S53" i="141"/>
  <c r="R53" i="141"/>
  <c r="Y52" i="141"/>
  <c r="X52" i="141"/>
  <c r="W52" i="141"/>
  <c r="V52" i="141"/>
  <c r="U52" i="141"/>
  <c r="T52" i="141"/>
  <c r="S52" i="141"/>
  <c r="R52" i="141"/>
  <c r="L45" i="141"/>
  <c r="K45" i="141"/>
  <c r="J45" i="141"/>
  <c r="I45" i="141"/>
  <c r="H45" i="141"/>
  <c r="G45" i="141"/>
  <c r="F45" i="141"/>
  <c r="E45" i="141"/>
  <c r="L44" i="141"/>
  <c r="K44" i="141"/>
  <c r="J44" i="141"/>
  <c r="I44" i="141"/>
  <c r="H44" i="141"/>
  <c r="G44" i="141"/>
  <c r="F44" i="141"/>
  <c r="E44" i="141"/>
  <c r="L43" i="141"/>
  <c r="K43" i="141"/>
  <c r="J43" i="141"/>
  <c r="I43" i="141"/>
  <c r="H43" i="141"/>
  <c r="G43" i="141"/>
  <c r="F43" i="141"/>
  <c r="E43" i="141"/>
  <c r="L42" i="141"/>
  <c r="K42" i="141"/>
  <c r="J42" i="141"/>
  <c r="I42" i="141"/>
  <c r="H42" i="141"/>
  <c r="G42" i="141"/>
  <c r="F42" i="141"/>
  <c r="E42" i="141"/>
  <c r="L41" i="141"/>
  <c r="K41" i="141"/>
  <c r="J41" i="141"/>
  <c r="I41" i="141"/>
  <c r="H41" i="141"/>
  <c r="G41" i="141"/>
  <c r="F41" i="141"/>
  <c r="E41" i="141"/>
  <c r="L40" i="141"/>
  <c r="K40" i="141"/>
  <c r="J40" i="141"/>
  <c r="I40" i="141"/>
  <c r="H40" i="141"/>
  <c r="G40" i="141"/>
  <c r="F40" i="141"/>
  <c r="E40" i="141"/>
  <c r="L39" i="141"/>
  <c r="K39" i="141"/>
  <c r="J39" i="141"/>
  <c r="I39" i="141"/>
  <c r="H39" i="141"/>
  <c r="G39" i="141"/>
  <c r="F39" i="141"/>
  <c r="E39" i="141"/>
  <c r="Y44" i="141"/>
  <c r="X44" i="141"/>
  <c r="W44" i="141"/>
  <c r="V44" i="141"/>
  <c r="U44" i="141"/>
  <c r="T44" i="141"/>
  <c r="S44" i="141"/>
  <c r="R44" i="141"/>
  <c r="L38" i="141"/>
  <c r="K38" i="141"/>
  <c r="J38" i="141"/>
  <c r="I38" i="141"/>
  <c r="H38" i="141"/>
  <c r="G38" i="141"/>
  <c r="F38" i="141"/>
  <c r="E38" i="141"/>
  <c r="Y43" i="141"/>
  <c r="X43" i="141"/>
  <c r="W43" i="141"/>
  <c r="V43" i="141"/>
  <c r="U43" i="141"/>
  <c r="T43" i="141"/>
  <c r="S43" i="141"/>
  <c r="R43" i="141"/>
  <c r="L37" i="141"/>
  <c r="K37" i="141"/>
  <c r="J37" i="141"/>
  <c r="I37" i="141"/>
  <c r="H37" i="141"/>
  <c r="G37" i="141"/>
  <c r="F37" i="141"/>
  <c r="E37" i="141"/>
  <c r="Y42" i="141"/>
  <c r="X42" i="141"/>
  <c r="W42" i="141"/>
  <c r="V42" i="141"/>
  <c r="U42" i="141"/>
  <c r="T42" i="141"/>
  <c r="S42" i="141"/>
  <c r="R42" i="141"/>
  <c r="Y41" i="141"/>
  <c r="X41" i="141"/>
  <c r="W41" i="141"/>
  <c r="V41" i="141"/>
  <c r="U41" i="141"/>
  <c r="T41" i="141"/>
  <c r="S41" i="141"/>
  <c r="R41" i="141"/>
  <c r="L35" i="141"/>
  <c r="K35" i="141"/>
  <c r="J35" i="141"/>
  <c r="I35" i="141"/>
  <c r="H35" i="141"/>
  <c r="G35" i="141"/>
  <c r="F35" i="141"/>
  <c r="E35" i="141"/>
  <c r="L34" i="141"/>
  <c r="K34" i="141"/>
  <c r="J34" i="141"/>
  <c r="I34" i="141"/>
  <c r="H34" i="141"/>
  <c r="G34" i="141"/>
  <c r="F34" i="141"/>
  <c r="E34" i="141"/>
  <c r="L33" i="141"/>
  <c r="K33" i="141"/>
  <c r="J33" i="141"/>
  <c r="I33" i="141"/>
  <c r="H33" i="141"/>
  <c r="G33" i="141"/>
  <c r="F33" i="141"/>
  <c r="E33" i="141"/>
  <c r="L32" i="141"/>
  <c r="K32" i="141"/>
  <c r="J32" i="141"/>
  <c r="I32" i="141"/>
  <c r="H32" i="141"/>
  <c r="G32" i="141"/>
  <c r="F32" i="141"/>
  <c r="E32" i="141"/>
  <c r="L31" i="141"/>
  <c r="K31" i="141"/>
  <c r="J31" i="141"/>
  <c r="I31" i="141"/>
  <c r="H31" i="141"/>
  <c r="G31" i="141"/>
  <c r="F31" i="141"/>
  <c r="E31" i="141"/>
  <c r="L30" i="141"/>
  <c r="K30" i="141"/>
  <c r="J30" i="141"/>
  <c r="I30" i="141"/>
  <c r="H30" i="141"/>
  <c r="G30" i="141"/>
  <c r="F30" i="141"/>
  <c r="E30" i="141"/>
  <c r="Y29" i="141"/>
  <c r="X29" i="141"/>
  <c r="W29" i="141"/>
  <c r="V29" i="141"/>
  <c r="U29" i="141"/>
  <c r="T29" i="141"/>
  <c r="S29" i="141"/>
  <c r="R29" i="141"/>
  <c r="L29" i="141"/>
  <c r="K29" i="141"/>
  <c r="J29" i="141"/>
  <c r="I29" i="141"/>
  <c r="H29" i="141"/>
  <c r="G29" i="141"/>
  <c r="F29" i="141"/>
  <c r="E29" i="141"/>
  <c r="Y28" i="141"/>
  <c r="Y35" i="141" s="1"/>
  <c r="BR79" i="127" s="1"/>
  <c r="X28" i="141"/>
  <c r="X35" i="141" s="1"/>
  <c r="BQ79" i="127" s="1"/>
  <c r="W28" i="141"/>
  <c r="W35" i="141" s="1"/>
  <c r="BP79" i="127" s="1"/>
  <c r="V28" i="141"/>
  <c r="V35" i="141" s="1"/>
  <c r="BO79" i="127" s="1"/>
  <c r="U28" i="141"/>
  <c r="U35" i="141" s="1"/>
  <c r="BN79" i="127" s="1"/>
  <c r="T28" i="141"/>
  <c r="T35" i="141" s="1"/>
  <c r="BM79" i="127" s="1"/>
  <c r="S28" i="141"/>
  <c r="S35" i="141" s="1"/>
  <c r="BL79" i="127" s="1"/>
  <c r="R28" i="141"/>
  <c r="R35" i="141" s="1"/>
  <c r="L28" i="141"/>
  <c r="K28" i="141"/>
  <c r="J28" i="141"/>
  <c r="I28" i="141"/>
  <c r="H28" i="141"/>
  <c r="G28" i="141"/>
  <c r="F28" i="141"/>
  <c r="E28" i="141"/>
  <c r="Y27" i="141"/>
  <c r="X27" i="141"/>
  <c r="W27" i="141"/>
  <c r="V27" i="141"/>
  <c r="U27" i="141"/>
  <c r="T27" i="141"/>
  <c r="S27" i="141"/>
  <c r="R27" i="141"/>
  <c r="R36" i="141" s="1"/>
  <c r="L27" i="141"/>
  <c r="K27" i="141"/>
  <c r="J27" i="141"/>
  <c r="I27" i="141"/>
  <c r="H27" i="141"/>
  <c r="G27" i="141"/>
  <c r="F27" i="141"/>
  <c r="E27" i="141"/>
  <c r="Y24" i="141"/>
  <c r="X24" i="141"/>
  <c r="W24" i="141"/>
  <c r="V24" i="141"/>
  <c r="U24" i="141"/>
  <c r="T24" i="141"/>
  <c r="S24" i="141"/>
  <c r="R24" i="141"/>
  <c r="Y23" i="141"/>
  <c r="X23" i="141"/>
  <c r="W23" i="141"/>
  <c r="V23" i="141"/>
  <c r="U23" i="141"/>
  <c r="T23" i="141"/>
  <c r="S23" i="141"/>
  <c r="R23" i="141"/>
  <c r="L23" i="141"/>
  <c r="K23" i="141"/>
  <c r="J23" i="141"/>
  <c r="I23" i="141"/>
  <c r="H23" i="141"/>
  <c r="G23" i="141"/>
  <c r="F23" i="141"/>
  <c r="E23" i="141"/>
  <c r="Y22" i="141"/>
  <c r="X22" i="141"/>
  <c r="W22" i="141"/>
  <c r="V22" i="141"/>
  <c r="U22" i="141"/>
  <c r="T22" i="141"/>
  <c r="S22" i="141"/>
  <c r="R22" i="141"/>
  <c r="L22" i="141"/>
  <c r="K22" i="141"/>
  <c r="J22" i="141"/>
  <c r="I22" i="141"/>
  <c r="H22" i="141"/>
  <c r="G22" i="141"/>
  <c r="F22" i="141"/>
  <c r="E22" i="141"/>
  <c r="L21" i="141"/>
  <c r="K21" i="141"/>
  <c r="J21" i="141"/>
  <c r="I21" i="141"/>
  <c r="H21" i="141"/>
  <c r="G21" i="141"/>
  <c r="F21" i="141"/>
  <c r="E21" i="141"/>
  <c r="L20" i="141"/>
  <c r="K20" i="141"/>
  <c r="I20" i="141"/>
  <c r="H20" i="141"/>
  <c r="G20" i="141"/>
  <c r="F20" i="141"/>
  <c r="E20" i="141"/>
  <c r="Y19" i="141"/>
  <c r="X19" i="141"/>
  <c r="W19" i="141"/>
  <c r="V19" i="141"/>
  <c r="U19" i="141"/>
  <c r="T19" i="141"/>
  <c r="S19" i="141"/>
  <c r="R19" i="141"/>
  <c r="L19" i="141"/>
  <c r="K19" i="141"/>
  <c r="J19" i="141"/>
  <c r="I19" i="141"/>
  <c r="H19" i="141"/>
  <c r="G19" i="141"/>
  <c r="F19" i="141"/>
  <c r="E19" i="141"/>
  <c r="Y18" i="141"/>
  <c r="X18" i="141"/>
  <c r="W18" i="141"/>
  <c r="V18" i="141"/>
  <c r="U18" i="141"/>
  <c r="T18" i="141"/>
  <c r="S18" i="141"/>
  <c r="R18" i="141"/>
  <c r="L18" i="141"/>
  <c r="K18" i="141"/>
  <c r="J18" i="141"/>
  <c r="I18" i="141"/>
  <c r="H18" i="141"/>
  <c r="G18" i="141"/>
  <c r="F18" i="141"/>
  <c r="E18" i="141"/>
  <c r="Y17" i="141"/>
  <c r="X17" i="141"/>
  <c r="W17" i="141"/>
  <c r="V17" i="141"/>
  <c r="U17" i="141"/>
  <c r="T17" i="141"/>
  <c r="S17" i="141"/>
  <c r="R17" i="141"/>
  <c r="L17" i="141"/>
  <c r="K17" i="141"/>
  <c r="J17" i="141"/>
  <c r="I17" i="141"/>
  <c r="H17" i="141"/>
  <c r="G17" i="141"/>
  <c r="F17" i="141"/>
  <c r="E17" i="141"/>
  <c r="L16" i="141"/>
  <c r="K16" i="141"/>
  <c r="J16" i="141"/>
  <c r="I16" i="141"/>
  <c r="H16" i="141"/>
  <c r="G16" i="141"/>
  <c r="F16" i="141"/>
  <c r="E16" i="141"/>
  <c r="L15" i="141"/>
  <c r="K15" i="141"/>
  <c r="J15" i="141"/>
  <c r="I15" i="141"/>
  <c r="H15" i="141"/>
  <c r="G15" i="141"/>
  <c r="F15" i="141"/>
  <c r="E15" i="141"/>
  <c r="Y14" i="141"/>
  <c r="X14" i="141"/>
  <c r="W14" i="141"/>
  <c r="V14" i="141"/>
  <c r="U14" i="141"/>
  <c r="T14" i="141"/>
  <c r="S14" i="141"/>
  <c r="R14" i="141"/>
  <c r="Y13" i="141"/>
  <c r="X13" i="141"/>
  <c r="W13" i="141"/>
  <c r="V13" i="141"/>
  <c r="U13" i="141"/>
  <c r="T13" i="141"/>
  <c r="S13" i="141"/>
  <c r="L13" i="141"/>
  <c r="K13" i="141"/>
  <c r="J13" i="141"/>
  <c r="I13" i="141"/>
  <c r="H13" i="141"/>
  <c r="G13" i="141"/>
  <c r="F13" i="141"/>
  <c r="E13" i="141"/>
  <c r="L12" i="141"/>
  <c r="K12" i="141"/>
  <c r="J12" i="141"/>
  <c r="I12" i="141"/>
  <c r="H12" i="141"/>
  <c r="G12" i="141"/>
  <c r="F12" i="141"/>
  <c r="E12" i="141"/>
  <c r="L11" i="141"/>
  <c r="K11" i="141"/>
  <c r="J11" i="141"/>
  <c r="I11" i="141"/>
  <c r="H11" i="141"/>
  <c r="G11" i="141"/>
  <c r="F11" i="141"/>
  <c r="E11" i="141"/>
  <c r="Y10" i="141"/>
  <c r="X10" i="141"/>
  <c r="W10" i="141"/>
  <c r="V10" i="141"/>
  <c r="U10" i="141"/>
  <c r="T10" i="141"/>
  <c r="S10" i="141"/>
  <c r="R10" i="141"/>
  <c r="L10" i="141"/>
  <c r="K10" i="141"/>
  <c r="J10" i="141"/>
  <c r="I10" i="141"/>
  <c r="H10" i="141"/>
  <c r="G10" i="141"/>
  <c r="F10" i="141"/>
  <c r="E10" i="141"/>
  <c r="Y9" i="141"/>
  <c r="X9" i="141"/>
  <c r="W9" i="141"/>
  <c r="V9" i="141"/>
  <c r="U9" i="141"/>
  <c r="T9" i="141"/>
  <c r="S9" i="141"/>
  <c r="R9" i="141"/>
  <c r="L9" i="141"/>
  <c r="K9" i="141"/>
  <c r="J9" i="141"/>
  <c r="I9" i="141"/>
  <c r="H9" i="141"/>
  <c r="G9" i="141"/>
  <c r="F9" i="141"/>
  <c r="E9" i="141"/>
  <c r="Y8" i="141"/>
  <c r="X8" i="141"/>
  <c r="W8" i="141"/>
  <c r="V8" i="141"/>
  <c r="U8" i="141"/>
  <c r="T8" i="141"/>
  <c r="S8" i="141"/>
  <c r="R8" i="141"/>
  <c r="L8" i="141"/>
  <c r="K8" i="141"/>
  <c r="J8" i="141"/>
  <c r="I8" i="141"/>
  <c r="H8" i="141"/>
  <c r="G8" i="141"/>
  <c r="F8" i="141"/>
  <c r="E8" i="141"/>
  <c r="Y7" i="141"/>
  <c r="X7" i="141"/>
  <c r="W7" i="141"/>
  <c r="V7" i="141"/>
  <c r="U7" i="141"/>
  <c r="T7" i="141"/>
  <c r="S7" i="141"/>
  <c r="R7" i="141"/>
  <c r="L7" i="141"/>
  <c r="K7" i="141"/>
  <c r="J7" i="141"/>
  <c r="I7" i="141"/>
  <c r="H7" i="141"/>
  <c r="G7" i="141"/>
  <c r="F7" i="141"/>
  <c r="E7" i="141"/>
  <c r="Y6" i="141"/>
  <c r="X6" i="141"/>
  <c r="X11" i="141" s="1"/>
  <c r="W6" i="141"/>
  <c r="V6" i="141"/>
  <c r="U6" i="141"/>
  <c r="T6" i="141"/>
  <c r="S6" i="141"/>
  <c r="R6" i="141"/>
  <c r="L6" i="141"/>
  <c r="K6" i="141"/>
  <c r="J6" i="141"/>
  <c r="I6" i="141"/>
  <c r="H6" i="141"/>
  <c r="G6" i="141"/>
  <c r="F6" i="141"/>
  <c r="E6" i="141"/>
  <c r="Y5" i="141"/>
  <c r="X5" i="141"/>
  <c r="W5" i="141"/>
  <c r="V5" i="141"/>
  <c r="U5" i="141"/>
  <c r="T5" i="141"/>
  <c r="S5" i="141"/>
  <c r="R5" i="141"/>
  <c r="L5" i="141"/>
  <c r="K5" i="141"/>
  <c r="J5" i="141"/>
  <c r="I5" i="141"/>
  <c r="H5" i="141"/>
  <c r="G5" i="141"/>
  <c r="F5" i="141"/>
  <c r="E5" i="141"/>
  <c r="J227" i="141" a="1"/>
  <c r="E227" i="141" a="1"/>
  <c r="L227" i="141" a="1"/>
  <c r="E260" i="141"/>
  <c r="E270" i="141"/>
  <c r="E279" i="141"/>
  <c r="L287" i="141"/>
  <c r="E296" i="141"/>
  <c r="L317" i="141"/>
  <c r="E317" i="141"/>
  <c r="E327" i="141"/>
  <c r="E338" i="141"/>
  <c r="E348" i="141"/>
  <c r="L357" i="141"/>
  <c r="E357" i="141"/>
  <c r="E365" i="141"/>
  <c r="E374" i="141"/>
  <c r="E382" i="141"/>
  <c r="E395" i="141"/>
  <c r="L395" i="141"/>
  <c r="E405" i="141"/>
  <c r="E416" i="141"/>
  <c r="E426" i="141"/>
  <c r="E435" i="141"/>
  <c r="E443" i="141"/>
  <c r="E452" i="141"/>
  <c r="L460" i="141"/>
  <c r="E460" i="141"/>
  <c r="H520" i="141"/>
  <c r="H613" i="141"/>
  <c r="E539" i="141"/>
  <c r="H622" i="141"/>
  <c r="H623" i="141"/>
  <c r="L669" i="141"/>
  <c r="L675" i="141" s="1"/>
  <c r="J613" i="141" l="1"/>
  <c r="I482" i="141"/>
  <c r="I501" i="141"/>
  <c r="S93" i="141"/>
  <c r="X68" i="141"/>
  <c r="R68" i="141"/>
  <c r="F304" i="141"/>
  <c r="I327" i="141"/>
  <c r="J304" i="141"/>
  <c r="J650" i="141"/>
  <c r="J654" i="141" s="1"/>
  <c r="J279" i="141"/>
  <c r="K608" i="141"/>
  <c r="L609" i="141"/>
  <c r="L608" i="141"/>
  <c r="J609" i="141"/>
  <c r="K609" i="141"/>
  <c r="F610" i="141"/>
  <c r="W93" i="141"/>
  <c r="J452" i="141"/>
  <c r="J327" i="141"/>
  <c r="E642" i="141"/>
  <c r="BK43" i="127" s="1"/>
  <c r="J338" i="141"/>
  <c r="J349" i="141" s="1"/>
  <c r="J357" i="141"/>
  <c r="J520" i="141"/>
  <c r="J622" i="141"/>
  <c r="J624" i="141" s="1"/>
  <c r="K650" i="141"/>
  <c r="K654" i="141" s="1"/>
  <c r="E651" i="141"/>
  <c r="E655" i="141" s="1"/>
  <c r="J443" i="141"/>
  <c r="J260" i="141"/>
  <c r="J382" i="141"/>
  <c r="J317" i="141"/>
  <c r="J365" i="141"/>
  <c r="H452" i="141"/>
  <c r="H395" i="141"/>
  <c r="E650" i="141"/>
  <c r="E654" i="141" s="1"/>
  <c r="H270" i="141"/>
  <c r="H443" i="141"/>
  <c r="H249" i="141"/>
  <c r="H405" i="141"/>
  <c r="I348" i="141"/>
  <c r="I270" i="141"/>
  <c r="I271" i="141" s="1"/>
  <c r="H348" i="141"/>
  <c r="H287" i="141"/>
  <c r="H304" i="141"/>
  <c r="E239" i="141"/>
  <c r="E250" i="141" s="1"/>
  <c r="K317" i="141"/>
  <c r="U93" i="141"/>
  <c r="F357" i="141"/>
  <c r="F365" i="141"/>
  <c r="F348" i="141"/>
  <c r="F349" i="141" s="1"/>
  <c r="F374" i="141"/>
  <c r="F383" i="141" s="1"/>
  <c r="F452" i="141"/>
  <c r="F460" i="141"/>
  <c r="F317" i="141"/>
  <c r="F328" i="141" s="1"/>
  <c r="F443" i="141"/>
  <c r="F444" i="141" s="1"/>
  <c r="F405" i="141"/>
  <c r="F406" i="141" s="1"/>
  <c r="G669" i="141"/>
  <c r="G675" i="141" s="1"/>
  <c r="K651" i="141"/>
  <c r="K655" i="141" s="1"/>
  <c r="E622" i="141"/>
  <c r="E624" i="141" s="1"/>
  <c r="F611" i="141"/>
  <c r="K649" i="141"/>
  <c r="K653" i="141" s="1"/>
  <c r="E227" i="141"/>
  <c r="T36" i="141"/>
  <c r="T37" i="141" s="1"/>
  <c r="E482" i="141"/>
  <c r="K338" i="141"/>
  <c r="K349" i="141" s="1"/>
  <c r="K287" i="141"/>
  <c r="K304" i="141"/>
  <c r="K327" i="141"/>
  <c r="K357" i="141"/>
  <c r="Y36" i="141"/>
  <c r="Y37" i="141" s="1"/>
  <c r="J405" i="141"/>
  <c r="U36" i="141"/>
  <c r="U37" i="141" s="1"/>
  <c r="W100" i="141"/>
  <c r="L501" i="141"/>
  <c r="L623" i="141"/>
  <c r="L625" i="141" s="1"/>
  <c r="J47" i="141"/>
  <c r="Y86" i="141"/>
  <c r="Y87" i="141" s="1"/>
  <c r="L607" i="141"/>
  <c r="H482" i="141"/>
  <c r="H540" i="141" s="1"/>
  <c r="Y95" i="141"/>
  <c r="Y93" i="141"/>
  <c r="E649" i="141"/>
  <c r="E653" i="141" s="1"/>
  <c r="J501" i="141"/>
  <c r="J608" i="141"/>
  <c r="W56" i="141"/>
  <c r="J539" i="141"/>
  <c r="K365" i="141"/>
  <c r="K426" i="141"/>
  <c r="K427" i="141" s="1"/>
  <c r="K460" i="141"/>
  <c r="K374" i="141"/>
  <c r="J249" i="141"/>
  <c r="J270" i="141"/>
  <c r="J416" i="141"/>
  <c r="J287" i="141"/>
  <c r="J460" i="141"/>
  <c r="K669" i="141"/>
  <c r="K675" i="141" s="1"/>
  <c r="J395" i="141"/>
  <c r="J426" i="141"/>
  <c r="K296" i="141"/>
  <c r="K305" i="141" s="1"/>
  <c r="J435" i="141"/>
  <c r="J296" i="141"/>
  <c r="J305" i="141" s="1"/>
  <c r="J374" i="141"/>
  <c r="J383" i="141" s="1"/>
  <c r="J482" i="141"/>
  <c r="K622" i="141"/>
  <c r="K624" i="141" s="1"/>
  <c r="J611" i="141"/>
  <c r="W95" i="141"/>
  <c r="L651" i="141"/>
  <c r="L655" i="141" s="1"/>
  <c r="L83" i="141"/>
  <c r="J239" i="141"/>
  <c r="I338" i="141"/>
  <c r="I279" i="141"/>
  <c r="I288" i="141" s="1"/>
  <c r="I365" i="141"/>
  <c r="I366" i="141" s="1"/>
  <c r="I296" i="141"/>
  <c r="I305" i="141" s="1"/>
  <c r="I426" i="141"/>
  <c r="I427" i="141" s="1"/>
  <c r="I405" i="141"/>
  <c r="I406" i="141" s="1"/>
  <c r="I460" i="141"/>
  <c r="I461" i="141" s="1"/>
  <c r="I317" i="141"/>
  <c r="I328" i="141" s="1"/>
  <c r="I382" i="141"/>
  <c r="I383" i="141" s="1"/>
  <c r="H327" i="141"/>
  <c r="H365" i="141"/>
  <c r="H366" i="141" s="1"/>
  <c r="H374" i="141"/>
  <c r="I650" i="141"/>
  <c r="I654" i="141" s="1"/>
  <c r="H279" i="141"/>
  <c r="H288" i="141" s="1"/>
  <c r="H435" i="141"/>
  <c r="U68" i="141"/>
  <c r="U103" i="141" s="1"/>
  <c r="H382" i="141"/>
  <c r="H416" i="141"/>
  <c r="H296" i="141"/>
  <c r="I649" i="141"/>
  <c r="I653" i="141" s="1"/>
  <c r="H426" i="141"/>
  <c r="H460" i="141"/>
  <c r="H260" i="141"/>
  <c r="H271" i="141" s="1"/>
  <c r="H317" i="141"/>
  <c r="H338" i="141"/>
  <c r="H239" i="141"/>
  <c r="R86" i="141"/>
  <c r="R87" i="141" s="1"/>
  <c r="H651" i="141"/>
  <c r="H655" i="141" s="1"/>
  <c r="H649" i="141"/>
  <c r="H653" i="141" s="1"/>
  <c r="J65" i="141"/>
  <c r="L648" i="141"/>
  <c r="L652" i="141" s="1"/>
  <c r="Y68" i="141"/>
  <c r="V95" i="141"/>
  <c r="V93" i="141"/>
  <c r="V45" i="141"/>
  <c r="J83" i="141"/>
  <c r="S100" i="141"/>
  <c r="F623" i="141"/>
  <c r="F625" i="141" s="1"/>
  <c r="I623" i="141"/>
  <c r="I625" i="141" s="1"/>
  <c r="F622" i="141"/>
  <c r="F624" i="141" s="1"/>
  <c r="F607" i="141"/>
  <c r="F612" i="141"/>
  <c r="F520" i="141"/>
  <c r="W45" i="141"/>
  <c r="S80" i="141"/>
  <c r="BL44" i="127" s="1"/>
  <c r="S84" i="141"/>
  <c r="BL78" i="127" s="1"/>
  <c r="W11" i="141"/>
  <c r="W86" i="141"/>
  <c r="W87" i="141" s="1"/>
  <c r="J644" i="141"/>
  <c r="BP70" i="127" s="1"/>
  <c r="J649" i="141"/>
  <c r="J653" i="141" s="1"/>
  <c r="J651" i="141"/>
  <c r="J655" i="141" s="1"/>
  <c r="J642" i="141"/>
  <c r="BP43" i="127" s="1"/>
  <c r="V80" i="141"/>
  <c r="BO44" i="127" s="1"/>
  <c r="V84" i="141"/>
  <c r="BO78" i="127" s="1"/>
  <c r="K435" i="141"/>
  <c r="K443" i="141"/>
  <c r="K382" i="141"/>
  <c r="K405" i="141"/>
  <c r="K406" i="141" s="1"/>
  <c r="X80" i="141"/>
  <c r="U25" i="116" s="1"/>
  <c r="X84" i="141"/>
  <c r="BQ78" i="127" s="1"/>
  <c r="T80" i="141"/>
  <c r="BM44" i="127" s="1"/>
  <c r="T84" i="141"/>
  <c r="BM78" i="127" s="1"/>
  <c r="U80" i="141"/>
  <c r="BN44" i="127" s="1"/>
  <c r="U84" i="141"/>
  <c r="BN78" i="127" s="1"/>
  <c r="W80" i="141"/>
  <c r="BP44" i="127" s="1"/>
  <c r="W84" i="141"/>
  <c r="BP78" i="127" s="1"/>
  <c r="J75" i="141"/>
  <c r="Y80" i="141"/>
  <c r="V25" i="116" s="1"/>
  <c r="Y84" i="141"/>
  <c r="BR78" i="127" s="1"/>
  <c r="L75" i="141"/>
  <c r="R80" i="141"/>
  <c r="BK44" i="127" s="1"/>
  <c r="R84" i="141"/>
  <c r="BK78" i="127" s="1"/>
  <c r="J227" i="141"/>
  <c r="K614" i="141"/>
  <c r="Y56" i="141"/>
  <c r="L622" i="141"/>
  <c r="L624" i="141" s="1"/>
  <c r="K615" i="141"/>
  <c r="K611" i="141"/>
  <c r="X100" i="141"/>
  <c r="X103" i="141" s="1"/>
  <c r="E501" i="141"/>
  <c r="L539" i="141"/>
  <c r="R56" i="141"/>
  <c r="L610" i="141"/>
  <c r="L520" i="141"/>
  <c r="X56" i="141"/>
  <c r="X61" i="141" s="1"/>
  <c r="X45" i="141"/>
  <c r="X50" i="141" s="1"/>
  <c r="W36" i="141"/>
  <c r="W37" i="141" s="1"/>
  <c r="Y73" i="141"/>
  <c r="L642" i="141"/>
  <c r="V24" i="116" s="1"/>
  <c r="R45" i="141"/>
  <c r="K501" i="141"/>
  <c r="L482" i="141"/>
  <c r="K520" i="141"/>
  <c r="K452" i="141"/>
  <c r="L650" i="141"/>
  <c r="L654" i="141" s="1"/>
  <c r="E607" i="141"/>
  <c r="X102" i="141"/>
  <c r="K482" i="141"/>
  <c r="S56" i="141"/>
  <c r="K239" i="141"/>
  <c r="L644" i="141"/>
  <c r="BR70" i="127" s="1"/>
  <c r="K644" i="141"/>
  <c r="BQ70" i="127" s="1"/>
  <c r="K270" i="141"/>
  <c r="K279" i="141"/>
  <c r="K249" i="141"/>
  <c r="K260" i="141"/>
  <c r="L47" i="141"/>
  <c r="L57" i="141"/>
  <c r="Y102" i="141"/>
  <c r="Y101" i="141"/>
  <c r="L65" i="141"/>
  <c r="L227" i="141"/>
  <c r="H650" i="141"/>
  <c r="H654" i="141" s="1"/>
  <c r="X86" i="141"/>
  <c r="X87" i="141" s="1"/>
  <c r="Y25" i="141"/>
  <c r="Y26" i="141" s="1"/>
  <c r="Y94" i="141"/>
  <c r="J57" i="141"/>
  <c r="I651" i="141"/>
  <c r="I655" i="141" s="1"/>
  <c r="X20" i="141"/>
  <c r="X21" i="141" s="1"/>
  <c r="I642" i="141"/>
  <c r="S24" i="116" s="1"/>
  <c r="I239" i="141"/>
  <c r="I250" i="141" s="1"/>
  <c r="I648" i="141"/>
  <c r="I652" i="141" s="1"/>
  <c r="F643" i="141"/>
  <c r="BL91" i="127" s="1"/>
  <c r="BK79" i="127"/>
  <c r="H648" i="141"/>
  <c r="H652" i="141" s="1"/>
  <c r="X15" i="141"/>
  <c r="X16" i="141" s="1"/>
  <c r="F651" i="141"/>
  <c r="F655" i="141" s="1"/>
  <c r="Y15" i="141"/>
  <c r="Y16" i="141" s="1"/>
  <c r="E47" i="141"/>
  <c r="F650" i="141"/>
  <c r="F654" i="141" s="1"/>
  <c r="Y11" i="141"/>
  <c r="Y61" i="141" s="1"/>
  <c r="F642" i="141"/>
  <c r="BL43" i="127" s="1"/>
  <c r="V36" i="141"/>
  <c r="V37" i="141" s="1"/>
  <c r="J648" i="141"/>
  <c r="J652" i="141" s="1"/>
  <c r="T11" i="141"/>
  <c r="J607" i="141"/>
  <c r="W101" i="141"/>
  <c r="W102" i="141"/>
  <c r="T86" i="141"/>
  <c r="T87" i="141" s="1"/>
  <c r="K57" i="141"/>
  <c r="X36" i="141"/>
  <c r="X37" i="141" s="1"/>
  <c r="H83" i="141"/>
  <c r="H47" i="141"/>
  <c r="H65" i="141"/>
  <c r="I65" i="141"/>
  <c r="I644" i="141"/>
  <c r="U10" i="70" s="1"/>
  <c r="I83" i="141"/>
  <c r="I75" i="141"/>
  <c r="V86" i="141"/>
  <c r="V87" i="141" s="1"/>
  <c r="V94" i="141"/>
  <c r="V60" i="141"/>
  <c r="V59" i="141"/>
  <c r="V68" i="141"/>
  <c r="V103" i="141" s="1"/>
  <c r="V101" i="141"/>
  <c r="I47" i="141"/>
  <c r="I57" i="141"/>
  <c r="I227" i="141"/>
  <c r="V102" i="141"/>
  <c r="I36" i="141"/>
  <c r="K47" i="141"/>
  <c r="K642" i="141"/>
  <c r="BQ43" i="127" s="1"/>
  <c r="K65" i="141"/>
  <c r="X73" i="141"/>
  <c r="X74" i="141" s="1"/>
  <c r="X95" i="141"/>
  <c r="E36" i="141"/>
  <c r="X49" i="141"/>
  <c r="X94" i="141"/>
  <c r="K648" i="141"/>
  <c r="K652" i="141" s="1"/>
  <c r="K75" i="141"/>
  <c r="K83" i="141"/>
  <c r="K36" i="141"/>
  <c r="I629" i="141"/>
  <c r="W58" i="141"/>
  <c r="W59" i="141"/>
  <c r="W25" i="141"/>
  <c r="W26" i="141" s="1"/>
  <c r="E628" i="141"/>
  <c r="F633" i="141"/>
  <c r="I635" i="141"/>
  <c r="K14" i="141"/>
  <c r="W15" i="141"/>
  <c r="W16" i="141" s="1"/>
  <c r="K629" i="141"/>
  <c r="K631" i="141"/>
  <c r="J14" i="141"/>
  <c r="S94" i="141"/>
  <c r="X60" i="141"/>
  <c r="F539" i="141"/>
  <c r="F501" i="141"/>
  <c r="R31" i="141"/>
  <c r="BK45" i="127" s="1"/>
  <c r="E83" i="141"/>
  <c r="W68" i="141"/>
  <c r="W96" i="141" s="1"/>
  <c r="R32" i="141"/>
  <c r="BK90" i="127" s="1"/>
  <c r="T73" i="141"/>
  <c r="T74" i="141" s="1"/>
  <c r="W94" i="141"/>
  <c r="W73" i="141"/>
  <c r="W74" i="141" s="1"/>
  <c r="V73" i="141"/>
  <c r="E65" i="141"/>
  <c r="R73" i="141"/>
  <c r="G632" i="141"/>
  <c r="T60" i="141"/>
  <c r="T31" i="141"/>
  <c r="T32" i="141"/>
  <c r="BM90" i="127" s="1"/>
  <c r="W31" i="141"/>
  <c r="W32" i="141"/>
  <c r="BP90" i="127" s="1"/>
  <c r="K633" i="141"/>
  <c r="X31" i="141"/>
  <c r="X32" i="141"/>
  <c r="BQ90" i="127" s="1"/>
  <c r="F260" i="141"/>
  <c r="F279" i="141"/>
  <c r="F296" i="141"/>
  <c r="F305" i="141" s="1"/>
  <c r="F239" i="141"/>
  <c r="F250" i="141" s="1"/>
  <c r="F270" i="141"/>
  <c r="F287" i="141"/>
  <c r="S31" i="141"/>
  <c r="S32" i="141"/>
  <c r="BL90" i="127" s="1"/>
  <c r="U20" i="141"/>
  <c r="U21" i="141" s="1"/>
  <c r="U73" i="141"/>
  <c r="U74" i="141" s="1"/>
  <c r="U95" i="141"/>
  <c r="U15" i="141"/>
  <c r="U16" i="141" s="1"/>
  <c r="U31" i="141"/>
  <c r="V31" i="141"/>
  <c r="V32" i="141"/>
  <c r="BO90" i="127" s="1"/>
  <c r="V20" i="141"/>
  <c r="V21" i="141" s="1"/>
  <c r="H75" i="141"/>
  <c r="U102" i="141"/>
  <c r="H642" i="141"/>
  <c r="BN43" i="127" s="1"/>
  <c r="U32" i="141"/>
  <c r="BN90" i="127" s="1"/>
  <c r="W20" i="141"/>
  <c r="W21" i="141" s="1"/>
  <c r="H57" i="141"/>
  <c r="H227" i="141" a="1"/>
  <c r="H227" i="141" s="1"/>
  <c r="U86" i="141"/>
  <c r="U87" i="141" s="1"/>
  <c r="Y31" i="141"/>
  <c r="Y32" i="141"/>
  <c r="BR90" i="127" s="1"/>
  <c r="Y20" i="141"/>
  <c r="Y21" i="141" s="1"/>
  <c r="R11" i="141"/>
  <c r="H644" i="141"/>
  <c r="BN70" i="127" s="1"/>
  <c r="U94" i="141"/>
  <c r="T15" i="141"/>
  <c r="T16" i="141" s="1"/>
  <c r="H36" i="141"/>
  <c r="U57" i="141"/>
  <c r="U49" i="141"/>
  <c r="G24" i="141"/>
  <c r="T20" i="141"/>
  <c r="T21" i="141" s="1"/>
  <c r="J630" i="141"/>
  <c r="W49" i="141"/>
  <c r="U25" i="141"/>
  <c r="U26" i="141" s="1"/>
  <c r="L36" i="141"/>
  <c r="L629" i="141"/>
  <c r="L630" i="141"/>
  <c r="Y47" i="141"/>
  <c r="L631" i="141"/>
  <c r="L632" i="141"/>
  <c r="L14" i="141"/>
  <c r="U45" i="141"/>
  <c r="T49" i="141"/>
  <c r="H628" i="141"/>
  <c r="H629" i="141"/>
  <c r="H630" i="141"/>
  <c r="H631" i="141"/>
  <c r="H632" i="141"/>
  <c r="H633" i="141"/>
  <c r="H634" i="141"/>
  <c r="H635" i="141"/>
  <c r="H636" i="141"/>
  <c r="H24" i="141"/>
  <c r="J635" i="141"/>
  <c r="L633" i="141"/>
  <c r="L634" i="141"/>
  <c r="L635" i="141"/>
  <c r="L636" i="141"/>
  <c r="G636" i="141"/>
  <c r="T47" i="141"/>
  <c r="T48" i="141"/>
  <c r="T57" i="141"/>
  <c r="T59" i="141"/>
  <c r="T94" i="141"/>
  <c r="T95" i="141"/>
  <c r="T101" i="141"/>
  <c r="T102" i="141"/>
  <c r="S86" i="141"/>
  <c r="S87" i="141" s="1"/>
  <c r="F65" i="141"/>
  <c r="F649" i="141"/>
  <c r="F653" i="141" s="1"/>
  <c r="S11" i="141"/>
  <c r="S73" i="141"/>
  <c r="S74" i="141" s="1"/>
  <c r="F227" i="141" a="1"/>
  <c r="F227" i="141" s="1"/>
  <c r="T25" i="141"/>
  <c r="T26" i="141" s="1"/>
  <c r="T93" i="141"/>
  <c r="G628" i="141"/>
  <c r="G629" i="141"/>
  <c r="T58" i="141"/>
  <c r="S45" i="141"/>
  <c r="S20" i="141"/>
  <c r="S21" i="141" s="1"/>
  <c r="S68" i="141"/>
  <c r="S96" i="141" s="1"/>
  <c r="I632" i="141"/>
  <c r="F644" i="141"/>
  <c r="E461" i="141"/>
  <c r="E444" i="141"/>
  <c r="F83" i="141"/>
  <c r="BK70" i="127"/>
  <c r="Q10" i="70"/>
  <c r="F634" i="141"/>
  <c r="E427" i="141"/>
  <c r="G14" i="141"/>
  <c r="S59" i="141"/>
  <c r="S95" i="141"/>
  <c r="S102" i="141"/>
  <c r="S25" i="141"/>
  <c r="S26" i="141" s="1"/>
  <c r="S36" i="141"/>
  <c r="S37" i="141" s="1"/>
  <c r="V48" i="141"/>
  <c r="I634" i="141"/>
  <c r="J631" i="141"/>
  <c r="L383" i="141"/>
  <c r="F36" i="141"/>
  <c r="F47" i="141"/>
  <c r="F629" i="141"/>
  <c r="F631" i="141"/>
  <c r="F635" i="141"/>
  <c r="F636" i="141"/>
  <c r="F630" i="141"/>
  <c r="F632" i="141"/>
  <c r="F648" i="141"/>
  <c r="F652" i="141" s="1"/>
  <c r="F482" i="141"/>
  <c r="S101" i="141"/>
  <c r="I633" i="141"/>
  <c r="V15" i="141"/>
  <c r="V16" i="141" s="1"/>
  <c r="J36" i="141"/>
  <c r="J629" i="141"/>
  <c r="W47" i="141"/>
  <c r="W48" i="141"/>
  <c r="J632" i="141"/>
  <c r="W60" i="141"/>
  <c r="J634" i="141"/>
  <c r="E14" i="141"/>
  <c r="R15" i="141"/>
  <c r="R16" i="141" s="1"/>
  <c r="I630" i="141"/>
  <c r="I631" i="141"/>
  <c r="I636" i="141"/>
  <c r="E288" i="141"/>
  <c r="L250" i="141"/>
  <c r="E383" i="141"/>
  <c r="F57" i="141"/>
  <c r="F75" i="141"/>
  <c r="V47" i="141"/>
  <c r="S58" i="141"/>
  <c r="S60" i="141"/>
  <c r="V57" i="141"/>
  <c r="W46" i="141"/>
  <c r="U47" i="141"/>
  <c r="U48" i="141"/>
  <c r="G635" i="141"/>
  <c r="K634" i="141"/>
  <c r="K635" i="141"/>
  <c r="K636" i="141"/>
  <c r="K628" i="141"/>
  <c r="K630" i="141"/>
  <c r="K632" i="141"/>
  <c r="X46" i="141"/>
  <c r="X47" i="141"/>
  <c r="X48" i="141"/>
  <c r="X59" i="141"/>
  <c r="W57" i="141"/>
  <c r="U58" i="141"/>
  <c r="S49" i="141"/>
  <c r="L366" i="141"/>
  <c r="E305" i="141"/>
  <c r="U59" i="141"/>
  <c r="V46" i="141"/>
  <c r="H14" i="141"/>
  <c r="U46" i="141"/>
  <c r="I14" i="141"/>
  <c r="J636" i="141"/>
  <c r="E328" i="141"/>
  <c r="V58" i="141"/>
  <c r="V49" i="141"/>
  <c r="T46" i="141"/>
  <c r="Y48" i="141"/>
  <c r="U11" i="141"/>
  <c r="U60" i="141"/>
  <c r="X57" i="141"/>
  <c r="R103" i="141"/>
  <c r="R102" i="141"/>
  <c r="J633" i="141"/>
  <c r="J24" i="141"/>
  <c r="E406" i="141"/>
  <c r="E75" i="141"/>
  <c r="E57" i="141"/>
  <c r="F14" i="141"/>
  <c r="F628" i="141"/>
  <c r="S47" i="141"/>
  <c r="L628" i="141"/>
  <c r="R93" i="141"/>
  <c r="R96" i="141" s="1"/>
  <c r="R94" i="141"/>
  <c r="S46" i="141"/>
  <c r="F24" i="141"/>
  <c r="F427" i="141"/>
  <c r="R95" i="141"/>
  <c r="S15" i="141"/>
  <c r="S16" i="141" s="1"/>
  <c r="E648" i="141"/>
  <c r="E652" i="141" s="1"/>
  <c r="S48" i="141"/>
  <c r="R101" i="141"/>
  <c r="S57" i="141"/>
  <c r="Y46" i="141"/>
  <c r="Y49" i="141"/>
  <c r="Y57" i="141"/>
  <c r="Y58" i="141"/>
  <c r="Y60" i="141"/>
  <c r="J628" i="141"/>
  <c r="I444" i="141"/>
  <c r="I628" i="141"/>
  <c r="L328" i="141"/>
  <c r="V11" i="141"/>
  <c r="L406" i="141"/>
  <c r="E366" i="141"/>
  <c r="E349" i="141"/>
  <c r="L349" i="141"/>
  <c r="E271" i="141"/>
  <c r="I675" i="141"/>
  <c r="L271" i="141"/>
  <c r="H624" i="141"/>
  <c r="H669" i="141"/>
  <c r="J669" i="141"/>
  <c r="L305" i="141"/>
  <c r="J625" i="141"/>
  <c r="E669" i="141"/>
  <c r="L615" i="141"/>
  <c r="L614" i="141"/>
  <c r="L461" i="141"/>
  <c r="X96" i="141"/>
  <c r="K623" i="141"/>
  <c r="K625" i="141" s="1"/>
  <c r="L444" i="141"/>
  <c r="L288" i="141"/>
  <c r="I615" i="141"/>
  <c r="I614" i="141"/>
  <c r="I613" i="141"/>
  <c r="I612" i="141"/>
  <c r="I611" i="141"/>
  <c r="I610" i="141"/>
  <c r="I609" i="141"/>
  <c r="I607" i="141"/>
  <c r="L427" i="141"/>
  <c r="G501" i="141"/>
  <c r="G374" i="141"/>
  <c r="G327" i="141"/>
  <c r="I624" i="141"/>
  <c r="G520" i="141"/>
  <c r="G435" i="141"/>
  <c r="G382" i="141"/>
  <c r="G279" i="141"/>
  <c r="U101" i="141"/>
  <c r="T100" i="141"/>
  <c r="G75" i="141"/>
  <c r="V56" i="141"/>
  <c r="K24" i="141"/>
  <c r="I539" i="141"/>
  <c r="I540" i="141" s="1"/>
  <c r="G539" i="141"/>
  <c r="G443" i="141"/>
  <c r="G338" i="141"/>
  <c r="G287" i="141"/>
  <c r="G648" i="141"/>
  <c r="U56" i="141"/>
  <c r="Y45" i="141"/>
  <c r="L24" i="141"/>
  <c r="G395" i="141"/>
  <c r="G348" i="141"/>
  <c r="G239" i="141"/>
  <c r="G644" i="141"/>
  <c r="G643" i="141"/>
  <c r="BM91" i="127" s="1"/>
  <c r="G642" i="141"/>
  <c r="G651" i="141"/>
  <c r="G655" i="141" s="1"/>
  <c r="G650" i="141"/>
  <c r="G654" i="141" s="1"/>
  <c r="G649" i="141"/>
  <c r="G653" i="141" s="1"/>
  <c r="Y59" i="141"/>
  <c r="X58" i="141"/>
  <c r="G57" i="141"/>
  <c r="X25" i="141"/>
  <c r="X26" i="141" s="1"/>
  <c r="F669" i="141"/>
  <c r="F675" i="141" s="1"/>
  <c r="G623" i="141"/>
  <c r="G625" i="141" s="1"/>
  <c r="G622" i="141"/>
  <c r="G624" i="141" s="1"/>
  <c r="G452" i="141"/>
  <c r="G405" i="141"/>
  <c r="G296" i="141"/>
  <c r="G249" i="141"/>
  <c r="G65" i="141"/>
  <c r="G633" i="141"/>
  <c r="T68" i="141"/>
  <c r="G460" i="141"/>
  <c r="G357" i="141"/>
  <c r="G304" i="141"/>
  <c r="V25" i="141"/>
  <c r="V26" i="141" s="1"/>
  <c r="I24" i="141"/>
  <c r="K539" i="141"/>
  <c r="G416" i="141"/>
  <c r="G365" i="141"/>
  <c r="G260" i="141"/>
  <c r="X101" i="141"/>
  <c r="G83" i="141"/>
  <c r="G630" i="141"/>
  <c r="T45" i="141"/>
  <c r="G482" i="141"/>
  <c r="G615" i="141"/>
  <c r="G614" i="141"/>
  <c r="G613" i="141"/>
  <c r="G612" i="141"/>
  <c r="G611" i="141"/>
  <c r="G610" i="141"/>
  <c r="G609" i="141"/>
  <c r="G608" i="141"/>
  <c r="G607" i="141"/>
  <c r="G426" i="141"/>
  <c r="G317" i="141"/>
  <c r="G270" i="141"/>
  <c r="K227" i="141" a="1"/>
  <c r="K227" i="141" s="1"/>
  <c r="G634" i="141"/>
  <c r="G36" i="141"/>
  <c r="R20" i="141"/>
  <c r="R21" i="141" s="1"/>
  <c r="G47" i="141"/>
  <c r="G631" i="141"/>
  <c r="T56" i="141"/>
  <c r="G227" i="141" a="1"/>
  <c r="G227" i="141" s="1"/>
  <c r="H625" i="141"/>
  <c r="R25" i="141"/>
  <c r="R26" i="141" s="1"/>
  <c r="E24" i="141"/>
  <c r="E636" i="141"/>
  <c r="E635" i="141"/>
  <c r="E634" i="141"/>
  <c r="E633" i="141"/>
  <c r="R49" i="141"/>
  <c r="R60" i="141"/>
  <c r="E632" i="141"/>
  <c r="R48" i="141"/>
  <c r="R59" i="141"/>
  <c r="E631" i="141"/>
  <c r="R37" i="141"/>
  <c r="R47" i="141"/>
  <c r="R58" i="141"/>
  <c r="E630" i="141"/>
  <c r="R46" i="141"/>
  <c r="R57" i="141"/>
  <c r="E629" i="141"/>
  <c r="E615" i="141"/>
  <c r="K612" i="141"/>
  <c r="J444" i="141" l="1"/>
  <c r="O24" i="116"/>
  <c r="J288" i="141"/>
  <c r="J366" i="141"/>
  <c r="J328" i="141"/>
  <c r="E540" i="141"/>
  <c r="AF41" i="130" s="1"/>
  <c r="AJ41" i="130"/>
  <c r="AJ35" i="145"/>
  <c r="AJ108" i="145" s="1"/>
  <c r="AI41" i="130"/>
  <c r="AI35" i="145"/>
  <c r="AI108" i="145" s="1"/>
  <c r="J461" i="141"/>
  <c r="H349" i="141"/>
  <c r="H680" i="141" s="1"/>
  <c r="J271" i="141"/>
  <c r="J680" i="141" s="1"/>
  <c r="H406" i="141"/>
  <c r="H461" i="141"/>
  <c r="I349" i="141"/>
  <c r="I680" i="141" s="1"/>
  <c r="H444" i="141"/>
  <c r="H250" i="141"/>
  <c r="H305" i="141"/>
  <c r="K328" i="141"/>
  <c r="Y88" i="141"/>
  <c r="Y89" i="141" s="1"/>
  <c r="F461" i="141"/>
  <c r="F670" i="141" s="1"/>
  <c r="K366" i="141"/>
  <c r="F366" i="141"/>
  <c r="F679" i="141"/>
  <c r="R88" i="141"/>
  <c r="R89" i="141" s="1"/>
  <c r="K461" i="141"/>
  <c r="J250" i="141"/>
  <c r="K288" i="141"/>
  <c r="J48" i="141"/>
  <c r="J657" i="141" s="1"/>
  <c r="J406" i="141"/>
  <c r="J540" i="141"/>
  <c r="R61" i="141"/>
  <c r="Y96" i="141"/>
  <c r="K383" i="141"/>
  <c r="K682" i="141" s="1"/>
  <c r="J427" i="141"/>
  <c r="L84" i="141"/>
  <c r="L659" i="141" s="1"/>
  <c r="H427" i="141"/>
  <c r="H383" i="141"/>
  <c r="P25" i="116"/>
  <c r="S25" i="116"/>
  <c r="W50" i="141"/>
  <c r="V50" i="141"/>
  <c r="H328" i="141"/>
  <c r="U96" i="141"/>
  <c r="Y103" i="141"/>
  <c r="J66" i="141"/>
  <c r="J658" i="141" s="1"/>
  <c r="Y74" i="141"/>
  <c r="K250" i="141"/>
  <c r="Q25" i="116"/>
  <c r="L48" i="141"/>
  <c r="L657" i="141" s="1"/>
  <c r="V10" i="70"/>
  <c r="K444" i="141"/>
  <c r="W61" i="141"/>
  <c r="R25" i="116"/>
  <c r="J84" i="141"/>
  <c r="BQ44" i="127"/>
  <c r="BR44" i="127"/>
  <c r="T24" i="116"/>
  <c r="T25" i="116"/>
  <c r="BR43" i="127"/>
  <c r="O25" i="116"/>
  <c r="K271" i="141"/>
  <c r="K680" i="141" s="1"/>
  <c r="L540" i="141"/>
  <c r="L66" i="141"/>
  <c r="L658" i="141" s="1"/>
  <c r="S61" i="141"/>
  <c r="X10" i="70"/>
  <c r="K540" i="141"/>
  <c r="W10" i="70"/>
  <c r="T61" i="141"/>
  <c r="BO43" i="127"/>
  <c r="H84" i="141"/>
  <c r="Y50" i="141"/>
  <c r="E48" i="141"/>
  <c r="E661" i="141" s="1"/>
  <c r="T50" i="141"/>
  <c r="P24" i="116"/>
  <c r="H66" i="141"/>
  <c r="H658" i="141" s="1"/>
  <c r="I66" i="141"/>
  <c r="I658" i="141" s="1"/>
  <c r="K66" i="141"/>
  <c r="K658" i="141" s="1"/>
  <c r="H48" i="141"/>
  <c r="H657" i="141" s="1"/>
  <c r="BO70" i="127"/>
  <c r="V88" i="141"/>
  <c r="V89" i="141" s="1"/>
  <c r="I84" i="141"/>
  <c r="I659" i="141" s="1"/>
  <c r="V96" i="141"/>
  <c r="I48" i="141"/>
  <c r="I657" i="141" s="1"/>
  <c r="X88" i="141"/>
  <c r="X89" i="141" s="1"/>
  <c r="K48" i="141"/>
  <c r="K657" i="141" s="1"/>
  <c r="U24" i="116"/>
  <c r="K84" i="141"/>
  <c r="K659" i="141" s="1"/>
  <c r="E704" i="141"/>
  <c r="K25" i="141"/>
  <c r="K656" i="141" s="1"/>
  <c r="T88" i="141"/>
  <c r="T89" i="141" s="1"/>
  <c r="V74" i="141"/>
  <c r="R74" i="141"/>
  <c r="R50" i="141"/>
  <c r="E637" i="141"/>
  <c r="E638" i="141" s="1"/>
  <c r="F288" i="141"/>
  <c r="Y38" i="141"/>
  <c r="Y39" i="141" s="1"/>
  <c r="W103" i="141"/>
  <c r="E679" i="141"/>
  <c r="W88" i="141"/>
  <c r="W89" i="141" s="1"/>
  <c r="O26" i="116"/>
  <c r="O52" i="116" s="1"/>
  <c r="G25" i="141"/>
  <c r="G656" i="141" s="1"/>
  <c r="F540" i="141"/>
  <c r="T96" i="141"/>
  <c r="E84" i="141"/>
  <c r="E659" i="141" s="1"/>
  <c r="BO45" i="127"/>
  <c r="S26" i="116"/>
  <c r="BP45" i="127"/>
  <c r="T26" i="116"/>
  <c r="BN45" i="127"/>
  <c r="R26" i="116"/>
  <c r="BL45" i="127"/>
  <c r="P26" i="116"/>
  <c r="BM45" i="127"/>
  <c r="Q26" i="116"/>
  <c r="BR45" i="127"/>
  <c r="V26" i="116"/>
  <c r="V52" i="116" s="1"/>
  <c r="BQ45" i="127"/>
  <c r="U26" i="116"/>
  <c r="U38" i="141"/>
  <c r="U39" i="141" s="1"/>
  <c r="G461" i="141"/>
  <c r="F271" i="141"/>
  <c r="F680" i="141" s="1"/>
  <c r="W38" i="141"/>
  <c r="W39" i="141" s="1"/>
  <c r="T10" i="70"/>
  <c r="L25" i="141"/>
  <c r="L660" i="141" s="1"/>
  <c r="U88" i="141"/>
  <c r="U89" i="141" s="1"/>
  <c r="R24" i="116"/>
  <c r="U50" i="141"/>
  <c r="U61" i="141"/>
  <c r="L681" i="141"/>
  <c r="S103" i="141"/>
  <c r="T38" i="141"/>
  <c r="T39" i="141" s="1"/>
  <c r="F682" i="141"/>
  <c r="J682" i="141"/>
  <c r="F84" i="141"/>
  <c r="F659" i="141" s="1"/>
  <c r="H25" i="141"/>
  <c r="H637" i="141"/>
  <c r="V61" i="141"/>
  <c r="G66" i="141"/>
  <c r="G658" i="141" s="1"/>
  <c r="L682" i="141"/>
  <c r="L637" i="141"/>
  <c r="F48" i="141"/>
  <c r="F661" i="141" s="1"/>
  <c r="I681" i="141"/>
  <c r="E25" i="141"/>
  <c r="S50" i="141"/>
  <c r="F66" i="141"/>
  <c r="F662" i="141" s="1"/>
  <c r="BM70" i="127"/>
  <c r="S10" i="70"/>
  <c r="E681" i="141"/>
  <c r="L679" i="141"/>
  <c r="R38" i="141"/>
  <c r="R39" i="141" s="1"/>
  <c r="BM43" i="127"/>
  <c r="Q24" i="116"/>
  <c r="BL70" i="127"/>
  <c r="R10" i="70"/>
  <c r="S88" i="141"/>
  <c r="S89" i="141" s="1"/>
  <c r="H681" i="141"/>
  <c r="K637" i="141"/>
  <c r="E670" i="141"/>
  <c r="E671" i="141" s="1"/>
  <c r="E672" i="141" s="1"/>
  <c r="I679" i="141"/>
  <c r="I637" i="141"/>
  <c r="E682" i="141"/>
  <c r="F637" i="141"/>
  <c r="G540" i="141"/>
  <c r="G84" i="141"/>
  <c r="G659" i="141" s="1"/>
  <c r="I25" i="141"/>
  <c r="I656" i="141" s="1"/>
  <c r="L670" i="141"/>
  <c r="L673" i="141" s="1"/>
  <c r="L674" i="141" s="1"/>
  <c r="J637" i="141"/>
  <c r="V38" i="141"/>
  <c r="V39" i="141" s="1"/>
  <c r="G652" i="141"/>
  <c r="I682" i="141"/>
  <c r="G328" i="141"/>
  <c r="L680" i="141"/>
  <c r="E675" i="141"/>
  <c r="J25" i="141"/>
  <c r="G427" i="141"/>
  <c r="G349" i="141"/>
  <c r="J681" i="141"/>
  <c r="G366" i="141"/>
  <c r="S38" i="141"/>
  <c r="S39" i="141" s="1"/>
  <c r="E66" i="141"/>
  <c r="H675" i="141"/>
  <c r="G305" i="141"/>
  <c r="F25" i="141"/>
  <c r="G250" i="141"/>
  <c r="E680" i="141"/>
  <c r="G444" i="141"/>
  <c r="G637" i="141"/>
  <c r="G48" i="141"/>
  <c r="G406" i="141"/>
  <c r="T103" i="141"/>
  <c r="J675" i="141"/>
  <c r="X38" i="141"/>
  <c r="X39" i="141" s="1"/>
  <c r="G271" i="141"/>
  <c r="G383" i="141"/>
  <c r="I670" i="141"/>
  <c r="G288" i="141"/>
  <c r="H660" i="141" l="1"/>
  <c r="J679" i="141"/>
  <c r="F681" i="141"/>
  <c r="AF35" i="145"/>
  <c r="AF108" i="145" s="1"/>
  <c r="J663" i="141"/>
  <c r="AL41" i="130"/>
  <c r="AL35" i="145"/>
  <c r="AL108" i="145" s="1"/>
  <c r="AM41" i="130"/>
  <c r="AM35" i="145"/>
  <c r="AM108" i="145" s="1"/>
  <c r="AK41" i="130"/>
  <c r="AK35" i="145"/>
  <c r="AK108" i="145" s="1"/>
  <c r="AH41" i="130"/>
  <c r="AH35" i="145"/>
  <c r="AH108" i="145" s="1"/>
  <c r="AG41" i="130"/>
  <c r="AG35" i="145"/>
  <c r="AG108" i="145" s="1"/>
  <c r="H663" i="141"/>
  <c r="H682" i="141"/>
  <c r="K679" i="141"/>
  <c r="F638" i="141"/>
  <c r="H670" i="141"/>
  <c r="H673" i="141" s="1"/>
  <c r="H674" i="141" s="1"/>
  <c r="H679" i="141"/>
  <c r="K670" i="141"/>
  <c r="K671" i="141" s="1"/>
  <c r="K672" i="141" s="1"/>
  <c r="K681" i="141"/>
  <c r="H638" i="141"/>
  <c r="J670" i="141"/>
  <c r="J676" i="141" s="1"/>
  <c r="J661" i="141"/>
  <c r="L663" i="141"/>
  <c r="J662" i="141"/>
  <c r="L661" i="141"/>
  <c r="J659" i="141"/>
  <c r="K638" i="141"/>
  <c r="L662" i="141"/>
  <c r="H659" i="141"/>
  <c r="E657" i="141"/>
  <c r="H662" i="141"/>
  <c r="I662" i="141"/>
  <c r="K662" i="141"/>
  <c r="H661" i="141"/>
  <c r="I663" i="141"/>
  <c r="I661" i="141"/>
  <c r="K663" i="141"/>
  <c r="K661" i="141"/>
  <c r="E660" i="141"/>
  <c r="E690" i="141"/>
  <c r="E696" i="141" s="1"/>
  <c r="K660" i="141"/>
  <c r="E663" i="141"/>
  <c r="L656" i="141"/>
  <c r="L638" i="141"/>
  <c r="F663" i="141"/>
  <c r="H656" i="141"/>
  <c r="E656" i="141"/>
  <c r="J638" i="141"/>
  <c r="I638" i="141"/>
  <c r="G663" i="141"/>
  <c r="G662" i="141"/>
  <c r="F658" i="141"/>
  <c r="F657" i="141"/>
  <c r="E676" i="141"/>
  <c r="G679" i="141"/>
  <c r="G682" i="141"/>
  <c r="H671" i="141"/>
  <c r="H672" i="141" s="1"/>
  <c r="L671" i="141"/>
  <c r="L672" i="141" s="1"/>
  <c r="E673" i="141"/>
  <c r="E674" i="141" s="1"/>
  <c r="G681" i="141"/>
  <c r="L676" i="141"/>
  <c r="G680" i="141"/>
  <c r="I660" i="141"/>
  <c r="J656" i="141"/>
  <c r="J660" i="141"/>
  <c r="F656" i="141"/>
  <c r="F660" i="141"/>
  <c r="G638" i="141"/>
  <c r="F671" i="141"/>
  <c r="F672" i="141" s="1"/>
  <c r="F676" i="141"/>
  <c r="F673" i="141"/>
  <c r="F674" i="141" s="1"/>
  <c r="E658" i="141"/>
  <c r="E662" i="141"/>
  <c r="I671" i="141"/>
  <c r="I672" i="141" s="1"/>
  <c r="I673" i="141"/>
  <c r="I674" i="141" s="1"/>
  <c r="I676" i="141"/>
  <c r="G660" i="141"/>
  <c r="G670" i="141"/>
  <c r="G661" i="141"/>
  <c r="G657" i="141"/>
  <c r="J673" i="141" l="1"/>
  <c r="J674" i="141" s="1"/>
  <c r="J671" i="141"/>
  <c r="J672" i="141" s="1"/>
  <c r="H676" i="141"/>
  <c r="K676" i="141"/>
  <c r="K673" i="141"/>
  <c r="K674" i="141" s="1"/>
  <c r="G671" i="141"/>
  <c r="G672" i="141" s="1"/>
  <c r="G676" i="141"/>
  <c r="G673" i="141"/>
  <c r="G674" i="141" s="1"/>
  <c r="B26" i="134" l="1"/>
  <c r="D23" i="134" l="1"/>
  <c r="D24" i="134" s="1"/>
  <c r="AE66" i="137" l="1"/>
  <c r="AD66" i="137"/>
  <c r="AC66" i="137"/>
  <c r="AJ66" i="137"/>
  <c r="AI66" i="137"/>
  <c r="AH66" i="137"/>
  <c r="AG66" i="137"/>
  <c r="AF66" i="137"/>
  <c r="T155" i="92" l="1"/>
  <c r="DD63" i="137" l="1"/>
  <c r="DD62" i="137"/>
  <c r="DC63" i="137"/>
  <c r="DC62" i="137"/>
  <c r="DB63" i="137"/>
  <c r="DB62" i="137"/>
  <c r="DA63" i="137"/>
  <c r="DA62" i="137"/>
  <c r="CZ63" i="137"/>
  <c r="CZ62" i="137"/>
  <c r="CY63" i="137"/>
  <c r="CY62" i="137"/>
  <c r="CW63" i="137"/>
  <c r="CW62" i="137"/>
  <c r="Q25" i="92"/>
  <c r="R25" i="92"/>
  <c r="S25" i="92"/>
  <c r="T25" i="92"/>
  <c r="U25" i="92"/>
  <c r="V25" i="92"/>
  <c r="W25" i="92"/>
  <c r="X25" i="92"/>
  <c r="Q9" i="137" l="1"/>
  <c r="DC23" i="137" l="1"/>
  <c r="DB23" i="137"/>
  <c r="DA23" i="137"/>
  <c r="CZ23" i="137"/>
  <c r="CY23" i="137"/>
  <c r="DD23" i="137"/>
  <c r="DD26" i="137" s="1"/>
  <c r="CR39" i="137" s="1"/>
  <c r="CX23" i="137"/>
  <c r="CW23" i="137"/>
  <c r="CW26" i="137" s="1"/>
  <c r="CK39" i="137" s="1"/>
  <c r="D13" i="91" s="1"/>
  <c r="Q134" i="92" l="1"/>
  <c r="R134" i="92"/>
  <c r="S134" i="92"/>
  <c r="T134" i="92"/>
  <c r="U134" i="92"/>
  <c r="V134" i="92"/>
  <c r="W134" i="92"/>
  <c r="X134" i="92"/>
  <c r="Q135" i="92"/>
  <c r="R135" i="92"/>
  <c r="S135" i="92"/>
  <c r="T135" i="92"/>
  <c r="U135" i="92"/>
  <c r="V135" i="92"/>
  <c r="W135" i="92"/>
  <c r="X135" i="92"/>
  <c r="Q136" i="92"/>
  <c r="R136" i="92"/>
  <c r="S136" i="92"/>
  <c r="T136" i="92"/>
  <c r="U136" i="92"/>
  <c r="V136" i="92"/>
  <c r="W136" i="92"/>
  <c r="X136" i="92"/>
  <c r="Q137" i="92"/>
  <c r="R137" i="92"/>
  <c r="S137" i="92"/>
  <c r="T137" i="92"/>
  <c r="U137" i="92"/>
  <c r="V137" i="92"/>
  <c r="W137" i="92"/>
  <c r="X137" i="92"/>
  <c r="Q138" i="92"/>
  <c r="R138" i="92"/>
  <c r="S138" i="92"/>
  <c r="T138" i="92"/>
  <c r="U138" i="92"/>
  <c r="V138" i="92"/>
  <c r="W138" i="92"/>
  <c r="X138" i="92"/>
  <c r="Q139" i="92"/>
  <c r="R139" i="92"/>
  <c r="S139" i="92"/>
  <c r="T139" i="92"/>
  <c r="U139" i="92"/>
  <c r="V139" i="92"/>
  <c r="W139" i="92"/>
  <c r="X139" i="92"/>
  <c r="Q140" i="92"/>
  <c r="R140" i="92"/>
  <c r="S140" i="92"/>
  <c r="T140" i="92"/>
  <c r="U140" i="92"/>
  <c r="V140" i="92"/>
  <c r="W140" i="92"/>
  <c r="X140" i="92"/>
  <c r="Q141" i="92"/>
  <c r="R141" i="92"/>
  <c r="S141" i="92"/>
  <c r="T141" i="92"/>
  <c r="U141" i="92"/>
  <c r="V141" i="92"/>
  <c r="W141" i="92"/>
  <c r="X141" i="92"/>
  <c r="Q142" i="92"/>
  <c r="R142" i="92"/>
  <c r="S142" i="92"/>
  <c r="T142" i="92"/>
  <c r="U142" i="92"/>
  <c r="V142" i="92"/>
  <c r="W142" i="92"/>
  <c r="X142" i="92"/>
  <c r="Q143" i="92"/>
  <c r="R143" i="92"/>
  <c r="S143" i="92"/>
  <c r="T143" i="92"/>
  <c r="U143" i="92"/>
  <c r="V143" i="92"/>
  <c r="W143" i="92"/>
  <c r="X143" i="92"/>
  <c r="Q144" i="92"/>
  <c r="R144" i="92"/>
  <c r="S144" i="92"/>
  <c r="T144" i="92"/>
  <c r="U144" i="92"/>
  <c r="V144" i="92"/>
  <c r="W144" i="92"/>
  <c r="X144" i="92"/>
  <c r="Q145" i="92"/>
  <c r="R145" i="92"/>
  <c r="S145" i="92"/>
  <c r="T145" i="92"/>
  <c r="U145" i="92"/>
  <c r="V145" i="92"/>
  <c r="W145" i="92"/>
  <c r="X145" i="92"/>
  <c r="Q146" i="92"/>
  <c r="R146" i="92"/>
  <c r="S146" i="92"/>
  <c r="T146" i="92"/>
  <c r="U146" i="92"/>
  <c r="V146" i="92"/>
  <c r="W146" i="92"/>
  <c r="X146" i="92"/>
  <c r="Q147" i="92"/>
  <c r="R147" i="92"/>
  <c r="S147" i="92"/>
  <c r="T147" i="92"/>
  <c r="U147" i="92"/>
  <c r="V147" i="92"/>
  <c r="W147" i="92"/>
  <c r="X147" i="92"/>
  <c r="Q133" i="92"/>
  <c r="X133" i="92"/>
  <c r="W133" i="92"/>
  <c r="V133" i="92"/>
  <c r="U133" i="92"/>
  <c r="T133" i="92"/>
  <c r="S133" i="92"/>
  <c r="R133" i="92"/>
  <c r="AF99" i="130" l="1"/>
  <c r="AG99" i="130"/>
  <c r="AH99" i="130"/>
  <c r="AI99" i="130"/>
  <c r="AJ99" i="130"/>
  <c r="AK99" i="130"/>
  <c r="AL99" i="130"/>
  <c r="AM99" i="130"/>
  <c r="AF100" i="130"/>
  <c r="AG100" i="130"/>
  <c r="AH100" i="130"/>
  <c r="AI100" i="130"/>
  <c r="AJ100" i="130"/>
  <c r="AK100" i="130"/>
  <c r="AL100" i="130"/>
  <c r="AM100" i="130"/>
  <c r="AF101" i="130"/>
  <c r="AG101" i="130"/>
  <c r="AH101" i="130"/>
  <c r="AI101" i="130"/>
  <c r="AJ101" i="130"/>
  <c r="AK101" i="130"/>
  <c r="AL101" i="130"/>
  <c r="AM101" i="130"/>
  <c r="AF102" i="130"/>
  <c r="AG102" i="130"/>
  <c r="AH102" i="130"/>
  <c r="AI102" i="130"/>
  <c r="AJ102" i="130"/>
  <c r="AK102" i="130"/>
  <c r="AL102" i="130"/>
  <c r="AM102" i="130"/>
  <c r="AF103" i="130"/>
  <c r="AG103" i="130"/>
  <c r="AH103" i="130"/>
  <c r="AI103" i="130"/>
  <c r="AJ103" i="130"/>
  <c r="AK103" i="130"/>
  <c r="AL103" i="130"/>
  <c r="AM103" i="130"/>
  <c r="AF104" i="130"/>
  <c r="AG104" i="130"/>
  <c r="AH104" i="130"/>
  <c r="AI104" i="130"/>
  <c r="AJ104" i="130"/>
  <c r="AK104" i="130"/>
  <c r="AL104" i="130"/>
  <c r="AM104" i="130"/>
  <c r="AF105" i="130"/>
  <c r="AG105" i="130"/>
  <c r="AH105" i="130"/>
  <c r="AI105" i="130"/>
  <c r="AJ105" i="130"/>
  <c r="AK105" i="130"/>
  <c r="AL105" i="130"/>
  <c r="AM105" i="130"/>
  <c r="AF106" i="130"/>
  <c r="AG106" i="130"/>
  <c r="AH106" i="130"/>
  <c r="AI106" i="130"/>
  <c r="AJ106" i="130"/>
  <c r="AK106" i="130"/>
  <c r="AL106" i="130"/>
  <c r="AM106" i="130"/>
  <c r="AF107" i="130"/>
  <c r="AG107" i="130"/>
  <c r="AH107" i="130"/>
  <c r="AI107" i="130"/>
  <c r="AJ107" i="130"/>
  <c r="AK107" i="130"/>
  <c r="AL107" i="130"/>
  <c r="AM107" i="130"/>
  <c r="AF108" i="130"/>
  <c r="AG108" i="130"/>
  <c r="AH108" i="130"/>
  <c r="AI108" i="130"/>
  <c r="AJ108" i="130"/>
  <c r="AK108" i="130"/>
  <c r="AL108" i="130"/>
  <c r="AM108" i="130"/>
  <c r="AF109" i="130"/>
  <c r="AG109" i="130"/>
  <c r="AH109" i="130"/>
  <c r="AI109" i="130"/>
  <c r="AJ109" i="130"/>
  <c r="AK109" i="130"/>
  <c r="AL109" i="130"/>
  <c r="AM109" i="130"/>
  <c r="AF110" i="130"/>
  <c r="AG110" i="130"/>
  <c r="AH110" i="130"/>
  <c r="AI110" i="130"/>
  <c r="AJ110" i="130"/>
  <c r="AK110" i="130"/>
  <c r="AL110" i="130"/>
  <c r="AM110" i="130"/>
  <c r="AF111" i="130"/>
  <c r="AG111" i="130"/>
  <c r="AH111" i="130"/>
  <c r="AI111" i="130"/>
  <c r="AJ111" i="130"/>
  <c r="AK111" i="130"/>
  <c r="AL111" i="130"/>
  <c r="AM111" i="130"/>
  <c r="AF112" i="130"/>
  <c r="AG112" i="130"/>
  <c r="AH112" i="130"/>
  <c r="AI112" i="130"/>
  <c r="AJ112" i="130"/>
  <c r="AK112" i="130"/>
  <c r="AL112" i="130"/>
  <c r="AM112" i="130"/>
  <c r="AF113" i="130"/>
  <c r="AG113" i="130"/>
  <c r="AH113" i="130"/>
  <c r="AI113" i="130"/>
  <c r="AJ113" i="130"/>
  <c r="AK113" i="130"/>
  <c r="AL113" i="130"/>
  <c r="AM113" i="130"/>
  <c r="H16" i="91" l="1"/>
  <c r="J16" i="91"/>
  <c r="G16" i="91"/>
  <c r="DD20" i="137" l="1"/>
  <c r="DD24" i="137" s="1"/>
  <c r="DC20" i="137"/>
  <c r="DC24" i="137" s="1"/>
  <c r="DC28" i="137" s="1"/>
  <c r="DB20" i="137"/>
  <c r="DB25" i="137" s="1"/>
  <c r="DA20" i="137"/>
  <c r="DA25" i="137" s="1"/>
  <c r="CZ20" i="137"/>
  <c r="CZ25" i="137" s="1"/>
  <c r="CY20" i="137"/>
  <c r="CY25" i="137" s="1"/>
  <c r="CX20" i="137"/>
  <c r="CX25" i="137" s="1"/>
  <c r="CW20" i="137"/>
  <c r="CW25" i="137" s="1"/>
  <c r="CW33" i="137" s="1"/>
  <c r="DC32" i="137" l="1"/>
  <c r="BQ72" i="127"/>
  <c r="CX24" i="137"/>
  <c r="CX28" i="137" s="1"/>
  <c r="DD28" i="137"/>
  <c r="CW24" i="137"/>
  <c r="CY24" i="137"/>
  <c r="CY28" i="137" s="1"/>
  <c r="DC25" i="137"/>
  <c r="DC33" i="137" s="1"/>
  <c r="DB24" i="137"/>
  <c r="DB28" i="137" s="1"/>
  <c r="CZ24" i="137"/>
  <c r="CZ28" i="137" s="1"/>
  <c r="DC29" i="137"/>
  <c r="DC31" i="137"/>
  <c r="CZ33" i="137"/>
  <c r="CZ35" i="137"/>
  <c r="DA33" i="137"/>
  <c r="DA35" i="137"/>
  <c r="CW35" i="137"/>
  <c r="CX33" i="137"/>
  <c r="CX35" i="137"/>
  <c r="CY33" i="137"/>
  <c r="CY35" i="137"/>
  <c r="DB33" i="137"/>
  <c r="DB35" i="137"/>
  <c r="DA24" i="137"/>
  <c r="DA28" i="137" s="1"/>
  <c r="DD29" i="137"/>
  <c r="DD31" i="137"/>
  <c r="DD25" i="137"/>
  <c r="DB27" i="137"/>
  <c r="DB26" i="137"/>
  <c r="CP39" i="137" s="1"/>
  <c r="I13" i="91" s="1"/>
  <c r="CX27" i="137"/>
  <c r="CX26" i="137"/>
  <c r="CL39" i="137" s="1"/>
  <c r="E13" i="91" s="1"/>
  <c r="CZ26" i="137"/>
  <c r="CN39" i="137" s="1"/>
  <c r="G13" i="91" s="1"/>
  <c r="CZ27" i="137"/>
  <c r="DC26" i="137"/>
  <c r="CQ39" i="137" s="1"/>
  <c r="J13" i="91" s="1"/>
  <c r="DC27" i="137"/>
  <c r="CY26" i="137"/>
  <c r="CM39" i="137" s="1"/>
  <c r="F13" i="91" s="1"/>
  <c r="CY27" i="137"/>
  <c r="DA26" i="137"/>
  <c r="CO39" i="137" s="1"/>
  <c r="H13" i="91" s="1"/>
  <c r="DA27" i="137"/>
  <c r="CW27" i="137"/>
  <c r="DD27" i="137"/>
  <c r="D26" i="102"/>
  <c r="E26" i="102"/>
  <c r="F26" i="102"/>
  <c r="H26" i="102"/>
  <c r="DB32" i="137" l="1"/>
  <c r="AV8" i="70" s="1"/>
  <c r="BP72" i="127"/>
  <c r="DA32" i="137"/>
  <c r="AU8" i="70" s="1"/>
  <c r="BO72" i="127"/>
  <c r="CY32" i="137"/>
  <c r="AS8" i="70" s="1"/>
  <c r="BM72" i="127"/>
  <c r="DD32" i="137"/>
  <c r="AX8" i="70" s="1"/>
  <c r="BR72" i="127"/>
  <c r="CX32" i="137"/>
  <c r="AR8" i="70" s="1"/>
  <c r="BL72" i="127"/>
  <c r="CZ32" i="137"/>
  <c r="AT8" i="70" s="1"/>
  <c r="BN72" i="127"/>
  <c r="J26" i="102"/>
  <c r="C26" i="102"/>
  <c r="CW28" i="137"/>
  <c r="CW31" i="137"/>
  <c r="G26" i="102"/>
  <c r="W9" i="70"/>
  <c r="I26" i="102"/>
  <c r="CY29" i="137"/>
  <c r="CW29" i="137"/>
  <c r="DB29" i="137"/>
  <c r="CW34" i="137"/>
  <c r="C23" i="102"/>
  <c r="DA34" i="137"/>
  <c r="G23" i="102"/>
  <c r="CX34" i="137"/>
  <c r="D23" i="102"/>
  <c r="O16" i="102" s="1"/>
  <c r="CY34" i="137"/>
  <c r="E23" i="102"/>
  <c r="DB34" i="137"/>
  <c r="H23" i="102"/>
  <c r="DC34" i="137"/>
  <c r="I23" i="102"/>
  <c r="DD34" i="137"/>
  <c r="J23" i="102"/>
  <c r="CZ34" i="137"/>
  <c r="F23" i="102"/>
  <c r="CZ29" i="137"/>
  <c r="DB31" i="137"/>
  <c r="CY31" i="137"/>
  <c r="S9" i="70"/>
  <c r="AW8" i="70"/>
  <c r="DC35" i="137"/>
  <c r="T9" i="70"/>
  <c r="CZ31" i="137"/>
  <c r="DD33" i="137"/>
  <c r="DD35" i="137"/>
  <c r="CX29" i="137"/>
  <c r="R9" i="70"/>
  <c r="CX31" i="137"/>
  <c r="DA29" i="137"/>
  <c r="DA31" i="137"/>
  <c r="X9" i="70"/>
  <c r="Q102" i="92"/>
  <c r="R102" i="92"/>
  <c r="S102" i="92"/>
  <c r="T102" i="92"/>
  <c r="U102" i="92"/>
  <c r="V102" i="92"/>
  <c r="W102" i="92"/>
  <c r="X102" i="92"/>
  <c r="Q101" i="92"/>
  <c r="R101" i="92"/>
  <c r="S101" i="92"/>
  <c r="T101" i="92"/>
  <c r="U101" i="92"/>
  <c r="V101" i="92"/>
  <c r="W101" i="92"/>
  <c r="X101" i="92"/>
  <c r="Q98" i="92"/>
  <c r="R98" i="92"/>
  <c r="S98" i="92"/>
  <c r="T98" i="92"/>
  <c r="U98" i="92"/>
  <c r="V98" i="92"/>
  <c r="W98" i="92"/>
  <c r="X98" i="92"/>
  <c r="Q99" i="92"/>
  <c r="R99" i="92"/>
  <c r="S99" i="92"/>
  <c r="T99" i="92"/>
  <c r="U99" i="92"/>
  <c r="V99" i="92"/>
  <c r="W99" i="92"/>
  <c r="X99" i="92"/>
  <c r="Q100" i="92"/>
  <c r="R100" i="92"/>
  <c r="S100" i="92"/>
  <c r="T100" i="92"/>
  <c r="U100" i="92"/>
  <c r="V100" i="92"/>
  <c r="W100" i="92"/>
  <c r="X100" i="92"/>
  <c r="Q70" i="92"/>
  <c r="CW32" i="137" l="1"/>
  <c r="AQ8" i="70" s="1"/>
  <c r="BK72" i="127"/>
  <c r="U9" i="70"/>
  <c r="V9" i="70"/>
  <c r="Q9" i="70"/>
  <c r="K56" i="138"/>
  <c r="M126" i="138" l="1"/>
  <c r="F114" i="138" s="1"/>
  <c r="P127" i="138"/>
  <c r="P128" i="138"/>
  <c r="S128" i="138" s="1"/>
  <c r="P129" i="138"/>
  <c r="S129" i="138" s="1"/>
  <c r="P126" i="138"/>
  <c r="R122" i="138"/>
  <c r="Q120" i="138"/>
  <c r="M118" i="138"/>
  <c r="E56" i="138"/>
  <c r="F56" i="138"/>
  <c r="G56" i="138"/>
  <c r="H56" i="138"/>
  <c r="I56" i="138"/>
  <c r="J56" i="138"/>
  <c r="D56" i="138"/>
  <c r="S130" i="138" l="1"/>
  <c r="N106" i="138" l="1"/>
  <c r="M105" i="138"/>
  <c r="O105" i="138" s="1"/>
  <c r="S120" i="138" s="1"/>
  <c r="M104" i="138"/>
  <c r="O104" i="138" s="1"/>
  <c r="M103" i="138"/>
  <c r="M102" i="138"/>
  <c r="O102" i="138" s="1"/>
  <c r="G138" i="138"/>
  <c r="G141" i="138"/>
  <c r="F142" i="138"/>
  <c r="G142" i="138"/>
  <c r="G145" i="138"/>
  <c r="F146" i="138"/>
  <c r="G146" i="138"/>
  <c r="G139" i="138"/>
  <c r="F140" i="138"/>
  <c r="G140" i="138"/>
  <c r="F141" i="138"/>
  <c r="F143" i="138"/>
  <c r="G143" i="138"/>
  <c r="F144" i="138"/>
  <c r="G144" i="138"/>
  <c r="F145" i="138"/>
  <c r="G137" i="138"/>
  <c r="F132" i="138"/>
  <c r="G132" i="138" s="1"/>
  <c r="G133" i="138" s="1"/>
  <c r="O103" i="138" l="1"/>
  <c r="S121" i="138" s="1"/>
  <c r="S122" i="138" s="1"/>
  <c r="T122" i="138" s="1"/>
  <c r="U122" i="138" s="1"/>
  <c r="Q121" i="138"/>
  <c r="O106" i="138"/>
  <c r="T102" i="138"/>
  <c r="S102" i="138"/>
  <c r="R126" i="138" s="1"/>
  <c r="R130" i="138" s="1"/>
  <c r="T130" i="138" s="1"/>
  <c r="S105" i="138"/>
  <c r="R128" i="138" s="1"/>
  <c r="T105" i="138"/>
  <c r="T103" i="138"/>
  <c r="S103" i="138"/>
  <c r="R129" i="138" s="1"/>
  <c r="M106" i="138"/>
  <c r="T104" i="138"/>
  <c r="S104" i="138"/>
  <c r="R127" i="138" s="1"/>
  <c r="F133" i="138"/>
  <c r="G114" i="138" l="1"/>
  <c r="U130" i="138"/>
  <c r="E123" i="138"/>
  <c r="E122" i="138"/>
  <c r="E121" i="138"/>
  <c r="E120" i="138"/>
  <c r="E106" i="138"/>
  <c r="F106" i="138" s="1"/>
  <c r="E105" i="138"/>
  <c r="F105" i="138" s="1"/>
  <c r="E104" i="138"/>
  <c r="F104" i="138" s="1"/>
  <c r="E103" i="138"/>
  <c r="F103" i="138" s="1"/>
  <c r="F102" i="138"/>
  <c r="G102" i="138"/>
  <c r="F107" i="138"/>
  <c r="G107" i="138"/>
  <c r="F108" i="138"/>
  <c r="G108" i="138"/>
  <c r="F109" i="138"/>
  <c r="G109" i="138"/>
  <c r="F110" i="138"/>
  <c r="G110" i="138"/>
  <c r="G101" i="138"/>
  <c r="F101" i="138"/>
  <c r="G106" i="138" l="1"/>
  <c r="F111" i="138"/>
  <c r="G105" i="138"/>
  <c r="G104" i="138"/>
  <c r="G103" i="138"/>
  <c r="E83" i="138" l="1"/>
  <c r="J83" i="138"/>
  <c r="J87" i="138"/>
  <c r="I83" i="138"/>
  <c r="G111" i="138"/>
  <c r="G115" i="138" s="1"/>
  <c r="G116" i="138" s="1"/>
  <c r="G112" i="138"/>
  <c r="G113" i="138" s="1"/>
  <c r="H87" i="138"/>
  <c r="H83" i="138"/>
  <c r="G87" i="138"/>
  <c r="G83" i="138"/>
  <c r="K87" i="138"/>
  <c r="K83" i="138"/>
  <c r="F87" i="138"/>
  <c r="F83" i="138"/>
  <c r="D83" i="138"/>
  <c r="E91" i="138"/>
  <c r="I91" i="138"/>
  <c r="I95" i="138"/>
  <c r="J91" i="138"/>
  <c r="J95" i="138"/>
  <c r="K91" i="138"/>
  <c r="K95" i="138"/>
  <c r="D87" i="138"/>
  <c r="E87" i="138"/>
  <c r="D91" i="138"/>
  <c r="D95" i="138"/>
  <c r="E95" i="138"/>
  <c r="F91" i="138"/>
  <c r="F95" i="138"/>
  <c r="G91" i="138"/>
  <c r="G95" i="138"/>
  <c r="I87" i="138"/>
  <c r="H91" i="138"/>
  <c r="H95" i="138"/>
  <c r="D125" i="138" l="1"/>
  <c r="D137" i="138" s="1"/>
  <c r="F137" i="138" s="1"/>
  <c r="D118" i="138"/>
  <c r="D126" i="138"/>
  <c r="D138" i="138" s="1"/>
  <c r="F138" i="138" s="1"/>
  <c r="D119" i="138"/>
  <c r="D127" i="138"/>
  <c r="D139" i="138" s="1"/>
  <c r="F139" i="138" s="1"/>
  <c r="D120" i="138"/>
  <c r="D132" i="138" s="1"/>
  <c r="D121" i="138"/>
  <c r="D133" i="138" s="1"/>
  <c r="D122" i="138"/>
  <c r="D134" i="138" s="1"/>
  <c r="D123" i="138"/>
  <c r="D124" i="138"/>
  <c r="D136" i="138" s="1"/>
  <c r="D135" i="138"/>
  <c r="D131" i="138"/>
  <c r="D130" i="138"/>
  <c r="G119" i="138"/>
  <c r="G120" i="138"/>
  <c r="G121" i="138" l="1"/>
  <c r="G124" i="138"/>
  <c r="G125" i="138"/>
  <c r="G126" i="138"/>
  <c r="G123" i="138"/>
  <c r="G127" i="138"/>
  <c r="G122" i="138"/>
  <c r="G118" i="138"/>
  <c r="E48" i="138"/>
  <c r="F48" i="138"/>
  <c r="G48" i="138"/>
  <c r="H48" i="138"/>
  <c r="I48" i="138"/>
  <c r="J48" i="138"/>
  <c r="K48" i="138"/>
  <c r="E49" i="138"/>
  <c r="F49" i="138"/>
  <c r="G49" i="138"/>
  <c r="H49" i="138"/>
  <c r="I49" i="138"/>
  <c r="J49" i="138"/>
  <c r="K49" i="138"/>
  <c r="E50" i="138"/>
  <c r="F50" i="138"/>
  <c r="G50" i="138"/>
  <c r="H50" i="138"/>
  <c r="I50" i="138"/>
  <c r="J50" i="138"/>
  <c r="K50" i="138"/>
  <c r="E54" i="138"/>
  <c r="F54" i="138"/>
  <c r="G54" i="138"/>
  <c r="H54" i="138"/>
  <c r="I54" i="138"/>
  <c r="J54" i="138"/>
  <c r="K54" i="138"/>
  <c r="D50" i="138"/>
  <c r="D55" i="138" l="1"/>
  <c r="D46" i="138"/>
  <c r="I55" i="138"/>
  <c r="I46" i="138"/>
  <c r="I53" i="138"/>
  <c r="I59" i="138"/>
  <c r="I58" i="138"/>
  <c r="H55" i="138"/>
  <c r="H46" i="138"/>
  <c r="H53" i="138"/>
  <c r="H59" i="138"/>
  <c r="H58" i="138"/>
  <c r="G55" i="138"/>
  <c r="G46" i="138"/>
  <c r="G53" i="138"/>
  <c r="G59" i="138"/>
  <c r="G58" i="138"/>
  <c r="F55" i="138"/>
  <c r="F46" i="138"/>
  <c r="F53" i="138"/>
  <c r="F58" i="138"/>
  <c r="F59" i="138"/>
  <c r="E55" i="138"/>
  <c r="E46" i="138"/>
  <c r="E53" i="138"/>
  <c r="E59" i="138"/>
  <c r="E58" i="138"/>
  <c r="K55" i="138"/>
  <c r="K46" i="138"/>
  <c r="D53" i="138"/>
  <c r="D59" i="138"/>
  <c r="D58" i="138"/>
  <c r="K53" i="138"/>
  <c r="K58" i="138"/>
  <c r="K59" i="138"/>
  <c r="J55" i="138"/>
  <c r="J46" i="138"/>
  <c r="J53" i="138"/>
  <c r="J59" i="138"/>
  <c r="J58" i="138"/>
  <c r="D48" i="138"/>
  <c r="D49" i="138"/>
  <c r="D54" i="138"/>
  <c r="G128" i="138"/>
  <c r="D34" i="138"/>
  <c r="K34" i="138"/>
  <c r="J34" i="138"/>
  <c r="I34" i="138"/>
  <c r="H34" i="138"/>
  <c r="G34" i="138"/>
  <c r="D23" i="138"/>
  <c r="F34" i="138"/>
  <c r="E34" i="138"/>
  <c r="F23" i="138"/>
  <c r="E23" i="138"/>
  <c r="J23" i="138"/>
  <c r="I23" i="138"/>
  <c r="H23" i="138"/>
  <c r="G23" i="138"/>
  <c r="K23" i="138"/>
  <c r="DU5" i="137" l="1"/>
  <c r="W37" i="92" l="1"/>
  <c r="Q35" i="92"/>
  <c r="R35" i="92"/>
  <c r="S35" i="92"/>
  <c r="T35" i="92"/>
  <c r="U35" i="92"/>
  <c r="V35" i="92"/>
  <c r="W35" i="92"/>
  <c r="X35" i="92"/>
  <c r="Q36" i="92"/>
  <c r="R36" i="92"/>
  <c r="S36" i="92"/>
  <c r="T36" i="92"/>
  <c r="U36" i="92"/>
  <c r="V36" i="92"/>
  <c r="W36" i="92"/>
  <c r="X36" i="92"/>
  <c r="Q37" i="92"/>
  <c r="R37" i="92"/>
  <c r="S37" i="92"/>
  <c r="T37" i="92"/>
  <c r="U37" i="92"/>
  <c r="V37" i="92"/>
  <c r="X37" i="92"/>
  <c r="Q160" i="92"/>
  <c r="Q158" i="92"/>
  <c r="Q156" i="92"/>
  <c r="R173" i="92" l="1"/>
  <c r="R174" i="92" s="1"/>
  <c r="R175" i="92" s="1"/>
  <c r="S173" i="92"/>
  <c r="S174" i="92" s="1"/>
  <c r="S175" i="92" s="1"/>
  <c r="T173" i="92"/>
  <c r="T174" i="92" s="1"/>
  <c r="T175" i="92" s="1"/>
  <c r="U173" i="92"/>
  <c r="U174" i="92" s="1"/>
  <c r="U175" i="92" s="1"/>
  <c r="V173" i="92"/>
  <c r="V174" i="92" s="1"/>
  <c r="V175" i="92" s="1"/>
  <c r="W173" i="92"/>
  <c r="W174" i="92" s="1"/>
  <c r="W175" i="92" s="1"/>
  <c r="X173" i="92"/>
  <c r="X174" i="92" s="1"/>
  <c r="X175" i="92" s="1"/>
  <c r="Q173" i="92"/>
  <c r="Q174" i="92" s="1"/>
  <c r="Q175" i="92" s="1"/>
  <c r="R131" i="92"/>
  <c r="S131" i="92"/>
  <c r="T131" i="92"/>
  <c r="U131" i="92"/>
  <c r="V131" i="92"/>
  <c r="W131" i="92"/>
  <c r="X131" i="92"/>
  <c r="R132" i="92"/>
  <c r="S132" i="92"/>
  <c r="T132" i="92"/>
  <c r="U132" i="92"/>
  <c r="V132" i="92"/>
  <c r="W132" i="92"/>
  <c r="X132" i="92"/>
  <c r="R154" i="92"/>
  <c r="S154" i="92"/>
  <c r="T154" i="92"/>
  <c r="U154" i="92"/>
  <c r="V154" i="92"/>
  <c r="W154" i="92"/>
  <c r="X154" i="92"/>
  <c r="R155" i="92"/>
  <c r="S155" i="92"/>
  <c r="U155" i="92"/>
  <c r="V155" i="92"/>
  <c r="W155" i="92"/>
  <c r="X155" i="92"/>
  <c r="Q132" i="92"/>
  <c r="Q154" i="92"/>
  <c r="Q155" i="92"/>
  <c r="Q131" i="92"/>
  <c r="R128" i="92"/>
  <c r="S128" i="92"/>
  <c r="T128" i="92"/>
  <c r="U128" i="92"/>
  <c r="V128" i="92"/>
  <c r="W128" i="92"/>
  <c r="X128" i="92"/>
  <c r="R129" i="92"/>
  <c r="S129" i="92"/>
  <c r="T129" i="92"/>
  <c r="U129" i="92"/>
  <c r="V129" i="92"/>
  <c r="W129" i="92"/>
  <c r="X129" i="92"/>
  <c r="R130" i="92"/>
  <c r="S130" i="92"/>
  <c r="T130" i="92"/>
  <c r="U130" i="92"/>
  <c r="V130" i="92"/>
  <c r="W130" i="92"/>
  <c r="X130" i="92"/>
  <c r="Q129" i="92"/>
  <c r="Q130" i="92"/>
  <c r="Q128" i="92"/>
  <c r="R126" i="92"/>
  <c r="S126" i="92"/>
  <c r="T126" i="92"/>
  <c r="U126" i="92"/>
  <c r="V126" i="92"/>
  <c r="W126" i="92"/>
  <c r="X126" i="92"/>
  <c r="R127" i="92"/>
  <c r="S127" i="92"/>
  <c r="T127" i="92"/>
  <c r="U127" i="92"/>
  <c r="V127" i="92"/>
  <c r="W127" i="92"/>
  <c r="Q127" i="92"/>
  <c r="Q126" i="92"/>
  <c r="R88" i="92"/>
  <c r="S88" i="92"/>
  <c r="T88" i="92"/>
  <c r="U88" i="92"/>
  <c r="V88" i="92"/>
  <c r="W88" i="92"/>
  <c r="X88" i="92"/>
  <c r="R168" i="92" l="1"/>
  <c r="AB99" i="92" s="1"/>
  <c r="Q168" i="92"/>
  <c r="X168" i="92"/>
  <c r="W168" i="92"/>
  <c r="V168" i="92"/>
  <c r="U168" i="92"/>
  <c r="T168" i="92"/>
  <c r="S168" i="92"/>
  <c r="AH78" i="92"/>
  <c r="AE78" i="92"/>
  <c r="AB78" i="92"/>
  <c r="I25" i="102"/>
  <c r="H25" i="102"/>
  <c r="G25" i="102"/>
  <c r="F25" i="102"/>
  <c r="D25" i="102"/>
  <c r="C21" i="102"/>
  <c r="D21" i="102"/>
  <c r="E21" i="102"/>
  <c r="F21" i="102"/>
  <c r="G21" i="102"/>
  <c r="H21" i="102"/>
  <c r="I21" i="102"/>
  <c r="J21" i="102"/>
  <c r="C25" i="102" l="1"/>
  <c r="N20" i="102" s="1"/>
  <c r="E25" i="102"/>
  <c r="J25" i="102"/>
  <c r="I17" i="136" l="1"/>
  <c r="H17" i="136"/>
  <c r="J17" i="136"/>
  <c r="K17" i="136"/>
  <c r="L17" i="136"/>
  <c r="F17" i="136"/>
  <c r="E17" i="136"/>
  <c r="G17" i="136"/>
  <c r="E52" i="136" l="1"/>
  <c r="F52" i="136"/>
  <c r="G52" i="136"/>
  <c r="H52" i="136"/>
  <c r="I52" i="136"/>
  <c r="J52" i="136"/>
  <c r="K52" i="136"/>
  <c r="L52" i="136"/>
  <c r="DO50" i="137" l="1"/>
  <c r="DN50" i="137"/>
  <c r="DK50" i="137" l="1"/>
  <c r="DM50" i="137"/>
  <c r="DL50" i="137"/>
  <c r="DJ78" i="137"/>
  <c r="DJ80" i="137" s="1"/>
  <c r="DQ50" i="137"/>
  <c r="DP50" i="137"/>
  <c r="DJ50" i="137"/>
  <c r="DM78" i="137"/>
  <c r="DL78" i="137"/>
  <c r="DK78" i="137"/>
  <c r="DP78" i="137"/>
  <c r="DN78" i="137"/>
  <c r="DO78" i="137"/>
  <c r="DQ78" i="137"/>
  <c r="DP105" i="137"/>
  <c r="CW44" i="137"/>
  <c r="CX44" i="137"/>
  <c r="CY44" i="137"/>
  <c r="CZ44" i="137"/>
  <c r="DA44" i="137"/>
  <c r="DB44" i="137"/>
  <c r="DC44" i="137"/>
  <c r="DD44" i="137"/>
  <c r="DJ105" i="137"/>
  <c r="DK105" i="137"/>
  <c r="DL105" i="137"/>
  <c r="DN105" i="137"/>
  <c r="DO105" i="137"/>
  <c r="DQ105" i="137"/>
  <c r="J46" i="109"/>
  <c r="I46" i="109"/>
  <c r="H46" i="109"/>
  <c r="G46" i="109"/>
  <c r="F46" i="109"/>
  <c r="E46" i="109"/>
  <c r="D46" i="109"/>
  <c r="C46" i="109"/>
  <c r="J45" i="109"/>
  <c r="I45" i="109"/>
  <c r="H45" i="109"/>
  <c r="G45" i="109"/>
  <c r="F45" i="109"/>
  <c r="E45" i="109"/>
  <c r="D45" i="109"/>
  <c r="C45" i="109"/>
  <c r="J44" i="109"/>
  <c r="I44" i="109"/>
  <c r="H44" i="109"/>
  <c r="G44" i="109"/>
  <c r="F44" i="109"/>
  <c r="E44" i="109"/>
  <c r="D44" i="109"/>
  <c r="C44" i="109"/>
  <c r="J43" i="109"/>
  <c r="I43" i="109"/>
  <c r="H43" i="109"/>
  <c r="G43" i="109"/>
  <c r="F43" i="109"/>
  <c r="E43" i="109"/>
  <c r="D43" i="109"/>
  <c r="C43" i="109"/>
  <c r="J42" i="109"/>
  <c r="I42" i="109"/>
  <c r="H42" i="109"/>
  <c r="G42" i="109"/>
  <c r="F42" i="109"/>
  <c r="E42" i="109"/>
  <c r="D42" i="109"/>
  <c r="C42" i="109"/>
  <c r="J41" i="109"/>
  <c r="I41" i="109"/>
  <c r="H41" i="109"/>
  <c r="G41" i="109"/>
  <c r="F41" i="109"/>
  <c r="E41" i="109"/>
  <c r="D41" i="109"/>
  <c r="C41" i="109"/>
  <c r="J40" i="109"/>
  <c r="I40" i="109"/>
  <c r="H40" i="109"/>
  <c r="G40" i="109"/>
  <c r="F40" i="109"/>
  <c r="E40" i="109"/>
  <c r="D40" i="109"/>
  <c r="C40" i="109"/>
  <c r="J39" i="109"/>
  <c r="I39" i="109"/>
  <c r="H39" i="109"/>
  <c r="G39" i="109"/>
  <c r="F39" i="109"/>
  <c r="E39" i="109"/>
  <c r="D39" i="109"/>
  <c r="C39" i="109"/>
  <c r="J38" i="109"/>
  <c r="I38" i="109"/>
  <c r="H38" i="109"/>
  <c r="G38" i="109"/>
  <c r="F38" i="109"/>
  <c r="E38" i="109"/>
  <c r="D38" i="109"/>
  <c r="C38" i="109"/>
  <c r="J37" i="109"/>
  <c r="I37" i="109"/>
  <c r="H37" i="109"/>
  <c r="G37" i="109"/>
  <c r="F37" i="109"/>
  <c r="E37" i="109"/>
  <c r="D37" i="109"/>
  <c r="C37" i="109"/>
  <c r="J36" i="109"/>
  <c r="I36" i="109"/>
  <c r="H36" i="109"/>
  <c r="G36" i="109"/>
  <c r="F36" i="109"/>
  <c r="E36" i="109"/>
  <c r="D36" i="109"/>
  <c r="C36" i="109"/>
  <c r="J35" i="109"/>
  <c r="I35" i="109"/>
  <c r="H35" i="109"/>
  <c r="G35" i="109"/>
  <c r="F35" i="109"/>
  <c r="E35" i="109"/>
  <c r="D35" i="109"/>
  <c r="C35" i="109"/>
  <c r="J34" i="109"/>
  <c r="I34" i="109"/>
  <c r="H34" i="109"/>
  <c r="G34" i="109"/>
  <c r="F34" i="109"/>
  <c r="E34" i="109"/>
  <c r="D34" i="109"/>
  <c r="C34" i="109"/>
  <c r="J33" i="109"/>
  <c r="I33" i="109"/>
  <c r="H33" i="109"/>
  <c r="G33" i="109"/>
  <c r="F33" i="109"/>
  <c r="E33" i="109"/>
  <c r="D33" i="109"/>
  <c r="C33" i="109"/>
  <c r="J27" i="109"/>
  <c r="I27" i="109"/>
  <c r="H27" i="109"/>
  <c r="G27" i="109"/>
  <c r="F27" i="109"/>
  <c r="E27" i="109"/>
  <c r="D27" i="109"/>
  <c r="C27" i="109"/>
  <c r="J26" i="109"/>
  <c r="I26" i="109"/>
  <c r="H26" i="109"/>
  <c r="G26" i="109"/>
  <c r="F26" i="109"/>
  <c r="E26" i="109"/>
  <c r="D26" i="109"/>
  <c r="C26" i="109"/>
  <c r="J25" i="109"/>
  <c r="I25" i="109"/>
  <c r="H25" i="109"/>
  <c r="G25" i="109"/>
  <c r="F25" i="109"/>
  <c r="E25" i="109"/>
  <c r="D25" i="109"/>
  <c r="C25" i="109"/>
  <c r="J24" i="109"/>
  <c r="I24" i="109"/>
  <c r="H24" i="109"/>
  <c r="G24" i="109"/>
  <c r="F24" i="109"/>
  <c r="E24" i="109"/>
  <c r="D24" i="109"/>
  <c r="C24" i="109"/>
  <c r="J23" i="109"/>
  <c r="I23" i="109"/>
  <c r="H23" i="109"/>
  <c r="G23" i="109"/>
  <c r="F23" i="109"/>
  <c r="E23" i="109"/>
  <c r="D23" i="109"/>
  <c r="C23" i="109"/>
  <c r="J22" i="109"/>
  <c r="I22" i="109"/>
  <c r="H22" i="109"/>
  <c r="G22" i="109"/>
  <c r="F22" i="109"/>
  <c r="E22" i="109"/>
  <c r="D22" i="109"/>
  <c r="C22" i="109"/>
  <c r="J21" i="109"/>
  <c r="I21" i="109"/>
  <c r="H21" i="109"/>
  <c r="G21" i="109"/>
  <c r="F21" i="109"/>
  <c r="E21" i="109"/>
  <c r="D21" i="109"/>
  <c r="C21" i="109"/>
  <c r="J20" i="109"/>
  <c r="I20" i="109"/>
  <c r="H20" i="109"/>
  <c r="G20" i="109"/>
  <c r="F20" i="109"/>
  <c r="E20" i="109"/>
  <c r="D20" i="109"/>
  <c r="C20" i="109"/>
  <c r="J19" i="109"/>
  <c r="I19" i="109"/>
  <c r="H19" i="109"/>
  <c r="G19" i="109"/>
  <c r="F19" i="109"/>
  <c r="E19" i="109"/>
  <c r="D19" i="109"/>
  <c r="C19" i="109"/>
  <c r="J13" i="109"/>
  <c r="I13" i="109"/>
  <c r="H13" i="109"/>
  <c r="G13" i="109"/>
  <c r="F13" i="109"/>
  <c r="E13" i="109"/>
  <c r="D13" i="109"/>
  <c r="C13" i="109"/>
  <c r="J12" i="109"/>
  <c r="I12" i="109"/>
  <c r="H12" i="109"/>
  <c r="G12" i="109"/>
  <c r="F12" i="109"/>
  <c r="E12" i="109"/>
  <c r="D12" i="109"/>
  <c r="C12" i="109"/>
  <c r="J11" i="109"/>
  <c r="I11" i="109"/>
  <c r="H11" i="109"/>
  <c r="G11" i="109"/>
  <c r="F11" i="109"/>
  <c r="E11" i="109"/>
  <c r="D11" i="109"/>
  <c r="C11" i="109"/>
  <c r="J10" i="109"/>
  <c r="I10" i="109"/>
  <c r="H10" i="109"/>
  <c r="G10" i="109"/>
  <c r="F10" i="109"/>
  <c r="E10" i="109"/>
  <c r="D10" i="109"/>
  <c r="C10" i="109"/>
  <c r="J9" i="109"/>
  <c r="I9" i="109"/>
  <c r="H9" i="109"/>
  <c r="G9" i="109"/>
  <c r="F9" i="109"/>
  <c r="E9" i="109"/>
  <c r="D9" i="109"/>
  <c r="C9" i="109"/>
  <c r="J8" i="109"/>
  <c r="I8" i="109"/>
  <c r="H8" i="109"/>
  <c r="G8" i="109"/>
  <c r="F8" i="109"/>
  <c r="E8" i="109"/>
  <c r="D8" i="109"/>
  <c r="C8" i="109"/>
  <c r="J7" i="109"/>
  <c r="I7" i="109"/>
  <c r="H7" i="109"/>
  <c r="G7" i="109"/>
  <c r="F7" i="109"/>
  <c r="E7" i="109"/>
  <c r="D7" i="109"/>
  <c r="C7" i="109"/>
  <c r="J6" i="109"/>
  <c r="I6" i="109"/>
  <c r="H6" i="109"/>
  <c r="G6" i="109"/>
  <c r="F6" i="109"/>
  <c r="E6" i="109"/>
  <c r="D6" i="109"/>
  <c r="C6" i="109"/>
  <c r="J5" i="109"/>
  <c r="I5" i="109"/>
  <c r="H5" i="109"/>
  <c r="G5" i="109"/>
  <c r="F5" i="109"/>
  <c r="E5" i="109"/>
  <c r="D5" i="109"/>
  <c r="C5" i="109"/>
  <c r="U59" i="102"/>
  <c r="O8" i="102"/>
  <c r="K75" i="99"/>
  <c r="J75" i="99"/>
  <c r="I75" i="99"/>
  <c r="H75" i="99"/>
  <c r="G75" i="99"/>
  <c r="F75" i="99"/>
  <c r="E75" i="99"/>
  <c r="D75" i="99"/>
  <c r="K74" i="99"/>
  <c r="J74" i="99"/>
  <c r="I74" i="99"/>
  <c r="H74" i="99"/>
  <c r="G74" i="99"/>
  <c r="F74" i="99"/>
  <c r="E74" i="99"/>
  <c r="D74" i="99"/>
  <c r="K69" i="99"/>
  <c r="J69" i="99"/>
  <c r="I69" i="99"/>
  <c r="H69" i="99"/>
  <c r="G69" i="99"/>
  <c r="F69" i="99"/>
  <c r="E69" i="99"/>
  <c r="D69" i="99"/>
  <c r="K55" i="99"/>
  <c r="J55" i="99"/>
  <c r="I55" i="99"/>
  <c r="H55" i="99"/>
  <c r="G55" i="99"/>
  <c r="F55" i="99"/>
  <c r="E55" i="99"/>
  <c r="D55" i="99"/>
  <c r="K54" i="99"/>
  <c r="J54" i="99"/>
  <c r="I54" i="99"/>
  <c r="H54" i="99"/>
  <c r="G54" i="99"/>
  <c r="F54" i="99"/>
  <c r="E54" i="99"/>
  <c r="D54" i="99"/>
  <c r="K53" i="99"/>
  <c r="J53" i="99"/>
  <c r="I53" i="99"/>
  <c r="H53" i="99"/>
  <c r="G53" i="99"/>
  <c r="F53" i="99"/>
  <c r="E53" i="99"/>
  <c r="D53" i="99"/>
  <c r="K47" i="99"/>
  <c r="J47" i="99"/>
  <c r="I47" i="99"/>
  <c r="H47" i="99"/>
  <c r="G47" i="99"/>
  <c r="F47" i="99"/>
  <c r="E47" i="99"/>
  <c r="D47" i="99"/>
  <c r="K46" i="99"/>
  <c r="J46" i="99"/>
  <c r="I46" i="99"/>
  <c r="H46" i="99"/>
  <c r="G46" i="99"/>
  <c r="F46" i="99"/>
  <c r="E46" i="99"/>
  <c r="D46" i="99"/>
  <c r="K45" i="99"/>
  <c r="J45" i="99"/>
  <c r="I45" i="99"/>
  <c r="H45" i="99"/>
  <c r="G45" i="99"/>
  <c r="F45" i="99"/>
  <c r="E45" i="99"/>
  <c r="D45" i="99"/>
  <c r="K39" i="99"/>
  <c r="J39" i="99"/>
  <c r="I39" i="99"/>
  <c r="H39" i="99"/>
  <c r="G39" i="99"/>
  <c r="F39" i="99"/>
  <c r="E39" i="99"/>
  <c r="D39" i="99"/>
  <c r="K38" i="99"/>
  <c r="J38" i="99"/>
  <c r="I38" i="99"/>
  <c r="H38" i="99"/>
  <c r="G38" i="99"/>
  <c r="F38" i="99"/>
  <c r="E38" i="99"/>
  <c r="D38" i="99"/>
  <c r="K36" i="99"/>
  <c r="J36" i="99"/>
  <c r="I36" i="99"/>
  <c r="H36" i="99"/>
  <c r="G36" i="99"/>
  <c r="F36" i="99"/>
  <c r="E36" i="99"/>
  <c r="D36" i="99"/>
  <c r="K35" i="99"/>
  <c r="J35" i="99"/>
  <c r="I35" i="99"/>
  <c r="H35" i="99"/>
  <c r="G35" i="99"/>
  <c r="F35" i="99"/>
  <c r="E35" i="99"/>
  <c r="D35" i="99"/>
  <c r="K29" i="99"/>
  <c r="J29" i="99"/>
  <c r="I29" i="99"/>
  <c r="H29" i="99"/>
  <c r="G29" i="99"/>
  <c r="F29" i="99"/>
  <c r="E29" i="99"/>
  <c r="D29" i="99"/>
  <c r="K28" i="99"/>
  <c r="J28" i="99"/>
  <c r="I28" i="99"/>
  <c r="H28" i="99"/>
  <c r="G28" i="99"/>
  <c r="F28" i="99"/>
  <c r="E28" i="99"/>
  <c r="D28" i="99"/>
  <c r="K27" i="99"/>
  <c r="J27" i="99"/>
  <c r="I27" i="99"/>
  <c r="H27" i="99"/>
  <c r="G27" i="99"/>
  <c r="F27" i="99"/>
  <c r="E27" i="99"/>
  <c r="D27" i="99"/>
  <c r="K26" i="99"/>
  <c r="J26" i="99"/>
  <c r="I26" i="99"/>
  <c r="H26" i="99"/>
  <c r="G26" i="99"/>
  <c r="F26" i="99"/>
  <c r="E26" i="99"/>
  <c r="D26" i="99"/>
  <c r="K20" i="99"/>
  <c r="J20" i="99"/>
  <c r="I20" i="99"/>
  <c r="H20" i="99"/>
  <c r="G20" i="99"/>
  <c r="F20" i="99"/>
  <c r="E20" i="99"/>
  <c r="D20" i="99"/>
  <c r="K19" i="99"/>
  <c r="J19" i="99"/>
  <c r="I19" i="99"/>
  <c r="H19" i="99"/>
  <c r="G19" i="99"/>
  <c r="F19" i="99"/>
  <c r="E19" i="99"/>
  <c r="D19" i="99"/>
  <c r="K17" i="99"/>
  <c r="J17" i="99"/>
  <c r="I17" i="99"/>
  <c r="H17" i="99"/>
  <c r="G17" i="99"/>
  <c r="F17" i="99"/>
  <c r="E17" i="99"/>
  <c r="D17" i="99"/>
  <c r="K16" i="99"/>
  <c r="J16" i="99"/>
  <c r="I16" i="99"/>
  <c r="H16" i="99"/>
  <c r="G16" i="99"/>
  <c r="F16" i="99"/>
  <c r="E16" i="99"/>
  <c r="D16" i="99"/>
  <c r="K10" i="99"/>
  <c r="J10" i="99"/>
  <c r="I10" i="99"/>
  <c r="H10" i="99"/>
  <c r="G10" i="99"/>
  <c r="F10" i="99"/>
  <c r="E10" i="99"/>
  <c r="D10" i="99"/>
  <c r="K9" i="99"/>
  <c r="J9" i="99"/>
  <c r="I9" i="99"/>
  <c r="H9" i="99"/>
  <c r="G9" i="99"/>
  <c r="F9" i="99"/>
  <c r="E9" i="99"/>
  <c r="D9" i="99"/>
  <c r="K8" i="99"/>
  <c r="J8" i="99"/>
  <c r="I8" i="99"/>
  <c r="H8" i="99"/>
  <c r="G8" i="99"/>
  <c r="F8" i="99"/>
  <c r="E8" i="99"/>
  <c r="D8" i="99"/>
  <c r="K7" i="99"/>
  <c r="J7" i="99"/>
  <c r="I7" i="99"/>
  <c r="H7" i="99"/>
  <c r="G7" i="99"/>
  <c r="F7" i="99"/>
  <c r="E7" i="99"/>
  <c r="D7" i="99"/>
  <c r="K6" i="99"/>
  <c r="J6" i="99"/>
  <c r="I6" i="99"/>
  <c r="H6" i="99"/>
  <c r="G6" i="99"/>
  <c r="F6" i="99"/>
  <c r="E6" i="99"/>
  <c r="D6" i="99"/>
  <c r="K5" i="99"/>
  <c r="J5" i="99"/>
  <c r="I5" i="99"/>
  <c r="H5" i="99"/>
  <c r="G5" i="99"/>
  <c r="F5" i="99"/>
  <c r="E5" i="99"/>
  <c r="D5" i="99"/>
  <c r="K4" i="99"/>
  <c r="J4" i="99"/>
  <c r="I4" i="99"/>
  <c r="H4" i="99"/>
  <c r="G4" i="99"/>
  <c r="F4" i="99"/>
  <c r="E4" i="99"/>
  <c r="D4" i="99"/>
  <c r="CE6" i="84"/>
  <c r="CD6" i="84"/>
  <c r="CC6" i="84"/>
  <c r="CB6" i="84"/>
  <c r="CA6" i="84"/>
  <c r="BZ6" i="84"/>
  <c r="BY6" i="84"/>
  <c r="BX6" i="84"/>
  <c r="BS6" i="84"/>
  <c r="BR6" i="84"/>
  <c r="BQ6" i="84"/>
  <c r="BP6" i="84"/>
  <c r="BO6" i="84"/>
  <c r="BN6" i="84"/>
  <c r="BM6" i="84"/>
  <c r="BL6" i="84"/>
  <c r="BG6" i="84"/>
  <c r="BF6" i="84"/>
  <c r="BE6" i="84"/>
  <c r="BD6" i="84"/>
  <c r="BC6" i="84"/>
  <c r="BB6" i="84"/>
  <c r="BA6" i="84"/>
  <c r="AZ6" i="84"/>
  <c r="AU6" i="84"/>
  <c r="AT6" i="84"/>
  <c r="AS6" i="84"/>
  <c r="AR6" i="84"/>
  <c r="AQ6" i="84"/>
  <c r="AP6" i="84"/>
  <c r="AO6" i="84"/>
  <c r="AN6" i="84"/>
  <c r="AI6" i="84"/>
  <c r="AH6" i="84"/>
  <c r="AG6" i="84"/>
  <c r="AF6" i="84"/>
  <c r="AE6" i="84"/>
  <c r="AD6" i="84"/>
  <c r="AC6" i="84"/>
  <c r="AB6" i="84"/>
  <c r="W6" i="84"/>
  <c r="V6" i="84"/>
  <c r="U6" i="84"/>
  <c r="T6" i="84"/>
  <c r="S6" i="84"/>
  <c r="R6" i="84"/>
  <c r="Q6" i="84"/>
  <c r="P6" i="84"/>
  <c r="K6" i="84"/>
  <c r="J6" i="84"/>
  <c r="I6" i="84"/>
  <c r="H6" i="84"/>
  <c r="G6" i="84"/>
  <c r="F6" i="84"/>
  <c r="E6" i="84"/>
  <c r="D6" i="84"/>
  <c r="CE5" i="84"/>
  <c r="CD5" i="84"/>
  <c r="CC5" i="84"/>
  <c r="CB5" i="84"/>
  <c r="CA5" i="84"/>
  <c r="BZ5" i="84"/>
  <c r="BY5" i="84"/>
  <c r="BX5" i="84"/>
  <c r="BS5" i="84"/>
  <c r="BR5" i="84"/>
  <c r="BQ5" i="84"/>
  <c r="BP5" i="84"/>
  <c r="BO5" i="84"/>
  <c r="BN5" i="84"/>
  <c r="BM5" i="84"/>
  <c r="BL5" i="84"/>
  <c r="BG5" i="84"/>
  <c r="BF5" i="84"/>
  <c r="BE5" i="84"/>
  <c r="BD5" i="84"/>
  <c r="BC5" i="84"/>
  <c r="BB5" i="84"/>
  <c r="BA5" i="84"/>
  <c r="AZ5" i="84"/>
  <c r="AU5" i="84"/>
  <c r="AT5" i="84"/>
  <c r="AS5" i="84"/>
  <c r="AR5" i="84"/>
  <c r="AQ5" i="84"/>
  <c r="AP5" i="84"/>
  <c r="AO5" i="84"/>
  <c r="AN5" i="84"/>
  <c r="AI5" i="84"/>
  <c r="AH5" i="84"/>
  <c r="AG5" i="84"/>
  <c r="AF5" i="84"/>
  <c r="AE5" i="84"/>
  <c r="AD5" i="84"/>
  <c r="AC5" i="84"/>
  <c r="AB5" i="84"/>
  <c r="W5" i="84"/>
  <c r="V5" i="84"/>
  <c r="U5" i="84"/>
  <c r="T5" i="84"/>
  <c r="S5" i="84"/>
  <c r="R5" i="84"/>
  <c r="Q5" i="84"/>
  <c r="P5" i="84"/>
  <c r="K5" i="84"/>
  <c r="J5" i="84"/>
  <c r="I5" i="84"/>
  <c r="H5" i="84"/>
  <c r="G5" i="84"/>
  <c r="F5" i="84"/>
  <c r="E5" i="84"/>
  <c r="D5" i="84"/>
  <c r="CE4" i="84"/>
  <c r="CD4" i="84"/>
  <c r="CC4" i="84"/>
  <c r="CB4" i="84"/>
  <c r="CA4" i="84"/>
  <c r="BZ4" i="84"/>
  <c r="BY4" i="84"/>
  <c r="BX4" i="84"/>
  <c r="BS4" i="84"/>
  <c r="BR4" i="84"/>
  <c r="BQ4" i="84"/>
  <c r="BP4" i="84"/>
  <c r="BO4" i="84"/>
  <c r="BN4" i="84"/>
  <c r="BM4" i="84"/>
  <c r="BL4" i="84"/>
  <c r="BG4" i="84"/>
  <c r="BF4" i="84"/>
  <c r="BE4" i="84"/>
  <c r="BD4" i="84"/>
  <c r="BC4" i="84"/>
  <c r="BB4" i="84"/>
  <c r="BA4" i="84"/>
  <c r="AZ4" i="84"/>
  <c r="AU4" i="84"/>
  <c r="AT4" i="84"/>
  <c r="AS4" i="84"/>
  <c r="AR4" i="84"/>
  <c r="AQ4" i="84"/>
  <c r="AP4" i="84"/>
  <c r="AO4" i="84"/>
  <c r="AN4" i="84"/>
  <c r="AI4" i="84"/>
  <c r="AH4" i="84"/>
  <c r="AG4" i="84"/>
  <c r="AF4" i="84"/>
  <c r="AE4" i="84"/>
  <c r="AD4" i="84"/>
  <c r="AC4" i="84"/>
  <c r="AB4" i="84"/>
  <c r="W4" i="84"/>
  <c r="V4" i="84"/>
  <c r="U4" i="84"/>
  <c r="T4" i="84"/>
  <c r="S4" i="84"/>
  <c r="R4" i="84"/>
  <c r="Q4" i="84"/>
  <c r="P4" i="84"/>
  <c r="K4" i="84"/>
  <c r="J4" i="84"/>
  <c r="I4" i="84"/>
  <c r="H4" i="84"/>
  <c r="G4" i="84"/>
  <c r="F4" i="84"/>
  <c r="E4" i="84"/>
  <c r="D4" i="84"/>
  <c r="AU10" i="83"/>
  <c r="AT10" i="83"/>
  <c r="AS10" i="83"/>
  <c r="AR10" i="83"/>
  <c r="AQ10" i="83"/>
  <c r="AP10" i="83"/>
  <c r="AO10" i="83"/>
  <c r="AN10" i="83"/>
  <c r="AI10" i="83"/>
  <c r="AH10" i="83"/>
  <c r="AG10" i="83"/>
  <c r="AF10" i="83"/>
  <c r="AE10" i="83"/>
  <c r="AD10" i="83"/>
  <c r="AC10" i="83"/>
  <c r="AB10" i="83"/>
  <c r="W10" i="83"/>
  <c r="V10" i="83"/>
  <c r="U10" i="83"/>
  <c r="T10" i="83"/>
  <c r="S10" i="83"/>
  <c r="R10" i="83"/>
  <c r="Q10" i="83"/>
  <c r="P10" i="83"/>
  <c r="AU9" i="83"/>
  <c r="AT9" i="83"/>
  <c r="AS9" i="83"/>
  <c r="AR9" i="83"/>
  <c r="AQ9" i="83"/>
  <c r="AP9" i="83"/>
  <c r="AO9" i="83"/>
  <c r="AN9" i="83"/>
  <c r="AI9" i="83"/>
  <c r="AH9" i="83"/>
  <c r="AG9" i="83"/>
  <c r="AF9" i="83"/>
  <c r="AE9" i="83"/>
  <c r="AD9" i="83"/>
  <c r="AC9" i="83"/>
  <c r="AB9" i="83"/>
  <c r="W9" i="83"/>
  <c r="V9" i="83"/>
  <c r="U9" i="83"/>
  <c r="T9" i="83"/>
  <c r="S9" i="83"/>
  <c r="R9" i="83"/>
  <c r="Q9" i="83"/>
  <c r="P9" i="83"/>
  <c r="AU8" i="83"/>
  <c r="AT8" i="83"/>
  <c r="AS8" i="83"/>
  <c r="AR8" i="83"/>
  <c r="AQ8" i="83"/>
  <c r="AP8" i="83"/>
  <c r="AO8" i="83"/>
  <c r="AN8" i="83"/>
  <c r="AI8" i="83"/>
  <c r="AH8" i="83"/>
  <c r="AG8" i="83"/>
  <c r="AF8" i="83"/>
  <c r="AE8" i="83"/>
  <c r="AD8" i="83"/>
  <c r="AC8" i="83"/>
  <c r="AB8" i="83"/>
  <c r="W8" i="83"/>
  <c r="V8" i="83"/>
  <c r="U8" i="83"/>
  <c r="T8" i="83"/>
  <c r="S8" i="83"/>
  <c r="R8" i="83"/>
  <c r="Q8" i="83"/>
  <c r="P8" i="83"/>
  <c r="AU7" i="83"/>
  <c r="AT7" i="83"/>
  <c r="AS7" i="83"/>
  <c r="AR7" i="83"/>
  <c r="AQ7" i="83"/>
  <c r="AP7" i="83"/>
  <c r="AO7" i="83"/>
  <c r="AN7" i="83"/>
  <c r="AI7" i="83"/>
  <c r="AH7" i="83"/>
  <c r="AG7" i="83"/>
  <c r="AF7" i="83"/>
  <c r="AE7" i="83"/>
  <c r="AD7" i="83"/>
  <c r="AC7" i="83"/>
  <c r="AB7" i="83"/>
  <c r="W7" i="83"/>
  <c r="V7" i="83"/>
  <c r="U7" i="83"/>
  <c r="T7" i="83"/>
  <c r="S7" i="83"/>
  <c r="R7" i="83"/>
  <c r="Q7" i="83"/>
  <c r="P7" i="83"/>
  <c r="AU6" i="83"/>
  <c r="AT6" i="83"/>
  <c r="AS6" i="83"/>
  <c r="AR6" i="83"/>
  <c r="AQ6" i="83"/>
  <c r="AP6" i="83"/>
  <c r="AO6" i="83"/>
  <c r="AN6" i="83"/>
  <c r="AI6" i="83"/>
  <c r="AH6" i="83"/>
  <c r="AG6" i="83"/>
  <c r="AF6" i="83"/>
  <c r="AE6" i="83"/>
  <c r="AD6" i="83"/>
  <c r="AC6" i="83"/>
  <c r="AB6" i="83"/>
  <c r="W6" i="83"/>
  <c r="V6" i="83"/>
  <c r="U6" i="83"/>
  <c r="T6" i="83"/>
  <c r="S6" i="83"/>
  <c r="R6" i="83"/>
  <c r="Q6" i="83"/>
  <c r="P6" i="83"/>
  <c r="BH5" i="83"/>
  <c r="BG5" i="83"/>
  <c r="BF5" i="83"/>
  <c r="BE5" i="83"/>
  <c r="BD5" i="83"/>
  <c r="BC5" i="83"/>
  <c r="BB5" i="83"/>
  <c r="BA5" i="83"/>
  <c r="AU5" i="83"/>
  <c r="AT5" i="83"/>
  <c r="AS5" i="83"/>
  <c r="AR5" i="83"/>
  <c r="AQ5" i="83"/>
  <c r="AP5" i="83"/>
  <c r="AO5" i="83"/>
  <c r="AN5" i="83"/>
  <c r="AI5" i="83"/>
  <c r="AH5" i="83"/>
  <c r="AG5" i="83"/>
  <c r="AF5" i="83"/>
  <c r="AE5" i="83"/>
  <c r="AD5" i="83"/>
  <c r="AC5" i="83"/>
  <c r="AB5" i="83"/>
  <c r="W5" i="83"/>
  <c r="V5" i="83"/>
  <c r="U5" i="83"/>
  <c r="T5" i="83"/>
  <c r="S5" i="83"/>
  <c r="R5" i="83"/>
  <c r="Q5" i="83"/>
  <c r="P5" i="83"/>
  <c r="BH4" i="83"/>
  <c r="BG4" i="83"/>
  <c r="BF4" i="83"/>
  <c r="BE4" i="83"/>
  <c r="BD4" i="83"/>
  <c r="BC4" i="83"/>
  <c r="BB4" i="83"/>
  <c r="BA4" i="83"/>
  <c r="AU4" i="83"/>
  <c r="AT4" i="83"/>
  <c r="AS4" i="83"/>
  <c r="AR4" i="83"/>
  <c r="AQ4" i="83"/>
  <c r="AP4" i="83"/>
  <c r="AO4" i="83"/>
  <c r="AN4" i="83"/>
  <c r="AI4" i="83"/>
  <c r="AH4" i="83"/>
  <c r="AG4" i="83"/>
  <c r="AF4" i="83"/>
  <c r="AE4" i="83"/>
  <c r="AD4" i="83"/>
  <c r="AC4" i="83"/>
  <c r="AB4" i="83"/>
  <c r="W4" i="83"/>
  <c r="V4" i="83"/>
  <c r="U4" i="83"/>
  <c r="T4" i="83"/>
  <c r="S4" i="83"/>
  <c r="R4" i="83"/>
  <c r="Q4" i="83"/>
  <c r="P4" i="83"/>
  <c r="I24" i="117"/>
  <c r="H24" i="117"/>
  <c r="G24" i="117"/>
  <c r="F24" i="117"/>
  <c r="E24" i="117"/>
  <c r="D24" i="117"/>
  <c r="C24" i="117"/>
  <c r="B24" i="117"/>
  <c r="I23" i="117"/>
  <c r="H23" i="117"/>
  <c r="G23" i="117"/>
  <c r="F23" i="117"/>
  <c r="E23" i="117"/>
  <c r="D23" i="117"/>
  <c r="C23" i="117"/>
  <c r="B23" i="117"/>
  <c r="I22" i="117"/>
  <c r="H22" i="117"/>
  <c r="G22" i="117"/>
  <c r="F22" i="117"/>
  <c r="E22" i="117"/>
  <c r="D22" i="117"/>
  <c r="C22" i="117"/>
  <c r="B22" i="117"/>
  <c r="I18" i="117"/>
  <c r="H18" i="117"/>
  <c r="G18" i="117"/>
  <c r="F18" i="117"/>
  <c r="E18" i="117"/>
  <c r="D18" i="117"/>
  <c r="C18" i="117"/>
  <c r="B18" i="117"/>
  <c r="I17" i="117"/>
  <c r="H17" i="117"/>
  <c r="G17" i="117"/>
  <c r="F17" i="117"/>
  <c r="E17" i="117"/>
  <c r="D17" i="117"/>
  <c r="C17" i="117"/>
  <c r="B17" i="117"/>
  <c r="I16" i="117"/>
  <c r="H16" i="117"/>
  <c r="G16" i="117"/>
  <c r="F16" i="117"/>
  <c r="E16" i="117"/>
  <c r="D16" i="117"/>
  <c r="C16" i="117"/>
  <c r="B16" i="117"/>
  <c r="I15" i="117"/>
  <c r="H15" i="117"/>
  <c r="G15" i="117"/>
  <c r="F15" i="117"/>
  <c r="E15" i="117"/>
  <c r="D15" i="117"/>
  <c r="C15" i="117"/>
  <c r="B15" i="117"/>
  <c r="I14" i="117"/>
  <c r="H14" i="117"/>
  <c r="G14" i="117"/>
  <c r="F14" i="117"/>
  <c r="E14" i="117"/>
  <c r="D14" i="117"/>
  <c r="C14" i="117"/>
  <c r="B14" i="117"/>
  <c r="I13" i="117"/>
  <c r="H13" i="117"/>
  <c r="G13" i="117"/>
  <c r="F13" i="117"/>
  <c r="E13" i="117"/>
  <c r="D13" i="117"/>
  <c r="C13" i="117"/>
  <c r="B13" i="117"/>
  <c r="I12" i="117"/>
  <c r="H12" i="117"/>
  <c r="G12" i="117"/>
  <c r="F12" i="117"/>
  <c r="E12" i="117"/>
  <c r="D12" i="117"/>
  <c r="C12" i="117"/>
  <c r="B12" i="117"/>
  <c r="I9" i="117"/>
  <c r="H9" i="117"/>
  <c r="G9" i="117"/>
  <c r="F9" i="117"/>
  <c r="E9" i="117"/>
  <c r="D9" i="117"/>
  <c r="C9" i="117"/>
  <c r="B9" i="117"/>
  <c r="I8" i="117"/>
  <c r="H8" i="117"/>
  <c r="G8" i="117"/>
  <c r="F8" i="117"/>
  <c r="E8" i="117"/>
  <c r="D8" i="117"/>
  <c r="C8" i="117"/>
  <c r="B8" i="117"/>
  <c r="I7" i="117"/>
  <c r="H7" i="117"/>
  <c r="G7" i="117"/>
  <c r="F7" i="117"/>
  <c r="E7" i="117"/>
  <c r="D7" i="117"/>
  <c r="C7" i="117"/>
  <c r="B7" i="117"/>
  <c r="I25" i="98"/>
  <c r="H25" i="98"/>
  <c r="G25" i="98"/>
  <c r="F25" i="98"/>
  <c r="E25" i="98"/>
  <c r="D25" i="98"/>
  <c r="C25" i="98"/>
  <c r="B25" i="98"/>
  <c r="I24" i="98"/>
  <c r="H24" i="98"/>
  <c r="G24" i="98"/>
  <c r="F24" i="98"/>
  <c r="E24" i="98"/>
  <c r="D24" i="98"/>
  <c r="C24" i="98"/>
  <c r="B24" i="98"/>
  <c r="I23" i="98"/>
  <c r="H23" i="98"/>
  <c r="G23" i="98"/>
  <c r="F23" i="98"/>
  <c r="E23" i="98"/>
  <c r="D23" i="98"/>
  <c r="C23" i="98"/>
  <c r="B23" i="98"/>
  <c r="I20" i="98"/>
  <c r="H20" i="98"/>
  <c r="G20" i="98"/>
  <c r="F20" i="98"/>
  <c r="E20" i="98"/>
  <c r="D20" i="98"/>
  <c r="C20" i="98"/>
  <c r="B20" i="98"/>
  <c r="I19" i="98"/>
  <c r="H19" i="98"/>
  <c r="G19" i="98"/>
  <c r="F19" i="98"/>
  <c r="E19" i="98"/>
  <c r="D19" i="98"/>
  <c r="C19" i="98"/>
  <c r="B19" i="98"/>
  <c r="I18" i="98"/>
  <c r="H18" i="98"/>
  <c r="G18" i="98"/>
  <c r="F18" i="98"/>
  <c r="E18" i="98"/>
  <c r="D18" i="98"/>
  <c r="C18" i="98"/>
  <c r="B18" i="98"/>
  <c r="I17" i="98"/>
  <c r="H17" i="98"/>
  <c r="G17" i="98"/>
  <c r="F17" i="98"/>
  <c r="E17" i="98"/>
  <c r="D17" i="98"/>
  <c r="C17" i="98"/>
  <c r="B17" i="98"/>
  <c r="I16" i="98"/>
  <c r="H16" i="98"/>
  <c r="G16" i="98"/>
  <c r="F16" i="98"/>
  <c r="E16" i="98"/>
  <c r="D16" i="98"/>
  <c r="C16" i="98"/>
  <c r="B16" i="98"/>
  <c r="I15" i="98"/>
  <c r="H15" i="98"/>
  <c r="G15" i="98"/>
  <c r="F15" i="98"/>
  <c r="E15" i="98"/>
  <c r="D15" i="98"/>
  <c r="C15" i="98"/>
  <c r="B15" i="98"/>
  <c r="I14" i="98"/>
  <c r="H14" i="98"/>
  <c r="G14" i="98"/>
  <c r="F14" i="98"/>
  <c r="E14" i="98"/>
  <c r="D14" i="98"/>
  <c r="C14" i="98"/>
  <c r="B14" i="98"/>
  <c r="I11" i="98"/>
  <c r="H11" i="98"/>
  <c r="G11" i="98"/>
  <c r="F11" i="98"/>
  <c r="E11" i="98"/>
  <c r="D11" i="98"/>
  <c r="C11" i="98"/>
  <c r="B11" i="98"/>
  <c r="I8" i="98"/>
  <c r="H8" i="98"/>
  <c r="G8" i="98"/>
  <c r="F8" i="98"/>
  <c r="E8" i="98"/>
  <c r="D8" i="98"/>
  <c r="C8" i="98"/>
  <c r="B8" i="98"/>
  <c r="I7" i="98"/>
  <c r="H7" i="98"/>
  <c r="G7" i="98"/>
  <c r="F7" i="98"/>
  <c r="E7" i="98"/>
  <c r="D7" i="98"/>
  <c r="C7" i="98"/>
  <c r="B7" i="98"/>
  <c r="I6" i="98"/>
  <c r="H6" i="98"/>
  <c r="G6" i="98"/>
  <c r="F6" i="98"/>
  <c r="E6" i="98"/>
  <c r="D6" i="98"/>
  <c r="C6" i="98"/>
  <c r="B6" i="98"/>
  <c r="J69" i="97"/>
  <c r="I69" i="97"/>
  <c r="H69" i="97"/>
  <c r="G69" i="97"/>
  <c r="F69" i="97"/>
  <c r="E69" i="97"/>
  <c r="D69" i="97"/>
  <c r="C69" i="97"/>
  <c r="J68" i="97"/>
  <c r="I68" i="97"/>
  <c r="H68" i="97"/>
  <c r="G68" i="97"/>
  <c r="F68" i="97"/>
  <c r="E68" i="97"/>
  <c r="D68" i="97"/>
  <c r="C68" i="97"/>
  <c r="J65" i="97"/>
  <c r="I65" i="97"/>
  <c r="H65" i="97"/>
  <c r="G65" i="97"/>
  <c r="F65" i="97"/>
  <c r="E65" i="97"/>
  <c r="D65" i="97"/>
  <c r="C65" i="97"/>
  <c r="J64" i="97"/>
  <c r="I64" i="97"/>
  <c r="H64" i="97"/>
  <c r="G64" i="97"/>
  <c r="F64" i="97"/>
  <c r="E64" i="97"/>
  <c r="D64" i="97"/>
  <c r="C64" i="97"/>
  <c r="J63" i="97"/>
  <c r="I63" i="97"/>
  <c r="H63" i="97"/>
  <c r="G63" i="97"/>
  <c r="F63" i="97"/>
  <c r="E63" i="97"/>
  <c r="D63" i="97"/>
  <c r="C63" i="97"/>
  <c r="J62" i="97"/>
  <c r="I62" i="97"/>
  <c r="H62" i="97"/>
  <c r="G62" i="97"/>
  <c r="F62" i="97"/>
  <c r="E62" i="97"/>
  <c r="D62" i="97"/>
  <c r="C62" i="97"/>
  <c r="J61" i="97"/>
  <c r="I61" i="97"/>
  <c r="H61" i="97"/>
  <c r="G61" i="97"/>
  <c r="F61" i="97"/>
  <c r="E61" i="97"/>
  <c r="D61" i="97"/>
  <c r="C61" i="97"/>
  <c r="J60" i="97"/>
  <c r="I60" i="97"/>
  <c r="H60" i="97"/>
  <c r="G60" i="97"/>
  <c r="F60" i="97"/>
  <c r="E60" i="97"/>
  <c r="D60" i="97"/>
  <c r="C60" i="97"/>
  <c r="J55" i="97"/>
  <c r="I55" i="97"/>
  <c r="H55" i="97"/>
  <c r="G55" i="97"/>
  <c r="F55" i="97"/>
  <c r="E55" i="97"/>
  <c r="D55" i="97"/>
  <c r="C55" i="97"/>
  <c r="J52" i="97"/>
  <c r="I52" i="97"/>
  <c r="H52" i="97"/>
  <c r="G52" i="97"/>
  <c r="F52" i="97"/>
  <c r="E52" i="97"/>
  <c r="D52" i="97"/>
  <c r="C52" i="97"/>
  <c r="J51" i="97"/>
  <c r="I51" i="97"/>
  <c r="H51" i="97"/>
  <c r="G51" i="97"/>
  <c r="F51" i="97"/>
  <c r="E51" i="97"/>
  <c r="D51" i="97"/>
  <c r="C51" i="97"/>
  <c r="J50" i="97"/>
  <c r="I50" i="97"/>
  <c r="H50" i="97"/>
  <c r="G50" i="97"/>
  <c r="F50" i="97"/>
  <c r="E50" i="97"/>
  <c r="D50" i="97"/>
  <c r="C50" i="97"/>
  <c r="J49" i="97"/>
  <c r="I49" i="97"/>
  <c r="H49" i="97"/>
  <c r="G49" i="97"/>
  <c r="F49" i="97"/>
  <c r="E49" i="97"/>
  <c r="D49" i="97"/>
  <c r="C49" i="97"/>
  <c r="J48" i="97"/>
  <c r="I48" i="97"/>
  <c r="H48" i="97"/>
  <c r="G48" i="97"/>
  <c r="F48" i="97"/>
  <c r="E48" i="97"/>
  <c r="D48" i="97"/>
  <c r="C48" i="97"/>
  <c r="J47" i="97"/>
  <c r="I47" i="97"/>
  <c r="H47" i="97"/>
  <c r="G47" i="97"/>
  <c r="F47" i="97"/>
  <c r="E47" i="97"/>
  <c r="D47" i="97"/>
  <c r="C47" i="97"/>
  <c r="J46" i="97"/>
  <c r="I46" i="97"/>
  <c r="H46" i="97"/>
  <c r="G46" i="97"/>
  <c r="F46" i="97"/>
  <c r="E46" i="97"/>
  <c r="D46" i="97"/>
  <c r="C46" i="97"/>
  <c r="J43" i="97"/>
  <c r="I43" i="97"/>
  <c r="H43" i="97"/>
  <c r="G43" i="97"/>
  <c r="F43" i="97"/>
  <c r="E43" i="97"/>
  <c r="D43" i="97"/>
  <c r="C43" i="97"/>
  <c r="J42" i="97"/>
  <c r="I42" i="97"/>
  <c r="H42" i="97"/>
  <c r="G42" i="97"/>
  <c r="F42" i="97"/>
  <c r="E42" i="97"/>
  <c r="D42" i="97"/>
  <c r="C42" i="97"/>
  <c r="J39" i="97"/>
  <c r="I39" i="97"/>
  <c r="H39" i="97"/>
  <c r="G39" i="97"/>
  <c r="F39" i="97"/>
  <c r="E39" i="97"/>
  <c r="D39" i="97"/>
  <c r="C39" i="97"/>
  <c r="J38" i="97"/>
  <c r="I38" i="97"/>
  <c r="H38" i="97"/>
  <c r="G38" i="97"/>
  <c r="F38" i="97"/>
  <c r="E38" i="97"/>
  <c r="D38" i="97"/>
  <c r="C38" i="97"/>
  <c r="J37" i="97"/>
  <c r="I37" i="97"/>
  <c r="H37" i="97"/>
  <c r="G37" i="97"/>
  <c r="F37" i="97"/>
  <c r="E37" i="97"/>
  <c r="D37" i="97"/>
  <c r="C37" i="97"/>
  <c r="J36" i="97"/>
  <c r="I36" i="97"/>
  <c r="H36" i="97"/>
  <c r="G36" i="97"/>
  <c r="F36" i="97"/>
  <c r="E36" i="97"/>
  <c r="D36" i="97"/>
  <c r="C36" i="97"/>
  <c r="J35" i="97"/>
  <c r="I35" i="97"/>
  <c r="H35" i="97"/>
  <c r="G35" i="97"/>
  <c r="F35" i="97"/>
  <c r="E35" i="97"/>
  <c r="D35" i="97"/>
  <c r="C35" i="97"/>
  <c r="J34" i="97"/>
  <c r="I34" i="97"/>
  <c r="H34" i="97"/>
  <c r="G34" i="97"/>
  <c r="F34" i="97"/>
  <c r="E34" i="97"/>
  <c r="D34" i="97"/>
  <c r="C34" i="97"/>
  <c r="J33" i="97"/>
  <c r="I33" i="97"/>
  <c r="H33" i="97"/>
  <c r="G33" i="97"/>
  <c r="F33" i="97"/>
  <c r="E33" i="97"/>
  <c r="D33" i="97"/>
  <c r="C33" i="97"/>
  <c r="J31" i="97"/>
  <c r="I31" i="97"/>
  <c r="H31" i="97"/>
  <c r="G31" i="97"/>
  <c r="F31" i="97"/>
  <c r="E31" i="97"/>
  <c r="D31" i="97"/>
  <c r="C31" i="97"/>
  <c r="J25" i="97"/>
  <c r="I25" i="97"/>
  <c r="H25" i="97"/>
  <c r="G25" i="97"/>
  <c r="F25" i="97"/>
  <c r="E25" i="97"/>
  <c r="D25" i="97"/>
  <c r="C25" i="97"/>
  <c r="J24" i="97"/>
  <c r="I24" i="97"/>
  <c r="H24" i="97"/>
  <c r="G24" i="97"/>
  <c r="F24" i="97"/>
  <c r="E24" i="97"/>
  <c r="D24" i="97"/>
  <c r="C24" i="97"/>
  <c r="J21" i="97"/>
  <c r="I21" i="97"/>
  <c r="H21" i="97"/>
  <c r="G21" i="97"/>
  <c r="F21" i="97"/>
  <c r="E21" i="97"/>
  <c r="D21" i="97"/>
  <c r="C21" i="97"/>
  <c r="J20" i="97"/>
  <c r="I20" i="97"/>
  <c r="H20" i="97"/>
  <c r="G20" i="97"/>
  <c r="F20" i="97"/>
  <c r="E20" i="97"/>
  <c r="D20" i="97"/>
  <c r="C20" i="97"/>
  <c r="J19" i="97"/>
  <c r="I19" i="97"/>
  <c r="H19" i="97"/>
  <c r="G19" i="97"/>
  <c r="F19" i="97"/>
  <c r="E19" i="97"/>
  <c r="D19" i="97"/>
  <c r="C19" i="97"/>
  <c r="J18" i="97"/>
  <c r="I18" i="97"/>
  <c r="H18" i="97"/>
  <c r="G18" i="97"/>
  <c r="F18" i="97"/>
  <c r="E18" i="97"/>
  <c r="D18" i="97"/>
  <c r="C18" i="97"/>
  <c r="J17" i="97"/>
  <c r="I17" i="97"/>
  <c r="H17" i="97"/>
  <c r="G17" i="97"/>
  <c r="F17" i="97"/>
  <c r="E17" i="97"/>
  <c r="D17" i="97"/>
  <c r="C17" i="97"/>
  <c r="J15" i="97"/>
  <c r="I15" i="97"/>
  <c r="H15" i="97"/>
  <c r="G15" i="97"/>
  <c r="F15" i="97"/>
  <c r="E15" i="97"/>
  <c r="D15" i="97"/>
  <c r="C15" i="97"/>
  <c r="J12" i="97"/>
  <c r="I12" i="97"/>
  <c r="H12" i="97"/>
  <c r="G12" i="97"/>
  <c r="F12" i="97"/>
  <c r="E12" i="97"/>
  <c r="D12" i="97"/>
  <c r="C12" i="97"/>
  <c r="J11" i="97"/>
  <c r="I11" i="97"/>
  <c r="H11" i="97"/>
  <c r="G11" i="97"/>
  <c r="F11" i="97"/>
  <c r="E11" i="97"/>
  <c r="D11" i="97"/>
  <c r="C11" i="97"/>
  <c r="J7" i="97"/>
  <c r="I7" i="97"/>
  <c r="H7" i="97"/>
  <c r="G7" i="97"/>
  <c r="F7" i="97"/>
  <c r="E7" i="97"/>
  <c r="D7" i="97"/>
  <c r="C7" i="97"/>
  <c r="J6" i="97"/>
  <c r="I6" i="97"/>
  <c r="H6" i="97"/>
  <c r="G6" i="97"/>
  <c r="F6" i="97"/>
  <c r="E6" i="97"/>
  <c r="D6" i="97"/>
  <c r="C6" i="97"/>
  <c r="U52" i="116"/>
  <c r="T52" i="116"/>
  <c r="S52" i="116"/>
  <c r="R52" i="116"/>
  <c r="Q52" i="116"/>
  <c r="W84" i="122"/>
  <c r="V84" i="122"/>
  <c r="U84" i="122"/>
  <c r="T84" i="122"/>
  <c r="S84" i="122"/>
  <c r="R84" i="122"/>
  <c r="Q84" i="122"/>
  <c r="P84" i="122"/>
  <c r="W83" i="122"/>
  <c r="V83" i="122"/>
  <c r="U83" i="122"/>
  <c r="T83" i="122"/>
  <c r="S83" i="122"/>
  <c r="R83" i="122"/>
  <c r="Q83" i="122"/>
  <c r="P83" i="122"/>
  <c r="W82" i="122"/>
  <c r="V82" i="122"/>
  <c r="U82" i="122"/>
  <c r="T82" i="122"/>
  <c r="S82" i="122"/>
  <c r="R82" i="122"/>
  <c r="Q82" i="122"/>
  <c r="P82" i="122"/>
  <c r="W79" i="122"/>
  <c r="V79" i="122"/>
  <c r="U79" i="122"/>
  <c r="T79" i="122"/>
  <c r="S79" i="122"/>
  <c r="R79" i="122"/>
  <c r="Q79" i="122"/>
  <c r="P79" i="122"/>
  <c r="W78" i="122"/>
  <c r="V78" i="122"/>
  <c r="U78" i="122"/>
  <c r="T78" i="122"/>
  <c r="S78" i="122"/>
  <c r="R78" i="122"/>
  <c r="Q78" i="122"/>
  <c r="P78" i="122"/>
  <c r="W75" i="122"/>
  <c r="V75" i="122"/>
  <c r="U75" i="122"/>
  <c r="T75" i="122"/>
  <c r="S75" i="122"/>
  <c r="R75" i="122"/>
  <c r="Q75" i="122"/>
  <c r="P75" i="122"/>
  <c r="W74" i="122"/>
  <c r="V74" i="122"/>
  <c r="U74" i="122"/>
  <c r="T74" i="122"/>
  <c r="S74" i="122"/>
  <c r="R74" i="122"/>
  <c r="Q74" i="122"/>
  <c r="P74" i="122"/>
  <c r="W73" i="122"/>
  <c r="V73" i="122"/>
  <c r="U73" i="122"/>
  <c r="T73" i="122"/>
  <c r="S73" i="122"/>
  <c r="R73" i="122"/>
  <c r="Q73" i="122"/>
  <c r="P73" i="122"/>
  <c r="W72" i="122"/>
  <c r="V72" i="122"/>
  <c r="U72" i="122"/>
  <c r="T72" i="122"/>
  <c r="S72" i="122"/>
  <c r="R72" i="122"/>
  <c r="Q72" i="122"/>
  <c r="P72" i="122"/>
  <c r="W71" i="122"/>
  <c r="V71" i="122"/>
  <c r="U71" i="122"/>
  <c r="T71" i="122"/>
  <c r="S71" i="122"/>
  <c r="R71" i="122"/>
  <c r="Q71" i="122"/>
  <c r="P71" i="122"/>
  <c r="W66" i="122"/>
  <c r="V66" i="122"/>
  <c r="U66" i="122"/>
  <c r="T66" i="122"/>
  <c r="S66" i="122"/>
  <c r="R66" i="122"/>
  <c r="Q66" i="122"/>
  <c r="P66" i="122"/>
  <c r="W65" i="122"/>
  <c r="V65" i="122"/>
  <c r="U65" i="122"/>
  <c r="T65" i="122"/>
  <c r="S65" i="122"/>
  <c r="R65" i="122"/>
  <c r="Q65" i="122"/>
  <c r="P65" i="122"/>
  <c r="W64" i="122"/>
  <c r="V64" i="122"/>
  <c r="U64" i="122"/>
  <c r="T64" i="122"/>
  <c r="S64" i="122"/>
  <c r="R64" i="122"/>
  <c r="Q64" i="122"/>
  <c r="P64" i="122"/>
  <c r="W63" i="122"/>
  <c r="V63" i="122"/>
  <c r="U63" i="122"/>
  <c r="T63" i="122"/>
  <c r="S63" i="122"/>
  <c r="R63" i="122"/>
  <c r="Q63" i="122"/>
  <c r="P63" i="122"/>
  <c r="W62" i="122"/>
  <c r="V62" i="122"/>
  <c r="U62" i="122"/>
  <c r="T62" i="122"/>
  <c r="S62" i="122"/>
  <c r="R62" i="122"/>
  <c r="Q62" i="122"/>
  <c r="P62" i="122"/>
  <c r="W61" i="122"/>
  <c r="V61" i="122"/>
  <c r="U61" i="122"/>
  <c r="T61" i="122"/>
  <c r="S61" i="122"/>
  <c r="R61" i="122"/>
  <c r="Q61" i="122"/>
  <c r="P61" i="122"/>
  <c r="W60" i="122"/>
  <c r="V60" i="122"/>
  <c r="U60" i="122"/>
  <c r="T60" i="122"/>
  <c r="S60" i="122"/>
  <c r="R60" i="122"/>
  <c r="Q60" i="122"/>
  <c r="P60" i="122"/>
  <c r="W59" i="122"/>
  <c r="V59" i="122"/>
  <c r="U59" i="122"/>
  <c r="T59" i="122"/>
  <c r="S59" i="122"/>
  <c r="R59" i="122"/>
  <c r="Q59" i="122"/>
  <c r="P59" i="122"/>
  <c r="W58" i="122"/>
  <c r="W67" i="122" s="1"/>
  <c r="V58" i="122"/>
  <c r="U58" i="122"/>
  <c r="T58" i="122"/>
  <c r="S58" i="122"/>
  <c r="R58" i="122"/>
  <c r="Q58" i="122"/>
  <c r="P58" i="122"/>
  <c r="W55" i="122"/>
  <c r="V55" i="122"/>
  <c r="U55" i="122"/>
  <c r="T55" i="122"/>
  <c r="S55" i="122"/>
  <c r="R55" i="122"/>
  <c r="Q55" i="122"/>
  <c r="P55" i="122"/>
  <c r="W54" i="122"/>
  <c r="V54" i="122"/>
  <c r="U54" i="122"/>
  <c r="T54" i="122"/>
  <c r="S54" i="122"/>
  <c r="R54" i="122"/>
  <c r="Q54" i="122"/>
  <c r="P54" i="122"/>
  <c r="W53" i="122"/>
  <c r="V53" i="122"/>
  <c r="U53" i="122"/>
  <c r="T53" i="122"/>
  <c r="S53" i="122"/>
  <c r="R53" i="122"/>
  <c r="Q53" i="122"/>
  <c r="P53" i="122"/>
  <c r="W52" i="122"/>
  <c r="V52" i="122"/>
  <c r="U52" i="122"/>
  <c r="T52" i="122"/>
  <c r="S52" i="122"/>
  <c r="R52" i="122"/>
  <c r="Q52" i="122"/>
  <c r="P52" i="122"/>
  <c r="W51" i="122"/>
  <c r="V51" i="122"/>
  <c r="U51" i="122"/>
  <c r="T51" i="122"/>
  <c r="S51" i="122"/>
  <c r="R51" i="122"/>
  <c r="Q51" i="122"/>
  <c r="P51" i="122"/>
  <c r="W50" i="122"/>
  <c r="V50" i="122"/>
  <c r="U50" i="122"/>
  <c r="T50" i="122"/>
  <c r="S50" i="122"/>
  <c r="R50" i="122"/>
  <c r="Q50" i="122"/>
  <c r="P50" i="122"/>
  <c r="W49" i="122"/>
  <c r="V49" i="122"/>
  <c r="U49" i="122"/>
  <c r="T49" i="122"/>
  <c r="S49" i="122"/>
  <c r="R49" i="122"/>
  <c r="Q49" i="122"/>
  <c r="P49" i="122"/>
  <c r="W46" i="122"/>
  <c r="V46" i="122"/>
  <c r="U46" i="122"/>
  <c r="T46" i="122"/>
  <c r="S46" i="122"/>
  <c r="R46" i="122"/>
  <c r="Q46" i="122"/>
  <c r="P46" i="122"/>
  <c r="W45" i="122"/>
  <c r="V45" i="122"/>
  <c r="U45" i="122"/>
  <c r="T45" i="122"/>
  <c r="S45" i="122"/>
  <c r="R45" i="122"/>
  <c r="Q45" i="122"/>
  <c r="P45" i="122"/>
  <c r="W42" i="122"/>
  <c r="V42" i="122"/>
  <c r="U42" i="122"/>
  <c r="T42" i="122"/>
  <c r="S42" i="122"/>
  <c r="R42" i="122"/>
  <c r="Q42" i="122"/>
  <c r="P42" i="122"/>
  <c r="W41" i="122"/>
  <c r="V41" i="122"/>
  <c r="U41" i="122"/>
  <c r="T41" i="122"/>
  <c r="S41" i="122"/>
  <c r="R41" i="122"/>
  <c r="Q41" i="122"/>
  <c r="P41" i="122"/>
  <c r="W40" i="122"/>
  <c r="V40" i="122"/>
  <c r="U40" i="122"/>
  <c r="T40" i="122"/>
  <c r="S40" i="122"/>
  <c r="R40" i="122"/>
  <c r="Q40" i="122"/>
  <c r="P40" i="122"/>
  <c r="W39" i="122"/>
  <c r="V39" i="122"/>
  <c r="U39" i="122"/>
  <c r="T39" i="122"/>
  <c r="S39" i="122"/>
  <c r="R39" i="122"/>
  <c r="Q39" i="122"/>
  <c r="P39" i="122"/>
  <c r="W38" i="122"/>
  <c r="V38" i="122"/>
  <c r="U38" i="122"/>
  <c r="T38" i="122"/>
  <c r="S38" i="122"/>
  <c r="R38" i="122"/>
  <c r="Q38" i="122"/>
  <c r="P38" i="122"/>
  <c r="W37" i="122"/>
  <c r="V37" i="122"/>
  <c r="U37" i="122"/>
  <c r="T37" i="122"/>
  <c r="S37" i="122"/>
  <c r="R37" i="122"/>
  <c r="Q37" i="122"/>
  <c r="P37" i="122"/>
  <c r="W36" i="122"/>
  <c r="V36" i="122"/>
  <c r="U36" i="122"/>
  <c r="T36" i="122"/>
  <c r="S36" i="122"/>
  <c r="R36" i="122"/>
  <c r="Q36" i="122"/>
  <c r="P36" i="122"/>
  <c r="W33" i="122"/>
  <c r="V33" i="122"/>
  <c r="U33" i="122"/>
  <c r="T33" i="122"/>
  <c r="S33" i="122"/>
  <c r="R33" i="122"/>
  <c r="Q33" i="122"/>
  <c r="P33" i="122"/>
  <c r="W32" i="122"/>
  <c r="V32" i="122"/>
  <c r="U32" i="122"/>
  <c r="T32" i="122"/>
  <c r="S32" i="122"/>
  <c r="R32" i="122"/>
  <c r="Q32" i="122"/>
  <c r="P32" i="122"/>
  <c r="W31" i="122"/>
  <c r="V31" i="122"/>
  <c r="U31" i="122"/>
  <c r="T31" i="122"/>
  <c r="S31" i="122"/>
  <c r="R31" i="122"/>
  <c r="Q31" i="122"/>
  <c r="P31" i="122"/>
  <c r="W30" i="122"/>
  <c r="V30" i="122"/>
  <c r="U30" i="122"/>
  <c r="T30" i="122"/>
  <c r="S30" i="122"/>
  <c r="R30" i="122"/>
  <c r="Q30" i="122"/>
  <c r="P30" i="122"/>
  <c r="W29" i="122"/>
  <c r="V29" i="122"/>
  <c r="U29" i="122"/>
  <c r="T29" i="122"/>
  <c r="S29" i="122"/>
  <c r="R29" i="122"/>
  <c r="Q29" i="122"/>
  <c r="P29" i="122"/>
  <c r="W28" i="122"/>
  <c r="V28" i="122"/>
  <c r="U28" i="122"/>
  <c r="T28" i="122"/>
  <c r="S28" i="122"/>
  <c r="R28" i="122"/>
  <c r="Q28" i="122"/>
  <c r="P28" i="122"/>
  <c r="W27" i="122"/>
  <c r="V27" i="122"/>
  <c r="U27" i="122"/>
  <c r="T27" i="122"/>
  <c r="S27" i="122"/>
  <c r="R27" i="122"/>
  <c r="Q27" i="122"/>
  <c r="P27" i="122"/>
  <c r="W21" i="122"/>
  <c r="V21" i="122"/>
  <c r="U21" i="122"/>
  <c r="T21" i="122"/>
  <c r="S21" i="122"/>
  <c r="R21" i="122"/>
  <c r="Q21" i="122"/>
  <c r="P21" i="122"/>
  <c r="W20" i="122"/>
  <c r="V20" i="122"/>
  <c r="U20" i="122"/>
  <c r="T20" i="122"/>
  <c r="S20" i="122"/>
  <c r="R20" i="122"/>
  <c r="Q20" i="122"/>
  <c r="P20" i="122"/>
  <c r="W19" i="122"/>
  <c r="V19" i="122"/>
  <c r="U19" i="122"/>
  <c r="T19" i="122"/>
  <c r="S19" i="122"/>
  <c r="R19" i="122"/>
  <c r="Q19" i="122"/>
  <c r="P19" i="122"/>
  <c r="W18" i="122"/>
  <c r="V18" i="122"/>
  <c r="U18" i="122"/>
  <c r="T18" i="122"/>
  <c r="S18" i="122"/>
  <c r="R18" i="122"/>
  <c r="Q18" i="122"/>
  <c r="P18" i="122"/>
  <c r="W17" i="122"/>
  <c r="V17" i="122"/>
  <c r="U17" i="122"/>
  <c r="T17" i="122"/>
  <c r="S17" i="122"/>
  <c r="R17" i="122"/>
  <c r="Q17" i="122"/>
  <c r="P17" i="122"/>
  <c r="W16" i="122"/>
  <c r="V16" i="122"/>
  <c r="U16" i="122"/>
  <c r="T16" i="122"/>
  <c r="S16" i="122"/>
  <c r="R16" i="122"/>
  <c r="Q16" i="122"/>
  <c r="P16" i="122"/>
  <c r="W13" i="122"/>
  <c r="V13" i="122"/>
  <c r="U13" i="122"/>
  <c r="T13" i="122"/>
  <c r="S13" i="122"/>
  <c r="R13" i="122"/>
  <c r="Q13" i="122"/>
  <c r="P13" i="122"/>
  <c r="W12" i="122"/>
  <c r="V12" i="122"/>
  <c r="U12" i="122"/>
  <c r="T12" i="122"/>
  <c r="S12" i="122"/>
  <c r="R12" i="122"/>
  <c r="Q12" i="122"/>
  <c r="P12" i="122"/>
  <c r="W8" i="122"/>
  <c r="V8" i="122"/>
  <c r="U8" i="122"/>
  <c r="T8" i="122"/>
  <c r="S8" i="122"/>
  <c r="R8" i="122"/>
  <c r="Q8" i="122"/>
  <c r="P8" i="122"/>
  <c r="W7" i="122"/>
  <c r="V7" i="122"/>
  <c r="U7" i="122"/>
  <c r="T7" i="122"/>
  <c r="S7" i="122"/>
  <c r="R7" i="122"/>
  <c r="Q7" i="122"/>
  <c r="P7" i="122"/>
  <c r="DS22" i="137"/>
  <c r="DT22" i="137"/>
  <c r="DU22" i="137"/>
  <c r="DV22" i="137"/>
  <c r="DW22" i="137"/>
  <c r="DX22" i="137"/>
  <c r="DY22" i="137"/>
  <c r="DS23" i="137"/>
  <c r="DT23" i="137"/>
  <c r="DU23" i="137"/>
  <c r="DV23" i="137"/>
  <c r="DW23" i="137"/>
  <c r="DX23" i="137"/>
  <c r="DY23" i="137"/>
  <c r="DS24" i="137"/>
  <c r="DT24" i="137"/>
  <c r="DU24" i="137"/>
  <c r="DV24" i="137"/>
  <c r="DW24" i="137"/>
  <c r="DX24" i="137"/>
  <c r="DY24" i="137"/>
  <c r="DU20" i="137"/>
  <c r="DS21" i="137"/>
  <c r="DT21" i="137"/>
  <c r="DV21" i="137"/>
  <c r="DW21" i="137"/>
  <c r="DX21" i="137"/>
  <c r="DY21" i="137"/>
  <c r="DM105" i="137" l="1"/>
  <c r="P22" i="122"/>
  <c r="DJ84" i="137"/>
  <c r="DJ82" i="137"/>
  <c r="DP83" i="137"/>
  <c r="DP82" i="137"/>
  <c r="DK81" i="137"/>
  <c r="DK82" i="137"/>
  <c r="DL81" i="137"/>
  <c r="DL82" i="137"/>
  <c r="DQ81" i="137"/>
  <c r="DQ82" i="137"/>
  <c r="DM81" i="137"/>
  <c r="DM82" i="137"/>
  <c r="DO84" i="137"/>
  <c r="DO82" i="137"/>
  <c r="DM83" i="137"/>
  <c r="DN83" i="137"/>
  <c r="DN82" i="137"/>
  <c r="DX20" i="137"/>
  <c r="DP26" i="137"/>
  <c r="DY20" i="137"/>
  <c r="DQ26" i="137"/>
  <c r="DW20" i="137"/>
  <c r="DO26" i="137"/>
  <c r="DV20" i="137"/>
  <c r="DN26" i="137"/>
  <c r="DU21" i="137"/>
  <c r="DM26" i="137"/>
  <c r="DT20" i="137"/>
  <c r="DL26" i="137"/>
  <c r="DS20" i="137"/>
  <c r="DK26" i="137"/>
  <c r="DJ26" i="137"/>
  <c r="DQ57" i="137"/>
  <c r="DO57" i="137"/>
  <c r="P52" i="116"/>
  <c r="DN57" i="137"/>
  <c r="DO64" i="137"/>
  <c r="DM80" i="137"/>
  <c r="DM84" i="137"/>
  <c r="DK84" i="137"/>
  <c r="DL84" i="137"/>
  <c r="DJ57" i="137"/>
  <c r="DL57" i="137"/>
  <c r="DJ64" i="137"/>
  <c r="DP57" i="137"/>
  <c r="DL80" i="137"/>
  <c r="DK57" i="137"/>
  <c r="DJ83" i="137"/>
  <c r="DP80" i="137"/>
  <c r="DJ81" i="137"/>
  <c r="J44" i="100"/>
  <c r="DL83" i="137"/>
  <c r="DK80" i="137"/>
  <c r="DK83" i="137"/>
  <c r="DM57" i="137"/>
  <c r="DP84" i="137"/>
  <c r="DN84" i="137"/>
  <c r="DP81" i="137"/>
  <c r="DN81" i="137"/>
  <c r="DN80" i="137"/>
  <c r="DO80" i="137"/>
  <c r="DQ84" i="137"/>
  <c r="DO83" i="137"/>
  <c r="DQ80" i="137"/>
  <c r="DO81" i="137"/>
  <c r="DQ83" i="137"/>
  <c r="DK64" i="137"/>
  <c r="DQ64" i="137"/>
  <c r="DP64" i="137"/>
  <c r="DN64" i="137"/>
  <c r="DM64" i="137"/>
  <c r="DL64" i="137"/>
  <c r="Q53" i="92"/>
  <c r="R53" i="92"/>
  <c r="S53" i="92"/>
  <c r="T53" i="92"/>
  <c r="U53" i="92"/>
  <c r="V53" i="92"/>
  <c r="W53" i="92"/>
  <c r="X53" i="92"/>
  <c r="AK90" i="130"/>
  <c r="AH89" i="130"/>
  <c r="AF89" i="130"/>
  <c r="AG89" i="130"/>
  <c r="AI89" i="130"/>
  <c r="AJ89" i="130"/>
  <c r="AK89" i="130"/>
  <c r="AL89" i="130"/>
  <c r="AM89" i="130"/>
  <c r="AF90" i="130"/>
  <c r="AG90" i="130"/>
  <c r="AH90" i="130"/>
  <c r="AI90" i="130"/>
  <c r="AJ90" i="130"/>
  <c r="AL90" i="130"/>
  <c r="AM90" i="130"/>
  <c r="AF88" i="130"/>
  <c r="AG88" i="130"/>
  <c r="AH88" i="130"/>
  <c r="AI88" i="130"/>
  <c r="AJ88" i="130"/>
  <c r="AK88" i="130"/>
  <c r="AL88" i="130"/>
  <c r="AM88" i="130"/>
  <c r="Q73" i="92" l="1"/>
  <c r="R73" i="92"/>
  <c r="S73" i="92"/>
  <c r="T73" i="92"/>
  <c r="U73" i="92"/>
  <c r="V73" i="92"/>
  <c r="W73" i="92"/>
  <c r="X73" i="92"/>
  <c r="BI34" i="137" l="1"/>
  <c r="F16" i="91" l="1"/>
  <c r="E16" i="91"/>
  <c r="BK178" i="127"/>
  <c r="P4" i="64" l="1"/>
  <c r="BR197" i="127"/>
  <c r="BR190" i="127" s="1"/>
  <c r="BP197" i="127"/>
  <c r="BP190" i="127" s="1"/>
  <c r="BQ197" i="127"/>
  <c r="BQ190" i="127" s="1"/>
  <c r="BO197" i="127"/>
  <c r="BO190" i="127" s="1"/>
  <c r="BN197" i="127"/>
  <c r="BN190" i="127" s="1"/>
  <c r="BM197" i="127"/>
  <c r="BM190" i="127" s="1"/>
  <c r="BL197" i="127"/>
  <c r="BL190" i="127" s="1"/>
  <c r="BK197" i="127"/>
  <c r="BK190" i="127" s="1"/>
  <c r="BL178" i="127"/>
  <c r="BM178" i="127"/>
  <c r="BN178" i="127"/>
  <c r="BO178" i="127"/>
  <c r="BP178" i="127"/>
  <c r="BQ178" i="127"/>
  <c r="BR178" i="127"/>
  <c r="BL180" i="127"/>
  <c r="BM180" i="127"/>
  <c r="BN180" i="127"/>
  <c r="BO180" i="127"/>
  <c r="BP180" i="127"/>
  <c r="BQ180" i="127"/>
  <c r="BR180" i="127"/>
  <c r="BL181" i="127"/>
  <c r="BM181" i="127"/>
  <c r="BN181" i="127"/>
  <c r="BO181" i="127"/>
  <c r="BP181" i="127"/>
  <c r="BQ181" i="127"/>
  <c r="BR181" i="127"/>
  <c r="BK180" i="127"/>
  <c r="BK181" i="127"/>
  <c r="BK130" i="127"/>
  <c r="BL130" i="127"/>
  <c r="BM130" i="127"/>
  <c r="BN130" i="127"/>
  <c r="BO130" i="127"/>
  <c r="BP130" i="127"/>
  <c r="BQ130" i="127"/>
  <c r="BR130" i="127"/>
  <c r="BL129" i="127"/>
  <c r="BM129" i="127"/>
  <c r="BN129" i="127"/>
  <c r="BO129" i="127"/>
  <c r="BP129" i="127"/>
  <c r="BQ129" i="127"/>
  <c r="BR129" i="127"/>
  <c r="BK129" i="127"/>
  <c r="BL230" i="127"/>
  <c r="BN294" i="127" s="1"/>
  <c r="BM230" i="127"/>
  <c r="BN230" i="127"/>
  <c r="BO230" i="127"/>
  <c r="BP230" i="127"/>
  <c r="BQ230" i="127"/>
  <c r="BR230" i="127"/>
  <c r="BK230" i="127"/>
  <c r="BK245" i="127"/>
  <c r="BL245" i="127"/>
  <c r="BM245" i="127"/>
  <c r="BN245" i="127"/>
  <c r="BO245" i="127"/>
  <c r="BP245" i="127"/>
  <c r="BQ245" i="127"/>
  <c r="BR245" i="127"/>
  <c r="Q5" i="64"/>
  <c r="R5" i="64"/>
  <c r="S5" i="64"/>
  <c r="T5" i="64"/>
  <c r="U5" i="64"/>
  <c r="V5" i="64"/>
  <c r="W5" i="64"/>
  <c r="P5" i="64"/>
  <c r="BK247" i="127"/>
  <c r="BL247" i="127"/>
  <c r="BM247" i="127"/>
  <c r="BN247" i="127"/>
  <c r="BO247" i="127"/>
  <c r="BP247" i="127"/>
  <c r="BQ247" i="127"/>
  <c r="BR247" i="127"/>
  <c r="BL246" i="127"/>
  <c r="BM246" i="127"/>
  <c r="BN246" i="127"/>
  <c r="BO246" i="127"/>
  <c r="BP246" i="127"/>
  <c r="BQ246" i="127"/>
  <c r="BR246" i="127"/>
  <c r="BK246" i="127"/>
  <c r="BP294" i="127" l="1"/>
  <c r="BO294" i="127"/>
  <c r="BL186" i="127"/>
  <c r="BR184" i="127"/>
  <c r="BQ183" i="127"/>
  <c r="BP184" i="127"/>
  <c r="BQ186" i="127"/>
  <c r="BP185" i="127"/>
  <c r="BQ184" i="127"/>
  <c r="BN189" i="127"/>
  <c r="BL182" i="127"/>
  <c r="BK187" i="127"/>
  <c r="BK185" i="127"/>
  <c r="BR186" i="127"/>
  <c r="BQ185" i="127"/>
  <c r="BM184" i="127"/>
  <c r="BL183" i="127"/>
  <c r="BK186" i="127"/>
  <c r="BR185" i="127"/>
  <c r="BN183" i="127"/>
  <c r="BR188" i="127"/>
  <c r="BP187" i="127"/>
  <c r="BO186" i="127"/>
  <c r="BN185" i="127"/>
  <c r="BO187" i="127"/>
  <c r="BN186" i="127"/>
  <c r="BL184" i="127"/>
  <c r="BO184" i="127"/>
  <c r="BK183" i="127"/>
  <c r="BM183" i="127"/>
  <c r="BK149" i="127"/>
  <c r="BK139" i="127" s="1"/>
  <c r="BM186" i="127"/>
  <c r="BL185" i="127"/>
  <c r="BR183" i="127"/>
  <c r="BN187" i="127"/>
  <c r="BO189" i="127"/>
  <c r="BO185" i="127"/>
  <c r="BM187" i="127"/>
  <c r="BQ187" i="127"/>
  <c r="BM185" i="127"/>
  <c r="BL187" i="127"/>
  <c r="BR187" i="127"/>
  <c r="BK189" i="127"/>
  <c r="BL189" i="127"/>
  <c r="BM189" i="127"/>
  <c r="BR189" i="127"/>
  <c r="BQ189" i="127"/>
  <c r="BP189" i="127"/>
  <c r="BO188" i="127"/>
  <c r="BQ188" i="127"/>
  <c r="BP188" i="127"/>
  <c r="BK188" i="127"/>
  <c r="BN188" i="127"/>
  <c r="BL188" i="127"/>
  <c r="BM188" i="127"/>
  <c r="BP186" i="127"/>
  <c r="BN184" i="127"/>
  <c r="BK184" i="127"/>
  <c r="BP183" i="127"/>
  <c r="BO183" i="127"/>
  <c r="BR182" i="127"/>
  <c r="BK182" i="127"/>
  <c r="BQ182" i="127"/>
  <c r="BP182" i="127"/>
  <c r="BO182" i="127"/>
  <c r="BN182" i="127"/>
  <c r="BM182" i="127"/>
  <c r="BR131" i="127"/>
  <c r="BR132" i="127"/>
  <c r="BR134" i="127"/>
  <c r="BR133" i="127"/>
  <c r="BR136" i="127"/>
  <c r="BR135" i="127"/>
  <c r="BR137" i="127"/>
  <c r="BO116" i="127"/>
  <c r="BO117" i="127" s="1"/>
  <c r="BO118" i="127" s="1"/>
  <c r="BN134" i="127"/>
  <c r="BQ137" i="127"/>
  <c r="BQ132" i="127"/>
  <c r="BN132" i="127"/>
  <c r="BN131" i="127"/>
  <c r="BN135" i="127"/>
  <c r="BQ133" i="127"/>
  <c r="BP134" i="127"/>
  <c r="BP133" i="127"/>
  <c r="BP132" i="127"/>
  <c r="BO138" i="127"/>
  <c r="BO134" i="127"/>
  <c r="BO132" i="127"/>
  <c r="BR138" i="127"/>
  <c r="BM134" i="127"/>
  <c r="BM133" i="127"/>
  <c r="BM132" i="127"/>
  <c r="BL134" i="127"/>
  <c r="BL132" i="127"/>
  <c r="BK136" i="127"/>
  <c r="BK132" i="127"/>
  <c r="BK131" i="127"/>
  <c r="BR149" i="127"/>
  <c r="BR139" i="127" s="1"/>
  <c r="BK116" i="127"/>
  <c r="BK117" i="127" s="1"/>
  <c r="BK118" i="127" s="1"/>
  <c r="BQ149" i="127"/>
  <c r="BQ139" i="127" s="1"/>
  <c r="BP149" i="127"/>
  <c r="BP139" i="127" s="1"/>
  <c r="BO149" i="127"/>
  <c r="BO139" i="127" s="1"/>
  <c r="BN149" i="127"/>
  <c r="BN139" i="127" s="1"/>
  <c r="BM149" i="127"/>
  <c r="BM139" i="127" s="1"/>
  <c r="BL149" i="127"/>
  <c r="BL139" i="127" s="1"/>
  <c r="BR116" i="127"/>
  <c r="BR117" i="127" s="1"/>
  <c r="BR118" i="127" s="1"/>
  <c r="BQ116" i="127"/>
  <c r="BQ117" i="127" s="1"/>
  <c r="BQ118" i="127" s="1"/>
  <c r="BP116" i="127"/>
  <c r="BP117" i="127" s="1"/>
  <c r="BP118" i="127" s="1"/>
  <c r="BN116" i="127"/>
  <c r="BN117" i="127" s="1"/>
  <c r="BN118" i="127" s="1"/>
  <c r="BM116" i="127"/>
  <c r="BM117" i="127" s="1"/>
  <c r="BM118" i="127" s="1"/>
  <c r="BL116" i="127"/>
  <c r="BL117" i="127" s="1"/>
  <c r="BL118" i="127" s="1"/>
  <c r="E13" i="129"/>
  <c r="F13" i="129"/>
  <c r="G13" i="129"/>
  <c r="H13" i="129"/>
  <c r="I13" i="129"/>
  <c r="J13" i="129"/>
  <c r="K13" i="129"/>
  <c r="L13" i="129"/>
  <c r="E14" i="129"/>
  <c r="F14" i="129"/>
  <c r="G14" i="129"/>
  <c r="H14" i="129"/>
  <c r="I14" i="129"/>
  <c r="J14" i="129"/>
  <c r="K14" i="129"/>
  <c r="L14" i="129"/>
  <c r="E15" i="129"/>
  <c r="F15" i="129"/>
  <c r="G15" i="129"/>
  <c r="H15" i="129"/>
  <c r="I15" i="129"/>
  <c r="J15" i="129"/>
  <c r="K15" i="129"/>
  <c r="L15" i="129"/>
  <c r="E16" i="129"/>
  <c r="F16" i="129"/>
  <c r="G16" i="129"/>
  <c r="H16" i="129"/>
  <c r="I16" i="129"/>
  <c r="J16" i="129"/>
  <c r="K16" i="129"/>
  <c r="L16" i="129"/>
  <c r="E9" i="129"/>
  <c r="F9" i="129"/>
  <c r="G9" i="129"/>
  <c r="H9" i="129"/>
  <c r="I9" i="129"/>
  <c r="J9" i="129"/>
  <c r="K9" i="129"/>
  <c r="L9" i="129"/>
  <c r="F10" i="129"/>
  <c r="G10" i="129"/>
  <c r="H10" i="129"/>
  <c r="I10" i="129"/>
  <c r="J10" i="129"/>
  <c r="K10" i="129"/>
  <c r="L10" i="129"/>
  <c r="F8" i="129"/>
  <c r="G8" i="129"/>
  <c r="H8" i="129"/>
  <c r="I8" i="129"/>
  <c r="J8" i="129"/>
  <c r="K8" i="129"/>
  <c r="L8" i="129"/>
  <c r="E8" i="129"/>
  <c r="F5" i="129"/>
  <c r="G5" i="129"/>
  <c r="H5" i="129"/>
  <c r="I5" i="129"/>
  <c r="J5" i="129"/>
  <c r="K5" i="129"/>
  <c r="L5" i="129"/>
  <c r="E5" i="129"/>
  <c r="C18" i="134"/>
  <c r="C16" i="134" s="1"/>
  <c r="C17" i="134"/>
  <c r="C13" i="134"/>
  <c r="C22" i="134" s="1"/>
  <c r="Q10" i="92"/>
  <c r="Q5" i="92"/>
  <c r="R5" i="92"/>
  <c r="S5" i="92"/>
  <c r="T5" i="92"/>
  <c r="U5" i="92"/>
  <c r="V5" i="92"/>
  <c r="W5" i="92"/>
  <c r="X5" i="92"/>
  <c r="Q6" i="92"/>
  <c r="R6" i="92"/>
  <c r="S6" i="92"/>
  <c r="T6" i="92"/>
  <c r="U6" i="92"/>
  <c r="V6" i="92"/>
  <c r="W6" i="92"/>
  <c r="X6" i="92"/>
  <c r="Q7" i="92"/>
  <c r="R7" i="92"/>
  <c r="S7" i="92"/>
  <c r="T7" i="92"/>
  <c r="U7" i="92"/>
  <c r="V7" i="92"/>
  <c r="W7" i="92"/>
  <c r="X7" i="92"/>
  <c r="Q8" i="92"/>
  <c r="R8" i="92"/>
  <c r="S8" i="92"/>
  <c r="T8" i="92"/>
  <c r="U8" i="92"/>
  <c r="V8" i="92"/>
  <c r="W8" i="92"/>
  <c r="X8" i="92"/>
  <c r="Q9" i="92"/>
  <c r="R9" i="92"/>
  <c r="S9" i="92"/>
  <c r="T9" i="92"/>
  <c r="U9" i="92"/>
  <c r="V9" i="92"/>
  <c r="W9" i="92"/>
  <c r="X9" i="92"/>
  <c r="R10" i="92"/>
  <c r="S10" i="92"/>
  <c r="T10" i="92"/>
  <c r="U10" i="92"/>
  <c r="V10" i="92"/>
  <c r="W10" i="92"/>
  <c r="X10" i="92"/>
  <c r="Q11" i="92"/>
  <c r="R11" i="92"/>
  <c r="S11" i="92"/>
  <c r="T11" i="92"/>
  <c r="U11" i="92"/>
  <c r="V11" i="92"/>
  <c r="W11" i="92"/>
  <c r="X11" i="92"/>
  <c r="Q12" i="92"/>
  <c r="R12" i="92"/>
  <c r="S12" i="92"/>
  <c r="T12" i="92"/>
  <c r="U12" i="92"/>
  <c r="V12" i="92"/>
  <c r="W12" i="92"/>
  <c r="X12" i="92"/>
  <c r="Q13" i="92"/>
  <c r="R13" i="92"/>
  <c r="S13" i="92"/>
  <c r="T13" i="92"/>
  <c r="U13" i="92"/>
  <c r="V13" i="92"/>
  <c r="W13" i="92"/>
  <c r="X13" i="92"/>
  <c r="Q14" i="92"/>
  <c r="R14" i="92"/>
  <c r="S14" i="92"/>
  <c r="T14" i="92"/>
  <c r="U14" i="92"/>
  <c r="V14" i="92"/>
  <c r="W14" i="92"/>
  <c r="X14" i="92"/>
  <c r="Q15" i="92"/>
  <c r="R15" i="92"/>
  <c r="S15" i="92"/>
  <c r="T15" i="92"/>
  <c r="U15" i="92"/>
  <c r="V15" i="92"/>
  <c r="W15" i="92"/>
  <c r="X15" i="92"/>
  <c r="Q16" i="92"/>
  <c r="R16" i="92"/>
  <c r="S16" i="92"/>
  <c r="T16" i="92"/>
  <c r="U16" i="92"/>
  <c r="V16" i="92"/>
  <c r="W16" i="92"/>
  <c r="X16" i="92"/>
  <c r="Q17" i="92"/>
  <c r="R17" i="92"/>
  <c r="S17" i="92"/>
  <c r="T17" i="92"/>
  <c r="U17" i="92"/>
  <c r="V17" i="92"/>
  <c r="W17" i="92"/>
  <c r="X17" i="92"/>
  <c r="Q18" i="92"/>
  <c r="R18" i="92"/>
  <c r="AB9" i="92" s="1"/>
  <c r="S18" i="92"/>
  <c r="AC9" i="92" s="1"/>
  <c r="T18" i="92"/>
  <c r="AD9" i="92" s="1"/>
  <c r="U18" i="92"/>
  <c r="AE9" i="92" s="1"/>
  <c r="V18" i="92"/>
  <c r="AF9" i="92" s="1"/>
  <c r="W18" i="92"/>
  <c r="AG9" i="92" s="1"/>
  <c r="X18" i="92"/>
  <c r="AH9" i="92" s="1"/>
  <c r="Q19" i="92"/>
  <c r="R19" i="92"/>
  <c r="S19" i="92"/>
  <c r="T19" i="92"/>
  <c r="U19" i="92"/>
  <c r="V19" i="92"/>
  <c r="W19" i="92"/>
  <c r="X19" i="92"/>
  <c r="Q20" i="92"/>
  <c r="R20" i="92"/>
  <c r="S20" i="92"/>
  <c r="T20" i="92"/>
  <c r="U20" i="92"/>
  <c r="V20" i="92"/>
  <c r="W20" i="92"/>
  <c r="X20" i="92"/>
  <c r="Q21" i="92"/>
  <c r="R21" i="92"/>
  <c r="S21" i="92"/>
  <c r="T21" i="92"/>
  <c r="U21" i="92"/>
  <c r="V21" i="92"/>
  <c r="W21" i="92"/>
  <c r="X21" i="92"/>
  <c r="Q22" i="92"/>
  <c r="R22" i="92"/>
  <c r="S22" i="92"/>
  <c r="T22" i="92"/>
  <c r="U22" i="92"/>
  <c r="V22" i="92"/>
  <c r="W22" i="92"/>
  <c r="X22" i="92"/>
  <c r="R4" i="92"/>
  <c r="S4" i="92"/>
  <c r="T4" i="92"/>
  <c r="U4" i="92"/>
  <c r="V4" i="92"/>
  <c r="W4" i="92"/>
  <c r="X4" i="92"/>
  <c r="Q4" i="92"/>
  <c r="Q88" i="92"/>
  <c r="O21" i="110"/>
  <c r="S27" i="110"/>
  <c r="O29" i="110"/>
  <c r="O5" i="110"/>
  <c r="U10" i="110"/>
  <c r="E18" i="112"/>
  <c r="E19" i="112" s="1"/>
  <c r="D15" i="112"/>
  <c r="E4" i="113"/>
  <c r="E5" i="113"/>
  <c r="D4" i="113"/>
  <c r="P46" i="102"/>
  <c r="Q46" i="102"/>
  <c r="R47" i="102"/>
  <c r="S47" i="102"/>
  <c r="U47" i="102"/>
  <c r="O48" i="102"/>
  <c r="P48" i="102"/>
  <c r="Q48" i="102"/>
  <c r="R48" i="102"/>
  <c r="S48" i="102"/>
  <c r="T48" i="102"/>
  <c r="U48" i="102"/>
  <c r="N48" i="102"/>
  <c r="D76" i="99"/>
  <c r="F61" i="99"/>
  <c r="F4" i="71"/>
  <c r="G4" i="71"/>
  <c r="H4" i="71"/>
  <c r="I4" i="71"/>
  <c r="J4" i="71"/>
  <c r="K4" i="71"/>
  <c r="E4" i="71"/>
  <c r="D4" i="70"/>
  <c r="G58" i="70"/>
  <c r="F56" i="70"/>
  <c r="E58" i="70"/>
  <c r="F58" i="70"/>
  <c r="H58" i="70"/>
  <c r="I58" i="70"/>
  <c r="J58" i="70"/>
  <c r="K58" i="70"/>
  <c r="E57" i="70"/>
  <c r="F57" i="70"/>
  <c r="G57" i="70"/>
  <c r="H57" i="70"/>
  <c r="I57" i="70"/>
  <c r="J57" i="70"/>
  <c r="K57" i="70"/>
  <c r="F6" i="70"/>
  <c r="E53" i="70"/>
  <c r="N6" i="69"/>
  <c r="N9" i="69"/>
  <c r="N12" i="69"/>
  <c r="G4" i="68"/>
  <c r="M15" i="68"/>
  <c r="M13" i="68"/>
  <c r="M12" i="68"/>
  <c r="M10" i="68"/>
  <c r="M9" i="68"/>
  <c r="M5" i="68"/>
  <c r="M4" i="68"/>
  <c r="L15" i="68"/>
  <c r="L13" i="68"/>
  <c r="L10" i="68"/>
  <c r="L9" i="68"/>
  <c r="L6" i="68"/>
  <c r="L5" i="68"/>
  <c r="L4" i="68"/>
  <c r="K15" i="68"/>
  <c r="K12" i="68"/>
  <c r="K10" i="68"/>
  <c r="K9" i="68"/>
  <c r="K6" i="68"/>
  <c r="K5" i="68"/>
  <c r="K4" i="68"/>
  <c r="J15" i="68"/>
  <c r="J13" i="68"/>
  <c r="J12" i="68"/>
  <c r="J10" i="68"/>
  <c r="J9" i="68"/>
  <c r="J4" i="68"/>
  <c r="I15" i="68"/>
  <c r="I13" i="68"/>
  <c r="I12" i="68"/>
  <c r="I10" i="68"/>
  <c r="I9" i="68"/>
  <c r="I6" i="68"/>
  <c r="I5" i="68"/>
  <c r="H15" i="68"/>
  <c r="H13" i="68"/>
  <c r="H12" i="68"/>
  <c r="H9" i="68"/>
  <c r="H6" i="68"/>
  <c r="H5" i="68"/>
  <c r="H4" i="68"/>
  <c r="G15" i="68"/>
  <c r="G13" i="68"/>
  <c r="G12" i="68"/>
  <c r="M6" i="68"/>
  <c r="L12" i="68"/>
  <c r="J5" i="68"/>
  <c r="H10" i="68"/>
  <c r="K13" i="68"/>
  <c r="I4" i="68"/>
  <c r="D37" i="86"/>
  <c r="C11" i="134" s="1"/>
  <c r="C20" i="134" s="1"/>
  <c r="D33" i="86"/>
  <c r="AZ7" i="67"/>
  <c r="AN5" i="66"/>
  <c r="AO5" i="66"/>
  <c r="AP5" i="66"/>
  <c r="AQ5" i="66"/>
  <c r="AR5" i="66"/>
  <c r="AS5" i="66"/>
  <c r="AT5" i="66"/>
  <c r="AU5" i="66"/>
  <c r="AN6" i="66"/>
  <c r="AO6" i="66"/>
  <c r="AP6" i="66"/>
  <c r="AQ6" i="66"/>
  <c r="AR6" i="66"/>
  <c r="AS6" i="66"/>
  <c r="AT6" i="66"/>
  <c r="AU6" i="66"/>
  <c r="AN7" i="66"/>
  <c r="AO7" i="66"/>
  <c r="AP7" i="66"/>
  <c r="AQ7" i="66"/>
  <c r="AR7" i="66"/>
  <c r="AS7" i="66"/>
  <c r="AT7" i="66"/>
  <c r="AU7" i="66"/>
  <c r="AN8" i="66"/>
  <c r="AO8" i="66"/>
  <c r="AP8" i="66"/>
  <c r="AQ8" i="66"/>
  <c r="AR8" i="66"/>
  <c r="AS8" i="66"/>
  <c r="AT8" i="66"/>
  <c r="AU8" i="66"/>
  <c r="AN9" i="66"/>
  <c r="AO9" i="66"/>
  <c r="AP9" i="66"/>
  <c r="AQ9" i="66"/>
  <c r="AR9" i="66"/>
  <c r="AS9" i="66"/>
  <c r="AT9" i="66"/>
  <c r="AU9" i="66"/>
  <c r="AN10" i="66"/>
  <c r="AO10" i="66"/>
  <c r="AP10" i="66"/>
  <c r="AQ10" i="66"/>
  <c r="AR10" i="66"/>
  <c r="AS10" i="66"/>
  <c r="AT10" i="66"/>
  <c r="AU10" i="66"/>
  <c r="AN4" i="66"/>
  <c r="AO4" i="66"/>
  <c r="AP4" i="66"/>
  <c r="AQ4" i="66"/>
  <c r="AR4" i="66"/>
  <c r="AS4" i="66"/>
  <c r="AT4" i="66"/>
  <c r="AU4" i="66"/>
  <c r="AB5" i="66"/>
  <c r="AC5" i="66"/>
  <c r="AD5" i="66"/>
  <c r="AE5" i="66"/>
  <c r="AF5" i="66"/>
  <c r="AG5" i="66"/>
  <c r="AH5" i="66"/>
  <c r="AI5" i="66"/>
  <c r="AB6" i="66"/>
  <c r="AC6" i="66"/>
  <c r="AD6" i="66"/>
  <c r="AE6" i="66"/>
  <c r="AF6" i="66"/>
  <c r="AG6" i="66"/>
  <c r="AH6" i="66"/>
  <c r="AI6" i="66"/>
  <c r="AB7" i="66"/>
  <c r="AC7" i="66"/>
  <c r="AD7" i="66"/>
  <c r="AE7" i="66"/>
  <c r="AF7" i="66"/>
  <c r="AG7" i="66"/>
  <c r="AH7" i="66"/>
  <c r="AI7" i="66"/>
  <c r="AB8" i="66"/>
  <c r="AC8" i="66"/>
  <c r="AD8" i="66"/>
  <c r="AE8" i="66"/>
  <c r="AF8" i="66"/>
  <c r="AG8" i="66"/>
  <c r="AH8" i="66"/>
  <c r="AI8" i="66"/>
  <c r="AB9" i="66"/>
  <c r="AC9" i="66"/>
  <c r="AD9" i="66"/>
  <c r="AE9" i="66"/>
  <c r="AF9" i="66"/>
  <c r="AG9" i="66"/>
  <c r="AH9" i="66"/>
  <c r="AI9" i="66"/>
  <c r="AB10" i="66"/>
  <c r="AC10" i="66"/>
  <c r="AD10" i="66"/>
  <c r="AE10" i="66"/>
  <c r="AF10" i="66"/>
  <c r="AG10" i="66"/>
  <c r="AH10" i="66"/>
  <c r="AI10" i="66"/>
  <c r="AC4" i="66"/>
  <c r="AD4" i="66"/>
  <c r="AE4" i="66"/>
  <c r="AF4" i="66"/>
  <c r="AG4" i="66"/>
  <c r="AH4" i="66"/>
  <c r="AI4" i="66"/>
  <c r="AB4" i="66"/>
  <c r="P5" i="66"/>
  <c r="Q5" i="66"/>
  <c r="R5" i="66"/>
  <c r="S5" i="66"/>
  <c r="T5" i="66"/>
  <c r="U5" i="66"/>
  <c r="V5" i="66"/>
  <c r="W5" i="66"/>
  <c r="P6" i="66"/>
  <c r="Q6" i="66"/>
  <c r="R6" i="66"/>
  <c r="S6" i="66"/>
  <c r="T6" i="66"/>
  <c r="U6" i="66"/>
  <c r="V6" i="66"/>
  <c r="W6" i="66"/>
  <c r="P7" i="66"/>
  <c r="Q7" i="66"/>
  <c r="R7" i="66"/>
  <c r="S7" i="66"/>
  <c r="T7" i="66"/>
  <c r="U7" i="66"/>
  <c r="V7" i="66"/>
  <c r="W7" i="66"/>
  <c r="P8" i="66"/>
  <c r="Q8" i="66"/>
  <c r="R8" i="66"/>
  <c r="S8" i="66"/>
  <c r="T8" i="66"/>
  <c r="U8" i="66"/>
  <c r="V8" i="66"/>
  <c r="W8" i="66"/>
  <c r="P9" i="66"/>
  <c r="Q9" i="66"/>
  <c r="R9" i="66"/>
  <c r="S9" i="66"/>
  <c r="T9" i="66"/>
  <c r="U9" i="66"/>
  <c r="V9" i="66"/>
  <c r="W9" i="66"/>
  <c r="P10" i="66"/>
  <c r="Q10" i="66"/>
  <c r="R10" i="66"/>
  <c r="S10" i="66"/>
  <c r="T10" i="66"/>
  <c r="U10" i="66"/>
  <c r="V10" i="66"/>
  <c r="W10" i="66"/>
  <c r="Q4" i="66"/>
  <c r="R4" i="66"/>
  <c r="S4" i="66"/>
  <c r="T4" i="66"/>
  <c r="U4" i="66"/>
  <c r="V4" i="66"/>
  <c r="W4" i="66"/>
  <c r="P4" i="66"/>
  <c r="D5" i="66"/>
  <c r="E5" i="66"/>
  <c r="F5" i="66"/>
  <c r="G5" i="66"/>
  <c r="H5" i="66"/>
  <c r="I5" i="66"/>
  <c r="J5" i="66"/>
  <c r="K5" i="66"/>
  <c r="D6" i="66"/>
  <c r="E6" i="66"/>
  <c r="F6" i="66"/>
  <c r="G6" i="66"/>
  <c r="H6" i="66"/>
  <c r="I6" i="66"/>
  <c r="J6" i="66"/>
  <c r="K6" i="66"/>
  <c r="D7" i="66"/>
  <c r="E7" i="66"/>
  <c r="F7" i="66"/>
  <c r="G7" i="66"/>
  <c r="H7" i="66"/>
  <c r="I7" i="66"/>
  <c r="J7" i="66"/>
  <c r="K7" i="66"/>
  <c r="D8" i="66"/>
  <c r="E8" i="66"/>
  <c r="F8" i="66"/>
  <c r="G8" i="66"/>
  <c r="H8" i="66"/>
  <c r="I8" i="66"/>
  <c r="J8" i="66"/>
  <c r="K8" i="66"/>
  <c r="D9" i="66"/>
  <c r="E9" i="66"/>
  <c r="F9" i="66"/>
  <c r="G9" i="66"/>
  <c r="H9" i="66"/>
  <c r="I9" i="66"/>
  <c r="J9" i="66"/>
  <c r="K9" i="66"/>
  <c r="D10" i="66"/>
  <c r="E10" i="66"/>
  <c r="F10" i="66"/>
  <c r="G10" i="66"/>
  <c r="H10" i="66"/>
  <c r="I10" i="66"/>
  <c r="J10" i="66"/>
  <c r="K10" i="66"/>
  <c r="E4" i="66"/>
  <c r="F4" i="66"/>
  <c r="G4" i="66"/>
  <c r="H4" i="66"/>
  <c r="I4" i="66"/>
  <c r="J4" i="66"/>
  <c r="K4" i="66"/>
  <c r="D4" i="66"/>
  <c r="D20" i="102"/>
  <c r="D29" i="102" s="1"/>
  <c r="DA37" i="137"/>
  <c r="DC37" i="137"/>
  <c r="DD37" i="137"/>
  <c r="CE25" i="137"/>
  <c r="BJ30" i="137"/>
  <c r="BK30" i="137"/>
  <c r="BL30" i="137"/>
  <c r="BM30" i="137"/>
  <c r="BN30" i="137"/>
  <c r="BO30" i="137"/>
  <c r="BP30" i="137"/>
  <c r="BQ30" i="137"/>
  <c r="BJ29" i="137"/>
  <c r="BK29" i="137"/>
  <c r="BL29" i="137"/>
  <c r="BM29" i="137"/>
  <c r="BN29" i="137"/>
  <c r="BO29" i="137"/>
  <c r="BP29" i="137"/>
  <c r="BQ29" i="137"/>
  <c r="AV25" i="137"/>
  <c r="AW25" i="137"/>
  <c r="AX25" i="137"/>
  <c r="AY25" i="137"/>
  <c r="AZ25" i="137"/>
  <c r="BA25" i="137"/>
  <c r="BB25" i="137"/>
  <c r="BC25" i="137"/>
  <c r="I37" i="137"/>
  <c r="E33" i="137"/>
  <c r="F33" i="137"/>
  <c r="G33" i="137"/>
  <c r="H33" i="137"/>
  <c r="I33" i="137"/>
  <c r="J33" i="137"/>
  <c r="K33" i="137"/>
  <c r="L33" i="137"/>
  <c r="E34" i="137"/>
  <c r="F34" i="137"/>
  <c r="G34" i="137"/>
  <c r="H34" i="137"/>
  <c r="I34" i="137"/>
  <c r="J34" i="137"/>
  <c r="K34" i="137"/>
  <c r="L34" i="137"/>
  <c r="E37" i="137"/>
  <c r="F37" i="137"/>
  <c r="G37" i="137"/>
  <c r="H37" i="137"/>
  <c r="J37" i="137"/>
  <c r="K37" i="137"/>
  <c r="L37" i="137"/>
  <c r="E38" i="137"/>
  <c r="F38" i="137"/>
  <c r="G38" i="137"/>
  <c r="H38" i="137"/>
  <c r="I38" i="137"/>
  <c r="J38" i="137"/>
  <c r="K38" i="137"/>
  <c r="L38" i="137"/>
  <c r="AG16" i="136"/>
  <c r="AH16" i="136"/>
  <c r="AI16" i="136"/>
  <c r="AJ16" i="136"/>
  <c r="AK16" i="136"/>
  <c r="AL16" i="136"/>
  <c r="AM16" i="136"/>
  <c r="AN16" i="136"/>
  <c r="R23" i="136"/>
  <c r="S23" i="136"/>
  <c r="T23" i="136"/>
  <c r="U23" i="136"/>
  <c r="V23" i="136"/>
  <c r="W23" i="136"/>
  <c r="X23" i="136"/>
  <c r="Y23" i="136"/>
  <c r="R24" i="136"/>
  <c r="S24" i="136"/>
  <c r="T24" i="136"/>
  <c r="U24" i="136"/>
  <c r="V24" i="136"/>
  <c r="W24" i="136"/>
  <c r="X24" i="136"/>
  <c r="Y24" i="136"/>
  <c r="R25" i="136"/>
  <c r="S25" i="136"/>
  <c r="T25" i="136"/>
  <c r="U25" i="136"/>
  <c r="V25" i="136"/>
  <c r="W25" i="136"/>
  <c r="X25" i="136"/>
  <c r="Y25" i="136"/>
  <c r="R26" i="136"/>
  <c r="S26" i="136"/>
  <c r="T26" i="136"/>
  <c r="U26" i="136"/>
  <c r="V26" i="136"/>
  <c r="W26" i="136"/>
  <c r="X26" i="136"/>
  <c r="Y26" i="136"/>
  <c r="R27" i="136"/>
  <c r="S27" i="136"/>
  <c r="T27" i="136"/>
  <c r="U27" i="136"/>
  <c r="V27" i="136"/>
  <c r="W27" i="136"/>
  <c r="X27" i="136"/>
  <c r="Y27" i="136"/>
  <c r="R28" i="136"/>
  <c r="S28" i="136"/>
  <c r="T28" i="136"/>
  <c r="U28" i="136"/>
  <c r="V28" i="136"/>
  <c r="W28" i="136"/>
  <c r="X28" i="136"/>
  <c r="Y28" i="136"/>
  <c r="R29" i="136"/>
  <c r="S29" i="136"/>
  <c r="T29" i="136"/>
  <c r="U29" i="136"/>
  <c r="V29" i="136"/>
  <c r="W29" i="136"/>
  <c r="X29" i="136"/>
  <c r="Y29" i="136"/>
  <c r="S22" i="136"/>
  <c r="T22" i="136"/>
  <c r="U22" i="136"/>
  <c r="V22" i="136"/>
  <c r="X22" i="136"/>
  <c r="Y22" i="136"/>
  <c r="R22" i="136"/>
  <c r="R73" i="136"/>
  <c r="S73" i="136"/>
  <c r="T73" i="136"/>
  <c r="U73" i="136"/>
  <c r="V73" i="136"/>
  <c r="W73" i="136"/>
  <c r="X73" i="136"/>
  <c r="Y73" i="136"/>
  <c r="R74" i="136"/>
  <c r="S74" i="136"/>
  <c r="T74" i="136"/>
  <c r="U74" i="136"/>
  <c r="V74" i="136"/>
  <c r="W74" i="136"/>
  <c r="X74" i="136"/>
  <c r="Y74" i="136"/>
  <c r="R75" i="136"/>
  <c r="S75" i="136"/>
  <c r="T75" i="136"/>
  <c r="U75" i="136"/>
  <c r="V75" i="136"/>
  <c r="W75" i="136"/>
  <c r="X75" i="136"/>
  <c r="Y75" i="136"/>
  <c r="R76" i="136"/>
  <c r="S76" i="136"/>
  <c r="T76" i="136"/>
  <c r="U76" i="136"/>
  <c r="V76" i="136"/>
  <c r="W76" i="136"/>
  <c r="X76" i="136"/>
  <c r="Y76" i="136"/>
  <c r="R77" i="136"/>
  <c r="S77" i="136"/>
  <c r="T77" i="136"/>
  <c r="U77" i="136"/>
  <c r="V77" i="136"/>
  <c r="W77" i="136"/>
  <c r="X77" i="136"/>
  <c r="Y77" i="136"/>
  <c r="Y19" i="136"/>
  <c r="S7" i="136"/>
  <c r="T7" i="136"/>
  <c r="U7" i="136"/>
  <c r="V7" i="136"/>
  <c r="W7" i="136"/>
  <c r="X7" i="136"/>
  <c r="Y7" i="136"/>
  <c r="J50" i="136"/>
  <c r="E24" i="136"/>
  <c r="F24" i="136"/>
  <c r="G24" i="136"/>
  <c r="H24" i="136"/>
  <c r="I24" i="136"/>
  <c r="J24" i="136"/>
  <c r="K24" i="136"/>
  <c r="L24" i="136"/>
  <c r="E21" i="136"/>
  <c r="G6" i="136"/>
  <c r="G5" i="136" s="1"/>
  <c r="L6" i="136"/>
  <c r="L5" i="136" s="1"/>
  <c r="F49" i="136" l="1"/>
  <c r="BK17" i="137"/>
  <c r="BK31" i="137" s="1"/>
  <c r="BK18" i="137"/>
  <c r="BK32" i="137" s="1"/>
  <c r="BJ17" i="137"/>
  <c r="BJ31" i="137" s="1"/>
  <c r="BJ18" i="137"/>
  <c r="BJ32" i="137" s="1"/>
  <c r="BP18" i="137"/>
  <c r="BP32" i="137" s="1"/>
  <c r="BP17" i="137"/>
  <c r="BP31" i="137" s="1"/>
  <c r="BQ18" i="137"/>
  <c r="BQ32" i="137" s="1"/>
  <c r="BQ17" i="137"/>
  <c r="BQ31" i="137" s="1"/>
  <c r="BP137" i="127"/>
  <c r="BO18" i="137"/>
  <c r="BO32" i="137" s="1"/>
  <c r="BO17" i="137"/>
  <c r="BO31" i="137" s="1"/>
  <c r="BN18" i="137"/>
  <c r="BN32" i="137" s="1"/>
  <c r="BN17" i="137"/>
  <c r="BN31" i="137" s="1"/>
  <c r="BM18" i="137"/>
  <c r="BM32" i="137" s="1"/>
  <c r="BM17" i="137"/>
  <c r="BM31" i="137" s="1"/>
  <c r="BL18" i="137"/>
  <c r="BL32" i="137" s="1"/>
  <c r="BL17" i="137"/>
  <c r="BL31" i="137" s="1"/>
  <c r="G16" i="137"/>
  <c r="G35" i="137" s="1"/>
  <c r="G15" i="137"/>
  <c r="G36" i="137" s="1"/>
  <c r="F16" i="137"/>
  <c r="F35" i="137" s="1"/>
  <c r="F15" i="137"/>
  <c r="F36" i="137" s="1"/>
  <c r="H16" i="137"/>
  <c r="H35" i="137" s="1"/>
  <c r="H15" i="137"/>
  <c r="H36" i="137" s="1"/>
  <c r="E16" i="137"/>
  <c r="E35" i="137" s="1"/>
  <c r="E15" i="137"/>
  <c r="E36" i="137" s="1"/>
  <c r="I15" i="137"/>
  <c r="I36" i="137" s="1"/>
  <c r="I16" i="137"/>
  <c r="I35" i="137" s="1"/>
  <c r="L16" i="137"/>
  <c r="L35" i="137" s="1"/>
  <c r="L15" i="137"/>
  <c r="L36" i="137" s="1"/>
  <c r="K16" i="137"/>
  <c r="K35" i="137" s="1"/>
  <c r="K15" i="137"/>
  <c r="K36" i="137" s="1"/>
  <c r="J15" i="137"/>
  <c r="J36" i="137" s="1"/>
  <c r="J16" i="137"/>
  <c r="J35" i="137" s="1"/>
  <c r="E6" i="136"/>
  <c r="E5" i="136" s="1"/>
  <c r="E44" i="136"/>
  <c r="E32" i="137"/>
  <c r="I22" i="136"/>
  <c r="I45" i="136" s="1"/>
  <c r="I23" i="136"/>
  <c r="H22" i="136"/>
  <c r="H45" i="136" s="1"/>
  <c r="H23" i="136"/>
  <c r="J22" i="136"/>
  <c r="J45" i="136" s="1"/>
  <c r="J23" i="136"/>
  <c r="G22" i="136"/>
  <c r="G45" i="136" s="1"/>
  <c r="G23" i="136"/>
  <c r="K23" i="136"/>
  <c r="K22" i="136"/>
  <c r="K45" i="136" s="1"/>
  <c r="L23" i="136"/>
  <c r="L22" i="136"/>
  <c r="L45" i="136" s="1"/>
  <c r="K6" i="136"/>
  <c r="K5" i="136" s="1"/>
  <c r="I6" i="136"/>
  <c r="I5" i="136" s="1"/>
  <c r="H6" i="136"/>
  <c r="H5" i="136" s="1"/>
  <c r="F6" i="136"/>
  <c r="F5" i="136" s="1"/>
  <c r="D39" i="110"/>
  <c r="AH4" i="92"/>
  <c r="J47" i="136"/>
  <c r="CA25" i="137"/>
  <c r="E21" i="69"/>
  <c r="K21" i="69"/>
  <c r="J21" i="69"/>
  <c r="I21" i="69"/>
  <c r="H21" i="69"/>
  <c r="G21" i="69"/>
  <c r="BO28" i="137"/>
  <c r="CC25" i="137"/>
  <c r="CB25" i="137"/>
  <c r="BQ28" i="137"/>
  <c r="F21" i="69"/>
  <c r="BL28" i="137"/>
  <c r="BN28" i="137"/>
  <c r="BM28" i="137"/>
  <c r="BP28" i="137"/>
  <c r="BK28" i="137"/>
  <c r="BJ28" i="137"/>
  <c r="F32" i="137"/>
  <c r="L32" i="137"/>
  <c r="K32" i="137"/>
  <c r="I32" i="137"/>
  <c r="J32" i="137"/>
  <c r="H32" i="137"/>
  <c r="G32" i="137"/>
  <c r="I51" i="136"/>
  <c r="H51" i="136"/>
  <c r="G51" i="136"/>
  <c r="F51" i="136"/>
  <c r="E51" i="136"/>
  <c r="L51" i="136"/>
  <c r="K51" i="136"/>
  <c r="J51" i="136"/>
  <c r="AH17" i="136"/>
  <c r="H6" i="70"/>
  <c r="F46" i="136"/>
  <c r="D6" i="70"/>
  <c r="G6" i="70"/>
  <c r="E6" i="70"/>
  <c r="J6" i="70"/>
  <c r="I6" i="70"/>
  <c r="AG17" i="136"/>
  <c r="BK134" i="127"/>
  <c r="T78" i="136"/>
  <c r="T19" i="136"/>
  <c r="S78" i="136"/>
  <c r="S19" i="136"/>
  <c r="R78" i="136"/>
  <c r="R19" i="136"/>
  <c r="Y78" i="136"/>
  <c r="X78" i="136"/>
  <c r="X19" i="136"/>
  <c r="W78" i="136"/>
  <c r="W19" i="136"/>
  <c r="V78" i="136"/>
  <c r="V19" i="136"/>
  <c r="U78" i="136"/>
  <c r="U19" i="136"/>
  <c r="AY4" i="67"/>
  <c r="AM16" i="67"/>
  <c r="CY38" i="137"/>
  <c r="CY37" i="137"/>
  <c r="CW37" i="137"/>
  <c r="CW39" i="137"/>
  <c r="CW38" i="137"/>
  <c r="H20" i="102"/>
  <c r="DB37" i="137"/>
  <c r="F20" i="102"/>
  <c r="CZ37" i="137"/>
  <c r="G20" i="102"/>
  <c r="DA39" i="137"/>
  <c r="E20" i="102"/>
  <c r="AY24" i="137"/>
  <c r="AY26" i="137" s="1"/>
  <c r="J20" i="102"/>
  <c r="J29" i="102" s="1"/>
  <c r="DD38" i="137"/>
  <c r="I20" i="102"/>
  <c r="AB5" i="92"/>
  <c r="AB8" i="92"/>
  <c r="AB4" i="92"/>
  <c r="AB6" i="92"/>
  <c r="AB7" i="92"/>
  <c r="C20" i="102"/>
  <c r="DD39" i="137"/>
  <c r="DC39" i="137"/>
  <c r="DC38" i="137"/>
  <c r="DB39" i="137"/>
  <c r="DB38" i="137"/>
  <c r="DA38" i="137"/>
  <c r="CZ39" i="137"/>
  <c r="CZ38" i="137"/>
  <c r="CY39" i="137"/>
  <c r="D5" i="70"/>
  <c r="AC7" i="92"/>
  <c r="AH7" i="92"/>
  <c r="AG7" i="92"/>
  <c r="AF7" i="92"/>
  <c r="AE7" i="92"/>
  <c r="AD7" i="92"/>
  <c r="E7" i="70"/>
  <c r="D7" i="70"/>
  <c r="J7" i="70"/>
  <c r="I7" i="70"/>
  <c r="F7" i="70"/>
  <c r="H7" i="70"/>
  <c r="G7" i="70"/>
  <c r="F4" i="70"/>
  <c r="E4" i="70"/>
  <c r="J4" i="70"/>
  <c r="I4" i="70"/>
  <c r="H4" i="70"/>
  <c r="G4" i="70"/>
  <c r="H21" i="136"/>
  <c r="H44" i="136" s="1"/>
  <c r="G21" i="136"/>
  <c r="G44" i="136" s="1"/>
  <c r="CB24" i="137"/>
  <c r="AK17" i="136"/>
  <c r="AK18" i="136"/>
  <c r="L21" i="136"/>
  <c r="L44" i="136" s="1"/>
  <c r="J21" i="136"/>
  <c r="J44" i="136" s="1"/>
  <c r="K21" i="136"/>
  <c r="K44" i="136" s="1"/>
  <c r="I21" i="136"/>
  <c r="I44" i="136" s="1"/>
  <c r="AL18" i="136"/>
  <c r="I46" i="136"/>
  <c r="G46" i="136"/>
  <c r="E46" i="136"/>
  <c r="J46" i="136"/>
  <c r="L46" i="136"/>
  <c r="K46" i="136"/>
  <c r="H46" i="136"/>
  <c r="F44" i="136"/>
  <c r="BZ25" i="137"/>
  <c r="BZ24" i="137"/>
  <c r="AX24" i="137"/>
  <c r="AX26" i="137" s="1"/>
  <c r="BY25" i="137"/>
  <c r="BQ131" i="127"/>
  <c r="AN18" i="136"/>
  <c r="BC24" i="137"/>
  <c r="BC26" i="137" s="1"/>
  <c r="BY24" i="137"/>
  <c r="AN17" i="136"/>
  <c r="J5" i="70"/>
  <c r="Q47" i="102"/>
  <c r="O46" i="102"/>
  <c r="AJ18" i="136"/>
  <c r="O47" i="102"/>
  <c r="U46" i="102"/>
  <c r="CE24" i="137"/>
  <c r="CE26" i="137" s="1"/>
  <c r="T46" i="102"/>
  <c r="S46" i="102"/>
  <c r="T47" i="102"/>
  <c r="R46" i="102"/>
  <c r="AG18" i="136"/>
  <c r="F5" i="70"/>
  <c r="P47" i="102"/>
  <c r="BA24" i="137"/>
  <c r="BA26" i="137" s="1"/>
  <c r="CC24" i="137"/>
  <c r="E5" i="70"/>
  <c r="AI17" i="136"/>
  <c r="AH18" i="136"/>
  <c r="D13" i="67"/>
  <c r="P4" i="53" s="1"/>
  <c r="F45" i="136"/>
  <c r="BX24" i="137"/>
  <c r="BX22" i="137"/>
  <c r="J61" i="99"/>
  <c r="I63" i="99"/>
  <c r="I62" i="99"/>
  <c r="I61" i="99"/>
  <c r="H63" i="99"/>
  <c r="H62" i="99"/>
  <c r="H61" i="99"/>
  <c r="G63" i="99"/>
  <c r="G62" i="99"/>
  <c r="G61" i="99"/>
  <c r="F63" i="99"/>
  <c r="F62" i="99"/>
  <c r="E63" i="99"/>
  <c r="E62" i="99"/>
  <c r="E61" i="99"/>
  <c r="D63" i="99"/>
  <c r="D62" i="99"/>
  <c r="D61" i="99"/>
  <c r="K63" i="99"/>
  <c r="K62" i="99"/>
  <c r="K61" i="99"/>
  <c r="J63" i="99"/>
  <c r="J62" i="99"/>
  <c r="AM18" i="136"/>
  <c r="BM135" i="127"/>
  <c r="BO133" i="127"/>
  <c r="BP131" i="127"/>
  <c r="BQ134" i="127"/>
  <c r="BK135" i="127"/>
  <c r="BO131" i="127"/>
  <c r="BM131" i="127"/>
  <c r="BO137" i="127"/>
  <c r="BL133" i="127"/>
  <c r="BO136" i="127"/>
  <c r="BP136" i="127"/>
  <c r="BP138" i="127"/>
  <c r="BK138" i="127"/>
  <c r="BL137" i="127"/>
  <c r="BM136" i="127"/>
  <c r="BL131" i="127"/>
  <c r="BL138" i="127"/>
  <c r="BM137" i="127"/>
  <c r="BQ136" i="127"/>
  <c r="BN137" i="127"/>
  <c r="BM138" i="127"/>
  <c r="BO135" i="127"/>
  <c r="BK137" i="127"/>
  <c r="BL136" i="127"/>
  <c r="BN138" i="127"/>
  <c r="BP135" i="127"/>
  <c r="BQ135" i="127"/>
  <c r="BN133" i="127"/>
  <c r="BN136" i="127"/>
  <c r="BK133" i="127"/>
  <c r="BQ138" i="127"/>
  <c r="BL135" i="127"/>
  <c r="I5" i="70"/>
  <c r="H5" i="70"/>
  <c r="H55" i="70" s="1"/>
  <c r="G5" i="70"/>
  <c r="CE22" i="137"/>
  <c r="CC22" i="137"/>
  <c r="AZ24" i="137"/>
  <c r="AZ26" i="137" s="1"/>
  <c r="CA24" i="137"/>
  <c r="BZ22" i="137"/>
  <c r="CB22" i="137"/>
  <c r="CA22" i="137"/>
  <c r="AV24" i="137"/>
  <c r="AV26" i="137" s="1"/>
  <c r="BY22" i="137"/>
  <c r="CD22" i="137"/>
  <c r="CD25" i="137"/>
  <c r="BX25" i="137"/>
  <c r="CD24" i="137"/>
  <c r="BB24" i="137"/>
  <c r="BB26" i="137" s="1"/>
  <c r="AW24" i="137"/>
  <c r="AW26" i="137" s="1"/>
  <c r="AJ17" i="136"/>
  <c r="AI18" i="136"/>
  <c r="AL17" i="136"/>
  <c r="AM17" i="136"/>
  <c r="AC24" i="137" l="1"/>
  <c r="AC25" i="137" s="1"/>
  <c r="E50" i="136"/>
  <c r="E47" i="136" s="1"/>
  <c r="F28" i="91"/>
  <c r="G28" i="91"/>
  <c r="H28" i="91"/>
  <c r="E28" i="91"/>
  <c r="I28" i="91"/>
  <c r="J28" i="91"/>
  <c r="D28" i="91"/>
  <c r="CC26" i="137"/>
  <c r="CA26" i="137"/>
  <c r="CB26" i="137"/>
  <c r="AH20" i="136"/>
  <c r="AG20" i="136"/>
  <c r="C29" i="102"/>
  <c r="AK20" i="136"/>
  <c r="AL20" i="136"/>
  <c r="BZ26" i="137"/>
  <c r="BY26" i="137"/>
  <c r="AN20" i="136"/>
  <c r="AM20" i="136"/>
  <c r="AJ20" i="136"/>
  <c r="AI20" i="136"/>
  <c r="BX26" i="137"/>
  <c r="CD26" i="137"/>
  <c r="D6" i="74" l="1"/>
  <c r="Q12" i="128" s="1"/>
  <c r="AT21" i="74"/>
  <c r="AT22" i="74" s="1"/>
  <c r="AH16" i="74"/>
  <c r="AH17" i="74" s="1"/>
  <c r="AK16" i="74"/>
  <c r="AK17" i="74" s="1"/>
  <c r="AW21" i="74"/>
  <c r="AW22" i="74" s="1"/>
  <c r="AG16" i="74"/>
  <c r="AG17" i="74" s="1"/>
  <c r="AS21" i="74"/>
  <c r="AS22" i="74" s="1"/>
  <c r="AI16" i="74"/>
  <c r="AI17" i="74" s="1"/>
  <c r="AU21" i="74"/>
  <c r="AU22" i="74" s="1"/>
  <c r="AF16" i="74"/>
  <c r="AF17" i="74" s="1"/>
  <c r="AR21" i="74"/>
  <c r="AR22" i="74" s="1"/>
  <c r="AV21" i="74"/>
  <c r="AV22" i="74" s="1"/>
  <c r="AJ16" i="74"/>
  <c r="AJ17" i="74" s="1"/>
  <c r="AL16" i="74"/>
  <c r="AL17" i="74" s="1"/>
  <c r="AX21" i="74"/>
  <c r="AX22" i="74" s="1"/>
  <c r="D5" i="74"/>
  <c r="AE16" i="74"/>
  <c r="AE17" i="74" s="1"/>
  <c r="AQ21" i="74"/>
  <c r="AQ22" i="74" s="1"/>
  <c r="R19" i="74"/>
  <c r="S19" i="74"/>
  <c r="X23" i="74"/>
  <c r="W23" i="74"/>
  <c r="S23" i="74"/>
  <c r="W19" i="74"/>
  <c r="V23" i="74"/>
  <c r="T23" i="74"/>
  <c r="Y23" i="74"/>
  <c r="R23" i="74"/>
  <c r="U23" i="74"/>
  <c r="U19" i="74"/>
  <c r="X19" i="74"/>
  <c r="V19" i="74"/>
  <c r="Y19" i="74"/>
  <c r="T19" i="74"/>
  <c r="E5" i="57"/>
  <c r="F5" i="57"/>
  <c r="G5" i="57"/>
  <c r="H5" i="57"/>
  <c r="I5" i="57"/>
  <c r="J5" i="57"/>
  <c r="K5" i="57"/>
  <c r="E6" i="57"/>
  <c r="F6" i="57"/>
  <c r="G6" i="57"/>
  <c r="H6" i="57"/>
  <c r="I6" i="57"/>
  <c r="J6" i="57"/>
  <c r="K6" i="57"/>
  <c r="F4" i="57"/>
  <c r="G4" i="57"/>
  <c r="H4" i="57"/>
  <c r="I4" i="57"/>
  <c r="J4" i="57"/>
  <c r="K4" i="57"/>
  <c r="E4" i="57"/>
  <c r="O27" i="117"/>
  <c r="O9" i="117"/>
  <c r="O11" i="98"/>
  <c r="Q11" i="98"/>
  <c r="N27" i="97"/>
  <c r="O27" i="97"/>
  <c r="S27" i="97"/>
  <c r="T27" i="97"/>
  <c r="E26" i="97"/>
  <c r="F26" i="97"/>
  <c r="G26" i="97"/>
  <c r="H26" i="97"/>
  <c r="I26" i="97"/>
  <c r="C26" i="97"/>
  <c r="C66" i="97"/>
  <c r="N58" i="116"/>
  <c r="S76" i="122"/>
  <c r="T76" i="122"/>
  <c r="U76" i="122"/>
  <c r="V76" i="122"/>
  <c r="P76" i="122"/>
  <c r="U9" i="122"/>
  <c r="Q48" i="92"/>
  <c r="R48" i="92"/>
  <c r="S48" i="92"/>
  <c r="T48" i="92"/>
  <c r="U48" i="92"/>
  <c r="V48" i="92"/>
  <c r="W48" i="92"/>
  <c r="X48" i="92"/>
  <c r="Q49" i="92"/>
  <c r="R49" i="92"/>
  <c r="S49" i="92"/>
  <c r="T49" i="92"/>
  <c r="U49" i="92"/>
  <c r="V49" i="92"/>
  <c r="W49" i="92"/>
  <c r="X49" i="92"/>
  <c r="Q50" i="92"/>
  <c r="R50" i="92"/>
  <c r="S50" i="92"/>
  <c r="T50" i="92"/>
  <c r="U50" i="92"/>
  <c r="V50" i="92"/>
  <c r="W50" i="92"/>
  <c r="X50" i="92"/>
  <c r="Q51" i="92"/>
  <c r="R51" i="92"/>
  <c r="S51" i="92"/>
  <c r="T51" i="92"/>
  <c r="U51" i="92"/>
  <c r="V51" i="92"/>
  <c r="W51" i="92"/>
  <c r="X51" i="92"/>
  <c r="Q52" i="92"/>
  <c r="R52" i="92"/>
  <c r="S52" i="92"/>
  <c r="T52" i="92"/>
  <c r="U52" i="92"/>
  <c r="V52" i="92"/>
  <c r="W52" i="92"/>
  <c r="X52" i="92"/>
  <c r="R70" i="92"/>
  <c r="S70" i="92"/>
  <c r="T70" i="92"/>
  <c r="U70" i="92"/>
  <c r="V70" i="92"/>
  <c r="W70" i="92"/>
  <c r="X70" i="92"/>
  <c r="Q74" i="92"/>
  <c r="R74" i="92"/>
  <c r="S74" i="92"/>
  <c r="T74" i="92"/>
  <c r="U74" i="92"/>
  <c r="V74" i="92"/>
  <c r="W74" i="92"/>
  <c r="X74" i="92"/>
  <c r="Q75" i="92"/>
  <c r="R75" i="92"/>
  <c r="S75" i="92"/>
  <c r="T75" i="92"/>
  <c r="U75" i="92"/>
  <c r="V75" i="92"/>
  <c r="W75" i="92"/>
  <c r="X75" i="92"/>
  <c r="Q76" i="92"/>
  <c r="R76" i="92"/>
  <c r="S76" i="92"/>
  <c r="T76" i="92"/>
  <c r="U76" i="92"/>
  <c r="V76" i="92"/>
  <c r="W76" i="92"/>
  <c r="X76" i="92"/>
  <c r="Q77" i="92"/>
  <c r="R77" i="92"/>
  <c r="S77" i="92"/>
  <c r="T77" i="92"/>
  <c r="U77" i="92"/>
  <c r="V77" i="92"/>
  <c r="W77" i="92"/>
  <c r="X77" i="92"/>
  <c r="Q78" i="92"/>
  <c r="R78" i="92"/>
  <c r="S78" i="92"/>
  <c r="T78" i="92"/>
  <c r="U78" i="92"/>
  <c r="V78" i="92"/>
  <c r="W78" i="92"/>
  <c r="X78" i="92"/>
  <c r="Q79" i="92"/>
  <c r="R79" i="92"/>
  <c r="S79" i="92"/>
  <c r="T79" i="92"/>
  <c r="U79" i="92"/>
  <c r="V79" i="92"/>
  <c r="W79" i="92"/>
  <c r="X79" i="92"/>
  <c r="Q80" i="92"/>
  <c r="R80" i="92"/>
  <c r="S80" i="92"/>
  <c r="T80" i="92"/>
  <c r="U80" i="92"/>
  <c r="V80" i="92"/>
  <c r="W80" i="92"/>
  <c r="X80" i="92"/>
  <c r="Q81" i="92"/>
  <c r="R81" i="92"/>
  <c r="S81" i="92"/>
  <c r="T81" i="92"/>
  <c r="U81" i="92"/>
  <c r="V81" i="92"/>
  <c r="W81" i="92"/>
  <c r="X81" i="92"/>
  <c r="Q82" i="92"/>
  <c r="Q84" i="92"/>
  <c r="R84" i="92"/>
  <c r="S84" i="92"/>
  <c r="T84" i="92"/>
  <c r="U84" i="92"/>
  <c r="V84" i="92"/>
  <c r="W84" i="92"/>
  <c r="X84" i="92"/>
  <c r="Q85" i="92"/>
  <c r="R85" i="92"/>
  <c r="S85" i="92"/>
  <c r="T85" i="92"/>
  <c r="U85" i="92"/>
  <c r="V85" i="92"/>
  <c r="W85" i="92"/>
  <c r="X85" i="92"/>
  <c r="Q86" i="92"/>
  <c r="R47" i="92"/>
  <c r="S47" i="92"/>
  <c r="T47" i="92"/>
  <c r="U47" i="92"/>
  <c r="V47" i="92"/>
  <c r="W47" i="92"/>
  <c r="X47" i="92"/>
  <c r="Q47" i="92"/>
  <c r="S41" i="125"/>
  <c r="T41" i="125"/>
  <c r="U41" i="125"/>
  <c r="V41" i="125"/>
  <c r="W41" i="125"/>
  <c r="X41" i="125"/>
  <c r="Y41" i="125"/>
  <c r="R38" i="125"/>
  <c r="AF87" i="130"/>
  <c r="AG87" i="130"/>
  <c r="AH87" i="130"/>
  <c r="AI87" i="130"/>
  <c r="AJ87" i="130"/>
  <c r="AK87" i="130"/>
  <c r="AL87" i="130"/>
  <c r="AM87" i="130"/>
  <c r="AF73" i="130"/>
  <c r="AG73" i="130"/>
  <c r="AH73" i="130"/>
  <c r="AI73" i="130"/>
  <c r="AJ73" i="130"/>
  <c r="AK73" i="130"/>
  <c r="AL73" i="130"/>
  <c r="AM73" i="130"/>
  <c r="AF75" i="130"/>
  <c r="AG75" i="130"/>
  <c r="AH75" i="130"/>
  <c r="AI75" i="130"/>
  <c r="AJ75" i="130"/>
  <c r="AK75" i="130"/>
  <c r="AL75" i="130"/>
  <c r="AM75" i="130"/>
  <c r="AF76" i="130"/>
  <c r="AG76" i="130"/>
  <c r="AH76" i="130"/>
  <c r="AI76" i="130"/>
  <c r="AJ76" i="130"/>
  <c r="AK76" i="130"/>
  <c r="AL76" i="130"/>
  <c r="AM76" i="130"/>
  <c r="AF77" i="130"/>
  <c r="AG77" i="130"/>
  <c r="AH77" i="130"/>
  <c r="AI77" i="130"/>
  <c r="AJ77" i="130"/>
  <c r="AK77" i="130"/>
  <c r="AL77" i="130"/>
  <c r="AM77" i="130"/>
  <c r="AF79" i="130"/>
  <c r="AG79" i="130"/>
  <c r="AH79" i="130"/>
  <c r="AI79" i="130"/>
  <c r="AJ79" i="130"/>
  <c r="AK79" i="130"/>
  <c r="AL79" i="130"/>
  <c r="AM79" i="130"/>
  <c r="AF80" i="130"/>
  <c r="AF82" i="130"/>
  <c r="AG82" i="130"/>
  <c r="AH82" i="130"/>
  <c r="AI82" i="130"/>
  <c r="AJ82" i="130"/>
  <c r="AK82" i="130"/>
  <c r="AL82" i="130"/>
  <c r="AM82" i="130"/>
  <c r="AF83" i="130"/>
  <c r="AG83" i="130"/>
  <c r="AH83" i="130"/>
  <c r="AI83" i="130"/>
  <c r="AJ83" i="130"/>
  <c r="AK83" i="130"/>
  <c r="AL83" i="130"/>
  <c r="AM83" i="130"/>
  <c r="AF84" i="130"/>
  <c r="AG84" i="130"/>
  <c r="AH84" i="130"/>
  <c r="AI84" i="130"/>
  <c r="AJ84" i="130"/>
  <c r="AK84" i="130"/>
  <c r="AL84" i="130"/>
  <c r="AM84" i="130"/>
  <c r="AF85" i="130"/>
  <c r="AG85" i="130"/>
  <c r="AH85" i="130"/>
  <c r="AI85" i="130"/>
  <c r="AJ85" i="130"/>
  <c r="AK85" i="130"/>
  <c r="AL85" i="130"/>
  <c r="AM85" i="130"/>
  <c r="AP87" i="130"/>
  <c r="AQ87" i="130"/>
  <c r="AR87" i="130"/>
  <c r="AS87" i="130"/>
  <c r="AT87" i="130"/>
  <c r="AU87" i="130"/>
  <c r="AV87" i="130"/>
  <c r="AW87" i="130"/>
  <c r="AF72" i="130"/>
  <c r="AG72" i="130"/>
  <c r="AH72" i="130"/>
  <c r="AI72" i="130"/>
  <c r="AJ72" i="130"/>
  <c r="AK72" i="130"/>
  <c r="AL72" i="130"/>
  <c r="AM72" i="130"/>
  <c r="AG66" i="130"/>
  <c r="AH66" i="130"/>
  <c r="AI66" i="130"/>
  <c r="AJ66" i="130"/>
  <c r="AK66" i="130"/>
  <c r="AL66" i="130"/>
  <c r="AM66" i="130"/>
  <c r="AG67" i="130"/>
  <c r="AH67" i="130"/>
  <c r="AI67" i="130"/>
  <c r="AJ67" i="130"/>
  <c r="AK67" i="130"/>
  <c r="AL67" i="130"/>
  <c r="AM67" i="130"/>
  <c r="AG68" i="130"/>
  <c r="AH68" i="130"/>
  <c r="AI68" i="130"/>
  <c r="AJ68" i="130"/>
  <c r="AK68" i="130"/>
  <c r="AL68" i="130"/>
  <c r="AM68" i="130"/>
  <c r="AG69" i="130"/>
  <c r="AH69" i="130"/>
  <c r="AI69" i="130"/>
  <c r="AJ69" i="130"/>
  <c r="AK69" i="130"/>
  <c r="AL69" i="130"/>
  <c r="AM69" i="130"/>
  <c r="AG70" i="130"/>
  <c r="AH70" i="130"/>
  <c r="AI70" i="130"/>
  <c r="AJ70" i="130"/>
  <c r="AK70" i="130"/>
  <c r="AL70" i="130"/>
  <c r="AM70" i="130"/>
  <c r="AG71" i="130"/>
  <c r="AH71" i="130"/>
  <c r="AI71" i="130"/>
  <c r="AJ71" i="130"/>
  <c r="AK71" i="130"/>
  <c r="AL71" i="130"/>
  <c r="AM71" i="130"/>
  <c r="AF67" i="130"/>
  <c r="AF68" i="130"/>
  <c r="AF69" i="130"/>
  <c r="AF70" i="130"/>
  <c r="AF71" i="130"/>
  <c r="AF52" i="130"/>
  <c r="AF6" i="130"/>
  <c r="AF4" i="130"/>
  <c r="V4" i="130"/>
  <c r="L4" i="130"/>
  <c r="E6" i="64"/>
  <c r="F6" i="64"/>
  <c r="G6" i="64"/>
  <c r="H6" i="64"/>
  <c r="I6" i="64"/>
  <c r="J6" i="64"/>
  <c r="E10" i="64"/>
  <c r="F10" i="64"/>
  <c r="G10" i="64"/>
  <c r="H10" i="64"/>
  <c r="I10" i="64"/>
  <c r="J10" i="64"/>
  <c r="D10" i="64"/>
  <c r="E7" i="64"/>
  <c r="F7" i="64"/>
  <c r="G7" i="64"/>
  <c r="H7" i="64"/>
  <c r="I7" i="64"/>
  <c r="J7" i="64"/>
  <c r="D7" i="64"/>
  <c r="E8" i="64"/>
  <c r="F8" i="64"/>
  <c r="G8" i="64"/>
  <c r="H8" i="64"/>
  <c r="I8" i="64"/>
  <c r="J8" i="64"/>
  <c r="D8" i="64"/>
  <c r="R39" i="125" l="1"/>
  <c r="R41" i="125"/>
  <c r="V42" i="125"/>
  <c r="W42" i="125"/>
  <c r="U42" i="125"/>
  <c r="T42" i="125"/>
  <c r="S42" i="125"/>
  <c r="R42" i="125"/>
  <c r="Y42" i="125"/>
  <c r="X42" i="125"/>
  <c r="J13" i="125"/>
  <c r="J14" i="125" s="1"/>
  <c r="I13" i="125"/>
  <c r="I14" i="125" s="1"/>
  <c r="H13" i="125"/>
  <c r="H14" i="125" s="1"/>
  <c r="G13" i="125"/>
  <c r="G14" i="125" s="1"/>
  <c r="F13" i="125"/>
  <c r="F14" i="125" s="1"/>
  <c r="M13" i="125"/>
  <c r="M14" i="125" s="1"/>
  <c r="L13" i="125"/>
  <c r="L14" i="125" s="1"/>
  <c r="K13" i="125"/>
  <c r="K14" i="125" s="1"/>
  <c r="F15" i="125"/>
  <c r="F16" i="125"/>
  <c r="R24" i="74"/>
  <c r="R27" i="74" s="1"/>
  <c r="F4" i="74"/>
  <c r="H5" i="64"/>
  <c r="E5" i="64"/>
  <c r="X24" i="74"/>
  <c r="X27" i="74" s="1"/>
  <c r="G5" i="64"/>
  <c r="F5" i="64"/>
  <c r="Y24" i="74"/>
  <c r="Y27" i="74" s="1"/>
  <c r="V24" i="74"/>
  <c r="V27" i="74" s="1"/>
  <c r="S24" i="74"/>
  <c r="S27" i="74" s="1"/>
  <c r="J5" i="64"/>
  <c r="I5" i="64"/>
  <c r="W24" i="74"/>
  <c r="W27" i="74" s="1"/>
  <c r="G4" i="74"/>
  <c r="T24" i="74"/>
  <c r="T27" i="74" s="1"/>
  <c r="U24" i="74"/>
  <c r="U27" i="74" s="1"/>
  <c r="BM232" i="127"/>
  <c r="BK238" i="127"/>
  <c r="BK237" i="127"/>
  <c r="D6" i="64"/>
  <c r="BL232" i="127"/>
  <c r="BN287" i="127" s="1"/>
  <c r="BR236" i="127"/>
  <c r="BR238" i="127"/>
  <c r="BR237" i="127"/>
  <c r="BP232" i="127"/>
  <c r="BO232" i="127"/>
  <c r="D5" i="64"/>
  <c r="BQ236" i="127"/>
  <c r="BQ238" i="127"/>
  <c r="BQ237" i="127"/>
  <c r="BR232" i="127"/>
  <c r="BP236" i="127"/>
  <c r="BP238" i="127"/>
  <c r="BP237" i="127"/>
  <c r="BQ232" i="127"/>
  <c r="BO236" i="127"/>
  <c r="BO238" i="127"/>
  <c r="BO237" i="127"/>
  <c r="BN236" i="127"/>
  <c r="BN238" i="127"/>
  <c r="BN237" i="127"/>
  <c r="BM236" i="127"/>
  <c r="BM238" i="127"/>
  <c r="BM237" i="127"/>
  <c r="BN232" i="127"/>
  <c r="BL236" i="127"/>
  <c r="BN289" i="127" s="1"/>
  <c r="BL238" i="127"/>
  <c r="BN292" i="127" s="1"/>
  <c r="BL237" i="127"/>
  <c r="BN288" i="127" s="1"/>
  <c r="BK232" i="127"/>
  <c r="K4" i="74"/>
  <c r="J4" i="74"/>
  <c r="I4" i="74"/>
  <c r="H4" i="74"/>
  <c r="E4" i="74"/>
  <c r="D4" i="74"/>
  <c r="BK236" i="127"/>
  <c r="AS16" i="125"/>
  <c r="AS56" i="125" s="1"/>
  <c r="AU16" i="125"/>
  <c r="AU58" i="125" s="1"/>
  <c r="R27" i="97"/>
  <c r="U11" i="98"/>
  <c r="P27" i="97"/>
  <c r="AZ16" i="125"/>
  <c r="AZ58" i="125" s="1"/>
  <c r="AW16" i="125"/>
  <c r="AW58" i="125" s="1"/>
  <c r="AV16" i="125"/>
  <c r="AV58" i="125" s="1"/>
  <c r="V9" i="117"/>
  <c r="U9" i="117"/>
  <c r="AT16" i="125"/>
  <c r="AT58" i="125" s="1"/>
  <c r="Q94" i="123"/>
  <c r="C17" i="123" s="1"/>
  <c r="T9" i="117"/>
  <c r="Q27" i="97"/>
  <c r="S9" i="117"/>
  <c r="R9" i="117"/>
  <c r="AY16" i="125"/>
  <c r="AY58" i="125" s="1"/>
  <c r="V94" i="123"/>
  <c r="S11" i="98"/>
  <c r="AX16" i="125"/>
  <c r="AX58" i="125" s="1"/>
  <c r="P9" i="117"/>
  <c r="Q126" i="123"/>
  <c r="P11" i="98"/>
  <c r="Q9" i="117"/>
  <c r="U94" i="123"/>
  <c r="T94" i="123"/>
  <c r="V11" i="98"/>
  <c r="S94" i="123"/>
  <c r="R94" i="123"/>
  <c r="T11" i="98"/>
  <c r="X94" i="123"/>
  <c r="R11" i="98"/>
  <c r="W94" i="123"/>
  <c r="Q9" i="122"/>
  <c r="R76" i="122"/>
  <c r="Q76" i="122"/>
  <c r="D26" i="97"/>
  <c r="W76" i="122"/>
  <c r="L17" i="122" s="1"/>
  <c r="R9" i="122"/>
  <c r="V9" i="122"/>
  <c r="H10" i="117"/>
  <c r="E10" i="117"/>
  <c r="G10" i="117"/>
  <c r="F10" i="117"/>
  <c r="B10" i="117"/>
  <c r="D10" i="117"/>
  <c r="C10" i="117"/>
  <c r="I10" i="117"/>
  <c r="B19" i="117"/>
  <c r="I9" i="98"/>
  <c r="E9" i="98"/>
  <c r="D9" i="98"/>
  <c r="H9" i="98"/>
  <c r="G9" i="98"/>
  <c r="F9" i="98"/>
  <c r="C9" i="98"/>
  <c r="B9" i="98"/>
  <c r="M27" i="97"/>
  <c r="I66" i="97"/>
  <c r="J26" i="97"/>
  <c r="H66" i="97"/>
  <c r="J66" i="97"/>
  <c r="G66" i="97"/>
  <c r="F66" i="97"/>
  <c r="E66" i="97"/>
  <c r="D66" i="97"/>
  <c r="P9" i="122"/>
  <c r="T9" i="122"/>
  <c r="W9" i="122"/>
  <c r="S9" i="122"/>
  <c r="R92" i="125"/>
  <c r="W39" i="125"/>
  <c r="V39" i="125"/>
  <c r="U39" i="125"/>
  <c r="T39" i="125"/>
  <c r="S39" i="125"/>
  <c r="Y39" i="125"/>
  <c r="X39" i="125"/>
  <c r="E13" i="69" l="1"/>
  <c r="E15" i="69"/>
  <c r="R10" i="136"/>
  <c r="E10" i="69"/>
  <c r="R9" i="136"/>
  <c r="E19" i="69"/>
  <c r="E23" i="136"/>
  <c r="E22" i="136"/>
  <c r="E45" i="136" s="1"/>
  <c r="BO288" i="127"/>
  <c r="BP288" i="127"/>
  <c r="BP292" i="127"/>
  <c r="BO292" i="127"/>
  <c r="BP289" i="127"/>
  <c r="BO289" i="127"/>
  <c r="BP287" i="127"/>
  <c r="BO287" i="127"/>
  <c r="AF46" i="122"/>
  <c r="AI12" i="137"/>
  <c r="D7" i="74"/>
  <c r="D8" i="74" s="1"/>
  <c r="D4" i="128"/>
  <c r="AS57" i="125"/>
  <c r="AS54" i="125"/>
  <c r="R95" i="125" s="1"/>
  <c r="AS58" i="125"/>
  <c r="R99" i="125" s="1"/>
  <c r="AT56" i="125"/>
  <c r="X99" i="125"/>
  <c r="S99" i="125"/>
  <c r="U99" i="125"/>
  <c r="V99" i="125"/>
  <c r="W99" i="125"/>
  <c r="T99" i="125"/>
  <c r="Y99" i="125"/>
  <c r="CC34" i="127"/>
  <c r="CC63" i="127" s="1"/>
  <c r="CC33" i="127"/>
  <c r="BW31" i="127"/>
  <c r="CD34" i="127"/>
  <c r="CB34" i="127"/>
  <c r="CA34" i="127"/>
  <c r="BW35" i="127"/>
  <c r="BZ34" i="127"/>
  <c r="BY34" i="127"/>
  <c r="BX34" i="127"/>
  <c r="BW34" i="127"/>
  <c r="BW63" i="127" s="1"/>
  <c r="BW33" i="127"/>
  <c r="BW32" i="127"/>
  <c r="BL233" i="127"/>
  <c r="BM233" i="127"/>
  <c r="BN233" i="127"/>
  <c r="BO233" i="127"/>
  <c r="BP233" i="127"/>
  <c r="BQ233" i="127"/>
  <c r="BR233" i="127"/>
  <c r="BK233" i="127"/>
  <c r="BL239" i="127"/>
  <c r="BP239" i="127"/>
  <c r="BQ239" i="127"/>
  <c r="BR239" i="127"/>
  <c r="N60" i="116"/>
  <c r="AA5" i="91"/>
  <c r="AA8" i="91"/>
  <c r="V36" i="127" l="1"/>
  <c r="BM239" i="127"/>
  <c r="W36" i="127"/>
  <c r="BO239" i="127"/>
  <c r="BN239" i="127"/>
  <c r="E39" i="110"/>
  <c r="F50" i="136" s="1"/>
  <c r="F47" i="136" s="1"/>
  <c r="E44" i="91"/>
  <c r="BK239" i="127"/>
  <c r="AC12" i="137"/>
  <c r="AC34" i="137" s="1"/>
  <c r="AF41" i="122"/>
  <c r="AF39" i="122"/>
  <c r="AA46" i="122"/>
  <c r="AA37" i="122" s="1"/>
  <c r="AG46" i="122"/>
  <c r="AG37" i="122" s="1"/>
  <c r="AJ12" i="137"/>
  <c r="P33" i="127"/>
  <c r="Z46" i="122"/>
  <c r="Z38" i="122" s="1"/>
  <c r="AD12" i="137"/>
  <c r="AE46" i="122"/>
  <c r="AE38" i="122" s="1"/>
  <c r="AH12" i="137"/>
  <c r="AH34" i="137" s="1"/>
  <c r="AG12" i="137"/>
  <c r="AD46" i="122"/>
  <c r="AD39" i="122" s="1"/>
  <c r="AC46" i="122"/>
  <c r="AC40" i="122" s="1"/>
  <c r="AF12" i="137"/>
  <c r="AB46" i="122"/>
  <c r="AB37" i="122" s="1"/>
  <c r="AE12" i="137"/>
  <c r="AF37" i="122"/>
  <c r="S33" i="127"/>
  <c r="AF40" i="122"/>
  <c r="AF42" i="122"/>
  <c r="AF38" i="122"/>
  <c r="AA42" i="122"/>
  <c r="W33" i="127"/>
  <c r="Q33" i="127"/>
  <c r="BQ235" i="127"/>
  <c r="R36" i="127"/>
  <c r="R33" i="127"/>
  <c r="V33" i="127"/>
  <c r="T33" i="127"/>
  <c r="BL235" i="127"/>
  <c r="BN293" i="127" s="1"/>
  <c r="U33" i="127"/>
  <c r="AI13" i="137"/>
  <c r="D9" i="64"/>
  <c r="BK235" i="127"/>
  <c r="W37" i="127"/>
  <c r="G9" i="64"/>
  <c r="E9" i="64"/>
  <c r="H9" i="64"/>
  <c r="F9" i="64"/>
  <c r="J9" i="64"/>
  <c r="I9" i="64"/>
  <c r="U36" i="127"/>
  <c r="T36" i="127"/>
  <c r="S36" i="127"/>
  <c r="Q36" i="127"/>
  <c r="N62" i="116" s="1"/>
  <c r="P36" i="127"/>
  <c r="BK274" i="127"/>
  <c r="AB84" i="127"/>
  <c r="AN16" i="127" s="1"/>
  <c r="P37" i="127"/>
  <c r="U37" i="127"/>
  <c r="T37" i="127"/>
  <c r="Q37" i="127"/>
  <c r="V37" i="127"/>
  <c r="S60" i="116"/>
  <c r="R60" i="116"/>
  <c r="Q60" i="116"/>
  <c r="S37" i="127"/>
  <c r="P60" i="116"/>
  <c r="W34" i="127"/>
  <c r="R37" i="127"/>
  <c r="O60" i="116"/>
  <c r="P34" i="127"/>
  <c r="BO235" i="127"/>
  <c r="BP235" i="127"/>
  <c r="BP234" i="127"/>
  <c r="BM234" i="127"/>
  <c r="BR235" i="127"/>
  <c r="BL234" i="127"/>
  <c r="BR234" i="127"/>
  <c r="BQ234" i="127"/>
  <c r="BN235" i="127"/>
  <c r="BO234" i="127"/>
  <c r="BM235" i="127"/>
  <c r="BN234" i="127"/>
  <c r="AQ82" i="127"/>
  <c r="AO86" i="127"/>
  <c r="AU86" i="127"/>
  <c r="AT86" i="127"/>
  <c r="AS86" i="127"/>
  <c r="AR86" i="127"/>
  <c r="AQ86" i="127"/>
  <c r="AP86" i="127"/>
  <c r="BK234" i="127"/>
  <c r="BQ274" i="127"/>
  <c r="BP274" i="127"/>
  <c r="BO274" i="127"/>
  <c r="BN274" i="127"/>
  <c r="BM274" i="127"/>
  <c r="BL274" i="127"/>
  <c r="BR274" i="127"/>
  <c r="AO82" i="127"/>
  <c r="AS82" i="127"/>
  <c r="AR82" i="127"/>
  <c r="AP82" i="127"/>
  <c r="AT82" i="127"/>
  <c r="AU82" i="127"/>
  <c r="AO88" i="127"/>
  <c r="AO84" i="127"/>
  <c r="AO85" i="127"/>
  <c r="AO83" i="127"/>
  <c r="AO87" i="127"/>
  <c r="AB92" i="127"/>
  <c r="AN88" i="127" s="1"/>
  <c r="AU88" i="127"/>
  <c r="AU84" i="127"/>
  <c r="AU85" i="127"/>
  <c r="AU83" i="127"/>
  <c r="AU87" i="127"/>
  <c r="AT88" i="127"/>
  <c r="AT84" i="127"/>
  <c r="AT85" i="127"/>
  <c r="AT83" i="127"/>
  <c r="AT87" i="127"/>
  <c r="AS88" i="127"/>
  <c r="AS84" i="127"/>
  <c r="AS85" i="127"/>
  <c r="AS83" i="127"/>
  <c r="AS87" i="127"/>
  <c r="AR88" i="127"/>
  <c r="AR84" i="127"/>
  <c r="AR85" i="127"/>
  <c r="AR83" i="127"/>
  <c r="AR87" i="127"/>
  <c r="AQ88" i="127"/>
  <c r="AQ84" i="127"/>
  <c r="AQ85" i="127"/>
  <c r="AQ83" i="127"/>
  <c r="AQ87" i="127"/>
  <c r="AP88" i="127"/>
  <c r="AP84" i="127"/>
  <c r="AP85" i="127"/>
  <c r="AP83" i="127"/>
  <c r="AP87" i="127"/>
  <c r="AS55" i="125"/>
  <c r="E27" i="134"/>
  <c r="D27" i="134"/>
  <c r="I27" i="134"/>
  <c r="G27" i="134"/>
  <c r="F27" i="134"/>
  <c r="C27" i="134"/>
  <c r="H27" i="134"/>
  <c r="AG4" i="91"/>
  <c r="AA4" i="91"/>
  <c r="AA15" i="91"/>
  <c r="E45" i="91"/>
  <c r="F45" i="91" s="1"/>
  <c r="E51" i="91"/>
  <c r="F51" i="91" s="1"/>
  <c r="D8" i="91"/>
  <c r="F8" i="91"/>
  <c r="G8" i="91"/>
  <c r="H8" i="91"/>
  <c r="I8" i="91"/>
  <c r="J8" i="91"/>
  <c r="AA16" i="91"/>
  <c r="AG39" i="122" l="1"/>
  <c r="AD24" i="137"/>
  <c r="AD25" i="137" s="1"/>
  <c r="P62" i="116"/>
  <c r="Q62" i="116"/>
  <c r="R62" i="116"/>
  <c r="O62" i="116"/>
  <c r="S62" i="116"/>
  <c r="AJ13" i="137"/>
  <c r="AA40" i="122"/>
  <c r="AA38" i="122"/>
  <c r="AD42" i="122"/>
  <c r="AG38" i="122"/>
  <c r="AG43" i="122" s="1"/>
  <c r="AG45" i="122" s="1"/>
  <c r="AG109" i="122" s="1"/>
  <c r="AD37" i="122"/>
  <c r="AG40" i="122"/>
  <c r="AG41" i="122"/>
  <c r="AD38" i="122"/>
  <c r="AG42" i="122"/>
  <c r="K39" i="110"/>
  <c r="L50" i="136" s="1"/>
  <c r="L47" i="136" s="1"/>
  <c r="F44" i="91"/>
  <c r="G39" i="110"/>
  <c r="AF24" i="137" s="1"/>
  <c r="AF34" i="137" s="1"/>
  <c r="H39" i="110"/>
  <c r="AG24" i="137" s="1"/>
  <c r="AG34" i="137" s="1"/>
  <c r="E8" i="91"/>
  <c r="E47" i="91"/>
  <c r="F47" i="91" s="1"/>
  <c r="F39" i="110"/>
  <c r="AE24" i="137" s="1"/>
  <c r="AE34" i="137" s="1"/>
  <c r="J39" i="110"/>
  <c r="AI24" i="137" s="1"/>
  <c r="AI34" i="137" s="1"/>
  <c r="AA14" i="91"/>
  <c r="E49" i="91"/>
  <c r="F49" i="91" s="1"/>
  <c r="BP293" i="127"/>
  <c r="BO293" i="127"/>
  <c r="AC37" i="122"/>
  <c r="AC41" i="122"/>
  <c r="AC39" i="122"/>
  <c r="AC42" i="122"/>
  <c r="AC38" i="122"/>
  <c r="AC13" i="137"/>
  <c r="AC33" i="137" s="1"/>
  <c r="Z41" i="122"/>
  <c r="AB39" i="122"/>
  <c r="AB38" i="122"/>
  <c r="AB40" i="122"/>
  <c r="Z42" i="122"/>
  <c r="AB42" i="122"/>
  <c r="Z40" i="122"/>
  <c r="Z37" i="122"/>
  <c r="Z39" i="122"/>
  <c r="AB41" i="122"/>
  <c r="AF13" i="137"/>
  <c r="AG13" i="137"/>
  <c r="AH13" i="137"/>
  <c r="AH33" i="137" s="1"/>
  <c r="AE13" i="137"/>
  <c r="AD13" i="137"/>
  <c r="AD33" i="137" s="1"/>
  <c r="AE42" i="122"/>
  <c r="AE41" i="122"/>
  <c r="AA41" i="122"/>
  <c r="AA39" i="122"/>
  <c r="AE40" i="122"/>
  <c r="AE39" i="122"/>
  <c r="AE37" i="122"/>
  <c r="AD40" i="122"/>
  <c r="AD41" i="122"/>
  <c r="AF43" i="122"/>
  <c r="AF45" i="122" s="1"/>
  <c r="AF109" i="122" s="1"/>
  <c r="AB86" i="127"/>
  <c r="AN82" i="127" s="1"/>
  <c r="AN21" i="127"/>
  <c r="AN18" i="127"/>
  <c r="AN20" i="127"/>
  <c r="AQ81" i="127"/>
  <c r="AU81" i="127"/>
  <c r="AO81" i="127"/>
  <c r="AT81" i="127"/>
  <c r="AP81" i="127"/>
  <c r="AR81" i="127"/>
  <c r="AS81" i="127"/>
  <c r="AG15" i="91"/>
  <c r="AB91" i="127"/>
  <c r="AB90" i="127"/>
  <c r="AB88" i="127"/>
  <c r="AD34" i="137" l="1"/>
  <c r="G50" i="136"/>
  <c r="G47" i="136" s="1"/>
  <c r="K50" i="136"/>
  <c r="K47" i="136" s="1"/>
  <c r="AJ24" i="137"/>
  <c r="H50" i="136"/>
  <c r="H47" i="136" s="1"/>
  <c r="AD43" i="122"/>
  <c r="AD45" i="122" s="1"/>
  <c r="AD109" i="122" s="1"/>
  <c r="I50" i="136"/>
  <c r="I47" i="136" s="1"/>
  <c r="AA43" i="122"/>
  <c r="AA45" i="122" s="1"/>
  <c r="AA109" i="122" s="1"/>
  <c r="AC43" i="122"/>
  <c r="AC45" i="122" s="1"/>
  <c r="AC109" i="122" s="1"/>
  <c r="AB43" i="122"/>
  <c r="AB45" i="122" s="1"/>
  <c r="AB109" i="122" s="1"/>
  <c r="AE43" i="122"/>
  <c r="AE45" i="122" s="1"/>
  <c r="AE109" i="122" s="1"/>
  <c r="Z43" i="122"/>
  <c r="Z45" i="122" s="1"/>
  <c r="Z109" i="122" s="1"/>
  <c r="AG25" i="137"/>
  <c r="AG33" i="137" s="1"/>
  <c r="AF25" i="137"/>
  <c r="AF33" i="137" s="1"/>
  <c r="AE25" i="137"/>
  <c r="AE33" i="137" s="1"/>
  <c r="AJ25" i="137"/>
  <c r="AI25" i="137"/>
  <c r="AI33" i="137" s="1"/>
  <c r="AN84" i="127"/>
  <c r="AN86" i="127"/>
  <c r="AN87" i="127"/>
  <c r="Q4" i="135"/>
  <c r="O5" i="135"/>
  <c r="P6" i="135"/>
  <c r="N7" i="135"/>
  <c r="Q8" i="135"/>
  <c r="P9" i="135"/>
  <c r="P10" i="135"/>
  <c r="O11" i="135"/>
  <c r="O12" i="135"/>
  <c r="Q13" i="135"/>
  <c r="P14" i="135"/>
  <c r="Q15" i="135"/>
  <c r="O16" i="135"/>
  <c r="Q17" i="135"/>
  <c r="O18" i="135"/>
  <c r="Q19" i="135"/>
  <c r="N21" i="135"/>
  <c r="P22" i="135"/>
  <c r="P23" i="135"/>
  <c r="N24" i="135"/>
  <c r="P25" i="135"/>
  <c r="O26" i="135"/>
  <c r="O27" i="135"/>
  <c r="N28" i="135"/>
  <c r="Q29" i="135"/>
  <c r="Q30" i="135"/>
  <c r="P31" i="135"/>
  <c r="N32" i="135"/>
  <c r="Q33" i="135"/>
  <c r="N3" i="135"/>
  <c r="N34" i="135" l="1"/>
  <c r="P34" i="135"/>
  <c r="L4" i="135" s="1"/>
  <c r="O34" i="135"/>
  <c r="L5" i="135" s="1"/>
  <c r="Q34" i="135"/>
  <c r="I34" i="135"/>
  <c r="E34" i="135"/>
  <c r="B34" i="135"/>
  <c r="D34" i="135"/>
  <c r="H34" i="135"/>
  <c r="G34" i="135"/>
  <c r="C34" i="135"/>
  <c r="F34" i="135"/>
  <c r="L7" i="135" l="1"/>
  <c r="L6" i="135"/>
  <c r="D17" i="134"/>
  <c r="E17" i="134"/>
  <c r="F17" i="134"/>
  <c r="G17" i="134"/>
  <c r="H17" i="134"/>
  <c r="I17" i="134"/>
  <c r="B17" i="134"/>
  <c r="L8" i="135" l="1"/>
  <c r="E79" i="100"/>
  <c r="H19" i="132"/>
  <c r="S23" i="92" l="1"/>
  <c r="C24" i="134" l="1"/>
  <c r="E24" i="134"/>
  <c r="G24" i="134"/>
  <c r="I24" i="134"/>
  <c r="B24" i="134"/>
  <c r="H23" i="134"/>
  <c r="H24" i="134" s="1"/>
  <c r="F23" i="134"/>
  <c r="F24" i="134" s="1"/>
  <c r="AI74" i="100" l="1"/>
  <c r="B21" i="134" l="1"/>
  <c r="B22" i="134"/>
  <c r="B20" i="134"/>
  <c r="I16" i="134" l="1"/>
  <c r="D18" i="134"/>
  <c r="D16" i="134" s="1"/>
  <c r="E18" i="134"/>
  <c r="E16" i="134" s="1"/>
  <c r="F18" i="134"/>
  <c r="F16" i="134" s="1"/>
  <c r="G18" i="134"/>
  <c r="G16" i="134" s="1"/>
  <c r="H18" i="134"/>
  <c r="H16" i="134" s="1"/>
  <c r="D35" i="86" l="1"/>
  <c r="C12" i="134" s="1"/>
  <c r="C21" i="134" s="1"/>
  <c r="B20" i="123" l="1"/>
  <c r="P92" i="125" l="1"/>
  <c r="Q92" i="125"/>
  <c r="P93" i="125"/>
  <c r="Q93" i="125"/>
  <c r="P94" i="125"/>
  <c r="Q94" i="125"/>
  <c r="AT54" i="125" l="1"/>
  <c r="AU54" i="125"/>
  <c r="AV54" i="125"/>
  <c r="AW56" i="125"/>
  <c r="AX54" i="125"/>
  <c r="AY54" i="125"/>
  <c r="AZ54" i="125"/>
  <c r="C67" i="69"/>
  <c r="B64" i="69"/>
  <c r="B65" i="69"/>
  <c r="C65" i="69"/>
  <c r="B66" i="69"/>
  <c r="B67" i="69"/>
  <c r="D67" i="69"/>
  <c r="B68" i="69"/>
  <c r="B69" i="69"/>
  <c r="B70" i="69"/>
  <c r="C70" i="69"/>
  <c r="D70" i="69"/>
  <c r="AW57" i="125" l="1"/>
  <c r="AW54" i="125"/>
  <c r="AZ57" i="125"/>
  <c r="AZ56" i="125"/>
  <c r="Y97" i="125" s="1"/>
  <c r="AY57" i="125"/>
  <c r="AY56" i="125"/>
  <c r="AX57" i="125"/>
  <c r="AX56" i="125"/>
  <c r="AV57" i="125"/>
  <c r="AV56" i="125"/>
  <c r="AU57" i="125"/>
  <c r="AU56" i="125"/>
  <c r="AT57" i="125"/>
  <c r="AT55" i="125" s="1"/>
  <c r="B52" i="70"/>
  <c r="B53" i="70"/>
  <c r="F53" i="70"/>
  <c r="G53" i="70"/>
  <c r="H53" i="70"/>
  <c r="I53" i="70"/>
  <c r="J53" i="70"/>
  <c r="K53" i="70"/>
  <c r="AV55" i="125" l="1"/>
  <c r="AW55" i="125"/>
  <c r="AX55" i="125"/>
  <c r="AU55" i="125"/>
  <c r="AY55" i="125"/>
  <c r="AZ55" i="125"/>
  <c r="D94" i="100"/>
  <c r="D95" i="100"/>
  <c r="D96" i="100"/>
  <c r="D97" i="100"/>
  <c r="D98" i="100"/>
  <c r="D101" i="100"/>
  <c r="D102" i="100"/>
  <c r="D103" i="100"/>
  <c r="D104" i="100"/>
  <c r="D105" i="100"/>
  <c r="D106" i="100"/>
  <c r="C107" i="130" l="1"/>
  <c r="B78" i="130"/>
  <c r="C78" i="130"/>
  <c r="D78" i="130"/>
  <c r="E78" i="130"/>
  <c r="F78" i="130"/>
  <c r="G78" i="130"/>
  <c r="H78" i="130"/>
  <c r="I78" i="130"/>
  <c r="B87" i="130"/>
  <c r="B88" i="130"/>
  <c r="C88" i="130"/>
  <c r="D88" i="130"/>
  <c r="E88" i="130"/>
  <c r="F88" i="130"/>
  <c r="G88" i="130"/>
  <c r="H88" i="130"/>
  <c r="I88" i="130"/>
  <c r="B89" i="130"/>
  <c r="C89" i="130"/>
  <c r="D89" i="130"/>
  <c r="E89" i="130"/>
  <c r="F89" i="130"/>
  <c r="G89" i="130"/>
  <c r="H89" i="130"/>
  <c r="I89" i="130"/>
  <c r="C90" i="130"/>
  <c r="C91" i="130"/>
  <c r="C92" i="130"/>
  <c r="C93" i="130"/>
  <c r="C94" i="130"/>
  <c r="C95" i="130"/>
  <c r="C96" i="130"/>
  <c r="C97" i="130"/>
  <c r="C98" i="130"/>
  <c r="B99" i="130"/>
  <c r="C99" i="130"/>
  <c r="D99" i="130"/>
  <c r="E99" i="130"/>
  <c r="F99" i="130"/>
  <c r="G99" i="130"/>
  <c r="H99" i="130"/>
  <c r="I99" i="130"/>
  <c r="B100" i="130"/>
  <c r="C100" i="130"/>
  <c r="D100" i="130"/>
  <c r="E100" i="130"/>
  <c r="F100" i="130"/>
  <c r="G100" i="130"/>
  <c r="H100" i="130"/>
  <c r="I100" i="130"/>
  <c r="C101" i="130"/>
  <c r="C102" i="130"/>
  <c r="C103" i="130"/>
  <c r="C104" i="130"/>
  <c r="C105" i="130"/>
  <c r="C106" i="130"/>
  <c r="C108" i="130"/>
  <c r="B109" i="130"/>
  <c r="C109" i="130"/>
  <c r="V78" i="130"/>
  <c r="W78" i="130"/>
  <c r="X78" i="130"/>
  <c r="Y78" i="130"/>
  <c r="Z78" i="130"/>
  <c r="AA78" i="130"/>
  <c r="AB78" i="130"/>
  <c r="AC78" i="130"/>
  <c r="V79" i="130"/>
  <c r="W79" i="130"/>
  <c r="X79" i="130"/>
  <c r="Y79" i="130"/>
  <c r="Z79" i="130"/>
  <c r="AA79" i="130"/>
  <c r="AB79" i="130"/>
  <c r="AC79" i="130"/>
  <c r="V80" i="130"/>
  <c r="W80" i="130"/>
  <c r="X80" i="130"/>
  <c r="Y80" i="130"/>
  <c r="Z80" i="130"/>
  <c r="AA80" i="130"/>
  <c r="AB80" i="130"/>
  <c r="AC80" i="130"/>
  <c r="V81" i="130"/>
  <c r="W81" i="130"/>
  <c r="X81" i="130"/>
  <c r="Y81" i="130"/>
  <c r="Z81" i="130"/>
  <c r="AA81" i="130"/>
  <c r="AB81" i="130"/>
  <c r="AC81" i="130"/>
  <c r="V84" i="130"/>
  <c r="W84" i="130"/>
  <c r="X84" i="130"/>
  <c r="Y84" i="130"/>
  <c r="Z84" i="130"/>
  <c r="AA84" i="130"/>
  <c r="AB84" i="130"/>
  <c r="AC84" i="130"/>
  <c r="V85" i="130"/>
  <c r="W85" i="130"/>
  <c r="X85" i="130"/>
  <c r="Y85" i="130"/>
  <c r="Z85" i="130"/>
  <c r="AA85" i="130"/>
  <c r="AB85" i="130"/>
  <c r="AC85" i="130"/>
  <c r="V86" i="130"/>
  <c r="W86" i="130"/>
  <c r="X86" i="130"/>
  <c r="Y86" i="130"/>
  <c r="Z86" i="130"/>
  <c r="AA86" i="130"/>
  <c r="AB86" i="130"/>
  <c r="AC86" i="130"/>
  <c r="D33" i="85" l="1"/>
  <c r="E33" i="85" l="1"/>
  <c r="AW34" i="130" l="1"/>
  <c r="AV34" i="130"/>
  <c r="AU34" i="130"/>
  <c r="AT34" i="130"/>
  <c r="AS34" i="130"/>
  <c r="AR34" i="130"/>
  <c r="AQ34" i="130"/>
  <c r="AP34" i="130"/>
  <c r="M57" i="131" l="1"/>
  <c r="N57" i="131"/>
  <c r="O57" i="131"/>
  <c r="P57" i="131"/>
  <c r="Q57" i="131"/>
  <c r="R57" i="131"/>
  <c r="S57" i="131"/>
  <c r="T57" i="131"/>
  <c r="M61" i="131"/>
  <c r="N61" i="131"/>
  <c r="O61" i="131"/>
  <c r="P61" i="131"/>
  <c r="Q61" i="131"/>
  <c r="R61" i="131"/>
  <c r="S61" i="131"/>
  <c r="T61" i="131"/>
  <c r="AP5" i="130"/>
  <c r="AQ5" i="130"/>
  <c r="AR5" i="130"/>
  <c r="AS5" i="130"/>
  <c r="AT5" i="130"/>
  <c r="AU5" i="130"/>
  <c r="AV5" i="130"/>
  <c r="AW5" i="130"/>
  <c r="AP6" i="130"/>
  <c r="AQ6" i="130"/>
  <c r="AR6" i="130"/>
  <c r="AS6" i="130"/>
  <c r="AT6" i="130"/>
  <c r="AU6" i="130"/>
  <c r="AV6" i="130"/>
  <c r="AW6" i="130"/>
  <c r="AP7" i="130"/>
  <c r="AQ7" i="130"/>
  <c r="AR7" i="130"/>
  <c r="AS7" i="130"/>
  <c r="AT7" i="130"/>
  <c r="AU7" i="130"/>
  <c r="AV7" i="130"/>
  <c r="AW7" i="130"/>
  <c r="AP8" i="130"/>
  <c r="AQ8" i="130"/>
  <c r="AR8" i="130"/>
  <c r="AS8" i="130"/>
  <c r="AT8" i="130"/>
  <c r="AU8" i="130"/>
  <c r="AV8" i="130"/>
  <c r="AW8" i="130"/>
  <c r="AP9" i="130"/>
  <c r="AQ9" i="130"/>
  <c r="AR9" i="130"/>
  <c r="AS9" i="130"/>
  <c r="AT9" i="130"/>
  <c r="AU9" i="130"/>
  <c r="AV9" i="130"/>
  <c r="AW9" i="130"/>
  <c r="AP10" i="130"/>
  <c r="AQ10" i="130"/>
  <c r="AR10" i="130"/>
  <c r="AS10" i="130"/>
  <c r="AT10" i="130"/>
  <c r="AU10" i="130"/>
  <c r="AV10" i="130"/>
  <c r="AW10" i="130"/>
  <c r="AP11" i="130"/>
  <c r="AQ11" i="130"/>
  <c r="AR11" i="130"/>
  <c r="AS11" i="130"/>
  <c r="AT11" i="130"/>
  <c r="AU11" i="130"/>
  <c r="AV11" i="130"/>
  <c r="AW11" i="130"/>
  <c r="AP37" i="130"/>
  <c r="AQ37" i="130"/>
  <c r="AR37" i="130"/>
  <c r="AS37" i="130"/>
  <c r="AT37" i="130"/>
  <c r="AU37" i="130"/>
  <c r="AV37" i="130"/>
  <c r="AW37" i="130"/>
  <c r="AP38" i="130"/>
  <c r="AQ38" i="130"/>
  <c r="AR38" i="130"/>
  <c r="AS38" i="130"/>
  <c r="AT38" i="130"/>
  <c r="AU38" i="130"/>
  <c r="AV38" i="130"/>
  <c r="AW38" i="130"/>
  <c r="AP39" i="130"/>
  <c r="AQ39" i="130"/>
  <c r="AR39" i="130"/>
  <c r="AS39" i="130"/>
  <c r="AT39" i="130"/>
  <c r="AU39" i="130"/>
  <c r="AV39" i="130"/>
  <c r="AW39" i="130"/>
  <c r="AP40" i="130"/>
  <c r="AQ40" i="130"/>
  <c r="AR40" i="130"/>
  <c r="AS40" i="130"/>
  <c r="AT40" i="130"/>
  <c r="AU40" i="130"/>
  <c r="AV40" i="130"/>
  <c r="AW40" i="130"/>
  <c r="AP12" i="130"/>
  <c r="AQ12" i="130"/>
  <c r="AR12" i="130"/>
  <c r="AS12" i="130"/>
  <c r="AT12" i="130"/>
  <c r="AU12" i="130"/>
  <c r="AV12" i="130"/>
  <c r="AW12" i="130"/>
  <c r="AP13" i="130"/>
  <c r="AQ13" i="130"/>
  <c r="AR13" i="130"/>
  <c r="AS13" i="130"/>
  <c r="AT13" i="130"/>
  <c r="AU13" i="130"/>
  <c r="AV13" i="130"/>
  <c r="AW13" i="130"/>
  <c r="AP14" i="130"/>
  <c r="AQ14" i="130"/>
  <c r="AR14" i="130"/>
  <c r="AS14" i="130"/>
  <c r="AT14" i="130"/>
  <c r="AU14" i="130"/>
  <c r="AV14" i="130"/>
  <c r="AW14" i="130"/>
  <c r="AP15" i="130"/>
  <c r="AQ15" i="130"/>
  <c r="AR15" i="130"/>
  <c r="AS15" i="130"/>
  <c r="AT15" i="130"/>
  <c r="AU15" i="130"/>
  <c r="AV15" i="130"/>
  <c r="AW15" i="130"/>
  <c r="AP16" i="130"/>
  <c r="AQ16" i="130"/>
  <c r="AR16" i="130"/>
  <c r="AS16" i="130"/>
  <c r="AT16" i="130"/>
  <c r="AU16" i="130"/>
  <c r="AV16" i="130"/>
  <c r="AW16" i="130"/>
  <c r="AP17" i="130"/>
  <c r="AQ17" i="130"/>
  <c r="AR17" i="130"/>
  <c r="AS17" i="130"/>
  <c r="AT17" i="130"/>
  <c r="AU17" i="130"/>
  <c r="AV17" i="130"/>
  <c r="AW17" i="130"/>
  <c r="AP19" i="130"/>
  <c r="AQ19" i="130"/>
  <c r="AR19" i="130"/>
  <c r="AS19" i="130"/>
  <c r="AT19" i="130"/>
  <c r="AU19" i="130"/>
  <c r="AV19" i="130"/>
  <c r="AW19" i="130"/>
  <c r="AP20" i="130"/>
  <c r="AQ20" i="130"/>
  <c r="AR20" i="130"/>
  <c r="AS20" i="130"/>
  <c r="AT20" i="130"/>
  <c r="AU20" i="130"/>
  <c r="AV20" i="130"/>
  <c r="AW20" i="130"/>
  <c r="AP21" i="130"/>
  <c r="AQ21" i="130"/>
  <c r="AR21" i="130"/>
  <c r="AS21" i="130"/>
  <c r="AT21" i="130"/>
  <c r="AU21" i="130"/>
  <c r="AV21" i="130"/>
  <c r="AW21" i="130"/>
  <c r="AP22" i="130"/>
  <c r="AP25" i="130"/>
  <c r="AQ25" i="130"/>
  <c r="AR25" i="130"/>
  <c r="AS25" i="130"/>
  <c r="AT25" i="130"/>
  <c r="AU25" i="130"/>
  <c r="AV25" i="130"/>
  <c r="AW25" i="130"/>
  <c r="AP26" i="130"/>
  <c r="AQ26" i="130"/>
  <c r="AR26" i="130"/>
  <c r="AS26" i="130"/>
  <c r="AT26" i="130"/>
  <c r="AU26" i="130"/>
  <c r="AV26" i="130"/>
  <c r="AW26" i="130"/>
  <c r="AP27" i="130"/>
  <c r="AQ27" i="130"/>
  <c r="AR27" i="130"/>
  <c r="AS27" i="130"/>
  <c r="AT27" i="130"/>
  <c r="AU27" i="130"/>
  <c r="AV27" i="130"/>
  <c r="AW27" i="130"/>
  <c r="AP28" i="130"/>
  <c r="AQ28" i="130"/>
  <c r="AR28" i="130"/>
  <c r="AS28" i="130"/>
  <c r="AT28" i="130"/>
  <c r="AU28" i="130"/>
  <c r="AV28" i="130"/>
  <c r="AW28" i="130"/>
  <c r="AP29" i="130"/>
  <c r="AQ29" i="130"/>
  <c r="AR29" i="130"/>
  <c r="AS29" i="130"/>
  <c r="AT29" i="130"/>
  <c r="AU29" i="130"/>
  <c r="AV29" i="130"/>
  <c r="AW29" i="130"/>
  <c r="AP30" i="130"/>
  <c r="AQ30" i="130"/>
  <c r="AR30" i="130"/>
  <c r="AS30" i="130"/>
  <c r="AT30" i="130"/>
  <c r="AU30" i="130"/>
  <c r="AV30" i="130"/>
  <c r="AW30" i="130"/>
  <c r="AP31" i="130"/>
  <c r="AQ31" i="130"/>
  <c r="AR31" i="130"/>
  <c r="AS31" i="130"/>
  <c r="AT31" i="130"/>
  <c r="AU31" i="130"/>
  <c r="AV31" i="130"/>
  <c r="AW31" i="130"/>
  <c r="AP32" i="130"/>
  <c r="AQ32" i="130"/>
  <c r="AR32" i="130"/>
  <c r="AS32" i="130"/>
  <c r="AT32" i="130"/>
  <c r="AU32" i="130"/>
  <c r="AV32" i="130"/>
  <c r="AW32" i="130"/>
  <c r="AP33" i="130"/>
  <c r="AQ33" i="130"/>
  <c r="AR33" i="130"/>
  <c r="AS33" i="130"/>
  <c r="AT33" i="130"/>
  <c r="AU33" i="130"/>
  <c r="AV33" i="130"/>
  <c r="AW33" i="130"/>
  <c r="AP41" i="130"/>
  <c r="AQ41" i="130"/>
  <c r="AR41" i="130"/>
  <c r="AS41" i="130"/>
  <c r="AT41" i="130"/>
  <c r="AU41" i="130"/>
  <c r="AV41" i="130"/>
  <c r="AW41" i="130"/>
  <c r="AP42" i="130"/>
  <c r="AQ42" i="130"/>
  <c r="AR42" i="130"/>
  <c r="AS42" i="130"/>
  <c r="AT42" i="130"/>
  <c r="AU42" i="130"/>
  <c r="AV42" i="130"/>
  <c r="AW42" i="130"/>
  <c r="AP43" i="130"/>
  <c r="AQ43" i="130"/>
  <c r="AR43" i="130"/>
  <c r="AS43" i="130"/>
  <c r="AT43" i="130"/>
  <c r="AU43" i="130"/>
  <c r="AV43" i="130"/>
  <c r="AW43" i="130"/>
  <c r="AP50" i="130"/>
  <c r="AQ50" i="130"/>
  <c r="AR50" i="130"/>
  <c r="AS50" i="130"/>
  <c r="AT50" i="130"/>
  <c r="AU50" i="130"/>
  <c r="AV50" i="130"/>
  <c r="AW50" i="130"/>
  <c r="AP51" i="130"/>
  <c r="AQ51" i="130"/>
  <c r="AR51" i="130"/>
  <c r="AS51" i="130"/>
  <c r="AT51" i="130"/>
  <c r="AU51" i="130"/>
  <c r="AV51" i="130"/>
  <c r="AW51" i="130"/>
  <c r="AP52" i="130"/>
  <c r="AQ52" i="130"/>
  <c r="AR52" i="130"/>
  <c r="AS52" i="130"/>
  <c r="AT52" i="130"/>
  <c r="AU52" i="130"/>
  <c r="AV52" i="130"/>
  <c r="AW52" i="130"/>
  <c r="AP55" i="130"/>
  <c r="AQ55" i="130"/>
  <c r="AR55" i="130"/>
  <c r="AS55" i="130"/>
  <c r="AT55" i="130"/>
  <c r="AU55" i="130"/>
  <c r="AV55" i="130"/>
  <c r="AW55" i="130"/>
  <c r="AP56" i="130"/>
  <c r="AQ56" i="130"/>
  <c r="AR56" i="130"/>
  <c r="AS56" i="130"/>
  <c r="AT56" i="130"/>
  <c r="AU56" i="130"/>
  <c r="AV56" i="130"/>
  <c r="AW56" i="130"/>
  <c r="AP57" i="130"/>
  <c r="AQ57" i="130"/>
  <c r="AR57" i="130"/>
  <c r="AS57" i="130"/>
  <c r="AT57" i="130"/>
  <c r="AU57" i="130"/>
  <c r="AV57" i="130"/>
  <c r="AW57" i="130"/>
  <c r="AP58" i="130"/>
  <c r="AQ58" i="130"/>
  <c r="AR58" i="130"/>
  <c r="AS58" i="130"/>
  <c r="AT58" i="130"/>
  <c r="AU58" i="130"/>
  <c r="AV58" i="130"/>
  <c r="AW58" i="130"/>
  <c r="AP59" i="130"/>
  <c r="AQ59" i="130"/>
  <c r="AR59" i="130"/>
  <c r="AS59" i="130"/>
  <c r="AT59" i="130"/>
  <c r="AU59" i="130"/>
  <c r="AV59" i="130"/>
  <c r="AW59" i="130"/>
  <c r="AP60" i="130"/>
  <c r="AQ60" i="130"/>
  <c r="AR60" i="130"/>
  <c r="AS60" i="130"/>
  <c r="AT60" i="130"/>
  <c r="AU60" i="130"/>
  <c r="AV60" i="130"/>
  <c r="AW60" i="130"/>
  <c r="AQ61" i="130"/>
  <c r="AR61" i="130"/>
  <c r="AS61" i="130"/>
  <c r="AT61" i="130"/>
  <c r="AU61" i="130"/>
  <c r="AV61" i="130"/>
  <c r="AW61" i="130"/>
  <c r="AP62" i="130"/>
  <c r="AQ62" i="130"/>
  <c r="AR62" i="130"/>
  <c r="AS62" i="130"/>
  <c r="AT62" i="130"/>
  <c r="AU62" i="130"/>
  <c r="AV62" i="130"/>
  <c r="AW62" i="130"/>
  <c r="AP63" i="130"/>
  <c r="AQ63" i="130"/>
  <c r="AR63" i="130"/>
  <c r="AS63" i="130"/>
  <c r="AT63" i="130"/>
  <c r="AU63" i="130"/>
  <c r="AV63" i="130"/>
  <c r="AW63" i="130"/>
  <c r="AP64" i="130"/>
  <c r="AQ64" i="130"/>
  <c r="AR64" i="130"/>
  <c r="AS64" i="130"/>
  <c r="AT64" i="130"/>
  <c r="AU64" i="130"/>
  <c r="AV64" i="130"/>
  <c r="AW64" i="130"/>
  <c r="AP65" i="130"/>
  <c r="AQ65" i="130"/>
  <c r="AR65" i="130"/>
  <c r="AS65" i="130"/>
  <c r="AT65" i="130"/>
  <c r="AU65" i="130"/>
  <c r="AV65" i="130"/>
  <c r="AW65" i="130"/>
  <c r="AP66" i="130"/>
  <c r="AQ66" i="130"/>
  <c r="AR66" i="130"/>
  <c r="AS66" i="130"/>
  <c r="AT66" i="130"/>
  <c r="AU66" i="130"/>
  <c r="AV66" i="130"/>
  <c r="AW66" i="130"/>
  <c r="AP67" i="130"/>
  <c r="AQ67" i="130"/>
  <c r="AR67" i="130"/>
  <c r="AS67" i="130"/>
  <c r="AT67" i="130"/>
  <c r="AU67" i="130"/>
  <c r="AV67" i="130"/>
  <c r="AW67" i="130"/>
  <c r="AP68" i="130"/>
  <c r="AQ68" i="130"/>
  <c r="AR68" i="130"/>
  <c r="AS68" i="130"/>
  <c r="AT68" i="130"/>
  <c r="AU68" i="130"/>
  <c r="AV68" i="130"/>
  <c r="AW68" i="130"/>
  <c r="AP69" i="130"/>
  <c r="AQ69" i="130"/>
  <c r="AR69" i="130"/>
  <c r="AS69" i="130"/>
  <c r="AT69" i="130"/>
  <c r="AU69" i="130"/>
  <c r="AV69" i="130"/>
  <c r="AW69" i="130"/>
  <c r="AP70" i="130"/>
  <c r="AQ70" i="130"/>
  <c r="AR70" i="130"/>
  <c r="AS70" i="130"/>
  <c r="AT70" i="130"/>
  <c r="AU70" i="130"/>
  <c r="AV70" i="130"/>
  <c r="AW70" i="130"/>
  <c r="AP71" i="130"/>
  <c r="AQ71" i="130"/>
  <c r="AR71" i="130"/>
  <c r="AS71" i="130"/>
  <c r="AT71" i="130"/>
  <c r="AU71" i="130"/>
  <c r="AV71" i="130"/>
  <c r="AW71" i="130"/>
  <c r="AP72" i="130"/>
  <c r="AQ72" i="130"/>
  <c r="AR72" i="130"/>
  <c r="AS72" i="130"/>
  <c r="AT72" i="130"/>
  <c r="AU72" i="130"/>
  <c r="AV72" i="130"/>
  <c r="AW72" i="130"/>
  <c r="AP74" i="130"/>
  <c r="AQ74" i="130"/>
  <c r="AR74" i="130"/>
  <c r="AS74" i="130"/>
  <c r="AT74" i="130"/>
  <c r="AU74" i="130"/>
  <c r="AV74" i="130"/>
  <c r="AW74" i="130"/>
  <c r="AP75" i="130"/>
  <c r="AQ75" i="130"/>
  <c r="AR75" i="130"/>
  <c r="AS75" i="130"/>
  <c r="AT75" i="130"/>
  <c r="AU75" i="130"/>
  <c r="AV75" i="130"/>
  <c r="AW75" i="130"/>
  <c r="AP78" i="130"/>
  <c r="AQ78" i="130"/>
  <c r="AR78" i="130"/>
  <c r="AS78" i="130"/>
  <c r="AT78" i="130"/>
  <c r="AU78" i="130"/>
  <c r="AV78" i="130"/>
  <c r="AW78" i="130"/>
  <c r="AP79" i="130"/>
  <c r="AQ79" i="130"/>
  <c r="AR79" i="130"/>
  <c r="AS79" i="130"/>
  <c r="AT79" i="130"/>
  <c r="AU79" i="130"/>
  <c r="AV79" i="130"/>
  <c r="AW79" i="130"/>
  <c r="AP80" i="130"/>
  <c r="AQ80" i="130"/>
  <c r="AR80" i="130"/>
  <c r="AS80" i="130"/>
  <c r="AT80" i="130"/>
  <c r="AU80" i="130"/>
  <c r="AV80" i="130"/>
  <c r="AW80" i="130"/>
  <c r="AP81" i="130"/>
  <c r="AQ81" i="130"/>
  <c r="AR81" i="130"/>
  <c r="AS81" i="130"/>
  <c r="AT81" i="130"/>
  <c r="AU81" i="130"/>
  <c r="AV81" i="130"/>
  <c r="AW81" i="130"/>
  <c r="AP82" i="130"/>
  <c r="AQ82" i="130"/>
  <c r="AR82" i="130"/>
  <c r="AS82" i="130"/>
  <c r="AT82" i="130"/>
  <c r="AU82" i="130"/>
  <c r="AV82" i="130"/>
  <c r="AW82" i="130"/>
  <c r="AP83" i="130"/>
  <c r="AQ83" i="130"/>
  <c r="AR83" i="130"/>
  <c r="AS83" i="130"/>
  <c r="AT83" i="130"/>
  <c r="AU83" i="130"/>
  <c r="AV83" i="130"/>
  <c r="AW83" i="130"/>
  <c r="AP84" i="130"/>
  <c r="AQ84" i="130"/>
  <c r="AR84" i="130"/>
  <c r="AS84" i="130"/>
  <c r="AT84" i="130"/>
  <c r="AU84" i="130"/>
  <c r="AV84" i="130"/>
  <c r="AW84" i="130"/>
  <c r="AP85" i="130"/>
  <c r="AQ85" i="130"/>
  <c r="AR85" i="130"/>
  <c r="AS85" i="130"/>
  <c r="AT85" i="130"/>
  <c r="AU85" i="130"/>
  <c r="AV85" i="130"/>
  <c r="AW85" i="130"/>
  <c r="AP86" i="130"/>
  <c r="AQ86" i="130"/>
  <c r="AR86" i="130"/>
  <c r="AS86" i="130"/>
  <c r="AT86" i="130"/>
  <c r="AU86" i="130"/>
  <c r="AV86" i="130"/>
  <c r="AW86" i="130"/>
  <c r="AP90" i="130"/>
  <c r="AQ90" i="130"/>
  <c r="AR90" i="130"/>
  <c r="AS90" i="130"/>
  <c r="AT90" i="130"/>
  <c r="AU90" i="130"/>
  <c r="AV90" i="130"/>
  <c r="AW90" i="130"/>
  <c r="AP91" i="130"/>
  <c r="AQ91" i="130"/>
  <c r="AR91" i="130"/>
  <c r="AS91" i="130"/>
  <c r="AT91" i="130"/>
  <c r="AU91" i="130"/>
  <c r="AV91" i="130"/>
  <c r="AW91" i="130"/>
  <c r="AP92" i="130"/>
  <c r="AQ92" i="130"/>
  <c r="AR92" i="130"/>
  <c r="AS92" i="130"/>
  <c r="AT92" i="130"/>
  <c r="AU92" i="130"/>
  <c r="AV92" i="130"/>
  <c r="AW92" i="130"/>
  <c r="AP93" i="130"/>
  <c r="AQ93" i="130"/>
  <c r="AR93" i="130"/>
  <c r="AS93" i="130"/>
  <c r="AT93" i="130"/>
  <c r="AU93" i="130"/>
  <c r="AV93" i="130"/>
  <c r="AW93" i="130"/>
  <c r="AP94" i="130"/>
  <c r="AQ94" i="130"/>
  <c r="AR94" i="130"/>
  <c r="AS94" i="130"/>
  <c r="AT94" i="130"/>
  <c r="AU94" i="130"/>
  <c r="AV94" i="130"/>
  <c r="AW94" i="130"/>
  <c r="AP95" i="130"/>
  <c r="AQ95" i="130"/>
  <c r="AR95" i="130"/>
  <c r="AS95" i="130"/>
  <c r="AT95" i="130"/>
  <c r="AU95" i="130"/>
  <c r="AV95" i="130"/>
  <c r="AW95" i="130"/>
  <c r="AP96" i="130"/>
  <c r="AQ96" i="130"/>
  <c r="AR96" i="130"/>
  <c r="AS96" i="130"/>
  <c r="AT96" i="130"/>
  <c r="AU96" i="130"/>
  <c r="AV96" i="130"/>
  <c r="AW96" i="130"/>
  <c r="AP97" i="130"/>
  <c r="AQ97" i="130"/>
  <c r="AR97" i="130"/>
  <c r="AS97" i="130"/>
  <c r="AT97" i="130"/>
  <c r="AU97" i="130"/>
  <c r="AV97" i="130"/>
  <c r="AW97" i="130"/>
  <c r="AP98" i="130"/>
  <c r="AQ98" i="130"/>
  <c r="AR98" i="130"/>
  <c r="AS98" i="130"/>
  <c r="AT98" i="130"/>
  <c r="AU98" i="130"/>
  <c r="AV98" i="130"/>
  <c r="AW98" i="130"/>
  <c r="AP99" i="130"/>
  <c r="AQ99" i="130"/>
  <c r="AR99" i="130"/>
  <c r="AS99" i="130"/>
  <c r="AT99" i="130"/>
  <c r="AU99" i="130"/>
  <c r="AV99" i="130"/>
  <c r="AW99" i="130"/>
  <c r="AP100" i="130"/>
  <c r="AQ100" i="130"/>
  <c r="AR100" i="130"/>
  <c r="AS100" i="130"/>
  <c r="AT100" i="130"/>
  <c r="AU100" i="130"/>
  <c r="AV100" i="130"/>
  <c r="AW100" i="130"/>
  <c r="AP101" i="130"/>
  <c r="AQ101" i="130"/>
  <c r="AR101" i="130"/>
  <c r="AS101" i="130"/>
  <c r="AT101" i="130"/>
  <c r="AU101" i="130"/>
  <c r="AV101" i="130"/>
  <c r="AW101" i="130"/>
  <c r="AP102" i="130"/>
  <c r="AQ102" i="130"/>
  <c r="AR102" i="130"/>
  <c r="AS102" i="130"/>
  <c r="AT102" i="130"/>
  <c r="AU102" i="130"/>
  <c r="AV102" i="130"/>
  <c r="AW102" i="130"/>
  <c r="AP103" i="130"/>
  <c r="AQ103" i="130"/>
  <c r="AR103" i="130"/>
  <c r="AS103" i="130"/>
  <c r="AT103" i="130"/>
  <c r="AU103" i="130"/>
  <c r="AV103" i="130"/>
  <c r="AW103" i="130"/>
  <c r="AP104" i="130"/>
  <c r="AQ104" i="130"/>
  <c r="AR104" i="130"/>
  <c r="AS104" i="130"/>
  <c r="AT104" i="130"/>
  <c r="AU104" i="130"/>
  <c r="AV104" i="130"/>
  <c r="AW104" i="130"/>
  <c r="AP105" i="130"/>
  <c r="AQ105" i="130"/>
  <c r="AR105" i="130"/>
  <c r="AS105" i="130"/>
  <c r="AT105" i="130"/>
  <c r="AU105" i="130"/>
  <c r="AV105" i="130"/>
  <c r="AW105" i="130"/>
  <c r="AP106" i="130"/>
  <c r="AQ106" i="130"/>
  <c r="AR106" i="130"/>
  <c r="AS106" i="130"/>
  <c r="AT106" i="130"/>
  <c r="AU106" i="130"/>
  <c r="AV106" i="130"/>
  <c r="AW106" i="130"/>
  <c r="AP107" i="130"/>
  <c r="AQ107" i="130"/>
  <c r="AR107" i="130"/>
  <c r="AS107" i="130"/>
  <c r="AT107" i="130"/>
  <c r="AU107" i="130"/>
  <c r="AV107" i="130"/>
  <c r="AW107" i="130"/>
  <c r="AP108" i="130"/>
  <c r="AQ108" i="130"/>
  <c r="AR108" i="130"/>
  <c r="AS108" i="130"/>
  <c r="AT108" i="130"/>
  <c r="AU108" i="130"/>
  <c r="AV108" i="130"/>
  <c r="AW108" i="130"/>
  <c r="AP109" i="130"/>
  <c r="AQ109" i="130"/>
  <c r="AR109" i="130"/>
  <c r="AS109" i="130"/>
  <c r="AT109" i="130"/>
  <c r="AU109" i="130"/>
  <c r="AV109" i="130"/>
  <c r="AW109" i="130"/>
  <c r="AP110" i="130"/>
  <c r="AQ110" i="130"/>
  <c r="AR110" i="130"/>
  <c r="AS110" i="130"/>
  <c r="AT110" i="130"/>
  <c r="AU110" i="130"/>
  <c r="AV110" i="130"/>
  <c r="AW110" i="130"/>
  <c r="AP111" i="130"/>
  <c r="AQ111" i="130"/>
  <c r="AR111" i="130"/>
  <c r="AS111" i="130"/>
  <c r="AT111" i="130"/>
  <c r="AU111" i="130"/>
  <c r="AV111" i="130"/>
  <c r="AW111" i="130"/>
  <c r="AP112" i="130"/>
  <c r="AQ112" i="130"/>
  <c r="AR112" i="130"/>
  <c r="AS112" i="130"/>
  <c r="AT112" i="130"/>
  <c r="AU112" i="130"/>
  <c r="AV112" i="130"/>
  <c r="AW112" i="130"/>
  <c r="AP113" i="130"/>
  <c r="AQ113" i="130"/>
  <c r="AR113" i="130"/>
  <c r="AS113" i="130"/>
  <c r="AT113" i="130"/>
  <c r="AU113" i="130"/>
  <c r="AV113" i="130"/>
  <c r="AW113" i="130"/>
  <c r="AP114" i="130"/>
  <c r="AQ114" i="130"/>
  <c r="AR114" i="130"/>
  <c r="AS114" i="130"/>
  <c r="AT114" i="130"/>
  <c r="AU114" i="130"/>
  <c r="AV114" i="130"/>
  <c r="AW114" i="130"/>
  <c r="AP115" i="130"/>
  <c r="AQ115" i="130"/>
  <c r="AR115" i="130"/>
  <c r="AS115" i="130"/>
  <c r="AT115" i="130"/>
  <c r="AU115" i="130"/>
  <c r="AV115" i="130"/>
  <c r="AW115" i="130"/>
  <c r="AP116" i="130"/>
  <c r="AQ116" i="130"/>
  <c r="AR116" i="130"/>
  <c r="AS116" i="130"/>
  <c r="AT116" i="130"/>
  <c r="AU116" i="130"/>
  <c r="AV116" i="130"/>
  <c r="AW116" i="130"/>
  <c r="AP117" i="130"/>
  <c r="AQ117" i="130"/>
  <c r="AR117" i="130"/>
  <c r="AS117" i="130"/>
  <c r="AT117" i="130"/>
  <c r="AU117" i="130"/>
  <c r="AV117" i="130"/>
  <c r="AW117" i="130"/>
  <c r="AP118" i="130"/>
  <c r="AQ118" i="130"/>
  <c r="AR118" i="130"/>
  <c r="AS118" i="130"/>
  <c r="AT118" i="130"/>
  <c r="AU118" i="130"/>
  <c r="AV118" i="130"/>
  <c r="AW118" i="130"/>
  <c r="AP119" i="130"/>
  <c r="AQ119" i="130"/>
  <c r="AR119" i="130"/>
  <c r="AS119" i="130"/>
  <c r="AT119" i="130"/>
  <c r="AU119" i="130"/>
  <c r="AV119" i="130"/>
  <c r="AW119" i="130"/>
  <c r="AP120" i="130"/>
  <c r="AQ120" i="130"/>
  <c r="AR120" i="130"/>
  <c r="AS120" i="130"/>
  <c r="AT120" i="130"/>
  <c r="AU120" i="130"/>
  <c r="AV120" i="130"/>
  <c r="AW120" i="130"/>
  <c r="AP121" i="130"/>
  <c r="AQ121" i="130"/>
  <c r="AR121" i="130"/>
  <c r="AS121" i="130"/>
  <c r="AT121" i="130"/>
  <c r="AU121" i="130"/>
  <c r="AV121" i="130"/>
  <c r="AW121" i="130"/>
  <c r="AP122" i="130"/>
  <c r="AQ122" i="130"/>
  <c r="AR122" i="130"/>
  <c r="AS122" i="130"/>
  <c r="AT122" i="130"/>
  <c r="AU122" i="130"/>
  <c r="AV122" i="130"/>
  <c r="AW122" i="130"/>
  <c r="AP123" i="130"/>
  <c r="AQ123" i="130"/>
  <c r="AR123" i="130"/>
  <c r="AS123" i="130"/>
  <c r="AT123" i="130"/>
  <c r="AU123" i="130"/>
  <c r="AV123" i="130"/>
  <c r="AW123" i="130"/>
  <c r="AP124" i="130"/>
  <c r="AQ124" i="130"/>
  <c r="AR124" i="130"/>
  <c r="AS124" i="130"/>
  <c r="AT124" i="130"/>
  <c r="AU124" i="130"/>
  <c r="AV124" i="130"/>
  <c r="AW124" i="130"/>
  <c r="AP125" i="130"/>
  <c r="AQ125" i="130"/>
  <c r="AR125" i="130"/>
  <c r="AS125" i="130"/>
  <c r="AT125" i="130"/>
  <c r="AU125" i="130"/>
  <c r="AV125" i="130"/>
  <c r="AW125" i="130"/>
  <c r="AP126" i="130"/>
  <c r="AQ126" i="130"/>
  <c r="AR126" i="130"/>
  <c r="AS126" i="130"/>
  <c r="AT126" i="130"/>
  <c r="AU126" i="130"/>
  <c r="AV126" i="130"/>
  <c r="AW126" i="130"/>
  <c r="AP127" i="130"/>
  <c r="AQ127" i="130"/>
  <c r="AR127" i="130"/>
  <c r="AS127" i="130"/>
  <c r="AT127" i="130"/>
  <c r="AU127" i="130"/>
  <c r="AV127" i="130"/>
  <c r="AW127" i="130"/>
  <c r="AP128" i="130"/>
  <c r="AQ128" i="130"/>
  <c r="AR128" i="130"/>
  <c r="AS128" i="130"/>
  <c r="AT128" i="130"/>
  <c r="AU128" i="130"/>
  <c r="AV128" i="130"/>
  <c r="AW128" i="130"/>
  <c r="AP129" i="130"/>
  <c r="AQ129" i="130"/>
  <c r="AR129" i="130"/>
  <c r="AS129" i="130"/>
  <c r="AT129" i="130"/>
  <c r="AU129" i="130"/>
  <c r="AV129" i="130"/>
  <c r="AW129" i="130"/>
  <c r="AP130" i="130"/>
  <c r="AQ130" i="130"/>
  <c r="AR130" i="130"/>
  <c r="AS130" i="130"/>
  <c r="AT130" i="130"/>
  <c r="AU130" i="130"/>
  <c r="AV130" i="130"/>
  <c r="AW130" i="130"/>
  <c r="AP131" i="130"/>
  <c r="AQ131" i="130"/>
  <c r="AR131" i="130"/>
  <c r="AS131" i="130"/>
  <c r="AT131" i="130"/>
  <c r="AU131" i="130"/>
  <c r="AV131" i="130"/>
  <c r="AW131" i="130"/>
  <c r="AP132" i="130"/>
  <c r="AQ132" i="130"/>
  <c r="AR132" i="130"/>
  <c r="AS132" i="130"/>
  <c r="AT132" i="130"/>
  <c r="AU132" i="130"/>
  <c r="AV132" i="130"/>
  <c r="AW132" i="130"/>
  <c r="AP133" i="130"/>
  <c r="AQ133" i="130"/>
  <c r="AR133" i="130"/>
  <c r="AS133" i="130"/>
  <c r="AT133" i="130"/>
  <c r="AU133" i="130"/>
  <c r="AV133" i="130"/>
  <c r="AW133" i="130"/>
  <c r="AP134" i="130"/>
  <c r="AQ134" i="130"/>
  <c r="AR134" i="130"/>
  <c r="AS134" i="130"/>
  <c r="AT134" i="130"/>
  <c r="AU134" i="130"/>
  <c r="AV134" i="130"/>
  <c r="AW134" i="130"/>
  <c r="AP135" i="130"/>
  <c r="AQ135" i="130"/>
  <c r="AR135" i="130"/>
  <c r="AS135" i="130"/>
  <c r="AT135" i="130"/>
  <c r="AU135" i="130"/>
  <c r="AV135" i="130"/>
  <c r="AW135" i="130"/>
  <c r="AP136" i="130"/>
  <c r="AQ136" i="130"/>
  <c r="AR136" i="130"/>
  <c r="AS136" i="130"/>
  <c r="AT136" i="130"/>
  <c r="AU136" i="130"/>
  <c r="AV136" i="130"/>
  <c r="AW136" i="130"/>
  <c r="AP137" i="130"/>
  <c r="AQ137" i="130"/>
  <c r="AR137" i="130"/>
  <c r="AS137" i="130"/>
  <c r="AT137" i="130"/>
  <c r="AU137" i="130"/>
  <c r="AV137" i="130"/>
  <c r="AW137" i="130"/>
  <c r="AP138" i="130"/>
  <c r="AQ138" i="130"/>
  <c r="AR138" i="130"/>
  <c r="AS138" i="130"/>
  <c r="AT138" i="130"/>
  <c r="AU138" i="130"/>
  <c r="AV138" i="130"/>
  <c r="AW138" i="130"/>
  <c r="AP139" i="130"/>
  <c r="AQ139" i="130"/>
  <c r="AR139" i="130"/>
  <c r="AS139" i="130"/>
  <c r="AT139" i="130"/>
  <c r="AU139" i="130"/>
  <c r="AV139" i="130"/>
  <c r="AW139" i="130"/>
  <c r="AP140" i="130"/>
  <c r="AQ140" i="130"/>
  <c r="AR140" i="130"/>
  <c r="AS140" i="130"/>
  <c r="AT140" i="130"/>
  <c r="AU140" i="130"/>
  <c r="AV140" i="130"/>
  <c r="AW140" i="130"/>
  <c r="AP141" i="130"/>
  <c r="AQ141" i="130"/>
  <c r="AR141" i="130"/>
  <c r="AS141" i="130"/>
  <c r="AT141" i="130"/>
  <c r="AU141" i="130"/>
  <c r="AV141" i="130"/>
  <c r="AW141" i="130"/>
  <c r="AP142" i="130"/>
  <c r="AQ142" i="130"/>
  <c r="AR142" i="130"/>
  <c r="AS142" i="130"/>
  <c r="AT142" i="130"/>
  <c r="AU142" i="130"/>
  <c r="AV142" i="130"/>
  <c r="AW142" i="130"/>
  <c r="AP143" i="130"/>
  <c r="AQ143" i="130"/>
  <c r="AR143" i="130"/>
  <c r="AS143" i="130"/>
  <c r="AT143" i="130"/>
  <c r="AU143" i="130"/>
  <c r="AV143" i="130"/>
  <c r="AW143" i="130"/>
  <c r="AP144" i="130"/>
  <c r="AQ144" i="130"/>
  <c r="AR144" i="130"/>
  <c r="AS144" i="130"/>
  <c r="AT144" i="130"/>
  <c r="AU144" i="130"/>
  <c r="AV144" i="130"/>
  <c r="AW144" i="130"/>
  <c r="AP145" i="130"/>
  <c r="AQ145" i="130"/>
  <c r="AR145" i="130"/>
  <c r="AS145" i="130"/>
  <c r="AT145" i="130"/>
  <c r="AU145" i="130"/>
  <c r="AV145" i="130"/>
  <c r="AW145" i="130"/>
  <c r="AP146" i="130"/>
  <c r="AQ146" i="130"/>
  <c r="AR146" i="130"/>
  <c r="AS146" i="130"/>
  <c r="AT146" i="130"/>
  <c r="AU146" i="130"/>
  <c r="AV146" i="130"/>
  <c r="AW146" i="130"/>
  <c r="AP147" i="130"/>
  <c r="AQ147" i="130"/>
  <c r="AR147" i="130"/>
  <c r="AS147" i="130"/>
  <c r="AT147" i="130"/>
  <c r="AU147" i="130"/>
  <c r="AV147" i="130"/>
  <c r="AW147" i="130"/>
  <c r="AP148" i="130"/>
  <c r="AQ148" i="130"/>
  <c r="AR148" i="130"/>
  <c r="AS148" i="130"/>
  <c r="AT148" i="130"/>
  <c r="AU148" i="130"/>
  <c r="AV148" i="130"/>
  <c r="AW148" i="130"/>
  <c r="AP149" i="130"/>
  <c r="AQ149" i="130"/>
  <c r="AR149" i="130"/>
  <c r="AS149" i="130"/>
  <c r="AT149" i="130"/>
  <c r="AU149" i="130"/>
  <c r="AV149" i="130"/>
  <c r="AW149" i="130"/>
  <c r="AP150" i="130"/>
  <c r="AQ150" i="130"/>
  <c r="AR150" i="130"/>
  <c r="AS150" i="130"/>
  <c r="AT150" i="130"/>
  <c r="AU150" i="130"/>
  <c r="AV150" i="130"/>
  <c r="AW150" i="130"/>
  <c r="AP151" i="130"/>
  <c r="AQ151" i="130"/>
  <c r="AR151" i="130"/>
  <c r="AS151" i="130"/>
  <c r="AT151" i="130"/>
  <c r="AU151" i="130"/>
  <c r="AV151" i="130"/>
  <c r="AW151" i="130"/>
  <c r="AP152" i="130"/>
  <c r="AQ152" i="130"/>
  <c r="AR152" i="130"/>
  <c r="AS152" i="130"/>
  <c r="AT152" i="130"/>
  <c r="AU152" i="130"/>
  <c r="AV152" i="130"/>
  <c r="AW152" i="130"/>
  <c r="AP153" i="130"/>
  <c r="AQ153" i="130"/>
  <c r="AR153" i="130"/>
  <c r="AS153" i="130"/>
  <c r="AT153" i="130"/>
  <c r="AU153" i="130"/>
  <c r="AV153" i="130"/>
  <c r="AW153" i="130"/>
  <c r="AP154" i="130"/>
  <c r="AQ154" i="130"/>
  <c r="AR154" i="130"/>
  <c r="AS154" i="130"/>
  <c r="AT154" i="130"/>
  <c r="AU154" i="130"/>
  <c r="AV154" i="130"/>
  <c r="AW154" i="130"/>
  <c r="AP155" i="130"/>
  <c r="AQ155" i="130"/>
  <c r="AR155" i="130"/>
  <c r="AS155" i="130"/>
  <c r="AT155" i="130"/>
  <c r="AU155" i="130"/>
  <c r="AV155" i="130"/>
  <c r="AW155" i="130"/>
  <c r="AP156" i="130"/>
  <c r="AQ156" i="130"/>
  <c r="AR156" i="130"/>
  <c r="AS156" i="130"/>
  <c r="AT156" i="130"/>
  <c r="AU156" i="130"/>
  <c r="AV156" i="130"/>
  <c r="AW156" i="130"/>
  <c r="AP157" i="130"/>
  <c r="AQ157" i="130"/>
  <c r="AR157" i="130"/>
  <c r="AS157" i="130"/>
  <c r="AT157" i="130"/>
  <c r="AU157" i="130"/>
  <c r="AV157" i="130"/>
  <c r="AW157" i="130"/>
  <c r="AP158" i="130"/>
  <c r="AQ158" i="130"/>
  <c r="AR158" i="130"/>
  <c r="AS158" i="130"/>
  <c r="AT158" i="130"/>
  <c r="AU158" i="130"/>
  <c r="AV158" i="130"/>
  <c r="AW158" i="130"/>
  <c r="AP159" i="130"/>
  <c r="AQ159" i="130"/>
  <c r="AR159" i="130"/>
  <c r="AS159" i="130"/>
  <c r="AT159" i="130"/>
  <c r="AU159" i="130"/>
  <c r="AV159" i="130"/>
  <c r="AW159" i="130"/>
  <c r="AP160" i="130"/>
  <c r="AQ160" i="130"/>
  <c r="AR160" i="130"/>
  <c r="AS160" i="130"/>
  <c r="AT160" i="130"/>
  <c r="AU160" i="130"/>
  <c r="AV160" i="130"/>
  <c r="AW160" i="130"/>
  <c r="AP161" i="130"/>
  <c r="AQ161" i="130"/>
  <c r="AR161" i="130"/>
  <c r="AS161" i="130"/>
  <c r="AT161" i="130"/>
  <c r="AU161" i="130"/>
  <c r="AV161" i="130"/>
  <c r="AW161" i="130"/>
  <c r="AP162" i="130"/>
  <c r="AQ162" i="130"/>
  <c r="AR162" i="130"/>
  <c r="AS162" i="130"/>
  <c r="AT162" i="130"/>
  <c r="AU162" i="130"/>
  <c r="AV162" i="130"/>
  <c r="AW162" i="130"/>
  <c r="AP163" i="130"/>
  <c r="AQ163" i="130"/>
  <c r="AR163" i="130"/>
  <c r="AS163" i="130"/>
  <c r="AT163" i="130"/>
  <c r="AU163" i="130"/>
  <c r="AV163" i="130"/>
  <c r="AW163" i="130"/>
  <c r="AP164" i="130"/>
  <c r="AQ164" i="130"/>
  <c r="AR164" i="130"/>
  <c r="AS164" i="130"/>
  <c r="AT164" i="130"/>
  <c r="AU164" i="130"/>
  <c r="AV164" i="130"/>
  <c r="AW164" i="130"/>
  <c r="AP165" i="130"/>
  <c r="AQ165" i="130"/>
  <c r="AR165" i="130"/>
  <c r="AS165" i="130"/>
  <c r="AT165" i="130"/>
  <c r="AU165" i="130"/>
  <c r="AV165" i="130"/>
  <c r="AW165" i="130"/>
  <c r="AP166" i="130"/>
  <c r="AQ166" i="130"/>
  <c r="AR166" i="130"/>
  <c r="AS166" i="130"/>
  <c r="AT166" i="130"/>
  <c r="AU166" i="130"/>
  <c r="AV166" i="130"/>
  <c r="AW166" i="130"/>
  <c r="AP167" i="130"/>
  <c r="AQ167" i="130"/>
  <c r="AR167" i="130"/>
  <c r="AS167" i="130"/>
  <c r="AT167" i="130"/>
  <c r="AU167" i="130"/>
  <c r="AV167" i="130"/>
  <c r="AW167" i="130"/>
  <c r="AP168" i="130"/>
  <c r="AQ168" i="130"/>
  <c r="AR168" i="130"/>
  <c r="AS168" i="130"/>
  <c r="AT168" i="130"/>
  <c r="AU168" i="130"/>
  <c r="AV168" i="130"/>
  <c r="AW168" i="130"/>
  <c r="AP169" i="130"/>
  <c r="AQ169" i="130"/>
  <c r="AR169" i="130"/>
  <c r="AS169" i="130"/>
  <c r="AT169" i="130"/>
  <c r="AU169" i="130"/>
  <c r="AV169" i="130"/>
  <c r="AW169" i="130"/>
  <c r="AP170" i="130"/>
  <c r="AQ170" i="130"/>
  <c r="AR170" i="130"/>
  <c r="AS170" i="130"/>
  <c r="AT170" i="130"/>
  <c r="AU170" i="130"/>
  <c r="AV170" i="130"/>
  <c r="AW170" i="130"/>
  <c r="AP171" i="130"/>
  <c r="AQ171" i="130"/>
  <c r="AR171" i="130"/>
  <c r="AS171" i="130"/>
  <c r="AT171" i="130"/>
  <c r="AU171" i="130"/>
  <c r="AV171" i="130"/>
  <c r="AW171" i="130"/>
  <c r="AP172" i="130"/>
  <c r="AQ172" i="130"/>
  <c r="AR172" i="130"/>
  <c r="AS172" i="130"/>
  <c r="AT172" i="130"/>
  <c r="AU172" i="130"/>
  <c r="AV172" i="130"/>
  <c r="AW172" i="130"/>
  <c r="AP173" i="130"/>
  <c r="AQ173" i="130"/>
  <c r="AR173" i="130"/>
  <c r="AS173" i="130"/>
  <c r="AT173" i="130"/>
  <c r="AU173" i="130"/>
  <c r="AV173" i="130"/>
  <c r="AW173" i="130"/>
  <c r="AP174" i="130"/>
  <c r="AQ174" i="130"/>
  <c r="AR174" i="130"/>
  <c r="AS174" i="130"/>
  <c r="AT174" i="130"/>
  <c r="AU174" i="130"/>
  <c r="AV174" i="130"/>
  <c r="AW174" i="130"/>
  <c r="AP175" i="130"/>
  <c r="AQ175" i="130"/>
  <c r="AR175" i="130"/>
  <c r="AS175" i="130"/>
  <c r="AT175" i="130"/>
  <c r="AU175" i="130"/>
  <c r="AV175" i="130"/>
  <c r="AW175" i="130"/>
  <c r="AP176" i="130"/>
  <c r="AQ176" i="130"/>
  <c r="AR176" i="130"/>
  <c r="AS176" i="130"/>
  <c r="AT176" i="130"/>
  <c r="AU176" i="130"/>
  <c r="AV176" i="130"/>
  <c r="AW176" i="130"/>
  <c r="AP177" i="130"/>
  <c r="AQ177" i="130"/>
  <c r="AR177" i="130"/>
  <c r="AS177" i="130"/>
  <c r="AT177" i="130"/>
  <c r="AU177" i="130"/>
  <c r="AV177" i="130"/>
  <c r="AW177" i="130"/>
  <c r="AP178" i="130"/>
  <c r="AQ178" i="130"/>
  <c r="AR178" i="130"/>
  <c r="AS178" i="130"/>
  <c r="AT178" i="130"/>
  <c r="AU178" i="130"/>
  <c r="AV178" i="130"/>
  <c r="AW178" i="130"/>
  <c r="AP179" i="130"/>
  <c r="AQ179" i="130"/>
  <c r="AR179" i="130"/>
  <c r="AS179" i="130"/>
  <c r="AT179" i="130"/>
  <c r="AU179" i="130"/>
  <c r="AV179" i="130"/>
  <c r="AW179" i="130"/>
  <c r="AP180" i="130"/>
  <c r="AQ180" i="130"/>
  <c r="AR180" i="130"/>
  <c r="AS180" i="130"/>
  <c r="AT180" i="130"/>
  <c r="AU180" i="130"/>
  <c r="AV180" i="130"/>
  <c r="AW180" i="130"/>
  <c r="AP181" i="130"/>
  <c r="AQ181" i="130"/>
  <c r="AR181" i="130"/>
  <c r="AS181" i="130"/>
  <c r="AT181" i="130"/>
  <c r="AU181" i="130"/>
  <c r="AV181" i="130"/>
  <c r="AW181" i="130"/>
  <c r="AP182" i="130"/>
  <c r="AQ182" i="130"/>
  <c r="AR182" i="130"/>
  <c r="AS182" i="130"/>
  <c r="AT182" i="130"/>
  <c r="AU182" i="130"/>
  <c r="AV182" i="130"/>
  <c r="AW182" i="130"/>
  <c r="AP185" i="130"/>
  <c r="AQ185" i="130"/>
  <c r="AR185" i="130"/>
  <c r="AS185" i="130"/>
  <c r="AT185" i="130"/>
  <c r="AU185" i="130"/>
  <c r="AV185" i="130"/>
  <c r="AW185" i="130"/>
  <c r="AP186" i="130"/>
  <c r="AQ186" i="130"/>
  <c r="AR186" i="130"/>
  <c r="AS186" i="130"/>
  <c r="AT186" i="130"/>
  <c r="AU186" i="130"/>
  <c r="AV186" i="130"/>
  <c r="AW186" i="130"/>
  <c r="AP187" i="130"/>
  <c r="AQ187" i="130"/>
  <c r="AR187" i="130"/>
  <c r="AS187" i="130"/>
  <c r="AT187" i="130"/>
  <c r="AU187" i="130"/>
  <c r="AV187" i="130"/>
  <c r="AW187" i="130"/>
  <c r="AP188" i="130"/>
  <c r="AQ188" i="130"/>
  <c r="AR188" i="130"/>
  <c r="AS188" i="130"/>
  <c r="AT188" i="130"/>
  <c r="AU188" i="130"/>
  <c r="AV188" i="130"/>
  <c r="AW188" i="130"/>
  <c r="AP189" i="130"/>
  <c r="AQ189" i="130"/>
  <c r="AR189" i="130"/>
  <c r="AS189" i="130"/>
  <c r="AT189" i="130"/>
  <c r="AU189" i="130"/>
  <c r="AV189" i="130"/>
  <c r="AW189" i="130"/>
  <c r="AP190" i="130"/>
  <c r="AQ190" i="130"/>
  <c r="AR190" i="130"/>
  <c r="AS190" i="130"/>
  <c r="AT190" i="130"/>
  <c r="AU190" i="130"/>
  <c r="AV190" i="130"/>
  <c r="AW190" i="130"/>
  <c r="AP191" i="130"/>
  <c r="AQ191" i="130"/>
  <c r="AR191" i="130"/>
  <c r="AS191" i="130"/>
  <c r="AT191" i="130"/>
  <c r="AU191" i="130"/>
  <c r="AV191" i="130"/>
  <c r="AW191" i="130"/>
  <c r="AP192" i="130"/>
  <c r="AQ192" i="130"/>
  <c r="AR192" i="130"/>
  <c r="AS192" i="130"/>
  <c r="AT192" i="130"/>
  <c r="AU192" i="130"/>
  <c r="AV192" i="130"/>
  <c r="AW192" i="130"/>
  <c r="AP193" i="130"/>
  <c r="AQ193" i="130"/>
  <c r="AR193" i="130"/>
  <c r="AS193" i="130"/>
  <c r="AT193" i="130"/>
  <c r="AU193" i="130"/>
  <c r="AV193" i="130"/>
  <c r="AW193" i="130"/>
  <c r="AP194" i="130"/>
  <c r="AQ194" i="130"/>
  <c r="AR194" i="130"/>
  <c r="AS194" i="130"/>
  <c r="AT194" i="130"/>
  <c r="AU194" i="130"/>
  <c r="AV194" i="130"/>
  <c r="AW194" i="130"/>
  <c r="AP195" i="130"/>
  <c r="AQ195" i="130"/>
  <c r="AR195" i="130"/>
  <c r="AS195" i="130"/>
  <c r="AT195" i="130"/>
  <c r="AU195" i="130"/>
  <c r="AV195" i="130"/>
  <c r="AW195" i="130"/>
  <c r="AP196" i="130"/>
  <c r="AQ196" i="130"/>
  <c r="AR196" i="130"/>
  <c r="AS196" i="130"/>
  <c r="AT196" i="130"/>
  <c r="AU196" i="130"/>
  <c r="AV196" i="130"/>
  <c r="AW196" i="130"/>
  <c r="AP197" i="130"/>
  <c r="AQ197" i="130"/>
  <c r="AR197" i="130"/>
  <c r="AS197" i="130"/>
  <c r="AT197" i="130"/>
  <c r="AU197" i="130"/>
  <c r="AV197" i="130"/>
  <c r="AW197" i="130"/>
  <c r="AP198" i="130"/>
  <c r="AQ198" i="130"/>
  <c r="AR198" i="130"/>
  <c r="AS198" i="130"/>
  <c r="AT198" i="130"/>
  <c r="AU198" i="130"/>
  <c r="AV198" i="130"/>
  <c r="AW198" i="130"/>
  <c r="AP199" i="130"/>
  <c r="AQ199" i="130"/>
  <c r="AR199" i="130"/>
  <c r="AS199" i="130"/>
  <c r="AT199" i="130"/>
  <c r="AU199" i="130"/>
  <c r="AV199" i="130"/>
  <c r="AW199" i="130"/>
  <c r="AP200" i="130"/>
  <c r="AQ200" i="130"/>
  <c r="AR200" i="130"/>
  <c r="AS200" i="130"/>
  <c r="AT200" i="130"/>
  <c r="AU200" i="130"/>
  <c r="AV200" i="130"/>
  <c r="AW200" i="130"/>
  <c r="AP201" i="130"/>
  <c r="AQ201" i="130"/>
  <c r="AR201" i="130"/>
  <c r="AS201" i="130"/>
  <c r="AT201" i="130"/>
  <c r="AU201" i="130"/>
  <c r="AV201" i="130"/>
  <c r="AW201" i="130"/>
  <c r="AP202" i="130"/>
  <c r="AQ202" i="130"/>
  <c r="AR202" i="130"/>
  <c r="AS202" i="130"/>
  <c r="AT202" i="130"/>
  <c r="AU202" i="130"/>
  <c r="AV202" i="130"/>
  <c r="AW202" i="130"/>
  <c r="AP203" i="130"/>
  <c r="AQ203" i="130"/>
  <c r="AR203" i="130"/>
  <c r="AS203" i="130"/>
  <c r="AT203" i="130"/>
  <c r="AU203" i="130"/>
  <c r="AV203" i="130"/>
  <c r="AW203" i="130"/>
  <c r="AP204" i="130"/>
  <c r="AQ204" i="130"/>
  <c r="AR204" i="130"/>
  <c r="AS204" i="130"/>
  <c r="AT204" i="130"/>
  <c r="AU204" i="130"/>
  <c r="AV204" i="130"/>
  <c r="AW204" i="130"/>
  <c r="AP205" i="130"/>
  <c r="AQ205" i="130"/>
  <c r="AR205" i="130"/>
  <c r="AS205" i="130"/>
  <c r="AT205" i="130"/>
  <c r="AU205" i="130"/>
  <c r="AV205" i="130"/>
  <c r="AW205" i="130"/>
  <c r="AP206" i="130"/>
  <c r="AQ206" i="130"/>
  <c r="AR206" i="130"/>
  <c r="AS206" i="130"/>
  <c r="AT206" i="130"/>
  <c r="AU206" i="130"/>
  <c r="AV206" i="130"/>
  <c r="AW206" i="130"/>
  <c r="AP212" i="130"/>
  <c r="AQ212" i="130"/>
  <c r="AR212" i="130"/>
  <c r="AS212" i="130"/>
  <c r="AT212" i="130"/>
  <c r="AU212" i="130"/>
  <c r="AV212" i="130"/>
  <c r="AW212" i="130"/>
  <c r="AP213" i="130"/>
  <c r="AQ213" i="130"/>
  <c r="AR213" i="130"/>
  <c r="AS213" i="130"/>
  <c r="AT213" i="130"/>
  <c r="AU213" i="130"/>
  <c r="AV213" i="130"/>
  <c r="AW213" i="130"/>
  <c r="AP214" i="130"/>
  <c r="AQ214" i="130"/>
  <c r="AR214" i="130"/>
  <c r="AS214" i="130"/>
  <c r="AT214" i="130"/>
  <c r="AU214" i="130"/>
  <c r="AV214" i="130"/>
  <c r="AW214" i="130"/>
  <c r="AP215" i="130"/>
  <c r="AQ215" i="130"/>
  <c r="AR215" i="130"/>
  <c r="AS215" i="130"/>
  <c r="AT215" i="130"/>
  <c r="AU215" i="130"/>
  <c r="AV215" i="130"/>
  <c r="AW215" i="130"/>
  <c r="AP216" i="130"/>
  <c r="AQ216" i="130"/>
  <c r="AR216" i="130"/>
  <c r="AS216" i="130"/>
  <c r="AT216" i="130"/>
  <c r="AU216" i="130"/>
  <c r="AV216" i="130"/>
  <c r="AW216" i="130"/>
  <c r="AP217" i="130"/>
  <c r="AQ217" i="130"/>
  <c r="AR217" i="130"/>
  <c r="AS217" i="130"/>
  <c r="AT217" i="130"/>
  <c r="AU217" i="130"/>
  <c r="AV217" i="130"/>
  <c r="AW217" i="130"/>
  <c r="AP220" i="130"/>
  <c r="AQ220" i="130"/>
  <c r="AR220" i="130"/>
  <c r="AS220" i="130"/>
  <c r="AT220" i="130"/>
  <c r="AU220" i="130"/>
  <c r="AV220" i="130"/>
  <c r="AW220" i="130"/>
  <c r="AP221" i="130"/>
  <c r="AQ221" i="130"/>
  <c r="AR221" i="130"/>
  <c r="AS221" i="130"/>
  <c r="AT221" i="130"/>
  <c r="AU221" i="130"/>
  <c r="AV221" i="130"/>
  <c r="AW221" i="130"/>
  <c r="AP222" i="130"/>
  <c r="AQ222" i="130"/>
  <c r="AR222" i="130"/>
  <c r="AS222" i="130"/>
  <c r="AT222" i="130"/>
  <c r="AU222" i="130"/>
  <c r="AV222" i="130"/>
  <c r="AW222" i="130"/>
  <c r="AP223" i="130"/>
  <c r="AQ223" i="130"/>
  <c r="AR223" i="130"/>
  <c r="AS223" i="130"/>
  <c r="AT223" i="130"/>
  <c r="AU223" i="130"/>
  <c r="AV223" i="130"/>
  <c r="AW223" i="130"/>
  <c r="AP224" i="130"/>
  <c r="AQ224" i="130"/>
  <c r="AR224" i="130"/>
  <c r="AS224" i="130"/>
  <c r="AT224" i="130"/>
  <c r="AU224" i="130"/>
  <c r="AV224" i="130"/>
  <c r="AW224" i="130"/>
  <c r="AP225" i="130"/>
  <c r="AQ225" i="130"/>
  <c r="AR225" i="130"/>
  <c r="AS225" i="130"/>
  <c r="AT225" i="130"/>
  <c r="AU225" i="130"/>
  <c r="AV225" i="130"/>
  <c r="AW225" i="130"/>
  <c r="AP226" i="130"/>
  <c r="AQ226" i="130"/>
  <c r="AR226" i="130"/>
  <c r="AS226" i="130"/>
  <c r="AT226" i="130"/>
  <c r="AU226" i="130"/>
  <c r="AV226" i="130"/>
  <c r="AW226" i="130"/>
  <c r="AP227" i="130"/>
  <c r="AQ227" i="130"/>
  <c r="AR227" i="130"/>
  <c r="AS227" i="130"/>
  <c r="AT227" i="130"/>
  <c r="AU227" i="130"/>
  <c r="AV227" i="130"/>
  <c r="AW227" i="130"/>
  <c r="AP228" i="130"/>
  <c r="AQ228" i="130"/>
  <c r="AR228" i="130"/>
  <c r="AS228" i="130"/>
  <c r="AT228" i="130"/>
  <c r="AU228" i="130"/>
  <c r="AV228" i="130"/>
  <c r="AW228" i="130"/>
  <c r="AP229" i="130"/>
  <c r="AQ229" i="130"/>
  <c r="AR229" i="130"/>
  <c r="AS229" i="130"/>
  <c r="AT229" i="130"/>
  <c r="AU229" i="130"/>
  <c r="AV229" i="130"/>
  <c r="AW229" i="130"/>
  <c r="AP230" i="130"/>
  <c r="AQ230" i="130"/>
  <c r="AR230" i="130"/>
  <c r="AS230" i="130"/>
  <c r="AT230" i="130"/>
  <c r="AU230" i="130"/>
  <c r="AV230" i="130"/>
  <c r="AW230" i="130"/>
  <c r="AP234" i="130"/>
  <c r="AQ234" i="130"/>
  <c r="AR234" i="130"/>
  <c r="AS234" i="130"/>
  <c r="AT234" i="130"/>
  <c r="AU234" i="130"/>
  <c r="AV234" i="130"/>
  <c r="AW234" i="130"/>
  <c r="AP235" i="130"/>
  <c r="AQ235" i="130"/>
  <c r="AR235" i="130"/>
  <c r="AS235" i="130"/>
  <c r="AT235" i="130"/>
  <c r="AU235" i="130"/>
  <c r="AV235" i="130"/>
  <c r="AW235" i="130"/>
  <c r="AP236" i="130"/>
  <c r="AQ236" i="130"/>
  <c r="AR236" i="130"/>
  <c r="AS236" i="130"/>
  <c r="AT236" i="130"/>
  <c r="AU236" i="130"/>
  <c r="AV236" i="130"/>
  <c r="AW236" i="130"/>
  <c r="AP237" i="130"/>
  <c r="AQ237" i="130"/>
  <c r="AR237" i="130"/>
  <c r="AS237" i="130"/>
  <c r="AT237" i="130"/>
  <c r="AU237" i="130"/>
  <c r="AV237" i="130"/>
  <c r="AW237" i="130"/>
  <c r="AP238" i="130"/>
  <c r="AQ238" i="130"/>
  <c r="AR238" i="130"/>
  <c r="AS238" i="130"/>
  <c r="AT238" i="130"/>
  <c r="AU238" i="130"/>
  <c r="AV238" i="130"/>
  <c r="AW238" i="130"/>
  <c r="AP239" i="130"/>
  <c r="AQ239" i="130"/>
  <c r="AR239" i="130"/>
  <c r="AS239" i="130"/>
  <c r="AT239" i="130"/>
  <c r="AU239" i="130"/>
  <c r="AV239" i="130"/>
  <c r="AW239" i="130"/>
  <c r="AP240" i="130"/>
  <c r="AQ240" i="130"/>
  <c r="AR240" i="130"/>
  <c r="AS240" i="130"/>
  <c r="AT240" i="130"/>
  <c r="AU240" i="130"/>
  <c r="AV240" i="130"/>
  <c r="AW240" i="130"/>
  <c r="AP241" i="130"/>
  <c r="AQ241" i="130"/>
  <c r="AR241" i="130"/>
  <c r="AS241" i="130"/>
  <c r="AT241" i="130"/>
  <c r="AU241" i="130"/>
  <c r="AV241" i="130"/>
  <c r="AW241" i="130"/>
  <c r="AP242" i="130"/>
  <c r="AQ242" i="130"/>
  <c r="AR242" i="130"/>
  <c r="AS242" i="130"/>
  <c r="AT242" i="130"/>
  <c r="AU242" i="130"/>
  <c r="AV242" i="130"/>
  <c r="AW242" i="130"/>
  <c r="AP243" i="130"/>
  <c r="AQ243" i="130"/>
  <c r="AR243" i="130"/>
  <c r="AS243" i="130"/>
  <c r="AT243" i="130"/>
  <c r="AU243" i="130"/>
  <c r="AV243" i="130"/>
  <c r="AW243" i="130"/>
  <c r="AP244" i="130"/>
  <c r="AQ244" i="130"/>
  <c r="AR244" i="130"/>
  <c r="AS244" i="130"/>
  <c r="AT244" i="130"/>
  <c r="AU244" i="130"/>
  <c r="AV244" i="130"/>
  <c r="AW244" i="130"/>
  <c r="AP245" i="130"/>
  <c r="AQ245" i="130"/>
  <c r="AR245" i="130"/>
  <c r="AS245" i="130"/>
  <c r="AT245" i="130"/>
  <c r="AU245" i="130"/>
  <c r="AV245" i="130"/>
  <c r="AW245" i="130"/>
  <c r="AP246" i="130"/>
  <c r="AQ246" i="130"/>
  <c r="AR246" i="130"/>
  <c r="AS246" i="130"/>
  <c r="AT246" i="130"/>
  <c r="AU246" i="130"/>
  <c r="AV246" i="130"/>
  <c r="AW246" i="130"/>
  <c r="AP247" i="130"/>
  <c r="AQ247" i="130"/>
  <c r="AR247" i="130"/>
  <c r="AS247" i="130"/>
  <c r="AT247" i="130"/>
  <c r="AU247" i="130"/>
  <c r="AV247" i="130"/>
  <c r="AW247" i="130"/>
  <c r="AP248" i="130"/>
  <c r="AQ248" i="130"/>
  <c r="AR248" i="130"/>
  <c r="AS248" i="130"/>
  <c r="AT248" i="130"/>
  <c r="AU248" i="130"/>
  <c r="AV248" i="130"/>
  <c r="AW248" i="130"/>
  <c r="AP249" i="130"/>
  <c r="AQ249" i="130"/>
  <c r="AR249" i="130"/>
  <c r="AS249" i="130"/>
  <c r="AT249" i="130"/>
  <c r="AU249" i="130"/>
  <c r="AV249" i="130"/>
  <c r="AW249" i="130"/>
  <c r="AP250" i="130"/>
  <c r="AQ250" i="130"/>
  <c r="AR250" i="130"/>
  <c r="AS250" i="130"/>
  <c r="AT250" i="130"/>
  <c r="AU250" i="130"/>
  <c r="AV250" i="130"/>
  <c r="AW250" i="130"/>
  <c r="AP251" i="130"/>
  <c r="AP254" i="130"/>
  <c r="AQ254" i="130"/>
  <c r="AR254" i="130"/>
  <c r="AS254" i="130"/>
  <c r="AT254" i="130"/>
  <c r="AU254" i="130"/>
  <c r="AV254" i="130"/>
  <c r="AW254" i="130"/>
  <c r="AP255" i="130"/>
  <c r="AQ255" i="130"/>
  <c r="AR255" i="130"/>
  <c r="AS255" i="130"/>
  <c r="AT255" i="130"/>
  <c r="AU255" i="130"/>
  <c r="AV255" i="130"/>
  <c r="AW255" i="130"/>
  <c r="AP256" i="130"/>
  <c r="AQ256" i="130"/>
  <c r="AR256" i="130"/>
  <c r="AS256" i="130"/>
  <c r="AT256" i="130"/>
  <c r="AU256" i="130"/>
  <c r="AV256" i="130"/>
  <c r="AW256" i="130"/>
  <c r="AP257" i="130"/>
  <c r="AQ257" i="130"/>
  <c r="AR257" i="130"/>
  <c r="AS257" i="130"/>
  <c r="AT257" i="130"/>
  <c r="AU257" i="130"/>
  <c r="AV257" i="130"/>
  <c r="AW257" i="130"/>
  <c r="AP258" i="130"/>
  <c r="AQ258" i="130"/>
  <c r="AR258" i="130"/>
  <c r="AS258" i="130"/>
  <c r="AT258" i="130"/>
  <c r="AU258" i="130"/>
  <c r="AV258" i="130"/>
  <c r="AW258" i="130"/>
  <c r="AP259" i="130"/>
  <c r="AQ259" i="130"/>
  <c r="AR259" i="130"/>
  <c r="AS259" i="130"/>
  <c r="AT259" i="130"/>
  <c r="AU259" i="130"/>
  <c r="AV259" i="130"/>
  <c r="AW259" i="130"/>
  <c r="AP260" i="130"/>
  <c r="AQ260" i="130"/>
  <c r="AR260" i="130"/>
  <c r="AS260" i="130"/>
  <c r="AT260" i="130"/>
  <c r="AU260" i="130"/>
  <c r="AV260" i="130"/>
  <c r="AW260" i="130"/>
  <c r="AP261" i="130"/>
  <c r="AQ261" i="130"/>
  <c r="AR261" i="130"/>
  <c r="AS261" i="130"/>
  <c r="AT261" i="130"/>
  <c r="AU261" i="130"/>
  <c r="AV261" i="130"/>
  <c r="AW261" i="130"/>
  <c r="AP262" i="130"/>
  <c r="AQ262" i="130"/>
  <c r="AR262" i="130"/>
  <c r="AS262" i="130"/>
  <c r="AT262" i="130"/>
  <c r="AU262" i="130"/>
  <c r="AV262" i="130"/>
  <c r="AW262" i="130"/>
  <c r="AP263" i="130"/>
  <c r="AQ263" i="130"/>
  <c r="AR263" i="130"/>
  <c r="AS263" i="130"/>
  <c r="AT263" i="130"/>
  <c r="AU263" i="130"/>
  <c r="AV263" i="130"/>
  <c r="AW263" i="130"/>
  <c r="AP264" i="130"/>
  <c r="AQ264" i="130"/>
  <c r="AR264" i="130"/>
  <c r="AS264" i="130"/>
  <c r="AT264" i="130"/>
  <c r="AU264" i="130"/>
  <c r="AV264" i="130"/>
  <c r="AW264" i="130"/>
  <c r="AP265" i="130"/>
  <c r="AQ265" i="130"/>
  <c r="AR265" i="130"/>
  <c r="AS265" i="130"/>
  <c r="AT265" i="130"/>
  <c r="AU265" i="130"/>
  <c r="AV265" i="130"/>
  <c r="AW265" i="130"/>
  <c r="AP266" i="130"/>
  <c r="AQ266" i="130"/>
  <c r="AR266" i="130"/>
  <c r="AS266" i="130"/>
  <c r="AT266" i="130"/>
  <c r="AU266" i="130"/>
  <c r="AV266" i="130"/>
  <c r="AW266" i="130"/>
  <c r="AP267" i="130"/>
  <c r="AQ267" i="130"/>
  <c r="AR267" i="130"/>
  <c r="AS267" i="130"/>
  <c r="AT267" i="130"/>
  <c r="AU267" i="130"/>
  <c r="AV267" i="130"/>
  <c r="AW267" i="130"/>
  <c r="AP268" i="130"/>
  <c r="AQ268" i="130"/>
  <c r="AR268" i="130"/>
  <c r="AS268" i="130"/>
  <c r="AT268" i="130"/>
  <c r="AU268" i="130"/>
  <c r="AV268" i="130"/>
  <c r="AW268" i="130"/>
  <c r="AP4" i="130"/>
  <c r="AQ4" i="130"/>
  <c r="AR4" i="130"/>
  <c r="AS4" i="130"/>
  <c r="AT4" i="130"/>
  <c r="AU4" i="130"/>
  <c r="AV4" i="130"/>
  <c r="AW4" i="130"/>
  <c r="V158" i="130"/>
  <c r="W158" i="130"/>
  <c r="X158" i="130"/>
  <c r="Y158" i="130"/>
  <c r="Z158" i="130"/>
  <c r="AA158" i="130"/>
  <c r="AB158" i="130"/>
  <c r="AC158" i="130"/>
  <c r="V159" i="130"/>
  <c r="W159" i="130"/>
  <c r="X159" i="130"/>
  <c r="Y159" i="130"/>
  <c r="Z159" i="130"/>
  <c r="AA159" i="130"/>
  <c r="AB159" i="130"/>
  <c r="AC159" i="130"/>
  <c r="V160" i="130"/>
  <c r="W160" i="130"/>
  <c r="X160" i="130"/>
  <c r="Y160" i="130"/>
  <c r="Z160" i="130"/>
  <c r="AA160" i="130"/>
  <c r="AB160" i="130"/>
  <c r="AC160" i="130"/>
  <c r="V161" i="130"/>
  <c r="W161" i="130"/>
  <c r="X161" i="130"/>
  <c r="Y161" i="130"/>
  <c r="Z161" i="130"/>
  <c r="AA161" i="130"/>
  <c r="AB161" i="130"/>
  <c r="AC161" i="130"/>
  <c r="V162" i="130"/>
  <c r="W162" i="130"/>
  <c r="X162" i="130"/>
  <c r="Y162" i="130"/>
  <c r="Z162" i="130"/>
  <c r="AA162" i="130"/>
  <c r="AB162" i="130"/>
  <c r="AC162" i="130"/>
  <c r="V163" i="130"/>
  <c r="W163" i="130"/>
  <c r="X163" i="130"/>
  <c r="Y163" i="130"/>
  <c r="Z163" i="130"/>
  <c r="AA163" i="130"/>
  <c r="AB163" i="130"/>
  <c r="AC163" i="130"/>
  <c r="AG6" i="130"/>
  <c r="AH6" i="130"/>
  <c r="AI6" i="130"/>
  <c r="AJ6" i="130"/>
  <c r="AK6" i="130"/>
  <c r="AL6" i="130"/>
  <c r="AM6" i="130"/>
  <c r="AF7" i="130"/>
  <c r="AG7" i="130"/>
  <c r="AH7" i="130"/>
  <c r="AI7" i="130"/>
  <c r="AJ7" i="130"/>
  <c r="AK7" i="130"/>
  <c r="AL7" i="130"/>
  <c r="AM7" i="130"/>
  <c r="AF9" i="130"/>
  <c r="AG9" i="130"/>
  <c r="AH9" i="130"/>
  <c r="AI9" i="130"/>
  <c r="AJ9" i="130"/>
  <c r="AK9" i="130"/>
  <c r="AL9" i="130"/>
  <c r="AM9" i="130"/>
  <c r="AF10" i="130"/>
  <c r="AG10" i="130"/>
  <c r="AH10" i="130"/>
  <c r="AI10" i="130"/>
  <c r="AJ10" i="130"/>
  <c r="AK10" i="130"/>
  <c r="AL10" i="130"/>
  <c r="AM10" i="130"/>
  <c r="AF11" i="130"/>
  <c r="AG11" i="130"/>
  <c r="AH11" i="130"/>
  <c r="AI11" i="130"/>
  <c r="AJ11" i="130"/>
  <c r="AK11" i="130"/>
  <c r="AL11" i="130"/>
  <c r="AM11" i="130"/>
  <c r="AF12" i="130"/>
  <c r="AG12" i="130"/>
  <c r="AH12" i="130"/>
  <c r="AI12" i="130"/>
  <c r="AJ12" i="130"/>
  <c r="AK12" i="130"/>
  <c r="AL12" i="130"/>
  <c r="AM12" i="130"/>
  <c r="AF18" i="130"/>
  <c r="AG18" i="130"/>
  <c r="AH18" i="130"/>
  <c r="AI18" i="130"/>
  <c r="AJ18" i="130"/>
  <c r="AK18" i="130"/>
  <c r="AL18" i="130"/>
  <c r="AM18" i="130"/>
  <c r="AF19" i="130"/>
  <c r="AG19" i="130"/>
  <c r="AH19" i="130"/>
  <c r="AI19" i="130"/>
  <c r="AJ19" i="130"/>
  <c r="AK19" i="130"/>
  <c r="AL19" i="130"/>
  <c r="AM19" i="130"/>
  <c r="AF20" i="130"/>
  <c r="AG20" i="130"/>
  <c r="AH20" i="130"/>
  <c r="AI20" i="130"/>
  <c r="AJ20" i="130"/>
  <c r="AK20" i="130"/>
  <c r="AL20" i="130"/>
  <c r="AM20" i="130"/>
  <c r="AF21" i="130"/>
  <c r="AG21" i="130"/>
  <c r="AH21" i="130"/>
  <c r="AI21" i="130"/>
  <c r="AJ21" i="130"/>
  <c r="AK21" i="130"/>
  <c r="AL21" i="130"/>
  <c r="AM21" i="130"/>
  <c r="AF22" i="130"/>
  <c r="AG22" i="130"/>
  <c r="AH22" i="130"/>
  <c r="AI22" i="130"/>
  <c r="AJ22" i="130"/>
  <c r="AK22" i="130"/>
  <c r="AL22" i="130"/>
  <c r="AM22" i="130"/>
  <c r="AF23" i="130"/>
  <c r="AG23" i="130"/>
  <c r="AH23" i="130"/>
  <c r="AI23" i="130"/>
  <c r="AJ23" i="130"/>
  <c r="AK23" i="130"/>
  <c r="AL23" i="130"/>
  <c r="AM23" i="130"/>
  <c r="AF24" i="130"/>
  <c r="AG24" i="130"/>
  <c r="AH24" i="130"/>
  <c r="AI24" i="130"/>
  <c r="AJ24" i="130"/>
  <c r="AK24" i="130"/>
  <c r="AL24" i="130"/>
  <c r="AM24" i="130"/>
  <c r="AF25" i="130"/>
  <c r="AG25" i="130"/>
  <c r="AH25" i="130"/>
  <c r="AI25" i="130"/>
  <c r="AJ25" i="130"/>
  <c r="AK25" i="130"/>
  <c r="AL25" i="130"/>
  <c r="AM25" i="130"/>
  <c r="AF26" i="130"/>
  <c r="AG26" i="130"/>
  <c r="AH26" i="130"/>
  <c r="AI26" i="130"/>
  <c r="AJ26" i="130"/>
  <c r="AK26" i="130"/>
  <c r="AL26" i="130"/>
  <c r="AM26" i="130"/>
  <c r="AF27" i="130"/>
  <c r="AG27" i="130"/>
  <c r="AH27" i="130"/>
  <c r="AI27" i="130"/>
  <c r="AJ27" i="130"/>
  <c r="AK27" i="130"/>
  <c r="AL27" i="130"/>
  <c r="AM27" i="130"/>
  <c r="AF28" i="130"/>
  <c r="AG28" i="130"/>
  <c r="AH28" i="130"/>
  <c r="AI28" i="130"/>
  <c r="AJ28" i="130"/>
  <c r="AK28" i="130"/>
  <c r="AL28" i="130"/>
  <c r="AM28" i="130"/>
  <c r="AF29" i="130"/>
  <c r="AG29" i="130"/>
  <c r="AH29" i="130"/>
  <c r="AI29" i="130"/>
  <c r="AJ29" i="130"/>
  <c r="AK29" i="130"/>
  <c r="AL29" i="130"/>
  <c r="AM29" i="130"/>
  <c r="AF30" i="130"/>
  <c r="AG30" i="130"/>
  <c r="AH30" i="130"/>
  <c r="AI30" i="130"/>
  <c r="AJ30" i="130"/>
  <c r="AK30" i="130"/>
  <c r="AL30" i="130"/>
  <c r="AM30" i="130"/>
  <c r="AF31" i="130"/>
  <c r="AG31" i="130"/>
  <c r="AH31" i="130"/>
  <c r="AI31" i="130"/>
  <c r="AJ31" i="130"/>
  <c r="AK31" i="130"/>
  <c r="AL31" i="130"/>
  <c r="AM31" i="130"/>
  <c r="AF32" i="130"/>
  <c r="AG32" i="130"/>
  <c r="AH32" i="130"/>
  <c r="AI32" i="130"/>
  <c r="AJ32" i="130"/>
  <c r="AK32" i="130"/>
  <c r="AL32" i="130"/>
  <c r="AM32" i="130"/>
  <c r="AF33" i="130"/>
  <c r="AG33" i="130"/>
  <c r="AH33" i="130"/>
  <c r="AI33" i="130"/>
  <c r="AJ33" i="130"/>
  <c r="AK33" i="130"/>
  <c r="AL33" i="130"/>
  <c r="AM33" i="130"/>
  <c r="AF34" i="130"/>
  <c r="AG34" i="130"/>
  <c r="AH34" i="130"/>
  <c r="AI34" i="130"/>
  <c r="AJ34" i="130"/>
  <c r="AK34" i="130"/>
  <c r="AL34" i="130"/>
  <c r="AM34" i="130"/>
  <c r="AF35" i="130"/>
  <c r="AG35" i="130"/>
  <c r="AH35" i="130"/>
  <c r="AI35" i="130"/>
  <c r="AJ35" i="130"/>
  <c r="AK35" i="130"/>
  <c r="AL35" i="130"/>
  <c r="AM35" i="130"/>
  <c r="AF36" i="130"/>
  <c r="AG36" i="130"/>
  <c r="AH36" i="130"/>
  <c r="AI36" i="130"/>
  <c r="AJ36" i="130"/>
  <c r="AK36" i="130"/>
  <c r="AL36" i="130"/>
  <c r="AM36" i="130"/>
  <c r="AF37" i="130"/>
  <c r="AG37" i="130"/>
  <c r="AH37" i="130"/>
  <c r="AI37" i="130"/>
  <c r="AJ37" i="130"/>
  <c r="AK37" i="130"/>
  <c r="AL37" i="130"/>
  <c r="AM37" i="130"/>
  <c r="AF38" i="130"/>
  <c r="AG38" i="130"/>
  <c r="AH38" i="130"/>
  <c r="AI38" i="130"/>
  <c r="AJ38" i="130"/>
  <c r="AK38" i="130"/>
  <c r="AL38" i="130"/>
  <c r="AM38" i="130"/>
  <c r="AF39" i="130"/>
  <c r="AG39" i="130"/>
  <c r="AH39" i="130"/>
  <c r="AI39" i="130"/>
  <c r="AJ39" i="130"/>
  <c r="AK39" i="130"/>
  <c r="AL39" i="130"/>
  <c r="AM39" i="130"/>
  <c r="AF40" i="130"/>
  <c r="AG40" i="130"/>
  <c r="AH40" i="130"/>
  <c r="AI40" i="130"/>
  <c r="AJ40" i="130"/>
  <c r="AK40" i="130"/>
  <c r="AL40" i="130"/>
  <c r="AM40" i="130"/>
  <c r="AF42" i="130"/>
  <c r="AG42" i="130"/>
  <c r="AH42" i="130"/>
  <c r="AI42" i="130"/>
  <c r="AJ42" i="130"/>
  <c r="AK42" i="130"/>
  <c r="AL42" i="130"/>
  <c r="AM42" i="130"/>
  <c r="AF44" i="130"/>
  <c r="AG44" i="130"/>
  <c r="AH44" i="130"/>
  <c r="AI44" i="130"/>
  <c r="AJ44" i="130"/>
  <c r="AK44" i="130"/>
  <c r="AL44" i="130"/>
  <c r="AM44" i="130"/>
  <c r="AF47" i="130"/>
  <c r="AG47" i="130"/>
  <c r="AH47" i="130"/>
  <c r="AI47" i="130"/>
  <c r="AJ47" i="130"/>
  <c r="AK47" i="130"/>
  <c r="AL47" i="130"/>
  <c r="AM47" i="130"/>
  <c r="AF48" i="130"/>
  <c r="AG48" i="130"/>
  <c r="AH48" i="130"/>
  <c r="AI48" i="130"/>
  <c r="AJ48" i="130"/>
  <c r="AK48" i="130"/>
  <c r="AL48" i="130"/>
  <c r="AM48" i="130"/>
  <c r="AF49" i="130"/>
  <c r="AG49" i="130"/>
  <c r="AH49" i="130"/>
  <c r="AI49" i="130"/>
  <c r="AJ49" i="130"/>
  <c r="AK49" i="130"/>
  <c r="AL49" i="130"/>
  <c r="AM49" i="130"/>
  <c r="AF50" i="130"/>
  <c r="AG50" i="130"/>
  <c r="AH50" i="130"/>
  <c r="AI50" i="130"/>
  <c r="AJ50" i="130"/>
  <c r="AK50" i="130"/>
  <c r="AL50" i="130"/>
  <c r="AM50" i="130"/>
  <c r="AF51" i="130"/>
  <c r="AG51" i="130"/>
  <c r="AH51" i="130"/>
  <c r="AI51" i="130"/>
  <c r="AJ51" i="130"/>
  <c r="AK51" i="130"/>
  <c r="AL51" i="130"/>
  <c r="AM51" i="130"/>
  <c r="AG52" i="130"/>
  <c r="AH52" i="130"/>
  <c r="AI52" i="130"/>
  <c r="AJ52" i="130"/>
  <c r="AK52" i="130"/>
  <c r="AL52" i="130"/>
  <c r="AM52" i="130"/>
  <c r="AF53" i="130"/>
  <c r="AG53" i="130"/>
  <c r="AH53" i="130"/>
  <c r="AI53" i="130"/>
  <c r="AJ53" i="130"/>
  <c r="AK53" i="130"/>
  <c r="AL53" i="130"/>
  <c r="AM53" i="130"/>
  <c r="AF54" i="130"/>
  <c r="AG54" i="130"/>
  <c r="AH54" i="130"/>
  <c r="AI54" i="130"/>
  <c r="AJ54" i="130"/>
  <c r="AK54" i="130"/>
  <c r="AL54" i="130"/>
  <c r="AM54" i="130"/>
  <c r="AF55" i="130"/>
  <c r="AG55" i="130"/>
  <c r="AH55" i="130"/>
  <c r="AI55" i="130"/>
  <c r="AJ55" i="130"/>
  <c r="AK55" i="130"/>
  <c r="AL55" i="130"/>
  <c r="AM55" i="130"/>
  <c r="AF56" i="130"/>
  <c r="AG56" i="130"/>
  <c r="AH56" i="130"/>
  <c r="AI56" i="130"/>
  <c r="AJ56" i="130"/>
  <c r="AK56" i="130"/>
  <c r="AL56" i="130"/>
  <c r="AM56" i="130"/>
  <c r="AF57" i="130"/>
  <c r="AG57" i="130"/>
  <c r="AH57" i="130"/>
  <c r="AI57" i="130"/>
  <c r="AJ57" i="130"/>
  <c r="AK57" i="130"/>
  <c r="AL57" i="130"/>
  <c r="AM57" i="130"/>
  <c r="AF58" i="130"/>
  <c r="AG58" i="130"/>
  <c r="AH58" i="130"/>
  <c r="AI58" i="130"/>
  <c r="AJ58" i="130"/>
  <c r="AK58" i="130"/>
  <c r="AL58" i="130"/>
  <c r="AM58" i="130"/>
  <c r="AF59" i="130"/>
  <c r="AG59" i="130"/>
  <c r="AH59" i="130"/>
  <c r="AI59" i="130"/>
  <c r="AJ59" i="130"/>
  <c r="AK59" i="130"/>
  <c r="AL59" i="130"/>
  <c r="AM59" i="130"/>
  <c r="AF60" i="130"/>
  <c r="AG60" i="130"/>
  <c r="AH60" i="130"/>
  <c r="AI60" i="130"/>
  <c r="AJ60" i="130"/>
  <c r="AK60" i="130"/>
  <c r="AL60" i="130"/>
  <c r="AM60" i="130"/>
  <c r="AF61" i="130"/>
  <c r="AG61" i="130"/>
  <c r="AH61" i="130"/>
  <c r="AI61" i="130"/>
  <c r="AJ61" i="130"/>
  <c r="AK61" i="130"/>
  <c r="AL61" i="130"/>
  <c r="AM61" i="130"/>
  <c r="AF62" i="130"/>
  <c r="AG62" i="130"/>
  <c r="AH62" i="130"/>
  <c r="AI62" i="130"/>
  <c r="AJ62" i="130"/>
  <c r="AK62" i="130"/>
  <c r="AL62" i="130"/>
  <c r="AM62" i="130"/>
  <c r="AF63" i="130"/>
  <c r="AG63" i="130"/>
  <c r="AH63" i="130"/>
  <c r="AI63" i="130"/>
  <c r="AJ63" i="130"/>
  <c r="AK63" i="130"/>
  <c r="AL63" i="130"/>
  <c r="AM63" i="130"/>
  <c r="AF64" i="130"/>
  <c r="AG64" i="130"/>
  <c r="AH64" i="130"/>
  <c r="AI64" i="130"/>
  <c r="AJ64" i="130"/>
  <c r="AK64" i="130"/>
  <c r="AL64" i="130"/>
  <c r="AM64" i="130"/>
  <c r="AF65" i="130"/>
  <c r="AG65" i="130"/>
  <c r="AH65" i="130"/>
  <c r="AI65" i="130"/>
  <c r="AJ65" i="130"/>
  <c r="AK65" i="130"/>
  <c r="AL65" i="130"/>
  <c r="AM65" i="130"/>
  <c r="AF66" i="130"/>
  <c r="AZ5" i="130"/>
  <c r="BA5" i="130"/>
  <c r="BB5" i="130"/>
  <c r="BC5" i="130"/>
  <c r="BD5" i="130"/>
  <c r="BE5" i="130"/>
  <c r="BF5" i="130"/>
  <c r="BG5" i="130"/>
  <c r="AZ6" i="130"/>
  <c r="AZ9" i="130"/>
  <c r="BA9" i="130"/>
  <c r="BB9" i="130"/>
  <c r="BC9" i="130"/>
  <c r="BD9" i="130"/>
  <c r="BE9" i="130"/>
  <c r="BF9" i="130"/>
  <c r="BG9" i="130"/>
  <c r="AZ11" i="130"/>
  <c r="BA11" i="130"/>
  <c r="BB11" i="130"/>
  <c r="BC11" i="130"/>
  <c r="BD11" i="130"/>
  <c r="BE11" i="130"/>
  <c r="BF11" i="130"/>
  <c r="BG11" i="130"/>
  <c r="AZ12" i="130"/>
  <c r="BA12" i="130"/>
  <c r="BB12" i="130"/>
  <c r="BC12" i="130"/>
  <c r="BD12" i="130"/>
  <c r="BE12" i="130"/>
  <c r="BF12" i="130"/>
  <c r="BG12" i="130"/>
  <c r="AZ13" i="130"/>
  <c r="BA13" i="130"/>
  <c r="BB13" i="130"/>
  <c r="BC13" i="130"/>
  <c r="BD13" i="130"/>
  <c r="BE13" i="130"/>
  <c r="BF13" i="130"/>
  <c r="BG13" i="130"/>
  <c r="AZ14" i="130"/>
  <c r="BA14" i="130"/>
  <c r="BB14" i="130"/>
  <c r="BC14" i="130"/>
  <c r="BD14" i="130"/>
  <c r="BE14" i="130"/>
  <c r="BF14" i="130"/>
  <c r="BG14" i="130"/>
  <c r="AZ15" i="130"/>
  <c r="BA15" i="130"/>
  <c r="BB15" i="130"/>
  <c r="BC15" i="130"/>
  <c r="BD15" i="130"/>
  <c r="BE15" i="130"/>
  <c r="BF15" i="130"/>
  <c r="BG15" i="130"/>
  <c r="AZ16" i="130"/>
  <c r="BA16" i="130"/>
  <c r="BB16" i="130"/>
  <c r="BC16" i="130"/>
  <c r="BD16" i="130"/>
  <c r="BE16" i="130"/>
  <c r="BF16" i="130"/>
  <c r="BG16" i="130"/>
  <c r="AZ17" i="130"/>
  <c r="BA17" i="130"/>
  <c r="BB17" i="130"/>
  <c r="BC17" i="130"/>
  <c r="BD17" i="130"/>
  <c r="BE17" i="130"/>
  <c r="BF17" i="130"/>
  <c r="BG17" i="130"/>
  <c r="AZ18" i="130"/>
  <c r="BA18" i="130"/>
  <c r="BB18" i="130"/>
  <c r="BC18" i="130"/>
  <c r="BD18" i="130"/>
  <c r="BE18" i="130"/>
  <c r="BF18" i="130"/>
  <c r="BG18" i="130"/>
  <c r="AZ19" i="130"/>
  <c r="BA19" i="130"/>
  <c r="BB19" i="130"/>
  <c r="BC19" i="130"/>
  <c r="BD19" i="130"/>
  <c r="BE19" i="130"/>
  <c r="BF19" i="130"/>
  <c r="BG19" i="130"/>
  <c r="AZ20" i="130"/>
  <c r="BA20" i="130"/>
  <c r="BB20" i="130"/>
  <c r="BC20" i="130"/>
  <c r="BD20" i="130"/>
  <c r="BE20" i="130"/>
  <c r="BF20" i="130"/>
  <c r="BG20" i="130"/>
  <c r="AZ21" i="130"/>
  <c r="BA21" i="130"/>
  <c r="BB21" i="130"/>
  <c r="BC21" i="130"/>
  <c r="BD21" i="130"/>
  <c r="BE21" i="130"/>
  <c r="BF21" i="130"/>
  <c r="BG21" i="130"/>
  <c r="AZ22" i="130"/>
  <c r="BA22" i="130"/>
  <c r="BB22" i="130"/>
  <c r="BC22" i="130"/>
  <c r="BD22" i="130"/>
  <c r="BE22" i="130"/>
  <c r="BF22" i="130"/>
  <c r="BG22" i="130"/>
  <c r="AZ23" i="130"/>
  <c r="BA23" i="130"/>
  <c r="BB23" i="130"/>
  <c r="BC23" i="130"/>
  <c r="BD23" i="130"/>
  <c r="BE23" i="130"/>
  <c r="BF23" i="130"/>
  <c r="BG23" i="130"/>
  <c r="AZ24" i="130"/>
  <c r="BA24" i="130"/>
  <c r="BB24" i="130"/>
  <c r="BC24" i="130"/>
  <c r="BD24" i="130"/>
  <c r="BE24" i="130"/>
  <c r="BF24" i="130"/>
  <c r="BG24" i="130"/>
  <c r="AZ25" i="130"/>
  <c r="BA25" i="130"/>
  <c r="BB25" i="130"/>
  <c r="BC25" i="130"/>
  <c r="BD25" i="130"/>
  <c r="BE25" i="130"/>
  <c r="BF25" i="130"/>
  <c r="BG25" i="130"/>
  <c r="AZ26" i="130"/>
  <c r="BA26" i="130"/>
  <c r="BB26" i="130"/>
  <c r="BC26" i="130"/>
  <c r="BD26" i="130"/>
  <c r="BE26" i="130"/>
  <c r="BF26" i="130"/>
  <c r="BG26" i="130"/>
  <c r="AZ27" i="130"/>
  <c r="BA27" i="130"/>
  <c r="BB27" i="130"/>
  <c r="BC27" i="130"/>
  <c r="BD27" i="130"/>
  <c r="BE27" i="130"/>
  <c r="BF27" i="130"/>
  <c r="BG27" i="130"/>
  <c r="AZ28" i="130"/>
  <c r="BA28" i="130"/>
  <c r="BB28" i="130"/>
  <c r="BC28" i="130"/>
  <c r="BD28" i="130"/>
  <c r="BE28" i="130"/>
  <c r="BF28" i="130"/>
  <c r="BG28" i="130"/>
  <c r="AZ29" i="130"/>
  <c r="BA29" i="130"/>
  <c r="BB29" i="130"/>
  <c r="BC29" i="130"/>
  <c r="BD29" i="130"/>
  <c r="BE29" i="130"/>
  <c r="BF29" i="130"/>
  <c r="BG29" i="130"/>
  <c r="AZ30" i="130"/>
  <c r="BA30" i="130"/>
  <c r="BB30" i="130"/>
  <c r="BC30" i="130"/>
  <c r="BD30" i="130"/>
  <c r="BE30" i="130"/>
  <c r="BF30" i="130"/>
  <c r="BG30" i="130"/>
  <c r="AZ31" i="130"/>
  <c r="BA31" i="130"/>
  <c r="BB31" i="130"/>
  <c r="BC31" i="130"/>
  <c r="BD31" i="130"/>
  <c r="BE31" i="130"/>
  <c r="BF31" i="130"/>
  <c r="BG31" i="130"/>
  <c r="AZ32" i="130"/>
  <c r="BA32" i="130"/>
  <c r="BB32" i="130"/>
  <c r="BC32" i="130"/>
  <c r="BD32" i="130"/>
  <c r="BE32" i="130"/>
  <c r="BF32" i="130"/>
  <c r="BG32" i="130"/>
  <c r="AZ33" i="130"/>
  <c r="BA33" i="130"/>
  <c r="BB33" i="130"/>
  <c r="BC33" i="130"/>
  <c r="BD33" i="130"/>
  <c r="BE33" i="130"/>
  <c r="BF33" i="130"/>
  <c r="BG33" i="130"/>
  <c r="AZ34" i="130"/>
  <c r="BA34" i="130"/>
  <c r="BB34" i="130"/>
  <c r="BC34" i="130"/>
  <c r="BD34" i="130"/>
  <c r="BE34" i="130"/>
  <c r="BF34" i="130"/>
  <c r="BG34" i="130"/>
  <c r="AZ35" i="130"/>
  <c r="BA35" i="130"/>
  <c r="BB35" i="130"/>
  <c r="BC35" i="130"/>
  <c r="BD35" i="130"/>
  <c r="BE35" i="130"/>
  <c r="BF35" i="130"/>
  <c r="BG35" i="130"/>
  <c r="AZ36" i="130"/>
  <c r="BA36" i="130"/>
  <c r="BB36" i="130"/>
  <c r="BC36" i="130"/>
  <c r="BD36" i="130"/>
  <c r="BE36" i="130"/>
  <c r="BF36" i="130"/>
  <c r="BG36" i="130"/>
  <c r="AZ37" i="130"/>
  <c r="BA37" i="130"/>
  <c r="BB37" i="130"/>
  <c r="BC37" i="130"/>
  <c r="BD37" i="130"/>
  <c r="BE37" i="130"/>
  <c r="BF37" i="130"/>
  <c r="BG37" i="130"/>
  <c r="AZ38" i="130"/>
  <c r="BA38" i="130"/>
  <c r="BB38" i="130"/>
  <c r="BC38" i="130"/>
  <c r="BD38" i="130"/>
  <c r="BE38" i="130"/>
  <c r="BF38" i="130"/>
  <c r="BG38" i="130"/>
  <c r="AZ39" i="130"/>
  <c r="BA39" i="130"/>
  <c r="BB39" i="130"/>
  <c r="BC39" i="130"/>
  <c r="BD39" i="130"/>
  <c r="BE39" i="130"/>
  <c r="BF39" i="130"/>
  <c r="BG39" i="130"/>
  <c r="AZ40" i="130"/>
  <c r="BA40" i="130"/>
  <c r="BB40" i="130"/>
  <c r="BC40" i="130"/>
  <c r="BD40" i="130"/>
  <c r="BE40" i="130"/>
  <c r="BF40" i="130"/>
  <c r="BG40" i="130"/>
  <c r="AZ41" i="130"/>
  <c r="BA41" i="130"/>
  <c r="BB41" i="130"/>
  <c r="BC41" i="130"/>
  <c r="BD41" i="130"/>
  <c r="BE41" i="130"/>
  <c r="BF41" i="130"/>
  <c r="BG41" i="130"/>
  <c r="AZ42" i="130"/>
  <c r="BA42" i="130"/>
  <c r="BB42" i="130"/>
  <c r="BC42" i="130"/>
  <c r="BD42" i="130"/>
  <c r="BE42" i="130"/>
  <c r="BF42" i="130"/>
  <c r="BG42" i="130"/>
  <c r="AZ43" i="130"/>
  <c r="BA43" i="130"/>
  <c r="BB43" i="130"/>
  <c r="BC43" i="130"/>
  <c r="BD43" i="130"/>
  <c r="BE43" i="130"/>
  <c r="BF43" i="130"/>
  <c r="BG43" i="130"/>
  <c r="AZ44" i="130"/>
  <c r="BA44" i="130"/>
  <c r="BB44" i="130"/>
  <c r="BC44" i="130"/>
  <c r="BD44" i="130"/>
  <c r="BE44" i="130"/>
  <c r="BF44" i="130"/>
  <c r="BG44" i="130"/>
  <c r="AZ45" i="130"/>
  <c r="BA45" i="130"/>
  <c r="BB45" i="130"/>
  <c r="BC45" i="130"/>
  <c r="BD45" i="130"/>
  <c r="BE45" i="130"/>
  <c r="BF45" i="130"/>
  <c r="BG45" i="130"/>
  <c r="AZ46" i="130"/>
  <c r="BA46" i="130"/>
  <c r="BB46" i="130"/>
  <c r="BC46" i="130"/>
  <c r="BD46" i="130"/>
  <c r="BE46" i="130"/>
  <c r="BF46" i="130"/>
  <c r="BG46" i="130"/>
  <c r="AZ47" i="130"/>
  <c r="BA47" i="130"/>
  <c r="BB47" i="130"/>
  <c r="BC47" i="130"/>
  <c r="BD47" i="130"/>
  <c r="BE47" i="130"/>
  <c r="BF47" i="130"/>
  <c r="BG47" i="130"/>
  <c r="AZ48" i="130"/>
  <c r="BA48" i="130"/>
  <c r="BB48" i="130"/>
  <c r="BC48" i="130"/>
  <c r="BD48" i="130"/>
  <c r="BE48" i="130"/>
  <c r="BF48" i="130"/>
  <c r="BG48" i="130"/>
  <c r="AZ49" i="130"/>
  <c r="BA49" i="130"/>
  <c r="BB49" i="130"/>
  <c r="BC49" i="130"/>
  <c r="BD49" i="130"/>
  <c r="BE49" i="130"/>
  <c r="BF49" i="130"/>
  <c r="BG49" i="130"/>
  <c r="AZ50" i="130"/>
  <c r="BA50" i="130"/>
  <c r="BB50" i="130"/>
  <c r="BC50" i="130"/>
  <c r="BD50" i="130"/>
  <c r="BE50" i="130"/>
  <c r="BF50" i="130"/>
  <c r="BG50" i="130"/>
  <c r="AZ51" i="130"/>
  <c r="BA51" i="130"/>
  <c r="BB51" i="130"/>
  <c r="BC51" i="130"/>
  <c r="BD51" i="130"/>
  <c r="BE51" i="130"/>
  <c r="BF51" i="130"/>
  <c r="BG51" i="130"/>
  <c r="AZ52" i="130"/>
  <c r="BA52" i="130"/>
  <c r="BB52" i="130"/>
  <c r="BC52" i="130"/>
  <c r="BD52" i="130"/>
  <c r="BE52" i="130"/>
  <c r="BF52" i="130"/>
  <c r="BG52" i="130"/>
  <c r="AZ53" i="130"/>
  <c r="BA53" i="130"/>
  <c r="BB53" i="130"/>
  <c r="BC53" i="130"/>
  <c r="BD53" i="130"/>
  <c r="BE53" i="130"/>
  <c r="BF53" i="130"/>
  <c r="BG53" i="130"/>
  <c r="AZ54" i="130"/>
  <c r="BA54" i="130"/>
  <c r="BB54" i="130"/>
  <c r="BC54" i="130"/>
  <c r="BD54" i="130"/>
  <c r="BE54" i="130"/>
  <c r="BF54" i="130"/>
  <c r="BG54" i="130"/>
  <c r="AZ55" i="130"/>
  <c r="BA55" i="130"/>
  <c r="BB55" i="130"/>
  <c r="BC55" i="130"/>
  <c r="BD55" i="130"/>
  <c r="BE55" i="130"/>
  <c r="BF55" i="130"/>
  <c r="BG55" i="130"/>
  <c r="AZ56" i="130"/>
  <c r="BA56" i="130"/>
  <c r="BB56" i="130"/>
  <c r="BC56" i="130"/>
  <c r="BD56" i="130"/>
  <c r="BE56" i="130"/>
  <c r="BF56" i="130"/>
  <c r="BG56" i="130"/>
  <c r="AZ57" i="130"/>
  <c r="BA57" i="130"/>
  <c r="BB57" i="130"/>
  <c r="BC57" i="130"/>
  <c r="BD57" i="130"/>
  <c r="BE57" i="130"/>
  <c r="BF57" i="130"/>
  <c r="BG57" i="130"/>
  <c r="AZ58" i="130"/>
  <c r="BA58" i="130"/>
  <c r="BB58" i="130"/>
  <c r="BC58" i="130"/>
  <c r="BD58" i="130"/>
  <c r="BE58" i="130"/>
  <c r="BF58" i="130"/>
  <c r="BG58" i="130"/>
  <c r="AZ59" i="130"/>
  <c r="BA59" i="130"/>
  <c r="BB59" i="130"/>
  <c r="BC59" i="130"/>
  <c r="BD59" i="130"/>
  <c r="BE59" i="130"/>
  <c r="BF59" i="130"/>
  <c r="BG59" i="130"/>
  <c r="AZ60" i="130"/>
  <c r="BA60" i="130"/>
  <c r="BB60" i="130"/>
  <c r="BC60" i="130"/>
  <c r="BD60" i="130"/>
  <c r="BE60" i="130"/>
  <c r="BF60" i="130"/>
  <c r="BG60" i="130"/>
  <c r="AZ61" i="130"/>
  <c r="BA61" i="130"/>
  <c r="BB61" i="130"/>
  <c r="BC61" i="130"/>
  <c r="BD61" i="130"/>
  <c r="BE61" i="130"/>
  <c r="BF61" i="130"/>
  <c r="BG61" i="130"/>
  <c r="AZ62" i="130"/>
  <c r="BA62" i="130"/>
  <c r="BB62" i="130"/>
  <c r="BC62" i="130"/>
  <c r="BD62" i="130"/>
  <c r="BE62" i="130"/>
  <c r="BF62" i="130"/>
  <c r="BG62" i="130"/>
  <c r="AZ63" i="130"/>
  <c r="BA63" i="130"/>
  <c r="BB63" i="130"/>
  <c r="BC63" i="130"/>
  <c r="BD63" i="130"/>
  <c r="BE63" i="130"/>
  <c r="BF63" i="130"/>
  <c r="BG63" i="130"/>
  <c r="AZ64" i="130"/>
  <c r="BA64" i="130"/>
  <c r="BB64" i="130"/>
  <c r="BC64" i="130"/>
  <c r="BD64" i="130"/>
  <c r="BE64" i="130"/>
  <c r="BF64" i="130"/>
  <c r="BG64" i="130"/>
  <c r="AZ65" i="130"/>
  <c r="BA65" i="130"/>
  <c r="BB65" i="130"/>
  <c r="BC65" i="130"/>
  <c r="BD65" i="130"/>
  <c r="BE65" i="130"/>
  <c r="BF65" i="130"/>
  <c r="BG65" i="130"/>
  <c r="AZ66" i="130"/>
  <c r="BA66" i="130"/>
  <c r="BB66" i="130"/>
  <c r="BC66" i="130"/>
  <c r="BD66" i="130"/>
  <c r="BE66" i="130"/>
  <c r="BF66" i="130"/>
  <c r="BG66" i="130"/>
  <c r="AZ67" i="130"/>
  <c r="BA67" i="130"/>
  <c r="BB67" i="130"/>
  <c r="BC67" i="130"/>
  <c r="BD67" i="130"/>
  <c r="BE67" i="130"/>
  <c r="BF67" i="130"/>
  <c r="BG67" i="130"/>
  <c r="AZ68" i="130"/>
  <c r="BA68" i="130"/>
  <c r="BB68" i="130"/>
  <c r="BC68" i="130"/>
  <c r="BD68" i="130"/>
  <c r="BE68" i="130"/>
  <c r="BF68" i="130"/>
  <c r="BG68" i="130"/>
  <c r="AZ69" i="130"/>
  <c r="BA69" i="130"/>
  <c r="BB69" i="130"/>
  <c r="BC69" i="130"/>
  <c r="BD69" i="130"/>
  <c r="BE69" i="130"/>
  <c r="BF69" i="130"/>
  <c r="BG69" i="130"/>
  <c r="AZ70" i="130"/>
  <c r="BA70" i="130"/>
  <c r="BB70" i="130"/>
  <c r="BC70" i="130"/>
  <c r="BD70" i="130"/>
  <c r="BE70" i="130"/>
  <c r="BF70" i="130"/>
  <c r="BG70" i="130"/>
  <c r="AZ71" i="130"/>
  <c r="BA71" i="130"/>
  <c r="BB71" i="130"/>
  <c r="BC71" i="130"/>
  <c r="BD71" i="130"/>
  <c r="BE71" i="130"/>
  <c r="BF71" i="130"/>
  <c r="BG71" i="130"/>
  <c r="AZ72" i="130"/>
  <c r="BA72" i="130"/>
  <c r="BB72" i="130"/>
  <c r="BC72" i="130"/>
  <c r="BD72" i="130"/>
  <c r="BE72" i="130"/>
  <c r="BF72" i="130"/>
  <c r="BG72" i="130"/>
  <c r="AZ73" i="130"/>
  <c r="BA73" i="130"/>
  <c r="BB73" i="130"/>
  <c r="BC73" i="130"/>
  <c r="BD73" i="130"/>
  <c r="BE73" i="130"/>
  <c r="BF73" i="130"/>
  <c r="BG73" i="130"/>
  <c r="AZ74" i="130"/>
  <c r="BA74" i="130"/>
  <c r="BB74" i="130"/>
  <c r="BC74" i="130"/>
  <c r="BD74" i="130"/>
  <c r="BE74" i="130"/>
  <c r="BF74" i="130"/>
  <c r="BG74" i="130"/>
  <c r="AZ75" i="130"/>
  <c r="BA75" i="130"/>
  <c r="BB75" i="130"/>
  <c r="BC75" i="130"/>
  <c r="BD75" i="130"/>
  <c r="BE75" i="130"/>
  <c r="BF75" i="130"/>
  <c r="BG75" i="130"/>
  <c r="AZ76" i="130"/>
  <c r="BA76" i="130"/>
  <c r="BB76" i="130"/>
  <c r="BC76" i="130"/>
  <c r="BD76" i="130"/>
  <c r="BE76" i="130"/>
  <c r="BF76" i="130"/>
  <c r="BG76" i="130"/>
  <c r="AZ77" i="130"/>
  <c r="BA77" i="130"/>
  <c r="BB77" i="130"/>
  <c r="BC77" i="130"/>
  <c r="BD77" i="130"/>
  <c r="BE77" i="130"/>
  <c r="BF77" i="130"/>
  <c r="BG77" i="130"/>
  <c r="AZ78" i="130"/>
  <c r="BA78" i="130"/>
  <c r="BB78" i="130"/>
  <c r="BC78" i="130"/>
  <c r="BD78" i="130"/>
  <c r="BE78" i="130"/>
  <c r="BF78" i="130"/>
  <c r="BG78" i="130"/>
  <c r="AZ79" i="130"/>
  <c r="BA79" i="130"/>
  <c r="BB79" i="130"/>
  <c r="BC79" i="130"/>
  <c r="BD79" i="130"/>
  <c r="BE79" i="130"/>
  <c r="BF79" i="130"/>
  <c r="BG79" i="130"/>
  <c r="AZ80" i="130"/>
  <c r="BA80" i="130"/>
  <c r="BB80" i="130"/>
  <c r="BC80" i="130"/>
  <c r="BD80" i="130"/>
  <c r="BE80" i="130"/>
  <c r="BF80" i="130"/>
  <c r="BG80" i="130"/>
  <c r="AZ81" i="130"/>
  <c r="BA81" i="130"/>
  <c r="BB81" i="130"/>
  <c r="BC81" i="130"/>
  <c r="BD81" i="130"/>
  <c r="BE81" i="130"/>
  <c r="BF81" i="130"/>
  <c r="BG81" i="130"/>
  <c r="AZ82" i="130"/>
  <c r="BA82" i="130"/>
  <c r="BB82" i="130"/>
  <c r="BC82" i="130"/>
  <c r="BD82" i="130"/>
  <c r="BE82" i="130"/>
  <c r="BF82" i="130"/>
  <c r="BG82" i="130"/>
  <c r="AZ83" i="130"/>
  <c r="BA83" i="130"/>
  <c r="BB83" i="130"/>
  <c r="BC83" i="130"/>
  <c r="BD83" i="130"/>
  <c r="BE83" i="130"/>
  <c r="BF83" i="130"/>
  <c r="BG83" i="130"/>
  <c r="AZ84" i="130"/>
  <c r="BA84" i="130"/>
  <c r="BB84" i="130"/>
  <c r="BC84" i="130"/>
  <c r="BD84" i="130"/>
  <c r="BE84" i="130"/>
  <c r="BF84" i="130"/>
  <c r="BG84" i="130"/>
  <c r="AZ85" i="130"/>
  <c r="BA85" i="130"/>
  <c r="BB85" i="130"/>
  <c r="BC85" i="130"/>
  <c r="BD85" i="130"/>
  <c r="BE85" i="130"/>
  <c r="BF85" i="130"/>
  <c r="BG85" i="130"/>
  <c r="AZ86" i="130"/>
  <c r="BA86" i="130"/>
  <c r="BB86" i="130"/>
  <c r="BC86" i="130"/>
  <c r="BD86" i="130"/>
  <c r="BE86" i="130"/>
  <c r="BF86" i="130"/>
  <c r="BG86" i="130"/>
  <c r="AZ87" i="130"/>
  <c r="BA87" i="130"/>
  <c r="BB87" i="130"/>
  <c r="BC87" i="130"/>
  <c r="BD87" i="130"/>
  <c r="BE87" i="130"/>
  <c r="BF87" i="130"/>
  <c r="BG87" i="130"/>
  <c r="AZ88" i="130"/>
  <c r="BA88" i="130"/>
  <c r="BB88" i="130"/>
  <c r="BC88" i="130"/>
  <c r="BD88" i="130"/>
  <c r="BE88" i="130"/>
  <c r="BF88" i="130"/>
  <c r="BG88" i="130"/>
  <c r="AZ89" i="130"/>
  <c r="BA89" i="130"/>
  <c r="BB89" i="130"/>
  <c r="BC89" i="130"/>
  <c r="BD89" i="130"/>
  <c r="BE89" i="130"/>
  <c r="BF89" i="130"/>
  <c r="BG89" i="130"/>
  <c r="AZ90" i="130"/>
  <c r="BA90" i="130"/>
  <c r="BB90" i="130"/>
  <c r="BC90" i="130"/>
  <c r="BD90" i="130"/>
  <c r="BE90" i="130"/>
  <c r="BF90" i="130"/>
  <c r="BG90" i="130"/>
  <c r="AZ91" i="130"/>
  <c r="BA91" i="130"/>
  <c r="BB91" i="130"/>
  <c r="BC91" i="130"/>
  <c r="BD91" i="130"/>
  <c r="BE91" i="130"/>
  <c r="BF91" i="130"/>
  <c r="BG91" i="130"/>
  <c r="AZ92" i="130"/>
  <c r="BA92" i="130"/>
  <c r="BB92" i="130"/>
  <c r="BC92" i="130"/>
  <c r="BD92" i="130"/>
  <c r="BE92" i="130"/>
  <c r="BF92" i="130"/>
  <c r="BG92" i="130"/>
  <c r="AZ93" i="130"/>
  <c r="BA93" i="130"/>
  <c r="BB93" i="130"/>
  <c r="BC93" i="130"/>
  <c r="BD93" i="130"/>
  <c r="BE93" i="130"/>
  <c r="BF93" i="130"/>
  <c r="BG93" i="130"/>
  <c r="AZ94" i="130"/>
  <c r="BA94" i="130"/>
  <c r="BB94" i="130"/>
  <c r="BC94" i="130"/>
  <c r="BD94" i="130"/>
  <c r="BE94" i="130"/>
  <c r="BF94" i="130"/>
  <c r="BG94" i="130"/>
  <c r="AZ95" i="130"/>
  <c r="BA95" i="130"/>
  <c r="BB95" i="130"/>
  <c r="BC95" i="130"/>
  <c r="BD95" i="130"/>
  <c r="BE95" i="130"/>
  <c r="BF95" i="130"/>
  <c r="BG95" i="130"/>
  <c r="AZ96" i="130"/>
  <c r="BA96" i="130"/>
  <c r="BB96" i="130"/>
  <c r="BC96" i="130"/>
  <c r="BD96" i="130"/>
  <c r="BE96" i="130"/>
  <c r="BF96" i="130"/>
  <c r="BG96" i="130"/>
  <c r="AZ97" i="130"/>
  <c r="BA97" i="130"/>
  <c r="BB97" i="130"/>
  <c r="BC97" i="130"/>
  <c r="BD97" i="130"/>
  <c r="BE97" i="130"/>
  <c r="BF97" i="130"/>
  <c r="BG97" i="130"/>
  <c r="AZ98" i="130"/>
  <c r="BA98" i="130"/>
  <c r="BB98" i="130"/>
  <c r="BC98" i="130"/>
  <c r="BD98" i="130"/>
  <c r="BE98" i="130"/>
  <c r="BF98" i="130"/>
  <c r="BG98" i="130"/>
  <c r="AZ99" i="130"/>
  <c r="BA99" i="130"/>
  <c r="BB99" i="130"/>
  <c r="BC99" i="130"/>
  <c r="BD99" i="130"/>
  <c r="BE99" i="130"/>
  <c r="BF99" i="130"/>
  <c r="BG99" i="130"/>
  <c r="AZ100" i="130"/>
  <c r="BA100" i="130"/>
  <c r="BB100" i="130"/>
  <c r="BC100" i="130"/>
  <c r="BD100" i="130"/>
  <c r="BE100" i="130"/>
  <c r="BF100" i="130"/>
  <c r="BG100" i="130"/>
  <c r="AZ101" i="130"/>
  <c r="BA101" i="130"/>
  <c r="BB101" i="130"/>
  <c r="BC101" i="130"/>
  <c r="BD101" i="130"/>
  <c r="BE101" i="130"/>
  <c r="BF101" i="130"/>
  <c r="BG101" i="130"/>
  <c r="AZ102" i="130"/>
  <c r="BA102" i="130"/>
  <c r="BB102" i="130"/>
  <c r="BC102" i="130"/>
  <c r="BD102" i="130"/>
  <c r="BE102" i="130"/>
  <c r="BF102" i="130"/>
  <c r="BG102" i="130"/>
  <c r="AZ103" i="130"/>
  <c r="BA103" i="130"/>
  <c r="BB103" i="130"/>
  <c r="BC103" i="130"/>
  <c r="BD103" i="130"/>
  <c r="BE103" i="130"/>
  <c r="BF103" i="130"/>
  <c r="BG103" i="130"/>
  <c r="AZ104" i="130"/>
  <c r="BA104" i="130"/>
  <c r="BB104" i="130"/>
  <c r="BC104" i="130"/>
  <c r="BD104" i="130"/>
  <c r="BE104" i="130"/>
  <c r="BF104" i="130"/>
  <c r="BG104" i="130"/>
  <c r="AZ105" i="130"/>
  <c r="BA105" i="130"/>
  <c r="BB105" i="130"/>
  <c r="BC105" i="130"/>
  <c r="BD105" i="130"/>
  <c r="BE105" i="130"/>
  <c r="BF105" i="130"/>
  <c r="BG105" i="130"/>
  <c r="AZ106" i="130"/>
  <c r="BA106" i="130"/>
  <c r="BB106" i="130"/>
  <c r="BC106" i="130"/>
  <c r="BD106" i="130"/>
  <c r="BE106" i="130"/>
  <c r="BF106" i="130"/>
  <c r="BG106" i="130"/>
  <c r="AZ107" i="130"/>
  <c r="BA107" i="130"/>
  <c r="BB107" i="130"/>
  <c r="BC107" i="130"/>
  <c r="BD107" i="130"/>
  <c r="BE107" i="130"/>
  <c r="BF107" i="130"/>
  <c r="BG107" i="130"/>
  <c r="AZ108" i="130"/>
  <c r="BA108" i="130"/>
  <c r="BB108" i="130"/>
  <c r="BC108" i="130"/>
  <c r="BD108" i="130"/>
  <c r="BE108" i="130"/>
  <c r="BF108" i="130"/>
  <c r="BG108" i="130"/>
  <c r="AZ109" i="130"/>
  <c r="BA109" i="130"/>
  <c r="BB109" i="130"/>
  <c r="BC109" i="130"/>
  <c r="BD109" i="130"/>
  <c r="BE109" i="130"/>
  <c r="BF109" i="130"/>
  <c r="BG109" i="130"/>
  <c r="AZ110" i="130"/>
  <c r="BA110" i="130"/>
  <c r="BB110" i="130"/>
  <c r="BC110" i="130"/>
  <c r="BD110" i="130"/>
  <c r="BE110" i="130"/>
  <c r="BF110" i="130"/>
  <c r="BG110" i="130"/>
  <c r="AZ111" i="130"/>
  <c r="BA111" i="130"/>
  <c r="BB111" i="130"/>
  <c r="BC111" i="130"/>
  <c r="BD111" i="130"/>
  <c r="BE111" i="130"/>
  <c r="BF111" i="130"/>
  <c r="BG111" i="130"/>
  <c r="AZ112" i="130"/>
  <c r="BA112" i="130"/>
  <c r="BB112" i="130"/>
  <c r="BC112" i="130"/>
  <c r="BD112" i="130"/>
  <c r="BE112" i="130"/>
  <c r="BF112" i="130"/>
  <c r="BG112" i="130"/>
  <c r="AZ113" i="130"/>
  <c r="BA113" i="130"/>
  <c r="BB113" i="130"/>
  <c r="BC113" i="130"/>
  <c r="BD113" i="130"/>
  <c r="BE113" i="130"/>
  <c r="BF113" i="130"/>
  <c r="BG113" i="130"/>
  <c r="AZ114" i="130"/>
  <c r="BA114" i="130"/>
  <c r="BB114" i="130"/>
  <c r="BC114" i="130"/>
  <c r="BD114" i="130"/>
  <c r="BE114" i="130"/>
  <c r="BF114" i="130"/>
  <c r="BG114" i="130"/>
  <c r="AZ115" i="130"/>
  <c r="BA115" i="130"/>
  <c r="BB115" i="130"/>
  <c r="BC115" i="130"/>
  <c r="BD115" i="130"/>
  <c r="BE115" i="130"/>
  <c r="BF115" i="130"/>
  <c r="BG115" i="130"/>
  <c r="AZ116" i="130"/>
  <c r="BA116" i="130"/>
  <c r="BB116" i="130"/>
  <c r="BC116" i="130"/>
  <c r="BD116" i="130"/>
  <c r="BE116" i="130"/>
  <c r="BF116" i="130"/>
  <c r="BG116" i="130"/>
  <c r="AZ117" i="130"/>
  <c r="BA117" i="130"/>
  <c r="BB117" i="130"/>
  <c r="BC117" i="130"/>
  <c r="BD117" i="130"/>
  <c r="BE117" i="130"/>
  <c r="BF117" i="130"/>
  <c r="BG117" i="130"/>
  <c r="AZ118" i="130"/>
  <c r="BA118" i="130"/>
  <c r="BB118" i="130"/>
  <c r="BC118" i="130"/>
  <c r="BD118" i="130"/>
  <c r="BE118" i="130"/>
  <c r="BF118" i="130"/>
  <c r="BG118" i="130"/>
  <c r="AZ119" i="130"/>
  <c r="BA119" i="130"/>
  <c r="BB119" i="130"/>
  <c r="BC119" i="130"/>
  <c r="BD119" i="130"/>
  <c r="BE119" i="130"/>
  <c r="BF119" i="130"/>
  <c r="BG119" i="130"/>
  <c r="AZ120" i="130"/>
  <c r="BA120" i="130"/>
  <c r="BB120" i="130"/>
  <c r="BC120" i="130"/>
  <c r="BD120" i="130"/>
  <c r="BE120" i="130"/>
  <c r="BF120" i="130"/>
  <c r="BG120" i="130"/>
  <c r="AZ121" i="130"/>
  <c r="BA121" i="130"/>
  <c r="BB121" i="130"/>
  <c r="BC121" i="130"/>
  <c r="BD121" i="130"/>
  <c r="BE121" i="130"/>
  <c r="BF121" i="130"/>
  <c r="BG121" i="130"/>
  <c r="AZ122" i="130"/>
  <c r="BA122" i="130"/>
  <c r="BB122" i="130"/>
  <c r="BC122" i="130"/>
  <c r="BD122" i="130"/>
  <c r="BE122" i="130"/>
  <c r="BF122" i="130"/>
  <c r="BG122" i="130"/>
  <c r="AZ123" i="130"/>
  <c r="BA123" i="130"/>
  <c r="BB123" i="130"/>
  <c r="BC123" i="130"/>
  <c r="BD123" i="130"/>
  <c r="BE123" i="130"/>
  <c r="BF123" i="130"/>
  <c r="BG123" i="130"/>
  <c r="AZ124" i="130"/>
  <c r="BA124" i="130"/>
  <c r="BB124" i="130"/>
  <c r="BC124" i="130"/>
  <c r="BD124" i="130"/>
  <c r="BE124" i="130"/>
  <c r="BF124" i="130"/>
  <c r="BG124" i="130"/>
  <c r="AZ125" i="130"/>
  <c r="BA125" i="130"/>
  <c r="BB125" i="130"/>
  <c r="BC125" i="130"/>
  <c r="BD125" i="130"/>
  <c r="BE125" i="130"/>
  <c r="BF125" i="130"/>
  <c r="BG125" i="130"/>
  <c r="AZ126" i="130"/>
  <c r="BA126" i="130"/>
  <c r="BB126" i="130"/>
  <c r="BC126" i="130"/>
  <c r="BD126" i="130"/>
  <c r="BE126" i="130"/>
  <c r="BF126" i="130"/>
  <c r="BG126" i="130"/>
  <c r="AZ127" i="130"/>
  <c r="BA127" i="130"/>
  <c r="BB127" i="130"/>
  <c r="BC127" i="130"/>
  <c r="BD127" i="130"/>
  <c r="BE127" i="130"/>
  <c r="BF127" i="130"/>
  <c r="BG127" i="130"/>
  <c r="AZ128" i="130"/>
  <c r="BA128" i="130"/>
  <c r="BB128" i="130"/>
  <c r="BC128" i="130"/>
  <c r="BD128" i="130"/>
  <c r="BE128" i="130"/>
  <c r="BF128" i="130"/>
  <c r="BG128" i="130"/>
  <c r="AZ129" i="130"/>
  <c r="BA129" i="130"/>
  <c r="BB129" i="130"/>
  <c r="BC129" i="130"/>
  <c r="BD129" i="130"/>
  <c r="BE129" i="130"/>
  <c r="BF129" i="130"/>
  <c r="BG129" i="130"/>
  <c r="AZ130" i="130"/>
  <c r="BA130" i="130"/>
  <c r="BB130" i="130"/>
  <c r="BC130" i="130"/>
  <c r="BD130" i="130"/>
  <c r="BE130" i="130"/>
  <c r="BF130" i="130"/>
  <c r="BG130" i="130"/>
  <c r="AZ131" i="130"/>
  <c r="BA131" i="130"/>
  <c r="BB131" i="130"/>
  <c r="BC131" i="130"/>
  <c r="BD131" i="130"/>
  <c r="BE131" i="130"/>
  <c r="BF131" i="130"/>
  <c r="BG131" i="130"/>
  <c r="AZ132" i="130"/>
  <c r="BA132" i="130"/>
  <c r="BB132" i="130"/>
  <c r="BC132" i="130"/>
  <c r="BD132" i="130"/>
  <c r="BE132" i="130"/>
  <c r="BF132" i="130"/>
  <c r="BG132" i="130"/>
  <c r="AZ133" i="130"/>
  <c r="BA133" i="130"/>
  <c r="BB133" i="130"/>
  <c r="BC133" i="130"/>
  <c r="BD133" i="130"/>
  <c r="BE133" i="130"/>
  <c r="BF133" i="130"/>
  <c r="BG133" i="130"/>
  <c r="AZ134" i="130"/>
  <c r="BA134" i="130"/>
  <c r="BB134" i="130"/>
  <c r="BC134" i="130"/>
  <c r="BD134" i="130"/>
  <c r="BE134" i="130"/>
  <c r="BF134" i="130"/>
  <c r="BG134" i="130"/>
  <c r="AZ135" i="130"/>
  <c r="BA135" i="130"/>
  <c r="BB135" i="130"/>
  <c r="BC135" i="130"/>
  <c r="BD135" i="130"/>
  <c r="BE135" i="130"/>
  <c r="BF135" i="130"/>
  <c r="BG135" i="130"/>
  <c r="AZ136" i="130"/>
  <c r="BA136" i="130"/>
  <c r="BB136" i="130"/>
  <c r="BC136" i="130"/>
  <c r="BD136" i="130"/>
  <c r="BE136" i="130"/>
  <c r="BF136" i="130"/>
  <c r="BG136" i="130"/>
  <c r="AZ137" i="130"/>
  <c r="BA137" i="130"/>
  <c r="BB137" i="130"/>
  <c r="BC137" i="130"/>
  <c r="BD137" i="130"/>
  <c r="BE137" i="130"/>
  <c r="BF137" i="130"/>
  <c r="BG137" i="130"/>
  <c r="AZ138" i="130"/>
  <c r="BA138" i="130"/>
  <c r="BB138" i="130"/>
  <c r="BC138" i="130"/>
  <c r="BD138" i="130"/>
  <c r="BE138" i="130"/>
  <c r="BF138" i="130"/>
  <c r="BG138" i="130"/>
  <c r="AZ139" i="130"/>
  <c r="BA139" i="130"/>
  <c r="BB139" i="130"/>
  <c r="BC139" i="130"/>
  <c r="BD139" i="130"/>
  <c r="BE139" i="130"/>
  <c r="BF139" i="130"/>
  <c r="BG139" i="130"/>
  <c r="AZ140" i="130"/>
  <c r="BA140" i="130"/>
  <c r="BB140" i="130"/>
  <c r="BC140" i="130"/>
  <c r="BD140" i="130"/>
  <c r="BE140" i="130"/>
  <c r="BF140" i="130"/>
  <c r="BG140" i="130"/>
  <c r="AZ141" i="130"/>
  <c r="BA141" i="130"/>
  <c r="BB141" i="130"/>
  <c r="BC141" i="130"/>
  <c r="BD141" i="130"/>
  <c r="BE141" i="130"/>
  <c r="BF141" i="130"/>
  <c r="BG141" i="130"/>
  <c r="AZ142" i="130"/>
  <c r="BA142" i="130"/>
  <c r="BB142" i="130"/>
  <c r="BC142" i="130"/>
  <c r="BD142" i="130"/>
  <c r="BE142" i="130"/>
  <c r="BF142" i="130"/>
  <c r="BG142" i="130"/>
  <c r="AZ143" i="130"/>
  <c r="BA143" i="130"/>
  <c r="BB143" i="130"/>
  <c r="BC143" i="130"/>
  <c r="BD143" i="130"/>
  <c r="BE143" i="130"/>
  <c r="BF143" i="130"/>
  <c r="BG143" i="130"/>
  <c r="AZ144" i="130"/>
  <c r="BA144" i="130"/>
  <c r="BB144" i="130"/>
  <c r="BC144" i="130"/>
  <c r="BD144" i="130"/>
  <c r="BE144" i="130"/>
  <c r="BF144" i="130"/>
  <c r="BG144" i="130"/>
  <c r="BA4" i="130"/>
  <c r="BB4" i="130"/>
  <c r="BC4" i="130"/>
  <c r="BD4" i="130"/>
  <c r="BE4" i="130"/>
  <c r="BF4" i="130"/>
  <c r="BG4" i="130"/>
  <c r="AZ4" i="130"/>
  <c r="V87" i="130"/>
  <c r="W87" i="130"/>
  <c r="X87" i="130"/>
  <c r="Y87" i="130"/>
  <c r="Z87" i="130"/>
  <c r="AA87" i="130"/>
  <c r="AB87" i="130"/>
  <c r="AC87" i="130"/>
  <c r="V88" i="130"/>
  <c r="W88" i="130"/>
  <c r="X88" i="130"/>
  <c r="Y88" i="130"/>
  <c r="Z88" i="130"/>
  <c r="AA88" i="130"/>
  <c r="AB88" i="130"/>
  <c r="AC88" i="130"/>
  <c r="V89" i="130"/>
  <c r="W89" i="130"/>
  <c r="X89" i="130"/>
  <c r="Y89" i="130"/>
  <c r="Z89" i="130"/>
  <c r="AA89" i="130"/>
  <c r="AB89" i="130"/>
  <c r="AC89" i="130"/>
  <c r="V90" i="130"/>
  <c r="W90" i="130"/>
  <c r="X90" i="130"/>
  <c r="Y90" i="130"/>
  <c r="Z90" i="130"/>
  <c r="AA90" i="130"/>
  <c r="AB90" i="130"/>
  <c r="AC90" i="130"/>
  <c r="V91" i="130"/>
  <c r="W91" i="130"/>
  <c r="X91" i="130"/>
  <c r="Y91" i="130"/>
  <c r="Z91" i="130"/>
  <c r="AA91" i="130"/>
  <c r="AB91" i="130"/>
  <c r="AC91" i="130"/>
  <c r="V92" i="130"/>
  <c r="W92" i="130"/>
  <c r="X92" i="130"/>
  <c r="Y92" i="130"/>
  <c r="Z92" i="130"/>
  <c r="AA92" i="130"/>
  <c r="AB92" i="130"/>
  <c r="AC92" i="130"/>
  <c r="V93" i="130"/>
  <c r="W93" i="130"/>
  <c r="X93" i="130"/>
  <c r="Y93" i="130"/>
  <c r="Z93" i="130"/>
  <c r="AA93" i="130"/>
  <c r="AB93" i="130"/>
  <c r="AC93" i="130"/>
  <c r="V94" i="130"/>
  <c r="W94" i="130"/>
  <c r="X94" i="130"/>
  <c r="Y94" i="130"/>
  <c r="Z94" i="130"/>
  <c r="AA94" i="130"/>
  <c r="AB94" i="130"/>
  <c r="AC94" i="130"/>
  <c r="V95" i="130"/>
  <c r="W95" i="130"/>
  <c r="X95" i="130"/>
  <c r="Y95" i="130"/>
  <c r="Z95" i="130"/>
  <c r="AA95" i="130"/>
  <c r="AB95" i="130"/>
  <c r="AC95" i="130"/>
  <c r="V96" i="130"/>
  <c r="W96" i="130"/>
  <c r="X96" i="130"/>
  <c r="Y96" i="130"/>
  <c r="Z96" i="130"/>
  <c r="AA96" i="130"/>
  <c r="AB96" i="130"/>
  <c r="AC96" i="130"/>
  <c r="V97" i="130"/>
  <c r="W97" i="130"/>
  <c r="X97" i="130"/>
  <c r="Y97" i="130"/>
  <c r="Z97" i="130"/>
  <c r="AA97" i="130"/>
  <c r="AB97" i="130"/>
  <c r="AC97" i="130"/>
  <c r="V98" i="130"/>
  <c r="W98" i="130"/>
  <c r="X98" i="130"/>
  <c r="Y98" i="130"/>
  <c r="Z98" i="130"/>
  <c r="AA98" i="130"/>
  <c r="AB98" i="130"/>
  <c r="AC98" i="130"/>
  <c r="V99" i="130"/>
  <c r="W99" i="130"/>
  <c r="X99" i="130"/>
  <c r="Y99" i="130"/>
  <c r="Z99" i="130"/>
  <c r="AA99" i="130"/>
  <c r="AB99" i="130"/>
  <c r="AC99" i="130"/>
  <c r="V100" i="130"/>
  <c r="W100" i="130"/>
  <c r="X100" i="130"/>
  <c r="Y100" i="130"/>
  <c r="Z100" i="130"/>
  <c r="AA100" i="130"/>
  <c r="AB100" i="130"/>
  <c r="AC100" i="130"/>
  <c r="V101" i="130"/>
  <c r="W101" i="130"/>
  <c r="X101" i="130"/>
  <c r="Y101" i="130"/>
  <c r="Z101" i="130"/>
  <c r="AA101" i="130"/>
  <c r="AB101" i="130"/>
  <c r="AC101" i="130"/>
  <c r="V102" i="130"/>
  <c r="W102" i="130"/>
  <c r="X102" i="130"/>
  <c r="Y102" i="130"/>
  <c r="Z102" i="130"/>
  <c r="AA102" i="130"/>
  <c r="AB102" i="130"/>
  <c r="AC102" i="130"/>
  <c r="V103" i="130"/>
  <c r="W103" i="130"/>
  <c r="X103" i="130"/>
  <c r="Y103" i="130"/>
  <c r="Z103" i="130"/>
  <c r="AA103" i="130"/>
  <c r="AB103" i="130"/>
  <c r="AC103" i="130"/>
  <c r="V104" i="130"/>
  <c r="W104" i="130"/>
  <c r="X104" i="130"/>
  <c r="Y104" i="130"/>
  <c r="Z104" i="130"/>
  <c r="AA104" i="130"/>
  <c r="AB104" i="130"/>
  <c r="AC104" i="130"/>
  <c r="V105" i="130"/>
  <c r="W105" i="130"/>
  <c r="X105" i="130"/>
  <c r="Y105" i="130"/>
  <c r="Z105" i="130"/>
  <c r="AA105" i="130"/>
  <c r="AB105" i="130"/>
  <c r="AC105" i="130"/>
  <c r="V106" i="130"/>
  <c r="W106" i="130"/>
  <c r="X106" i="130"/>
  <c r="Y106" i="130"/>
  <c r="Z106" i="130"/>
  <c r="AA106" i="130"/>
  <c r="AB106" i="130"/>
  <c r="AC106" i="130"/>
  <c r="V107" i="130"/>
  <c r="W107" i="130"/>
  <c r="X107" i="130"/>
  <c r="Y107" i="130"/>
  <c r="Z107" i="130"/>
  <c r="AA107" i="130"/>
  <c r="AB107" i="130"/>
  <c r="AC107" i="130"/>
  <c r="V108" i="130"/>
  <c r="W108" i="130"/>
  <c r="X108" i="130"/>
  <c r="Y108" i="130"/>
  <c r="Z108" i="130"/>
  <c r="AA108" i="130"/>
  <c r="AB108" i="130"/>
  <c r="AC108" i="130"/>
  <c r="V109" i="130"/>
  <c r="W109" i="130"/>
  <c r="X109" i="130"/>
  <c r="Y109" i="130"/>
  <c r="Z109" i="130"/>
  <c r="AA109" i="130"/>
  <c r="AB109" i="130"/>
  <c r="AC109" i="130"/>
  <c r="V110" i="130"/>
  <c r="W110" i="130"/>
  <c r="X110" i="130"/>
  <c r="Y110" i="130"/>
  <c r="Z110" i="130"/>
  <c r="AA110" i="130"/>
  <c r="AB110" i="130"/>
  <c r="AC110" i="130"/>
  <c r="V111" i="130"/>
  <c r="W111" i="130"/>
  <c r="X111" i="130"/>
  <c r="Y111" i="130"/>
  <c r="Z111" i="130"/>
  <c r="AA111" i="130"/>
  <c r="AB111" i="130"/>
  <c r="AC111" i="130"/>
  <c r="V112" i="130"/>
  <c r="W112" i="130"/>
  <c r="X112" i="130"/>
  <c r="Y112" i="130"/>
  <c r="Z112" i="130"/>
  <c r="AA112" i="130"/>
  <c r="AB112" i="130"/>
  <c r="AC112" i="130"/>
  <c r="V113" i="130"/>
  <c r="W113" i="130"/>
  <c r="X113" i="130"/>
  <c r="Y113" i="130"/>
  <c r="Z113" i="130"/>
  <c r="AA113" i="130"/>
  <c r="AB113" i="130"/>
  <c r="AC113" i="130"/>
  <c r="V114" i="130"/>
  <c r="W114" i="130"/>
  <c r="X114" i="130"/>
  <c r="Y114" i="130"/>
  <c r="Z114" i="130"/>
  <c r="AA114" i="130"/>
  <c r="AB114" i="130"/>
  <c r="AC114" i="130"/>
  <c r="V115" i="130"/>
  <c r="W115" i="130"/>
  <c r="X115" i="130"/>
  <c r="Y115" i="130"/>
  <c r="Z115" i="130"/>
  <c r="AA115" i="130"/>
  <c r="AB115" i="130"/>
  <c r="AC115" i="130"/>
  <c r="V116" i="130"/>
  <c r="W116" i="130"/>
  <c r="X116" i="130"/>
  <c r="Y116" i="130"/>
  <c r="Z116" i="130"/>
  <c r="AA116" i="130"/>
  <c r="AB116" i="130"/>
  <c r="AC116" i="130"/>
  <c r="V117" i="130"/>
  <c r="W117" i="130"/>
  <c r="X117" i="130"/>
  <c r="Y117" i="130"/>
  <c r="Z117" i="130"/>
  <c r="AA117" i="130"/>
  <c r="AB117" i="130"/>
  <c r="AC117" i="130"/>
  <c r="V118" i="130"/>
  <c r="W118" i="130"/>
  <c r="X118" i="130"/>
  <c r="Y118" i="130"/>
  <c r="Z118" i="130"/>
  <c r="AA118" i="130"/>
  <c r="AB118" i="130"/>
  <c r="AC118" i="130"/>
  <c r="V119" i="130"/>
  <c r="W119" i="130"/>
  <c r="X119" i="130"/>
  <c r="Y119" i="130"/>
  <c r="Z119" i="130"/>
  <c r="AA119" i="130"/>
  <c r="AB119" i="130"/>
  <c r="AC119" i="130"/>
  <c r="V120" i="130"/>
  <c r="W120" i="130"/>
  <c r="X120" i="130"/>
  <c r="Y120" i="130"/>
  <c r="Z120" i="130"/>
  <c r="AA120" i="130"/>
  <c r="AB120" i="130"/>
  <c r="AC120" i="130"/>
  <c r="V121" i="130"/>
  <c r="W121" i="130"/>
  <c r="X121" i="130"/>
  <c r="Y121" i="130"/>
  <c r="Z121" i="130"/>
  <c r="AA121" i="130"/>
  <c r="AB121" i="130"/>
  <c r="AC121" i="130"/>
  <c r="V122" i="130"/>
  <c r="W122" i="130"/>
  <c r="X122" i="130"/>
  <c r="Y122" i="130"/>
  <c r="Z122" i="130"/>
  <c r="AA122" i="130"/>
  <c r="AB122" i="130"/>
  <c r="AC122" i="130"/>
  <c r="V123" i="130"/>
  <c r="W123" i="130"/>
  <c r="X123" i="130"/>
  <c r="Y123" i="130"/>
  <c r="Z123" i="130"/>
  <c r="AA123" i="130"/>
  <c r="AB123" i="130"/>
  <c r="AC123" i="130"/>
  <c r="V124" i="130"/>
  <c r="W124" i="130"/>
  <c r="X124" i="130"/>
  <c r="Y124" i="130"/>
  <c r="Z124" i="130"/>
  <c r="AA124" i="130"/>
  <c r="AB124" i="130"/>
  <c r="AC124" i="130"/>
  <c r="V125" i="130"/>
  <c r="W125" i="130"/>
  <c r="X125" i="130"/>
  <c r="Y125" i="130"/>
  <c r="Z125" i="130"/>
  <c r="AA125" i="130"/>
  <c r="AB125" i="130"/>
  <c r="AC125" i="130"/>
  <c r="V126" i="130"/>
  <c r="W126" i="130"/>
  <c r="X126" i="130"/>
  <c r="Y126" i="130"/>
  <c r="Z126" i="130"/>
  <c r="AA126" i="130"/>
  <c r="AB126" i="130"/>
  <c r="AC126" i="130"/>
  <c r="V127" i="130"/>
  <c r="W127" i="130"/>
  <c r="X127" i="130"/>
  <c r="Y127" i="130"/>
  <c r="Z127" i="130"/>
  <c r="AA127" i="130"/>
  <c r="AB127" i="130"/>
  <c r="AC127" i="130"/>
  <c r="V128" i="130"/>
  <c r="W128" i="130"/>
  <c r="X128" i="130"/>
  <c r="Y128" i="130"/>
  <c r="Z128" i="130"/>
  <c r="AA128" i="130"/>
  <c r="AB128" i="130"/>
  <c r="AC128" i="130"/>
  <c r="V129" i="130"/>
  <c r="W129" i="130"/>
  <c r="X129" i="130"/>
  <c r="Y129" i="130"/>
  <c r="Z129" i="130"/>
  <c r="AA129" i="130"/>
  <c r="AB129" i="130"/>
  <c r="AC129" i="130"/>
  <c r="V130" i="130"/>
  <c r="W130" i="130"/>
  <c r="X130" i="130"/>
  <c r="Y130" i="130"/>
  <c r="Z130" i="130"/>
  <c r="AA130" i="130"/>
  <c r="AB130" i="130"/>
  <c r="AC130" i="130"/>
  <c r="V131" i="130"/>
  <c r="W131" i="130"/>
  <c r="X131" i="130"/>
  <c r="Y131" i="130"/>
  <c r="Z131" i="130"/>
  <c r="AA131" i="130"/>
  <c r="AB131" i="130"/>
  <c r="AC131" i="130"/>
  <c r="V132" i="130"/>
  <c r="W132" i="130"/>
  <c r="X132" i="130"/>
  <c r="Y132" i="130"/>
  <c r="Z132" i="130"/>
  <c r="AA132" i="130"/>
  <c r="AB132" i="130"/>
  <c r="AC132" i="130"/>
  <c r="V133" i="130"/>
  <c r="W133" i="130"/>
  <c r="X133" i="130"/>
  <c r="Y133" i="130"/>
  <c r="Z133" i="130"/>
  <c r="AA133" i="130"/>
  <c r="AB133" i="130"/>
  <c r="AC133" i="130"/>
  <c r="V134" i="130"/>
  <c r="W134" i="130"/>
  <c r="X134" i="130"/>
  <c r="Y134" i="130"/>
  <c r="Z134" i="130"/>
  <c r="AA134" i="130"/>
  <c r="AB134" i="130"/>
  <c r="AC134" i="130"/>
  <c r="V135" i="130"/>
  <c r="W135" i="130"/>
  <c r="X135" i="130"/>
  <c r="Y135" i="130"/>
  <c r="Z135" i="130"/>
  <c r="AA135" i="130"/>
  <c r="AB135" i="130"/>
  <c r="AC135" i="130"/>
  <c r="V136" i="130"/>
  <c r="W136" i="130"/>
  <c r="X136" i="130"/>
  <c r="Y136" i="130"/>
  <c r="Z136" i="130"/>
  <c r="AA136" i="130"/>
  <c r="AB136" i="130"/>
  <c r="AC136" i="130"/>
  <c r="V137" i="130"/>
  <c r="W137" i="130"/>
  <c r="X137" i="130"/>
  <c r="Y137" i="130"/>
  <c r="Z137" i="130"/>
  <c r="AA137" i="130"/>
  <c r="AB137" i="130"/>
  <c r="AC137" i="130"/>
  <c r="V138" i="130"/>
  <c r="W138" i="130"/>
  <c r="X138" i="130"/>
  <c r="Y138" i="130"/>
  <c r="Z138" i="130"/>
  <c r="AA138" i="130"/>
  <c r="AB138" i="130"/>
  <c r="AC138" i="130"/>
  <c r="V139" i="130"/>
  <c r="W139" i="130"/>
  <c r="X139" i="130"/>
  <c r="Y139" i="130"/>
  <c r="Z139" i="130"/>
  <c r="AA139" i="130"/>
  <c r="AB139" i="130"/>
  <c r="AC139" i="130"/>
  <c r="V140" i="130"/>
  <c r="W140" i="130"/>
  <c r="X140" i="130"/>
  <c r="Y140" i="130"/>
  <c r="Z140" i="130"/>
  <c r="AA140" i="130"/>
  <c r="AB140" i="130"/>
  <c r="AC140" i="130"/>
  <c r="V141" i="130"/>
  <c r="W141" i="130"/>
  <c r="X141" i="130"/>
  <c r="Y141" i="130"/>
  <c r="Z141" i="130"/>
  <c r="AA141" i="130"/>
  <c r="AB141" i="130"/>
  <c r="AC141" i="130"/>
  <c r="V142" i="130"/>
  <c r="W142" i="130"/>
  <c r="X142" i="130"/>
  <c r="Y142" i="130"/>
  <c r="Z142" i="130"/>
  <c r="AA142" i="130"/>
  <c r="AB142" i="130"/>
  <c r="AC142" i="130"/>
  <c r="V143" i="130"/>
  <c r="W143" i="130"/>
  <c r="X143" i="130"/>
  <c r="Y143" i="130"/>
  <c r="Z143" i="130"/>
  <c r="AA143" i="130"/>
  <c r="AB143" i="130"/>
  <c r="AC143" i="130"/>
  <c r="V144" i="130"/>
  <c r="W144" i="130"/>
  <c r="X144" i="130"/>
  <c r="Y144" i="130"/>
  <c r="Z144" i="130"/>
  <c r="AA144" i="130"/>
  <c r="AB144" i="130"/>
  <c r="AC144" i="130"/>
  <c r="V145" i="130"/>
  <c r="W145" i="130"/>
  <c r="X145" i="130"/>
  <c r="Y145" i="130"/>
  <c r="Z145" i="130"/>
  <c r="AA145" i="130"/>
  <c r="AB145" i="130"/>
  <c r="AC145" i="130"/>
  <c r="V146" i="130"/>
  <c r="W146" i="130"/>
  <c r="X146" i="130"/>
  <c r="Y146" i="130"/>
  <c r="Z146" i="130"/>
  <c r="AA146" i="130"/>
  <c r="AB146" i="130"/>
  <c r="AC146" i="130"/>
  <c r="V147" i="130"/>
  <c r="W147" i="130"/>
  <c r="X147" i="130"/>
  <c r="Y147" i="130"/>
  <c r="Z147" i="130"/>
  <c r="AA147" i="130"/>
  <c r="AB147" i="130"/>
  <c r="AC147" i="130"/>
  <c r="V148" i="130"/>
  <c r="W148" i="130"/>
  <c r="X148" i="130"/>
  <c r="Y148" i="130"/>
  <c r="Z148" i="130"/>
  <c r="AA148" i="130"/>
  <c r="AB148" i="130"/>
  <c r="AC148" i="130"/>
  <c r="V149" i="130"/>
  <c r="W149" i="130"/>
  <c r="X149" i="130"/>
  <c r="Y149" i="130"/>
  <c r="Z149" i="130"/>
  <c r="AA149" i="130"/>
  <c r="AB149" i="130"/>
  <c r="AC149" i="130"/>
  <c r="V150" i="130"/>
  <c r="W150" i="130"/>
  <c r="X150" i="130"/>
  <c r="Y150" i="130"/>
  <c r="Z150" i="130"/>
  <c r="AA150" i="130"/>
  <c r="AB150" i="130"/>
  <c r="AC150" i="130"/>
  <c r="V151" i="130"/>
  <c r="W151" i="130"/>
  <c r="X151" i="130"/>
  <c r="Y151" i="130"/>
  <c r="Z151" i="130"/>
  <c r="AA151" i="130"/>
  <c r="AB151" i="130"/>
  <c r="AC151" i="130"/>
  <c r="V152" i="130"/>
  <c r="W152" i="130"/>
  <c r="X152" i="130"/>
  <c r="Y152" i="130"/>
  <c r="Z152" i="130"/>
  <c r="AA152" i="130"/>
  <c r="AB152" i="130"/>
  <c r="AC152" i="130"/>
  <c r="V153" i="130"/>
  <c r="W153" i="130"/>
  <c r="X153" i="130"/>
  <c r="Y153" i="130"/>
  <c r="Z153" i="130"/>
  <c r="AA153" i="130"/>
  <c r="AB153" i="130"/>
  <c r="AC153" i="130"/>
  <c r="V154" i="130"/>
  <c r="W154" i="130"/>
  <c r="X154" i="130"/>
  <c r="Y154" i="130"/>
  <c r="Z154" i="130"/>
  <c r="AA154" i="130"/>
  <c r="AB154" i="130"/>
  <c r="AC154" i="130"/>
  <c r="V155" i="130"/>
  <c r="W155" i="130"/>
  <c r="X155" i="130"/>
  <c r="Y155" i="130"/>
  <c r="Z155" i="130"/>
  <c r="AA155" i="130"/>
  <c r="AB155" i="130"/>
  <c r="AC155" i="130"/>
  <c r="V156" i="130"/>
  <c r="W156" i="130"/>
  <c r="X156" i="130"/>
  <c r="Y156" i="130"/>
  <c r="Z156" i="130"/>
  <c r="AA156" i="130"/>
  <c r="AB156" i="130"/>
  <c r="AC156" i="130"/>
  <c r="V157" i="130"/>
  <c r="W157" i="130"/>
  <c r="X157" i="130"/>
  <c r="Y157" i="130"/>
  <c r="Z157" i="130"/>
  <c r="AA157" i="130"/>
  <c r="AB157" i="130"/>
  <c r="AC157" i="130"/>
  <c r="V5" i="130"/>
  <c r="W5" i="130"/>
  <c r="X5" i="130"/>
  <c r="Y5" i="130"/>
  <c r="Z5" i="130"/>
  <c r="AA5" i="130"/>
  <c r="AB5" i="130"/>
  <c r="AC5" i="130"/>
  <c r="V6" i="130"/>
  <c r="W6" i="130"/>
  <c r="X6" i="130"/>
  <c r="Y6" i="130"/>
  <c r="Z6" i="130"/>
  <c r="AA6" i="130"/>
  <c r="AB6" i="130"/>
  <c r="AC6" i="130"/>
  <c r="V7" i="130"/>
  <c r="W7" i="130"/>
  <c r="X7" i="130"/>
  <c r="Y7" i="130"/>
  <c r="Z7" i="130"/>
  <c r="AA7" i="130"/>
  <c r="AB7" i="130"/>
  <c r="AC7" i="130"/>
  <c r="V8" i="130"/>
  <c r="W8" i="130"/>
  <c r="X8" i="130"/>
  <c r="Y8" i="130"/>
  <c r="Z8" i="130"/>
  <c r="AA8" i="130"/>
  <c r="AB8" i="130"/>
  <c r="AC8" i="130"/>
  <c r="V9" i="130"/>
  <c r="W9" i="130"/>
  <c r="X9" i="130"/>
  <c r="Y9" i="130"/>
  <c r="Z9" i="130"/>
  <c r="AA9" i="130"/>
  <c r="AB9" i="130"/>
  <c r="AC9" i="130"/>
  <c r="V10" i="130"/>
  <c r="W10" i="130"/>
  <c r="X10" i="130"/>
  <c r="Y10" i="130"/>
  <c r="Z10" i="130"/>
  <c r="AA10" i="130"/>
  <c r="AB10" i="130"/>
  <c r="AC10" i="130"/>
  <c r="V11" i="130"/>
  <c r="W11" i="130"/>
  <c r="X11" i="130"/>
  <c r="Y11" i="130"/>
  <c r="Z11" i="130"/>
  <c r="AA11" i="130"/>
  <c r="AB11" i="130"/>
  <c r="AC11" i="130"/>
  <c r="V12" i="130"/>
  <c r="W12" i="130"/>
  <c r="X12" i="130"/>
  <c r="Y12" i="130"/>
  <c r="Z12" i="130"/>
  <c r="AA12" i="130"/>
  <c r="AB12" i="130"/>
  <c r="AC12" i="130"/>
  <c r="V13" i="130"/>
  <c r="W13" i="130"/>
  <c r="X13" i="130"/>
  <c r="Y13" i="130"/>
  <c r="Z13" i="130"/>
  <c r="AA13" i="130"/>
  <c r="AB13" i="130"/>
  <c r="AC13" i="130"/>
  <c r="V14" i="130"/>
  <c r="W14" i="130"/>
  <c r="X14" i="130"/>
  <c r="Y14" i="130"/>
  <c r="Z14" i="130"/>
  <c r="AA14" i="130"/>
  <c r="AB14" i="130"/>
  <c r="AC14" i="130"/>
  <c r="V15" i="130"/>
  <c r="W15" i="130"/>
  <c r="X15" i="130"/>
  <c r="Y15" i="130"/>
  <c r="Z15" i="130"/>
  <c r="AA15" i="130"/>
  <c r="AB15" i="130"/>
  <c r="AC15" i="130"/>
  <c r="V16" i="130"/>
  <c r="W16" i="130"/>
  <c r="X16" i="130"/>
  <c r="Y16" i="130"/>
  <c r="Z16" i="130"/>
  <c r="AA16" i="130"/>
  <c r="AB16" i="130"/>
  <c r="AC16" i="130"/>
  <c r="V17" i="130"/>
  <c r="W17" i="130"/>
  <c r="X17" i="130"/>
  <c r="Y17" i="130"/>
  <c r="Z17" i="130"/>
  <c r="AA17" i="130"/>
  <c r="AB17" i="130"/>
  <c r="AC17" i="130"/>
  <c r="V18" i="130"/>
  <c r="W18" i="130"/>
  <c r="X18" i="130"/>
  <c r="Y18" i="130"/>
  <c r="Z18" i="130"/>
  <c r="AA18" i="130"/>
  <c r="AB18" i="130"/>
  <c r="AC18" i="130"/>
  <c r="V19" i="130"/>
  <c r="W19" i="130"/>
  <c r="X19" i="130"/>
  <c r="Y19" i="130"/>
  <c r="Z19" i="130"/>
  <c r="AA19" i="130"/>
  <c r="AB19" i="130"/>
  <c r="AC19" i="130"/>
  <c r="V20" i="130"/>
  <c r="W20" i="130"/>
  <c r="X20" i="130"/>
  <c r="Y20" i="130"/>
  <c r="Z20" i="130"/>
  <c r="AA20" i="130"/>
  <c r="AB20" i="130"/>
  <c r="AC20" i="130"/>
  <c r="V21" i="130"/>
  <c r="W21" i="130"/>
  <c r="X21" i="130"/>
  <c r="Y21" i="130"/>
  <c r="Z21" i="130"/>
  <c r="AA21" i="130"/>
  <c r="AB21" i="130"/>
  <c r="AC21" i="130"/>
  <c r="V22" i="130"/>
  <c r="W22" i="130"/>
  <c r="X22" i="130"/>
  <c r="Y22" i="130"/>
  <c r="Z22" i="130"/>
  <c r="AA22" i="130"/>
  <c r="AB22" i="130"/>
  <c r="AC22" i="130"/>
  <c r="V23" i="130"/>
  <c r="W23" i="130"/>
  <c r="X23" i="130"/>
  <c r="Y23" i="130"/>
  <c r="Z23" i="130"/>
  <c r="AA23" i="130"/>
  <c r="AB23" i="130"/>
  <c r="AC23" i="130"/>
  <c r="V24" i="130"/>
  <c r="W24" i="130"/>
  <c r="X24" i="130"/>
  <c r="Y24" i="130"/>
  <c r="Z24" i="130"/>
  <c r="AA24" i="130"/>
  <c r="AB24" i="130"/>
  <c r="AC24" i="130"/>
  <c r="V25" i="130"/>
  <c r="W25" i="130"/>
  <c r="X25" i="130"/>
  <c r="Y25" i="130"/>
  <c r="Z25" i="130"/>
  <c r="AA25" i="130"/>
  <c r="AB25" i="130"/>
  <c r="AC25" i="130"/>
  <c r="V26" i="130"/>
  <c r="W26" i="130"/>
  <c r="X26" i="130"/>
  <c r="Y26" i="130"/>
  <c r="Z26" i="130"/>
  <c r="AA26" i="130"/>
  <c r="AB26" i="130"/>
  <c r="AC26" i="130"/>
  <c r="V27" i="130"/>
  <c r="W27" i="130"/>
  <c r="X27" i="130"/>
  <c r="Y27" i="130"/>
  <c r="Z27" i="130"/>
  <c r="AA27" i="130"/>
  <c r="AB27" i="130"/>
  <c r="AC27" i="130"/>
  <c r="V28" i="130"/>
  <c r="W28" i="130"/>
  <c r="X28" i="130"/>
  <c r="Y28" i="130"/>
  <c r="Z28" i="130"/>
  <c r="AA28" i="130"/>
  <c r="AB28" i="130"/>
  <c r="AC28" i="130"/>
  <c r="V29" i="130"/>
  <c r="W29" i="130"/>
  <c r="X29" i="130"/>
  <c r="Y29" i="130"/>
  <c r="Z29" i="130"/>
  <c r="AA29" i="130"/>
  <c r="AB29" i="130"/>
  <c r="AC29" i="130"/>
  <c r="V30" i="130"/>
  <c r="W30" i="130"/>
  <c r="X30" i="130"/>
  <c r="Y30" i="130"/>
  <c r="Z30" i="130"/>
  <c r="AA30" i="130"/>
  <c r="AB30" i="130"/>
  <c r="AC30" i="130"/>
  <c r="V31" i="130"/>
  <c r="W31" i="130"/>
  <c r="X31" i="130"/>
  <c r="Y31" i="130"/>
  <c r="Z31" i="130"/>
  <c r="AA31" i="130"/>
  <c r="AB31" i="130"/>
  <c r="AC31" i="130"/>
  <c r="V32" i="130"/>
  <c r="W32" i="130"/>
  <c r="X32" i="130"/>
  <c r="Y32" i="130"/>
  <c r="Z32" i="130"/>
  <c r="AA32" i="130"/>
  <c r="AB32" i="130"/>
  <c r="AC32" i="130"/>
  <c r="V33" i="130"/>
  <c r="W33" i="130"/>
  <c r="X33" i="130"/>
  <c r="Y33" i="130"/>
  <c r="Z33" i="130"/>
  <c r="AA33" i="130"/>
  <c r="AB33" i="130"/>
  <c r="AC33" i="130"/>
  <c r="V34" i="130"/>
  <c r="W34" i="130"/>
  <c r="X34" i="130"/>
  <c r="Y34" i="130"/>
  <c r="Z34" i="130"/>
  <c r="AA34" i="130"/>
  <c r="AB34" i="130"/>
  <c r="AC34" i="130"/>
  <c r="V35" i="130"/>
  <c r="W35" i="130"/>
  <c r="X35" i="130"/>
  <c r="Y35" i="130"/>
  <c r="Z35" i="130"/>
  <c r="AA35" i="130"/>
  <c r="AB35" i="130"/>
  <c r="AC35" i="130"/>
  <c r="V36" i="130"/>
  <c r="W36" i="130"/>
  <c r="X36" i="130"/>
  <c r="Y36" i="130"/>
  <c r="Z36" i="130"/>
  <c r="AA36" i="130"/>
  <c r="AB36" i="130"/>
  <c r="AC36" i="130"/>
  <c r="V37" i="130"/>
  <c r="W37" i="130"/>
  <c r="X37" i="130"/>
  <c r="Y37" i="130"/>
  <c r="Z37" i="130"/>
  <c r="AA37" i="130"/>
  <c r="AB37" i="130"/>
  <c r="AC37" i="130"/>
  <c r="V38" i="130"/>
  <c r="W38" i="130"/>
  <c r="X38" i="130"/>
  <c r="Y38" i="130"/>
  <c r="Z38" i="130"/>
  <c r="AA38" i="130"/>
  <c r="AB38" i="130"/>
  <c r="AC38" i="130"/>
  <c r="V39" i="130"/>
  <c r="W39" i="130"/>
  <c r="X39" i="130"/>
  <c r="Y39" i="130"/>
  <c r="Z39" i="130"/>
  <c r="AA39" i="130"/>
  <c r="AB39" i="130"/>
  <c r="AC39" i="130"/>
  <c r="V40" i="130"/>
  <c r="W40" i="130"/>
  <c r="X40" i="130"/>
  <c r="Y40" i="130"/>
  <c r="Z40" i="130"/>
  <c r="AA40" i="130"/>
  <c r="AB40" i="130"/>
  <c r="AC40" i="130"/>
  <c r="V41" i="130"/>
  <c r="W41" i="130"/>
  <c r="X41" i="130"/>
  <c r="Y41" i="130"/>
  <c r="Z41" i="130"/>
  <c r="AA41" i="130"/>
  <c r="AB41" i="130"/>
  <c r="AC41" i="130"/>
  <c r="V42" i="130"/>
  <c r="W42" i="130"/>
  <c r="X42" i="130"/>
  <c r="Y42" i="130"/>
  <c r="Z42" i="130"/>
  <c r="AA42" i="130"/>
  <c r="AB42" i="130"/>
  <c r="AC42" i="130"/>
  <c r="V43" i="130"/>
  <c r="W43" i="130"/>
  <c r="X43" i="130"/>
  <c r="Y43" i="130"/>
  <c r="Z43" i="130"/>
  <c r="AA43" i="130"/>
  <c r="AB43" i="130"/>
  <c r="AC43" i="130"/>
  <c r="V44" i="130"/>
  <c r="W44" i="130"/>
  <c r="X44" i="130"/>
  <c r="Y44" i="130"/>
  <c r="Z44" i="130"/>
  <c r="AA44" i="130"/>
  <c r="AB44" i="130"/>
  <c r="AC44" i="130"/>
  <c r="V45" i="130"/>
  <c r="W45" i="130"/>
  <c r="X45" i="130"/>
  <c r="Y45" i="130"/>
  <c r="Z45" i="130"/>
  <c r="AA45" i="130"/>
  <c r="AB45" i="130"/>
  <c r="AC45" i="130"/>
  <c r="V46" i="130"/>
  <c r="W46" i="130"/>
  <c r="X46" i="130"/>
  <c r="Y46" i="130"/>
  <c r="Z46" i="130"/>
  <c r="AA46" i="130"/>
  <c r="AB46" i="130"/>
  <c r="AC46" i="130"/>
  <c r="V47" i="130"/>
  <c r="W47" i="130"/>
  <c r="X47" i="130"/>
  <c r="Y47" i="130"/>
  <c r="Z47" i="130"/>
  <c r="AA47" i="130"/>
  <c r="AB47" i="130"/>
  <c r="AC47" i="130"/>
  <c r="V48" i="130"/>
  <c r="W48" i="130"/>
  <c r="X48" i="130"/>
  <c r="Y48" i="130"/>
  <c r="Z48" i="130"/>
  <c r="AA48" i="130"/>
  <c r="AB48" i="130"/>
  <c r="AC48" i="130"/>
  <c r="V49" i="130"/>
  <c r="W49" i="130"/>
  <c r="X49" i="130"/>
  <c r="Y49" i="130"/>
  <c r="Z49" i="130"/>
  <c r="AA49" i="130"/>
  <c r="AB49" i="130"/>
  <c r="AC49" i="130"/>
  <c r="V50" i="130"/>
  <c r="W50" i="130"/>
  <c r="X50" i="130"/>
  <c r="Y50" i="130"/>
  <c r="Z50" i="130"/>
  <c r="AA50" i="130"/>
  <c r="AB50" i="130"/>
  <c r="AC50" i="130"/>
  <c r="V51" i="130"/>
  <c r="W51" i="130"/>
  <c r="X51" i="130"/>
  <c r="Y51" i="130"/>
  <c r="Z51" i="130"/>
  <c r="AA51" i="130"/>
  <c r="AB51" i="130"/>
  <c r="AC51" i="130"/>
  <c r="V52" i="130"/>
  <c r="W52" i="130"/>
  <c r="X52" i="130"/>
  <c r="Y52" i="130"/>
  <c r="Z52" i="130"/>
  <c r="AA52" i="130"/>
  <c r="AB52" i="130"/>
  <c r="AC52" i="130"/>
  <c r="V53" i="130"/>
  <c r="W53" i="130"/>
  <c r="X53" i="130"/>
  <c r="Y53" i="130"/>
  <c r="Z53" i="130"/>
  <c r="AA53" i="130"/>
  <c r="AB53" i="130"/>
  <c r="AC53" i="130"/>
  <c r="V54" i="130"/>
  <c r="W54" i="130"/>
  <c r="X54" i="130"/>
  <c r="Y54" i="130"/>
  <c r="Z54" i="130"/>
  <c r="AA54" i="130"/>
  <c r="AB54" i="130"/>
  <c r="AC54" i="130"/>
  <c r="V55" i="130"/>
  <c r="W55" i="130"/>
  <c r="X55" i="130"/>
  <c r="Y55" i="130"/>
  <c r="Z55" i="130"/>
  <c r="AA55" i="130"/>
  <c r="AB55" i="130"/>
  <c r="AC55" i="130"/>
  <c r="V56" i="130"/>
  <c r="W56" i="130"/>
  <c r="X56" i="130"/>
  <c r="Y56" i="130"/>
  <c r="Z56" i="130"/>
  <c r="AA56" i="130"/>
  <c r="AB56" i="130"/>
  <c r="AC56" i="130"/>
  <c r="V57" i="130"/>
  <c r="W57" i="130"/>
  <c r="X57" i="130"/>
  <c r="Y57" i="130"/>
  <c r="Z57" i="130"/>
  <c r="AA57" i="130"/>
  <c r="AB57" i="130"/>
  <c r="AC57" i="130"/>
  <c r="V58" i="130"/>
  <c r="W58" i="130"/>
  <c r="X58" i="130"/>
  <c r="Y58" i="130"/>
  <c r="Z58" i="130"/>
  <c r="AA58" i="130"/>
  <c r="AB58" i="130"/>
  <c r="AC58" i="130"/>
  <c r="V59" i="130"/>
  <c r="W59" i="130"/>
  <c r="X59" i="130"/>
  <c r="Y59" i="130"/>
  <c r="Z59" i="130"/>
  <c r="AA59" i="130"/>
  <c r="AB59" i="130"/>
  <c r="AC59" i="130"/>
  <c r="V60" i="130"/>
  <c r="W60" i="130"/>
  <c r="X60" i="130"/>
  <c r="Y60" i="130"/>
  <c r="Z60" i="130"/>
  <c r="AA60" i="130"/>
  <c r="AB60" i="130"/>
  <c r="AC60" i="130"/>
  <c r="V61" i="130"/>
  <c r="W61" i="130"/>
  <c r="X61" i="130"/>
  <c r="Y61" i="130"/>
  <c r="Z61" i="130"/>
  <c r="AA61" i="130"/>
  <c r="AB61" i="130"/>
  <c r="AC61" i="130"/>
  <c r="V62" i="130"/>
  <c r="W62" i="130"/>
  <c r="X62" i="130"/>
  <c r="Y62" i="130"/>
  <c r="Z62" i="130"/>
  <c r="AA62" i="130"/>
  <c r="AB62" i="130"/>
  <c r="AC62" i="130"/>
  <c r="V63" i="130"/>
  <c r="W63" i="130"/>
  <c r="X63" i="130"/>
  <c r="Y63" i="130"/>
  <c r="Z63" i="130"/>
  <c r="AA63" i="130"/>
  <c r="AB63" i="130"/>
  <c r="AC63" i="130"/>
  <c r="V64" i="130"/>
  <c r="W64" i="130"/>
  <c r="X64" i="130"/>
  <c r="Y64" i="130"/>
  <c r="Z64" i="130"/>
  <c r="AA64" i="130"/>
  <c r="AB64" i="130"/>
  <c r="AC64" i="130"/>
  <c r="V65" i="130"/>
  <c r="W65" i="130"/>
  <c r="X65" i="130"/>
  <c r="Y65" i="130"/>
  <c r="Z65" i="130"/>
  <c r="AA65" i="130"/>
  <c r="AB65" i="130"/>
  <c r="AC65" i="130"/>
  <c r="V66" i="130"/>
  <c r="W66" i="130"/>
  <c r="X66" i="130"/>
  <c r="Y66" i="130"/>
  <c r="Z66" i="130"/>
  <c r="AA66" i="130"/>
  <c r="AB66" i="130"/>
  <c r="AC66" i="130"/>
  <c r="V67" i="130"/>
  <c r="W67" i="130"/>
  <c r="X67" i="130"/>
  <c r="Y67" i="130"/>
  <c r="Z67" i="130"/>
  <c r="AA67" i="130"/>
  <c r="AB67" i="130"/>
  <c r="AC67" i="130"/>
  <c r="V68" i="130"/>
  <c r="W68" i="130"/>
  <c r="X68" i="130"/>
  <c r="Y68" i="130"/>
  <c r="Z68" i="130"/>
  <c r="AA68" i="130"/>
  <c r="AB68" i="130"/>
  <c r="AC68" i="130"/>
  <c r="V69" i="130"/>
  <c r="W69" i="130"/>
  <c r="X69" i="130"/>
  <c r="Y69" i="130"/>
  <c r="Z69" i="130"/>
  <c r="AA69" i="130"/>
  <c r="AB69" i="130"/>
  <c r="AC69" i="130"/>
  <c r="V70" i="130"/>
  <c r="W70" i="130"/>
  <c r="X70" i="130"/>
  <c r="Y70" i="130"/>
  <c r="Z70" i="130"/>
  <c r="AA70" i="130"/>
  <c r="AB70" i="130"/>
  <c r="AC70" i="130"/>
  <c r="V71" i="130"/>
  <c r="W71" i="130"/>
  <c r="X71" i="130"/>
  <c r="Y71" i="130"/>
  <c r="Z71" i="130"/>
  <c r="AA71" i="130"/>
  <c r="AB71" i="130"/>
  <c r="AC71" i="130"/>
  <c r="V72" i="130"/>
  <c r="W72" i="130"/>
  <c r="X72" i="130"/>
  <c r="Y72" i="130"/>
  <c r="Z72" i="130"/>
  <c r="AA72" i="130"/>
  <c r="AB72" i="130"/>
  <c r="AC72" i="130"/>
  <c r="V73" i="130"/>
  <c r="W73" i="130"/>
  <c r="X73" i="130"/>
  <c r="Y73" i="130"/>
  <c r="Z73" i="130"/>
  <c r="AA73" i="130"/>
  <c r="AB73" i="130"/>
  <c r="AC73" i="130"/>
  <c r="V74" i="130"/>
  <c r="W74" i="130"/>
  <c r="X74" i="130"/>
  <c r="Y74" i="130"/>
  <c r="Z74" i="130"/>
  <c r="AA74" i="130"/>
  <c r="AB74" i="130"/>
  <c r="AC74" i="130"/>
  <c r="V75" i="130"/>
  <c r="W75" i="130"/>
  <c r="X75" i="130"/>
  <c r="Y75" i="130"/>
  <c r="Z75" i="130"/>
  <c r="AA75" i="130"/>
  <c r="AB75" i="130"/>
  <c r="AC75" i="130"/>
  <c r="V76" i="130"/>
  <c r="W76" i="130"/>
  <c r="X76" i="130"/>
  <c r="Y76" i="130"/>
  <c r="Z76" i="130"/>
  <c r="AA76" i="130"/>
  <c r="AB76" i="130"/>
  <c r="AC76" i="130"/>
  <c r="V77" i="130"/>
  <c r="W77" i="130"/>
  <c r="X77" i="130"/>
  <c r="Y77" i="130"/>
  <c r="Z77" i="130"/>
  <c r="AA77" i="130"/>
  <c r="AB77" i="130"/>
  <c r="AC77" i="130"/>
  <c r="W4" i="130"/>
  <c r="X4" i="130"/>
  <c r="Y4" i="130"/>
  <c r="Z4" i="130"/>
  <c r="AA4" i="130"/>
  <c r="AB4" i="130"/>
  <c r="AC4" i="130"/>
  <c r="L5" i="130"/>
  <c r="M5" i="130"/>
  <c r="N5" i="130"/>
  <c r="O5" i="130"/>
  <c r="P5" i="130"/>
  <c r="Q5" i="130"/>
  <c r="R5" i="130"/>
  <c r="S5" i="130"/>
  <c r="L6" i="130"/>
  <c r="M6" i="130"/>
  <c r="N6" i="130"/>
  <c r="O6" i="130"/>
  <c r="P6" i="130"/>
  <c r="Q6" i="130"/>
  <c r="R6" i="130"/>
  <c r="S6" i="130"/>
  <c r="L7" i="130"/>
  <c r="M7" i="130"/>
  <c r="N7" i="130"/>
  <c r="O7" i="130"/>
  <c r="P7" i="130"/>
  <c r="Q7" i="130"/>
  <c r="R7" i="130"/>
  <c r="S7" i="130"/>
  <c r="L8" i="130"/>
  <c r="M8" i="130"/>
  <c r="N8" i="130"/>
  <c r="O8" i="130"/>
  <c r="P8" i="130"/>
  <c r="Q8" i="130"/>
  <c r="R8" i="130"/>
  <c r="S8" i="130"/>
  <c r="L9" i="130"/>
  <c r="M9" i="130"/>
  <c r="N9" i="130"/>
  <c r="O9" i="130"/>
  <c r="P9" i="130"/>
  <c r="Q9" i="130"/>
  <c r="R9" i="130"/>
  <c r="S9" i="130"/>
  <c r="L10" i="130"/>
  <c r="M10" i="130"/>
  <c r="N10" i="130"/>
  <c r="O10" i="130"/>
  <c r="P10" i="130"/>
  <c r="Q10" i="130"/>
  <c r="R10" i="130"/>
  <c r="S10" i="130"/>
  <c r="L11" i="130"/>
  <c r="M11" i="130"/>
  <c r="N11" i="130"/>
  <c r="O11" i="130"/>
  <c r="P11" i="130"/>
  <c r="Q11" i="130"/>
  <c r="R11" i="130"/>
  <c r="S11" i="130"/>
  <c r="L12" i="130"/>
  <c r="M12" i="130"/>
  <c r="N12" i="130"/>
  <c r="O12" i="130"/>
  <c r="P12" i="130"/>
  <c r="Q12" i="130"/>
  <c r="R12" i="130"/>
  <c r="S12" i="130"/>
  <c r="L13" i="130"/>
  <c r="M13" i="130"/>
  <c r="N13" i="130"/>
  <c r="O13" i="130"/>
  <c r="P13" i="130"/>
  <c r="Q13" i="130"/>
  <c r="R13" i="130"/>
  <c r="S13" i="130"/>
  <c r="L14" i="130"/>
  <c r="M14" i="130"/>
  <c r="N14" i="130"/>
  <c r="O14" i="130"/>
  <c r="P14" i="130"/>
  <c r="Q14" i="130"/>
  <c r="R14" i="130"/>
  <c r="S14" i="130"/>
  <c r="L15" i="130"/>
  <c r="M15" i="130"/>
  <c r="N15" i="130"/>
  <c r="O15" i="130"/>
  <c r="P15" i="130"/>
  <c r="Q15" i="130"/>
  <c r="R15" i="130"/>
  <c r="S15" i="130"/>
  <c r="L16" i="130"/>
  <c r="M16" i="130"/>
  <c r="N16" i="130"/>
  <c r="O16" i="130"/>
  <c r="P16" i="130"/>
  <c r="Q16" i="130"/>
  <c r="R16" i="130"/>
  <c r="S16" i="130"/>
  <c r="L17" i="130"/>
  <c r="M17" i="130"/>
  <c r="N17" i="130"/>
  <c r="O17" i="130"/>
  <c r="P17" i="130"/>
  <c r="Q17" i="130"/>
  <c r="R17" i="130"/>
  <c r="S17" i="130"/>
  <c r="L18" i="130"/>
  <c r="M18" i="130"/>
  <c r="N18" i="130"/>
  <c r="O18" i="130"/>
  <c r="P18" i="130"/>
  <c r="Q18" i="130"/>
  <c r="R18" i="130"/>
  <c r="S18" i="130"/>
  <c r="L19" i="130"/>
  <c r="M19" i="130"/>
  <c r="N19" i="130"/>
  <c r="O19" i="130"/>
  <c r="P19" i="130"/>
  <c r="Q19" i="130"/>
  <c r="R19" i="130"/>
  <c r="S19" i="130"/>
  <c r="L20" i="130"/>
  <c r="M20" i="130"/>
  <c r="N20" i="130"/>
  <c r="O20" i="130"/>
  <c r="P20" i="130"/>
  <c r="Q20" i="130"/>
  <c r="R20" i="130"/>
  <c r="S20" i="130"/>
  <c r="L21" i="130"/>
  <c r="M21" i="130"/>
  <c r="N21" i="130"/>
  <c r="O21" i="130"/>
  <c r="P21" i="130"/>
  <c r="Q21" i="130"/>
  <c r="R21" i="130"/>
  <c r="S21" i="130"/>
  <c r="L22" i="130"/>
  <c r="M22" i="130"/>
  <c r="N22" i="130"/>
  <c r="O22" i="130"/>
  <c r="P22" i="130"/>
  <c r="Q22" i="130"/>
  <c r="R22" i="130"/>
  <c r="S22" i="130"/>
  <c r="L23" i="130"/>
  <c r="M23" i="130"/>
  <c r="N23" i="130"/>
  <c r="O23" i="130"/>
  <c r="P23" i="130"/>
  <c r="Q23" i="130"/>
  <c r="R23" i="130"/>
  <c r="S23" i="130"/>
  <c r="L24" i="130"/>
  <c r="M24" i="130"/>
  <c r="N24" i="130"/>
  <c r="O24" i="130"/>
  <c r="P24" i="130"/>
  <c r="Q24" i="130"/>
  <c r="R24" i="130"/>
  <c r="S24" i="130"/>
  <c r="L25" i="130"/>
  <c r="M25" i="130"/>
  <c r="N25" i="130"/>
  <c r="O25" i="130"/>
  <c r="P25" i="130"/>
  <c r="Q25" i="130"/>
  <c r="R25" i="130"/>
  <c r="S25" i="130"/>
  <c r="L26" i="130"/>
  <c r="M26" i="130"/>
  <c r="N26" i="130"/>
  <c r="O26" i="130"/>
  <c r="P26" i="130"/>
  <c r="Q26" i="130"/>
  <c r="R26" i="130"/>
  <c r="S26" i="130"/>
  <c r="L27" i="130"/>
  <c r="M27" i="130"/>
  <c r="N27" i="130"/>
  <c r="O27" i="130"/>
  <c r="P27" i="130"/>
  <c r="Q27" i="130"/>
  <c r="R27" i="130"/>
  <c r="S27" i="130"/>
  <c r="L28" i="130"/>
  <c r="M28" i="130"/>
  <c r="N28" i="130"/>
  <c r="O28" i="130"/>
  <c r="P28" i="130"/>
  <c r="Q28" i="130"/>
  <c r="R28" i="130"/>
  <c r="S28" i="130"/>
  <c r="L29" i="130"/>
  <c r="M29" i="130"/>
  <c r="N29" i="130"/>
  <c r="O29" i="130"/>
  <c r="P29" i="130"/>
  <c r="Q29" i="130"/>
  <c r="R29" i="130"/>
  <c r="S29" i="130"/>
  <c r="L30" i="130"/>
  <c r="M30" i="130"/>
  <c r="N30" i="130"/>
  <c r="O30" i="130"/>
  <c r="P30" i="130"/>
  <c r="Q30" i="130"/>
  <c r="R30" i="130"/>
  <c r="S30" i="130"/>
  <c r="L31" i="130"/>
  <c r="M31" i="130"/>
  <c r="N31" i="130"/>
  <c r="O31" i="130"/>
  <c r="P31" i="130"/>
  <c r="Q31" i="130"/>
  <c r="R31" i="130"/>
  <c r="S31" i="130"/>
  <c r="L32" i="130"/>
  <c r="M32" i="130"/>
  <c r="N32" i="130"/>
  <c r="O32" i="130"/>
  <c r="P32" i="130"/>
  <c r="Q32" i="130"/>
  <c r="R32" i="130"/>
  <c r="S32" i="130"/>
  <c r="L33" i="130"/>
  <c r="M33" i="130"/>
  <c r="N33" i="130"/>
  <c r="O33" i="130"/>
  <c r="P33" i="130"/>
  <c r="Q33" i="130"/>
  <c r="R33" i="130"/>
  <c r="S33" i="130"/>
  <c r="L34" i="130"/>
  <c r="M34" i="130"/>
  <c r="N34" i="130"/>
  <c r="O34" i="130"/>
  <c r="P34" i="130"/>
  <c r="Q34" i="130"/>
  <c r="R34" i="130"/>
  <c r="S34" i="130"/>
  <c r="L35" i="130"/>
  <c r="M35" i="130"/>
  <c r="N35" i="130"/>
  <c r="O35" i="130"/>
  <c r="P35" i="130"/>
  <c r="Q35" i="130"/>
  <c r="R35" i="130"/>
  <c r="S35" i="130"/>
  <c r="M4" i="130"/>
  <c r="N4" i="130"/>
  <c r="O4" i="130"/>
  <c r="P4" i="130"/>
  <c r="Q4" i="130"/>
  <c r="R4" i="130"/>
  <c r="S4" i="130"/>
  <c r="E81" i="100"/>
  <c r="F81" i="100"/>
  <c r="G81" i="100"/>
  <c r="H81" i="100"/>
  <c r="I81" i="100"/>
  <c r="K81" i="100"/>
  <c r="E83" i="100"/>
  <c r="F83" i="100"/>
  <c r="G83" i="100"/>
  <c r="H83" i="100"/>
  <c r="I83" i="100"/>
  <c r="K83" i="100"/>
  <c r="E84" i="100"/>
  <c r="F84" i="100"/>
  <c r="G84" i="100"/>
  <c r="H84" i="100"/>
  <c r="I84" i="100"/>
  <c r="K84" i="100"/>
  <c r="E85" i="100"/>
  <c r="F85" i="100"/>
  <c r="G85" i="100"/>
  <c r="H85" i="100"/>
  <c r="I85" i="100"/>
  <c r="K85" i="100"/>
  <c r="K79" i="100"/>
  <c r="I79" i="100"/>
  <c r="H79" i="100"/>
  <c r="G79" i="100"/>
  <c r="F79" i="100"/>
  <c r="AT270" i="130" l="1"/>
  <c r="AS270" i="130"/>
  <c r="AR270" i="130"/>
  <c r="AQ270" i="130"/>
  <c r="AW270" i="130"/>
  <c r="AV270" i="130"/>
  <c r="AU270" i="130"/>
  <c r="AP270" i="130"/>
  <c r="AP269" i="130"/>
  <c r="AH116" i="130"/>
  <c r="F10" i="130"/>
  <c r="E10" i="130"/>
  <c r="E85" i="130" s="1"/>
  <c r="D10" i="130"/>
  <c r="C10" i="130"/>
  <c r="C85" i="130" s="1"/>
  <c r="B10" i="130"/>
  <c r="H10" i="130"/>
  <c r="H85" i="130" s="1"/>
  <c r="AV231" i="130"/>
  <c r="G10" i="130"/>
  <c r="G85" i="130" s="1"/>
  <c r="AI116" i="130"/>
  <c r="AU183" i="130"/>
  <c r="AU88" i="130"/>
  <c r="BG145" i="130"/>
  <c r="AW35" i="130"/>
  <c r="AW269" i="130"/>
  <c r="AW88" i="130"/>
  <c r="AJ116" i="130"/>
  <c r="AG116" i="130"/>
  <c r="AK116" i="130"/>
  <c r="AM116" i="130"/>
  <c r="AL116" i="130"/>
  <c r="AF116" i="130"/>
  <c r="F85" i="130"/>
  <c r="F11" i="130"/>
  <c r="AT88" i="130"/>
  <c r="E11" i="130"/>
  <c r="AS88" i="130"/>
  <c r="D11" i="130"/>
  <c r="AR88" i="130"/>
  <c r="C11" i="130"/>
  <c r="C86" i="130" s="1"/>
  <c r="AQ88" i="130"/>
  <c r="AP35" i="130"/>
  <c r="B9" i="130" s="1"/>
  <c r="B11" i="130"/>
  <c r="AP88" i="130"/>
  <c r="I85" i="130"/>
  <c r="H11" i="130"/>
  <c r="AV88" i="130"/>
  <c r="G11" i="130"/>
  <c r="M53" i="131"/>
  <c r="M52" i="131"/>
  <c r="M60" i="131"/>
  <c r="M62" i="131" s="1"/>
  <c r="M56" i="131"/>
  <c r="M58" i="131" s="1"/>
  <c r="C53" i="131"/>
  <c r="C52" i="131"/>
  <c r="C54" i="131" s="1"/>
  <c r="AP231" i="130"/>
  <c r="AP207" i="130"/>
  <c r="AP183" i="130"/>
  <c r="D52" i="131"/>
  <c r="D54" i="131" s="1"/>
  <c r="P60" i="131"/>
  <c r="P62" i="131" s="1"/>
  <c r="R56" i="131"/>
  <c r="R58" i="131" s="1"/>
  <c r="Y82" i="130"/>
  <c r="X82" i="130"/>
  <c r="AC82" i="130"/>
  <c r="W82" i="130"/>
  <c r="V82" i="130"/>
  <c r="AB82" i="130"/>
  <c r="AA82" i="130"/>
  <c r="Z82" i="130"/>
  <c r="T56" i="131"/>
  <c r="T58" i="131" s="1"/>
  <c r="S56" i="131"/>
  <c r="S58" i="131" s="1"/>
  <c r="O56" i="131"/>
  <c r="O58" i="131" s="1"/>
  <c r="T60" i="131"/>
  <c r="T62" i="131" s="1"/>
  <c r="S60" i="131"/>
  <c r="S62" i="131" s="1"/>
  <c r="N56" i="131"/>
  <c r="N58" i="131" s="1"/>
  <c r="N52" i="131"/>
  <c r="O60" i="131"/>
  <c r="O62" i="131" s="1"/>
  <c r="Q56" i="131"/>
  <c r="Q58" i="131" s="1"/>
  <c r="N53" i="131"/>
  <c r="T52" i="131"/>
  <c r="T53" i="131"/>
  <c r="N60" i="131"/>
  <c r="N62" i="131" s="1"/>
  <c r="P56" i="131"/>
  <c r="P58" i="131" s="1"/>
  <c r="S52" i="131"/>
  <c r="S53" i="131"/>
  <c r="P52" i="131"/>
  <c r="P53" i="131"/>
  <c r="R52" i="131"/>
  <c r="R53" i="131"/>
  <c r="Q52" i="131"/>
  <c r="Q53" i="131"/>
  <c r="O52" i="131"/>
  <c r="O53" i="131"/>
  <c r="Q60" i="131"/>
  <c r="Q62" i="131" s="1"/>
  <c r="R60" i="131"/>
  <c r="R62" i="131" s="1"/>
  <c r="AV35" i="130"/>
  <c r="AU35" i="130"/>
  <c r="AT35" i="130"/>
  <c r="AS35" i="130"/>
  <c r="AR35" i="130"/>
  <c r="D9" i="130" s="1"/>
  <c r="AQ35" i="130"/>
  <c r="X164" i="130"/>
  <c r="AV269" i="130"/>
  <c r="AU231" i="130"/>
  <c r="AQ231" i="130"/>
  <c r="V164" i="130"/>
  <c r="AT269" i="130"/>
  <c r="AU269" i="130"/>
  <c r="AT231" i="130"/>
  <c r="AW231" i="130"/>
  <c r="AR207" i="130"/>
  <c r="AU207" i="130"/>
  <c r="AQ183" i="130"/>
  <c r="AT207" i="130"/>
  <c r="AW207" i="130"/>
  <c r="BC145" i="130"/>
  <c r="AV207" i="130"/>
  <c r="BB145" i="130"/>
  <c r="AZ145" i="130"/>
  <c r="B8" i="130" s="1"/>
  <c r="AS207" i="130"/>
  <c r="AR183" i="130"/>
  <c r="BF145" i="130"/>
  <c r="AB164" i="130"/>
  <c r="AA164" i="130"/>
  <c r="BA145" i="130"/>
  <c r="Z164" i="130"/>
  <c r="AS269" i="130"/>
  <c r="AW183" i="130"/>
  <c r="BE145" i="130"/>
  <c r="AT183" i="130"/>
  <c r="W164" i="130"/>
  <c r="AC164" i="130"/>
  <c r="BD145" i="130"/>
  <c r="AS183" i="130"/>
  <c r="Y164" i="130"/>
  <c r="AR269" i="130"/>
  <c r="AS231" i="130"/>
  <c r="AQ207" i="130"/>
  <c r="AV183" i="130"/>
  <c r="AQ269" i="130"/>
  <c r="AR231" i="130"/>
  <c r="J53" i="131"/>
  <c r="J52" i="131"/>
  <c r="I53" i="131"/>
  <c r="H53" i="131"/>
  <c r="F53" i="131"/>
  <c r="G52" i="131"/>
  <c r="G54" i="131" s="1"/>
  <c r="F8" i="134" s="1"/>
  <c r="G53" i="131"/>
  <c r="E53" i="131"/>
  <c r="I52" i="131"/>
  <c r="I54" i="131" s="1"/>
  <c r="F52" i="131"/>
  <c r="F54" i="131" s="1"/>
  <c r="E8" i="134" s="1"/>
  <c r="D53" i="131"/>
  <c r="H52" i="131"/>
  <c r="H54" i="131" s="1"/>
  <c r="G8" i="134" s="1"/>
  <c r="E52" i="131"/>
  <c r="E54" i="131" s="1"/>
  <c r="D8" i="134" s="1"/>
  <c r="L36" i="130"/>
  <c r="B4" i="130" s="1"/>
  <c r="M36" i="130"/>
  <c r="C4" i="130" s="1"/>
  <c r="N36" i="130"/>
  <c r="AV271" i="130" l="1"/>
  <c r="AS271" i="130"/>
  <c r="AQ271" i="130"/>
  <c r="AU271" i="130"/>
  <c r="AR271" i="130"/>
  <c r="AW271" i="130"/>
  <c r="AP271" i="130"/>
  <c r="AT271" i="130"/>
  <c r="I22" i="130"/>
  <c r="I97" i="130" s="1"/>
  <c r="G8" i="130"/>
  <c r="G83" i="130" s="1"/>
  <c r="E9" i="130"/>
  <c r="E84" i="130" s="1"/>
  <c r="I84" i="130"/>
  <c r="E8" i="130"/>
  <c r="I83" i="130"/>
  <c r="D4" i="130"/>
  <c r="G9" i="130"/>
  <c r="H9" i="130"/>
  <c r="F8" i="130"/>
  <c r="F83" i="130" s="1"/>
  <c r="C8" i="130"/>
  <c r="H8" i="130"/>
  <c r="H83" i="130" s="1"/>
  <c r="F9" i="130"/>
  <c r="F84" i="130" s="1"/>
  <c r="C79" i="130"/>
  <c r="D8" i="130"/>
  <c r="C9" i="130"/>
  <c r="D33" i="130" s="1"/>
  <c r="D108" i="130" s="1"/>
  <c r="B8" i="134"/>
  <c r="B19" i="134" s="1"/>
  <c r="C8" i="134"/>
  <c r="H8" i="134"/>
  <c r="M54" i="131"/>
  <c r="J54" i="131"/>
  <c r="T54" i="131"/>
  <c r="D22" i="130"/>
  <c r="D97" i="130" s="1"/>
  <c r="F22" i="130"/>
  <c r="F97" i="130" s="1"/>
  <c r="F32" i="130"/>
  <c r="F107" i="130" s="1"/>
  <c r="F86" i="130"/>
  <c r="D21" i="130"/>
  <c r="D96" i="130" s="1"/>
  <c r="D85" i="130"/>
  <c r="D31" i="130"/>
  <c r="D106" i="130" s="1"/>
  <c r="E22" i="130"/>
  <c r="E97" i="130" s="1"/>
  <c r="E86" i="130"/>
  <c r="E32" i="130"/>
  <c r="E107" i="130" s="1"/>
  <c r="G22" i="130"/>
  <c r="G97" i="130" s="1"/>
  <c r="G32" i="130"/>
  <c r="G107" i="130" s="1"/>
  <c r="G86" i="130"/>
  <c r="D84" i="130"/>
  <c r="I86" i="130"/>
  <c r="I32" i="130"/>
  <c r="I107" i="130" s="1"/>
  <c r="D32" i="130"/>
  <c r="D107" i="130" s="1"/>
  <c r="D86" i="130"/>
  <c r="H22" i="130"/>
  <c r="H97" i="130" s="1"/>
  <c r="H32" i="130"/>
  <c r="H107" i="130" s="1"/>
  <c r="H86" i="130"/>
  <c r="O54" i="131"/>
  <c r="S54" i="131"/>
  <c r="AW209" i="130"/>
  <c r="F31" i="130"/>
  <c r="F106" i="130" s="1"/>
  <c r="N54" i="131"/>
  <c r="P54" i="131"/>
  <c r="Q54" i="131"/>
  <c r="R54" i="131"/>
  <c r="I31" i="130"/>
  <c r="I106" i="130" s="1"/>
  <c r="G31" i="130"/>
  <c r="G106" i="130" s="1"/>
  <c r="G21" i="130"/>
  <c r="G96" i="130" s="1"/>
  <c r="I21" i="130"/>
  <c r="I96" i="130" s="1"/>
  <c r="F21" i="130"/>
  <c r="F96" i="130" s="1"/>
  <c r="E31" i="130"/>
  <c r="E106" i="130" s="1"/>
  <c r="E21" i="130"/>
  <c r="E96" i="130" s="1"/>
  <c r="H31" i="130"/>
  <c r="H106" i="130" s="1"/>
  <c r="H21" i="130"/>
  <c r="H96" i="130" s="1"/>
  <c r="AU209" i="130"/>
  <c r="AP209" i="130"/>
  <c r="B7" i="130" s="1"/>
  <c r="AQ209" i="130"/>
  <c r="AS209" i="130"/>
  <c r="AT209" i="130"/>
  <c r="AV209" i="130"/>
  <c r="AR209" i="130"/>
  <c r="O36" i="130"/>
  <c r="D79" i="130" l="1"/>
  <c r="D15" i="130"/>
  <c r="D90" i="130" s="1"/>
  <c r="H84" i="130"/>
  <c r="H20" i="130"/>
  <c r="H95" i="130" s="1"/>
  <c r="E19" i="130"/>
  <c r="E94" i="130" s="1"/>
  <c r="G19" i="130"/>
  <c r="G94" i="130" s="1"/>
  <c r="E33" i="130"/>
  <c r="E108" i="130" s="1"/>
  <c r="F19" i="130"/>
  <c r="F94" i="130" s="1"/>
  <c r="F19" i="134"/>
  <c r="E19" i="134"/>
  <c r="G19" i="134"/>
  <c r="D19" i="134"/>
  <c r="C19" i="134"/>
  <c r="H19" i="130"/>
  <c r="H94" i="130" s="1"/>
  <c r="H30" i="130"/>
  <c r="H105" i="130" s="1"/>
  <c r="D19" i="130"/>
  <c r="D94" i="130" s="1"/>
  <c r="G33" i="130"/>
  <c r="G108" i="130" s="1"/>
  <c r="E83" i="130"/>
  <c r="G84" i="130"/>
  <c r="C7" i="130"/>
  <c r="C82" i="130" s="1"/>
  <c r="E30" i="130"/>
  <c r="E105" i="130" s="1"/>
  <c r="C84" i="130"/>
  <c r="G7" i="130"/>
  <c r="I33" i="130"/>
  <c r="I108" i="130" s="1"/>
  <c r="H33" i="130"/>
  <c r="H108" i="130" s="1"/>
  <c r="E20" i="130"/>
  <c r="E95" i="130" s="1"/>
  <c r="D83" i="130"/>
  <c r="C83" i="130"/>
  <c r="D26" i="130"/>
  <c r="D101" i="130" s="1"/>
  <c r="I30" i="130"/>
  <c r="I105" i="130" s="1"/>
  <c r="G20" i="130"/>
  <c r="G95" i="130" s="1"/>
  <c r="F30" i="130"/>
  <c r="F105" i="130" s="1"/>
  <c r="I19" i="130"/>
  <c r="I94" i="130" s="1"/>
  <c r="D20" i="130"/>
  <c r="D95" i="130" s="1"/>
  <c r="I20" i="130"/>
  <c r="I95" i="130" s="1"/>
  <c r="G30" i="130"/>
  <c r="G105" i="130" s="1"/>
  <c r="F20" i="130"/>
  <c r="F95" i="130" s="1"/>
  <c r="E7" i="130"/>
  <c r="E4" i="130"/>
  <c r="E79" i="130" s="1"/>
  <c r="D30" i="130"/>
  <c r="D105" i="130" s="1"/>
  <c r="F33" i="130"/>
  <c r="F108" i="130" s="1"/>
  <c r="F7" i="130"/>
  <c r="H7" i="130"/>
  <c r="D7" i="130"/>
  <c r="D82" i="130" s="1"/>
  <c r="H19" i="134"/>
  <c r="I8" i="134"/>
  <c r="I19" i="134" s="1"/>
  <c r="P36" i="130"/>
  <c r="E82" i="130" l="1"/>
  <c r="E18" i="130"/>
  <c r="E93" i="130" s="1"/>
  <c r="I18" i="130"/>
  <c r="I93" i="130" s="1"/>
  <c r="E29" i="130"/>
  <c r="E104" i="130" s="1"/>
  <c r="H18" i="130"/>
  <c r="H93" i="130" s="1"/>
  <c r="G18" i="130"/>
  <c r="G93" i="130" s="1"/>
  <c r="I29" i="130"/>
  <c r="I104" i="130" s="1"/>
  <c r="F29" i="130"/>
  <c r="F104" i="130" s="1"/>
  <c r="G82" i="130"/>
  <c r="G29" i="130"/>
  <c r="G104" i="130" s="1"/>
  <c r="I82" i="130"/>
  <c r="E15" i="130"/>
  <c r="E90" i="130" s="1"/>
  <c r="E26" i="130"/>
  <c r="E101" i="130" s="1"/>
  <c r="D29" i="130"/>
  <c r="D104" i="130" s="1"/>
  <c r="H29" i="130"/>
  <c r="H104" i="130" s="1"/>
  <c r="D18" i="130"/>
  <c r="D93" i="130" s="1"/>
  <c r="H82" i="130"/>
  <c r="F18" i="130"/>
  <c r="F93" i="130" s="1"/>
  <c r="F82" i="130"/>
  <c r="F4" i="130"/>
  <c r="F26" i="130" s="1"/>
  <c r="F101" i="130" s="1"/>
  <c r="Q36" i="130"/>
  <c r="F79" i="130" l="1"/>
  <c r="F15" i="130"/>
  <c r="F90" i="130" s="1"/>
  <c r="G4" i="130"/>
  <c r="G79" i="130" s="1"/>
  <c r="R36" i="130"/>
  <c r="G15" i="130" l="1"/>
  <c r="G90" i="130" s="1"/>
  <c r="G26" i="130"/>
  <c r="G101" i="130" s="1"/>
  <c r="H4" i="130"/>
  <c r="H15" i="130" s="1"/>
  <c r="H90" i="130" s="1"/>
  <c r="S36" i="130"/>
  <c r="I15" i="130" s="1"/>
  <c r="H26" i="130" l="1"/>
  <c r="H101" i="130" s="1"/>
  <c r="H79" i="130"/>
  <c r="I90" i="130"/>
  <c r="I79" i="130"/>
  <c r="I26" i="130"/>
  <c r="I101" i="130" s="1"/>
  <c r="O30" i="110" l="1"/>
  <c r="R30" i="110"/>
  <c r="Q30" i="110"/>
  <c r="U30" i="110"/>
  <c r="T30" i="110"/>
  <c r="BY35" i="127" l="1"/>
  <c r="BY64" i="127" s="1"/>
  <c r="BX31" i="127"/>
  <c r="CD35" i="127"/>
  <c r="CD64" i="127" s="1"/>
  <c r="AG92" i="127"/>
  <c r="AF92" i="127"/>
  <c r="AI92" i="127"/>
  <c r="AH92" i="127"/>
  <c r="AH84" i="127"/>
  <c r="AD84" i="127"/>
  <c r="AC84" i="127"/>
  <c r="AI84" i="127"/>
  <c r="AG84" i="127"/>
  <c r="CC35" i="127"/>
  <c r="CC64" i="127" s="1"/>
  <c r="BY33" i="127"/>
  <c r="BY62" i="127" s="1"/>
  <c r="CC62" i="127"/>
  <c r="AC92" i="127"/>
  <c r="AD92" i="127"/>
  <c r="BZ32" i="127"/>
  <c r="BZ61" i="127" s="1"/>
  <c r="AE92" i="127"/>
  <c r="CB33" i="127"/>
  <c r="CB62" i="127" s="1"/>
  <c r="BZ35" i="127"/>
  <c r="BZ64" i="127" s="1"/>
  <c r="AF84" i="127"/>
  <c r="AE84" i="127"/>
  <c r="BX33" i="127"/>
  <c r="BX62" i="127" s="1"/>
  <c r="BY70" i="127" s="1"/>
  <c r="CA63" i="127"/>
  <c r="BY32" i="127"/>
  <c r="BY61" i="127" s="1"/>
  <c r="CC32" i="127"/>
  <c r="CC61" i="127" s="1"/>
  <c r="CD32" i="127"/>
  <c r="CD61" i="127" s="1"/>
  <c r="BX32" i="127"/>
  <c r="BX61" i="127" s="1"/>
  <c r="BY69" i="127" s="1"/>
  <c r="CB32" i="127"/>
  <c r="CB61" i="127" s="1"/>
  <c r="BW62" i="127"/>
  <c r="CA33" i="127"/>
  <c r="CA62" i="127" s="1"/>
  <c r="BW64" i="127"/>
  <c r="CA35" i="127"/>
  <c r="CA64" i="127" s="1"/>
  <c r="BY63" i="127"/>
  <c r="BZ63" i="127"/>
  <c r="CD63" i="127"/>
  <c r="BW61" i="127"/>
  <c r="CA32" i="127"/>
  <c r="CA61" i="127" s="1"/>
  <c r="BZ33" i="127"/>
  <c r="BZ62" i="127" s="1"/>
  <c r="CD33" i="127"/>
  <c r="CD62" i="127" s="1"/>
  <c r="BX63" i="127"/>
  <c r="BY71" i="127" s="1"/>
  <c r="CB63" i="127"/>
  <c r="BX35" i="127"/>
  <c r="BX64" i="127" s="1"/>
  <c r="CB35" i="127"/>
  <c r="CB64" i="127" s="1"/>
  <c r="BZ31" i="127"/>
  <c r="CD31" i="127"/>
  <c r="CB31" i="127"/>
  <c r="CA31" i="127"/>
  <c r="BY31" i="127"/>
  <c r="CC31" i="127"/>
  <c r="AQ16" i="127" l="1"/>
  <c r="AE86" i="127"/>
  <c r="AF86" i="127"/>
  <c r="AR16" i="127"/>
  <c r="AG86" i="127"/>
  <c r="AS16" i="127"/>
  <c r="AU16" i="127"/>
  <c r="AI86" i="127"/>
  <c r="AO16" i="127"/>
  <c r="AC86" i="127"/>
  <c r="AD86" i="127"/>
  <c r="AP16" i="127"/>
  <c r="AH86" i="127"/>
  <c r="AT16" i="127"/>
  <c r="AU21" i="127"/>
  <c r="AU20" i="127"/>
  <c r="AU18" i="127"/>
  <c r="AP21" i="127"/>
  <c r="AP20" i="127"/>
  <c r="AP18" i="127"/>
  <c r="AT21" i="127"/>
  <c r="AT20" i="127"/>
  <c r="AT18" i="127"/>
  <c r="AQ21" i="127"/>
  <c r="AQ20" i="127"/>
  <c r="AQ18" i="127"/>
  <c r="AR20" i="127"/>
  <c r="AR18" i="127"/>
  <c r="AR21" i="127"/>
  <c r="AO20" i="127"/>
  <c r="AO18" i="127"/>
  <c r="AO21" i="127"/>
  <c r="AS20" i="127"/>
  <c r="AS18" i="127"/>
  <c r="AS21" i="127"/>
  <c r="AC90" i="127"/>
  <c r="AC88" i="127"/>
  <c r="AD88" i="127"/>
  <c r="CC60" i="127"/>
  <c r="J8" i="127"/>
  <c r="BY60" i="127"/>
  <c r="F8" i="127"/>
  <c r="D5" i="134" s="1"/>
  <c r="CD60" i="127"/>
  <c r="K8" i="127"/>
  <c r="K35" i="127" s="1"/>
  <c r="BZ60" i="127"/>
  <c r="G8" i="127"/>
  <c r="E5" i="134" s="1"/>
  <c r="CB60" i="127"/>
  <c r="I8" i="127"/>
  <c r="G5" i="134" s="1"/>
  <c r="H8" i="127"/>
  <c r="F5" i="134" s="1"/>
  <c r="BW60" i="127"/>
  <c r="D8" i="127"/>
  <c r="D35" i="127" s="1"/>
  <c r="BX60" i="127"/>
  <c r="BY68" i="127" s="1"/>
  <c r="E8" i="127"/>
  <c r="D13" i="132"/>
  <c r="E13" i="132"/>
  <c r="AH90" i="127"/>
  <c r="AI88" i="127"/>
  <c r="AG91" i="127"/>
  <c r="AG88" i="127"/>
  <c r="AG90" i="127"/>
  <c r="AH88" i="127"/>
  <c r="AH91" i="127"/>
  <c r="AD90" i="127"/>
  <c r="AI90" i="127"/>
  <c r="AI91" i="127"/>
  <c r="AD91" i="127"/>
  <c r="AC91" i="127"/>
  <c r="AE90" i="127"/>
  <c r="AF91" i="127"/>
  <c r="AE91" i="127"/>
  <c r="AE88" i="127"/>
  <c r="AF90" i="127"/>
  <c r="AF88" i="127"/>
  <c r="BY72" i="127"/>
  <c r="CA60" i="127"/>
  <c r="H5" i="134" l="1"/>
  <c r="J35" i="127"/>
  <c r="E35" i="127"/>
  <c r="F43" i="127" s="1"/>
  <c r="C5" i="134"/>
  <c r="I5" i="134"/>
  <c r="G35" i="127"/>
  <c r="H35" i="127"/>
  <c r="BY76" i="127"/>
  <c r="F35" i="127"/>
  <c r="I35" i="127"/>
  <c r="J53" i="127" l="1"/>
  <c r="G53" i="127"/>
  <c r="K53" i="127"/>
  <c r="H53" i="127"/>
  <c r="I53" i="127"/>
  <c r="F53" i="127"/>
  <c r="D32" i="86" l="1"/>
  <c r="D34" i="86"/>
  <c r="Y38" i="125" l="1"/>
  <c r="X38" i="125"/>
  <c r="W38" i="125"/>
  <c r="V38" i="125"/>
  <c r="U38" i="125"/>
  <c r="T38" i="125"/>
  <c r="S38" i="125"/>
  <c r="S92" i="125" l="1"/>
  <c r="U92" i="125"/>
  <c r="W92" i="125"/>
  <c r="T92" i="125"/>
  <c r="X92" i="125"/>
  <c r="V92" i="125"/>
  <c r="Y92" i="125"/>
  <c r="T93" i="125"/>
  <c r="U93" i="125"/>
  <c r="W93" i="125"/>
  <c r="X93" i="125"/>
  <c r="Y93" i="125"/>
  <c r="R93" i="125"/>
  <c r="S93" i="125"/>
  <c r="V93" i="125"/>
  <c r="X69" i="123"/>
  <c r="J15" i="123" s="1"/>
  <c r="W69" i="123"/>
  <c r="I15" i="123" s="1"/>
  <c r="V69" i="123"/>
  <c r="H15" i="123" s="1"/>
  <c r="H41" i="102" s="1"/>
  <c r="U69" i="123"/>
  <c r="G15" i="123" s="1"/>
  <c r="G41" i="102" s="1"/>
  <c r="T69" i="123"/>
  <c r="F15" i="123" s="1"/>
  <c r="F41" i="102" s="1"/>
  <c r="S69" i="123"/>
  <c r="E15" i="123" s="1"/>
  <c r="E41" i="102" s="1"/>
  <c r="R69" i="123"/>
  <c r="D15" i="123" s="1"/>
  <c r="D41" i="102" s="1"/>
  <c r="Q69" i="123"/>
  <c r="C15" i="123" s="1"/>
  <c r="C41" i="102" s="1"/>
  <c r="X31" i="123"/>
  <c r="J10" i="123" s="1"/>
  <c r="W31" i="123"/>
  <c r="I10" i="123" s="1"/>
  <c r="V31" i="123"/>
  <c r="H10" i="123" s="1"/>
  <c r="H37" i="102" s="1"/>
  <c r="U31" i="123"/>
  <c r="G10" i="123" s="1"/>
  <c r="G37" i="102" s="1"/>
  <c r="T31" i="123"/>
  <c r="F10" i="123" s="1"/>
  <c r="F37" i="102" s="1"/>
  <c r="S31" i="123"/>
  <c r="E10" i="123" s="1"/>
  <c r="E37" i="102" s="1"/>
  <c r="R31" i="123"/>
  <c r="D10" i="123" s="1"/>
  <c r="D37" i="102" s="1"/>
  <c r="Q31" i="123"/>
  <c r="C10" i="123" s="1"/>
  <c r="C37" i="102" s="1"/>
  <c r="X17" i="123"/>
  <c r="J7" i="123" s="1"/>
  <c r="W17" i="123"/>
  <c r="I7" i="123" s="1"/>
  <c r="V17" i="123"/>
  <c r="H7" i="123" s="1"/>
  <c r="H35" i="102" s="1"/>
  <c r="U17" i="123"/>
  <c r="G7" i="123" s="1"/>
  <c r="G35" i="102" s="1"/>
  <c r="T17" i="123"/>
  <c r="F7" i="123" s="1"/>
  <c r="F35" i="102" s="1"/>
  <c r="S17" i="123"/>
  <c r="E7" i="123" s="1"/>
  <c r="E35" i="102" s="1"/>
  <c r="R17" i="123"/>
  <c r="D7" i="123" s="1"/>
  <c r="D35" i="102" s="1"/>
  <c r="Q17" i="123"/>
  <c r="C7" i="123" s="1"/>
  <c r="C35" i="102" s="1"/>
  <c r="I7" i="122"/>
  <c r="H7" i="122"/>
  <c r="G7" i="122"/>
  <c r="F7" i="122"/>
  <c r="E7" i="122"/>
  <c r="D7" i="122"/>
  <c r="C7" i="122"/>
  <c r="I10" i="122"/>
  <c r="H10" i="122"/>
  <c r="G10" i="122"/>
  <c r="F10" i="122"/>
  <c r="E10" i="122"/>
  <c r="D10" i="122"/>
  <c r="C10" i="122"/>
  <c r="L15" i="122"/>
  <c r="I15" i="122"/>
  <c r="H15" i="122"/>
  <c r="G15" i="122"/>
  <c r="F15" i="122"/>
  <c r="E15" i="122"/>
  <c r="D15" i="122"/>
  <c r="C15" i="122"/>
  <c r="M15" i="123" l="1"/>
  <c r="M10" i="123"/>
  <c r="I35" i="102"/>
  <c r="I37" i="102"/>
  <c r="I41" i="102"/>
  <c r="L10" i="122"/>
  <c r="L7" i="122"/>
  <c r="J35" i="102"/>
  <c r="J37" i="102"/>
  <c r="Q34" i="127"/>
  <c r="T34" i="127"/>
  <c r="S34" i="127"/>
  <c r="R34" i="127"/>
  <c r="V34" i="127"/>
  <c r="U34" i="127"/>
  <c r="F71" i="69"/>
  <c r="AY22" i="127"/>
  <c r="AY21" i="127"/>
  <c r="AO71" i="127"/>
  <c r="AO69" i="127"/>
  <c r="R26" i="123"/>
  <c r="Q23" i="122"/>
  <c r="T5" i="76"/>
  <c r="T4" i="76"/>
  <c r="S83" i="141"/>
  <c r="S34" i="141"/>
  <c r="S82" i="141"/>
  <c r="F641" i="141"/>
  <c r="F640" i="141"/>
  <c r="S33" i="141"/>
  <c r="E51" i="138"/>
  <c r="E52" i="138"/>
  <c r="F48" i="136"/>
  <c r="AO19" i="127"/>
  <c r="AO17" i="127"/>
  <c r="AC87" i="127"/>
  <c r="AC89" i="127"/>
  <c r="BD21" i="127"/>
  <c r="AT71" i="127"/>
  <c r="BD22" i="127"/>
  <c r="AT69" i="127"/>
  <c r="W26" i="123"/>
  <c r="V23" i="122"/>
  <c r="Y5" i="76"/>
  <c r="Y4" i="76"/>
  <c r="X83" i="141"/>
  <c r="K640" i="141"/>
  <c r="X82" i="141"/>
  <c r="K641" i="141"/>
  <c r="X34" i="141"/>
  <c r="X33" i="141"/>
  <c r="J51" i="138"/>
  <c r="J52" i="138"/>
  <c r="K49" i="136"/>
  <c r="K48" i="136"/>
  <c r="AT17" i="127"/>
  <c r="AH87" i="127"/>
  <c r="AT19" i="127"/>
  <c r="AH89" i="127"/>
  <c r="I22" i="69"/>
  <c r="BB21" i="127"/>
  <c r="AR71" i="127"/>
  <c r="AR69" i="127"/>
  <c r="BB22" i="127"/>
  <c r="U26" i="123"/>
  <c r="T23" i="122"/>
  <c r="W5" i="76"/>
  <c r="W4" i="76"/>
  <c r="V33" i="141"/>
  <c r="V34" i="141"/>
  <c r="I641" i="141"/>
  <c r="V83" i="141"/>
  <c r="I640" i="141"/>
  <c r="V82" i="141"/>
  <c r="H52" i="138"/>
  <c r="H51" i="138"/>
  <c r="I49" i="136"/>
  <c r="I48" i="136"/>
  <c r="AR19" i="127"/>
  <c r="AR17" i="127"/>
  <c r="AF87" i="127"/>
  <c r="AF89" i="127"/>
  <c r="AQ71" i="127"/>
  <c r="BA21" i="127"/>
  <c r="BA22" i="127"/>
  <c r="AQ69" i="127"/>
  <c r="T26" i="123"/>
  <c r="S23" i="122"/>
  <c r="V5" i="76"/>
  <c r="V4" i="76"/>
  <c r="U34" i="141"/>
  <c r="H640" i="141"/>
  <c r="U33" i="141"/>
  <c r="U83" i="141"/>
  <c r="U82" i="141"/>
  <c r="H641" i="141"/>
  <c r="G51" i="138"/>
  <c r="G52" i="138"/>
  <c r="H49" i="136"/>
  <c r="H48" i="136"/>
  <c r="AQ19" i="127"/>
  <c r="AE87" i="127"/>
  <c r="AQ17" i="127"/>
  <c r="AE89" i="127"/>
  <c r="J22" i="69"/>
  <c r="BC21" i="127"/>
  <c r="BC22" i="127"/>
  <c r="AS69" i="127"/>
  <c r="AS71" i="127"/>
  <c r="V26" i="123"/>
  <c r="U23" i="122"/>
  <c r="X4" i="76"/>
  <c r="X5" i="76"/>
  <c r="W83" i="141"/>
  <c r="J640" i="141"/>
  <c r="W82" i="141"/>
  <c r="W34" i="141"/>
  <c r="W33" i="141"/>
  <c r="J641" i="141"/>
  <c r="I51" i="138"/>
  <c r="I52" i="138"/>
  <c r="J49" i="136"/>
  <c r="J48" i="136"/>
  <c r="AS19" i="127"/>
  <c r="AS17" i="127"/>
  <c r="AG87" i="127"/>
  <c r="AG89" i="127"/>
  <c r="AZ21" i="127"/>
  <c r="AZ22" i="127"/>
  <c r="AP69" i="127"/>
  <c r="AP71" i="127"/>
  <c r="S26" i="123"/>
  <c r="R23" i="122"/>
  <c r="U4" i="76"/>
  <c r="U5" i="76"/>
  <c r="T83" i="141"/>
  <c r="T34" i="141"/>
  <c r="T82" i="141"/>
  <c r="T33" i="141"/>
  <c r="G641" i="141"/>
  <c r="G640" i="141"/>
  <c r="F52" i="138"/>
  <c r="F51" i="138"/>
  <c r="G49" i="136"/>
  <c r="G48" i="136"/>
  <c r="AP19" i="127"/>
  <c r="AP17" i="127"/>
  <c r="AD87" i="127"/>
  <c r="AD89" i="127"/>
  <c r="BE22" i="127"/>
  <c r="AU69" i="127"/>
  <c r="AU71" i="127"/>
  <c r="BE21" i="127"/>
  <c r="X26" i="123"/>
  <c r="Z4" i="76"/>
  <c r="Z5" i="76"/>
  <c r="Y34" i="141"/>
  <c r="Y83" i="141"/>
  <c r="Y33" i="141"/>
  <c r="L641" i="141"/>
  <c r="Y82" i="141"/>
  <c r="L640" i="141"/>
  <c r="K52" i="138"/>
  <c r="K51" i="138"/>
  <c r="L49" i="136"/>
  <c r="L48" i="136"/>
  <c r="AI87" i="127"/>
  <c r="AI89" i="127"/>
  <c r="AU17" i="127"/>
  <c r="AU19" i="127"/>
  <c r="J41" i="102"/>
  <c r="S97" i="125"/>
  <c r="S98" i="125"/>
  <c r="W96" i="125"/>
  <c r="W98" i="125"/>
  <c r="W97" i="125"/>
  <c r="W95" i="125"/>
  <c r="R96" i="125"/>
  <c r="R97" i="125"/>
  <c r="R98" i="125"/>
  <c r="Y96" i="125"/>
  <c r="Y98" i="125"/>
  <c r="Y95" i="125"/>
  <c r="V96" i="125"/>
  <c r="V97" i="125"/>
  <c r="V98" i="125"/>
  <c r="V95" i="125"/>
  <c r="X98" i="125"/>
  <c r="X95" i="125"/>
  <c r="X96" i="125"/>
  <c r="X97" i="125"/>
  <c r="U97" i="125"/>
  <c r="U98" i="125"/>
  <c r="U95" i="125"/>
  <c r="U96" i="125"/>
  <c r="T96" i="125"/>
  <c r="T97" i="125"/>
  <c r="T98" i="125"/>
  <c r="T95" i="125"/>
  <c r="S96" i="125"/>
  <c r="S95" i="125"/>
  <c r="V80" i="122"/>
  <c r="I18" i="122" s="1"/>
  <c r="R80" i="122"/>
  <c r="E18" i="122" s="1"/>
  <c r="X98" i="123"/>
  <c r="J18" i="123" s="1"/>
  <c r="R98" i="123"/>
  <c r="D18" i="123" s="1"/>
  <c r="D44" i="102" s="1"/>
  <c r="W98" i="123"/>
  <c r="I18" i="123" s="1"/>
  <c r="X126" i="123"/>
  <c r="J19" i="123" s="1"/>
  <c r="T98" i="123"/>
  <c r="F18" i="123" s="1"/>
  <c r="F44" i="102" s="1"/>
  <c r="Q112" i="123"/>
  <c r="Q80" i="122"/>
  <c r="D18" i="122" s="1"/>
  <c r="P80" i="122"/>
  <c r="C18" i="122" s="1"/>
  <c r="S98" i="123"/>
  <c r="E18" i="123" s="1"/>
  <c r="E44" i="102" s="1"/>
  <c r="T80" i="122"/>
  <c r="G18" i="122" s="1"/>
  <c r="V98" i="123"/>
  <c r="H18" i="123" s="1"/>
  <c r="H44" i="102" s="1"/>
  <c r="U14" i="122"/>
  <c r="H6" i="122" s="1"/>
  <c r="G5" i="122"/>
  <c r="Q14" i="122"/>
  <c r="D6" i="122" s="1"/>
  <c r="Q34" i="122"/>
  <c r="D12" i="122" s="1"/>
  <c r="C17" i="122"/>
  <c r="S80" i="122"/>
  <c r="F18" i="122" s="1"/>
  <c r="C5" i="122"/>
  <c r="R47" i="122"/>
  <c r="E14" i="122" s="1"/>
  <c r="V47" i="122"/>
  <c r="I14" i="122" s="1"/>
  <c r="G17" i="122"/>
  <c r="U80" i="122"/>
  <c r="H18" i="122" s="1"/>
  <c r="T126" i="123"/>
  <c r="Q81" i="123"/>
  <c r="U81" i="123"/>
  <c r="G16" i="123" s="1"/>
  <c r="T25" i="123"/>
  <c r="Q51" i="123"/>
  <c r="C11" i="123" s="1"/>
  <c r="U56" i="123"/>
  <c r="G14" i="123" s="1"/>
  <c r="G40" i="102" s="1"/>
  <c r="F5" i="122"/>
  <c r="P14" i="122"/>
  <c r="C6" i="122" s="1"/>
  <c r="T14" i="122"/>
  <c r="G6" i="122" s="1"/>
  <c r="Q22" i="122"/>
  <c r="U22" i="122"/>
  <c r="R22" i="122"/>
  <c r="V22" i="122"/>
  <c r="S34" i="122"/>
  <c r="F12" i="122" s="1"/>
  <c r="W34" i="122"/>
  <c r="L12" i="122" s="1"/>
  <c r="P43" i="122"/>
  <c r="C11" i="122" s="1"/>
  <c r="T43" i="122"/>
  <c r="G11" i="122" s="1"/>
  <c r="Q47" i="122"/>
  <c r="D14" i="122" s="1"/>
  <c r="U47" i="122"/>
  <c r="H14" i="122" s="1"/>
  <c r="S56" i="122"/>
  <c r="F13" i="122" s="1"/>
  <c r="W56" i="122"/>
  <c r="L13" i="122" s="1"/>
  <c r="P67" i="122"/>
  <c r="C16" i="122" s="1"/>
  <c r="T67" i="122"/>
  <c r="G16" i="122" s="1"/>
  <c r="F17" i="122"/>
  <c r="U34" i="122"/>
  <c r="H12" i="122" s="1"/>
  <c r="Q67" i="122"/>
  <c r="D16" i="122" s="1"/>
  <c r="U67" i="122"/>
  <c r="H16" i="122" s="1"/>
  <c r="W80" i="122"/>
  <c r="L18" i="122" s="1"/>
  <c r="V14" i="123"/>
  <c r="H6" i="123" s="1"/>
  <c r="H34" i="102" s="1"/>
  <c r="D5" i="122"/>
  <c r="H5" i="122"/>
  <c r="E5" i="122"/>
  <c r="I5" i="122"/>
  <c r="S14" i="122"/>
  <c r="F6" i="122" s="1"/>
  <c r="W14" i="122"/>
  <c r="R14" i="122"/>
  <c r="E6" i="122" s="1"/>
  <c r="V14" i="122"/>
  <c r="I6" i="122" s="1"/>
  <c r="T22" i="122"/>
  <c r="S22" i="122"/>
  <c r="W22" i="122"/>
  <c r="R34" i="122"/>
  <c r="E12" i="122" s="1"/>
  <c r="V34" i="122"/>
  <c r="I12" i="122" s="1"/>
  <c r="R43" i="122"/>
  <c r="E11" i="122" s="1"/>
  <c r="V43" i="122"/>
  <c r="I11" i="122" s="1"/>
  <c r="Q43" i="122"/>
  <c r="D11" i="122" s="1"/>
  <c r="U43" i="122"/>
  <c r="H11" i="122" s="1"/>
  <c r="S47" i="122"/>
  <c r="F14" i="122" s="1"/>
  <c r="W47" i="122"/>
  <c r="L14" i="122" s="1"/>
  <c r="R56" i="122"/>
  <c r="E13" i="122" s="1"/>
  <c r="V56" i="122"/>
  <c r="I13" i="122" s="1"/>
  <c r="S66" i="123"/>
  <c r="E13" i="123" s="1"/>
  <c r="E39" i="102" s="1"/>
  <c r="W66" i="123"/>
  <c r="I13" i="123" s="1"/>
  <c r="F17" i="123"/>
  <c r="F43" i="102" s="1"/>
  <c r="J17" i="123"/>
  <c r="Q98" i="123"/>
  <c r="C18" i="123" s="1"/>
  <c r="C44" i="102" s="1"/>
  <c r="U98" i="123"/>
  <c r="G18" i="123" s="1"/>
  <c r="G44" i="102" s="1"/>
  <c r="R112" i="123"/>
  <c r="N64" i="116" s="1"/>
  <c r="V112" i="123"/>
  <c r="R64" i="116" s="1"/>
  <c r="U112" i="123"/>
  <c r="Q64" i="116" s="1"/>
  <c r="C19" i="123"/>
  <c r="D26" i="91" s="1"/>
  <c r="U126" i="123"/>
  <c r="S14" i="123"/>
  <c r="E6" i="123" s="1"/>
  <c r="E34" i="102" s="1"/>
  <c r="W14" i="123"/>
  <c r="I6" i="123" s="1"/>
  <c r="P34" i="122"/>
  <c r="C12" i="122" s="1"/>
  <c r="T34" i="122"/>
  <c r="G12" i="122" s="1"/>
  <c r="S43" i="122"/>
  <c r="F11" i="122" s="1"/>
  <c r="W43" i="122"/>
  <c r="L11" i="122" s="1"/>
  <c r="P47" i="122"/>
  <c r="C14" i="122" s="1"/>
  <c r="T47" i="122"/>
  <c r="G14" i="122" s="1"/>
  <c r="Q56" i="122"/>
  <c r="D13" i="122" s="1"/>
  <c r="U56" i="122"/>
  <c r="H13" i="122" s="1"/>
  <c r="P56" i="122"/>
  <c r="C13" i="122" s="1"/>
  <c r="T56" i="122"/>
  <c r="G13" i="122" s="1"/>
  <c r="S67" i="122"/>
  <c r="F16" i="122" s="1"/>
  <c r="R67" i="122"/>
  <c r="E16" i="122" s="1"/>
  <c r="V67" i="122"/>
  <c r="I16" i="122" s="1"/>
  <c r="E17" i="122"/>
  <c r="I17" i="122"/>
  <c r="D17" i="122"/>
  <c r="H17" i="122"/>
  <c r="R14" i="123"/>
  <c r="D6" i="123" s="1"/>
  <c r="D34" i="102" s="1"/>
  <c r="S56" i="123"/>
  <c r="E14" i="123" s="1"/>
  <c r="E40" i="102" s="1"/>
  <c r="W56" i="123"/>
  <c r="I14" i="123" s="1"/>
  <c r="W9" i="123"/>
  <c r="I5" i="123" s="1"/>
  <c r="Q9" i="123"/>
  <c r="C5" i="123" s="1"/>
  <c r="C33" i="102" s="1"/>
  <c r="U9" i="123"/>
  <c r="G5" i="123" s="1"/>
  <c r="G33" i="102" s="1"/>
  <c r="S9" i="123"/>
  <c r="E5" i="123" s="1"/>
  <c r="E33" i="102" s="1"/>
  <c r="V41" i="123"/>
  <c r="H12" i="123" s="1"/>
  <c r="Q41" i="123"/>
  <c r="C12" i="123" s="1"/>
  <c r="U51" i="123"/>
  <c r="G11" i="123" s="1"/>
  <c r="R56" i="123"/>
  <c r="D14" i="123" s="1"/>
  <c r="D40" i="102" s="1"/>
  <c r="T9" i="123"/>
  <c r="F5" i="123" s="1"/>
  <c r="F33" i="102" s="1"/>
  <c r="X9" i="123"/>
  <c r="J5" i="123" s="1"/>
  <c r="R9" i="123"/>
  <c r="D5" i="123" s="1"/>
  <c r="D33" i="102" s="1"/>
  <c r="V9" i="123"/>
  <c r="H5" i="123" s="1"/>
  <c r="H33" i="102" s="1"/>
  <c r="Q14" i="123"/>
  <c r="C6" i="123" s="1"/>
  <c r="C34" i="102" s="1"/>
  <c r="U14" i="123"/>
  <c r="G6" i="123" s="1"/>
  <c r="G34" i="102" s="1"/>
  <c r="T14" i="123"/>
  <c r="F6" i="123" s="1"/>
  <c r="F34" i="102" s="1"/>
  <c r="X14" i="123"/>
  <c r="J6" i="123" s="1"/>
  <c r="Q25" i="123"/>
  <c r="U25" i="123"/>
  <c r="S25" i="123"/>
  <c r="W25" i="123"/>
  <c r="R25" i="123"/>
  <c r="V25" i="123"/>
  <c r="R41" i="123"/>
  <c r="D12" i="123" s="1"/>
  <c r="U41" i="123"/>
  <c r="G12" i="123" s="1"/>
  <c r="T41" i="123"/>
  <c r="F12" i="123" s="1"/>
  <c r="X41" i="123"/>
  <c r="J12" i="123" s="1"/>
  <c r="W41" i="123"/>
  <c r="I12" i="123" s="1"/>
  <c r="R51" i="123"/>
  <c r="D11" i="123" s="1"/>
  <c r="V51" i="123"/>
  <c r="H11" i="123" s="1"/>
  <c r="T51" i="123"/>
  <c r="F11" i="123" s="1"/>
  <c r="X51" i="123"/>
  <c r="J11" i="123" s="1"/>
  <c r="S51" i="123"/>
  <c r="E11" i="123" s="1"/>
  <c r="W51" i="123"/>
  <c r="I11" i="123" s="1"/>
  <c r="V56" i="123"/>
  <c r="H14" i="123" s="1"/>
  <c r="H40" i="102" s="1"/>
  <c r="Q56" i="123"/>
  <c r="C14" i="123" s="1"/>
  <c r="C40" i="102" s="1"/>
  <c r="T56" i="123"/>
  <c r="F14" i="123" s="1"/>
  <c r="F40" i="102" s="1"/>
  <c r="X56" i="123"/>
  <c r="J14" i="123" s="1"/>
  <c r="R66" i="123"/>
  <c r="D13" i="123" s="1"/>
  <c r="D39" i="102" s="1"/>
  <c r="V66" i="123"/>
  <c r="H13" i="123" s="1"/>
  <c r="H39" i="102" s="1"/>
  <c r="Q66" i="123"/>
  <c r="C13" i="123" s="1"/>
  <c r="C39" i="102" s="1"/>
  <c r="U66" i="123"/>
  <c r="G13" i="123" s="1"/>
  <c r="G39" i="102" s="1"/>
  <c r="T66" i="123"/>
  <c r="F13" i="123" s="1"/>
  <c r="F39" i="102" s="1"/>
  <c r="X66" i="123"/>
  <c r="J13" i="123" s="1"/>
  <c r="R81" i="123"/>
  <c r="D16" i="123" s="1"/>
  <c r="V81" i="123"/>
  <c r="H16" i="123" s="1"/>
  <c r="T81" i="123"/>
  <c r="F16" i="123" s="1"/>
  <c r="X81" i="123"/>
  <c r="J16" i="123" s="1"/>
  <c r="S81" i="123"/>
  <c r="E16" i="123" s="1"/>
  <c r="W81" i="123"/>
  <c r="I16" i="123" s="1"/>
  <c r="E17" i="123"/>
  <c r="E43" i="102" s="1"/>
  <c r="I17" i="123"/>
  <c r="D17" i="123"/>
  <c r="H17" i="123"/>
  <c r="H43" i="102" s="1"/>
  <c r="C43" i="102"/>
  <c r="G17" i="123"/>
  <c r="G43" i="102" s="1"/>
  <c r="T112" i="123"/>
  <c r="P64" i="116" s="1"/>
  <c r="X112" i="123"/>
  <c r="S112" i="123"/>
  <c r="O64" i="116" s="1"/>
  <c r="W112" i="123"/>
  <c r="S64" i="116" s="1"/>
  <c r="S126" i="123"/>
  <c r="W126" i="123"/>
  <c r="R126" i="123"/>
  <c r="V126" i="123"/>
  <c r="S41" i="123"/>
  <c r="E12" i="123" s="1"/>
  <c r="C16" i="123" l="1"/>
  <c r="E50" i="91"/>
  <c r="F50" i="91" s="1"/>
  <c r="M17" i="123"/>
  <c r="M16" i="123"/>
  <c r="M18" i="123"/>
  <c r="N14" i="122"/>
  <c r="M14" i="123"/>
  <c r="N11" i="122"/>
  <c r="M11" i="123"/>
  <c r="N13" i="122"/>
  <c r="M13" i="123"/>
  <c r="N12" i="122"/>
  <c r="M12" i="123"/>
  <c r="I40" i="102"/>
  <c r="I39" i="102"/>
  <c r="I33" i="102"/>
  <c r="I44" i="102"/>
  <c r="I34" i="102"/>
  <c r="I43" i="102"/>
  <c r="F22" i="69"/>
  <c r="G22" i="69"/>
  <c r="H22" i="69"/>
  <c r="K22" i="69"/>
  <c r="L6" i="122"/>
  <c r="W25" i="122"/>
  <c r="W68" i="122"/>
  <c r="L5" i="122"/>
  <c r="J33" i="102"/>
  <c r="J34" i="102"/>
  <c r="I20" i="69"/>
  <c r="K20" i="69"/>
  <c r="J20" i="69"/>
  <c r="H20" i="69"/>
  <c r="F20" i="69"/>
  <c r="R127" i="123" s="1"/>
  <c r="D20" i="123" s="1"/>
  <c r="G20" i="69"/>
  <c r="S25" i="122"/>
  <c r="F9" i="122" s="1"/>
  <c r="X27" i="123"/>
  <c r="J8" i="123" s="1"/>
  <c r="X28" i="123"/>
  <c r="J9" i="123" s="1"/>
  <c r="W28" i="123"/>
  <c r="I9" i="123" s="1"/>
  <c r="S28" i="123"/>
  <c r="E9" i="123" s="1"/>
  <c r="V28" i="123"/>
  <c r="H9" i="123" s="1"/>
  <c r="R28" i="123"/>
  <c r="D9" i="123" s="1"/>
  <c r="T28" i="123"/>
  <c r="F9" i="123" s="1"/>
  <c r="U28" i="123"/>
  <c r="G9" i="123" s="1"/>
  <c r="U25" i="122"/>
  <c r="H9" i="122" s="1"/>
  <c r="Q25" i="122"/>
  <c r="D9" i="122" s="1"/>
  <c r="T25" i="122"/>
  <c r="G9" i="122" s="1"/>
  <c r="R25" i="122"/>
  <c r="E9" i="122" s="1"/>
  <c r="V25" i="122"/>
  <c r="I9" i="122" s="1"/>
  <c r="Y20" i="136"/>
  <c r="X20" i="136"/>
  <c r="BO33" i="137"/>
  <c r="W24" i="122"/>
  <c r="BQ33" i="137"/>
  <c r="BP33" i="137"/>
  <c r="U68" i="122"/>
  <c r="Q68" i="122"/>
  <c r="S68" i="122"/>
  <c r="L16" i="122"/>
  <c r="T68" i="122"/>
  <c r="R68" i="122"/>
  <c r="V68" i="122"/>
  <c r="G39" i="137"/>
  <c r="BM33" i="137"/>
  <c r="L53" i="136"/>
  <c r="AG93" i="127"/>
  <c r="I4" i="127" s="1"/>
  <c r="AU15" i="127"/>
  <c r="K5" i="127" s="1"/>
  <c r="AO15" i="127"/>
  <c r="E5" i="127" s="1"/>
  <c r="E33" i="127" s="1"/>
  <c r="F41" i="127" s="1"/>
  <c r="AD93" i="127"/>
  <c r="F4" i="127" s="1"/>
  <c r="AQ15" i="127"/>
  <c r="G5" i="127" s="1"/>
  <c r="G33" i="127" s="1"/>
  <c r="AS15" i="127"/>
  <c r="I5" i="127" s="1"/>
  <c r="I33" i="127" s="1"/>
  <c r="AC93" i="127"/>
  <c r="E4" i="127" s="1"/>
  <c r="AP15" i="127"/>
  <c r="F5" i="127" s="1"/>
  <c r="F33" i="127" s="1"/>
  <c r="G57" i="138"/>
  <c r="J57" i="138"/>
  <c r="I57" i="138"/>
  <c r="H57" i="138"/>
  <c r="F39" i="137"/>
  <c r="H39" i="137"/>
  <c r="G66" i="69"/>
  <c r="AL14" i="125"/>
  <c r="Y16" i="125"/>
  <c r="BR58" i="127"/>
  <c r="L645" i="141"/>
  <c r="BM60" i="127"/>
  <c r="T18" i="125"/>
  <c r="AG16" i="125" s="1"/>
  <c r="T72" i="136"/>
  <c r="T20" i="136"/>
  <c r="X82" i="123"/>
  <c r="J42" i="102" s="1"/>
  <c r="Y18" i="125"/>
  <c r="AL16" i="125" s="1"/>
  <c r="BR60" i="127"/>
  <c r="BM59" i="127"/>
  <c r="T17" i="125"/>
  <c r="AG15" i="125" s="1"/>
  <c r="W17" i="125"/>
  <c r="AJ15" i="125" s="1"/>
  <c r="BP59" i="127"/>
  <c r="U18" i="125"/>
  <c r="AH16" i="125" s="1"/>
  <c r="BN60" i="127"/>
  <c r="X17" i="125"/>
  <c r="AK15" i="125" s="1"/>
  <c r="BQ59" i="127"/>
  <c r="X72" i="136"/>
  <c r="BK33" i="137"/>
  <c r="S17" i="125"/>
  <c r="AF15" i="125" s="1"/>
  <c r="BL59" i="127"/>
  <c r="I66" i="69"/>
  <c r="BN58" i="127"/>
  <c r="AH14" i="125"/>
  <c r="U16" i="125"/>
  <c r="H645" i="141"/>
  <c r="AF93" i="127"/>
  <c r="H4" i="127" s="1"/>
  <c r="X16" i="125"/>
  <c r="BQ58" i="127"/>
  <c r="AK14" i="125"/>
  <c r="K645" i="141"/>
  <c r="S27" i="123"/>
  <c r="E8" i="123" s="1"/>
  <c r="E36" i="102" s="1"/>
  <c r="S5" i="76"/>
  <c r="S4" i="76"/>
  <c r="AX21" i="127"/>
  <c r="AN71" i="127"/>
  <c r="AX22" i="127"/>
  <c r="AN69" i="127"/>
  <c r="Q26" i="123"/>
  <c r="P23" i="122"/>
  <c r="P25" i="122" s="1"/>
  <c r="C9" i="122" s="1"/>
  <c r="E641" i="141"/>
  <c r="E640" i="141"/>
  <c r="R34" i="141"/>
  <c r="R83" i="141"/>
  <c r="R33" i="141"/>
  <c r="R82" i="141"/>
  <c r="D52" i="138"/>
  <c r="D51" i="138"/>
  <c r="E49" i="136"/>
  <c r="E48" i="136"/>
  <c r="AB87" i="127"/>
  <c r="AB89" i="127"/>
  <c r="AN17" i="127"/>
  <c r="AN19" i="127"/>
  <c r="BO59" i="127"/>
  <c r="V17" i="125"/>
  <c r="AI15" i="125" s="1"/>
  <c r="U27" i="123"/>
  <c r="G8" i="123" s="1"/>
  <c r="G36" i="102" s="1"/>
  <c r="T27" i="123"/>
  <c r="F8" i="123" s="1"/>
  <c r="F36" i="102" s="1"/>
  <c r="Y72" i="136"/>
  <c r="H66" i="69"/>
  <c r="AR15" i="127"/>
  <c r="H5" i="127" s="1"/>
  <c r="H33" i="127" s="1"/>
  <c r="BN33" i="137"/>
  <c r="V18" i="125"/>
  <c r="AI16" i="125" s="1"/>
  <c r="BO60" i="127"/>
  <c r="AH93" i="127"/>
  <c r="J4" i="127" s="1"/>
  <c r="K53" i="136"/>
  <c r="W72" i="136"/>
  <c r="W20" i="136"/>
  <c r="V27" i="123"/>
  <c r="H8" i="123" s="1"/>
  <c r="H36" i="102" s="1"/>
  <c r="W16" i="125"/>
  <c r="BP58" i="127"/>
  <c r="AJ14" i="125"/>
  <c r="J645" i="141"/>
  <c r="R27" i="123"/>
  <c r="D8" i="123" s="1"/>
  <c r="D36" i="102" s="1"/>
  <c r="G53" i="136"/>
  <c r="J39" i="137"/>
  <c r="AE93" i="127"/>
  <c r="G4" i="127" s="1"/>
  <c r="W27" i="123"/>
  <c r="I8" i="123" s="1"/>
  <c r="AI93" i="127"/>
  <c r="K4" i="127" s="1"/>
  <c r="L39" i="137"/>
  <c r="K57" i="138"/>
  <c r="F57" i="138"/>
  <c r="J53" i="136"/>
  <c r="H53" i="136"/>
  <c r="I53" i="136"/>
  <c r="AT15" i="127"/>
  <c r="J5" i="127" s="1"/>
  <c r="J33" i="127" s="1"/>
  <c r="K39" i="137"/>
  <c r="K66" i="69"/>
  <c r="F66" i="69"/>
  <c r="E57" i="138"/>
  <c r="J66" i="69"/>
  <c r="BM58" i="127"/>
  <c r="T16" i="125"/>
  <c r="AG14" i="125"/>
  <c r="G645" i="141"/>
  <c r="BQ60" i="127"/>
  <c r="X18" i="125"/>
  <c r="AK16" i="125" s="1"/>
  <c r="S18" i="125"/>
  <c r="AF16" i="125" s="1"/>
  <c r="BL60" i="127"/>
  <c r="L66" i="69"/>
  <c r="Y17" i="125"/>
  <c r="AL15" i="125" s="1"/>
  <c r="BR59" i="127"/>
  <c r="L71" i="69"/>
  <c r="AB12" i="68"/>
  <c r="BL33" i="137"/>
  <c r="G71" i="69"/>
  <c r="W12" i="68"/>
  <c r="W18" i="125"/>
  <c r="AJ16" i="125" s="1"/>
  <c r="BP60" i="127"/>
  <c r="J71" i="69"/>
  <c r="Z12" i="68"/>
  <c r="U17" i="125"/>
  <c r="AH15" i="125" s="1"/>
  <c r="BN59" i="127"/>
  <c r="H71" i="69"/>
  <c r="X12" i="68"/>
  <c r="I39" i="137"/>
  <c r="AI14" i="125"/>
  <c r="I645" i="141"/>
  <c r="BO58" i="127"/>
  <c r="V16" i="125"/>
  <c r="V72" i="136"/>
  <c r="V20" i="136"/>
  <c r="I71" i="69"/>
  <c r="Y12" i="68"/>
  <c r="K71" i="69"/>
  <c r="AA12" i="68"/>
  <c r="F53" i="136"/>
  <c r="BL58" i="127"/>
  <c r="AF14" i="125"/>
  <c r="S16" i="125"/>
  <c r="F645" i="141"/>
  <c r="U72" i="136"/>
  <c r="U20" i="136"/>
  <c r="S72" i="136"/>
  <c r="S20" i="136"/>
  <c r="S82" i="123"/>
  <c r="E42" i="102" s="1"/>
  <c r="U82" i="123"/>
  <c r="G42" i="102" s="1"/>
  <c r="W82" i="123"/>
  <c r="I42" i="102" s="1"/>
  <c r="T82" i="123"/>
  <c r="F42" i="102" s="1"/>
  <c r="R82" i="123"/>
  <c r="D42" i="102" s="1"/>
  <c r="V82" i="123"/>
  <c r="H42" i="102" s="1"/>
  <c r="R24" i="122"/>
  <c r="E8" i="122" s="1"/>
  <c r="Q24" i="122"/>
  <c r="D8" i="122" s="1"/>
  <c r="U24" i="122"/>
  <c r="H8" i="122" s="1"/>
  <c r="S24" i="122"/>
  <c r="F8" i="122" s="1"/>
  <c r="T24" i="122"/>
  <c r="G8" i="122" s="1"/>
  <c r="V24" i="122"/>
  <c r="I8" i="122" s="1"/>
  <c r="J40" i="102"/>
  <c r="J39" i="102"/>
  <c r="J43" i="102"/>
  <c r="J44" i="102"/>
  <c r="F19" i="123"/>
  <c r="F45" i="102" s="1"/>
  <c r="H19" i="123"/>
  <c r="I26" i="91" s="1"/>
  <c r="D19" i="123"/>
  <c r="E26" i="91" s="1"/>
  <c r="I19" i="123"/>
  <c r="G19" i="123"/>
  <c r="H26" i="91" s="1"/>
  <c r="E19" i="123"/>
  <c r="F26" i="91" s="1"/>
  <c r="D43" i="102"/>
  <c r="H38" i="102"/>
  <c r="F38" i="102"/>
  <c r="I38" i="102"/>
  <c r="E38" i="102"/>
  <c r="D38" i="102"/>
  <c r="C38" i="102"/>
  <c r="J38" i="102"/>
  <c r="G38" i="102"/>
  <c r="X28" i="92"/>
  <c r="W28" i="92"/>
  <c r="V28" i="92"/>
  <c r="U28" i="92"/>
  <c r="T28" i="92"/>
  <c r="S28" i="92"/>
  <c r="R28" i="92"/>
  <c r="Q28" i="92"/>
  <c r="X26" i="92"/>
  <c r="W26" i="92"/>
  <c r="V26" i="92"/>
  <c r="U26" i="92"/>
  <c r="T26" i="92"/>
  <c r="S26" i="92"/>
  <c r="R26" i="92"/>
  <c r="Q26" i="92"/>
  <c r="X24" i="92"/>
  <c r="W24" i="92"/>
  <c r="V24" i="92"/>
  <c r="U24" i="92"/>
  <c r="T24" i="92"/>
  <c r="S24" i="92"/>
  <c r="R24" i="92"/>
  <c r="Q24" i="92"/>
  <c r="X23" i="92"/>
  <c r="X43" i="92" s="1"/>
  <c r="W23" i="92"/>
  <c r="V23" i="92"/>
  <c r="U23" i="92"/>
  <c r="T23" i="92"/>
  <c r="R23" i="92"/>
  <c r="Q23" i="92"/>
  <c r="M9" i="123" l="1"/>
  <c r="M8" i="123"/>
  <c r="V40" i="125"/>
  <c r="V44" i="125" s="1"/>
  <c r="V47" i="125" s="1"/>
  <c r="I36" i="102"/>
  <c r="I45" i="102"/>
  <c r="E22" i="69"/>
  <c r="S40" i="125"/>
  <c r="S44" i="125" s="1"/>
  <c r="S47" i="125" s="1"/>
  <c r="T40" i="125"/>
  <c r="T44" i="125" s="1"/>
  <c r="T47" i="125" s="1"/>
  <c r="U40" i="125"/>
  <c r="Y40" i="125"/>
  <c r="W40" i="125"/>
  <c r="W94" i="125" s="1"/>
  <c r="X40" i="125"/>
  <c r="L8" i="122"/>
  <c r="J36" i="102"/>
  <c r="I32" i="127"/>
  <c r="F32" i="127"/>
  <c r="E20" i="69"/>
  <c r="Q43" i="92"/>
  <c r="E4" i="64"/>
  <c r="Q82" i="123"/>
  <c r="C42" i="102" s="1"/>
  <c r="Q28" i="123"/>
  <c r="C9" i="123" s="1"/>
  <c r="AG19" i="125"/>
  <c r="AF19" i="125"/>
  <c r="H20" i="122"/>
  <c r="G29" i="134" s="1"/>
  <c r="P68" i="122"/>
  <c r="P24" i="122"/>
  <c r="C8" i="122" s="1"/>
  <c r="C20" i="122" s="1"/>
  <c r="E53" i="136"/>
  <c r="D20" i="122"/>
  <c r="C33" i="122" s="1"/>
  <c r="G20" i="122"/>
  <c r="F29" i="134" s="1"/>
  <c r="E20" i="122"/>
  <c r="D29" i="134" s="1"/>
  <c r="I20" i="122"/>
  <c r="H29" i="134" s="1"/>
  <c r="F20" i="122"/>
  <c r="E29" i="134" s="1"/>
  <c r="J51" i="127"/>
  <c r="C4" i="134"/>
  <c r="E32" i="127"/>
  <c r="F40" i="127" s="1"/>
  <c r="G51" i="127"/>
  <c r="H51" i="127"/>
  <c r="F51" i="127"/>
  <c r="I51" i="127"/>
  <c r="K33" i="127"/>
  <c r="K51" i="127" s="1"/>
  <c r="G4" i="134"/>
  <c r="D4" i="134"/>
  <c r="AI19" i="125"/>
  <c r="D57" i="138"/>
  <c r="E39" i="137"/>
  <c r="E71" i="69"/>
  <c r="U12" i="68"/>
  <c r="BQ244" i="127"/>
  <c r="J4" i="64"/>
  <c r="BQ231" i="127"/>
  <c r="J11" i="64"/>
  <c r="E66" i="69"/>
  <c r="F4" i="134"/>
  <c r="H32" i="127"/>
  <c r="L646" i="141"/>
  <c r="L678" i="141"/>
  <c r="I646" i="141"/>
  <c r="I678" i="141"/>
  <c r="E4" i="134"/>
  <c r="G32" i="127"/>
  <c r="BK59" i="127"/>
  <c r="R17" i="125"/>
  <c r="AE15" i="125" s="1"/>
  <c r="H4" i="134"/>
  <c r="J32" i="127"/>
  <c r="AN83" i="127"/>
  <c r="AN15" i="127"/>
  <c r="BK58" i="127"/>
  <c r="E645" i="141"/>
  <c r="AE14" i="125"/>
  <c r="R16" i="125"/>
  <c r="H646" i="141"/>
  <c r="H678" i="141"/>
  <c r="BR244" i="127"/>
  <c r="BR231" i="127"/>
  <c r="BK60" i="127"/>
  <c r="R18" i="125"/>
  <c r="AE16" i="125" s="1"/>
  <c r="F646" i="141"/>
  <c r="F678" i="141"/>
  <c r="K32" i="127"/>
  <c r="I4" i="134"/>
  <c r="J646" i="141"/>
  <c r="J678" i="141"/>
  <c r="AN85" i="127"/>
  <c r="BJ33" i="137"/>
  <c r="E11" i="64"/>
  <c r="BL244" i="127"/>
  <c r="BL231" i="127"/>
  <c r="BN290" i="127" s="1"/>
  <c r="AJ19" i="125"/>
  <c r="AB93" i="127"/>
  <c r="D4" i="127" s="1"/>
  <c r="AH19" i="125"/>
  <c r="AL19" i="125"/>
  <c r="G646" i="141"/>
  <c r="G678" i="141"/>
  <c r="F4" i="64"/>
  <c r="BM244" i="127"/>
  <c r="F11" i="64"/>
  <c r="BM231" i="127"/>
  <c r="Q27" i="123"/>
  <c r="C8" i="123" s="1"/>
  <c r="C36" i="102" s="1"/>
  <c r="BO231" i="127"/>
  <c r="H4" i="64"/>
  <c r="H11" i="64"/>
  <c r="BO244" i="127"/>
  <c r="I4" i="64"/>
  <c r="I11" i="64"/>
  <c r="BP231" i="127"/>
  <c r="BP244" i="127"/>
  <c r="R72" i="136"/>
  <c r="R20" i="136"/>
  <c r="K646" i="141"/>
  <c r="K678" i="141"/>
  <c r="G4" i="64"/>
  <c r="G11" i="64"/>
  <c r="BN231" i="127"/>
  <c r="BN244" i="127"/>
  <c r="AK19" i="125"/>
  <c r="C15" i="134"/>
  <c r="J20" i="122"/>
  <c r="T43" i="92"/>
  <c r="AF11" i="92"/>
  <c r="AH11" i="92"/>
  <c r="AC11" i="92"/>
  <c r="AB10" i="92"/>
  <c r="AG11" i="92"/>
  <c r="AD11" i="92"/>
  <c r="AB11" i="92"/>
  <c r="AE11" i="92"/>
  <c r="F21" i="123"/>
  <c r="E21" i="123"/>
  <c r="H21" i="123"/>
  <c r="J45" i="102"/>
  <c r="G21" i="123"/>
  <c r="J26" i="91"/>
  <c r="D21" i="123"/>
  <c r="I21" i="123"/>
  <c r="AC18" i="123" s="1"/>
  <c r="C45" i="102"/>
  <c r="H45" i="102"/>
  <c r="D45" i="102"/>
  <c r="X39" i="102" s="1"/>
  <c r="E45" i="102"/>
  <c r="G26" i="91"/>
  <c r="G45" i="102"/>
  <c r="J21" i="123"/>
  <c r="N8" i="123" s="1"/>
  <c r="AE10" i="92"/>
  <c r="AF10" i="92"/>
  <c r="AD10" i="92"/>
  <c r="AH10" i="92"/>
  <c r="AC10" i="92"/>
  <c r="AG10" i="92"/>
  <c r="Q127" i="123" l="1"/>
  <c r="C20" i="123" s="1"/>
  <c r="E13" i="64"/>
  <c r="AC7" i="123"/>
  <c r="AC9" i="123"/>
  <c r="AC14" i="123"/>
  <c r="AC17" i="123"/>
  <c r="AC13" i="123"/>
  <c r="AC10" i="123"/>
  <c r="AC6" i="123"/>
  <c r="AC12" i="123"/>
  <c r="AC16" i="123"/>
  <c r="AC11" i="123"/>
  <c r="AC5" i="123"/>
  <c r="AC15" i="123"/>
  <c r="AC8" i="123"/>
  <c r="T94" i="125"/>
  <c r="S94" i="125"/>
  <c r="R40" i="125"/>
  <c r="X44" i="125"/>
  <c r="X47" i="125" s="1"/>
  <c r="W44" i="125"/>
  <c r="W47" i="125" s="1"/>
  <c r="Y44" i="125"/>
  <c r="Y47" i="125" s="1"/>
  <c r="U44" i="125"/>
  <c r="U47" i="125" s="1"/>
  <c r="C27" i="122"/>
  <c r="AG110" i="122"/>
  <c r="AG111" i="122" s="1"/>
  <c r="N7" i="123"/>
  <c r="N10" i="123"/>
  <c r="N15" i="123"/>
  <c r="N16" i="123"/>
  <c r="N17" i="123"/>
  <c r="N14" i="123"/>
  <c r="N11" i="123"/>
  <c r="N12" i="123"/>
  <c r="N18" i="123"/>
  <c r="N6" i="123"/>
  <c r="N5" i="123"/>
  <c r="N13" i="123"/>
  <c r="C29" i="122"/>
  <c r="N9" i="123"/>
  <c r="D32" i="127"/>
  <c r="D5" i="127"/>
  <c r="D33" i="127" s="1"/>
  <c r="BO290" i="127"/>
  <c r="BP290" i="127"/>
  <c r="BN291" i="127"/>
  <c r="BN295" i="127" s="1"/>
  <c r="BK244" i="127"/>
  <c r="H50" i="127"/>
  <c r="AB16" i="92"/>
  <c r="C32" i="122"/>
  <c r="D11" i="64"/>
  <c r="C35" i="122"/>
  <c r="C39" i="122"/>
  <c r="F50" i="127"/>
  <c r="I50" i="127"/>
  <c r="K50" i="127"/>
  <c r="G50" i="127"/>
  <c r="D7" i="134"/>
  <c r="AB110" i="122"/>
  <c r="AB111" i="122" s="1"/>
  <c r="H7" i="134"/>
  <c r="AF110" i="122"/>
  <c r="AF111" i="122" s="1"/>
  <c r="C7" i="134"/>
  <c r="AA110" i="122"/>
  <c r="AA111" i="122" s="1"/>
  <c r="E7" i="134"/>
  <c r="AC110" i="122"/>
  <c r="AC111" i="122" s="1"/>
  <c r="F7" i="134"/>
  <c r="AD110" i="122"/>
  <c r="AD111" i="122" s="1"/>
  <c r="G7" i="134"/>
  <c r="AE110" i="122"/>
  <c r="AE111" i="122" s="1"/>
  <c r="C38" i="122"/>
  <c r="C30" i="122"/>
  <c r="C36" i="122"/>
  <c r="C28" i="122"/>
  <c r="C29" i="134"/>
  <c r="C34" i="122"/>
  <c r="C37" i="122"/>
  <c r="C31" i="122"/>
  <c r="T48" i="125"/>
  <c r="D33" i="122"/>
  <c r="D31" i="122"/>
  <c r="J50" i="127"/>
  <c r="C21" i="123"/>
  <c r="Z110" i="122" s="1"/>
  <c r="Z111" i="122" s="1"/>
  <c r="D32" i="122"/>
  <c r="D4" i="64"/>
  <c r="L20" i="122"/>
  <c r="D38" i="122"/>
  <c r="I29" i="134"/>
  <c r="D29" i="122"/>
  <c r="D34" i="122"/>
  <c r="AE19" i="125"/>
  <c r="X94" i="125"/>
  <c r="E646" i="141"/>
  <c r="E678" i="141"/>
  <c r="D37" i="122"/>
  <c r="D35" i="122"/>
  <c r="BK231" i="127"/>
  <c r="V94" i="125"/>
  <c r="D27" i="122"/>
  <c r="D39" i="122"/>
  <c r="AN81" i="127"/>
  <c r="D28" i="122"/>
  <c r="D30" i="122"/>
  <c r="D36" i="122"/>
  <c r="Y94" i="125"/>
  <c r="U94" i="125"/>
  <c r="S43" i="92"/>
  <c r="W43" i="92"/>
  <c r="U43" i="92"/>
  <c r="R43" i="92"/>
  <c r="AB96" i="92" s="1"/>
  <c r="V43" i="92"/>
  <c r="I7" i="134"/>
  <c r="AB6" i="123"/>
  <c r="AB5" i="123"/>
  <c r="D10" i="132"/>
  <c r="AB7" i="123"/>
  <c r="AB16" i="123"/>
  <c r="AB15" i="123"/>
  <c r="AB13" i="123"/>
  <c r="AB17" i="123"/>
  <c r="AB10" i="123"/>
  <c r="AB18" i="123"/>
  <c r="E10" i="132"/>
  <c r="AB14" i="123"/>
  <c r="AB11" i="123"/>
  <c r="AB8" i="123"/>
  <c r="AB12" i="123"/>
  <c r="AB9" i="123"/>
  <c r="D13" i="64" l="1"/>
  <c r="W48" i="125"/>
  <c r="R44" i="125"/>
  <c r="R46" i="125" s="1"/>
  <c r="BP295" i="127"/>
  <c r="BO295" i="127"/>
  <c r="BP291" i="127"/>
  <c r="BO291" i="127"/>
  <c r="T46" i="125"/>
  <c r="W46" i="125"/>
  <c r="S48" i="125"/>
  <c r="S46" i="125"/>
  <c r="Y48" i="125"/>
  <c r="Y46" i="125"/>
  <c r="X46" i="125"/>
  <c r="X48" i="125"/>
  <c r="U48" i="125"/>
  <c r="U46" i="125"/>
  <c r="V46" i="125"/>
  <c r="V48" i="125"/>
  <c r="R94" i="125"/>
  <c r="AB19" i="123"/>
  <c r="R47" i="125" l="1"/>
  <c r="R48" i="125"/>
  <c r="G55" i="121"/>
  <c r="R55" i="121"/>
  <c r="H55" i="121"/>
  <c r="S55" i="121"/>
  <c r="C31" i="121"/>
  <c r="J55" i="121"/>
  <c r="E35" i="121"/>
  <c r="Q42" i="121"/>
  <c r="S39" i="121"/>
  <c r="J31" i="121"/>
  <c r="D35" i="121"/>
  <c r="O35" i="121"/>
  <c r="H38" i="121"/>
  <c r="R39" i="121"/>
  <c r="P42" i="121"/>
  <c r="R35" i="121"/>
  <c r="O42" i="121"/>
  <c r="S42" i="121"/>
  <c r="C11" i="121"/>
  <c r="V11" i="121"/>
  <c r="I31" i="121"/>
  <c r="T32" i="121"/>
  <c r="C35" i="121"/>
  <c r="V35" i="121"/>
  <c r="G38" i="121"/>
  <c r="F55" i="121"/>
  <c r="Q55" i="121"/>
  <c r="U32" i="121"/>
  <c r="P35" i="121"/>
  <c r="I38" i="121"/>
  <c r="T11" i="121"/>
  <c r="D31" i="121"/>
  <c r="O32" i="121"/>
  <c r="V32" i="121"/>
  <c r="F35" i="121"/>
  <c r="Q35" i="121"/>
  <c r="J38" i="121"/>
  <c r="U39" i="121"/>
  <c r="T39" i="121"/>
  <c r="R42" i="121"/>
  <c r="I55" i="121"/>
  <c r="T55" i="121"/>
  <c r="J11" i="121"/>
  <c r="U11" i="121"/>
  <c r="H31" i="121"/>
  <c r="S32" i="121"/>
  <c r="J35" i="121"/>
  <c r="U35" i="121"/>
  <c r="F38" i="121"/>
  <c r="O39" i="121"/>
  <c r="U42" i="121"/>
  <c r="T42" i="121"/>
  <c r="P39" i="121"/>
  <c r="Q39" i="121"/>
  <c r="H11" i="121"/>
  <c r="S11" i="121"/>
  <c r="F31" i="121"/>
  <c r="Q32" i="121"/>
  <c r="H35" i="121"/>
  <c r="S35" i="121"/>
  <c r="D38" i="121"/>
  <c r="C55" i="121"/>
  <c r="V55" i="121"/>
  <c r="I11" i="121"/>
  <c r="G31" i="121"/>
  <c r="R32" i="121"/>
  <c r="E31" i="121"/>
  <c r="P32" i="121"/>
  <c r="I35" i="121"/>
  <c r="T35" i="121"/>
  <c r="G35" i="121"/>
  <c r="E38" i="121"/>
  <c r="C38" i="121"/>
  <c r="V39" i="121"/>
  <c r="D55" i="121"/>
  <c r="O55" i="121"/>
  <c r="U55" i="121"/>
  <c r="V42" i="121"/>
  <c r="E55" i="121"/>
  <c r="P55" i="121"/>
  <c r="F11" i="121"/>
  <c r="Q11" i="121"/>
  <c r="D11" i="121"/>
  <c r="O11" i="121"/>
  <c r="G11" i="121"/>
  <c r="R11" i="121"/>
  <c r="E11" i="121"/>
  <c r="P11" i="121"/>
  <c r="K64" i="70"/>
  <c r="AD4" i="92" l="1"/>
  <c r="AE4" i="92"/>
  <c r="AF4" i="92"/>
  <c r="AC4" i="92"/>
  <c r="AG4" i="92"/>
  <c r="AF8" i="92"/>
  <c r="AF5" i="92"/>
  <c r="AH6" i="92"/>
  <c r="AD6" i="92"/>
  <c r="AE8" i="92"/>
  <c r="AE5" i="92"/>
  <c r="AG6" i="92"/>
  <c r="AC6" i="92"/>
  <c r="AH8" i="92"/>
  <c r="AD8" i="92"/>
  <c r="AH5" i="92"/>
  <c r="AD5" i="92"/>
  <c r="AF6" i="92"/>
  <c r="AG8" i="92"/>
  <c r="AC8" i="92"/>
  <c r="AG5" i="92"/>
  <c r="AC5" i="92"/>
  <c r="AE6" i="92"/>
  <c r="AG16" i="92" l="1"/>
  <c r="AC16" i="92"/>
  <c r="AF16" i="92"/>
  <c r="AE16" i="92"/>
  <c r="AH16" i="92"/>
  <c r="AD16" i="92"/>
  <c r="AG96" i="92" l="1"/>
  <c r="E15" i="132"/>
  <c r="AF96" i="92"/>
  <c r="AD96" i="92"/>
  <c r="AC96" i="92"/>
  <c r="AE96" i="92"/>
  <c r="AA35" i="92"/>
  <c r="AA34" i="92"/>
  <c r="H19" i="117" l="1"/>
  <c r="G19" i="117"/>
  <c r="I19" i="117"/>
  <c r="D15" i="132"/>
  <c r="I15" i="132"/>
  <c r="F19" i="117"/>
  <c r="D19" i="117"/>
  <c r="C19" i="117"/>
  <c r="E19" i="117"/>
  <c r="S32" i="117"/>
  <c r="C25" i="117"/>
  <c r="G25" i="117"/>
  <c r="H25" i="117"/>
  <c r="O32" i="117"/>
  <c r="V27" i="117"/>
  <c r="R27" i="117"/>
  <c r="Q27" i="117"/>
  <c r="U27" i="117"/>
  <c r="R32" i="117"/>
  <c r="V32" i="117"/>
  <c r="S27" i="117"/>
  <c r="P32" i="117"/>
  <c r="T32" i="117"/>
  <c r="P27" i="117"/>
  <c r="T27" i="117"/>
  <c r="Q32" i="117"/>
  <c r="U32" i="117"/>
  <c r="I25" i="117"/>
  <c r="F25" i="117"/>
  <c r="D25" i="117"/>
  <c r="E25" i="117"/>
  <c r="B25" i="117"/>
  <c r="P58" i="116" l="1"/>
  <c r="Q58" i="116"/>
  <c r="R58" i="116"/>
  <c r="O58" i="116"/>
  <c r="Z11" i="116"/>
  <c r="P57" i="116"/>
  <c r="N57" i="116"/>
  <c r="R57" i="116"/>
  <c r="AF11" i="116"/>
  <c r="S59" i="116" s="1"/>
  <c r="I60" i="116"/>
  <c r="S56" i="116" s="1"/>
  <c r="AB11" i="116"/>
  <c r="O59" i="116" s="1"/>
  <c r="E60" i="116"/>
  <c r="O56" i="116" s="1"/>
  <c r="Q57" i="116"/>
  <c r="O57" i="116"/>
  <c r="S57" i="116"/>
  <c r="D60" i="116"/>
  <c r="N56" i="116" s="1"/>
  <c r="H60" i="116"/>
  <c r="R56" i="116" s="1"/>
  <c r="AC11" i="116"/>
  <c r="P59" i="116" s="1"/>
  <c r="AG11" i="116"/>
  <c r="F60" i="116"/>
  <c r="P56" i="116" s="1"/>
  <c r="S58" i="116"/>
  <c r="AA11" i="116"/>
  <c r="N59" i="116" s="1"/>
  <c r="AE11" i="116"/>
  <c r="R59" i="116" s="1"/>
  <c r="AD11" i="116"/>
  <c r="Q59" i="116" s="1"/>
  <c r="G60" i="116"/>
  <c r="J60" i="116"/>
  <c r="P63" i="116" l="1"/>
  <c r="P65" i="116" s="1"/>
  <c r="O63" i="116"/>
  <c r="O65" i="116" s="1"/>
  <c r="S63" i="116"/>
  <c r="S65" i="116" s="1"/>
  <c r="R63" i="116"/>
  <c r="R65" i="116" s="1"/>
  <c r="N63" i="116"/>
  <c r="N65" i="116" s="1"/>
  <c r="Q56" i="116"/>
  <c r="Q63" i="116" s="1"/>
  <c r="Q65" i="116" s="1"/>
  <c r="X36" i="102"/>
  <c r="X31" i="102" l="1"/>
  <c r="X37" i="102"/>
  <c r="X38" i="102"/>
  <c r="X34" i="102"/>
  <c r="X35" i="102"/>
  <c r="X29" i="102"/>
  <c r="X27" i="102"/>
  <c r="X33" i="102"/>
  <c r="X32" i="102"/>
  <c r="X30" i="102"/>
  <c r="X28" i="102"/>
  <c r="Y32" i="102" l="1"/>
  <c r="Y30" i="102"/>
  <c r="Y31" i="102"/>
  <c r="Y28" i="102"/>
  <c r="Y27" i="102"/>
  <c r="Y35" i="102"/>
  <c r="Y29" i="102"/>
  <c r="Y34" i="102"/>
  <c r="Y38" i="102"/>
  <c r="Y39" i="102"/>
  <c r="Y36" i="102"/>
  <c r="Y37" i="102"/>
  <c r="Y33" i="102"/>
  <c r="AD30" i="102"/>
  <c r="AD36" i="102"/>
  <c r="AD34" i="102"/>
  <c r="AD33" i="102"/>
  <c r="AD28" i="102"/>
  <c r="AD37" i="102"/>
  <c r="AD32" i="102"/>
  <c r="AD29" i="102"/>
  <c r="AD27" i="102"/>
  <c r="AD35" i="102"/>
  <c r="AD31" i="102"/>
  <c r="AD38" i="102"/>
  <c r="AD39" i="102"/>
  <c r="AB39" i="102"/>
  <c r="AB30" i="102"/>
  <c r="AB35" i="102"/>
  <c r="AB27" i="102"/>
  <c r="AB34" i="102"/>
  <c r="AB32" i="102"/>
  <c r="AB29" i="102"/>
  <c r="AB31" i="102"/>
  <c r="AB33" i="102"/>
  <c r="AB38" i="102"/>
  <c r="AB28" i="102"/>
  <c r="AB37" i="102"/>
  <c r="AB36" i="102"/>
  <c r="Z28" i="102"/>
  <c r="Z31" i="102"/>
  <c r="Z39" i="102"/>
  <c r="Z35" i="102"/>
  <c r="Z37" i="102"/>
  <c r="Z36" i="102"/>
  <c r="Z32" i="102"/>
  <c r="Z38" i="102"/>
  <c r="Z27" i="102"/>
  <c r="Z30" i="102"/>
  <c r="Z29" i="102"/>
  <c r="Z33" i="102"/>
  <c r="Z34" i="102"/>
  <c r="AA34" i="102"/>
  <c r="AA39" i="102"/>
  <c r="AA28" i="102"/>
  <c r="AA33" i="102"/>
  <c r="AA38" i="102"/>
  <c r="AA27" i="102"/>
  <c r="AA37" i="102"/>
  <c r="AA31" i="102"/>
  <c r="AA36" i="102"/>
  <c r="AA32" i="102"/>
  <c r="AA29" i="102"/>
  <c r="AA30" i="102"/>
  <c r="AA35" i="102"/>
  <c r="AC30" i="102"/>
  <c r="AC27" i="102"/>
  <c r="AC34" i="102"/>
  <c r="AC36" i="102"/>
  <c r="AC35" i="102"/>
  <c r="AC37" i="102"/>
  <c r="AC31" i="102"/>
  <c r="AC38" i="102"/>
  <c r="AC28" i="102"/>
  <c r="AC29" i="102"/>
  <c r="AC39" i="102"/>
  <c r="AC33" i="102"/>
  <c r="AC32" i="102"/>
  <c r="U29" i="110"/>
  <c r="T29" i="110"/>
  <c r="S29" i="110"/>
  <c r="R29" i="110"/>
  <c r="Q29" i="110"/>
  <c r="P29" i="110"/>
  <c r="U28" i="110"/>
  <c r="T28" i="110"/>
  <c r="S28" i="110"/>
  <c r="R28" i="110"/>
  <c r="Q28" i="110"/>
  <c r="P28" i="110"/>
  <c r="O28" i="110"/>
  <c r="U26" i="110"/>
  <c r="T26" i="110"/>
  <c r="S26" i="110"/>
  <c r="R26" i="110"/>
  <c r="Q26" i="110"/>
  <c r="P26" i="110"/>
  <c r="O26" i="110"/>
  <c r="U24" i="110"/>
  <c r="T24" i="110"/>
  <c r="S24" i="110"/>
  <c r="R24" i="110"/>
  <c r="Q24" i="110"/>
  <c r="P24" i="110"/>
  <c r="O24" i="110"/>
  <c r="U23" i="110"/>
  <c r="T23" i="110"/>
  <c r="S23" i="110"/>
  <c r="R23" i="110"/>
  <c r="Q23" i="110"/>
  <c r="P23" i="110"/>
  <c r="O23" i="110"/>
  <c r="U21" i="110"/>
  <c r="T21" i="110"/>
  <c r="S21" i="110"/>
  <c r="Q21" i="110"/>
  <c r="P21" i="110"/>
  <c r="U9" i="110"/>
  <c r="T9" i="110"/>
  <c r="R9" i="110"/>
  <c r="Q9" i="110"/>
  <c r="P9" i="110"/>
  <c r="U8" i="110"/>
  <c r="T8" i="110"/>
  <c r="S8" i="110"/>
  <c r="R8" i="110"/>
  <c r="Q8" i="110"/>
  <c r="P8" i="110"/>
  <c r="O8" i="110"/>
  <c r="U6" i="110"/>
  <c r="T6" i="110"/>
  <c r="S6" i="110"/>
  <c r="R6" i="110"/>
  <c r="Q6" i="110"/>
  <c r="P6" i="110"/>
  <c r="O6" i="110"/>
  <c r="T5" i="110"/>
  <c r="R5" i="110"/>
  <c r="P5" i="110"/>
  <c r="K18" i="112"/>
  <c r="K19" i="112" s="1"/>
  <c r="J18" i="112"/>
  <c r="J19" i="112" s="1"/>
  <c r="I18" i="112"/>
  <c r="I19" i="112" s="1"/>
  <c r="H18" i="112"/>
  <c r="H19" i="112" s="1"/>
  <c r="G18" i="112"/>
  <c r="G19" i="112" s="1"/>
  <c r="F18" i="112"/>
  <c r="F19" i="112" s="1"/>
  <c r="D18" i="112"/>
  <c r="D19" i="112" s="1"/>
  <c r="K15" i="112"/>
  <c r="K16" i="112" s="1"/>
  <c r="J15" i="112"/>
  <c r="J16" i="112" s="1"/>
  <c r="I15" i="112"/>
  <c r="I16" i="112" s="1"/>
  <c r="H15" i="112"/>
  <c r="H16" i="112" s="1"/>
  <c r="G15" i="112"/>
  <c r="G16" i="112" s="1"/>
  <c r="F15" i="112"/>
  <c r="F16" i="112" s="1"/>
  <c r="E15" i="112"/>
  <c r="E16" i="112" s="1"/>
  <c r="D16" i="112"/>
  <c r="F16" i="114"/>
  <c r="E16" i="114"/>
  <c r="K4" i="113"/>
  <c r="K5" i="113" s="1"/>
  <c r="J4" i="113"/>
  <c r="I4" i="113"/>
  <c r="H4" i="113"/>
  <c r="G4" i="113"/>
  <c r="F4" i="113"/>
  <c r="F5" i="113" l="1"/>
  <c r="F6" i="113" s="1"/>
  <c r="J5" i="113"/>
  <c r="J6" i="113" s="1"/>
  <c r="D5" i="113"/>
  <c r="D6" i="113" s="1"/>
  <c r="H5" i="113"/>
  <c r="H6" i="113" s="1"/>
  <c r="E6" i="113"/>
  <c r="I5" i="113"/>
  <c r="I6" i="113" s="1"/>
  <c r="H13" i="114"/>
  <c r="D15" i="109"/>
  <c r="H15" i="109"/>
  <c r="C15" i="109"/>
  <c r="G15" i="109"/>
  <c r="F15" i="109"/>
  <c r="J15" i="109"/>
  <c r="E15" i="109"/>
  <c r="I15" i="109"/>
  <c r="C29" i="109"/>
  <c r="G29" i="109"/>
  <c r="F29" i="109"/>
  <c r="J29" i="109"/>
  <c r="E29" i="109"/>
  <c r="I29" i="109"/>
  <c r="D29" i="109"/>
  <c r="H29" i="109"/>
  <c r="R27" i="110"/>
  <c r="R22" i="110"/>
  <c r="R25" i="110"/>
  <c r="P11" i="110"/>
  <c r="T11" i="110"/>
  <c r="Q22" i="110"/>
  <c r="P22" i="110"/>
  <c r="T22" i="110"/>
  <c r="P25" i="110"/>
  <c r="P27" i="110"/>
  <c r="T27" i="110"/>
  <c r="G49" i="110"/>
  <c r="K49" i="110"/>
  <c r="E75" i="110"/>
  <c r="E76" i="110" s="1"/>
  <c r="I75" i="110"/>
  <c r="I76" i="110" s="1"/>
  <c r="Q11" i="110"/>
  <c r="U11" i="110"/>
  <c r="H41" i="110"/>
  <c r="G18" i="110"/>
  <c r="U7" i="110"/>
  <c r="Q10" i="110"/>
  <c r="D41" i="110"/>
  <c r="D13" i="114"/>
  <c r="J13" i="114"/>
  <c r="K18" i="110"/>
  <c r="Q7" i="110"/>
  <c r="F13" i="114"/>
  <c r="O7" i="110"/>
  <c r="S7" i="110"/>
  <c r="D18" i="110"/>
  <c r="R7" i="110"/>
  <c r="R10" i="110"/>
  <c r="P10" i="110"/>
  <c r="T10" i="110"/>
  <c r="O22" i="110"/>
  <c r="S22" i="110"/>
  <c r="T25" i="110"/>
  <c r="O25" i="110"/>
  <c r="S25" i="110"/>
  <c r="O27" i="110"/>
  <c r="E49" i="110"/>
  <c r="I49" i="110"/>
  <c r="D49" i="110"/>
  <c r="H49" i="110"/>
  <c r="G75" i="110"/>
  <c r="G76" i="110" s="1"/>
  <c r="K75" i="110"/>
  <c r="K76" i="110" s="1"/>
  <c r="F75" i="110"/>
  <c r="F76" i="110" s="1"/>
  <c r="J75" i="110"/>
  <c r="J76" i="110" s="1"/>
  <c r="K6" i="113"/>
  <c r="P7" i="110"/>
  <c r="T7" i="110"/>
  <c r="O10" i="110"/>
  <c r="S10" i="110"/>
  <c r="O11" i="110"/>
  <c r="S11" i="110"/>
  <c r="U22" i="110"/>
  <c r="Q25" i="110"/>
  <c r="U25" i="110"/>
  <c r="Q27" i="110"/>
  <c r="U27" i="110"/>
  <c r="F49" i="110"/>
  <c r="J49" i="110"/>
  <c r="D75" i="110"/>
  <c r="D76" i="110" s="1"/>
  <c r="H75" i="110"/>
  <c r="H76" i="110" s="1"/>
  <c r="R11" i="110"/>
  <c r="K8" i="114"/>
  <c r="E18" i="110"/>
  <c r="I18" i="110"/>
  <c r="O9" i="110"/>
  <c r="S9" i="110"/>
  <c r="F41" i="110"/>
  <c r="J41" i="110"/>
  <c r="E13" i="114"/>
  <c r="I13" i="114"/>
  <c r="G5" i="113"/>
  <c r="G6" i="113" s="1"/>
  <c r="I8" i="114"/>
  <c r="G8" i="114"/>
  <c r="F8" i="114"/>
  <c r="J8" i="114"/>
  <c r="G13" i="114"/>
  <c r="K13" i="114"/>
  <c r="E8" i="114"/>
  <c r="H8" i="114"/>
  <c r="D8" i="114"/>
  <c r="H18" i="110"/>
  <c r="R21" i="110"/>
  <c r="E41" i="110"/>
  <c r="I41" i="110"/>
  <c r="S5" i="110"/>
  <c r="F18" i="110"/>
  <c r="J18" i="110"/>
  <c r="G41" i="110"/>
  <c r="Q5" i="110"/>
  <c r="U5" i="110"/>
  <c r="G16" i="102" l="1"/>
  <c r="CO9" i="137"/>
  <c r="CO10" i="137" s="1"/>
  <c r="CO11" i="137"/>
  <c r="CO12" i="137" s="1"/>
  <c r="CK9" i="137"/>
  <c r="CK10" i="137" s="1"/>
  <c r="CK11" i="137"/>
  <c r="CK12" i="137" s="1"/>
  <c r="E16" i="102"/>
  <c r="CM9" i="137"/>
  <c r="CM10" i="137" s="1"/>
  <c r="CM11" i="137"/>
  <c r="CM12" i="137" s="1"/>
  <c r="H16" i="102"/>
  <c r="CP9" i="137"/>
  <c r="CP10" i="137" s="1"/>
  <c r="CP11" i="137"/>
  <c r="CP12" i="137" s="1"/>
  <c r="J16" i="102"/>
  <c r="CR9" i="137"/>
  <c r="CR10" i="137" s="1"/>
  <c r="CR11" i="137"/>
  <c r="CR12" i="137" s="1"/>
  <c r="D16" i="102"/>
  <c r="CL9" i="137"/>
  <c r="CL10" i="137" s="1"/>
  <c r="CL11" i="137"/>
  <c r="CL12" i="137" s="1"/>
  <c r="I16" i="102"/>
  <c r="CQ9" i="137"/>
  <c r="CQ10" i="137" s="1"/>
  <c r="CQ11" i="137"/>
  <c r="CQ12" i="137" s="1"/>
  <c r="F16" i="102"/>
  <c r="CN9" i="137"/>
  <c r="CN10" i="137" s="1"/>
  <c r="CN11" i="137"/>
  <c r="CN12" i="137" s="1"/>
  <c r="D59" i="110"/>
  <c r="C16" i="102"/>
  <c r="K59" i="110"/>
  <c r="G62" i="110"/>
  <c r="G60" i="110"/>
  <c r="G59" i="110"/>
  <c r="I60" i="110"/>
  <c r="I59" i="110"/>
  <c r="I62" i="110"/>
  <c r="E62" i="110"/>
  <c r="E60" i="110"/>
  <c r="E59" i="110"/>
  <c r="H59" i="110"/>
  <c r="H62" i="110"/>
  <c r="H60" i="110"/>
  <c r="J60" i="110"/>
  <c r="J59" i="110"/>
  <c r="J62" i="110"/>
  <c r="D60" i="110"/>
  <c r="D62" i="110"/>
  <c r="F62" i="110"/>
  <c r="F60" i="110"/>
  <c r="F59" i="110"/>
  <c r="K62" i="110"/>
  <c r="K60" i="110"/>
  <c r="T59" i="102"/>
  <c r="S59" i="102"/>
  <c r="R59" i="102"/>
  <c r="Q59" i="102"/>
  <c r="P59" i="102"/>
  <c r="O59" i="102"/>
  <c r="U18" i="102"/>
  <c r="T18" i="102"/>
  <c r="S18" i="102"/>
  <c r="R18" i="102"/>
  <c r="Q18" i="102"/>
  <c r="P18" i="102"/>
  <c r="O18" i="102"/>
  <c r="N18" i="102"/>
  <c r="U16" i="102"/>
  <c r="T16" i="102"/>
  <c r="S16" i="102"/>
  <c r="R16" i="102"/>
  <c r="Q16" i="102"/>
  <c r="P16" i="102"/>
  <c r="N16" i="102"/>
  <c r="U21" i="102"/>
  <c r="T21" i="102"/>
  <c r="S21" i="102"/>
  <c r="R21" i="102"/>
  <c r="Q21" i="102"/>
  <c r="P21" i="102"/>
  <c r="O21" i="102"/>
  <c r="N21" i="102"/>
  <c r="N19" i="102"/>
  <c r="U8" i="102"/>
  <c r="T8" i="102"/>
  <c r="S8" i="102"/>
  <c r="R8" i="102"/>
  <c r="Q8" i="102"/>
  <c r="P8" i="102"/>
  <c r="N8" i="102"/>
  <c r="U5" i="102"/>
  <c r="T5" i="102"/>
  <c r="S5" i="102"/>
  <c r="R5" i="102"/>
  <c r="Q5" i="102"/>
  <c r="P5" i="102"/>
  <c r="O5" i="102"/>
  <c r="N5" i="102"/>
  <c r="V14" i="98"/>
  <c r="U14" i="98"/>
  <c r="T14" i="98"/>
  <c r="S14" i="98"/>
  <c r="R14" i="98"/>
  <c r="Q14" i="98"/>
  <c r="P14" i="98"/>
  <c r="O14" i="98"/>
  <c r="I12" i="98"/>
  <c r="H12" i="98"/>
  <c r="G12" i="98"/>
  <c r="F12" i="98"/>
  <c r="E12" i="98"/>
  <c r="D12" i="98"/>
  <c r="C12" i="98"/>
  <c r="B12" i="98"/>
  <c r="T62" i="97"/>
  <c r="S62" i="97"/>
  <c r="R62" i="97"/>
  <c r="Q62" i="97"/>
  <c r="P62" i="97"/>
  <c r="O62" i="97"/>
  <c r="N62" i="97"/>
  <c r="M62" i="97"/>
  <c r="T30" i="97"/>
  <c r="S30" i="97"/>
  <c r="R30" i="97"/>
  <c r="Q30" i="97"/>
  <c r="P30" i="97"/>
  <c r="O30" i="97"/>
  <c r="N30" i="97"/>
  <c r="M30" i="97"/>
  <c r="T16" i="97"/>
  <c r="S16" i="97"/>
  <c r="R16" i="97"/>
  <c r="Q16" i="97"/>
  <c r="P16" i="97"/>
  <c r="O16" i="97"/>
  <c r="N16" i="97"/>
  <c r="M16" i="97"/>
  <c r="AF15" i="91"/>
  <c r="AE15" i="91"/>
  <c r="AD15" i="91"/>
  <c r="AC15" i="91"/>
  <c r="AB15" i="91"/>
  <c r="AG14" i="91"/>
  <c r="AF14" i="91"/>
  <c r="AE14" i="91"/>
  <c r="AD14" i="91"/>
  <c r="AC14" i="91"/>
  <c r="AB14" i="91"/>
  <c r="AE8" i="91"/>
  <c r="AD8" i="91"/>
  <c r="AC8" i="91"/>
  <c r="AB8" i="91"/>
  <c r="AG7" i="91"/>
  <c r="AF7" i="91"/>
  <c r="AE7" i="91"/>
  <c r="AC7" i="91"/>
  <c r="AG5" i="91"/>
  <c r="AF5" i="91"/>
  <c r="AE5" i="91"/>
  <c r="AD5" i="91"/>
  <c r="AC5" i="91"/>
  <c r="AB5" i="91"/>
  <c r="AG16" i="91"/>
  <c r="AF16" i="91"/>
  <c r="AE16" i="91"/>
  <c r="AD16" i="91"/>
  <c r="AC16" i="91"/>
  <c r="AB16" i="91"/>
  <c r="H27" i="91" l="1"/>
  <c r="G27" i="91"/>
  <c r="I27" i="91"/>
  <c r="J27" i="91"/>
  <c r="K61" i="110"/>
  <c r="F27" i="91"/>
  <c r="E27" i="91"/>
  <c r="D27" i="91"/>
  <c r="P17" i="102"/>
  <c r="E29" i="102"/>
  <c r="U17" i="102"/>
  <c r="N17" i="102"/>
  <c r="Q17" i="102"/>
  <c r="F29" i="102"/>
  <c r="O17" i="102"/>
  <c r="R17" i="102"/>
  <c r="G29" i="102"/>
  <c r="S17" i="102"/>
  <c r="H29" i="102"/>
  <c r="T17" i="102"/>
  <c r="I29" i="102"/>
  <c r="D19" i="91"/>
  <c r="H48" i="99"/>
  <c r="P45" i="99" s="1"/>
  <c r="P58" i="102"/>
  <c r="I44" i="97"/>
  <c r="F8" i="97"/>
  <c r="J44" i="97"/>
  <c r="D70" i="97"/>
  <c r="D44" i="97"/>
  <c r="H21" i="98"/>
  <c r="C8" i="97"/>
  <c r="G76" i="99"/>
  <c r="O75" i="99" s="1"/>
  <c r="U20" i="102"/>
  <c r="R45" i="102"/>
  <c r="AA48" i="102" s="1"/>
  <c r="O7" i="102"/>
  <c r="T19" i="102"/>
  <c r="S58" i="102"/>
  <c r="D26" i="98"/>
  <c r="G40" i="99"/>
  <c r="I13" i="97"/>
  <c r="I70" i="97"/>
  <c r="E21" i="98"/>
  <c r="G40" i="97"/>
  <c r="C70" i="97"/>
  <c r="G26" i="98"/>
  <c r="H26" i="98"/>
  <c r="G70" i="97"/>
  <c r="I21" i="99"/>
  <c r="Q16" i="99" s="1"/>
  <c r="E13" i="97"/>
  <c r="G53" i="97"/>
  <c r="H70" i="97"/>
  <c r="I30" i="99"/>
  <c r="Q27" i="99" s="1"/>
  <c r="T58" i="102"/>
  <c r="Q58" i="102"/>
  <c r="U58" i="102"/>
  <c r="P19" i="102"/>
  <c r="N46" i="102"/>
  <c r="Q45" i="102"/>
  <c r="Z48" i="102" s="1"/>
  <c r="I21" i="98"/>
  <c r="U45" i="102"/>
  <c r="AD48" i="102" s="1"/>
  <c r="E74" i="100"/>
  <c r="C40" i="97"/>
  <c r="E44" i="97"/>
  <c r="C26" i="98"/>
  <c r="H8" i="97"/>
  <c r="J21" i="99"/>
  <c r="R16" i="99" s="1"/>
  <c r="T8" i="97"/>
  <c r="G74" i="100"/>
  <c r="K74" i="100"/>
  <c r="P20" i="102"/>
  <c r="T20" i="102"/>
  <c r="S72" i="97"/>
  <c r="N72" i="97"/>
  <c r="K52" i="100"/>
  <c r="N45" i="97"/>
  <c r="S7" i="102"/>
  <c r="R20" i="102"/>
  <c r="AD79" i="92"/>
  <c r="AH79" i="92"/>
  <c r="AH81" i="92" s="1"/>
  <c r="D60" i="100"/>
  <c r="I74" i="100"/>
  <c r="Q20" i="102"/>
  <c r="F70" i="97"/>
  <c r="J70" i="97"/>
  <c r="Q7" i="102"/>
  <c r="U7" i="102"/>
  <c r="R19" i="102"/>
  <c r="AE79" i="92"/>
  <c r="AE81" i="92" s="1"/>
  <c r="AF78" i="92"/>
  <c r="AB79" i="92"/>
  <c r="AB81" i="92" s="1"/>
  <c r="AF79" i="92"/>
  <c r="AC78" i="92"/>
  <c r="AG78" i="92"/>
  <c r="AC79" i="92"/>
  <c r="AG79" i="92"/>
  <c r="AD99" i="92"/>
  <c r="AD78" i="92"/>
  <c r="AC99" i="92"/>
  <c r="AG99" i="92"/>
  <c r="AE99" i="92"/>
  <c r="E17" i="132"/>
  <c r="AF99" i="92"/>
  <c r="P13" i="97"/>
  <c r="T13" i="97"/>
  <c r="N7" i="102"/>
  <c r="R7" i="102"/>
  <c r="O37" i="98"/>
  <c r="N40" i="97"/>
  <c r="R40" i="97"/>
  <c r="R72" i="97"/>
  <c r="O19" i="102"/>
  <c r="S19" i="102"/>
  <c r="N45" i="102"/>
  <c r="M72" i="97"/>
  <c r="Q72" i="97"/>
  <c r="S37" i="98"/>
  <c r="P32" i="91"/>
  <c r="D22" i="91" s="1"/>
  <c r="M8" i="97"/>
  <c r="Q8" i="97"/>
  <c r="O8" i="97"/>
  <c r="O13" i="97"/>
  <c r="S13" i="97"/>
  <c r="M13" i="97"/>
  <c r="Q13" i="97"/>
  <c r="N23" i="97"/>
  <c r="R23" i="97"/>
  <c r="P23" i="97"/>
  <c r="T23" i="97"/>
  <c r="O23" i="97"/>
  <c r="S23" i="97"/>
  <c r="M40" i="97"/>
  <c r="Q40" i="97"/>
  <c r="O40" i="97"/>
  <c r="S40" i="97"/>
  <c r="P40" i="97"/>
  <c r="T40" i="97"/>
  <c r="O45" i="97"/>
  <c r="S45" i="97"/>
  <c r="M45" i="97"/>
  <c r="Q45" i="97"/>
  <c r="O59" i="97"/>
  <c r="S59" i="97"/>
  <c r="M59" i="97"/>
  <c r="Q59" i="97"/>
  <c r="N59" i="97"/>
  <c r="R59" i="97"/>
  <c r="P59" i="97"/>
  <c r="T59" i="97"/>
  <c r="M68" i="97"/>
  <c r="Q68" i="97"/>
  <c r="P68" i="97"/>
  <c r="T68" i="97"/>
  <c r="O68" i="97"/>
  <c r="S68" i="97"/>
  <c r="N68" i="97"/>
  <c r="P72" i="97"/>
  <c r="T72" i="97"/>
  <c r="R32" i="98"/>
  <c r="V32" i="98"/>
  <c r="P32" i="98"/>
  <c r="T32" i="98"/>
  <c r="Q32" i="98"/>
  <c r="O32" i="98"/>
  <c r="S32" i="98"/>
  <c r="P37" i="98"/>
  <c r="T37" i="98"/>
  <c r="R37" i="98"/>
  <c r="N8" i="97"/>
  <c r="R8" i="97"/>
  <c r="P8" i="97"/>
  <c r="N13" i="97"/>
  <c r="P45" i="97"/>
  <c r="T45" i="97"/>
  <c r="R45" i="97"/>
  <c r="AC4" i="91"/>
  <c r="J20" i="91"/>
  <c r="T54" i="91"/>
  <c r="AD13" i="91" s="1"/>
  <c r="O72" i="97"/>
  <c r="V37" i="98"/>
  <c r="D22" i="100"/>
  <c r="H22" i="100"/>
  <c r="G22" i="100"/>
  <c r="K22" i="100"/>
  <c r="F22" i="100"/>
  <c r="J22" i="100"/>
  <c r="E22" i="100"/>
  <c r="I22" i="100"/>
  <c r="G31" i="100"/>
  <c r="K31" i="100"/>
  <c r="F31" i="100"/>
  <c r="J31" i="100"/>
  <c r="E31" i="100"/>
  <c r="I31" i="100"/>
  <c r="D31" i="100"/>
  <c r="H31" i="100"/>
  <c r="K44" i="100"/>
  <c r="F44" i="100"/>
  <c r="E44" i="100"/>
  <c r="I44" i="100"/>
  <c r="D44" i="100"/>
  <c r="H44" i="100"/>
  <c r="F52" i="100"/>
  <c r="J52" i="100"/>
  <c r="E52" i="100"/>
  <c r="I52" i="100"/>
  <c r="D52" i="100"/>
  <c r="H52" i="100"/>
  <c r="G60" i="100"/>
  <c r="K60" i="100"/>
  <c r="F60" i="100"/>
  <c r="J60" i="100"/>
  <c r="E60" i="100"/>
  <c r="AI81" i="100" s="1"/>
  <c r="I60" i="100"/>
  <c r="F74" i="100"/>
  <c r="J74" i="100"/>
  <c r="P7" i="102"/>
  <c r="T7" i="102"/>
  <c r="Q19" i="102"/>
  <c r="U19" i="102"/>
  <c r="O20" i="102"/>
  <c r="S20" i="102"/>
  <c r="P45" i="102"/>
  <c r="Y48" i="102" s="1"/>
  <c r="T45" i="102"/>
  <c r="AC48" i="102" s="1"/>
  <c r="O45" i="102"/>
  <c r="S45" i="102"/>
  <c r="AB48" i="102" s="1"/>
  <c r="N47" i="102"/>
  <c r="G52" i="100"/>
  <c r="H60" i="100"/>
  <c r="D74" i="100"/>
  <c r="H74" i="100"/>
  <c r="C53" i="97"/>
  <c r="E70" i="97"/>
  <c r="B21" i="98"/>
  <c r="F21" i="98"/>
  <c r="F26" i="98"/>
  <c r="D11" i="99"/>
  <c r="E30" i="99"/>
  <c r="M27" i="99" s="1"/>
  <c r="D48" i="99"/>
  <c r="G8" i="97"/>
  <c r="D8" i="97"/>
  <c r="J8" i="97"/>
  <c r="F13" i="97"/>
  <c r="J13" i="97"/>
  <c r="D13" i="97"/>
  <c r="H13" i="97"/>
  <c r="F22" i="97"/>
  <c r="J22" i="97"/>
  <c r="C22" i="97"/>
  <c r="G22" i="97"/>
  <c r="F40" i="97"/>
  <c r="J40" i="97"/>
  <c r="D40" i="97"/>
  <c r="H40" i="97"/>
  <c r="H44" i="97"/>
  <c r="F44" i="97"/>
  <c r="D53" i="97"/>
  <c r="H53" i="97"/>
  <c r="D21" i="98"/>
  <c r="B26" i="98"/>
  <c r="E21" i="99"/>
  <c r="M19" i="99" s="1"/>
  <c r="D21" i="99"/>
  <c r="D30" i="99"/>
  <c r="H30" i="99"/>
  <c r="P28" i="99" s="1"/>
  <c r="H40" i="99"/>
  <c r="D56" i="99"/>
  <c r="C44" i="97"/>
  <c r="G44" i="97"/>
  <c r="E26" i="98"/>
  <c r="I26" i="98"/>
  <c r="E22" i="97"/>
  <c r="I22" i="97"/>
  <c r="E40" i="97"/>
  <c r="I40" i="97"/>
  <c r="D40" i="99"/>
  <c r="H56" i="99"/>
  <c r="P55" i="99" s="1"/>
  <c r="H76" i="99"/>
  <c r="P75" i="99" s="1"/>
  <c r="R13" i="97"/>
  <c r="AB6" i="91"/>
  <c r="E19" i="91"/>
  <c r="T27" i="91"/>
  <c r="H21" i="91" s="1"/>
  <c r="W27" i="91"/>
  <c r="S32" i="91"/>
  <c r="AC11" i="91" s="1"/>
  <c r="R32" i="91"/>
  <c r="U44" i="91"/>
  <c r="AE12" i="91" s="1"/>
  <c r="R44" i="91"/>
  <c r="AB12" i="91" s="1"/>
  <c r="Q54" i="91"/>
  <c r="AA13" i="91" s="1"/>
  <c r="R68" i="97"/>
  <c r="U32" i="98"/>
  <c r="Q37" i="98"/>
  <c r="U37" i="98"/>
  <c r="AF8" i="91"/>
  <c r="I19" i="91"/>
  <c r="F20" i="91"/>
  <c r="M23" i="97"/>
  <c r="Q23" i="97"/>
  <c r="G20" i="91"/>
  <c r="V32" i="91"/>
  <c r="AF11" i="91" s="1"/>
  <c r="W44" i="91"/>
  <c r="AG12" i="91" s="1"/>
  <c r="S8" i="97"/>
  <c r="D20" i="91"/>
  <c r="E20" i="91"/>
  <c r="I20" i="91"/>
  <c r="G19" i="91"/>
  <c r="AG6" i="91"/>
  <c r="AG8" i="91"/>
  <c r="H18" i="91"/>
  <c r="AE6" i="91"/>
  <c r="AC6" i="91"/>
  <c r="F19" i="91"/>
  <c r="J19" i="91"/>
  <c r="Q27" i="91"/>
  <c r="AA9" i="91" s="1"/>
  <c r="U27" i="91"/>
  <c r="AE9" i="91" s="1"/>
  <c r="P27" i="91"/>
  <c r="D21" i="91" s="1"/>
  <c r="S27" i="91"/>
  <c r="G21" i="91" s="1"/>
  <c r="Q32" i="91"/>
  <c r="AA11" i="91" s="1"/>
  <c r="U32" i="91"/>
  <c r="AE11" i="91" s="1"/>
  <c r="T32" i="91"/>
  <c r="AD11" i="91" s="1"/>
  <c r="W32" i="91"/>
  <c r="V44" i="91"/>
  <c r="AF12" i="91" s="1"/>
  <c r="Q44" i="91"/>
  <c r="AA12" i="91" s="1"/>
  <c r="S44" i="91"/>
  <c r="R54" i="91"/>
  <c r="AB13" i="91" s="1"/>
  <c r="V54" i="91"/>
  <c r="AF13" i="91" s="1"/>
  <c r="U54" i="91"/>
  <c r="AE13" i="91" s="1"/>
  <c r="P54" i="91"/>
  <c r="D18" i="91"/>
  <c r="AA6" i="91"/>
  <c r="E8" i="97"/>
  <c r="I8" i="97"/>
  <c r="C13" i="97"/>
  <c r="G13" i="97"/>
  <c r="D22" i="97"/>
  <c r="H22" i="97"/>
  <c r="E53" i="97"/>
  <c r="I53" i="97"/>
  <c r="F53" i="97"/>
  <c r="J53" i="97"/>
  <c r="C21" i="98"/>
  <c r="G21" i="98"/>
  <c r="E11" i="99"/>
  <c r="M10" i="99" s="1"/>
  <c r="I11" i="99"/>
  <c r="Q9" i="99" s="1"/>
  <c r="G21" i="99"/>
  <c r="O18" i="99" s="1"/>
  <c r="K21" i="99"/>
  <c r="S18" i="99" s="1"/>
  <c r="F21" i="99"/>
  <c r="N17" i="99" s="1"/>
  <c r="G30" i="99"/>
  <c r="O29" i="99" s="1"/>
  <c r="K30" i="99"/>
  <c r="S29" i="99" s="1"/>
  <c r="F30" i="99"/>
  <c r="N29" i="99" s="1"/>
  <c r="J30" i="99"/>
  <c r="R28" i="99" s="1"/>
  <c r="K40" i="99"/>
  <c r="F40" i="99"/>
  <c r="J40" i="99"/>
  <c r="R36" i="99" s="1"/>
  <c r="K76" i="99"/>
  <c r="S75" i="99" s="1"/>
  <c r="AB7" i="91"/>
  <c r="H19" i="91"/>
  <c r="AD6" i="91"/>
  <c r="AA7" i="91"/>
  <c r="R27" i="91"/>
  <c r="AB9" i="91" s="1"/>
  <c r="V27" i="91"/>
  <c r="J21" i="91" s="1"/>
  <c r="S54" i="91"/>
  <c r="AC13" i="91" s="1"/>
  <c r="W54" i="91"/>
  <c r="AG13" i="91" s="1"/>
  <c r="AF6" i="91"/>
  <c r="H20" i="91"/>
  <c r="AD7" i="91"/>
  <c r="P44" i="91"/>
  <c r="T44" i="91"/>
  <c r="E18" i="91"/>
  <c r="I18" i="91"/>
  <c r="AB4" i="91"/>
  <c r="AF4" i="91"/>
  <c r="F11" i="99"/>
  <c r="N8" i="99" s="1"/>
  <c r="J11" i="99"/>
  <c r="R5" i="99" s="1"/>
  <c r="H21" i="99"/>
  <c r="P20" i="99" s="1"/>
  <c r="E40" i="99"/>
  <c r="M36" i="99" s="1"/>
  <c r="I40" i="99"/>
  <c r="Q36" i="99" s="1"/>
  <c r="E48" i="99"/>
  <c r="I48" i="99"/>
  <c r="E56" i="99"/>
  <c r="M54" i="99" s="1"/>
  <c r="I56" i="99"/>
  <c r="Q54" i="99" s="1"/>
  <c r="E76" i="99"/>
  <c r="M75" i="99" s="1"/>
  <c r="I76" i="99"/>
  <c r="Q74" i="99" s="1"/>
  <c r="G11" i="99"/>
  <c r="O4" i="99" s="1"/>
  <c r="E10" i="134" s="1"/>
  <c r="K11" i="99"/>
  <c r="S7" i="99" s="1"/>
  <c r="F48" i="99"/>
  <c r="J48" i="99"/>
  <c r="F56" i="99"/>
  <c r="N54" i="99" s="1"/>
  <c r="J56" i="99"/>
  <c r="R54" i="99" s="1"/>
  <c r="F76" i="99"/>
  <c r="N74" i="99" s="1"/>
  <c r="J76" i="99"/>
  <c r="R74" i="99" s="1"/>
  <c r="H11" i="99"/>
  <c r="P6" i="99" s="1"/>
  <c r="G48" i="99"/>
  <c r="K48" i="99"/>
  <c r="G56" i="99"/>
  <c r="O53" i="99" s="1"/>
  <c r="K56" i="99"/>
  <c r="S53" i="99" s="1"/>
  <c r="AD4" i="91"/>
  <c r="AE4" i="91"/>
  <c r="F18" i="91"/>
  <c r="J18" i="91"/>
  <c r="G18" i="91"/>
  <c r="N38" i="99" l="1"/>
  <c r="N36" i="99"/>
  <c r="O37" i="99"/>
  <c r="O36" i="99"/>
  <c r="S37" i="99"/>
  <c r="S36" i="99"/>
  <c r="P37" i="99"/>
  <c r="P36" i="99"/>
  <c r="AF81" i="92"/>
  <c r="AG81" i="92"/>
  <c r="AC81" i="92"/>
  <c r="AD81" i="92"/>
  <c r="AB11" i="91"/>
  <c r="AB18" i="91" s="1"/>
  <c r="F22" i="91"/>
  <c r="P47" i="99"/>
  <c r="X20" i="102"/>
  <c r="E105" i="100" s="1"/>
  <c r="P46" i="99"/>
  <c r="Y47" i="102"/>
  <c r="X21" i="102"/>
  <c r="E106" i="100" s="1"/>
  <c r="Y6" i="102"/>
  <c r="F96" i="100" s="1"/>
  <c r="D62" i="100"/>
  <c r="AA57" i="102"/>
  <c r="AJ81" i="100"/>
  <c r="Z16" i="102"/>
  <c r="G101" i="100" s="1"/>
  <c r="G82" i="100" s="1"/>
  <c r="AN81" i="100"/>
  <c r="D17" i="132"/>
  <c r="I17" i="132"/>
  <c r="AO81" i="100"/>
  <c r="AL81" i="100"/>
  <c r="AM81" i="100"/>
  <c r="AK81" i="100"/>
  <c r="AB58" i="102"/>
  <c r="Y59" i="102"/>
  <c r="Q29" i="99"/>
  <c r="Q19" i="99"/>
  <c r="O74" i="99"/>
  <c r="R20" i="99"/>
  <c r="O35" i="99"/>
  <c r="O38" i="99"/>
  <c r="Q45" i="99"/>
  <c r="I64" i="99"/>
  <c r="M45" i="99"/>
  <c r="E64" i="99"/>
  <c r="M62" i="99" s="1"/>
  <c r="H64" i="99"/>
  <c r="S46" i="99"/>
  <c r="K64" i="99"/>
  <c r="R46" i="99"/>
  <c r="J64" i="99"/>
  <c r="D64" i="99"/>
  <c r="O46" i="99"/>
  <c r="G64" i="99"/>
  <c r="N45" i="99"/>
  <c r="F64" i="99"/>
  <c r="N63" i="99" s="1"/>
  <c r="AD19" i="102"/>
  <c r="K104" i="100" s="1"/>
  <c r="Q28" i="99"/>
  <c r="M20" i="99"/>
  <c r="R19" i="99"/>
  <c r="O39" i="99"/>
  <c r="M16" i="99"/>
  <c r="AC20" i="102"/>
  <c r="J105" i="100" s="1"/>
  <c r="X6" i="102"/>
  <c r="E96" i="100" s="1"/>
  <c r="AC59" i="102"/>
  <c r="AD58" i="102"/>
  <c r="AB59" i="102"/>
  <c r="AB56" i="102"/>
  <c r="X56" i="102"/>
  <c r="Z56" i="102"/>
  <c r="X57" i="102"/>
  <c r="AB20" i="102"/>
  <c r="I105" i="100" s="1"/>
  <c r="AD57" i="102"/>
  <c r="Y57" i="102"/>
  <c r="Y56" i="102"/>
  <c r="AB57" i="102"/>
  <c r="AC58" i="102"/>
  <c r="Q20" i="99"/>
  <c r="R18" i="99"/>
  <c r="Q26" i="99"/>
  <c r="Q17" i="99"/>
  <c r="Q18" i="99"/>
  <c r="R17" i="99"/>
  <c r="M17" i="99"/>
  <c r="S28" i="99"/>
  <c r="AC57" i="102"/>
  <c r="AA58" i="102"/>
  <c r="Y58" i="102"/>
  <c r="AD59" i="102"/>
  <c r="AA56" i="102"/>
  <c r="AC56" i="102"/>
  <c r="AA59" i="102"/>
  <c r="AD56" i="102"/>
  <c r="AC6" i="102"/>
  <c r="J96" i="100" s="1"/>
  <c r="Z58" i="102"/>
  <c r="Z19" i="102"/>
  <c r="G104" i="100" s="1"/>
  <c r="Z57" i="102"/>
  <c r="X59" i="102"/>
  <c r="AA6" i="102"/>
  <c r="H96" i="100" s="1"/>
  <c r="Y19" i="102"/>
  <c r="F104" i="100" s="1"/>
  <c r="Z59" i="102"/>
  <c r="X58" i="102"/>
  <c r="AA19" i="102"/>
  <c r="H104" i="100" s="1"/>
  <c r="AA46" i="102"/>
  <c r="AB6" i="102"/>
  <c r="I96" i="100" s="1"/>
  <c r="AD7" i="102"/>
  <c r="K97" i="100" s="1"/>
  <c r="Z6" i="102"/>
  <c r="G96" i="100" s="1"/>
  <c r="X17" i="102"/>
  <c r="E102" i="100" s="1"/>
  <c r="X18" i="102"/>
  <c r="E103" i="100" s="1"/>
  <c r="E90" i="100" s="1"/>
  <c r="X16" i="102"/>
  <c r="E101" i="100" s="1"/>
  <c r="E82" i="100" s="1"/>
  <c r="AD5" i="102"/>
  <c r="Z5" i="102"/>
  <c r="G95" i="100" s="1"/>
  <c r="G88" i="100" s="1"/>
  <c r="AC7" i="102"/>
  <c r="J97" i="100" s="1"/>
  <c r="AB19" i="102"/>
  <c r="I104" i="100" s="1"/>
  <c r="AA7" i="102"/>
  <c r="H97" i="100" s="1"/>
  <c r="AC18" i="102"/>
  <c r="J103" i="100" s="1"/>
  <c r="AD6" i="102"/>
  <c r="K96" i="100" s="1"/>
  <c r="Z21" i="102"/>
  <c r="G106" i="100" s="1"/>
  <c r="Z8" i="102"/>
  <c r="G98" i="100" s="1"/>
  <c r="Y7" i="102"/>
  <c r="F97" i="100" s="1"/>
  <c r="X19" i="102"/>
  <c r="E104" i="100" s="1"/>
  <c r="Z7" i="102"/>
  <c r="G97" i="100" s="1"/>
  <c r="Z20" i="102"/>
  <c r="G105" i="100" s="1"/>
  <c r="AD16" i="102"/>
  <c r="K101" i="100" s="1"/>
  <c r="K82" i="100" s="1"/>
  <c r="Z17" i="102"/>
  <c r="G102" i="100" s="1"/>
  <c r="AB8" i="102"/>
  <c r="I98" i="100" s="1"/>
  <c r="AC16" i="102"/>
  <c r="J101" i="100" s="1"/>
  <c r="J82" i="100" s="1"/>
  <c r="Y17" i="102"/>
  <c r="F102" i="100" s="1"/>
  <c r="X7" i="102"/>
  <c r="E97" i="100" s="1"/>
  <c r="AA18" i="102"/>
  <c r="H103" i="100" s="1"/>
  <c r="H90" i="100" s="1"/>
  <c r="Y21" i="102"/>
  <c r="F106" i="100" s="1"/>
  <c r="Y4" i="102"/>
  <c r="F94" i="100" s="1"/>
  <c r="F80" i="100" s="1"/>
  <c r="AD20" i="102"/>
  <c r="K105" i="100" s="1"/>
  <c r="AA17" i="102"/>
  <c r="H102" i="100" s="1"/>
  <c r="X5" i="102"/>
  <c r="E95" i="100" s="1"/>
  <c r="E88" i="100" s="1"/>
  <c r="AA20" i="102"/>
  <c r="H105" i="100" s="1"/>
  <c r="Y16" i="102"/>
  <c r="F101" i="100" s="1"/>
  <c r="F82" i="100" s="1"/>
  <c r="AD4" i="102"/>
  <c r="K94" i="100" s="1"/>
  <c r="K80" i="100" s="1"/>
  <c r="AB16" i="102"/>
  <c r="I101" i="100" s="1"/>
  <c r="I82" i="100" s="1"/>
  <c r="AB17" i="102"/>
  <c r="I102" i="100" s="1"/>
  <c r="AD8" i="102"/>
  <c r="K98" i="100" s="1"/>
  <c r="AC5" i="102"/>
  <c r="J95" i="100" s="1"/>
  <c r="AC17" i="102"/>
  <c r="J102" i="100" s="1"/>
  <c r="AA16" i="102"/>
  <c r="H101" i="100" s="1"/>
  <c r="H82" i="100" s="1"/>
  <c r="AB4" i="102"/>
  <c r="I94" i="100" s="1"/>
  <c r="I80" i="100" s="1"/>
  <c r="Y8" i="102"/>
  <c r="F98" i="100" s="1"/>
  <c r="AD17" i="102"/>
  <c r="K102" i="100" s="1"/>
  <c r="AB7" i="102"/>
  <c r="I97" i="100" s="1"/>
  <c r="AA4" i="102"/>
  <c r="H94" i="100" s="1"/>
  <c r="H80" i="100" s="1"/>
  <c r="X8" i="102"/>
  <c r="E98" i="100" s="1"/>
  <c r="AB18" i="102"/>
  <c r="I103" i="100" s="1"/>
  <c r="I90" i="100" s="1"/>
  <c r="AD21" i="102"/>
  <c r="K106" i="100" s="1"/>
  <c r="Z4" i="102"/>
  <c r="G94" i="100" s="1"/>
  <c r="G80" i="100" s="1"/>
  <c r="AA8" i="102"/>
  <c r="H98" i="100" s="1"/>
  <c r="Y5" i="102"/>
  <c r="F95" i="100" s="1"/>
  <c r="F88" i="100" s="1"/>
  <c r="Y18" i="102"/>
  <c r="F103" i="100" s="1"/>
  <c r="F90" i="100" s="1"/>
  <c r="AB21" i="102"/>
  <c r="I106" i="100" s="1"/>
  <c r="X4" i="102"/>
  <c r="E94" i="100" s="1"/>
  <c r="E80" i="100" s="1"/>
  <c r="AA5" i="102"/>
  <c r="H95" i="100" s="1"/>
  <c r="H88" i="100" s="1"/>
  <c r="Y20" i="102"/>
  <c r="F105" i="100" s="1"/>
  <c r="AA21" i="102"/>
  <c r="H106" i="100" s="1"/>
  <c r="AC21" i="102"/>
  <c r="J106" i="100" s="1"/>
  <c r="AC4" i="102"/>
  <c r="J94" i="100" s="1"/>
  <c r="Z18" i="102"/>
  <c r="G103" i="100" s="1"/>
  <c r="G90" i="100" s="1"/>
  <c r="AD18" i="102"/>
  <c r="K103" i="100" s="1"/>
  <c r="K90" i="100" s="1"/>
  <c r="AC8" i="102"/>
  <c r="J98" i="100" s="1"/>
  <c r="AB5" i="102"/>
  <c r="I95" i="100" s="1"/>
  <c r="I88" i="100" s="1"/>
  <c r="AC19" i="102"/>
  <c r="J104" i="100" s="1"/>
  <c r="P56" i="91"/>
  <c r="D23" i="91" s="1"/>
  <c r="D36" i="91" s="1"/>
  <c r="G33" i="100"/>
  <c r="AD46" i="102"/>
  <c r="M18" i="99"/>
  <c r="O19" i="99"/>
  <c r="P39" i="99"/>
  <c r="O16" i="99"/>
  <c r="S17" i="99"/>
  <c r="R37" i="99"/>
  <c r="Z44" i="102"/>
  <c r="K62" i="100"/>
  <c r="AB44" i="102"/>
  <c r="H62" i="100"/>
  <c r="AA47" i="102"/>
  <c r="F62" i="100"/>
  <c r="U56" i="91"/>
  <c r="I23" i="91" s="1"/>
  <c r="AD44" i="102"/>
  <c r="AC47" i="102"/>
  <c r="D33" i="100"/>
  <c r="Y45" i="102"/>
  <c r="E33" i="100"/>
  <c r="AD9" i="91"/>
  <c r="Z45" i="102"/>
  <c r="AF9" i="91"/>
  <c r="AF18" i="91" s="1"/>
  <c r="Y44" i="102"/>
  <c r="Z46" i="102"/>
  <c r="I22" i="91"/>
  <c r="Z47" i="102"/>
  <c r="E62" i="100"/>
  <c r="G62" i="100"/>
  <c r="I62" i="100"/>
  <c r="Y46" i="102"/>
  <c r="F33" i="100"/>
  <c r="M26" i="99"/>
  <c r="AG11" i="91"/>
  <c r="AC9" i="91"/>
  <c r="J62" i="100"/>
  <c r="H33" i="100"/>
  <c r="P26" i="99"/>
  <c r="O26" i="99"/>
  <c r="P27" i="99"/>
  <c r="M29" i="99"/>
  <c r="P29" i="99"/>
  <c r="O28" i="99"/>
  <c r="M28" i="99"/>
  <c r="Q6" i="99"/>
  <c r="AB45" i="102"/>
  <c r="AB47" i="102"/>
  <c r="AC45" i="102"/>
  <c r="AB46" i="102"/>
  <c r="E22" i="91"/>
  <c r="S56" i="91"/>
  <c r="G23" i="91" s="1"/>
  <c r="AC44" i="102"/>
  <c r="J33" i="100"/>
  <c r="I33" i="100"/>
  <c r="K33" i="100"/>
  <c r="AC46" i="102"/>
  <c r="AA44" i="102"/>
  <c r="AA45" i="102"/>
  <c r="AD47" i="102"/>
  <c r="AD45" i="102"/>
  <c r="AG9" i="91"/>
  <c r="T56" i="91"/>
  <c r="H23" i="91" s="1"/>
  <c r="M9" i="99"/>
  <c r="P38" i="99"/>
  <c r="P35" i="99"/>
  <c r="N28" i="99"/>
  <c r="R26" i="99"/>
  <c r="M4" i="99"/>
  <c r="N19" i="99"/>
  <c r="N16" i="99"/>
  <c r="M8" i="99"/>
  <c r="M7" i="99"/>
  <c r="M6" i="99"/>
  <c r="M5" i="99"/>
  <c r="N37" i="99"/>
  <c r="S74" i="99"/>
  <c r="N20" i="99"/>
  <c r="N18" i="99"/>
  <c r="R27" i="99"/>
  <c r="R29" i="99"/>
  <c r="O27" i="99"/>
  <c r="Q5" i="99"/>
  <c r="P53" i="99"/>
  <c r="S35" i="99"/>
  <c r="P54" i="99"/>
  <c r="Q7" i="99"/>
  <c r="S39" i="99"/>
  <c r="Q10" i="99"/>
  <c r="S38" i="99"/>
  <c r="Q4" i="99"/>
  <c r="G10" i="134" s="1"/>
  <c r="Q8" i="99"/>
  <c r="R35" i="99"/>
  <c r="R39" i="99"/>
  <c r="S20" i="99"/>
  <c r="R38" i="99"/>
  <c r="N27" i="99"/>
  <c r="N26" i="99"/>
  <c r="P74" i="99"/>
  <c r="N35" i="99"/>
  <c r="N39" i="99"/>
  <c r="O20" i="99"/>
  <c r="O17" i="99"/>
  <c r="S19" i="99"/>
  <c r="S16" i="99"/>
  <c r="S26" i="99"/>
  <c r="S27" i="99"/>
  <c r="R56" i="91"/>
  <c r="F23" i="91" s="1"/>
  <c r="G22" i="91"/>
  <c r="E21" i="91"/>
  <c r="Q56" i="91"/>
  <c r="E23" i="91" s="1"/>
  <c r="H22" i="91"/>
  <c r="J22" i="91"/>
  <c r="AC12" i="91"/>
  <c r="V56" i="91"/>
  <c r="J23" i="91" s="1"/>
  <c r="W56" i="91"/>
  <c r="I21" i="91"/>
  <c r="AD12" i="91"/>
  <c r="S45" i="99"/>
  <c r="S8" i="99"/>
  <c r="R7" i="99"/>
  <c r="R45" i="99"/>
  <c r="F21" i="91"/>
  <c r="R47" i="99"/>
  <c r="S4" i="99"/>
  <c r="S5" i="99"/>
  <c r="M53" i="99"/>
  <c r="S9" i="99"/>
  <c r="S47" i="99"/>
  <c r="R8" i="99"/>
  <c r="R4" i="99"/>
  <c r="H10" i="134" s="1"/>
  <c r="O55" i="99"/>
  <c r="M35" i="99"/>
  <c r="M74" i="99"/>
  <c r="N47" i="99"/>
  <c r="M39" i="99"/>
  <c r="P9" i="99"/>
  <c r="P5" i="99"/>
  <c r="N55" i="99"/>
  <c r="O45" i="99"/>
  <c r="P17" i="99"/>
  <c r="O9" i="99"/>
  <c r="O5" i="99"/>
  <c r="N75" i="99"/>
  <c r="O8" i="99"/>
  <c r="O47" i="99"/>
  <c r="N4" i="99"/>
  <c r="D10" i="134" s="1"/>
  <c r="S55" i="99"/>
  <c r="Q53" i="99"/>
  <c r="Q35" i="99"/>
  <c r="S10" i="99"/>
  <c r="S6" i="99"/>
  <c r="S54" i="99"/>
  <c r="R10" i="99"/>
  <c r="R6" i="99"/>
  <c r="Q55" i="99"/>
  <c r="Q46" i="99"/>
  <c r="Q37" i="99"/>
  <c r="R9" i="99"/>
  <c r="Q75" i="99"/>
  <c r="R53" i="99"/>
  <c r="P18" i="99"/>
  <c r="O10" i="99"/>
  <c r="O6" i="99"/>
  <c r="O54" i="99"/>
  <c r="N46" i="99"/>
  <c r="N10" i="99"/>
  <c r="P8" i="99"/>
  <c r="N6" i="99"/>
  <c r="P4" i="99"/>
  <c r="F10" i="134" s="1"/>
  <c r="M55" i="99"/>
  <c r="M46" i="99"/>
  <c r="M37" i="99"/>
  <c r="P16" i="99"/>
  <c r="N9" i="99"/>
  <c r="P7" i="99"/>
  <c r="N5" i="99"/>
  <c r="N53" i="99"/>
  <c r="P19" i="99"/>
  <c r="O7" i="99"/>
  <c r="Q39" i="99"/>
  <c r="R55" i="99"/>
  <c r="Q47" i="99"/>
  <c r="Q38" i="99"/>
  <c r="R75" i="99"/>
  <c r="N7" i="99"/>
  <c r="M47" i="99"/>
  <c r="M38" i="99"/>
  <c r="P10" i="99"/>
  <c r="AE18" i="91"/>
  <c r="AA18" i="91"/>
  <c r="D30" i="91" l="1"/>
  <c r="J30" i="91"/>
  <c r="E48" i="91"/>
  <c r="F48" i="91" s="1"/>
  <c r="I36" i="91"/>
  <c r="G36" i="91"/>
  <c r="K36" i="91"/>
  <c r="H36" i="91"/>
  <c r="F36" i="91"/>
  <c r="J36" i="91"/>
  <c r="E36" i="91"/>
  <c r="F30" i="91"/>
  <c r="I30" i="91"/>
  <c r="E30" i="91"/>
  <c r="H30" i="91"/>
  <c r="G30" i="91"/>
  <c r="AG18" i="91"/>
  <c r="AB31" i="91" s="1"/>
  <c r="I10" i="134"/>
  <c r="B10" i="134"/>
  <c r="C10" i="134"/>
  <c r="K95" i="100"/>
  <c r="K88" i="100" s="1"/>
  <c r="AA31" i="91"/>
  <c r="E89" i="100"/>
  <c r="E87" i="100"/>
  <c r="I87" i="100"/>
  <c r="I89" i="100"/>
  <c r="H86" i="100"/>
  <c r="K89" i="100"/>
  <c r="I86" i="100"/>
  <c r="F86" i="100"/>
  <c r="G89" i="100"/>
  <c r="K86" i="100"/>
  <c r="G86" i="100"/>
  <c r="F87" i="100"/>
  <c r="H89" i="100"/>
  <c r="E86" i="100"/>
  <c r="F89" i="100"/>
  <c r="H87" i="100"/>
  <c r="G87" i="100"/>
  <c r="K87" i="100"/>
  <c r="AJ79" i="100"/>
  <c r="AJ85" i="100" s="1"/>
  <c r="N62" i="99"/>
  <c r="AJ78" i="100" s="1"/>
  <c r="AJ84" i="100" s="1"/>
  <c r="N61" i="99"/>
  <c r="AJ77" i="100" s="1"/>
  <c r="AJ83" i="100" s="1"/>
  <c r="M63" i="99"/>
  <c r="AI79" i="100" s="1"/>
  <c r="AI85" i="100" s="1"/>
  <c r="M61" i="99"/>
  <c r="AI78" i="100"/>
  <c r="AI84" i="100" s="1"/>
  <c r="R61" i="99"/>
  <c r="AN77" i="100" s="1"/>
  <c r="AN83" i="100" s="1"/>
  <c r="R63" i="99"/>
  <c r="AN79" i="100" s="1"/>
  <c r="AN85" i="100" s="1"/>
  <c r="R62" i="99"/>
  <c r="AN78" i="100" s="1"/>
  <c r="AN84" i="100" s="1"/>
  <c r="P61" i="99"/>
  <c r="AL77" i="100" s="1"/>
  <c r="AL83" i="100" s="1"/>
  <c r="P62" i="99"/>
  <c r="AL78" i="100" s="1"/>
  <c r="AL84" i="100" s="1"/>
  <c r="P63" i="99"/>
  <c r="AL79" i="100" s="1"/>
  <c r="AL85" i="100" s="1"/>
  <c r="O61" i="99"/>
  <c r="AK77" i="100" s="1"/>
  <c r="AK83" i="100" s="1"/>
  <c r="O63" i="99"/>
  <c r="AK79" i="100" s="1"/>
  <c r="AK85" i="100" s="1"/>
  <c r="O62" i="99"/>
  <c r="AK78" i="100" s="1"/>
  <c r="AK84" i="100" s="1"/>
  <c r="Q63" i="99"/>
  <c r="AM79" i="100" s="1"/>
  <c r="AM85" i="100" s="1"/>
  <c r="Q61" i="99"/>
  <c r="AM77" i="100" s="1"/>
  <c r="AM83" i="100" s="1"/>
  <c r="Q62" i="99"/>
  <c r="AM78" i="100" s="1"/>
  <c r="AM84" i="100" s="1"/>
  <c r="S62" i="99"/>
  <c r="AO78" i="100" s="1"/>
  <c r="AO84" i="100" s="1"/>
  <c r="S61" i="99"/>
  <c r="AO77" i="100" s="1"/>
  <c r="AO83" i="100" s="1"/>
  <c r="S63" i="99"/>
  <c r="AO79" i="100" s="1"/>
  <c r="AO85" i="100" s="1"/>
  <c r="AD18" i="91"/>
  <c r="AC18" i="91"/>
  <c r="AA38" i="91"/>
  <c r="AA37" i="91"/>
  <c r="AA36" i="91"/>
  <c r="AA33" i="91"/>
  <c r="AA35" i="91"/>
  <c r="AA41" i="91"/>
  <c r="AA42" i="91"/>
  <c r="AA39" i="91"/>
  <c r="AA40" i="91"/>
  <c r="AA32" i="91"/>
  <c r="AA34" i="91"/>
  <c r="E52" i="91" l="1"/>
  <c r="F52" i="91" s="1"/>
  <c r="F55" i="91" s="1"/>
  <c r="K43" i="91"/>
  <c r="K34" i="91"/>
  <c r="I30" i="134" s="1"/>
  <c r="D34" i="91"/>
  <c r="D2" i="134"/>
  <c r="F34" i="91"/>
  <c r="D30" i="134" s="1"/>
  <c r="G34" i="91"/>
  <c r="E30" i="134" s="1"/>
  <c r="H2" i="134"/>
  <c r="J34" i="91"/>
  <c r="H30" i="134" s="1"/>
  <c r="J42" i="91"/>
  <c r="E34" i="91"/>
  <c r="G2" i="134"/>
  <c r="I34" i="91"/>
  <c r="G30" i="134" s="1"/>
  <c r="F2" i="134"/>
  <c r="H34" i="91"/>
  <c r="F30" i="134" s="1"/>
  <c r="AL31" i="91"/>
  <c r="AL32" i="91" s="1"/>
  <c r="AI77" i="100"/>
  <c r="AI83" i="100" s="1"/>
  <c r="K42" i="91"/>
  <c r="E2" i="134"/>
  <c r="J47" i="91"/>
  <c r="C2" i="134"/>
  <c r="I2" i="134"/>
  <c r="AF31" i="91"/>
  <c r="AF32" i="91" s="1"/>
  <c r="AB36" i="91"/>
  <c r="K53" i="91"/>
  <c r="AB40" i="91"/>
  <c r="AB42" i="91"/>
  <c r="AB32" i="91"/>
  <c r="AB41" i="91"/>
  <c r="AB34" i="91"/>
  <c r="AB33" i="91"/>
  <c r="AB38" i="91"/>
  <c r="AB35" i="91"/>
  <c r="AB39" i="91"/>
  <c r="AB37" i="91"/>
  <c r="K55" i="91"/>
  <c r="K54" i="91"/>
  <c r="K45" i="91"/>
  <c r="K44" i="91"/>
  <c r="K46" i="91"/>
  <c r="K47" i="91"/>
  <c r="K56" i="91"/>
  <c r="K58" i="91"/>
  <c r="K51" i="91"/>
  <c r="K57" i="91"/>
  <c r="K49" i="91"/>
  <c r="K48" i="91"/>
  <c r="K52" i="91"/>
  <c r="K50" i="91"/>
  <c r="E91" i="100"/>
  <c r="I91" i="100"/>
  <c r="H91" i="100"/>
  <c r="F91" i="100"/>
  <c r="G91" i="100"/>
  <c r="K91" i="100"/>
  <c r="AJ31" i="91"/>
  <c r="AJ32" i="91" s="1"/>
  <c r="AG31" i="91"/>
  <c r="AG32" i="91" s="1"/>
  <c r="AK31" i="91"/>
  <c r="AK32" i="91" s="1"/>
  <c r="J57" i="91"/>
  <c r="D9" i="132"/>
  <c r="E9" i="132"/>
  <c r="AI31" i="91"/>
  <c r="AI32" i="91" s="1"/>
  <c r="J58" i="91"/>
  <c r="J56" i="91"/>
  <c r="J55" i="91"/>
  <c r="J52" i="91"/>
  <c r="AH31" i="91"/>
  <c r="AH32" i="91" s="1"/>
  <c r="J53" i="91"/>
  <c r="J43" i="91"/>
  <c r="J44" i="91"/>
  <c r="J46" i="91"/>
  <c r="J54" i="91"/>
  <c r="J50" i="91"/>
  <c r="J48" i="91"/>
  <c r="J51" i="91"/>
  <c r="J45" i="91"/>
  <c r="J49" i="91"/>
  <c r="B30" i="134" l="1"/>
  <c r="C30" i="134"/>
  <c r="K4" i="129"/>
  <c r="F55" i="70"/>
  <c r="E64" i="70"/>
  <c r="F64" i="70"/>
  <c r="G64" i="70"/>
  <c r="H64" i="70"/>
  <c r="I64" i="70"/>
  <c r="J64" i="70"/>
  <c r="E65" i="70"/>
  <c r="F65" i="70"/>
  <c r="G65" i="70"/>
  <c r="H65" i="70"/>
  <c r="I65" i="70"/>
  <c r="J65" i="70"/>
  <c r="K65" i="70"/>
  <c r="E63" i="70"/>
  <c r="F63" i="70"/>
  <c r="G63" i="70"/>
  <c r="H63" i="70"/>
  <c r="I63" i="70"/>
  <c r="J63" i="70"/>
  <c r="K63" i="70"/>
  <c r="K59" i="70"/>
  <c r="J59" i="70"/>
  <c r="I59" i="70"/>
  <c r="H59" i="70"/>
  <c r="G59" i="70"/>
  <c r="F59" i="70"/>
  <c r="E59" i="70"/>
  <c r="E60" i="70"/>
  <c r="F60" i="70"/>
  <c r="G60" i="70"/>
  <c r="H60" i="70"/>
  <c r="I60" i="70"/>
  <c r="J60" i="70"/>
  <c r="K60" i="70"/>
  <c r="E61" i="70"/>
  <c r="F61" i="70"/>
  <c r="G61" i="70"/>
  <c r="H61" i="70"/>
  <c r="I61" i="70"/>
  <c r="J61" i="70"/>
  <c r="K61" i="70"/>
  <c r="E56" i="70"/>
  <c r="G56" i="70"/>
  <c r="H56" i="70"/>
  <c r="I56" i="70"/>
  <c r="J56" i="70"/>
  <c r="K56" i="70"/>
  <c r="F67" i="69"/>
  <c r="U9" i="68"/>
  <c r="W9" i="68"/>
  <c r="X9" i="68"/>
  <c r="Y9" i="68"/>
  <c r="Z9" i="68"/>
  <c r="AA9" i="68"/>
  <c r="AB9" i="68"/>
  <c r="U10" i="68"/>
  <c r="W10" i="68"/>
  <c r="X10" i="68"/>
  <c r="Y10" i="68"/>
  <c r="Z10" i="68"/>
  <c r="AA10" i="68"/>
  <c r="AB10" i="68"/>
  <c r="U11" i="68"/>
  <c r="F70" i="69"/>
  <c r="AA4" i="68"/>
  <c r="Z4" i="68"/>
  <c r="Y4" i="68"/>
  <c r="X4" i="68"/>
  <c r="U4" i="68"/>
  <c r="AA15" i="67"/>
  <c r="P6" i="64" l="1"/>
  <c r="W4" i="64"/>
  <c r="W6" i="64"/>
  <c r="E54" i="70"/>
  <c r="AB4" i="68"/>
  <c r="W4" i="68"/>
  <c r="C4" i="83"/>
  <c r="J62" i="70"/>
  <c r="F7" i="129"/>
  <c r="F68" i="69"/>
  <c r="E70" i="69"/>
  <c r="U8" i="68"/>
  <c r="E69" i="69"/>
  <c r="U7" i="68"/>
  <c r="E68" i="69"/>
  <c r="U6" i="68"/>
  <c r="E67" i="69"/>
  <c r="U5" i="68"/>
  <c r="AB11" i="68"/>
  <c r="L70" i="69"/>
  <c r="AB8" i="68"/>
  <c r="L69" i="69"/>
  <c r="AB7" i="68"/>
  <c r="L68" i="69"/>
  <c r="AB6" i="68"/>
  <c r="L67" i="69"/>
  <c r="AB5" i="68"/>
  <c r="F69" i="69"/>
  <c r="AA7" i="68"/>
  <c r="K68" i="69"/>
  <c r="Z11" i="68"/>
  <c r="J70" i="69"/>
  <c r="Z8" i="68"/>
  <c r="J69" i="69"/>
  <c r="Z5" i="68"/>
  <c r="I70" i="69"/>
  <c r="Y8" i="68"/>
  <c r="I69" i="69"/>
  <c r="Y7" i="68"/>
  <c r="I68" i="69"/>
  <c r="Y6" i="68"/>
  <c r="I67" i="69"/>
  <c r="Y5" i="68"/>
  <c r="AA11" i="68"/>
  <c r="K70" i="69"/>
  <c r="AA8" i="68"/>
  <c r="K69" i="69"/>
  <c r="AA5" i="68"/>
  <c r="Z7" i="68"/>
  <c r="J68" i="69"/>
  <c r="F62" i="70"/>
  <c r="H70" i="69"/>
  <c r="X8" i="68"/>
  <c r="H69" i="69"/>
  <c r="X7" i="68"/>
  <c r="H68" i="69"/>
  <c r="X6" i="68"/>
  <c r="H67" i="69"/>
  <c r="X5" i="68"/>
  <c r="AA6" i="68"/>
  <c r="K67" i="69"/>
  <c r="Z6" i="68"/>
  <c r="J67" i="69"/>
  <c r="K54" i="70"/>
  <c r="G70" i="69"/>
  <c r="G69" i="69"/>
  <c r="W7" i="68"/>
  <c r="G68" i="69"/>
  <c r="W6" i="68"/>
  <c r="G67" i="69"/>
  <c r="W5" i="68"/>
  <c r="I62" i="70"/>
  <c r="G54" i="70"/>
  <c r="K62" i="70"/>
  <c r="H54" i="70"/>
  <c r="I54" i="70"/>
  <c r="E62" i="70"/>
  <c r="J54" i="70"/>
  <c r="H62" i="70"/>
  <c r="G62" i="70"/>
  <c r="F54" i="70"/>
  <c r="J7" i="129"/>
  <c r="E4" i="75"/>
  <c r="G7" i="129"/>
  <c r="K7" i="129"/>
  <c r="H7" i="129"/>
  <c r="L7" i="129"/>
  <c r="E7" i="129"/>
  <c r="I7" i="129"/>
  <c r="P13" i="66"/>
  <c r="AC13" i="66"/>
  <c r="I4" i="129"/>
  <c r="L4" i="129"/>
  <c r="H4" i="129"/>
  <c r="G4" i="129"/>
  <c r="E4" i="129"/>
  <c r="J4" i="129"/>
  <c r="F4" i="129"/>
  <c r="BC4" i="67"/>
  <c r="BB4" i="67"/>
  <c r="BF4" i="67"/>
  <c r="AZ4" i="67"/>
  <c r="BD4" i="67"/>
  <c r="BA4" i="67"/>
  <c r="BE4" i="67"/>
  <c r="Q10" i="128" l="1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66" i="85"/>
  <c r="AA41" i="85"/>
  <c r="AA40" i="85"/>
  <c r="AA39" i="85"/>
  <c r="AA38" i="85"/>
  <c r="AA37" i="85"/>
  <c r="AA36" i="85"/>
  <c r="AA35" i="85"/>
  <c r="AA34" i="85"/>
  <c r="AA33" i="85"/>
  <c r="P44" i="85"/>
  <c r="P43" i="85"/>
  <c r="P42" i="85"/>
  <c r="P41" i="85"/>
  <c r="P40" i="85"/>
  <c r="P39" i="85"/>
  <c r="P38" i="85"/>
  <c r="P37" i="85"/>
  <c r="P36" i="85"/>
  <c r="P35" i="85"/>
  <c r="P34" i="85"/>
  <c r="P33" i="85"/>
  <c r="D34" i="85"/>
  <c r="D35" i="85"/>
  <c r="D36" i="85"/>
  <c r="F45" i="85" s="1"/>
  <c r="D37" i="85"/>
  <c r="D38" i="85"/>
  <c r="D39" i="85"/>
  <c r="D40" i="85"/>
  <c r="D41" i="85"/>
  <c r="D42" i="85"/>
  <c r="D43" i="85"/>
  <c r="D44" i="85"/>
  <c r="F33" i="85" l="1"/>
  <c r="L33" i="85"/>
  <c r="G33" i="85"/>
  <c r="H33" i="85"/>
  <c r="I33" i="85"/>
  <c r="J33" i="85"/>
  <c r="K33" i="85"/>
  <c r="K36" i="85"/>
  <c r="L36" i="85"/>
  <c r="E36" i="85"/>
  <c r="G36" i="85"/>
  <c r="H36" i="85"/>
  <c r="F36" i="85"/>
  <c r="I36" i="85"/>
  <c r="J36" i="85"/>
  <c r="AU76" i="85"/>
  <c r="AN76" i="85"/>
  <c r="AS76" i="85"/>
  <c r="AP76" i="85"/>
  <c r="AQ76" i="85"/>
  <c r="AR76" i="85"/>
  <c r="AO76" i="85"/>
  <c r="AT76" i="85"/>
  <c r="AU68" i="85"/>
  <c r="AN68" i="85"/>
  <c r="AP68" i="85"/>
  <c r="AQ68" i="85"/>
  <c r="AT68" i="85"/>
  <c r="AR68" i="85"/>
  <c r="AS68" i="85"/>
  <c r="AO68" i="85"/>
  <c r="AF36" i="85"/>
  <c r="AH36" i="85"/>
  <c r="AI36" i="85"/>
  <c r="AB36" i="85"/>
  <c r="AD36" i="85"/>
  <c r="AG36" i="85"/>
  <c r="AC36" i="85"/>
  <c r="AE36" i="85"/>
  <c r="AU82" i="85"/>
  <c r="AN82" i="85"/>
  <c r="AP82" i="85"/>
  <c r="AO82" i="85"/>
  <c r="AQ82" i="85"/>
  <c r="AS82" i="85"/>
  <c r="AR82" i="85"/>
  <c r="AT82" i="85"/>
  <c r="R33" i="85"/>
  <c r="V33" i="85"/>
  <c r="W33" i="85"/>
  <c r="X33" i="85"/>
  <c r="Q33" i="85"/>
  <c r="T33" i="85"/>
  <c r="S33" i="85"/>
  <c r="U33" i="85"/>
  <c r="R45" i="85"/>
  <c r="AU87" i="85"/>
  <c r="AN87" i="85"/>
  <c r="AP87" i="85"/>
  <c r="AS87" i="85"/>
  <c r="AO87" i="85"/>
  <c r="AQ87" i="85"/>
  <c r="AR87" i="85"/>
  <c r="AT87" i="85"/>
  <c r="AU79" i="85"/>
  <c r="AP79" i="85"/>
  <c r="AQ79" i="85"/>
  <c r="AO79" i="85"/>
  <c r="AN79" i="85"/>
  <c r="AS79" i="85"/>
  <c r="AR79" i="85"/>
  <c r="AT79" i="85"/>
  <c r="AU71" i="85"/>
  <c r="AP71" i="85"/>
  <c r="AQ71" i="85"/>
  <c r="AN71" i="85"/>
  <c r="AS71" i="85"/>
  <c r="AT71" i="85"/>
  <c r="AR71" i="85"/>
  <c r="AO71" i="85"/>
  <c r="V36" i="85"/>
  <c r="X36" i="85"/>
  <c r="W36" i="85"/>
  <c r="Q36" i="85"/>
  <c r="R36" i="85"/>
  <c r="S36" i="85"/>
  <c r="T36" i="85"/>
  <c r="U36" i="85"/>
  <c r="AF33" i="85"/>
  <c r="AG33" i="85"/>
  <c r="AC45" i="85"/>
  <c r="AH33" i="85"/>
  <c r="AI33" i="85"/>
  <c r="AB33" i="85"/>
  <c r="AD33" i="85"/>
  <c r="AC33" i="85"/>
  <c r="AE33" i="85"/>
  <c r="Q43" i="85"/>
  <c r="Q64" i="85" s="1"/>
  <c r="Q44" i="85"/>
  <c r="Q65" i="85" s="1"/>
  <c r="AN73" i="85"/>
  <c r="AO73" i="85"/>
  <c r="AP73" i="85"/>
  <c r="AQ73" i="85"/>
  <c r="AR73" i="85"/>
  <c r="AS73" i="85"/>
  <c r="AT73" i="85"/>
  <c r="AU73" i="85"/>
  <c r="AN74" i="85"/>
  <c r="AO74" i="85"/>
  <c r="AP74" i="85"/>
  <c r="AQ74" i="85"/>
  <c r="AR74" i="85"/>
  <c r="AS74" i="85"/>
  <c r="AT74" i="85"/>
  <c r="AU74" i="85"/>
  <c r="AN75" i="85"/>
  <c r="AO75" i="85"/>
  <c r="AP75" i="85"/>
  <c r="AQ75" i="85"/>
  <c r="AR75" i="85"/>
  <c r="AS75" i="85"/>
  <c r="AT75" i="85"/>
  <c r="AU75" i="85"/>
  <c r="AN77" i="85"/>
  <c r="AO77" i="85"/>
  <c r="AP77" i="85"/>
  <c r="AQ77" i="85"/>
  <c r="AR77" i="85"/>
  <c r="AS77" i="85"/>
  <c r="AT77" i="85"/>
  <c r="AU77" i="85"/>
  <c r="AN78" i="85"/>
  <c r="AO78" i="85"/>
  <c r="AP78" i="85"/>
  <c r="AQ78" i="85"/>
  <c r="AR78" i="85"/>
  <c r="AS78" i="85"/>
  <c r="AT78" i="85"/>
  <c r="AU78" i="85"/>
  <c r="AN80" i="85"/>
  <c r="AO80" i="85"/>
  <c r="AP80" i="85"/>
  <c r="AQ80" i="85"/>
  <c r="AR80" i="85"/>
  <c r="AS80" i="85"/>
  <c r="AT80" i="85"/>
  <c r="AU80" i="85"/>
  <c r="AN81" i="85"/>
  <c r="AO81" i="85"/>
  <c r="AP81" i="85"/>
  <c r="AQ81" i="85"/>
  <c r="AR81" i="85"/>
  <c r="AS81" i="85"/>
  <c r="AT81" i="85"/>
  <c r="AU81" i="85"/>
  <c r="AN83" i="85"/>
  <c r="AO83" i="85"/>
  <c r="AP83" i="85"/>
  <c r="AQ83" i="85"/>
  <c r="AR83" i="85"/>
  <c r="AS83" i="85"/>
  <c r="AT83" i="85"/>
  <c r="AU83" i="85"/>
  <c r="AN84" i="85"/>
  <c r="AO84" i="85"/>
  <c r="AP84" i="85"/>
  <c r="AQ84" i="85"/>
  <c r="AR84" i="85"/>
  <c r="AS84" i="85"/>
  <c r="AT84" i="85"/>
  <c r="AU84" i="85"/>
  <c r="AN85" i="85"/>
  <c r="AO85" i="85"/>
  <c r="AP85" i="85"/>
  <c r="AQ85" i="85"/>
  <c r="AR85" i="85"/>
  <c r="AS85" i="85"/>
  <c r="AT85" i="85"/>
  <c r="AU85" i="85"/>
  <c r="AN86" i="85"/>
  <c r="AO86" i="85"/>
  <c r="AP86" i="85"/>
  <c r="AQ86" i="85"/>
  <c r="AR86" i="85"/>
  <c r="AS86" i="85"/>
  <c r="AT86" i="85"/>
  <c r="AU86" i="85"/>
  <c r="AN88" i="85"/>
  <c r="AO88" i="85"/>
  <c r="AP88" i="85"/>
  <c r="AQ88" i="85"/>
  <c r="AR88" i="85"/>
  <c r="AS88" i="85"/>
  <c r="AT88" i="85"/>
  <c r="AU88" i="85"/>
  <c r="AN89" i="85"/>
  <c r="AO89" i="85"/>
  <c r="AP89" i="85"/>
  <c r="AQ89" i="85"/>
  <c r="AR89" i="85"/>
  <c r="AS89" i="85"/>
  <c r="AT89" i="85"/>
  <c r="AU89" i="85"/>
  <c r="AN90" i="85"/>
  <c r="AO90" i="85"/>
  <c r="AP90" i="85"/>
  <c r="AQ90" i="85"/>
  <c r="AR90" i="85"/>
  <c r="AS90" i="85"/>
  <c r="AT90" i="85"/>
  <c r="AU90" i="85"/>
  <c r="AN91" i="85"/>
  <c r="AO91" i="85"/>
  <c r="AP91" i="85"/>
  <c r="AQ91" i="85"/>
  <c r="AR91" i="85"/>
  <c r="AS91" i="85"/>
  <c r="AT91" i="85"/>
  <c r="AU91" i="85"/>
  <c r="AB40" i="85"/>
  <c r="AC40" i="85"/>
  <c r="AD40" i="85"/>
  <c r="AE40" i="85"/>
  <c r="AF40" i="85"/>
  <c r="AG40" i="85"/>
  <c r="AH40" i="85"/>
  <c r="AI40" i="85"/>
  <c r="AB41" i="85"/>
  <c r="AC41" i="85"/>
  <c r="AD41" i="85"/>
  <c r="AE41" i="85"/>
  <c r="AF41" i="85"/>
  <c r="AG41" i="85"/>
  <c r="AH41" i="85"/>
  <c r="AI41" i="85"/>
  <c r="Q40" i="85"/>
  <c r="R40" i="85"/>
  <c r="S40" i="85"/>
  <c r="T40" i="85"/>
  <c r="U40" i="85"/>
  <c r="V40" i="85"/>
  <c r="W40" i="85"/>
  <c r="X40" i="85"/>
  <c r="Q41" i="85"/>
  <c r="R41" i="85"/>
  <c r="S41" i="85"/>
  <c r="T41" i="85"/>
  <c r="U41" i="85"/>
  <c r="V41" i="85"/>
  <c r="W41" i="85"/>
  <c r="X41" i="85"/>
  <c r="Q42" i="85"/>
  <c r="Q63" i="85" s="1"/>
  <c r="R42" i="85"/>
  <c r="R63" i="85" s="1"/>
  <c r="S42" i="85"/>
  <c r="S63" i="85" s="1"/>
  <c r="T42" i="85"/>
  <c r="T63" i="85" s="1"/>
  <c r="U42" i="85"/>
  <c r="U63" i="85" s="1"/>
  <c r="V42" i="85"/>
  <c r="V63" i="85" s="1"/>
  <c r="W42" i="85"/>
  <c r="W63" i="85" s="1"/>
  <c r="X42" i="85"/>
  <c r="X63" i="85" s="1"/>
  <c r="R43" i="85"/>
  <c r="R64" i="85" s="1"/>
  <c r="S43" i="85"/>
  <c r="S64" i="85" s="1"/>
  <c r="T43" i="85"/>
  <c r="T64" i="85" s="1"/>
  <c r="U43" i="85"/>
  <c r="U64" i="85" s="1"/>
  <c r="V43" i="85"/>
  <c r="V64" i="85" s="1"/>
  <c r="W43" i="85"/>
  <c r="W64" i="85" s="1"/>
  <c r="X43" i="85"/>
  <c r="X64" i="85" s="1"/>
  <c r="R44" i="85"/>
  <c r="R65" i="85" s="1"/>
  <c r="S44" i="85"/>
  <c r="S65" i="85" s="1"/>
  <c r="T44" i="85"/>
  <c r="T65" i="85" s="1"/>
  <c r="U44" i="85"/>
  <c r="U65" i="85" s="1"/>
  <c r="V44" i="85"/>
  <c r="V65" i="85" s="1"/>
  <c r="W44" i="85"/>
  <c r="W65" i="85" s="1"/>
  <c r="X44" i="85"/>
  <c r="X65" i="85" s="1"/>
  <c r="E40" i="85"/>
  <c r="F40" i="85"/>
  <c r="G40" i="85"/>
  <c r="H40" i="85"/>
  <c r="I40" i="85"/>
  <c r="J40" i="85"/>
  <c r="K40" i="85"/>
  <c r="L40" i="85"/>
  <c r="E41" i="85"/>
  <c r="F41" i="85"/>
  <c r="G41" i="85"/>
  <c r="H41" i="85"/>
  <c r="I41" i="85"/>
  <c r="J41" i="85"/>
  <c r="K41" i="85"/>
  <c r="L41" i="85"/>
  <c r="E42" i="85"/>
  <c r="E63" i="85" s="1"/>
  <c r="F42" i="85"/>
  <c r="F63" i="85" s="1"/>
  <c r="G42" i="85"/>
  <c r="G63" i="85" s="1"/>
  <c r="H42" i="85"/>
  <c r="H63" i="85" s="1"/>
  <c r="I42" i="85"/>
  <c r="I63" i="85" s="1"/>
  <c r="J42" i="85"/>
  <c r="J63" i="85" s="1"/>
  <c r="K42" i="85"/>
  <c r="K63" i="85" s="1"/>
  <c r="L42" i="85"/>
  <c r="L63" i="85" s="1"/>
  <c r="E43" i="85"/>
  <c r="E64" i="85" s="1"/>
  <c r="F43" i="85"/>
  <c r="F64" i="85" s="1"/>
  <c r="G43" i="85"/>
  <c r="G64" i="85" s="1"/>
  <c r="H43" i="85"/>
  <c r="H64" i="85" s="1"/>
  <c r="I43" i="85"/>
  <c r="I64" i="85" s="1"/>
  <c r="J43" i="85"/>
  <c r="J64" i="85" s="1"/>
  <c r="K43" i="85"/>
  <c r="K64" i="85" s="1"/>
  <c r="L43" i="85"/>
  <c r="L64" i="85" s="1"/>
  <c r="E44" i="85"/>
  <c r="E65" i="85" s="1"/>
  <c r="F44" i="85"/>
  <c r="F65" i="85" s="1"/>
  <c r="G44" i="85"/>
  <c r="G65" i="85" s="1"/>
  <c r="H44" i="85"/>
  <c r="H65" i="85" s="1"/>
  <c r="I44" i="85"/>
  <c r="I65" i="85" s="1"/>
  <c r="J44" i="85"/>
  <c r="J65" i="85" s="1"/>
  <c r="K44" i="85"/>
  <c r="K65" i="85" s="1"/>
  <c r="L44" i="85"/>
  <c r="L65" i="85" s="1"/>
  <c r="AU72" i="85"/>
  <c r="AT72" i="85"/>
  <c r="AS72" i="85"/>
  <c r="AR72" i="85"/>
  <c r="AQ72" i="85"/>
  <c r="AP72" i="85"/>
  <c r="AO72" i="85"/>
  <c r="AN72" i="85"/>
  <c r="AI39" i="85"/>
  <c r="AH39" i="85"/>
  <c r="AG39" i="85"/>
  <c r="AF39" i="85"/>
  <c r="AE39" i="85"/>
  <c r="AD39" i="85"/>
  <c r="AC39" i="85"/>
  <c r="AB39" i="85"/>
  <c r="X39" i="85"/>
  <c r="W39" i="85"/>
  <c r="V39" i="85"/>
  <c r="U39" i="85"/>
  <c r="T39" i="85"/>
  <c r="S39" i="85"/>
  <c r="R39" i="85"/>
  <c r="Q39" i="85"/>
  <c r="J39" i="85"/>
  <c r="H39" i="85"/>
  <c r="F39" i="85"/>
  <c r="E39" i="85"/>
  <c r="AI38" i="85"/>
  <c r="AH38" i="85"/>
  <c r="AG38" i="85"/>
  <c r="AF38" i="85"/>
  <c r="AE38" i="85"/>
  <c r="AD38" i="85"/>
  <c r="AC38" i="85"/>
  <c r="AB38" i="85"/>
  <c r="X38" i="85"/>
  <c r="W38" i="85"/>
  <c r="V38" i="85"/>
  <c r="U38" i="85"/>
  <c r="T38" i="85"/>
  <c r="S38" i="85"/>
  <c r="R38" i="85"/>
  <c r="Q38" i="85"/>
  <c r="L38" i="85"/>
  <c r="K38" i="85"/>
  <c r="J38" i="85"/>
  <c r="I38" i="85"/>
  <c r="H38" i="85"/>
  <c r="G38" i="85"/>
  <c r="F38" i="85"/>
  <c r="E38" i="85"/>
  <c r="AU70" i="85"/>
  <c r="AT70" i="85"/>
  <c r="AS70" i="85"/>
  <c r="AR70" i="85"/>
  <c r="AQ70" i="85"/>
  <c r="AP70" i="85"/>
  <c r="AO70" i="85"/>
  <c r="AN70" i="85"/>
  <c r="AI37" i="85"/>
  <c r="AH37" i="85"/>
  <c r="AG37" i="85"/>
  <c r="AF37" i="85"/>
  <c r="AE37" i="85"/>
  <c r="AD37" i="85"/>
  <c r="AC37" i="85"/>
  <c r="AB37" i="85"/>
  <c r="X37" i="85"/>
  <c r="W37" i="85"/>
  <c r="V37" i="85"/>
  <c r="U37" i="85"/>
  <c r="T37" i="85"/>
  <c r="S37" i="85"/>
  <c r="R37" i="85"/>
  <c r="Q37" i="85"/>
  <c r="L37" i="85"/>
  <c r="J37" i="85"/>
  <c r="I37" i="85"/>
  <c r="H37" i="85"/>
  <c r="F37" i="85"/>
  <c r="E37" i="85"/>
  <c r="AU69" i="85"/>
  <c r="AT69" i="85"/>
  <c r="AS69" i="85"/>
  <c r="AR69" i="85"/>
  <c r="AQ69" i="85"/>
  <c r="AP69" i="85"/>
  <c r="AO69" i="85"/>
  <c r="AN69" i="85"/>
  <c r="AI35" i="85"/>
  <c r="AH35" i="85"/>
  <c r="AG35" i="85"/>
  <c r="AF35" i="85"/>
  <c r="AE35" i="85"/>
  <c r="AD35" i="85"/>
  <c r="AC35" i="85"/>
  <c r="AB35" i="85"/>
  <c r="X35" i="85"/>
  <c r="W35" i="85"/>
  <c r="V35" i="85"/>
  <c r="U35" i="85"/>
  <c r="T35" i="85"/>
  <c r="S35" i="85"/>
  <c r="R35" i="85"/>
  <c r="Q35" i="85"/>
  <c r="K35" i="85"/>
  <c r="J35" i="85"/>
  <c r="G35" i="85"/>
  <c r="F35" i="85"/>
  <c r="E35" i="85"/>
  <c r="AU67" i="85"/>
  <c r="AT67" i="85"/>
  <c r="AS67" i="85"/>
  <c r="AR67" i="85"/>
  <c r="AQ67" i="85"/>
  <c r="AP67" i="85"/>
  <c r="AO67" i="85"/>
  <c r="AN67" i="85"/>
  <c r="AI34" i="85"/>
  <c r="AH34" i="85"/>
  <c r="AG34" i="85"/>
  <c r="AF34" i="85"/>
  <c r="AE34" i="85"/>
  <c r="AD34" i="85"/>
  <c r="AC34" i="85"/>
  <c r="AB34" i="85"/>
  <c r="X34" i="85"/>
  <c r="W34" i="85"/>
  <c r="V34" i="85"/>
  <c r="U34" i="85"/>
  <c r="T34" i="85"/>
  <c r="S34" i="85"/>
  <c r="R34" i="85"/>
  <c r="Q34" i="85"/>
  <c r="I34" i="85"/>
  <c r="E34" i="85"/>
  <c r="AU66" i="85"/>
  <c r="AT66" i="85"/>
  <c r="AS66" i="85"/>
  <c r="AR66" i="85"/>
  <c r="AQ66" i="85"/>
  <c r="AP66" i="85"/>
  <c r="AO66" i="85"/>
  <c r="AN66" i="85"/>
  <c r="AE50" i="85" l="1"/>
  <c r="AE56" i="85" s="1"/>
  <c r="G66" i="85"/>
  <c r="G67" i="85" s="1"/>
  <c r="Q66" i="85"/>
  <c r="Q67" i="85" s="1"/>
  <c r="S66" i="85"/>
  <c r="S67" i="85" s="1"/>
  <c r="T66" i="85"/>
  <c r="T67" i="85" s="1"/>
  <c r="R66" i="85"/>
  <c r="W66" i="85"/>
  <c r="W67" i="85" s="1"/>
  <c r="X66" i="85"/>
  <c r="X67" i="85" s="1"/>
  <c r="V66" i="85"/>
  <c r="V67" i="85" s="1"/>
  <c r="K66" i="85"/>
  <c r="K67" i="85" s="1"/>
  <c r="U66" i="85"/>
  <c r="U67" i="85" s="1"/>
  <c r="F66" i="85"/>
  <c r="E66" i="85"/>
  <c r="E67" i="85" s="1"/>
  <c r="L66" i="85"/>
  <c r="L67" i="85" s="1"/>
  <c r="J66" i="85"/>
  <c r="J67" i="85" s="1"/>
  <c r="I66" i="85"/>
  <c r="I67" i="85" s="1"/>
  <c r="H66" i="85"/>
  <c r="H67" i="85" s="1"/>
  <c r="Q51" i="85"/>
  <c r="Q57" i="85" s="1"/>
  <c r="AI51" i="85"/>
  <c r="AI57" i="85" s="1"/>
  <c r="X52" i="85"/>
  <c r="X58" i="85" s="1"/>
  <c r="AH52" i="85"/>
  <c r="AH58" i="85" s="1"/>
  <c r="V51" i="85"/>
  <c r="V57" i="85" s="1"/>
  <c r="AF51" i="85"/>
  <c r="AF57" i="85" s="1"/>
  <c r="U52" i="85"/>
  <c r="U58" i="85" s="1"/>
  <c r="AE52" i="85"/>
  <c r="AE58" i="85" s="1"/>
  <c r="AG50" i="85"/>
  <c r="AG56" i="85" s="1"/>
  <c r="U50" i="85"/>
  <c r="U56" i="85" s="1"/>
  <c r="R50" i="85"/>
  <c r="R56" i="85" s="1"/>
  <c r="W51" i="85"/>
  <c r="W57" i="85" s="1"/>
  <c r="AG51" i="85"/>
  <c r="AG57" i="85" s="1"/>
  <c r="V52" i="85"/>
  <c r="V58" i="85" s="1"/>
  <c r="AF52" i="85"/>
  <c r="AF58" i="85" s="1"/>
  <c r="S50" i="85"/>
  <c r="S56" i="85" s="1"/>
  <c r="X51" i="85"/>
  <c r="X57" i="85" s="1"/>
  <c r="AH51" i="85"/>
  <c r="AH57" i="85" s="1"/>
  <c r="W52" i="85"/>
  <c r="W58" i="85" s="1"/>
  <c r="AG52" i="85"/>
  <c r="AG58" i="85" s="1"/>
  <c r="AC50" i="85"/>
  <c r="AC56" i="85" s="1"/>
  <c r="AF50" i="85"/>
  <c r="AF56" i="85" s="1"/>
  <c r="AO92" i="85"/>
  <c r="AP97" i="85" s="1"/>
  <c r="AP103" i="85" s="1"/>
  <c r="AP244" i="85" s="1"/>
  <c r="T50" i="85"/>
  <c r="T56" i="85" s="1"/>
  <c r="AD50" i="85"/>
  <c r="AD56" i="85" s="1"/>
  <c r="AI52" i="85"/>
  <c r="AI58" i="85" s="1"/>
  <c r="S51" i="85"/>
  <c r="S57" i="85" s="1"/>
  <c r="AC51" i="85"/>
  <c r="AC57" i="85" s="1"/>
  <c r="R52" i="85"/>
  <c r="R58" i="85" s="1"/>
  <c r="AB52" i="85"/>
  <c r="AB58" i="85" s="1"/>
  <c r="AI50" i="85"/>
  <c r="AI56" i="85" s="1"/>
  <c r="W50" i="85"/>
  <c r="W56" i="85" s="1"/>
  <c r="R51" i="85"/>
  <c r="R57" i="85" s="1"/>
  <c r="Q52" i="85"/>
  <c r="Q58" i="85" s="1"/>
  <c r="X50" i="85"/>
  <c r="X56" i="85" s="1"/>
  <c r="T51" i="85"/>
  <c r="T57" i="85" s="1"/>
  <c r="AD51" i="85"/>
  <c r="AD57" i="85" s="1"/>
  <c r="AO110" i="85"/>
  <c r="AO248" i="85" s="1"/>
  <c r="S52" i="85"/>
  <c r="S58" i="85" s="1"/>
  <c r="AC52" i="85"/>
  <c r="AC58" i="85" s="1"/>
  <c r="AH50" i="85"/>
  <c r="AH56" i="85" s="1"/>
  <c r="Q50" i="85"/>
  <c r="Q56" i="85" s="1"/>
  <c r="AB51" i="85"/>
  <c r="AB57" i="85" s="1"/>
  <c r="AB50" i="85"/>
  <c r="AB56" i="85" s="1"/>
  <c r="U51" i="85"/>
  <c r="U57" i="85" s="1"/>
  <c r="AE51" i="85"/>
  <c r="AE57" i="85" s="1"/>
  <c r="T52" i="85"/>
  <c r="T58" i="85" s="1"/>
  <c r="AD52" i="85"/>
  <c r="AD58" i="85" s="1"/>
  <c r="AG49" i="85"/>
  <c r="AG55" i="85" s="1"/>
  <c r="AI49" i="85"/>
  <c r="AI55" i="85" s="1"/>
  <c r="AB49" i="85"/>
  <c r="AB55" i="85" s="1"/>
  <c r="AC49" i="85"/>
  <c r="AC55" i="85" s="1"/>
  <c r="AH49" i="85"/>
  <c r="AH55" i="85" s="1"/>
  <c r="AD49" i="85"/>
  <c r="AD55" i="85" s="1"/>
  <c r="AE49" i="85"/>
  <c r="AE55" i="85" s="1"/>
  <c r="AF49" i="85"/>
  <c r="AF55" i="85" s="1"/>
  <c r="R49" i="85"/>
  <c r="R55" i="85" s="1"/>
  <c r="S49" i="85"/>
  <c r="S55" i="85" s="1"/>
  <c r="W49" i="85"/>
  <c r="W55" i="85" s="1"/>
  <c r="Q49" i="85"/>
  <c r="Q55" i="85" s="1"/>
  <c r="T49" i="85"/>
  <c r="T55" i="85" s="1"/>
  <c r="U49" i="85"/>
  <c r="U55" i="85" s="1"/>
  <c r="V49" i="85"/>
  <c r="V55" i="85" s="1"/>
  <c r="X49" i="85"/>
  <c r="X55" i="85" s="1"/>
  <c r="V50" i="85"/>
  <c r="V56" i="85" s="1"/>
  <c r="AQ109" i="85"/>
  <c r="AT110" i="85"/>
  <c r="AT248" i="85" s="1"/>
  <c r="AZ12" i="85"/>
  <c r="AZ141" i="85" s="1"/>
  <c r="BA11" i="85"/>
  <c r="BA140" i="85" s="1"/>
  <c r="BC13" i="85"/>
  <c r="BC142" i="85" s="1"/>
  <c r="BD12" i="85"/>
  <c r="BD141" i="85" s="1"/>
  <c r="BE11" i="85"/>
  <c r="BE140" i="85" s="1"/>
  <c r="AU109" i="85"/>
  <c r="AP110" i="85"/>
  <c r="AP248" i="85" s="1"/>
  <c r="AN109" i="85"/>
  <c r="AR109" i="85"/>
  <c r="AQ110" i="85"/>
  <c r="AQ248" i="85" s="1"/>
  <c r="AU110" i="85"/>
  <c r="AU248" i="85" s="1"/>
  <c r="AO109" i="85"/>
  <c r="AR110" i="85"/>
  <c r="AR248" i="85" s="1"/>
  <c r="AS109" i="85"/>
  <c r="AN110" i="85"/>
  <c r="AN248" i="85" s="1"/>
  <c r="AP109" i="85"/>
  <c r="AT109" i="85"/>
  <c r="AS110" i="85"/>
  <c r="AS248" i="85" s="1"/>
  <c r="BG13" i="85"/>
  <c r="BG142" i="85" s="1"/>
  <c r="BD13" i="85"/>
  <c r="BD142" i="85" s="1"/>
  <c r="AZ13" i="85"/>
  <c r="AZ142" i="85" s="1"/>
  <c r="BE12" i="85"/>
  <c r="BE141" i="85" s="1"/>
  <c r="BA12" i="85"/>
  <c r="BA141" i="85" s="1"/>
  <c r="BF11" i="85"/>
  <c r="BF140" i="85" s="1"/>
  <c r="BB11" i="85"/>
  <c r="BB140" i="85" s="1"/>
  <c r="BE13" i="85"/>
  <c r="BE142" i="85" s="1"/>
  <c r="BA13" i="85"/>
  <c r="BA142" i="85" s="1"/>
  <c r="BF12" i="85"/>
  <c r="BF141" i="85" s="1"/>
  <c r="BB12" i="85"/>
  <c r="BB141" i="85" s="1"/>
  <c r="BG11" i="85"/>
  <c r="BG140" i="85" s="1"/>
  <c r="BC11" i="85"/>
  <c r="BC140" i="85" s="1"/>
  <c r="BF13" i="85"/>
  <c r="BF142" i="85" s="1"/>
  <c r="BB13" i="85"/>
  <c r="BB142" i="85" s="1"/>
  <c r="BG12" i="85"/>
  <c r="BG141" i="85" s="1"/>
  <c r="BC12" i="85"/>
  <c r="BC141" i="85" s="1"/>
  <c r="BD11" i="85"/>
  <c r="BD140" i="85" s="1"/>
  <c r="AZ11" i="85"/>
  <c r="AZ140" i="85" s="1"/>
  <c r="L39" i="85"/>
  <c r="G34" i="85"/>
  <c r="K34" i="85"/>
  <c r="G37" i="85"/>
  <c r="K37" i="85"/>
  <c r="G39" i="85"/>
  <c r="K39" i="85"/>
  <c r="H34" i="85"/>
  <c r="L34" i="85"/>
  <c r="H35" i="85"/>
  <c r="L35" i="85"/>
  <c r="I35" i="85"/>
  <c r="F34" i="85"/>
  <c r="F51" i="85" s="1"/>
  <c r="J34" i="85"/>
  <c r="I39" i="85"/>
  <c r="J5" i="83"/>
  <c r="I5" i="83"/>
  <c r="H5" i="83"/>
  <c r="G5" i="83"/>
  <c r="F5" i="83"/>
  <c r="E5" i="83"/>
  <c r="D5" i="83"/>
  <c r="C5" i="83"/>
  <c r="G4" i="83"/>
  <c r="H7" i="83"/>
  <c r="D7" i="83"/>
  <c r="I6" i="83"/>
  <c r="E6" i="83"/>
  <c r="G50" i="85" l="1"/>
  <c r="G56" i="85" s="1"/>
  <c r="BB5" i="85" s="1"/>
  <c r="BB137" i="85" s="1"/>
  <c r="I52" i="85"/>
  <c r="I58" i="85" s="1"/>
  <c r="BD7" i="85" s="1"/>
  <c r="BD139" i="85" s="1"/>
  <c r="AS98" i="85"/>
  <c r="AS104" i="85" s="1"/>
  <c r="AS245" i="85" s="1"/>
  <c r="F49" i="85"/>
  <c r="F55" i="85" s="1"/>
  <c r="E49" i="85"/>
  <c r="E55" i="85" s="1"/>
  <c r="F50" i="85"/>
  <c r="F56" i="85" s="1"/>
  <c r="BA5" i="85" s="1"/>
  <c r="AU97" i="85"/>
  <c r="AU103" i="85" s="1"/>
  <c r="AU244" i="85" s="1"/>
  <c r="K52" i="85"/>
  <c r="K58" i="85" s="1"/>
  <c r="BF7" i="85" s="1"/>
  <c r="BF139" i="85" s="1"/>
  <c r="E51" i="85"/>
  <c r="E57" i="85" s="1"/>
  <c r="BB14" i="85"/>
  <c r="T59" i="85"/>
  <c r="T60" i="85" s="1"/>
  <c r="AT99" i="85"/>
  <c r="AT105" i="85" s="1"/>
  <c r="AT246" i="85" s="1"/>
  <c r="BG14" i="85"/>
  <c r="AZ14" i="85"/>
  <c r="AG59" i="85"/>
  <c r="AG60" i="85" s="1"/>
  <c r="Q59" i="85"/>
  <c r="Q60" i="85" s="1"/>
  <c r="AC59" i="85"/>
  <c r="AC60" i="85" s="1"/>
  <c r="AR99" i="85"/>
  <c r="AR105" i="85" s="1"/>
  <c r="AR246" i="85" s="1"/>
  <c r="BD14" i="85"/>
  <c r="AO97" i="85"/>
  <c r="AO103" i="85" s="1"/>
  <c r="AO244" i="85" s="1"/>
  <c r="X59" i="85"/>
  <c r="X60" i="85" s="1"/>
  <c r="R59" i="85"/>
  <c r="R60" i="85" s="1"/>
  <c r="AI59" i="85"/>
  <c r="AI60" i="85" s="1"/>
  <c r="AR98" i="85"/>
  <c r="AR104" i="85" s="1"/>
  <c r="AR245" i="85" s="1"/>
  <c r="BC14" i="85"/>
  <c r="BE14" i="85"/>
  <c r="AD59" i="85"/>
  <c r="AD60" i="85" s="1"/>
  <c r="BF14" i="85"/>
  <c r="V59" i="85"/>
  <c r="V60" i="85" s="1"/>
  <c r="AF59" i="85"/>
  <c r="AF60" i="85" s="1"/>
  <c r="U59" i="85"/>
  <c r="U60" i="85" s="1"/>
  <c r="AE59" i="85"/>
  <c r="AE60" i="85" s="1"/>
  <c r="AH59" i="85"/>
  <c r="AH60" i="85" s="1"/>
  <c r="W59" i="85"/>
  <c r="W60" i="85" s="1"/>
  <c r="AB59" i="85"/>
  <c r="AB60" i="85" s="1"/>
  <c r="S59" i="85"/>
  <c r="S60" i="85" s="1"/>
  <c r="AT247" i="85"/>
  <c r="AT111" i="85"/>
  <c r="AT112" i="85" s="1"/>
  <c r="AP247" i="85"/>
  <c r="AP111" i="85"/>
  <c r="AP112" i="85" s="1"/>
  <c r="AR247" i="85"/>
  <c r="AR111" i="85"/>
  <c r="AR112" i="85" s="1"/>
  <c r="AN247" i="85"/>
  <c r="AN111" i="85"/>
  <c r="AN112" i="85" s="1"/>
  <c r="AS247" i="85"/>
  <c r="AS111" i="85"/>
  <c r="AS112" i="85" s="1"/>
  <c r="AU247" i="85"/>
  <c r="AU111" i="85"/>
  <c r="AU112" i="85" s="1"/>
  <c r="AQ247" i="85"/>
  <c r="AQ111" i="85"/>
  <c r="AQ112" i="85" s="1"/>
  <c r="AO247" i="85"/>
  <c r="AO111" i="85"/>
  <c r="L52" i="85"/>
  <c r="L58" i="85" s="1"/>
  <c r="BG7" i="85" s="1"/>
  <c r="BG139" i="85" s="1"/>
  <c r="H52" i="85"/>
  <c r="G49" i="85"/>
  <c r="G55" i="85" s="1"/>
  <c r="AR97" i="85"/>
  <c r="AR103" i="85" s="1"/>
  <c r="AR244" i="85" s="1"/>
  <c r="J51" i="85"/>
  <c r="J57" i="85" s="1"/>
  <c r="AQ97" i="85"/>
  <c r="AQ103" i="85" s="1"/>
  <c r="AQ244" i="85" s="1"/>
  <c r="AT97" i="85"/>
  <c r="AT103" i="85" s="1"/>
  <c r="AT244" i="85" s="1"/>
  <c r="AQ99" i="85"/>
  <c r="AQ105" i="85" s="1"/>
  <c r="AQ246" i="85" s="1"/>
  <c r="L51" i="85"/>
  <c r="L57" i="85" s="1"/>
  <c r="L50" i="85"/>
  <c r="L56" i="85" s="1"/>
  <c r="AU99" i="85"/>
  <c r="AU105" i="85" s="1"/>
  <c r="AU246" i="85" s="1"/>
  <c r="AT98" i="85"/>
  <c r="AT104" i="85" s="1"/>
  <c r="AT245" i="85" s="1"/>
  <c r="AS99" i="85"/>
  <c r="AS105" i="85" s="1"/>
  <c r="AS246" i="85" s="1"/>
  <c r="AS97" i="85"/>
  <c r="AS103" i="85" s="1"/>
  <c r="AS244" i="85" s="1"/>
  <c r="I50" i="85"/>
  <c r="I56" i="85" s="1"/>
  <c r="H51" i="85"/>
  <c r="H57" i="85" s="1"/>
  <c r="AO98" i="85"/>
  <c r="AO104" i="85" s="1"/>
  <c r="AO245" i="85" s="1"/>
  <c r="AN98" i="85"/>
  <c r="AN104" i="85" s="1"/>
  <c r="AN245" i="85" s="1"/>
  <c r="AU98" i="85"/>
  <c r="AU104" i="85" s="1"/>
  <c r="AU245" i="85" s="1"/>
  <c r="G51" i="85"/>
  <c r="G57" i="85" s="1"/>
  <c r="H49" i="85"/>
  <c r="H55" i="85" s="1"/>
  <c r="E52" i="85"/>
  <c r="G52" i="85"/>
  <c r="G58" i="85" s="1"/>
  <c r="BB7" i="85" s="1"/>
  <c r="BB139" i="85" s="1"/>
  <c r="AQ98" i="85"/>
  <c r="AQ104" i="85" s="1"/>
  <c r="AQ245" i="85" s="1"/>
  <c r="K50" i="85"/>
  <c r="K56" i="85" s="1"/>
  <c r="J50" i="85"/>
  <c r="J56" i="85" s="1"/>
  <c r="AN99" i="85"/>
  <c r="AN105" i="85" s="1"/>
  <c r="AN246" i="85" s="1"/>
  <c r="I51" i="85"/>
  <c r="I57" i="85" s="1"/>
  <c r="AP98" i="85"/>
  <c r="AP104" i="85" s="1"/>
  <c r="AP245" i="85" s="1"/>
  <c r="AN97" i="85"/>
  <c r="AN103" i="85" s="1"/>
  <c r="AN244" i="85" s="1"/>
  <c r="I49" i="85"/>
  <c r="I55" i="85" s="1"/>
  <c r="AP99" i="85"/>
  <c r="AP105" i="85" s="1"/>
  <c r="AP246" i="85" s="1"/>
  <c r="K51" i="85"/>
  <c r="K57" i="85" s="1"/>
  <c r="L49" i="85"/>
  <c r="L55" i="85" s="1"/>
  <c r="J49" i="85"/>
  <c r="J55" i="85" s="1"/>
  <c r="K49" i="85"/>
  <c r="K55" i="85" s="1"/>
  <c r="AN96" i="85"/>
  <c r="AN102" i="85" s="1"/>
  <c r="AN243" i="85" s="1"/>
  <c r="AO96" i="85"/>
  <c r="AO102" i="85" s="1"/>
  <c r="AQ96" i="85"/>
  <c r="AQ102" i="85" s="1"/>
  <c r="AR96" i="85"/>
  <c r="AR102" i="85" s="1"/>
  <c r="AS96" i="85"/>
  <c r="AS102" i="85" s="1"/>
  <c r="AP96" i="85"/>
  <c r="AP102" i="85" s="1"/>
  <c r="AU96" i="85"/>
  <c r="AU102" i="85" s="1"/>
  <c r="AU243" i="85" s="1"/>
  <c r="AT96" i="85"/>
  <c r="AT102" i="85" s="1"/>
  <c r="AO99" i="85"/>
  <c r="AO105" i="85" s="1"/>
  <c r="H50" i="85"/>
  <c r="H56" i="85" s="1"/>
  <c r="J52" i="85"/>
  <c r="J58" i="85" s="1"/>
  <c r="BE7" i="85" s="1"/>
  <c r="BE139" i="85" s="1"/>
  <c r="F52" i="85"/>
  <c r="F58" i="85" s="1"/>
  <c r="BA7" i="85" s="1"/>
  <c r="BA139" i="85" s="1"/>
  <c r="E50" i="85"/>
  <c r="E56" i="85" s="1"/>
  <c r="AZ5" i="85" s="1"/>
  <c r="Z5" i="86"/>
  <c r="Z4" i="86"/>
  <c r="AK5" i="86"/>
  <c r="AK4" i="86"/>
  <c r="C6" i="83"/>
  <c r="G6" i="83"/>
  <c r="F7" i="83"/>
  <c r="J7" i="83"/>
  <c r="E4" i="83"/>
  <c r="I4" i="83"/>
  <c r="Y5" i="86"/>
  <c r="AD5" i="86"/>
  <c r="AB5" i="86"/>
  <c r="AJ5" i="86"/>
  <c r="AC5" i="86"/>
  <c r="AF5" i="86"/>
  <c r="AN5" i="86"/>
  <c r="AJ4" i="86"/>
  <c r="AM5" i="86"/>
  <c r="AL4" i="86"/>
  <c r="Y4" i="86"/>
  <c r="AQ4" i="86"/>
  <c r="AP5" i="86"/>
  <c r="AO4" i="86"/>
  <c r="AC4" i="86"/>
  <c r="AE5" i="86"/>
  <c r="AF4" i="86"/>
  <c r="AM4" i="86"/>
  <c r="AL5" i="86"/>
  <c r="AD4" i="86"/>
  <c r="AA5" i="86"/>
  <c r="AB4" i="86"/>
  <c r="AN4" i="86"/>
  <c r="AQ5" i="86"/>
  <c r="AP4" i="86"/>
  <c r="AO5" i="86"/>
  <c r="AE4" i="86"/>
  <c r="AA4" i="86"/>
  <c r="F57" i="85"/>
  <c r="D6" i="83"/>
  <c r="H6" i="83"/>
  <c r="C7" i="83"/>
  <c r="G7" i="83"/>
  <c r="F4" i="83"/>
  <c r="J4" i="83"/>
  <c r="F6" i="83"/>
  <c r="J6" i="83"/>
  <c r="E7" i="83"/>
  <c r="I7" i="83"/>
  <c r="D4" i="83"/>
  <c r="H4" i="83"/>
  <c r="H58" i="85" l="1"/>
  <c r="BC7" i="85" s="1"/>
  <c r="BC139" i="85" s="1"/>
  <c r="E58" i="85"/>
  <c r="AZ7" i="85" s="1"/>
  <c r="AZ139" i="85" s="1"/>
  <c r="AZ5" i="86"/>
  <c r="BA137" i="85"/>
  <c r="AD6" i="86"/>
  <c r="AD7" i="86" s="1"/>
  <c r="AY5" i="86"/>
  <c r="AS243" i="85"/>
  <c r="AS106" i="85"/>
  <c r="AS107" i="85" s="1"/>
  <c r="AT243" i="85"/>
  <c r="AT106" i="85"/>
  <c r="AT107" i="85" s="1"/>
  <c r="AN106" i="85"/>
  <c r="AN107" i="85" s="1"/>
  <c r="AU106" i="85"/>
  <c r="AU107" i="85" s="1"/>
  <c r="AP243" i="85"/>
  <c r="AP106" i="85"/>
  <c r="AP107" i="85" s="1"/>
  <c r="AR243" i="85"/>
  <c r="AR106" i="85"/>
  <c r="AR107" i="85" s="1"/>
  <c r="AQ243" i="85"/>
  <c r="AQ106" i="85"/>
  <c r="AQ107" i="85" s="1"/>
  <c r="AO243" i="85"/>
  <c r="AO106" i="85"/>
  <c r="AO107" i="85" s="1"/>
  <c r="AY4" i="86"/>
  <c r="BA4" i="86"/>
  <c r="AU4" i="86"/>
  <c r="BA5" i="86"/>
  <c r="AA6" i="86"/>
  <c r="AA7" i="86" s="1"/>
  <c r="AU5" i="86"/>
  <c r="AX4" i="86"/>
  <c r="BB4" i="86"/>
  <c r="AV4" i="86"/>
  <c r="BB5" i="86"/>
  <c r="AZ4" i="86"/>
  <c r="AW4" i="86"/>
  <c r="BC4" i="85"/>
  <c r="BF4" i="85"/>
  <c r="K59" i="85"/>
  <c r="K60" i="85" s="1"/>
  <c r="BF8" i="85" s="1"/>
  <c r="BA4" i="85"/>
  <c r="F59" i="85"/>
  <c r="F60" i="85" s="1"/>
  <c r="BA8" i="85" s="1"/>
  <c r="BE4" i="85"/>
  <c r="J59" i="85"/>
  <c r="J60" i="85" s="1"/>
  <c r="BE8" i="85" s="1"/>
  <c r="BD4" i="85"/>
  <c r="I59" i="85"/>
  <c r="I60" i="85" s="1"/>
  <c r="BD8" i="85" s="1"/>
  <c r="AW5" i="86"/>
  <c r="BB4" i="85"/>
  <c r="G59" i="85"/>
  <c r="G60" i="85" s="1"/>
  <c r="BB8" i="85" s="1"/>
  <c r="AZ4" i="85"/>
  <c r="E59" i="85"/>
  <c r="E60" i="85" s="1"/>
  <c r="AZ8" i="85" s="1"/>
  <c r="BG4" i="85"/>
  <c r="L59" i="85"/>
  <c r="L60" i="85" s="1"/>
  <c r="BG8" i="85" s="1"/>
  <c r="AX5" i="86"/>
  <c r="AM6" i="86"/>
  <c r="AM7" i="86" s="1"/>
  <c r="AO6" i="86"/>
  <c r="AO7" i="86" s="1"/>
  <c r="Z8" i="86"/>
  <c r="AV5" i="86"/>
  <c r="AO246" i="85"/>
  <c r="Y8" i="86"/>
  <c r="Y9" i="86" s="1"/>
  <c r="BD5" i="85"/>
  <c r="BD137" i="85" s="1"/>
  <c r="BE5" i="85"/>
  <c r="BE137" i="85" s="1"/>
  <c r="U4" i="86"/>
  <c r="O4" i="86"/>
  <c r="AL8" i="86"/>
  <c r="AN6" i="86"/>
  <c r="AN7" i="86" s="1"/>
  <c r="AP6" i="86"/>
  <c r="AP7" i="86" s="1"/>
  <c r="AQ6" i="86"/>
  <c r="AQ7" i="86" s="1"/>
  <c r="AJ6" i="86"/>
  <c r="AJ7" i="86" s="1"/>
  <c r="AC8" i="86"/>
  <c r="AB8" i="86"/>
  <c r="AL6" i="86"/>
  <c r="AL7" i="86" s="1"/>
  <c r="AE6" i="86"/>
  <c r="AE7" i="86" s="1"/>
  <c r="AB6" i="86"/>
  <c r="AB7" i="86" s="1"/>
  <c r="AF6" i="86"/>
  <c r="AF7" i="86" s="1"/>
  <c r="AA8" i="86"/>
  <c r="AC6" i="86"/>
  <c r="AC7" i="86" s="1"/>
  <c r="Y6" i="86"/>
  <c r="Y7" i="86" s="1"/>
  <c r="AK8" i="86"/>
  <c r="BA6" i="85"/>
  <c r="O5" i="86"/>
  <c r="AJ8" i="86"/>
  <c r="AJ9" i="86" s="1"/>
  <c r="AO8" i="86"/>
  <c r="AQ8" i="86"/>
  <c r="AP8" i="86"/>
  <c r="BE6" i="85"/>
  <c r="S5" i="86"/>
  <c r="AD8" i="86"/>
  <c r="AN8" i="86"/>
  <c r="BD6" i="85"/>
  <c r="R5" i="86"/>
  <c r="BF6" i="85"/>
  <c r="T5" i="86"/>
  <c r="BB6" i="85"/>
  <c r="P5" i="86"/>
  <c r="AF8" i="86"/>
  <c r="AZ6" i="85"/>
  <c r="N5" i="86"/>
  <c r="BC6" i="85"/>
  <c r="BG6" i="85"/>
  <c r="U5" i="86"/>
  <c r="AE8" i="86"/>
  <c r="AM8" i="86"/>
  <c r="BG136" i="85" l="1"/>
  <c r="BE136" i="85"/>
  <c r="H4" i="86"/>
  <c r="AZ136" i="85"/>
  <c r="C4" i="86"/>
  <c r="BA136" i="85"/>
  <c r="D4" i="86"/>
  <c r="BB136" i="85"/>
  <c r="E4" i="86"/>
  <c r="BF136" i="85"/>
  <c r="BD136" i="85"/>
  <c r="G4" i="86"/>
  <c r="BC136" i="85"/>
  <c r="H59" i="85"/>
  <c r="H60" i="85" s="1"/>
  <c r="BC8" i="85" s="1"/>
  <c r="AX8" i="86"/>
  <c r="AV8" i="86"/>
  <c r="AY8" i="86"/>
  <c r="AW8" i="86"/>
  <c r="BA8" i="86"/>
  <c r="Q4" i="86"/>
  <c r="R8" i="86" s="1"/>
  <c r="Q5" i="86"/>
  <c r="AZ8" i="86"/>
  <c r="BA16" i="85"/>
  <c r="BE16" i="85"/>
  <c r="BB16" i="85"/>
  <c r="BD16" i="85"/>
  <c r="AU8" i="86"/>
  <c r="AU9" i="86" s="1"/>
  <c r="BB8" i="86"/>
  <c r="BB6" i="86"/>
  <c r="BB7" i="86" s="1"/>
  <c r="AU6" i="86"/>
  <c r="AU7" i="86" s="1"/>
  <c r="AX6" i="86"/>
  <c r="AX7" i="86" s="1"/>
  <c r="BA6" i="86"/>
  <c r="BA7" i="86" s="1"/>
  <c r="AZ6" i="86"/>
  <c r="AZ7" i="86" s="1"/>
  <c r="AY6" i="86"/>
  <c r="AY7" i="86" s="1"/>
  <c r="AW6" i="86"/>
  <c r="AW7" i="86" s="1"/>
  <c r="D5" i="86"/>
  <c r="BA138" i="85"/>
  <c r="BG138" i="85"/>
  <c r="BB138" i="85"/>
  <c r="BC138" i="85"/>
  <c r="BF138" i="85"/>
  <c r="C5" i="86"/>
  <c r="AZ138" i="85"/>
  <c r="BE138" i="85"/>
  <c r="BD138" i="85"/>
  <c r="AL9" i="86"/>
  <c r="R4" i="86"/>
  <c r="R6" i="86" s="1"/>
  <c r="R7" i="86" s="1"/>
  <c r="BF5" i="85"/>
  <c r="BF16" i="85" s="1"/>
  <c r="BC5" i="85"/>
  <c r="F4" i="86" s="1"/>
  <c r="BG5" i="85"/>
  <c r="BG16" i="85" s="1"/>
  <c r="S4" i="86"/>
  <c r="S6" i="86" s="1"/>
  <c r="S7" i="86" s="1"/>
  <c r="N8" i="86"/>
  <c r="N9" i="86" s="1"/>
  <c r="P8" i="86"/>
  <c r="U6" i="86"/>
  <c r="U7" i="86" s="1"/>
  <c r="AD9" i="86"/>
  <c r="H33" i="86" s="1"/>
  <c r="AQ9" i="86"/>
  <c r="J34" i="86" s="1"/>
  <c r="AE9" i="86"/>
  <c r="I33" i="86" s="1"/>
  <c r="AF9" i="86"/>
  <c r="J33" i="86" s="1"/>
  <c r="AB9" i="86"/>
  <c r="F33" i="86" s="1"/>
  <c r="AO9" i="86"/>
  <c r="H34" i="86" s="1"/>
  <c r="AN9" i="86"/>
  <c r="G34" i="86" s="1"/>
  <c r="AC9" i="86"/>
  <c r="G33" i="86" s="1"/>
  <c r="AM9" i="86"/>
  <c r="F34" i="86" s="1"/>
  <c r="AP9" i="86"/>
  <c r="I34" i="86" s="1"/>
  <c r="AA9" i="86"/>
  <c r="O8" i="86"/>
  <c r="E34" i="86" l="1"/>
  <c r="AK10" i="86"/>
  <c r="E33" i="86"/>
  <c r="Z10" i="86"/>
  <c r="C33" i="86" s="1"/>
  <c r="G6" i="86"/>
  <c r="G7" i="86" s="1"/>
  <c r="D8" i="86"/>
  <c r="I4" i="86"/>
  <c r="I6" i="86" s="1"/>
  <c r="I7" i="86" s="1"/>
  <c r="E5" i="86"/>
  <c r="E8" i="86" s="1"/>
  <c r="E9" i="86" s="1"/>
  <c r="F6" i="86"/>
  <c r="F7" i="86" s="1"/>
  <c r="J4" i="86"/>
  <c r="H6" i="86"/>
  <c r="H7" i="86" s="1"/>
  <c r="E6" i="86"/>
  <c r="E7" i="86" s="1"/>
  <c r="Q6" i="86"/>
  <c r="Q7" i="86" s="1"/>
  <c r="BC16" i="85"/>
  <c r="AZ9" i="86"/>
  <c r="H35" i="86" s="1"/>
  <c r="BA9" i="86"/>
  <c r="I35" i="86" s="1"/>
  <c r="BB9" i="86"/>
  <c r="J35" i="86" s="1"/>
  <c r="AY9" i="86"/>
  <c r="G35" i="86" s="1"/>
  <c r="AW9" i="86"/>
  <c r="AX9" i="86"/>
  <c r="F35" i="86" s="1"/>
  <c r="E12" i="134" s="1"/>
  <c r="C8" i="86"/>
  <c r="C9" i="86" s="1"/>
  <c r="BG137" i="85"/>
  <c r="BC137" i="85"/>
  <c r="BF137" i="85"/>
  <c r="S8" i="86"/>
  <c r="P4" i="86"/>
  <c r="T4" i="86"/>
  <c r="T6" i="86" s="1"/>
  <c r="T7" i="86" s="1"/>
  <c r="AZ16" i="85"/>
  <c r="N4" i="86"/>
  <c r="N6" i="86" s="1"/>
  <c r="N7" i="86" s="1"/>
  <c r="T8" i="86"/>
  <c r="P9" i="86"/>
  <c r="C34" i="86"/>
  <c r="E32" i="86" l="1"/>
  <c r="E35" i="86"/>
  <c r="D12" i="134" s="1"/>
  <c r="D21" i="134" s="1"/>
  <c r="AV10" i="86"/>
  <c r="C35" i="86" s="1"/>
  <c r="J6" i="86"/>
  <c r="J7" i="86" s="1"/>
  <c r="F5" i="86"/>
  <c r="G5" i="86" s="1"/>
  <c r="G8" i="86" s="1"/>
  <c r="G9" i="86" s="1"/>
  <c r="E21" i="134"/>
  <c r="F12" i="134"/>
  <c r="F21" i="134" s="1"/>
  <c r="I12" i="134"/>
  <c r="I21" i="134" s="1"/>
  <c r="H12" i="134"/>
  <c r="H21" i="134" s="1"/>
  <c r="G12" i="134"/>
  <c r="G21" i="134" s="1"/>
  <c r="C6" i="86"/>
  <c r="C7" i="86" s="1"/>
  <c r="AZ137" i="85"/>
  <c r="T9" i="86"/>
  <c r="I32" i="86" s="1"/>
  <c r="U8" i="86"/>
  <c r="U9" i="86" s="1"/>
  <c r="J32" i="86" s="1"/>
  <c r="Q8" i="86"/>
  <c r="Q9" i="86" s="1"/>
  <c r="P6" i="86"/>
  <c r="P7" i="86" s="1"/>
  <c r="F8" i="86" l="1"/>
  <c r="F9" i="86" s="1"/>
  <c r="H5" i="86"/>
  <c r="H8" i="86" s="1"/>
  <c r="H9" i="86" s="1"/>
  <c r="H37" i="86" s="1"/>
  <c r="G11" i="134" s="1"/>
  <c r="G20" i="134" s="1"/>
  <c r="G37" i="86"/>
  <c r="E37" i="86"/>
  <c r="S9" i="86"/>
  <c r="H32" i="86" s="1"/>
  <c r="R9" i="86"/>
  <c r="G32" i="86" s="1"/>
  <c r="K55" i="70"/>
  <c r="J55" i="70"/>
  <c r="I55" i="70"/>
  <c r="G55" i="70"/>
  <c r="E55" i="70"/>
  <c r="AM15" i="67"/>
  <c r="AN15" i="67"/>
  <c r="AO15" i="67"/>
  <c r="AP15" i="67"/>
  <c r="AQ15" i="67"/>
  <c r="AS15" i="67"/>
  <c r="AT15" i="67"/>
  <c r="AT13" i="67"/>
  <c r="AP13" i="67"/>
  <c r="AN13" i="67"/>
  <c r="AN6" i="53"/>
  <c r="AB15" i="67"/>
  <c r="AO6" i="53" s="1"/>
  <c r="AC15" i="67"/>
  <c r="AP6" i="53" s="1"/>
  <c r="AD15" i="67"/>
  <c r="AQ6" i="53" s="1"/>
  <c r="AE15" i="67"/>
  <c r="AR6" i="53" s="1"/>
  <c r="AF15" i="67"/>
  <c r="AS6" i="53" s="1"/>
  <c r="AG15" i="67"/>
  <c r="AT6" i="53" s="1"/>
  <c r="AH15" i="67"/>
  <c r="AU6" i="53" s="1"/>
  <c r="AH13" i="67"/>
  <c r="W6" i="53" s="1"/>
  <c r="AF13" i="67"/>
  <c r="U6" i="53" s="1"/>
  <c r="AD13" i="67"/>
  <c r="S6" i="53" s="1"/>
  <c r="P15" i="67"/>
  <c r="AN5" i="53" s="1"/>
  <c r="Q15" i="67"/>
  <c r="AO5" i="53" s="1"/>
  <c r="R15" i="67"/>
  <c r="AP5" i="53" s="1"/>
  <c r="S15" i="67"/>
  <c r="AQ5" i="53" s="1"/>
  <c r="T15" i="67"/>
  <c r="AR5" i="53" s="1"/>
  <c r="U15" i="67"/>
  <c r="AS5" i="53" s="1"/>
  <c r="V15" i="67"/>
  <c r="AT5" i="53" s="1"/>
  <c r="W15" i="67"/>
  <c r="AU5" i="53" s="1"/>
  <c r="W13" i="67"/>
  <c r="W5" i="53" s="1"/>
  <c r="U13" i="67"/>
  <c r="U5" i="53" s="1"/>
  <c r="S13" i="67"/>
  <c r="S5" i="53" s="1"/>
  <c r="Q13" i="67"/>
  <c r="Q5" i="53" s="1"/>
  <c r="D15" i="67"/>
  <c r="AN4" i="53" s="1"/>
  <c r="E15" i="67"/>
  <c r="AO4" i="53" s="1"/>
  <c r="G15" i="67"/>
  <c r="AQ4" i="53" s="1"/>
  <c r="H15" i="67"/>
  <c r="AR4" i="53" s="1"/>
  <c r="I15" i="67"/>
  <c r="AS4" i="53" s="1"/>
  <c r="K15" i="67"/>
  <c r="AU4" i="53" s="1"/>
  <c r="AR15" i="67"/>
  <c r="O10" i="86" l="1"/>
  <c r="C32" i="86" s="1"/>
  <c r="I5" i="86"/>
  <c r="I8" i="86" s="1"/>
  <c r="I9" i="86" s="1"/>
  <c r="I37" i="86" s="1"/>
  <c r="H11" i="134" s="1"/>
  <c r="H20" i="134" s="1"/>
  <c r="H38" i="86"/>
  <c r="G13" i="134" s="1"/>
  <c r="G22" i="134" s="1"/>
  <c r="F37" i="86"/>
  <c r="E11" i="134" s="1"/>
  <c r="E20" i="134" s="1"/>
  <c r="F11" i="134"/>
  <c r="F20" i="134" s="1"/>
  <c r="G38" i="86"/>
  <c r="F13" i="134" s="1"/>
  <c r="F22" i="134" s="1"/>
  <c r="D11" i="134"/>
  <c r="D20" i="134" s="1"/>
  <c r="E38" i="86"/>
  <c r="L6" i="129"/>
  <c r="G6" i="129"/>
  <c r="F32" i="86"/>
  <c r="K6" i="129"/>
  <c r="I6" i="129"/>
  <c r="E6" i="129"/>
  <c r="H6" i="129"/>
  <c r="F6" i="129"/>
  <c r="J6" i="129"/>
  <c r="AN14" i="67"/>
  <c r="AF14" i="67"/>
  <c r="AG6" i="53" s="1"/>
  <c r="AR9" i="53"/>
  <c r="AN9" i="53"/>
  <c r="AS11" i="53"/>
  <c r="AU9" i="53"/>
  <c r="AQ9" i="53"/>
  <c r="AS14" i="67"/>
  <c r="AO11" i="53"/>
  <c r="AU10" i="53"/>
  <c r="AQ10" i="53"/>
  <c r="AS10" i="53"/>
  <c r="AO10" i="53"/>
  <c r="AR11" i="53"/>
  <c r="AN11" i="53"/>
  <c r="AS9" i="53"/>
  <c r="AO9" i="53"/>
  <c r="AR10" i="53"/>
  <c r="AN10" i="53"/>
  <c r="AF16" i="67"/>
  <c r="BE6" i="53" s="1"/>
  <c r="AU11" i="53"/>
  <c r="AQ11" i="53"/>
  <c r="G4" i="75"/>
  <c r="K4" i="75"/>
  <c r="F5" i="75"/>
  <c r="J5" i="75"/>
  <c r="BA5" i="67"/>
  <c r="F5" i="74"/>
  <c r="J5" i="74"/>
  <c r="E6" i="74"/>
  <c r="R12" i="128" s="1"/>
  <c r="I6" i="74"/>
  <c r="V12" i="128" s="1"/>
  <c r="F4" i="75"/>
  <c r="J4" i="75"/>
  <c r="I5" i="75"/>
  <c r="F16" i="67"/>
  <c r="BB4" i="53" s="1"/>
  <c r="E14" i="67"/>
  <c r="AC4" i="53" s="1"/>
  <c r="U16" i="67"/>
  <c r="BE5" i="53" s="1"/>
  <c r="T14" i="67"/>
  <c r="AF5" i="53" s="1"/>
  <c r="AA16" i="67"/>
  <c r="AZ6" i="53" s="1"/>
  <c r="AH14" i="67"/>
  <c r="AI6" i="53" s="1"/>
  <c r="W14" i="67"/>
  <c r="AI5" i="53" s="1"/>
  <c r="G5" i="75"/>
  <c r="K5" i="75"/>
  <c r="D5" i="75"/>
  <c r="H5" i="75"/>
  <c r="E5" i="75"/>
  <c r="I4" i="75"/>
  <c r="H4" i="75"/>
  <c r="AY7" i="67"/>
  <c r="BE5" i="67"/>
  <c r="D4" i="75"/>
  <c r="BD10" i="67"/>
  <c r="AZ10" i="67"/>
  <c r="G5" i="74"/>
  <c r="K5" i="74"/>
  <c r="F6" i="74"/>
  <c r="S12" i="128" s="1"/>
  <c r="J6" i="74"/>
  <c r="W12" i="128" s="1"/>
  <c r="BC7" i="67"/>
  <c r="BD9" i="67"/>
  <c r="BE8" i="67"/>
  <c r="BE15" i="67" s="1"/>
  <c r="BF7" i="67"/>
  <c r="BB7" i="67"/>
  <c r="BC6" i="67"/>
  <c r="BD5" i="67"/>
  <c r="AZ5" i="67"/>
  <c r="R13" i="67"/>
  <c r="R5" i="53" s="1"/>
  <c r="V13" i="67"/>
  <c r="V5" i="53" s="1"/>
  <c r="H5" i="74"/>
  <c r="G6" i="74"/>
  <c r="T12" i="128" s="1"/>
  <c r="K6" i="74"/>
  <c r="X12" i="128" s="1"/>
  <c r="AY10" i="67"/>
  <c r="AZ9" i="67"/>
  <c r="E5" i="74"/>
  <c r="I5" i="74"/>
  <c r="H6" i="74"/>
  <c r="U12" i="128" s="1"/>
  <c r="AG16" i="67"/>
  <c r="BF6" i="53" s="1"/>
  <c r="AC16" i="67"/>
  <c r="BB6" i="53" s="1"/>
  <c r="BB5" i="67"/>
  <c r="I14" i="67"/>
  <c r="AG4" i="53" s="1"/>
  <c r="AC13" i="67"/>
  <c r="R6" i="53" s="1"/>
  <c r="AG13" i="67"/>
  <c r="V6" i="53" s="1"/>
  <c r="AY5" i="67"/>
  <c r="T16" i="67"/>
  <c r="BD5" i="53" s="1"/>
  <c r="BE7" i="67"/>
  <c r="BA7" i="67"/>
  <c r="BF6" i="67"/>
  <c r="BB6" i="67"/>
  <c r="BC5" i="67"/>
  <c r="AG14" i="67"/>
  <c r="AH6" i="53" s="1"/>
  <c r="AC14" i="67"/>
  <c r="AD6" i="53" s="1"/>
  <c r="AN16" i="67"/>
  <c r="AR14" i="67"/>
  <c r="S14" i="67"/>
  <c r="AE5" i="53" s="1"/>
  <c r="AB14" i="67"/>
  <c r="AC6" i="53" s="1"/>
  <c r="J16" i="67"/>
  <c r="BF4" i="53" s="1"/>
  <c r="J14" i="67"/>
  <c r="AH4" i="53" s="1"/>
  <c r="F14" i="67"/>
  <c r="AD4" i="53" s="1"/>
  <c r="BF5" i="67"/>
  <c r="T13" i="67"/>
  <c r="T5" i="53" s="1"/>
  <c r="AE16" i="67"/>
  <c r="BD6" i="53" s="1"/>
  <c r="AO14" i="67"/>
  <c r="AH16" i="67"/>
  <c r="BG6" i="53" s="1"/>
  <c r="AD16" i="67"/>
  <c r="BC6" i="53" s="1"/>
  <c r="AO16" i="67"/>
  <c r="AM13" i="67"/>
  <c r="AQ13" i="67"/>
  <c r="V16" i="67"/>
  <c r="BF5" i="53" s="1"/>
  <c r="R16" i="67"/>
  <c r="BB5" i="53" s="1"/>
  <c r="W16" i="67"/>
  <c r="BG5" i="53" s="1"/>
  <c r="S16" i="67"/>
  <c r="BC5" i="53" s="1"/>
  <c r="Q14" i="67"/>
  <c r="AC5" i="53" s="1"/>
  <c r="V14" i="67"/>
  <c r="AH5" i="53" s="1"/>
  <c r="R14" i="67"/>
  <c r="AD5" i="53" s="1"/>
  <c r="AT14" i="67"/>
  <c r="AT16" i="67"/>
  <c r="AR16" i="67"/>
  <c r="AS16" i="67"/>
  <c r="AQ14" i="67"/>
  <c r="AR13" i="67"/>
  <c r="AP16" i="67"/>
  <c r="AQ16" i="67"/>
  <c r="AP14" i="67"/>
  <c r="AM14" i="67"/>
  <c r="AO13" i="67"/>
  <c r="AS13" i="67"/>
  <c r="AB16" i="67"/>
  <c r="BA6" i="53" s="1"/>
  <c r="AD14" i="67"/>
  <c r="AE6" i="53" s="1"/>
  <c r="AA14" i="67"/>
  <c r="AB6" i="53" s="1"/>
  <c r="AE14" i="67"/>
  <c r="AF6" i="53" s="1"/>
  <c r="BD7" i="67"/>
  <c r="AA13" i="67"/>
  <c r="P6" i="53" s="1"/>
  <c r="AE13" i="67"/>
  <c r="T6" i="53" s="1"/>
  <c r="AB13" i="67"/>
  <c r="Q6" i="53" s="1"/>
  <c r="BA10" i="67"/>
  <c r="BE10" i="67"/>
  <c r="U14" i="67"/>
  <c r="AG5" i="53" s="1"/>
  <c r="Q16" i="67"/>
  <c r="BA5" i="53" s="1"/>
  <c r="BC10" i="67"/>
  <c r="P16" i="67"/>
  <c r="AZ5" i="53" s="1"/>
  <c r="BF10" i="67"/>
  <c r="BB10" i="67"/>
  <c r="BA8" i="67"/>
  <c r="BA15" i="67" s="1"/>
  <c r="P14" i="67"/>
  <c r="AB5" i="53" s="1"/>
  <c r="AY6" i="67"/>
  <c r="P13" i="67"/>
  <c r="P5" i="53" s="1"/>
  <c r="G16" i="67"/>
  <c r="BC4" i="53" s="1"/>
  <c r="K16" i="67"/>
  <c r="BG4" i="53" s="1"/>
  <c r="H16" i="67"/>
  <c r="BD4" i="53" s="1"/>
  <c r="D16" i="67"/>
  <c r="AZ4" i="53" s="1"/>
  <c r="G13" i="67"/>
  <c r="S4" i="53" s="1"/>
  <c r="S9" i="53" s="1"/>
  <c r="K13" i="67"/>
  <c r="W4" i="53" s="1"/>
  <c r="W9" i="53" s="1"/>
  <c r="AZ6" i="67"/>
  <c r="BD6" i="67"/>
  <c r="BB8" i="67"/>
  <c r="BB15" i="67" s="1"/>
  <c r="BF8" i="67"/>
  <c r="BF15" i="67" s="1"/>
  <c r="BA9" i="67"/>
  <c r="BE9" i="67"/>
  <c r="H13" i="67"/>
  <c r="T4" i="53" s="1"/>
  <c r="G14" i="67"/>
  <c r="AE4" i="53" s="1"/>
  <c r="K14" i="67"/>
  <c r="AI4" i="53" s="1"/>
  <c r="F15" i="67"/>
  <c r="AP4" i="53" s="1"/>
  <c r="AP9" i="53" s="1"/>
  <c r="J15" i="67"/>
  <c r="AT4" i="53" s="1"/>
  <c r="AT9" i="53" s="1"/>
  <c r="E16" i="67"/>
  <c r="BA4" i="53" s="1"/>
  <c r="I16" i="67"/>
  <c r="BE4" i="53" s="1"/>
  <c r="BA6" i="67"/>
  <c r="BE6" i="67"/>
  <c r="AY8" i="67"/>
  <c r="AY15" i="67" s="1"/>
  <c r="BC8" i="67"/>
  <c r="BC15" i="67" s="1"/>
  <c r="BB9" i="67"/>
  <c r="BF9" i="67"/>
  <c r="E13" i="67"/>
  <c r="Q4" i="53" s="1"/>
  <c r="I13" i="67"/>
  <c r="U4" i="53" s="1"/>
  <c r="U9" i="53" s="1"/>
  <c r="D14" i="67"/>
  <c r="AB4" i="53" s="1"/>
  <c r="D4" i="53" s="1"/>
  <c r="H14" i="67"/>
  <c r="AF4" i="53" s="1"/>
  <c r="AZ8" i="67"/>
  <c r="AZ15" i="67" s="1"/>
  <c r="BD8" i="67"/>
  <c r="BD15" i="67" s="1"/>
  <c r="AY9" i="67"/>
  <c r="BC9" i="67"/>
  <c r="F13" i="67"/>
  <c r="R4" i="53" s="1"/>
  <c r="J13" i="67"/>
  <c r="V4" i="53" s="1"/>
  <c r="AU16" i="66"/>
  <c r="AT16" i="66"/>
  <c r="AS16" i="66"/>
  <c r="AR16" i="66"/>
  <c r="AQ16" i="66"/>
  <c r="AP16" i="66"/>
  <c r="AO16" i="66"/>
  <c r="AI16" i="66"/>
  <c r="AH16" i="66"/>
  <c r="AG16" i="66"/>
  <c r="AF16" i="66"/>
  <c r="AE16" i="66"/>
  <c r="AD16" i="66"/>
  <c r="AC16" i="66"/>
  <c r="W16" i="66"/>
  <c r="V16" i="66"/>
  <c r="U16" i="66"/>
  <c r="T16" i="66"/>
  <c r="S16" i="66"/>
  <c r="R16" i="66"/>
  <c r="Q16" i="66"/>
  <c r="P16" i="66"/>
  <c r="AU15" i="66"/>
  <c r="AT15" i="66"/>
  <c r="AS15" i="66"/>
  <c r="AR15" i="66"/>
  <c r="AQ15" i="66"/>
  <c r="AP15" i="66"/>
  <c r="AO15" i="66"/>
  <c r="AN15" i="66"/>
  <c r="AI15" i="66"/>
  <c r="AH15" i="66"/>
  <c r="AG15" i="66"/>
  <c r="AF15" i="66"/>
  <c r="AE15" i="66"/>
  <c r="AD15" i="66"/>
  <c r="AC15" i="66"/>
  <c r="AB15" i="66"/>
  <c r="W15" i="66"/>
  <c r="V15" i="66"/>
  <c r="U15" i="66"/>
  <c r="T15" i="66"/>
  <c r="S15" i="66"/>
  <c r="R15" i="66"/>
  <c r="Q15" i="66"/>
  <c r="P15" i="66"/>
  <c r="AU14" i="66"/>
  <c r="AT14" i="66"/>
  <c r="AS14" i="66"/>
  <c r="AR14" i="66"/>
  <c r="AQ14" i="66"/>
  <c r="AP14" i="66"/>
  <c r="AO14" i="66"/>
  <c r="AI14" i="66"/>
  <c r="AH14" i="66"/>
  <c r="AG14" i="66"/>
  <c r="AF14" i="66"/>
  <c r="AE14" i="66"/>
  <c r="AD14" i="66"/>
  <c r="AC14" i="66"/>
  <c r="W14" i="66"/>
  <c r="V14" i="66"/>
  <c r="U14" i="66"/>
  <c r="T14" i="66"/>
  <c r="S14" i="66"/>
  <c r="R14" i="66"/>
  <c r="Q14" i="66"/>
  <c r="P14" i="66"/>
  <c r="AU13" i="66"/>
  <c r="AT13" i="66"/>
  <c r="AS13" i="66"/>
  <c r="AR13" i="66"/>
  <c r="AQ13" i="66"/>
  <c r="AP13" i="66"/>
  <c r="AO13" i="66"/>
  <c r="AI13" i="66"/>
  <c r="AH13" i="66"/>
  <c r="AG13" i="66"/>
  <c r="AF13" i="66"/>
  <c r="AD13" i="66"/>
  <c r="W13" i="66"/>
  <c r="V13" i="66"/>
  <c r="T13" i="66"/>
  <c r="S13" i="66"/>
  <c r="R13" i="66"/>
  <c r="Q13" i="66"/>
  <c r="D10" i="86" l="1"/>
  <c r="F38" i="86"/>
  <c r="E13" i="134" s="1"/>
  <c r="E22" i="134" s="1"/>
  <c r="E4" i="128"/>
  <c r="R5" i="128" s="1"/>
  <c r="J5" i="86"/>
  <c r="J8" i="86" s="1"/>
  <c r="J9" i="86" s="1"/>
  <c r="J37" i="86" s="1"/>
  <c r="I11" i="134" s="1"/>
  <c r="I20" i="134" s="1"/>
  <c r="I38" i="86"/>
  <c r="H13" i="134" s="1"/>
  <c r="H22" i="134" s="1"/>
  <c r="Q5" i="128"/>
  <c r="D13" i="134"/>
  <c r="D22" i="134" s="1"/>
  <c r="T11" i="128"/>
  <c r="G7" i="74"/>
  <c r="G8" i="74" s="1"/>
  <c r="W11" i="128"/>
  <c r="J7" i="74"/>
  <c r="J8" i="74" s="1"/>
  <c r="V11" i="128"/>
  <c r="I7" i="74"/>
  <c r="I8" i="74" s="1"/>
  <c r="R11" i="128"/>
  <c r="E7" i="74"/>
  <c r="U11" i="128"/>
  <c r="H7" i="74"/>
  <c r="S11" i="128"/>
  <c r="F7" i="74"/>
  <c r="Q11" i="128"/>
  <c r="X11" i="128"/>
  <c r="K7" i="74"/>
  <c r="K8" i="74" s="1"/>
  <c r="E5" i="53"/>
  <c r="R8" i="128" s="1"/>
  <c r="AP35" i="75" s="1"/>
  <c r="E4" i="53"/>
  <c r="R6" i="128" s="1"/>
  <c r="AP34" i="75" s="1"/>
  <c r="E6" i="53"/>
  <c r="AZ16" i="67"/>
  <c r="D5" i="53"/>
  <c r="S10" i="128"/>
  <c r="F4" i="128"/>
  <c r="S5" i="128" s="1"/>
  <c r="I4" i="128"/>
  <c r="V5" i="128" s="1"/>
  <c r="V10" i="128"/>
  <c r="X10" i="128"/>
  <c r="K4" i="128"/>
  <c r="X5" i="128" s="1"/>
  <c r="H4" i="128"/>
  <c r="U5" i="128" s="1"/>
  <c r="U10" i="128"/>
  <c r="W10" i="128"/>
  <c r="J4" i="128"/>
  <c r="W5" i="128" s="1"/>
  <c r="R10" i="128"/>
  <c r="T10" i="128"/>
  <c r="G4" i="128"/>
  <c r="T5" i="128" s="1"/>
  <c r="Q9" i="53"/>
  <c r="AC10" i="53"/>
  <c r="BE9" i="53"/>
  <c r="AI9" i="53"/>
  <c r="BC9" i="53"/>
  <c r="AD10" i="53"/>
  <c r="R9" i="53"/>
  <c r="AB9" i="53"/>
  <c r="BF10" i="53"/>
  <c r="V9" i="53"/>
  <c r="AY16" i="67"/>
  <c r="BA13" i="67"/>
  <c r="BG9" i="53"/>
  <c r="T9" i="53"/>
  <c r="AF9" i="53"/>
  <c r="BA9" i="53"/>
  <c r="AH10" i="53"/>
  <c r="BB10" i="53"/>
  <c r="P11" i="53"/>
  <c r="AE11" i="53"/>
  <c r="BD11" i="53"/>
  <c r="AG9" i="53"/>
  <c r="AZ11" i="53"/>
  <c r="W11" i="53"/>
  <c r="Q10" i="53"/>
  <c r="AC11" i="53"/>
  <c r="AC9" i="53"/>
  <c r="S10" i="53"/>
  <c r="AT11" i="53"/>
  <c r="AZ9" i="53"/>
  <c r="P10" i="53"/>
  <c r="BA11" i="53"/>
  <c r="BC10" i="53"/>
  <c r="BC11" i="53"/>
  <c r="AD9" i="53"/>
  <c r="AE10" i="53"/>
  <c r="AD11" i="53"/>
  <c r="AI10" i="53"/>
  <c r="AF10" i="53"/>
  <c r="BB9" i="53"/>
  <c r="S11" i="53"/>
  <c r="AP10" i="53"/>
  <c r="U11" i="53"/>
  <c r="P9" i="53"/>
  <c r="BA10" i="53"/>
  <c r="Q11" i="53"/>
  <c r="AF11" i="53"/>
  <c r="BG10" i="53"/>
  <c r="BG11" i="53"/>
  <c r="AH9" i="53"/>
  <c r="AH11" i="53"/>
  <c r="BD10" i="53"/>
  <c r="V11" i="53"/>
  <c r="BB11" i="53"/>
  <c r="V10" i="53"/>
  <c r="BC14" i="67"/>
  <c r="BE11" i="53"/>
  <c r="AT10" i="53"/>
  <c r="AP11" i="53"/>
  <c r="AE9" i="53"/>
  <c r="BD9" i="53"/>
  <c r="BC13" i="67"/>
  <c r="AB10" i="53"/>
  <c r="AZ10" i="53"/>
  <c r="AG10" i="53"/>
  <c r="T11" i="53"/>
  <c r="AB11" i="53"/>
  <c r="T10" i="53"/>
  <c r="BF9" i="53"/>
  <c r="R11" i="53"/>
  <c r="BF11" i="53"/>
  <c r="R10" i="53"/>
  <c r="AI11" i="53"/>
  <c r="BE10" i="53"/>
  <c r="W10" i="53"/>
  <c r="U10" i="53"/>
  <c r="AG11" i="53"/>
  <c r="BE14" i="67"/>
  <c r="BD13" i="67"/>
  <c r="AZ13" i="67"/>
  <c r="BD16" i="67"/>
  <c r="BB14" i="67"/>
  <c r="T6" i="64"/>
  <c r="BB13" i="67"/>
  <c r="BE13" i="67"/>
  <c r="AY14" i="67"/>
  <c r="BF14" i="67"/>
  <c r="AY13" i="67"/>
  <c r="AZ14" i="67"/>
  <c r="BA14" i="67"/>
  <c r="BF13" i="67"/>
  <c r="Q6" i="64"/>
  <c r="BD14" i="67"/>
  <c r="U6" i="64"/>
  <c r="G13" i="66"/>
  <c r="K13" i="66"/>
  <c r="G14" i="66"/>
  <c r="K14" i="66"/>
  <c r="G15" i="66"/>
  <c r="K15" i="66"/>
  <c r="G16" i="66"/>
  <c r="K16" i="66"/>
  <c r="D13" i="66"/>
  <c r="H13" i="66"/>
  <c r="D14" i="66"/>
  <c r="H14" i="66"/>
  <c r="D15" i="66"/>
  <c r="H15" i="66"/>
  <c r="D16" i="66"/>
  <c r="H16" i="66"/>
  <c r="E13" i="66"/>
  <c r="I13" i="66"/>
  <c r="E14" i="66"/>
  <c r="I14" i="66"/>
  <c r="E15" i="66"/>
  <c r="I15" i="66"/>
  <c r="E16" i="66"/>
  <c r="I16" i="66"/>
  <c r="F13" i="66"/>
  <c r="J13" i="66"/>
  <c r="F14" i="66"/>
  <c r="J14" i="66"/>
  <c r="F15" i="66"/>
  <c r="J15" i="66"/>
  <c r="F16" i="66"/>
  <c r="J16" i="66"/>
  <c r="BC16" i="67"/>
  <c r="BE16" i="67"/>
  <c r="BA16" i="67"/>
  <c r="BF16" i="67"/>
  <c r="BB16" i="67"/>
  <c r="AE13" i="66"/>
  <c r="U13" i="66"/>
  <c r="AN16" i="66"/>
  <c r="AN14" i="66"/>
  <c r="AN13" i="66"/>
  <c r="AB16" i="66"/>
  <c r="AB14" i="66"/>
  <c r="AB13" i="66"/>
  <c r="S6" i="64"/>
  <c r="V6" i="64"/>
  <c r="R6" i="64"/>
  <c r="R4" i="64"/>
  <c r="V4" i="64"/>
  <c r="S4" i="64"/>
  <c r="Q4" i="64"/>
  <c r="U4" i="64"/>
  <c r="T4" i="64"/>
  <c r="H6" i="53"/>
  <c r="U4" i="128" s="1"/>
  <c r="H5" i="53"/>
  <c r="U8" i="128" s="1"/>
  <c r="AS35" i="75" s="1"/>
  <c r="J38" i="86" l="1"/>
  <c r="C37" i="86"/>
  <c r="AP50" i="75"/>
  <c r="AP56" i="75"/>
  <c r="AP55" i="75"/>
  <c r="AS56" i="75"/>
  <c r="AS55" i="75"/>
  <c r="F25" i="134"/>
  <c r="F26" i="134" s="1"/>
  <c r="H8" i="74"/>
  <c r="C25" i="134"/>
  <c r="C26" i="134" s="1"/>
  <c r="E8" i="74"/>
  <c r="D25" i="134"/>
  <c r="D26" i="134" s="1"/>
  <c r="F8" i="74"/>
  <c r="H25" i="134"/>
  <c r="H26" i="134" s="1"/>
  <c r="E25" i="134"/>
  <c r="E26" i="134" s="1"/>
  <c r="I25" i="134"/>
  <c r="I26" i="134" s="1"/>
  <c r="G25" i="134"/>
  <c r="G26" i="134" s="1"/>
  <c r="AP44" i="75"/>
  <c r="AP89" i="75" s="1"/>
  <c r="AP129" i="75" s="1"/>
  <c r="AP48" i="75"/>
  <c r="E12" i="132"/>
  <c r="D12" i="132"/>
  <c r="BG18" i="64"/>
  <c r="H9" i="76" s="1"/>
  <c r="Q197" i="92"/>
  <c r="Q200" i="92" s="1"/>
  <c r="Q59" i="92" s="1"/>
  <c r="W197" i="92"/>
  <c r="W200" i="92" s="1"/>
  <c r="V197" i="92"/>
  <c r="V200" i="92" s="1"/>
  <c r="S197" i="92"/>
  <c r="S200" i="92" s="1"/>
  <c r="X197" i="92"/>
  <c r="X200" i="92" s="1"/>
  <c r="T197" i="92"/>
  <c r="T200" i="92" s="1"/>
  <c r="U197" i="92"/>
  <c r="U200" i="92" s="1"/>
  <c r="R197" i="92"/>
  <c r="R200" i="92" s="1"/>
  <c r="F5" i="53"/>
  <c r="S8" i="128" s="1"/>
  <c r="AQ35" i="75" s="1"/>
  <c r="AQ58" i="75" s="1"/>
  <c r="J4" i="53"/>
  <c r="W6" i="128" s="1"/>
  <c r="AU34" i="75" s="1"/>
  <c r="K5" i="53"/>
  <c r="X8" i="128" s="1"/>
  <c r="AV35" i="75" s="1"/>
  <c r="G5" i="53"/>
  <c r="T8" i="128" s="1"/>
  <c r="AR35" i="75" s="1"/>
  <c r="K6" i="53"/>
  <c r="X4" i="128" s="1"/>
  <c r="G6" i="53"/>
  <c r="T4" i="128" s="1"/>
  <c r="H4" i="53"/>
  <c r="U6" i="128" s="1"/>
  <c r="AS34" i="75" s="1"/>
  <c r="K4" i="53"/>
  <c r="X6" i="128" s="1"/>
  <c r="AV34" i="75" s="1"/>
  <c r="G4" i="53"/>
  <c r="T6" i="128" s="1"/>
  <c r="AR34" i="75" s="1"/>
  <c r="I4" i="53"/>
  <c r="V6" i="128" s="1"/>
  <c r="AT34" i="75" s="1"/>
  <c r="J6" i="53"/>
  <c r="W4" i="128" s="1"/>
  <c r="F6" i="53"/>
  <c r="S4" i="128" s="1"/>
  <c r="J5" i="53"/>
  <c r="W8" i="128" s="1"/>
  <c r="AU35" i="75" s="1"/>
  <c r="I6" i="53"/>
  <c r="V4" i="128" s="1"/>
  <c r="R4" i="128"/>
  <c r="I5" i="53"/>
  <c r="V8" i="128" s="1"/>
  <c r="AT35" i="75" s="1"/>
  <c r="D6" i="53"/>
  <c r="Q4" i="128" s="1"/>
  <c r="Q8" i="128"/>
  <c r="BC18" i="64" s="1"/>
  <c r="D9" i="76" s="1"/>
  <c r="AS98" i="75" l="1"/>
  <c r="AS134" i="75" s="1"/>
  <c r="AP98" i="75"/>
  <c r="AP134" i="75" s="1"/>
  <c r="K5" i="128"/>
  <c r="I13" i="134"/>
  <c r="I22" i="134" s="1"/>
  <c r="C38" i="86"/>
  <c r="AV56" i="75"/>
  <c r="AV55" i="75"/>
  <c r="AQ56" i="75"/>
  <c r="AQ55" i="75"/>
  <c r="AT56" i="75"/>
  <c r="AT55" i="75"/>
  <c r="AU56" i="75"/>
  <c r="AU55" i="75"/>
  <c r="AR56" i="75"/>
  <c r="AR55" i="75"/>
  <c r="AO35" i="75"/>
  <c r="Q60" i="92"/>
  <c r="Q61" i="92"/>
  <c r="Q62" i="92"/>
  <c r="Q58" i="92"/>
  <c r="T59" i="92"/>
  <c r="T60" i="92"/>
  <c r="T61" i="92"/>
  <c r="T62" i="92"/>
  <c r="T58" i="92"/>
  <c r="R58" i="92"/>
  <c r="R61" i="92"/>
  <c r="R62" i="92"/>
  <c r="R59" i="92"/>
  <c r="R60" i="92"/>
  <c r="X59" i="92"/>
  <c r="X60" i="92"/>
  <c r="X61" i="92"/>
  <c r="X62" i="92"/>
  <c r="X58" i="92"/>
  <c r="S58" i="92"/>
  <c r="S59" i="92"/>
  <c r="S60" i="92"/>
  <c r="S61" i="92"/>
  <c r="S62" i="92"/>
  <c r="V58" i="92"/>
  <c r="V59" i="92"/>
  <c r="V60" i="92"/>
  <c r="V61" i="92"/>
  <c r="V62" i="92"/>
  <c r="U58" i="92"/>
  <c r="U59" i="92"/>
  <c r="U60" i="92"/>
  <c r="U61" i="92"/>
  <c r="U62" i="92"/>
  <c r="W61" i="92"/>
  <c r="W58" i="92"/>
  <c r="W59" i="92"/>
  <c r="W60" i="92"/>
  <c r="W62" i="92"/>
  <c r="BG19" i="64"/>
  <c r="H5" i="128"/>
  <c r="AS42" i="75"/>
  <c r="AS50" i="75"/>
  <c r="AS46" i="75"/>
  <c r="AP39" i="75"/>
  <c r="Q201" i="92"/>
  <c r="BH18" i="64"/>
  <c r="I9" i="76" s="1"/>
  <c r="AS13" i="64"/>
  <c r="G5" i="128"/>
  <c r="AV13" i="64"/>
  <c r="E5" i="128"/>
  <c r="J5" i="128"/>
  <c r="AW13" i="64"/>
  <c r="BE18" i="64"/>
  <c r="F9" i="76" s="1"/>
  <c r="I5" i="128"/>
  <c r="AP42" i="75"/>
  <c r="AQ13" i="64"/>
  <c r="AT13" i="64"/>
  <c r="BF18" i="64"/>
  <c r="G9" i="76" s="1"/>
  <c r="BD18" i="64"/>
  <c r="E9" i="76" s="1"/>
  <c r="BI18" i="64"/>
  <c r="J9" i="76" s="1"/>
  <c r="AU13" i="64"/>
  <c r="BJ18" i="64"/>
  <c r="R201" i="92"/>
  <c r="X201" i="92"/>
  <c r="S201" i="92"/>
  <c r="U201" i="92"/>
  <c r="V201" i="92"/>
  <c r="T201" i="92"/>
  <c r="W201" i="92"/>
  <c r="AS97" i="75"/>
  <c r="AS133" i="75" s="1"/>
  <c r="I11" i="53"/>
  <c r="I10" i="53"/>
  <c r="E11" i="53"/>
  <c r="J11" i="53"/>
  <c r="K9" i="53"/>
  <c r="K11" i="53"/>
  <c r="H9" i="53"/>
  <c r="E10" i="53"/>
  <c r="J10" i="53"/>
  <c r="I9" i="53"/>
  <c r="K10" i="53"/>
  <c r="H10" i="53"/>
  <c r="H11" i="53"/>
  <c r="E9" i="53"/>
  <c r="G10" i="53"/>
  <c r="G9" i="53"/>
  <c r="G11" i="53"/>
  <c r="J9" i="53"/>
  <c r="F4" i="53"/>
  <c r="AI110" i="145" l="1"/>
  <c r="AI118" i="130"/>
  <c r="AI119" i="130" s="1"/>
  <c r="AI121" i="130" s="1"/>
  <c r="AJ118" i="130"/>
  <c r="AJ119" i="130" s="1"/>
  <c r="AJ121" i="130" s="1"/>
  <c r="AJ110" i="145"/>
  <c r="AK110" i="145"/>
  <c r="AK118" i="130"/>
  <c r="AK119" i="130" s="1"/>
  <c r="AK121" i="130" s="1"/>
  <c r="AL118" i="130"/>
  <c r="AL119" i="130" s="1"/>
  <c r="AL121" i="130" s="1"/>
  <c r="AL110" i="145"/>
  <c r="AG110" i="145"/>
  <c r="AG118" i="130"/>
  <c r="AG119" i="130" s="1"/>
  <c r="AG121" i="130" s="1"/>
  <c r="AM118" i="130"/>
  <c r="AM119" i="130" s="1"/>
  <c r="AM121" i="130" s="1"/>
  <c r="AM110" i="145"/>
  <c r="H9" i="60"/>
  <c r="AR98" i="75"/>
  <c r="AR134" i="75" s="1"/>
  <c r="AV98" i="75"/>
  <c r="AV134" i="75" s="1"/>
  <c r="AU98" i="75"/>
  <c r="AU134" i="75" s="1"/>
  <c r="AT98" i="75"/>
  <c r="AT134" i="75" s="1"/>
  <c r="AQ98" i="75"/>
  <c r="AQ134" i="75" s="1"/>
  <c r="AO57" i="75"/>
  <c r="AO99" i="75" s="1"/>
  <c r="AO135" i="75" s="1"/>
  <c r="AO56" i="75"/>
  <c r="AS57" i="75"/>
  <c r="AS99" i="75" s="1"/>
  <c r="AS135" i="75" s="1"/>
  <c r="AT57" i="75"/>
  <c r="AT99" i="75" s="1"/>
  <c r="AT135" i="75" s="1"/>
  <c r="AV57" i="75"/>
  <c r="AV99" i="75" s="1"/>
  <c r="AV135" i="75" s="1"/>
  <c r="AQ57" i="75"/>
  <c r="AQ99" i="75" s="1"/>
  <c r="AQ135" i="75" s="1"/>
  <c r="AU57" i="75"/>
  <c r="AU99" i="75" s="1"/>
  <c r="AU135" i="75" s="1"/>
  <c r="AR57" i="75"/>
  <c r="AR99" i="75" s="1"/>
  <c r="AR135" i="75" s="1"/>
  <c r="AP57" i="75"/>
  <c r="AP99" i="75" s="1"/>
  <c r="AP135" i="75" s="1"/>
  <c r="AO46" i="75"/>
  <c r="AO55" i="75"/>
  <c r="AO97" i="75" s="1"/>
  <c r="H4" i="76"/>
  <c r="H11" i="76"/>
  <c r="H8" i="76"/>
  <c r="H5" i="76"/>
  <c r="H6" i="76"/>
  <c r="E4" i="76"/>
  <c r="E8" i="76"/>
  <c r="E11" i="76"/>
  <c r="E5" i="76"/>
  <c r="E6" i="76"/>
  <c r="J11" i="76"/>
  <c r="J8" i="76"/>
  <c r="J5" i="76"/>
  <c r="J6" i="76"/>
  <c r="J4" i="76"/>
  <c r="I8" i="76"/>
  <c r="I5" i="76"/>
  <c r="I6" i="76"/>
  <c r="I4" i="76"/>
  <c r="I11" i="76"/>
  <c r="G4" i="76"/>
  <c r="G11" i="76"/>
  <c r="G5" i="76"/>
  <c r="G6" i="76"/>
  <c r="G8" i="76"/>
  <c r="G704" i="141"/>
  <c r="S106" i="92"/>
  <c r="Q106" i="92"/>
  <c r="X106" i="92"/>
  <c r="K704" i="141"/>
  <c r="W106" i="92"/>
  <c r="AG34" i="92" s="1"/>
  <c r="F704" i="141"/>
  <c r="R106" i="92"/>
  <c r="J704" i="141"/>
  <c r="V106" i="92"/>
  <c r="H704" i="141"/>
  <c r="T106" i="92"/>
  <c r="U106" i="92"/>
  <c r="AE34" i="92" s="1"/>
  <c r="L704" i="141"/>
  <c r="G690" i="141"/>
  <c r="G696" i="141" s="1"/>
  <c r="T115" i="92"/>
  <c r="T114" i="92"/>
  <c r="T113" i="92"/>
  <c r="T112" i="92"/>
  <c r="T116" i="92"/>
  <c r="V116" i="92"/>
  <c r="V115" i="92"/>
  <c r="V114" i="92"/>
  <c r="V113" i="92"/>
  <c r="V112" i="92"/>
  <c r="Q112" i="92"/>
  <c r="Q113" i="92"/>
  <c r="Q114" i="92"/>
  <c r="Q115" i="92"/>
  <c r="Q116" i="92"/>
  <c r="X116" i="92"/>
  <c r="X115" i="92"/>
  <c r="X114" i="92"/>
  <c r="X113" i="92"/>
  <c r="X112" i="92"/>
  <c r="R113" i="92"/>
  <c r="R112" i="92"/>
  <c r="R116" i="92"/>
  <c r="R115" i="92"/>
  <c r="R114" i="92"/>
  <c r="U116" i="92"/>
  <c r="U115" i="92"/>
  <c r="U114" i="92"/>
  <c r="U113" i="92"/>
  <c r="U112" i="92"/>
  <c r="S114" i="92"/>
  <c r="S113" i="92"/>
  <c r="S112" i="92"/>
  <c r="S116" i="92"/>
  <c r="S115" i="92"/>
  <c r="W116" i="92"/>
  <c r="W115" i="92"/>
  <c r="W114" i="92"/>
  <c r="W113" i="92"/>
  <c r="W112" i="92"/>
  <c r="E18" i="132"/>
  <c r="AS14" i="64"/>
  <c r="BJ19" i="64"/>
  <c r="BD19" i="64"/>
  <c r="BF19" i="64"/>
  <c r="BE19" i="64"/>
  <c r="BH19" i="64"/>
  <c r="AQ14" i="64"/>
  <c r="AV14" i="64"/>
  <c r="AU14" i="64"/>
  <c r="BI19" i="64"/>
  <c r="AW14" i="64"/>
  <c r="AT14" i="64"/>
  <c r="H8" i="60" s="1"/>
  <c r="Y166" i="130"/>
  <c r="AO50" i="75"/>
  <c r="AO61" i="75"/>
  <c r="AT46" i="75"/>
  <c r="AT50" i="75"/>
  <c r="AR46" i="75"/>
  <c r="AR50" i="75"/>
  <c r="AP61" i="75"/>
  <c r="AP46" i="75"/>
  <c r="AV46" i="75"/>
  <c r="AV50" i="75"/>
  <c r="AU46" i="75"/>
  <c r="AU50" i="75"/>
  <c r="AQ50" i="75"/>
  <c r="AQ46" i="75"/>
  <c r="D10" i="53"/>
  <c r="Q6" i="128"/>
  <c r="F11" i="53"/>
  <c r="S6" i="128"/>
  <c r="AQ34" i="75" s="1"/>
  <c r="AS62" i="75"/>
  <c r="AS58" i="75"/>
  <c r="AS100" i="75" s="1"/>
  <c r="AS136" i="75" s="1"/>
  <c r="AS61" i="75"/>
  <c r="AS53" i="75"/>
  <c r="AS96" i="75" s="1"/>
  <c r="AS132" i="75" s="1"/>
  <c r="AS59" i="75"/>
  <c r="AS101" i="75" s="1"/>
  <c r="AS137" i="75" s="1"/>
  <c r="AS52" i="75"/>
  <c r="AS95" i="75" s="1"/>
  <c r="AS54" i="75"/>
  <c r="AS60" i="75"/>
  <c r="AS102" i="75" s="1"/>
  <c r="AR54" i="75"/>
  <c r="AU53" i="75"/>
  <c r="AU96" i="75" s="1"/>
  <c r="AU132" i="75" s="1"/>
  <c r="AO60" i="75"/>
  <c r="AO102" i="75" s="1"/>
  <c r="AU51" i="75"/>
  <c r="AU94" i="75" s="1"/>
  <c r="AR41" i="75"/>
  <c r="AR87" i="75" s="1"/>
  <c r="AR127" i="75" s="1"/>
  <c r="AV60" i="75"/>
  <c r="AV102" i="75" s="1"/>
  <c r="AT41" i="75"/>
  <c r="AT87" i="75" s="1"/>
  <c r="AT127" i="75" s="1"/>
  <c r="AP58" i="75"/>
  <c r="AP100" i="75" s="1"/>
  <c r="AP136" i="75" s="1"/>
  <c r="AT53" i="75"/>
  <c r="AT96" i="75" s="1"/>
  <c r="AT132" i="75" s="1"/>
  <c r="AQ62" i="75"/>
  <c r="AV51" i="75"/>
  <c r="AV94" i="75" s="1"/>
  <c r="AS51" i="75"/>
  <c r="AS94" i="75" s="1"/>
  <c r="F9" i="53"/>
  <c r="F10" i="53"/>
  <c r="D9" i="53"/>
  <c r="D11" i="53"/>
  <c r="Z166" i="130" l="1"/>
  <c r="AC166" i="130"/>
  <c r="AB166" i="130"/>
  <c r="AB167" i="130" s="1"/>
  <c r="AB169" i="130" s="1"/>
  <c r="H5" i="130" s="1"/>
  <c r="H80" i="130" s="1"/>
  <c r="AA166" i="130"/>
  <c r="W166" i="130"/>
  <c r="AA166" i="145"/>
  <c r="AA167" i="145" s="1"/>
  <c r="AA169" i="145" s="1"/>
  <c r="G5" i="145" s="1"/>
  <c r="AK111" i="145"/>
  <c r="AK113" i="145" s="1"/>
  <c r="G6" i="145" s="1"/>
  <c r="W166" i="145"/>
  <c r="W167" i="145" s="1"/>
  <c r="W169" i="145" s="1"/>
  <c r="C5" i="145" s="1"/>
  <c r="AG111" i="145"/>
  <c r="AG113" i="145" s="1"/>
  <c r="C6" i="145" s="1"/>
  <c r="Z166" i="145"/>
  <c r="Z167" i="145" s="1"/>
  <c r="Z169" i="145" s="1"/>
  <c r="F5" i="145" s="1"/>
  <c r="AJ111" i="145"/>
  <c r="AJ113" i="145" s="1"/>
  <c r="F6" i="145" s="1"/>
  <c r="AB166" i="145"/>
  <c r="AB167" i="145" s="1"/>
  <c r="AB169" i="145" s="1"/>
  <c r="H5" i="145" s="1"/>
  <c r="AL111" i="145"/>
  <c r="AL113" i="145" s="1"/>
  <c r="H6" i="145" s="1"/>
  <c r="Y166" i="145"/>
  <c r="Y167" i="145" s="1"/>
  <c r="Y169" i="145" s="1"/>
  <c r="E5" i="145" s="1"/>
  <c r="AI111" i="145"/>
  <c r="AI113" i="145" s="1"/>
  <c r="E6" i="145" s="1"/>
  <c r="AC166" i="145"/>
  <c r="AC167" i="145" s="1"/>
  <c r="AC169" i="145" s="1"/>
  <c r="I5" i="145" s="1"/>
  <c r="AM111" i="145"/>
  <c r="AM113" i="145" s="1"/>
  <c r="I6" i="145" s="1"/>
  <c r="I9" i="60"/>
  <c r="I8" i="60"/>
  <c r="G9" i="60"/>
  <c r="G8" i="60"/>
  <c r="F9" i="60"/>
  <c r="E9" i="60"/>
  <c r="E8" i="60"/>
  <c r="J9" i="60"/>
  <c r="J8" i="60"/>
  <c r="AO98" i="75"/>
  <c r="AO134" i="75" s="1"/>
  <c r="Q122" i="92"/>
  <c r="E4" i="60"/>
  <c r="J6" i="60"/>
  <c r="J11" i="60"/>
  <c r="J10" i="60"/>
  <c r="J5" i="60"/>
  <c r="E11" i="60"/>
  <c r="E10" i="60"/>
  <c r="E5" i="60"/>
  <c r="E6" i="60"/>
  <c r="I4" i="60"/>
  <c r="H5" i="60"/>
  <c r="H6" i="60"/>
  <c r="H11" i="60"/>
  <c r="H10" i="60"/>
  <c r="G4" i="60"/>
  <c r="J4" i="60"/>
  <c r="I10" i="60"/>
  <c r="I5" i="60"/>
  <c r="I6" i="60"/>
  <c r="I11" i="60"/>
  <c r="G5" i="60"/>
  <c r="G6" i="60"/>
  <c r="G11" i="60"/>
  <c r="G10" i="60"/>
  <c r="J12" i="76"/>
  <c r="BQ275" i="127" s="1"/>
  <c r="H4" i="60"/>
  <c r="E12" i="76"/>
  <c r="BL275" i="127" s="1"/>
  <c r="I12" i="76"/>
  <c r="BP275" i="127" s="1"/>
  <c r="G12" i="76"/>
  <c r="BN275" i="127" s="1"/>
  <c r="K12" i="76"/>
  <c r="BR275" i="127" s="1"/>
  <c r="H12" i="76"/>
  <c r="BO275" i="127" s="1"/>
  <c r="U122" i="92"/>
  <c r="AE98" i="92" s="1"/>
  <c r="W167" i="130"/>
  <c r="W169" i="130" s="1"/>
  <c r="C5" i="130" s="1"/>
  <c r="Y167" i="130"/>
  <c r="Y169" i="130" s="1"/>
  <c r="E5" i="130" s="1"/>
  <c r="E80" i="130" s="1"/>
  <c r="AA167" i="130"/>
  <c r="AA169" i="130" s="1"/>
  <c r="G5" i="130" s="1"/>
  <c r="G80" i="130" s="1"/>
  <c r="AC167" i="130"/>
  <c r="AC169" i="130" s="1"/>
  <c r="I80" i="130" s="1"/>
  <c r="Z167" i="130"/>
  <c r="Z169" i="130" s="1"/>
  <c r="F5" i="130" s="1"/>
  <c r="F80" i="130" s="1"/>
  <c r="S122" i="92"/>
  <c r="AC98" i="92" s="1"/>
  <c r="V122" i="92"/>
  <c r="AF98" i="92" s="1"/>
  <c r="W122" i="92"/>
  <c r="AG98" i="92" s="1"/>
  <c r="R122" i="92"/>
  <c r="AB98" i="92" s="1"/>
  <c r="X122" i="92"/>
  <c r="T122" i="92"/>
  <c r="AD98" i="92" s="1"/>
  <c r="AP13" i="64"/>
  <c r="D4" i="76" s="1"/>
  <c r="D5" i="128"/>
  <c r="J690" i="141"/>
  <c r="J696" i="141" s="1"/>
  <c r="H690" i="141"/>
  <c r="H696" i="141" s="1"/>
  <c r="F690" i="141"/>
  <c r="F696" i="141" s="1"/>
  <c r="L690" i="141"/>
  <c r="L696" i="141" s="1"/>
  <c r="K690" i="141"/>
  <c r="K696" i="141" s="1"/>
  <c r="I690" i="141"/>
  <c r="I696" i="141" s="1"/>
  <c r="I704" i="141"/>
  <c r="AC34" i="92"/>
  <c r="AF34" i="92"/>
  <c r="AB34" i="92"/>
  <c r="AH34" i="92"/>
  <c r="AD34" i="92"/>
  <c r="AO34" i="75"/>
  <c r="AO39" i="75" s="1"/>
  <c r="F6" i="130"/>
  <c r="C6" i="130"/>
  <c r="G6" i="130"/>
  <c r="E6" i="130"/>
  <c r="E81" i="130" s="1"/>
  <c r="H6" i="130"/>
  <c r="E16" i="132"/>
  <c r="AF69" i="92"/>
  <c r="AG69" i="92"/>
  <c r="AH69" i="92"/>
  <c r="AB69" i="92"/>
  <c r="AQ45" i="75"/>
  <c r="AR13" i="64"/>
  <c r="F5" i="128"/>
  <c r="AD69" i="92"/>
  <c r="AE69" i="92"/>
  <c r="AB68" i="92"/>
  <c r="AH68" i="92"/>
  <c r="AH71" i="92" s="1"/>
  <c r="AC69" i="92"/>
  <c r="AF68" i="92"/>
  <c r="AC68" i="92"/>
  <c r="AE68" i="92"/>
  <c r="AD68" i="92"/>
  <c r="AG68" i="92"/>
  <c r="BC19" i="64"/>
  <c r="AQ97" i="75"/>
  <c r="AQ133" i="75" s="1"/>
  <c r="AR43" i="75"/>
  <c r="AR88" i="75" s="1"/>
  <c r="AR128" i="75" s="1"/>
  <c r="AR39" i="75"/>
  <c r="AR85" i="75" s="1"/>
  <c r="AR125" i="75" s="1"/>
  <c r="AR40" i="75"/>
  <c r="AV61" i="75"/>
  <c r="AQ54" i="75"/>
  <c r="AQ53" i="75"/>
  <c r="AQ59" i="75"/>
  <c r="AQ101" i="75" s="1"/>
  <c r="AQ137" i="75" s="1"/>
  <c r="AQ60" i="75"/>
  <c r="AQ102" i="75" s="1"/>
  <c r="AQ61" i="75"/>
  <c r="AT61" i="75"/>
  <c r="AP92" i="75"/>
  <c r="AP131" i="75" s="1"/>
  <c r="AT44" i="75"/>
  <c r="AT97" i="75"/>
  <c r="AT133" i="75" s="1"/>
  <c r="AU43" i="75"/>
  <c r="AU88" i="75" s="1"/>
  <c r="AU128" i="75" s="1"/>
  <c r="AT40" i="75"/>
  <c r="AT86" i="75" s="1"/>
  <c r="AT126" i="75" s="1"/>
  <c r="AU41" i="75"/>
  <c r="AU87" i="75" s="1"/>
  <c r="AU127" i="75" s="1"/>
  <c r="AP59" i="75"/>
  <c r="AP101" i="75" s="1"/>
  <c r="AP137" i="75" s="1"/>
  <c r="AP41" i="75"/>
  <c r="AP87" i="75" s="1"/>
  <c r="AP127" i="75" s="1"/>
  <c r="AV54" i="75"/>
  <c r="AU45" i="75"/>
  <c r="AR51" i="75"/>
  <c r="AR94" i="75" s="1"/>
  <c r="AR47" i="75"/>
  <c r="AR91" i="75" s="1"/>
  <c r="AT45" i="75"/>
  <c r="AT59" i="75"/>
  <c r="AT101" i="75" s="1"/>
  <c r="AT137" i="75" s="1"/>
  <c r="AP49" i="75"/>
  <c r="AU40" i="75"/>
  <c r="AR42" i="75"/>
  <c r="AP85" i="75"/>
  <c r="AP125" i="75" s="1"/>
  <c r="AT51" i="75"/>
  <c r="AT94" i="75" s="1"/>
  <c r="AT60" i="75"/>
  <c r="AT102" i="75" s="1"/>
  <c r="AT43" i="75"/>
  <c r="AT88" i="75" s="1"/>
  <c r="AT128" i="75" s="1"/>
  <c r="AT49" i="75"/>
  <c r="AU49" i="75"/>
  <c r="AU44" i="75"/>
  <c r="AU42" i="75"/>
  <c r="AV97" i="75"/>
  <c r="AV133" i="75" s="1"/>
  <c r="AT62" i="75"/>
  <c r="AP40" i="75"/>
  <c r="AP86" i="75" s="1"/>
  <c r="AP126" i="75" s="1"/>
  <c r="AP45" i="75"/>
  <c r="AT39" i="75"/>
  <c r="AT85" i="75" s="1"/>
  <c r="AT125" i="75" s="1"/>
  <c r="AP47" i="75"/>
  <c r="AP91" i="75" s="1"/>
  <c r="AT48" i="75"/>
  <c r="AT92" i="75" s="1"/>
  <c r="AT131" i="75" s="1"/>
  <c r="AT58" i="75"/>
  <c r="AT100" i="75" s="1"/>
  <c r="AT136" i="75" s="1"/>
  <c r="AU47" i="75"/>
  <c r="AU91" i="75" s="1"/>
  <c r="AT52" i="75"/>
  <c r="AT95" i="75" s="1"/>
  <c r="AU48" i="75"/>
  <c r="AU92" i="75" s="1"/>
  <c r="AU131" i="75" s="1"/>
  <c r="AU39" i="75"/>
  <c r="AQ52" i="75"/>
  <c r="AQ95" i="75" s="1"/>
  <c r="AQ100" i="75"/>
  <c r="AQ136" i="75" s="1"/>
  <c r="AU52" i="75"/>
  <c r="AU95" i="75" s="1"/>
  <c r="AR58" i="75"/>
  <c r="AR100" i="75" s="1"/>
  <c r="AR136" i="75" s="1"/>
  <c r="AO62" i="75"/>
  <c r="AO53" i="75"/>
  <c r="AO96" i="75" s="1"/>
  <c r="AO132" i="75" s="1"/>
  <c r="AO58" i="75"/>
  <c r="AO100" i="75" s="1"/>
  <c r="AO136" i="75" s="1"/>
  <c r="AR52" i="75"/>
  <c r="AR95" i="75" s="1"/>
  <c r="AU54" i="75"/>
  <c r="AV39" i="75"/>
  <c r="AU61" i="75"/>
  <c r="AR97" i="75"/>
  <c r="AR133" i="75" s="1"/>
  <c r="AR53" i="75"/>
  <c r="AR96" i="75" s="1"/>
  <c r="AR132" i="75" s="1"/>
  <c r="AV48" i="75"/>
  <c r="AV42" i="75"/>
  <c r="AU58" i="75"/>
  <c r="AU100" i="75" s="1"/>
  <c r="AU136" i="75" s="1"/>
  <c r="AR59" i="75"/>
  <c r="AR101" i="75" s="1"/>
  <c r="AR137" i="75" s="1"/>
  <c r="AU59" i="75"/>
  <c r="AU101" i="75" s="1"/>
  <c r="AU137" i="75" s="1"/>
  <c r="AV59" i="75"/>
  <c r="AV101" i="75" s="1"/>
  <c r="AV137" i="75" s="1"/>
  <c r="AV43" i="75"/>
  <c r="AV88" i="75" s="1"/>
  <c r="AV128" i="75" s="1"/>
  <c r="AV49" i="75"/>
  <c r="AP54" i="75"/>
  <c r="AV53" i="75"/>
  <c r="AV96" i="75" s="1"/>
  <c r="AV132" i="75" s="1"/>
  <c r="AP62" i="75"/>
  <c r="AU97" i="75"/>
  <c r="AU133" i="75" s="1"/>
  <c r="AR48" i="75"/>
  <c r="AR92" i="75" s="1"/>
  <c r="AR131" i="75" s="1"/>
  <c r="AR45" i="75"/>
  <c r="AR61" i="75"/>
  <c r="AR62" i="75"/>
  <c r="AP60" i="75"/>
  <c r="AP102" i="75" s="1"/>
  <c r="AP51" i="75"/>
  <c r="AP94" i="75" s="1"/>
  <c r="AO54" i="75"/>
  <c r="AT54" i="75"/>
  <c r="AP43" i="75"/>
  <c r="AP88" i="75" s="1"/>
  <c r="AP128" i="75" s="1"/>
  <c r="AV52" i="75"/>
  <c r="AV95" i="75" s="1"/>
  <c r="AV44" i="75"/>
  <c r="AV89" i="75" s="1"/>
  <c r="AV129" i="75" s="1"/>
  <c r="AU60" i="75"/>
  <c r="AU102" i="75" s="1"/>
  <c r="AP52" i="75"/>
  <c r="AP95" i="75" s="1"/>
  <c r="AV45" i="75"/>
  <c r="AR49" i="75"/>
  <c r="AO52" i="75"/>
  <c r="AO95" i="75" s="1"/>
  <c r="AR60" i="75"/>
  <c r="AR102" i="75" s="1"/>
  <c r="AU62" i="75"/>
  <c r="AV58" i="75"/>
  <c r="AV100" i="75" s="1"/>
  <c r="AV136" i="75" s="1"/>
  <c r="AO133" i="75"/>
  <c r="AO59" i="75"/>
  <c r="AO101" i="75" s="1"/>
  <c r="AO137" i="75" s="1"/>
  <c r="AV62" i="75"/>
  <c r="AV47" i="75"/>
  <c r="AV91" i="75" s="1"/>
  <c r="AT47" i="75"/>
  <c r="AT91" i="75" s="1"/>
  <c r="AT42" i="75"/>
  <c r="AR44" i="75"/>
  <c r="AR89" i="75" s="1"/>
  <c r="AR129" i="75" s="1"/>
  <c r="AV40" i="75"/>
  <c r="AV41" i="75"/>
  <c r="AV87" i="75" s="1"/>
  <c r="AV127" i="75" s="1"/>
  <c r="AP53" i="75"/>
  <c r="AP97" i="75"/>
  <c r="AP133" i="75" s="1"/>
  <c r="AS48" i="75"/>
  <c r="AS44" i="75"/>
  <c r="AS89" i="75" s="1"/>
  <c r="AS129" i="75" s="1"/>
  <c r="AS49" i="75"/>
  <c r="AS40" i="75"/>
  <c r="AS41" i="75"/>
  <c r="AS87" i="75" s="1"/>
  <c r="AS127" i="75" s="1"/>
  <c r="AS39" i="75"/>
  <c r="AS85" i="75" s="1"/>
  <c r="AS125" i="75" s="1"/>
  <c r="AS47" i="75"/>
  <c r="AS91" i="75" s="1"/>
  <c r="AS43" i="75"/>
  <c r="AS88" i="75" s="1"/>
  <c r="AS128" i="75" s="1"/>
  <c r="AS45" i="75"/>
  <c r="AU93" i="75" l="1"/>
  <c r="H17" i="145"/>
  <c r="H92" i="145" s="1"/>
  <c r="H81" i="145"/>
  <c r="H28" i="145"/>
  <c r="H103" i="145" s="1"/>
  <c r="AH110" i="145"/>
  <c r="AH118" i="130"/>
  <c r="AH119" i="130" s="1"/>
  <c r="AH121" i="130" s="1"/>
  <c r="H16" i="145"/>
  <c r="H91" i="145" s="1"/>
  <c r="H27" i="145"/>
  <c r="H102" i="145" s="1"/>
  <c r="H80" i="145"/>
  <c r="H12" i="145"/>
  <c r="F81" i="145"/>
  <c r="F17" i="145"/>
  <c r="F92" i="145" s="1"/>
  <c r="F28" i="145"/>
  <c r="F103" i="145" s="1"/>
  <c r="F80" i="145"/>
  <c r="F16" i="145"/>
  <c r="F91" i="145" s="1"/>
  <c r="F27" i="145"/>
  <c r="F102" i="145" s="1"/>
  <c r="F12" i="145"/>
  <c r="AF110" i="145"/>
  <c r="AF118" i="130"/>
  <c r="AF119" i="130" s="1"/>
  <c r="AF121" i="130" s="1"/>
  <c r="B6" i="130" s="1"/>
  <c r="I17" i="145"/>
  <c r="I92" i="145" s="1"/>
  <c r="I81" i="145"/>
  <c r="I167" i="145" s="1"/>
  <c r="I28" i="145"/>
  <c r="I103" i="145" s="1"/>
  <c r="E17" i="145"/>
  <c r="E92" i="145" s="1"/>
  <c r="C81" i="145"/>
  <c r="I80" i="145"/>
  <c r="I166" i="145" s="1"/>
  <c r="I27" i="145"/>
  <c r="I102" i="145" s="1"/>
  <c r="I16" i="145"/>
  <c r="I91" i="145" s="1"/>
  <c r="I12" i="145"/>
  <c r="C80" i="145"/>
  <c r="C12" i="145"/>
  <c r="C87" i="145" s="1"/>
  <c r="E81" i="145"/>
  <c r="E28" i="145"/>
  <c r="E103" i="145" s="1"/>
  <c r="G81" i="145"/>
  <c r="G17" i="145"/>
  <c r="G92" i="145" s="1"/>
  <c r="G28" i="145"/>
  <c r="G103" i="145" s="1"/>
  <c r="E80" i="145"/>
  <c r="E16" i="145"/>
  <c r="E91" i="145" s="1"/>
  <c r="E27" i="145"/>
  <c r="E102" i="145" s="1"/>
  <c r="E12" i="145"/>
  <c r="G80" i="145"/>
  <c r="G27" i="145"/>
  <c r="G102" i="145" s="1"/>
  <c r="G16" i="145"/>
  <c r="G91" i="145" s="1"/>
  <c r="G12" i="145"/>
  <c r="D9" i="60"/>
  <c r="AV85" i="75"/>
  <c r="AV125" i="75" s="1"/>
  <c r="K6" i="75"/>
  <c r="AU85" i="75"/>
  <c r="AU125" i="75" s="1"/>
  <c r="J6" i="75"/>
  <c r="AB71" i="92"/>
  <c r="AC71" i="92"/>
  <c r="AG71" i="92"/>
  <c r="AE71" i="92"/>
  <c r="AF71" i="92"/>
  <c r="AD71" i="92"/>
  <c r="K13" i="60"/>
  <c r="H12" i="130"/>
  <c r="H87" i="130" s="1"/>
  <c r="I87" i="130"/>
  <c r="E16" i="130"/>
  <c r="E91" i="130" s="1"/>
  <c r="F12" i="130"/>
  <c r="F87" i="130" s="1"/>
  <c r="G12" i="130"/>
  <c r="G87" i="130" s="1"/>
  <c r="F11" i="76"/>
  <c r="F5" i="76"/>
  <c r="F6" i="76"/>
  <c r="F8" i="76"/>
  <c r="F4" i="76"/>
  <c r="D11" i="76"/>
  <c r="D8" i="76"/>
  <c r="D5" i="76"/>
  <c r="D6" i="76"/>
  <c r="L707" i="141"/>
  <c r="E707" i="141"/>
  <c r="E693" i="141"/>
  <c r="E699" i="141" s="1"/>
  <c r="E12" i="130"/>
  <c r="E87" i="130" s="1"/>
  <c r="G17" i="130"/>
  <c r="G92" i="130" s="1"/>
  <c r="E28" i="130"/>
  <c r="E103" i="130" s="1"/>
  <c r="E17" i="130"/>
  <c r="E92" i="130" s="1"/>
  <c r="H27" i="130"/>
  <c r="H102" i="130" s="1"/>
  <c r="G27" i="130"/>
  <c r="G102" i="130" s="1"/>
  <c r="I17" i="130"/>
  <c r="I92" i="130" s="1"/>
  <c r="F27" i="130"/>
  <c r="F102" i="130" s="1"/>
  <c r="G16" i="130"/>
  <c r="G91" i="130" s="1"/>
  <c r="I16" i="130"/>
  <c r="I91" i="130" s="1"/>
  <c r="E27" i="130"/>
  <c r="E102" i="130" s="1"/>
  <c r="H17" i="130"/>
  <c r="H92" i="130" s="1"/>
  <c r="H16" i="130"/>
  <c r="H91" i="130" s="1"/>
  <c r="I28" i="130"/>
  <c r="I103" i="130" s="1"/>
  <c r="F28" i="130"/>
  <c r="F103" i="130" s="1"/>
  <c r="I81" i="130"/>
  <c r="I27" i="130"/>
  <c r="I102" i="130" s="1"/>
  <c r="F16" i="130"/>
  <c r="F91" i="130" s="1"/>
  <c r="G28" i="130"/>
  <c r="G103" i="130" s="1"/>
  <c r="G81" i="130"/>
  <c r="H28" i="130"/>
  <c r="H103" i="130" s="1"/>
  <c r="C12" i="130"/>
  <c r="C81" i="130"/>
  <c r="H81" i="130"/>
  <c r="C80" i="130"/>
  <c r="F81" i="130"/>
  <c r="F17" i="130"/>
  <c r="F92" i="130" s="1"/>
  <c r="D16" i="132"/>
  <c r="I16" i="132"/>
  <c r="AR14" i="64"/>
  <c r="F8" i="60" s="1"/>
  <c r="AP90" i="75"/>
  <c r="AO43" i="75"/>
  <c r="AO88" i="75" s="1"/>
  <c r="AO128" i="75" s="1"/>
  <c r="AO41" i="75"/>
  <c r="AO87" i="75" s="1"/>
  <c r="AO127" i="75" s="1"/>
  <c r="E2" i="132"/>
  <c r="AP14" i="64"/>
  <c r="D11" i="60" s="1"/>
  <c r="AR86" i="75"/>
  <c r="AR126" i="75" s="1"/>
  <c r="AQ96" i="75"/>
  <c r="AQ132" i="75" s="1"/>
  <c r="AU90" i="75"/>
  <c r="AU89" i="75"/>
  <c r="AU129" i="75" s="1"/>
  <c r="AT89" i="75"/>
  <c r="AT129" i="75" s="1"/>
  <c r="AU86" i="75"/>
  <c r="AU126" i="75" s="1"/>
  <c r="AT93" i="75"/>
  <c r="AP93" i="75"/>
  <c r="AV90" i="75"/>
  <c r="I6" i="75"/>
  <c r="AV92" i="75"/>
  <c r="AV131" i="75" s="1"/>
  <c r="AT90" i="75"/>
  <c r="AV93" i="75"/>
  <c r="AR90" i="75"/>
  <c r="AO40" i="75"/>
  <c r="G6" i="75"/>
  <c r="AO51" i="75"/>
  <c r="AO94" i="75" s="1"/>
  <c r="AR93" i="75"/>
  <c r="E6" i="75"/>
  <c r="AV86" i="75"/>
  <c r="AV126" i="75" s="1"/>
  <c r="AP96" i="75"/>
  <c r="AP132" i="75" s="1"/>
  <c r="AO45" i="75"/>
  <c r="AO85" i="75"/>
  <c r="AO125" i="75" s="1"/>
  <c r="AQ47" i="75"/>
  <c r="AQ91" i="75" s="1"/>
  <c r="AQ51" i="75"/>
  <c r="AQ94" i="75" s="1"/>
  <c r="AO44" i="75"/>
  <c r="AO89" i="75" s="1"/>
  <c r="AO129" i="75" s="1"/>
  <c r="AO42" i="75"/>
  <c r="AO49" i="75"/>
  <c r="AQ49" i="75"/>
  <c r="AQ43" i="75"/>
  <c r="AQ88" i="75" s="1"/>
  <c r="AQ128" i="75" s="1"/>
  <c r="AQ42" i="75"/>
  <c r="AQ90" i="75"/>
  <c r="AQ39" i="75"/>
  <c r="AQ41" i="75"/>
  <c r="AQ87" i="75" s="1"/>
  <c r="AQ127" i="75" s="1"/>
  <c r="AS92" i="75"/>
  <c r="AS131" i="75" s="1"/>
  <c r="AQ44" i="75"/>
  <c r="AQ89" i="75" s="1"/>
  <c r="AQ129" i="75" s="1"/>
  <c r="AQ40" i="75"/>
  <c r="AQ48" i="75"/>
  <c r="AQ92" i="75" s="1"/>
  <c r="AQ131" i="75" s="1"/>
  <c r="AO48" i="75"/>
  <c r="AO47" i="75"/>
  <c r="AO91" i="75" s="1"/>
  <c r="AS93" i="75"/>
  <c r="AS86" i="75"/>
  <c r="AS126" i="75" s="1"/>
  <c r="AS90" i="75"/>
  <c r="H6" i="75"/>
  <c r="X166" i="130" l="1"/>
  <c r="V166" i="130"/>
  <c r="V167" i="130" s="1"/>
  <c r="V169" i="130" s="1"/>
  <c r="B5" i="130" s="1"/>
  <c r="G166" i="145"/>
  <c r="G188" i="145"/>
  <c r="C189" i="145"/>
  <c r="C167" i="145"/>
  <c r="E87" i="145"/>
  <c r="E23" i="145"/>
  <c r="E98" i="145" s="1"/>
  <c r="E34" i="145"/>
  <c r="E109" i="145" s="1"/>
  <c r="E189" i="145"/>
  <c r="E167" i="145"/>
  <c r="C173" i="145"/>
  <c r="C209" i="145"/>
  <c r="C195" i="145"/>
  <c r="F166" i="145"/>
  <c r="F188" i="145"/>
  <c r="C188" i="145"/>
  <c r="C166" i="145"/>
  <c r="X166" i="145"/>
  <c r="X167" i="145" s="1"/>
  <c r="X169" i="145" s="1"/>
  <c r="D5" i="145" s="1"/>
  <c r="AH111" i="145"/>
  <c r="AH113" i="145" s="1"/>
  <c r="D6" i="145" s="1"/>
  <c r="E166" i="145"/>
  <c r="E188" i="145"/>
  <c r="I87" i="145"/>
  <c r="I23" i="145"/>
  <c r="I98" i="145" s="1"/>
  <c r="I34" i="145"/>
  <c r="I109" i="145" s="1"/>
  <c r="G34" i="145"/>
  <c r="G109" i="145" s="1"/>
  <c r="G23" i="145"/>
  <c r="G98" i="145" s="1"/>
  <c r="G87" i="145"/>
  <c r="F189" i="145"/>
  <c r="F167" i="145"/>
  <c r="V166" i="145"/>
  <c r="V167" i="145" s="1"/>
  <c r="V169" i="145" s="1"/>
  <c r="B5" i="145" s="1"/>
  <c r="AF111" i="145"/>
  <c r="AF113" i="145" s="1"/>
  <c r="B6" i="145" s="1"/>
  <c r="H87" i="145"/>
  <c r="H34" i="145"/>
  <c r="H109" i="145" s="1"/>
  <c r="H23" i="145"/>
  <c r="H98" i="145" s="1"/>
  <c r="H167" i="145"/>
  <c r="H189" i="145"/>
  <c r="G167" i="145"/>
  <c r="G189" i="145"/>
  <c r="F87" i="145"/>
  <c r="F23" i="145"/>
  <c r="F98" i="145" s="1"/>
  <c r="F34" i="145"/>
  <c r="F109" i="145" s="1"/>
  <c r="H188" i="145"/>
  <c r="H166" i="145"/>
  <c r="D8" i="60"/>
  <c r="D6" i="75"/>
  <c r="F10" i="60"/>
  <c r="F5" i="60"/>
  <c r="F6" i="60"/>
  <c r="F11" i="60"/>
  <c r="F4" i="60"/>
  <c r="D12" i="76"/>
  <c r="BK275" i="127" s="1"/>
  <c r="D4" i="60"/>
  <c r="F12" i="76"/>
  <c r="BM275" i="127" s="1"/>
  <c r="X167" i="130"/>
  <c r="X169" i="130" s="1"/>
  <c r="D5" i="130" s="1"/>
  <c r="D5" i="60"/>
  <c r="D10" i="60"/>
  <c r="D6" i="60"/>
  <c r="F693" i="141"/>
  <c r="F699" i="141" s="1"/>
  <c r="J693" i="141"/>
  <c r="J699" i="141" s="1"/>
  <c r="F707" i="141"/>
  <c r="K693" i="141"/>
  <c r="K699" i="141" s="1"/>
  <c r="L693" i="141"/>
  <c r="L699" i="141" s="1"/>
  <c r="H693" i="141"/>
  <c r="H699" i="141" s="1"/>
  <c r="K707" i="141"/>
  <c r="H707" i="141"/>
  <c r="J707" i="141"/>
  <c r="I693" i="141"/>
  <c r="I699" i="141" s="1"/>
  <c r="I707" i="141"/>
  <c r="G707" i="141"/>
  <c r="G693" i="141"/>
  <c r="G699" i="141" s="1"/>
  <c r="B12" i="130"/>
  <c r="E34" i="130"/>
  <c r="E109" i="130" s="1"/>
  <c r="E23" i="130"/>
  <c r="E98" i="130" s="1"/>
  <c r="G34" i="130"/>
  <c r="G109" i="130" s="1"/>
  <c r="F23" i="130"/>
  <c r="F98" i="130" s="1"/>
  <c r="C87" i="130"/>
  <c r="G23" i="130"/>
  <c r="G98" i="130" s="1"/>
  <c r="F34" i="130"/>
  <c r="F109" i="130" s="1"/>
  <c r="H34" i="130"/>
  <c r="H109" i="130" s="1"/>
  <c r="I34" i="130"/>
  <c r="I109" i="130" s="1"/>
  <c r="I23" i="130"/>
  <c r="I98" i="130" s="1"/>
  <c r="H23" i="130"/>
  <c r="H98" i="130" s="1"/>
  <c r="D6" i="130"/>
  <c r="D81" i="130" s="1"/>
  <c r="H13" i="60"/>
  <c r="F9" i="134" s="1"/>
  <c r="I13" i="60"/>
  <c r="G9" i="134" s="1"/>
  <c r="E13" i="60"/>
  <c r="C9" i="134" s="1"/>
  <c r="I9" i="134"/>
  <c r="G13" i="60"/>
  <c r="E9" i="134" s="1"/>
  <c r="J13" i="60"/>
  <c r="H9" i="134" s="1"/>
  <c r="AP130" i="75"/>
  <c r="D11" i="132"/>
  <c r="E11" i="132"/>
  <c r="AU130" i="75"/>
  <c r="AV130" i="75"/>
  <c r="AT130" i="75"/>
  <c r="AR130" i="75"/>
  <c r="AO86" i="75"/>
  <c r="AO126" i="75" s="1"/>
  <c r="AO90" i="75"/>
  <c r="AQ85" i="75"/>
  <c r="AQ125" i="75" s="1"/>
  <c r="AO93" i="75"/>
  <c r="AQ93" i="75"/>
  <c r="AQ130" i="75" s="1"/>
  <c r="AQ86" i="75"/>
  <c r="AQ126" i="75" s="1"/>
  <c r="F6" i="75"/>
  <c r="AO92" i="75"/>
  <c r="AO131" i="75" s="1"/>
  <c r="AS130" i="75"/>
  <c r="B12" i="145" l="1"/>
  <c r="C234" i="145"/>
  <c r="H195" i="145"/>
  <c r="H173" i="145"/>
  <c r="F173" i="145"/>
  <c r="F195" i="145"/>
  <c r="C224" i="145"/>
  <c r="C239" i="145"/>
  <c r="I173" i="145"/>
  <c r="I195" i="145"/>
  <c r="E195" i="145"/>
  <c r="E173" i="145"/>
  <c r="C219" i="145"/>
  <c r="H209" i="145"/>
  <c r="G173" i="145"/>
  <c r="G195" i="145"/>
  <c r="C229" i="145"/>
  <c r="D81" i="145"/>
  <c r="D17" i="145"/>
  <c r="D92" i="145" s="1"/>
  <c r="D28" i="145"/>
  <c r="D103" i="145" s="1"/>
  <c r="D16" i="145"/>
  <c r="D91" i="145" s="1"/>
  <c r="D80" i="145"/>
  <c r="D27" i="145"/>
  <c r="D102" i="145" s="1"/>
  <c r="D12" i="145"/>
  <c r="D80" i="130"/>
  <c r="D16" i="130"/>
  <c r="D91" i="130" s="1"/>
  <c r="D27" i="130"/>
  <c r="D102" i="130" s="1"/>
  <c r="D13" i="60"/>
  <c r="AO130" i="75"/>
  <c r="D12" i="130"/>
  <c r="D34" i="130" s="1"/>
  <c r="D109" i="130" s="1"/>
  <c r="D17" i="130"/>
  <c r="D92" i="130" s="1"/>
  <c r="D28" i="130"/>
  <c r="D103" i="130" s="1"/>
  <c r="F13" i="60"/>
  <c r="D9" i="134" s="1"/>
  <c r="D166" i="145" l="1"/>
  <c r="D188" i="145"/>
  <c r="C227" i="145"/>
  <c r="C228" i="145"/>
  <c r="C225" i="145"/>
  <c r="C242" i="145"/>
  <c r="D242" i="145"/>
  <c r="D189" i="145"/>
  <c r="D167" i="145"/>
  <c r="C222" i="145"/>
  <c r="C223" i="145"/>
  <c r="C220" i="145"/>
  <c r="C221" i="145"/>
  <c r="C226" i="145"/>
  <c r="C233" i="145"/>
  <c r="C230" i="145"/>
  <c r="C231" i="145"/>
  <c r="C232" i="145"/>
  <c r="D87" i="145"/>
  <c r="D34" i="145"/>
  <c r="D109" i="145" s="1"/>
  <c r="D23" i="145"/>
  <c r="D98" i="145" s="1"/>
  <c r="C238" i="145"/>
  <c r="C235" i="145"/>
  <c r="C236" i="145"/>
  <c r="C237" i="145"/>
  <c r="D87" i="130"/>
  <c r="D23" i="130"/>
  <c r="D98" i="130" s="1"/>
  <c r="D195" i="145" l="1"/>
  <c r="D173" i="145"/>
  <c r="C214" i="145"/>
  <c r="T127" i="123"/>
  <c r="G13" i="64" s="1"/>
  <c r="S127" i="123"/>
  <c r="F13" i="64" s="1"/>
  <c r="C213" i="145" l="1"/>
  <c r="C216" i="145"/>
  <c r="C215" i="145"/>
  <c r="C217" i="145"/>
  <c r="C218" i="145"/>
  <c r="C211" i="145"/>
  <c r="C212" i="145"/>
  <c r="C210" i="145"/>
  <c r="H210" i="145" s="1"/>
  <c r="D15" i="134"/>
  <c r="E15" i="134"/>
  <c r="B22" i="132"/>
  <c r="F20" i="123"/>
  <c r="E20" i="123"/>
  <c r="X127" i="123"/>
  <c r="K13" i="64" s="1"/>
  <c r="W127" i="123"/>
  <c r="J13" i="64" s="1"/>
  <c r="H211" i="145" l="1"/>
  <c r="C243" i="145"/>
  <c r="D243" i="145"/>
  <c r="H15" i="134"/>
  <c r="I15" i="134"/>
  <c r="J20" i="123"/>
  <c r="E5" i="132" s="1"/>
  <c r="I20" i="123"/>
  <c r="AC19" i="123" s="1"/>
  <c r="U127" i="123"/>
  <c r="H13" i="64" s="1"/>
  <c r="V127" i="123"/>
  <c r="I13" i="64" s="1"/>
  <c r="E7" i="132"/>
  <c r="E6" i="132"/>
  <c r="H212" i="145" l="1"/>
  <c r="C244" i="145"/>
  <c r="D244" i="145"/>
  <c r="G15" i="134"/>
  <c r="F15" i="134"/>
  <c r="C22" i="132"/>
  <c r="G20" i="123"/>
  <c r="H20" i="123"/>
  <c r="D7" i="132"/>
  <c r="D5" i="132"/>
  <c r="H213" i="145" l="1"/>
  <c r="D245" i="145"/>
  <c r="C245" i="145"/>
  <c r="D6" i="132"/>
  <c r="C246" i="145" l="1"/>
  <c r="H214" i="145"/>
  <c r="D246" i="145"/>
  <c r="J88" i="100"/>
  <c r="J80" i="100"/>
  <c r="J86" i="100"/>
  <c r="J87" i="100"/>
  <c r="J89" i="100"/>
  <c r="J90" i="100"/>
  <c r="J85" i="100"/>
  <c r="J81" i="100"/>
  <c r="J83" i="100"/>
  <c r="J79" i="100"/>
  <c r="J84" i="100"/>
  <c r="H215" i="145" l="1"/>
  <c r="C247" i="145"/>
  <c r="D247" i="145"/>
  <c r="J91" i="100"/>
  <c r="G129" i="138"/>
  <c r="G130" i="138" s="1"/>
  <c r="G131" i="138"/>
  <c r="F131" i="138"/>
  <c r="F115" i="138"/>
  <c r="F116" i="138" s="1"/>
  <c r="H216" i="145" l="1"/>
  <c r="C248" i="145"/>
  <c r="D248" i="145"/>
  <c r="C123" i="138"/>
  <c r="C121" i="138"/>
  <c r="C122" i="138"/>
  <c r="C118" i="138"/>
  <c r="C127" i="138"/>
  <c r="C119" i="138"/>
  <c r="C120" i="138"/>
  <c r="C124" i="138"/>
  <c r="C125" i="138"/>
  <c r="C126" i="138"/>
  <c r="H217" i="145" l="1"/>
  <c r="C249" i="145"/>
  <c r="D249" i="145"/>
  <c r="F120" i="138"/>
  <c r="C132" i="138"/>
  <c r="F124" i="138"/>
  <c r="C136" i="138"/>
  <c r="C139" i="138"/>
  <c r="F127" i="138"/>
  <c r="F121" i="138"/>
  <c r="C133" i="138"/>
  <c r="C131" i="138"/>
  <c r="F119" i="138"/>
  <c r="F118" i="138"/>
  <c r="C130" i="138"/>
  <c r="C134" i="138"/>
  <c r="F122" i="138"/>
  <c r="C138" i="138"/>
  <c r="F126" i="138"/>
  <c r="C137" i="138"/>
  <c r="F125" i="138"/>
  <c r="C135" i="138"/>
  <c r="F123" i="138"/>
  <c r="H218" i="145" l="1"/>
  <c r="C250" i="145"/>
  <c r="D250" i="145"/>
  <c r="F128" i="138"/>
  <c r="E691" i="141"/>
  <c r="E697" i="141" s="1"/>
  <c r="E705" i="141"/>
  <c r="H691" i="141"/>
  <c r="H697" i="141" s="1"/>
  <c r="I691" i="141"/>
  <c r="I697" i="141" s="1"/>
  <c r="L691" i="141"/>
  <c r="L697" i="141" s="1"/>
  <c r="G705" i="141"/>
  <c r="F691" i="141"/>
  <c r="F697" i="141" s="1"/>
  <c r="K705" i="141"/>
  <c r="F705" i="141"/>
  <c r="H705" i="141"/>
  <c r="L705" i="141"/>
  <c r="K691" i="141"/>
  <c r="K697" i="141" s="1"/>
  <c r="G691" i="141"/>
  <c r="G697" i="141" s="1"/>
  <c r="I705" i="141"/>
  <c r="J705" i="141"/>
  <c r="J691" i="141"/>
  <c r="J697" i="141" s="1"/>
  <c r="E692" i="141"/>
  <c r="E698" i="141" s="1"/>
  <c r="E706" i="141"/>
  <c r="D251" i="145" l="1"/>
  <c r="C251" i="145"/>
  <c r="H219" i="145"/>
  <c r="E709" i="141"/>
  <c r="E708" i="141" s="1"/>
  <c r="E711" i="141" s="1"/>
  <c r="E712" i="141" s="1"/>
  <c r="Q69" i="92"/>
  <c r="Q108" i="92" s="1"/>
  <c r="E694" i="141"/>
  <c r="E695" i="141" s="1"/>
  <c r="E701" i="141"/>
  <c r="H220" i="145" l="1"/>
  <c r="C252" i="145"/>
  <c r="D252" i="145"/>
  <c r="E710" i="141"/>
  <c r="E700" i="141"/>
  <c r="E702" i="141" s="1"/>
  <c r="E703" i="141" s="1"/>
  <c r="K692" i="141"/>
  <c r="K698" i="141" s="1"/>
  <c r="H692" i="141"/>
  <c r="H698" i="141" s="1"/>
  <c r="K706" i="141"/>
  <c r="K709" i="141" s="1"/>
  <c r="F692" i="141"/>
  <c r="F698" i="141" s="1"/>
  <c r="G692" i="141"/>
  <c r="G698" i="141" s="1"/>
  <c r="F706" i="141"/>
  <c r="F709" i="141" s="1"/>
  <c r="K689" i="141"/>
  <c r="K701" i="141" s="1"/>
  <c r="L706" i="141"/>
  <c r="L709" i="141" s="1"/>
  <c r="L692" i="141"/>
  <c r="L698" i="141" s="1"/>
  <c r="J692" i="141"/>
  <c r="J698" i="141" s="1"/>
  <c r="I706" i="141"/>
  <c r="I709" i="141" s="1"/>
  <c r="J706" i="141"/>
  <c r="J709" i="141" s="1"/>
  <c r="G689" i="141"/>
  <c r="G706" i="141"/>
  <c r="G709" i="141" s="1"/>
  <c r="G708" i="141" s="1"/>
  <c r="G711" i="141" s="1"/>
  <c r="H689" i="141"/>
  <c r="T69" i="92" s="1"/>
  <c r="H706" i="141"/>
  <c r="H709" i="141" s="1"/>
  <c r="H708" i="141" s="1"/>
  <c r="H711" i="141" s="1"/>
  <c r="H712" i="141" s="1"/>
  <c r="J689" i="141"/>
  <c r="J694" i="141" s="1"/>
  <c r="I689" i="141"/>
  <c r="I701" i="141" s="1"/>
  <c r="I692" i="141"/>
  <c r="I698" i="141" s="1"/>
  <c r="L701" i="141"/>
  <c r="F689" i="141"/>
  <c r="F701" i="141" s="1"/>
  <c r="D253" i="145" l="1"/>
  <c r="C253" i="145"/>
  <c r="H221" i="145"/>
  <c r="V69" i="92"/>
  <c r="U69" i="92"/>
  <c r="R69" i="92"/>
  <c r="G710" i="141"/>
  <c r="U612" i="141"/>
  <c r="L694" i="141"/>
  <c r="L695" i="141" s="1"/>
  <c r="H710" i="141"/>
  <c r="H694" i="141"/>
  <c r="H700" i="141" s="1"/>
  <c r="H702" i="141" s="1"/>
  <c r="H703" i="141" s="1"/>
  <c r="S69" i="92"/>
  <c r="J708" i="141"/>
  <c r="J711" i="141" s="1"/>
  <c r="J712" i="141" s="1"/>
  <c r="S612" i="141"/>
  <c r="O612" i="141"/>
  <c r="F708" i="141"/>
  <c r="F711" i="141" s="1"/>
  <c r="F712" i="141" s="1"/>
  <c r="I708" i="141"/>
  <c r="I711" i="141" s="1"/>
  <c r="R612" i="141"/>
  <c r="J700" i="141"/>
  <c r="J702" i="141" s="1"/>
  <c r="J703" i="141" s="1"/>
  <c r="J695" i="141"/>
  <c r="T612" i="141"/>
  <c r="K708" i="141"/>
  <c r="K711" i="141" s="1"/>
  <c r="P612" i="141"/>
  <c r="L708" i="141"/>
  <c r="L711" i="141" s="1"/>
  <c r="L712" i="141" s="1"/>
  <c r="F694" i="141"/>
  <c r="J710" i="141"/>
  <c r="G701" i="141"/>
  <c r="K710" i="141"/>
  <c r="I694" i="141"/>
  <c r="J701" i="141"/>
  <c r="L710" i="141"/>
  <c r="X69" i="92"/>
  <c r="I710" i="141"/>
  <c r="F710" i="141"/>
  <c r="G694" i="141"/>
  <c r="H701" i="141"/>
  <c r="Q612" i="141"/>
  <c r="W69" i="92"/>
  <c r="K694" i="141"/>
  <c r="H222" i="145" l="1"/>
  <c r="D254" i="145"/>
  <c r="C254" i="145"/>
  <c r="L700" i="141"/>
  <c r="L702" i="141" s="1"/>
  <c r="L703" i="141" s="1"/>
  <c r="H695" i="141"/>
  <c r="I700" i="141"/>
  <c r="I702" i="141" s="1"/>
  <c r="I695" i="141"/>
  <c r="G695" i="141"/>
  <c r="G700" i="141"/>
  <c r="G702" i="141" s="1"/>
  <c r="K700" i="141"/>
  <c r="K702" i="141" s="1"/>
  <c r="K695" i="141"/>
  <c r="F700" i="141"/>
  <c r="F702" i="141" s="1"/>
  <c r="F703" i="141" s="1"/>
  <c r="F695" i="141"/>
  <c r="D255" i="145" l="1"/>
  <c r="C255" i="145"/>
  <c r="H223" i="145"/>
  <c r="DC41" i="137"/>
  <c r="DA42" i="137"/>
  <c r="CW30" i="137"/>
  <c r="CW43" i="137"/>
  <c r="CZ41" i="137"/>
  <c r="CY42" i="137"/>
  <c r="CX41" i="137"/>
  <c r="DB41" i="137"/>
  <c r="DD41" i="137"/>
  <c r="CW41" i="137"/>
  <c r="CW42" i="137"/>
  <c r="CX30" i="137"/>
  <c r="H224" i="145" l="1"/>
  <c r="D256" i="145"/>
  <c r="C256" i="145"/>
  <c r="DD30" i="137"/>
  <c r="BR94" i="127" s="1"/>
  <c r="BR241" i="127" s="1"/>
  <c r="BL94" i="127"/>
  <c r="BL241" i="127" s="1"/>
  <c r="E12" i="91"/>
  <c r="E14" i="91" s="1"/>
  <c r="E15" i="91" s="1"/>
  <c r="BK94" i="127"/>
  <c r="BK241" i="127" s="1"/>
  <c r="D12" i="91"/>
  <c r="D14" i="91" s="1"/>
  <c r="D15" i="91" s="1"/>
  <c r="DD43" i="137"/>
  <c r="DD42" i="137"/>
  <c r="DB43" i="137"/>
  <c r="CY30" i="137"/>
  <c r="DC30" i="137"/>
  <c r="DA30" i="137"/>
  <c r="CZ43" i="137"/>
  <c r="CZ42" i="137"/>
  <c r="DC43" i="137"/>
  <c r="CY41" i="137"/>
  <c r="CX43" i="137"/>
  <c r="CZ30" i="137"/>
  <c r="DA41" i="137"/>
  <c r="DA43" i="137"/>
  <c r="DB42" i="137"/>
  <c r="CY43" i="137"/>
  <c r="DB30" i="137"/>
  <c r="CX42" i="137"/>
  <c r="DC42" i="137"/>
  <c r="D257" i="145" l="1"/>
  <c r="C257" i="145"/>
  <c r="H225" i="145"/>
  <c r="D31" i="91"/>
  <c r="E31" i="91"/>
  <c r="E32" i="91" s="1"/>
  <c r="BK249" i="127"/>
  <c r="D7" i="127" s="1"/>
  <c r="BK251" i="127"/>
  <c r="BK248" i="127"/>
  <c r="BL251" i="127"/>
  <c r="BL249" i="127"/>
  <c r="E7" i="127" s="1"/>
  <c r="BR251" i="127"/>
  <c r="BR249" i="127"/>
  <c r="K7" i="127" s="1"/>
  <c r="BL248" i="127"/>
  <c r="BR248" i="127"/>
  <c r="BO94" i="127"/>
  <c r="BO241" i="127" s="1"/>
  <c r="H12" i="91"/>
  <c r="H14" i="91" s="1"/>
  <c r="H15" i="91" s="1"/>
  <c r="BQ94" i="127"/>
  <c r="BQ241" i="127" s="1"/>
  <c r="J12" i="91"/>
  <c r="J14" i="91" s="1"/>
  <c r="J15" i="91" s="1"/>
  <c r="BN94" i="127"/>
  <c r="BN241" i="127" s="1"/>
  <c r="G12" i="91"/>
  <c r="G14" i="91" s="1"/>
  <c r="G15" i="91" s="1"/>
  <c r="BM94" i="127"/>
  <c r="BM241" i="127" s="1"/>
  <c r="F12" i="91"/>
  <c r="F14" i="91" s="1"/>
  <c r="F15" i="91" s="1"/>
  <c r="BP94" i="127"/>
  <c r="BP241" i="127" s="1"/>
  <c r="I12" i="91"/>
  <c r="I14" i="91" s="1"/>
  <c r="I15" i="91" s="1"/>
  <c r="D32" i="91" l="1"/>
  <c r="D38" i="91"/>
  <c r="D258" i="145"/>
  <c r="H226" i="145"/>
  <c r="C258" i="145"/>
  <c r="BK250" i="127"/>
  <c r="D6" i="127" s="1"/>
  <c r="D34" i="127" s="1"/>
  <c r="D36" i="127" s="1"/>
  <c r="BL250" i="127"/>
  <c r="BL252" i="127" s="1"/>
  <c r="E35" i="91"/>
  <c r="I31" i="91"/>
  <c r="I32" i="91" s="1"/>
  <c r="H31" i="91"/>
  <c r="H32" i="91" s="1"/>
  <c r="BK276" i="127"/>
  <c r="E38" i="91"/>
  <c r="F31" i="91"/>
  <c r="F32" i="91" s="1"/>
  <c r="E37" i="91"/>
  <c r="K37" i="91"/>
  <c r="D37" i="91"/>
  <c r="J31" i="91"/>
  <c r="J32" i="91" s="1"/>
  <c r="K38" i="91"/>
  <c r="G31" i="91"/>
  <c r="G32" i="91" s="1"/>
  <c r="K35" i="91"/>
  <c r="D35" i="91"/>
  <c r="BQ249" i="127"/>
  <c r="J7" i="127" s="1"/>
  <c r="BQ251" i="127"/>
  <c r="BO249" i="127"/>
  <c r="H7" i="127" s="1"/>
  <c r="BO251" i="127"/>
  <c r="BN251" i="127"/>
  <c r="BN249" i="127"/>
  <c r="G7" i="127" s="1"/>
  <c r="BP249" i="127"/>
  <c r="I7" i="127" s="1"/>
  <c r="BP251" i="127"/>
  <c r="BM251" i="127"/>
  <c r="BM249" i="127"/>
  <c r="F7" i="127" s="1"/>
  <c r="BR250" i="127"/>
  <c r="BR276" i="127"/>
  <c r="BL276" i="127"/>
  <c r="BO248" i="127"/>
  <c r="BM248" i="127"/>
  <c r="BN248" i="127"/>
  <c r="BQ248" i="127"/>
  <c r="BP248" i="127"/>
  <c r="D259" i="145" l="1"/>
  <c r="H227" i="145"/>
  <c r="C259" i="145"/>
  <c r="E6" i="127"/>
  <c r="E9" i="127" s="1"/>
  <c r="C3" i="134" s="1"/>
  <c r="D9" i="127"/>
  <c r="D10" i="127"/>
  <c r="BO250" i="127"/>
  <c r="H6" i="127" s="1"/>
  <c r="BQ250" i="127"/>
  <c r="BQ252" i="127" s="1"/>
  <c r="G37" i="91"/>
  <c r="F37" i="91"/>
  <c r="J37" i="91"/>
  <c r="BM250" i="127"/>
  <c r="F6" i="127" s="1"/>
  <c r="J38" i="91"/>
  <c r="F38" i="91"/>
  <c r="H35" i="91"/>
  <c r="F35" i="91"/>
  <c r="G35" i="91"/>
  <c r="H37" i="91"/>
  <c r="BR252" i="127"/>
  <c r="K6" i="127"/>
  <c r="K9" i="127" s="1"/>
  <c r="I3" i="134" s="1"/>
  <c r="G38" i="91"/>
  <c r="H38" i="91"/>
  <c r="I37" i="91"/>
  <c r="I35" i="91"/>
  <c r="J35" i="91"/>
  <c r="I38" i="91"/>
  <c r="BP250" i="127"/>
  <c r="BN250" i="127"/>
  <c r="I6" i="134"/>
  <c r="C6" i="134"/>
  <c r="BN276" i="127"/>
  <c r="BM276" i="127"/>
  <c r="BO276" i="127"/>
  <c r="BP276" i="127"/>
  <c r="BQ276" i="127"/>
  <c r="H6" i="134"/>
  <c r="E6" i="134"/>
  <c r="C260" i="145" l="1"/>
  <c r="D260" i="145"/>
  <c r="H228" i="145"/>
  <c r="BO252" i="127"/>
  <c r="E10" i="127"/>
  <c r="E34" i="127"/>
  <c r="F42" i="127" s="1"/>
  <c r="F47" i="127" s="1"/>
  <c r="BM252" i="127"/>
  <c r="J6" i="127"/>
  <c r="J10" i="127" s="1"/>
  <c r="F34" i="127"/>
  <c r="F10" i="127"/>
  <c r="BN252" i="127"/>
  <c r="G6" i="127"/>
  <c r="K34" i="127"/>
  <c r="K10" i="127"/>
  <c r="BP252" i="127"/>
  <c r="I6" i="127"/>
  <c r="I9" i="127" s="1"/>
  <c r="G3" i="134" s="1"/>
  <c r="H34" i="127"/>
  <c r="H10" i="127"/>
  <c r="C21" i="132"/>
  <c r="C23" i="132" s="1"/>
  <c r="E4" i="132" s="1"/>
  <c r="H9" i="127"/>
  <c r="F3" i="134" s="1"/>
  <c r="F6" i="134"/>
  <c r="D6" i="134"/>
  <c r="F9" i="127"/>
  <c r="D3" i="134" s="1"/>
  <c r="BK278" i="127"/>
  <c r="G6" i="134"/>
  <c r="K52" i="127" l="1"/>
  <c r="J9" i="127"/>
  <c r="H3" i="134" s="1"/>
  <c r="H52" i="127"/>
  <c r="J34" i="127"/>
  <c r="J52" i="127" s="1"/>
  <c r="D261" i="145"/>
  <c r="C261" i="145"/>
  <c r="H229" i="145"/>
  <c r="F52" i="127"/>
  <c r="E36" i="127"/>
  <c r="F44" i="127" s="1"/>
  <c r="F46" i="127" s="1"/>
  <c r="F36" i="127"/>
  <c r="H36" i="127"/>
  <c r="G34" i="127"/>
  <c r="G10" i="127"/>
  <c r="G9" i="127"/>
  <c r="I34" i="127"/>
  <c r="I10" i="127"/>
  <c r="K36" i="127"/>
  <c r="K54" i="127" s="1"/>
  <c r="J36" i="127" l="1"/>
  <c r="J54" i="127" s="1"/>
  <c r="H54" i="127"/>
  <c r="F54" i="127"/>
  <c r="H230" i="145"/>
  <c r="D262" i="145"/>
  <c r="C262" i="145"/>
  <c r="I36" i="127"/>
  <c r="I54" i="127" s="1"/>
  <c r="I52" i="127"/>
  <c r="B21" i="132"/>
  <c r="B23" i="132" s="1"/>
  <c r="D4" i="132" s="1"/>
  <c r="E3" i="134"/>
  <c r="G52" i="127"/>
  <c r="G36" i="127"/>
  <c r="G54" i="127" s="1"/>
  <c r="BK252" i="127"/>
  <c r="X108" i="92"/>
  <c r="S108" i="92"/>
  <c r="AC97" i="92" s="1"/>
  <c r="W108" i="92"/>
  <c r="AG97" i="92" s="1"/>
  <c r="U108" i="92"/>
  <c r="AE97" i="92" s="1"/>
  <c r="AE103" i="92" s="1"/>
  <c r="R108" i="92"/>
  <c r="AB97" i="92" s="1"/>
  <c r="V108" i="92"/>
  <c r="AF97" i="92" s="1"/>
  <c r="X107" i="92"/>
  <c r="AH35" i="92" s="1"/>
  <c r="AH39" i="92" s="1"/>
  <c r="T108" i="92"/>
  <c r="AD97" i="92" s="1"/>
  <c r="W107" i="92"/>
  <c r="AG35" i="92" s="1"/>
  <c r="AG39" i="92" s="1"/>
  <c r="R107" i="92"/>
  <c r="AB35" i="92" s="1"/>
  <c r="AB39" i="92" s="1"/>
  <c r="V107" i="92"/>
  <c r="AF35" i="92" s="1"/>
  <c r="AF39" i="92" s="1"/>
  <c r="U107" i="92"/>
  <c r="AE35" i="92" s="1"/>
  <c r="AE39" i="92" s="1"/>
  <c r="T107" i="92"/>
  <c r="AD35" i="92" s="1"/>
  <c r="AD39" i="92" s="1"/>
  <c r="Q107" i="92"/>
  <c r="B3" i="92"/>
  <c r="B98" i="92"/>
  <c r="B58" i="92"/>
  <c r="B139" i="92"/>
  <c r="B131" i="92"/>
  <c r="B123" i="92"/>
  <c r="B115" i="92"/>
  <c r="B99" i="92"/>
  <c r="B91" i="92"/>
  <c r="B83" i="92"/>
  <c r="B75" i="92"/>
  <c r="B59" i="92"/>
  <c r="B51" i="92"/>
  <c r="B43" i="92"/>
  <c r="B35" i="92"/>
  <c r="B27" i="92"/>
  <c r="B105" i="92"/>
  <c r="B97" i="92"/>
  <c r="B89" i="92"/>
  <c r="B81" i="92"/>
  <c r="B73" i="92"/>
  <c r="B57" i="92"/>
  <c r="B49" i="92"/>
  <c r="B41" i="92"/>
  <c r="B33" i="92"/>
  <c r="B25" i="92"/>
  <c r="B17" i="92"/>
  <c r="B138" i="92"/>
  <c r="B74" i="92"/>
  <c r="B137" i="92"/>
  <c r="B129" i="92"/>
  <c r="B121" i="92"/>
  <c r="B136" i="92"/>
  <c r="B128" i="92"/>
  <c r="B120" i="92"/>
  <c r="B96" i="92"/>
  <c r="B88" i="92"/>
  <c r="B80" i="92"/>
  <c r="B72" i="92"/>
  <c r="B56" i="92"/>
  <c r="B48" i="92"/>
  <c r="B40" i="92"/>
  <c r="B32" i="92"/>
  <c r="B24" i="92"/>
  <c r="B16" i="92"/>
  <c r="B90" i="92"/>
  <c r="B42" i="92"/>
  <c r="B8" i="92"/>
  <c r="B127" i="92"/>
  <c r="B103" i="92"/>
  <c r="B95" i="92"/>
  <c r="B87" i="92"/>
  <c r="B79" i="92"/>
  <c r="B71" i="92"/>
  <c r="B63" i="92"/>
  <c r="B55" i="92"/>
  <c r="B47" i="92"/>
  <c r="B39" i="92"/>
  <c r="B31" i="92"/>
  <c r="B23" i="92"/>
  <c r="B15" i="92"/>
  <c r="B106" i="92"/>
  <c r="B50" i="92"/>
  <c r="B102" i="92"/>
  <c r="B94" i="92"/>
  <c r="B86" i="92"/>
  <c r="B78" i="92"/>
  <c r="B54" i="92"/>
  <c r="B46" i="92"/>
  <c r="B38" i="92"/>
  <c r="B30" i="92"/>
  <c r="B22" i="92"/>
  <c r="B130" i="92"/>
  <c r="B82" i="92"/>
  <c r="B26" i="92"/>
  <c r="B7" i="92"/>
  <c r="B126" i="92"/>
  <c r="B6" i="92"/>
  <c r="B133" i="92"/>
  <c r="B125" i="92"/>
  <c r="B101" i="92"/>
  <c r="B93" i="92"/>
  <c r="B85" i="92"/>
  <c r="B77" i="92"/>
  <c r="B69" i="92"/>
  <c r="B53" i="92"/>
  <c r="B45" i="92"/>
  <c r="B37" i="92"/>
  <c r="B29" i="92"/>
  <c r="B13" i="92"/>
  <c r="B122" i="92"/>
  <c r="B34" i="92"/>
  <c r="B124" i="92"/>
  <c r="B116" i="92"/>
  <c r="B108" i="92"/>
  <c r="B100" i="92"/>
  <c r="B92" i="92"/>
  <c r="B84" i="92"/>
  <c r="B76" i="92"/>
  <c r="B52" i="92"/>
  <c r="B44" i="92"/>
  <c r="B36" i="92"/>
  <c r="B28" i="92"/>
  <c r="S107" i="92"/>
  <c r="AC35" i="92" s="1"/>
  <c r="AC39" i="92" s="1"/>
  <c r="H231" i="145" l="1"/>
  <c r="D263" i="145"/>
  <c r="C263" i="145"/>
  <c r="AF103" i="92"/>
  <c r="G14" i="134" s="1"/>
  <c r="AB103" i="92"/>
  <c r="C14" i="134" s="1"/>
  <c r="AG103" i="92"/>
  <c r="H14" i="134" s="1"/>
  <c r="AC103" i="92"/>
  <c r="D14" i="134" s="1"/>
  <c r="AD103" i="92"/>
  <c r="E14" i="134" s="1"/>
  <c r="F14" i="134"/>
  <c r="I18" i="132"/>
  <c r="I19" i="132" s="1"/>
  <c r="I14" i="134"/>
  <c r="D18" i="132"/>
  <c r="H232" i="145" l="1"/>
  <c r="C264" i="145"/>
  <c r="D264" i="145"/>
  <c r="D2" i="132"/>
  <c r="H233" i="145" l="1"/>
  <c r="D265" i="145"/>
  <c r="C265" i="145"/>
  <c r="H234" i="145" l="1"/>
  <c r="C266" i="145"/>
  <c r="D266" i="145"/>
  <c r="H235" i="145" l="1"/>
  <c r="C267" i="145"/>
  <c r="D267" i="145"/>
  <c r="H236" i="145" l="1"/>
  <c r="D268" i="145"/>
  <c r="C268" i="145"/>
  <c r="H237" i="145" l="1"/>
  <c r="C269" i="145"/>
  <c r="D269" i="145"/>
  <c r="H238" i="145" l="1"/>
  <c r="D270" i="145"/>
  <c r="C270" i="145"/>
  <c r="H239" i="145" l="1"/>
  <c r="D271" i="145"/>
  <c r="C271" i="145"/>
  <c r="C272" i="145" l="1"/>
  <c r="D272" i="14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tc={D55A80F4-CE9B-4F56-A0F3-4E69A0200482}</author>
    <author>tc={0433B608-FD51-4E69-B895-E1CD664F37D3}</author>
  </authors>
  <commentList>
    <comment ref="E10" authorId="0" shapeId="0" xr:uid="{00000000-0006-0000-05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+97 TWh Kerosene</t>
      </text>
    </comment>
    <comment ref="K27" authorId="1" shapeId="0" xr:uid="{00000000-0006-0000-0500-000002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+97 TWh Kerosene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 Lopion</author>
    <author>Dominik Bröse</author>
  </authors>
  <commentList>
    <comment ref="AO38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PEMFC (präsi Welder)</t>
        </r>
      </text>
    </comment>
    <comment ref="U96" authorId="1" shapeId="0" xr:uid="{00000000-0006-0000-0700-000002000000}">
      <text>
        <r>
          <rPr>
            <b/>
            <sz val="9"/>
            <color rgb="FF000000"/>
            <rFont val="Tahoma"/>
            <family val="2"/>
          </rPr>
          <t>Dominik Bröse:</t>
        </r>
        <r>
          <rPr>
            <sz val="9"/>
            <color rgb="FF000000"/>
            <rFont val="Tahoma"/>
            <family val="2"/>
          </rPr>
          <t xml:space="preserve">
ENEV</t>
        </r>
      </text>
    </comment>
    <comment ref="U97" authorId="1" shapeId="0" xr:uid="{00000000-0006-0000-0700-000003000000}">
      <text>
        <r>
          <rPr>
            <b/>
            <sz val="9"/>
            <color rgb="FF000000"/>
            <rFont val="Tahoma"/>
            <family val="2"/>
          </rPr>
          <t>Dominik Bröse:</t>
        </r>
        <r>
          <rPr>
            <sz val="9"/>
            <color rgb="FF000000"/>
            <rFont val="Tahoma"/>
            <family val="2"/>
          </rPr>
          <t xml:space="preserve">
KFW 55
</t>
        </r>
      </text>
    </comment>
    <comment ref="U98" authorId="1" shapeId="0" xr:uid="{00000000-0006-0000-0700-000004000000}">
      <text>
        <r>
          <rPr>
            <b/>
            <sz val="9"/>
            <color rgb="FF000000"/>
            <rFont val="Tahoma"/>
            <family val="2"/>
          </rPr>
          <t>Dominik Bröse:</t>
        </r>
        <r>
          <rPr>
            <sz val="9"/>
            <color rgb="FF000000"/>
            <rFont val="Tahoma"/>
            <family val="2"/>
          </rPr>
          <t xml:space="preserve">
Niedrigstenergie KFW 40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 Lopion</author>
    <author>Dominik Bröse</author>
  </authors>
  <commentList>
    <comment ref="AO37" authorId="0" shapeId="0" xr:uid="{7D1F591F-29A9-4B38-8770-377CF26E35F4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PEMFC (präsi Welder)</t>
        </r>
      </text>
    </comment>
    <comment ref="U96" authorId="1" shapeId="0" xr:uid="{F1E456D6-10CA-4F1B-95D8-5F824F54A922}">
      <text>
        <r>
          <rPr>
            <b/>
            <sz val="9"/>
            <color rgb="FF000000"/>
            <rFont val="Tahoma"/>
            <family val="2"/>
          </rPr>
          <t>Dominik Bröse:</t>
        </r>
        <r>
          <rPr>
            <sz val="9"/>
            <color rgb="FF000000"/>
            <rFont val="Tahoma"/>
            <family val="2"/>
          </rPr>
          <t xml:space="preserve">
ENEV</t>
        </r>
      </text>
    </comment>
    <comment ref="U97" authorId="1" shapeId="0" xr:uid="{3423DFFE-B6BE-4461-BAC6-4805BEE93D52}">
      <text>
        <r>
          <rPr>
            <b/>
            <sz val="9"/>
            <color rgb="FF000000"/>
            <rFont val="Tahoma"/>
            <family val="2"/>
          </rPr>
          <t>Dominik Bröse:</t>
        </r>
        <r>
          <rPr>
            <sz val="9"/>
            <color rgb="FF000000"/>
            <rFont val="Tahoma"/>
            <family val="2"/>
          </rPr>
          <t xml:space="preserve">
KFW 55
</t>
        </r>
      </text>
    </comment>
    <comment ref="U98" authorId="1" shapeId="0" xr:uid="{F72AEEE3-9691-4282-AE0D-9814E50F73A9}">
      <text>
        <r>
          <rPr>
            <b/>
            <sz val="9"/>
            <color rgb="FF000000"/>
            <rFont val="Tahoma"/>
            <family val="2"/>
          </rPr>
          <t>Dominik Bröse:</t>
        </r>
        <r>
          <rPr>
            <sz val="9"/>
            <color rgb="FF000000"/>
            <rFont val="Tahoma"/>
            <family val="2"/>
          </rPr>
          <t xml:space="preserve">
Niedrigstenergie KFW 40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Felix Kullmann</author>
  </authors>
  <commentList>
    <comment ref="Q175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Felix Kullmann:</t>
        </r>
        <r>
          <rPr>
            <sz val="9"/>
            <color indexed="81"/>
            <rFont val="Segoe UI"/>
            <family val="2"/>
          </rPr>
          <t xml:space="preserve">
1.5 bis 4 MGJ / Mt Rohöl verwertet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Felix Kullmann</author>
  </authors>
  <commentList>
    <comment ref="D4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Felix Kullmann:</t>
        </r>
        <r>
          <rPr>
            <sz val="9"/>
            <color indexed="81"/>
            <rFont val="Segoe UI"/>
            <family val="2"/>
          </rPr>
          <t xml:space="preserve">
Evtl. CH4 für direkt reduktion rausrechnen, da nicht primär für Wärmeerzeugung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Felix Kullmann</author>
  </authors>
  <commentList>
    <comment ref="M99" authorId="0" shapeId="0" xr:uid="{00000000-0006-0000-1D00-000001000000}">
      <text>
        <r>
          <rPr>
            <b/>
            <sz val="9"/>
            <color indexed="81"/>
            <rFont val="Segoe UI"/>
            <family val="2"/>
          </rPr>
          <t>Felix Kullmann:</t>
        </r>
        <r>
          <rPr>
            <sz val="9"/>
            <color indexed="81"/>
            <rFont val="Segoe UI"/>
            <family val="2"/>
          </rPr>
          <t xml:space="preserve">
Stromerzeugungsanlagen verarbeitendes Gewerbe</t>
        </r>
      </text>
    </comment>
    <comment ref="M100" authorId="0" shapeId="0" xr:uid="{00000000-0006-0000-1D00-000002000000}">
      <text>
        <r>
          <rPr>
            <b/>
            <sz val="9"/>
            <color indexed="81"/>
            <rFont val="Segoe UI"/>
            <family val="2"/>
          </rPr>
          <t>Felix Kullmann:</t>
        </r>
        <r>
          <rPr>
            <sz val="9"/>
            <color indexed="81"/>
            <rFont val="Segoe UI"/>
            <family val="2"/>
          </rPr>
          <t xml:space="preserve">
Stromerzeugungsanlagen verarbeitendes Gewerbe</t>
        </r>
      </text>
    </comment>
    <comment ref="N100" authorId="0" shapeId="0" xr:uid="{00000000-0006-0000-1D00-000003000000}">
      <text>
        <r>
          <rPr>
            <b/>
            <sz val="9"/>
            <color indexed="81"/>
            <rFont val="Segoe UI"/>
            <family val="2"/>
          </rPr>
          <t>Felix Kullmann:</t>
        </r>
        <r>
          <rPr>
            <sz val="9"/>
            <color indexed="81"/>
            <rFont val="Segoe UI"/>
            <family val="2"/>
          </rPr>
          <t xml:space="preserve">
Leistungsbericht Papier 2019
</t>
        </r>
      </text>
    </comment>
    <comment ref="Q100" authorId="0" shapeId="0" xr:uid="{00000000-0006-0000-1D00-000004000000}">
      <text>
        <r>
          <rPr>
            <b/>
            <sz val="9"/>
            <color indexed="81"/>
            <rFont val="Segoe UI"/>
            <family val="2"/>
          </rPr>
          <t>Felix Kullmann:</t>
        </r>
        <r>
          <rPr>
            <sz val="9"/>
            <color indexed="81"/>
            <rFont val="Segoe UI"/>
            <family val="2"/>
          </rPr>
          <t xml:space="preserve">
Stromerzeugungsanlagen verarbeitendes Gewerbe</t>
        </r>
      </text>
    </comment>
    <comment ref="S100" authorId="0" shapeId="0" xr:uid="{00000000-0006-0000-1D00-000005000000}">
      <text>
        <r>
          <rPr>
            <b/>
            <sz val="9"/>
            <color indexed="81"/>
            <rFont val="Segoe UI"/>
            <family val="2"/>
          </rPr>
          <t>Felix Kullmann:</t>
        </r>
        <r>
          <rPr>
            <sz val="9"/>
            <color indexed="81"/>
            <rFont val="Segoe UI"/>
            <family val="2"/>
          </rPr>
          <t xml:space="preserve">
Stromerzeugungsanlagen verarbeitendes Gewerbe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tc={3D623065-4E5B-4F9D-9A3E-ABF542EC80F2}</author>
    <author>Felix Kullmann</author>
  </authors>
  <commentList>
    <comment ref="E8" authorId="0" shapeId="0" xr:uid="{00000000-0006-0000-2900-000001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von Simonas</t>
      </text>
    </comment>
    <comment ref="N9" authorId="1" shapeId="0" xr:uid="{00000000-0006-0000-2900-000002000000}">
      <text>
        <r>
          <rPr>
            <b/>
            <sz val="9"/>
            <color indexed="81"/>
            <rFont val="Segoe UI"/>
            <family val="2"/>
          </rPr>
          <t>Felix Kullmann:</t>
        </r>
        <r>
          <rPr>
            <sz val="9"/>
            <color indexed="81"/>
            <rFont val="Segoe UI"/>
            <family val="2"/>
          </rPr>
          <t xml:space="preserve">
Syngas for Naphtha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Stefan Kraus</author>
    <author>Thomas Schöb</author>
    <author>Autor</author>
    <author>Simon Dohmen</author>
  </authors>
  <commentList>
    <comment ref="F9" authorId="0" shapeId="0" xr:uid="{ACF45205-25C0-4273-834B-68A7E67D3A69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Stein und Braunkohle</t>
        </r>
      </text>
    </comment>
    <comment ref="I18" authorId="0" shapeId="0" xr:uid="{7AC38189-85A8-4052-A21C-9EC04362EBE7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kann man nicht genau ablesen</t>
        </r>
      </text>
    </comment>
    <comment ref="I19" authorId="0" shapeId="0" xr:uid="{895C8C52-A79A-40EE-9A2E-C4BC80BAC2D5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kann man nicht genau ablesen
</t>
        </r>
      </text>
    </comment>
    <comment ref="F29" authorId="0" shapeId="0" xr:uid="{75B83E21-D7B1-43F5-BBC0-65C9DCE0E409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geshätzt</t>
        </r>
      </text>
    </comment>
    <comment ref="F30" authorId="0" shapeId="0" xr:uid="{35603F98-E06D-474F-BA40-92217D94DBEC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geschätzt</t>
        </r>
      </text>
    </comment>
    <comment ref="F31" authorId="0" shapeId="0" xr:uid="{02C638D1-FA34-4C3F-8896-16A9F1E413EF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geschätzt</t>
        </r>
      </text>
    </comment>
    <comment ref="I35" authorId="0" shapeId="0" xr:uid="{B25E56ED-549F-421B-9B9C-269B2710D8A6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Endenergiebedarf Wärme</t>
        </r>
      </text>
    </comment>
    <comment ref="I36" authorId="0" shapeId="0" xr:uid="{BCBFED56-92F3-4C6B-BAF6-70480DD6A236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Endenergiebedarf Strom
</t>
        </r>
      </text>
    </comment>
    <comment ref="AJ36" authorId="1" shapeId="0" xr:uid="{7FF9D3EB-D64A-4D69-A6CF-98AA9956EFB4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only energetic</t>
        </r>
      </text>
    </comment>
    <comment ref="AP36" authorId="1" shapeId="0" xr:uid="{D0829F34-F878-4B92-BC91-F57CEA5FB33D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only energetic</t>
        </r>
      </text>
    </comment>
    <comment ref="AT36" authorId="1" shapeId="0" xr:uid="{831919D1-ED8F-453F-8993-6F0F04605EC0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only energetic</t>
        </r>
      </text>
    </comment>
    <comment ref="AY36" authorId="1" shapeId="0" xr:uid="{CCDC3AD3-11A2-4546-BC4E-5D85F29674BC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only energetic</t>
        </r>
      </text>
    </comment>
    <comment ref="BA36" authorId="1" shapeId="0" xr:uid="{994FC239-6211-4443-B8D9-5432922E9938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only energetic</t>
        </r>
      </text>
    </comment>
    <comment ref="E37" authorId="0" shapeId="0" xr:uid="{F4307598-BAC2-4E0D-933D-68CACD7E3AF0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nur Strom</t>
        </r>
      </text>
    </comment>
    <comment ref="I37" authorId="0" shapeId="0" xr:uid="{A50B575C-CC10-42A0-9520-8E8CE0D4A40B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Endenergiebedarf Verkehr
</t>
        </r>
      </text>
    </comment>
    <comment ref="AJ37" authorId="1" shapeId="0" xr:uid="{3A30F168-76D7-48EA-8881-A2E744BE0F05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without international transport</t>
        </r>
      </text>
    </comment>
    <comment ref="L42" authorId="0" shapeId="0" xr:uid="{E6988533-086E-4EF6-9A0F-3D1214E2B320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THG Emissionen</t>
        </r>
      </text>
    </comment>
    <comment ref="M42" authorId="0" shapeId="0" xr:uid="{78CD1FEC-0142-4F47-A04D-CEBF7A133663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THG Emissionen</t>
        </r>
      </text>
    </comment>
    <comment ref="S42" authorId="2" shapeId="0" xr:uid="{987200F3-1EC9-4116-8994-3BBF7519A93A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Werte aus Grafik abgelesen</t>
        </r>
      </text>
    </comment>
    <comment ref="AB42" authorId="2" shapeId="0" xr:uid="{6A158C70-089C-44E7-B450-A9EB35DC684A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Werte geschätzt anhand Grafik</t>
        </r>
      </text>
    </comment>
    <comment ref="AQ44" authorId="1" shapeId="0" xr:uid="{740E94B2-A284-4542-B801-6F983C0F4DA8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21-11 (CCS)
</t>
        </r>
      </text>
    </comment>
    <comment ref="AT44" authorId="1" shapeId="0" xr:uid="{DB4DADD4-3E14-4B95-8756-A3F0DD68BF76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-3,4 Mt from CCS
</t>
        </r>
      </text>
    </comment>
    <comment ref="AY44" authorId="1" shapeId="0" xr:uid="{8E8F629C-EB5C-4E4C-A29E-2E936185D91F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CCS in industry subtracted
</t>
        </r>
      </text>
    </comment>
    <comment ref="BA44" authorId="1" shapeId="0" xr:uid="{F2123099-A81D-402B-BB69-547728E0444E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CCS in industry subtracted
</t>
        </r>
      </text>
    </comment>
    <comment ref="AP47" authorId="1" shapeId="0" xr:uid="{3430269A-93E0-408E-9EB9-BB678E19A814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inlcudes waste and others</t>
        </r>
      </text>
    </comment>
    <comment ref="AQ47" authorId="1" shapeId="0" xr:uid="{36ABA23F-13E2-4FA0-A0E9-5B09AE89500E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agriculutre and others</t>
        </r>
      </text>
    </comment>
    <comment ref="F49" authorId="2" shapeId="0" xr:uid="{C7DFDA04-148A-4242-B46E-B28A5D53065D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Nur CO2, THG sind 226</t>
        </r>
      </text>
    </comment>
    <comment ref="M49" authorId="0" shapeId="0" xr:uid="{5D7D3E4C-4DF7-4B1A-9646-A7EA1FADAD29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Nur CO2</t>
        </r>
      </text>
    </comment>
    <comment ref="N49" authorId="0" shapeId="0" xr:uid="{156415A0-E131-4EE1-8E4D-9799A247E6BD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Nur CO2</t>
        </r>
      </text>
    </comment>
    <comment ref="AJ49" authorId="1" shapeId="0" xr:uid="{D76A0E52-0A08-4705-818B-C0A0BDA0B462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study only includes energy-related CO2 emissions</t>
        </r>
      </text>
    </comment>
    <comment ref="AS49" authorId="1" shapeId="0" xr:uid="{0AB7E0A0-A4CD-43E5-8886-B57354E5A353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models includes only energy-related CO2 emissions
</t>
        </r>
      </text>
    </comment>
    <comment ref="AJ56" authorId="1" shapeId="0" xr:uid="{227C7338-BBAF-49D7-9C75-F8738255EF07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study only includes energy-related CO2 emissions</t>
        </r>
      </text>
    </comment>
    <comment ref="AS56" authorId="1" shapeId="0" xr:uid="{3EB56B38-0FA3-4B24-8F0C-E07CCD491772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models only includes energy-related CO2 emissions</t>
        </r>
      </text>
    </comment>
    <comment ref="N64" authorId="0" shapeId="0" xr:uid="{31D7184F-5D16-41CB-98D8-098D5F67B802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Stärkerer Rückgang der Gesamtnachfrage nach PKW pkm angenommen</t>
        </r>
      </text>
    </comment>
    <comment ref="P71" authorId="3" shapeId="0" xr:uid="{6A01EABB-2C76-4440-8583-2A5F38373C96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Wird in GT und GuD eingesetzt</t>
        </r>
      </text>
    </comment>
    <comment ref="AQ74" authorId="1" shapeId="0" xr:uid="{F9A84A23-5640-4240-881C-5C999B5EB227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includes biomethane in gas powerplants
</t>
        </r>
      </text>
    </comment>
    <comment ref="AR74" authorId="1" shapeId="0" xr:uid="{1C32E6B1-6C98-44E3-BE0C-ED524AE3FA6F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methane and hydrogen</t>
        </r>
      </text>
    </comment>
    <comment ref="AS74" authorId="1" shapeId="0" xr:uid="{DA6F6FE5-0B9F-403B-AC5B-72B60518C375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methane and hydrogen</t>
        </r>
      </text>
    </comment>
    <comment ref="AT74" authorId="1" shapeId="0" xr:uid="{3E9E2B1E-A325-4089-9B5B-A0BEE098F13C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methane and hydrogen</t>
        </r>
      </text>
    </comment>
    <comment ref="AU74" authorId="1" shapeId="0" xr:uid="{280F851E-C428-425C-8686-77F8E86907CD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hydrogen and methane
</t>
        </r>
      </text>
    </comment>
    <comment ref="AJ75" authorId="1" shapeId="0" xr:uid="{AF585A61-B25B-4276-97F7-6F0E1EA9C80E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methane and hydrogen</t>
        </r>
      </text>
    </comment>
    <comment ref="AJ80" authorId="1" shapeId="0" xr:uid="{1B3339D4-40C7-47BC-997C-9F372D8EF365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onshore and offshore</t>
        </r>
      </text>
    </comment>
    <comment ref="AQ85" authorId="1" shapeId="0" xr:uid="{28660ACA-CDF3-45FC-A1EF-AEDA77037B18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includes biomethane</t>
        </r>
      </text>
    </comment>
    <comment ref="AT88" authorId="1" shapeId="0" xr:uid="{343D29F6-7ED3-4B47-A91E-7F050F4B4DCF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Geothermie</t>
        </r>
      </text>
    </comment>
    <comment ref="AB89" authorId="0" shapeId="0" xr:uid="{6ECFAB2C-CAB5-4A9B-8D13-FA95232A28FD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"Nettostromimport"</t>
        </r>
      </text>
    </comment>
    <comment ref="AC89" authorId="0" shapeId="0" xr:uid="{9D1DC1ED-5E6B-4341-842D-71AF3AD98137}">
      <text>
        <r>
          <rPr>
            <b/>
            <sz val="9"/>
            <color indexed="81"/>
            <rFont val="Tahoma"/>
            <family val="2"/>
          </rPr>
          <t>Stefan Kraus:</t>
        </r>
        <r>
          <rPr>
            <sz val="9"/>
            <color indexed="81"/>
            <rFont val="Tahoma"/>
            <family val="2"/>
          </rPr>
          <t xml:space="preserve">
Mehr synthetische Brennstoffe importiert</t>
        </r>
      </text>
    </comment>
    <comment ref="AO94" authorId="1" shapeId="0" xr:uid="{C8BA9C2E-BDC9-45B4-8186-D75609E63D30}">
      <text>
        <r>
          <rPr>
            <b/>
            <sz val="9"/>
            <color indexed="81"/>
            <rFont val="Segoe UI"/>
            <family val="2"/>
          </rPr>
          <t>Thomas Schöb:</t>
        </r>
        <r>
          <rPr>
            <sz val="9"/>
            <color indexed="81"/>
            <rFont val="Segoe UI"/>
            <family val="2"/>
          </rPr>
          <t xml:space="preserve">
-52 TWh heatpumps in buildings
</t>
        </r>
      </text>
    </comment>
    <comment ref="AU94" authorId="1" shapeId="0" xr:uid="{98D136BA-5B59-48D9-93BA-CB81B684E92E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calculted from overall electricity consumption - industry -GHD
</t>
        </r>
      </text>
    </comment>
    <comment ref="AQ96" authorId="1" shapeId="0" xr:uid="{F68F334F-64B5-412E-B199-E2EB3CD50379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process heating and other PtX 
excluded</t>
        </r>
      </text>
    </comment>
    <comment ref="AO99" authorId="1" shapeId="0" xr:uid="{69D67628-2AE1-42A6-92AA-2DF2EFDD91EB}">
      <text>
        <r>
          <rPr>
            <b/>
            <sz val="9"/>
            <color indexed="81"/>
            <rFont val="Segoe UI"/>
            <family val="2"/>
          </rPr>
          <t>Thomas Schöb:</t>
        </r>
        <r>
          <rPr>
            <sz val="9"/>
            <color indexed="81"/>
            <rFont val="Segoe UI"/>
            <family val="2"/>
          </rPr>
          <t xml:space="preserve">
50 TWh heatpumps in private households + 32 TWh in district heating
</t>
        </r>
      </text>
    </comment>
    <comment ref="AP99" authorId="1" shapeId="0" xr:uid="{C3262660-D1C7-442C-BB7B-C3816FB76DC5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only disctrict heating, heatpumps are in buildings
</t>
        </r>
      </text>
    </comment>
    <comment ref="AR99" authorId="1" shapeId="0" xr:uid="{6CEA6549-D667-4835-962E-79A03591DF0D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only district heating</t>
        </r>
      </text>
    </comment>
    <comment ref="AS99" authorId="1" shapeId="0" xr:uid="{3B1CA09E-EBAA-41A9-B4F6-F6B83DF2750A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only district heating</t>
        </r>
      </text>
    </comment>
    <comment ref="AT99" authorId="1" shapeId="0" xr:uid="{D0C386FE-177F-4845-9407-16C685F4D782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only district heating</t>
        </r>
      </text>
    </comment>
    <comment ref="AT103" authorId="1" shapeId="0" xr:uid="{40560A5C-24FA-4381-92E9-40A62BD01F8A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contradiction: electricty demand higher than production</t>
        </r>
      </text>
    </comment>
    <comment ref="AJ111" authorId="1" shapeId="0" xr:uid="{6D9E2E7A-3D1E-483B-9A36-7D8421737845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does not match with 23 TWh electricity from hydrogen, probably fuel cells in buildings contribute too</t>
        </r>
      </text>
    </comment>
    <comment ref="AR111" authorId="1" shapeId="0" xr:uid="{28C77D76-8127-4E51-8A8D-06B6A681CD6A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including hydrogen for E-fuels</t>
        </r>
      </text>
    </comment>
    <comment ref="AS111" authorId="1" shapeId="0" xr:uid="{31A820C9-4F01-41C7-8D14-3A4BEA342ACA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including hydrogen for E-fuels</t>
        </r>
      </text>
    </comment>
    <comment ref="AT111" authorId="1" shapeId="0" xr:uid="{B327D397-3B7B-4E67-A405-32A7A1BE0145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including hydrogen for E-fuels</t>
        </r>
      </text>
    </comment>
    <comment ref="AT114" authorId="1" shapeId="0" xr:uid="{02FD54C1-33CF-43F1-840F-4F82D2CEA951}">
      <text>
        <r>
          <rPr>
            <b/>
            <sz val="9"/>
            <color indexed="81"/>
            <rFont val="Segoe UI"/>
            <charset val="1"/>
          </rPr>
          <t>Thomas Schöb:</t>
        </r>
        <r>
          <rPr>
            <sz val="9"/>
            <color indexed="81"/>
            <rFont val="Segoe UI"/>
            <charset val="1"/>
          </rPr>
          <t xml:space="preserve">
international air transport</t>
        </r>
      </text>
    </comment>
  </commentList>
</comments>
</file>

<file path=xl/sharedStrings.xml><?xml version="1.0" encoding="utf-8"?>
<sst xmlns="http://schemas.openxmlformats.org/spreadsheetml/2006/main" count="13517" uniqueCount="5093">
  <si>
    <t>EZFH1</t>
  </si>
  <si>
    <t>EZFH2</t>
  </si>
  <si>
    <t>EZFH3</t>
  </si>
  <si>
    <t>EZFH4</t>
  </si>
  <si>
    <t>MFH1</t>
  </si>
  <si>
    <t>MFH2</t>
  </si>
  <si>
    <t>MFH3</t>
  </si>
  <si>
    <t>MFH4</t>
  </si>
  <si>
    <t>GMFH1</t>
  </si>
  <si>
    <t>GMFH2</t>
  </si>
  <si>
    <t>GMFH3</t>
  </si>
  <si>
    <t>NWGWG</t>
  </si>
  <si>
    <t>NWG3</t>
  </si>
  <si>
    <t>LS-Reformer</t>
  </si>
  <si>
    <t>SS-Reformer</t>
  </si>
  <si>
    <t>H2GT</t>
  </si>
  <si>
    <t>LS-Electrolysis</t>
  </si>
  <si>
    <t>SS-Electrolysis</t>
  </si>
  <si>
    <t>LS-Heatpump</t>
  </si>
  <si>
    <t>SS-Heatpump</t>
  </si>
  <si>
    <t>CCCHP</t>
  </si>
  <si>
    <t>LS-SOFC</t>
  </si>
  <si>
    <t>LS-HeatStorage</t>
  </si>
  <si>
    <t>Target Year</t>
  </si>
  <si>
    <t>E-Heating</t>
  </si>
  <si>
    <t>SS-SOFC</t>
  </si>
  <si>
    <t>CCCHP to DHHub</t>
  </si>
  <si>
    <t>CoalCHP to DHHub</t>
  </si>
  <si>
    <t>GasCHP to DHHub</t>
  </si>
  <si>
    <t>H2GT to DHHub</t>
  </si>
  <si>
    <t>HTGrid to DHHub</t>
  </si>
  <si>
    <t>LigniteCHP to DHHub</t>
  </si>
  <si>
    <t>WasteCHP to DHHub</t>
  </si>
  <si>
    <t>ElectroVessel to LHHub</t>
  </si>
  <si>
    <t>H2MiniCHP to LHHub</t>
  </si>
  <si>
    <t>LS-Heatpump to LHHub</t>
  </si>
  <si>
    <t>LS-SOFC to LHHub</t>
  </si>
  <si>
    <t>MiniCHP to LHHub</t>
  </si>
  <si>
    <t>E-Heating to DCHHub</t>
  </si>
  <si>
    <t>GasBoiler to DCHHub</t>
  </si>
  <si>
    <t>GasCondensingBoiler to DCHHub</t>
  </si>
  <si>
    <t>H2CondensingBoiler to DCHHub</t>
  </si>
  <si>
    <t>OilBoiler to DCHHub</t>
  </si>
  <si>
    <t>OilCondensingBoiler to DCHHub</t>
  </si>
  <si>
    <t>SS-Heatpump to DCHHub</t>
  </si>
  <si>
    <t>SS-SOFC to DCHHub</t>
  </si>
  <si>
    <t>SolarEnergyRTST to DCHHub</t>
  </si>
  <si>
    <t>SS-rSOFC</t>
  </si>
  <si>
    <t>CoalHP to HTHHub</t>
  </si>
  <si>
    <t>GasHP to HTHHub</t>
  </si>
  <si>
    <t>OilHP to HTHHub</t>
  </si>
  <si>
    <t>OtherHeating to HTHHub</t>
  </si>
  <si>
    <t>WasteHP to HTHHub</t>
  </si>
  <si>
    <t>WasteHP</t>
  </si>
  <si>
    <t>CoalCHP</t>
  </si>
  <si>
    <t>GasCHP</t>
  </si>
  <si>
    <t>H2MiniCHP</t>
  </si>
  <si>
    <t>LigniteCHP</t>
  </si>
  <si>
    <t>MiniCHP</t>
  </si>
  <si>
    <t>WasteCHP</t>
  </si>
  <si>
    <t>EZFH1-SP1</t>
  </si>
  <si>
    <t>EZFH1-SP2</t>
  </si>
  <si>
    <t>EZFH2-SP1</t>
  </si>
  <si>
    <t>EZFH2-SP2</t>
  </si>
  <si>
    <t>EZFH3-SP1</t>
  </si>
  <si>
    <t>EZFH3-SP2</t>
  </si>
  <si>
    <t>EZFH4-K55</t>
  </si>
  <si>
    <t>EZFH4-NE</t>
  </si>
  <si>
    <t>GMFH1-SP1</t>
  </si>
  <si>
    <t>GMFH1-SP2</t>
  </si>
  <si>
    <t>GMFH2-SP1</t>
  </si>
  <si>
    <t>GMFH2-SP2</t>
  </si>
  <si>
    <t>GMFH3-SP1</t>
  </si>
  <si>
    <t>GMFH3-SP2</t>
  </si>
  <si>
    <t>MFH1-SP1</t>
  </si>
  <si>
    <t>MFH1-SP2</t>
  </si>
  <si>
    <t>MFH2-SP1</t>
  </si>
  <si>
    <t>MFH2-SP2</t>
  </si>
  <si>
    <t>MFH3-SP1</t>
  </si>
  <si>
    <t>MFH3-SP2</t>
  </si>
  <si>
    <t>MFH4-K55</t>
  </si>
  <si>
    <t>MFH4-NE</t>
  </si>
  <si>
    <t>NWG1-N</t>
  </si>
  <si>
    <t>NWG1-NE</t>
  </si>
  <si>
    <t>NWG1a</t>
  </si>
  <si>
    <t>NWG1a-SP1</t>
  </si>
  <si>
    <t>NWG1a-SP2</t>
  </si>
  <si>
    <t>NWG1b</t>
  </si>
  <si>
    <t>NWG1b-SP1</t>
  </si>
  <si>
    <t>NWG1b-SP2</t>
  </si>
  <si>
    <t>NWG2-N</t>
  </si>
  <si>
    <t>NWG2-NE</t>
  </si>
  <si>
    <t>NWG2a</t>
  </si>
  <si>
    <t>NWG2a-SP1</t>
  </si>
  <si>
    <t>NWG2a-SP2</t>
  </si>
  <si>
    <t>NWG2b</t>
  </si>
  <si>
    <t>NWG2b-SP1</t>
  </si>
  <si>
    <t>NWG2b-SP2</t>
  </si>
  <si>
    <t>NWG3-N</t>
  </si>
  <si>
    <t>NWG3-NE</t>
  </si>
  <si>
    <t>NWG3-SP1</t>
  </si>
  <si>
    <t>NWG3-SP2</t>
  </si>
  <si>
    <t>NWGWG-N</t>
  </si>
  <si>
    <t>NWGWG-NE</t>
  </si>
  <si>
    <t>NWGWG-SP1</t>
  </si>
  <si>
    <t>NWGWG-SP2</t>
  </si>
  <si>
    <t>CAEStorage</t>
  </si>
  <si>
    <t>CH4Storage</t>
  </si>
  <si>
    <t>CO2Storage</t>
  </si>
  <si>
    <t>LS-BatteryStorage</t>
  </si>
  <si>
    <t>LS-H2Storage</t>
  </si>
  <si>
    <t>MS-HeatStorage</t>
  </si>
  <si>
    <t>PumpedStorage</t>
  </si>
  <si>
    <t>SS-BatteryStorage</t>
  </si>
  <si>
    <t>SS-H2Storage</t>
  </si>
  <si>
    <t>SS-HeatStorage</t>
  </si>
  <si>
    <t>WasteStorage</t>
  </si>
  <si>
    <t>BEVintStorage</t>
  </si>
  <si>
    <t>Demand-EHub to BusEChargingNetwork</t>
  </si>
  <si>
    <t>Demand-EHub to CementProduction</t>
  </si>
  <si>
    <t>Demand-EHub to EChargingNetwork</t>
  </si>
  <si>
    <t>Demand-EHub to ElectricArcFurnace</t>
  </si>
  <si>
    <t>Demand-EHub to FT-1</t>
  </si>
  <si>
    <t>Demand-EHub to FT-2</t>
  </si>
  <si>
    <t>Demand-EHub to I-BasicChemicals</t>
  </si>
  <si>
    <t>Demand-EHub to I-FoodTobacco</t>
  </si>
  <si>
    <t>Demand-EHub to I-GlasCeramics</t>
  </si>
  <si>
    <t>Demand-EHub to I-Machinery</t>
  </si>
  <si>
    <t>Demand-EHub to I-MetalProcessing</t>
  </si>
  <si>
    <t>Demand-EHub to I-MiningStonesEarth</t>
  </si>
  <si>
    <t>Demand-EHub to I-NonFerrousMetals</t>
  </si>
  <si>
    <t>Demand-EHub to I-OthChemicals</t>
  </si>
  <si>
    <t>Demand-EHub to I-OthIndustries</t>
  </si>
  <si>
    <t>Demand-EHub to I-ProcessingStones</t>
  </si>
  <si>
    <t>Demand-EHub to I-RubberPlastic</t>
  </si>
  <si>
    <t>Demand-EHub to I-VehicleConstruction</t>
  </si>
  <si>
    <t>Demand-EHub to SabatierProcess</t>
  </si>
  <si>
    <t>Demand-EHub to TrainChargingNetwork</t>
  </si>
  <si>
    <t>Demand-EHub to TruckEChargingNetwork</t>
  </si>
  <si>
    <t>H2GridHub to C-H2ToCementPHeat</t>
  </si>
  <si>
    <t>H2GridHub to H2CCPP</t>
  </si>
  <si>
    <t>H2GridHub to H2GT</t>
  </si>
  <si>
    <t>H2GridHub to H2IndustrialFurnace</t>
  </si>
  <si>
    <t>H2GridHub to LS-FuelCell</t>
  </si>
  <si>
    <t>H2GridHub to LS-SOFC</t>
  </si>
  <si>
    <t>H2GridHub to SabatierProcess</t>
  </si>
  <si>
    <t>HH-H2Hub to BusH2StationNetwork</t>
  </si>
  <si>
    <t>HH-H2Hub to H2CondensingBoiler</t>
  </si>
  <si>
    <t>HH-H2Hub to H2MiniCHP</t>
  </si>
  <si>
    <t>HH-H2Hub to PCarH2StationNetwork</t>
  </si>
  <si>
    <t>HH-H2Hub to SS-FuelCell</t>
  </si>
  <si>
    <t>HH-H2Hub to SS-SOFC</t>
  </si>
  <si>
    <t>HH-H2Hub to SS-rSOFC</t>
  </si>
  <si>
    <t>HH-H2Hub to TrainH2StationNetwork</t>
  </si>
  <si>
    <t>HH-H2Hub to TruckH2StationNetwork</t>
  </si>
  <si>
    <t>CH4Hub2 to C-CH4ToCementPHeat</t>
  </si>
  <si>
    <t>CH4Hub2 to CCCHP</t>
  </si>
  <si>
    <t>CH4Hub2 to CCPP</t>
  </si>
  <si>
    <t>CH4Hub2 to CH4Storage</t>
  </si>
  <si>
    <t>CH4Hub2 to Gas-Stove</t>
  </si>
  <si>
    <t>CH4Hub2 to GasBoiler</t>
  </si>
  <si>
    <t>CH4Hub2 to GasCCS</t>
  </si>
  <si>
    <t>CH4Hub2 to GasCHP</t>
  </si>
  <si>
    <t>CH4Hub2 to GasCondensingBoiler</t>
  </si>
  <si>
    <t>CH4Hub2 to GasGlassFurnace</t>
  </si>
  <si>
    <t>CH4Hub2 to GasHP</t>
  </si>
  <si>
    <t>CH4Hub2 to GasIndustrialFurnace</t>
  </si>
  <si>
    <t>CH4Hub2 to GasPP</t>
  </si>
  <si>
    <t>CH4Hub2 to LS-Reformer</t>
  </si>
  <si>
    <t>CH4Hub2 to MiniCHP</t>
  </si>
  <si>
    <t>CH4Hub2 to SS-Reformer</t>
  </si>
  <si>
    <t>CH4Hub2 to T-CH4Subst</t>
  </si>
  <si>
    <t>A-CAES-In</t>
  </si>
  <si>
    <t>A-CAES-Out</t>
  </si>
  <si>
    <t>ANSWER_MACHINE</t>
  </si>
  <si>
    <t>ANSWER_MACHINE-Eff</t>
  </si>
  <si>
    <t>BE-PCar</t>
  </si>
  <si>
    <t>BioCoalFurnace</t>
  </si>
  <si>
    <t>BioCrudeOilFurnace</t>
  </si>
  <si>
    <t>BioDieselPlant</t>
  </si>
  <si>
    <t>BioEthanolPlant</t>
  </si>
  <si>
    <t>BioWasteSource</t>
  </si>
  <si>
    <t>BiogasCHP</t>
  </si>
  <si>
    <t>BiogasStorage</t>
  </si>
  <si>
    <t>BiogasToCH4</t>
  </si>
  <si>
    <t>BusBEVChargingNetwork</t>
  </si>
  <si>
    <t>BusEChargingNetwork</t>
  </si>
  <si>
    <t>BusH2StationNetwork</t>
  </si>
  <si>
    <t>C-CH4ToCementPHeat</t>
  </si>
  <si>
    <t>C-CoalToCementPHeat</t>
  </si>
  <si>
    <t>C-H2ToCementPHeat</t>
  </si>
  <si>
    <t>C-LigniteToCementPHeat</t>
  </si>
  <si>
    <t>C-OilToCementPHeat</t>
  </si>
  <si>
    <t>C-WasteToCementPHeat</t>
  </si>
  <si>
    <t>CAES-In</t>
  </si>
  <si>
    <t>CAES-Out</t>
  </si>
  <si>
    <t>CCPP</t>
  </si>
  <si>
    <t>CD_PLAYER</t>
  </si>
  <si>
    <t>CH4Grid</t>
  </si>
  <si>
    <t>CH4Source</t>
  </si>
  <si>
    <t>CHEST_FREEZER</t>
  </si>
  <si>
    <t>CHEST_FREEZER-Eff</t>
  </si>
  <si>
    <t>CLOCK</t>
  </si>
  <si>
    <t>CO2Emissions</t>
  </si>
  <si>
    <t>CementCCS</t>
  </si>
  <si>
    <t>CementProduction</t>
  </si>
  <si>
    <t>CleanWoodStorage</t>
  </si>
  <si>
    <t>CoalCCS</t>
  </si>
  <si>
    <t>CoalHP</t>
  </si>
  <si>
    <t>CoalIndustrialFurnace</t>
  </si>
  <si>
    <t>CoalPP</t>
  </si>
  <si>
    <t>CoalSource</t>
  </si>
  <si>
    <t>CrudeOilSource</t>
  </si>
  <si>
    <t>DHGrid_EZF</t>
  </si>
  <si>
    <t>DHGrid_EZF_new</t>
  </si>
  <si>
    <t>DHGrid_GMF</t>
  </si>
  <si>
    <t>DHGrid_IND</t>
  </si>
  <si>
    <t>DHGrid_MF</t>
  </si>
  <si>
    <t>DHGrid_MF_new</t>
  </si>
  <si>
    <t>DHGrid_NW</t>
  </si>
  <si>
    <t>DHGrid_NW_new</t>
  </si>
  <si>
    <t>DISH_WASHER</t>
  </si>
  <si>
    <t>DISH_WASHER-Eff</t>
  </si>
  <si>
    <t>DarkWoodStorage</t>
  </si>
  <si>
    <t>Demand-EGrid</t>
  </si>
  <si>
    <t>Die-Sink</t>
  </si>
  <si>
    <t>DieselBusPT</t>
  </si>
  <si>
    <t>DieselPCar</t>
  </si>
  <si>
    <t>DieselSource</t>
  </si>
  <si>
    <t>DieselTrainFT</t>
  </si>
  <si>
    <t>DieselTrainPT</t>
  </si>
  <si>
    <t>DieselTruckFT</t>
  </si>
  <si>
    <t>DieselTruckSFT</t>
  </si>
  <si>
    <t>DistrGrid-EHub</t>
  </si>
  <si>
    <t>E-Stove</t>
  </si>
  <si>
    <t>EBusPT-BEV</t>
  </si>
  <si>
    <t>EBusPT-OHW</t>
  </si>
  <si>
    <t>EChargingNetwork</t>
  </si>
  <si>
    <t>EExport_AT</t>
  </si>
  <si>
    <t>EExport_BE</t>
  </si>
  <si>
    <t>EExport_CH</t>
  </si>
  <si>
    <t>EExport_CZ</t>
  </si>
  <si>
    <t>EExport_DK</t>
  </si>
  <si>
    <t>EExport_FR</t>
  </si>
  <si>
    <t>EExport_LU</t>
  </si>
  <si>
    <t>EExport_NL</t>
  </si>
  <si>
    <t>EExport_NO</t>
  </si>
  <si>
    <t>EExport_PL</t>
  </si>
  <si>
    <t>EExport_SE</t>
  </si>
  <si>
    <t>EImport_AT</t>
  </si>
  <si>
    <t>EImport_BE</t>
  </si>
  <si>
    <t>EImport_CH</t>
  </si>
  <si>
    <t>EImport_CZ</t>
  </si>
  <si>
    <t>EImport_DK</t>
  </si>
  <si>
    <t>EImport_FR</t>
  </si>
  <si>
    <t>EImport_LU</t>
  </si>
  <si>
    <t>EImport_NL</t>
  </si>
  <si>
    <t>EImport_NO</t>
  </si>
  <si>
    <t>EImport_PL</t>
  </si>
  <si>
    <t>EImport_SE</t>
  </si>
  <si>
    <t>ETrainFT</t>
  </si>
  <si>
    <t>ETrainPT</t>
  </si>
  <si>
    <t>ETruckFT-BEV</t>
  </si>
  <si>
    <t>ETruckFT-OHW</t>
  </si>
  <si>
    <t>ETruckSFT-BEV</t>
  </si>
  <si>
    <t>ElectricArcFurnace</t>
  </si>
  <si>
    <t>ElectroVessel</t>
  </si>
  <si>
    <t>FAX</t>
  </si>
  <si>
    <t>FC-PCar</t>
  </si>
  <si>
    <t>FCBusPT</t>
  </si>
  <si>
    <t>FCTrainFT</t>
  </si>
  <si>
    <t>FCTrainPT</t>
  </si>
  <si>
    <t>FCTruckFT</t>
  </si>
  <si>
    <t>FCTruckSFT</t>
  </si>
  <si>
    <t>FRIDGE</t>
  </si>
  <si>
    <t>FRIDGE-Eff</t>
  </si>
  <si>
    <t>FRIDGE_FREEZER</t>
  </si>
  <si>
    <t>FRIDGE_FREEZER-Eff</t>
  </si>
  <si>
    <t>FT-1</t>
  </si>
  <si>
    <t>FT-2</t>
  </si>
  <si>
    <t>FueO-Sink</t>
  </si>
  <si>
    <t>FuelOilSource</t>
  </si>
  <si>
    <t>Gas-Sink</t>
  </si>
  <si>
    <t>Gas-Stove</t>
  </si>
  <si>
    <t>GasBoiler</t>
  </si>
  <si>
    <t>GasCCS</t>
  </si>
  <si>
    <t>GasCondensingBoiler</t>
  </si>
  <si>
    <t>GasHP</t>
  </si>
  <si>
    <t>GasIndustrialFurnace</t>
  </si>
  <si>
    <t>GasPP</t>
  </si>
  <si>
    <t>GasolineBusPT</t>
  </si>
  <si>
    <t>GasolinePCar</t>
  </si>
  <si>
    <t>GasolineSource</t>
  </si>
  <si>
    <t>GasolineTruckFT</t>
  </si>
  <si>
    <t>GasolineTruckSFT</t>
  </si>
  <si>
    <t>H2CCPP</t>
  </si>
  <si>
    <t>H2CondensingBoiler</t>
  </si>
  <si>
    <t>H2DistrGrid1</t>
  </si>
  <si>
    <t>H2DistrGrid2</t>
  </si>
  <si>
    <t>H2Import</t>
  </si>
  <si>
    <t>H2IndustrialFurnace</t>
  </si>
  <si>
    <t>H2TransGrid</t>
  </si>
  <si>
    <t>HCGrid_EZF</t>
  </si>
  <si>
    <t>HCGrid_EZF_new</t>
  </si>
  <si>
    <t>HCGrid_GMF</t>
  </si>
  <si>
    <t>HCGrid_MF</t>
  </si>
  <si>
    <t>HCGrid_MF_new</t>
  </si>
  <si>
    <t>HCGrid_NW</t>
  </si>
  <si>
    <t>HCGrid_NW_new</t>
  </si>
  <si>
    <t>HH-EGrid</t>
  </si>
  <si>
    <t>HHGrid_EZF</t>
  </si>
  <si>
    <t>HHGrid_EZF_new</t>
  </si>
  <si>
    <t>HHGrid_GMF</t>
  </si>
  <si>
    <t>HHGrid_MF</t>
  </si>
  <si>
    <t>HHGrid_MF_new</t>
  </si>
  <si>
    <t>HHGrid_NW</t>
  </si>
  <si>
    <t>HHGrid_NW_new</t>
  </si>
  <si>
    <t>HIFI</t>
  </si>
  <si>
    <t>HOB</t>
  </si>
  <si>
    <t>HOB-Eff</t>
  </si>
  <si>
    <t>HTGrid</t>
  </si>
  <si>
    <t>HyDieselPCar</t>
  </si>
  <si>
    <t>HyFC-PCar</t>
  </si>
  <si>
    <t>HyGasolinePCar</t>
  </si>
  <si>
    <t>HydroPP</t>
  </si>
  <si>
    <t>HydroPump</t>
  </si>
  <si>
    <t>HydroTurbine</t>
  </si>
  <si>
    <t>I-BasicChemicals</t>
  </si>
  <si>
    <t>I-FoodTobacco</t>
  </si>
  <si>
    <t>I-GlasCeramics</t>
  </si>
  <si>
    <t>I-Machinery</t>
  </si>
  <si>
    <t>I-MetalProcessing</t>
  </si>
  <si>
    <t>I-MiningStonesEarth</t>
  </si>
  <si>
    <t>I-NonFerrousMetals</t>
  </si>
  <si>
    <t>I-OthChemicals</t>
  </si>
  <si>
    <t>I-OthIndustries</t>
  </si>
  <si>
    <t>I-ProcessingStones</t>
  </si>
  <si>
    <t>I-RubberPlastic</t>
  </si>
  <si>
    <t>I-VehicleConstruction</t>
  </si>
  <si>
    <t>IRON</t>
  </si>
  <si>
    <t>IWRSource</t>
  </si>
  <si>
    <t>IronOreSource</t>
  </si>
  <si>
    <t>KETTLE</t>
  </si>
  <si>
    <t>Ker-Sink</t>
  </si>
  <si>
    <t>KeroseneSource</t>
  </si>
  <si>
    <t>LHGrid_EZF</t>
  </si>
  <si>
    <t>LHGrid_EZF_new</t>
  </si>
  <si>
    <t>LHGrid_GMF</t>
  </si>
  <si>
    <t>LHGrid_IND</t>
  </si>
  <si>
    <t>LHGrid_MF</t>
  </si>
  <si>
    <t>LHGrid_MF_new</t>
  </si>
  <si>
    <t>LHGrid_NW</t>
  </si>
  <si>
    <t>LHGrid_NW_new</t>
  </si>
  <si>
    <t>LS-BatteryConverterIn</t>
  </si>
  <si>
    <t>LS-BatteryConverterOut</t>
  </si>
  <si>
    <t>LS-E-Boiler</t>
  </si>
  <si>
    <t>LS-FuelCell</t>
  </si>
  <si>
    <t>Lighting</t>
  </si>
  <si>
    <t>Lighting-Eff</t>
  </si>
  <si>
    <t>LightingN</t>
  </si>
  <si>
    <t>LightingN-Eff</t>
  </si>
  <si>
    <t>LigniteCCS</t>
  </si>
  <si>
    <t>LignitePP</t>
  </si>
  <si>
    <t>LigniteSource</t>
  </si>
  <si>
    <t>MICROWAVE</t>
  </si>
  <si>
    <t>OFPVElectrolyserGrid1</t>
  </si>
  <si>
    <t>OFPVElectrolyserGrid2</t>
  </si>
  <si>
    <t>OFPVElectrolyserGrid4</t>
  </si>
  <si>
    <t>OFPVGrid31</t>
  </si>
  <si>
    <t>OFPVGrid32</t>
  </si>
  <si>
    <t>OFPVGrid33</t>
  </si>
  <si>
    <t>OFPVGrid34</t>
  </si>
  <si>
    <t>OFPVGrid35</t>
  </si>
  <si>
    <t>OFPVGrid36</t>
  </si>
  <si>
    <t>OFPVGrid37</t>
  </si>
  <si>
    <t>OVEN</t>
  </si>
  <si>
    <t>OVEN-Eff</t>
  </si>
  <si>
    <t>OffshoreElectrolyserGrid1</t>
  </si>
  <si>
    <t>OffshoreElectrolyserGrid2</t>
  </si>
  <si>
    <t>OffshoreEnergy-31o</t>
  </si>
  <si>
    <t>OffshoreEnergy-32o</t>
  </si>
  <si>
    <t>OffshoreGrid31</t>
  </si>
  <si>
    <t>OffshoreGrid32</t>
  </si>
  <si>
    <t>OilBoiler</t>
  </si>
  <si>
    <t>OilCondensingBoiler</t>
  </si>
  <si>
    <t>OilHP</t>
  </si>
  <si>
    <t>OilIndustrialFurnace</t>
  </si>
  <si>
    <t>OilPP</t>
  </si>
  <si>
    <t>OnshoreElectrolyserGrid1</t>
  </si>
  <si>
    <t>OnshoreElectrolyserGrid2</t>
  </si>
  <si>
    <t>OnshoreElectrolyserGrid4</t>
  </si>
  <si>
    <t>OnshoreEnergy-31</t>
  </si>
  <si>
    <t>OnshoreEnergy-32</t>
  </si>
  <si>
    <t>OnshoreEnergy-33</t>
  </si>
  <si>
    <t>OnshoreEnergy-34</t>
  </si>
  <si>
    <t>OnshoreEnergy-35</t>
  </si>
  <si>
    <t>OnshoreEnergy-36</t>
  </si>
  <si>
    <t>OnshoreEnergy-37</t>
  </si>
  <si>
    <t>OnshoreGrid31</t>
  </si>
  <si>
    <t>OnshoreGrid31_cheap</t>
  </si>
  <si>
    <t>OnshoreGrid32</t>
  </si>
  <si>
    <t>OnshoreGrid32_cheap</t>
  </si>
  <si>
    <t>OnshoreGrid33</t>
  </si>
  <si>
    <t>OnshoreGrid34</t>
  </si>
  <si>
    <t>OnshoreGrid34_cheap</t>
  </si>
  <si>
    <t>OnshoreGrid35</t>
  </si>
  <si>
    <t>OnshoreGrid36</t>
  </si>
  <si>
    <t>OnshoreGrid37</t>
  </si>
  <si>
    <t>PC</t>
  </si>
  <si>
    <t>PCarH2StationNetwork</t>
  </si>
  <si>
    <t>PHONE</t>
  </si>
  <si>
    <t>PRINTER</t>
  </si>
  <si>
    <t>PRINTER-Eff</t>
  </si>
  <si>
    <t>PelletBoiler_LS</t>
  </si>
  <si>
    <t>PelletBoiler_SS</t>
  </si>
  <si>
    <t>PelletHP</t>
  </si>
  <si>
    <t>PelletMiniCHP</t>
  </si>
  <si>
    <t>PlaneFT</t>
  </si>
  <si>
    <t>PlanePT</t>
  </si>
  <si>
    <t>RECEIVER</t>
  </si>
  <si>
    <t>RTPVGrid31</t>
  </si>
  <si>
    <t>RTPVGrid31_cheap</t>
  </si>
  <si>
    <t>RTPVGrid32</t>
  </si>
  <si>
    <t>RTPVGrid32_cheap</t>
  </si>
  <si>
    <t>RTPVGrid33</t>
  </si>
  <si>
    <t>RTPVGrid33_cheap</t>
  </si>
  <si>
    <t>RTPVGrid34</t>
  </si>
  <si>
    <t>RTPVGrid34_cheap</t>
  </si>
  <si>
    <t>RTPVGrid35</t>
  </si>
  <si>
    <t>RTPVGrid35_cheap</t>
  </si>
  <si>
    <t>RTPVGrid36</t>
  </si>
  <si>
    <t>RTPVGrid36_cheap</t>
  </si>
  <si>
    <t>RTPVGrid37</t>
  </si>
  <si>
    <t>RTPVGrid37_cheap</t>
  </si>
  <si>
    <t>Refinery-Die</t>
  </si>
  <si>
    <t>Refinery-Gas</t>
  </si>
  <si>
    <t>Refinery-Ker</t>
  </si>
  <si>
    <t>SMALL_COOKING</t>
  </si>
  <si>
    <t>SS-BatteryConverterIn</t>
  </si>
  <si>
    <t>SS-BatteryConverterOut</t>
  </si>
  <si>
    <t>SS-FuelCell</t>
  </si>
  <si>
    <t>SabatierProcess</t>
  </si>
  <si>
    <t>ShipFT</t>
  </si>
  <si>
    <t>SlurrySource</t>
  </si>
  <si>
    <t>SolarEnergyOFPV-31</t>
  </si>
  <si>
    <t>SolarEnergyOFPV-32</t>
  </si>
  <si>
    <t>SolarEnergyOFPV-33</t>
  </si>
  <si>
    <t>SolarEnergyOFPV-34</t>
  </si>
  <si>
    <t>SolarEnergyOFPV-35</t>
  </si>
  <si>
    <t>SolarEnergyOFPV-36</t>
  </si>
  <si>
    <t>SolarEnergyOFPV-37</t>
  </si>
  <si>
    <t>SolarEnergyRTPV-31</t>
  </si>
  <si>
    <t>SolarEnergyRTPV-32</t>
  </si>
  <si>
    <t>SolarEnergyRTPV-33</t>
  </si>
  <si>
    <t>SolarEnergyRTPV-34</t>
  </si>
  <si>
    <t>SolarEnergyRTPV-35</t>
  </si>
  <si>
    <t>SolarEnergyRTPV-36</t>
  </si>
  <si>
    <t>SolarEnergyRTPV-37</t>
  </si>
  <si>
    <t>SolarEnergyRTST</t>
  </si>
  <si>
    <t>StrawCHP_LS</t>
  </si>
  <si>
    <t>StrawCHP_MS</t>
  </si>
  <si>
    <t>StrawCHP_SS</t>
  </si>
  <si>
    <t>StrawGasification</t>
  </si>
  <si>
    <t>StrawHP</t>
  </si>
  <si>
    <t>StrawPyrolysis</t>
  </si>
  <si>
    <t>StrawSource</t>
  </si>
  <si>
    <t>StrawStorage</t>
  </si>
  <si>
    <t>StrawToCH4</t>
  </si>
  <si>
    <t>StrawToFuel</t>
  </si>
  <si>
    <t>StrawTorrefaction</t>
  </si>
  <si>
    <t>T-C-BioCrudeOil</t>
  </si>
  <si>
    <t>T-C-Wood1</t>
  </si>
  <si>
    <t>T-C-Wood2</t>
  </si>
  <si>
    <t>T-CH4Subst</t>
  </si>
  <si>
    <t>T-HeatToHTheat</t>
  </si>
  <si>
    <t>T-HeatToLTheat</t>
  </si>
  <si>
    <t>T-HeatToMTheat</t>
  </si>
  <si>
    <t>T-LPGSubst</t>
  </si>
  <si>
    <t>T-RefGasoline</t>
  </si>
  <si>
    <t>T-Syngas</t>
  </si>
  <si>
    <t>TUMBLE_DRYER</t>
  </si>
  <si>
    <t>TUMBLE_DRYER-Eff</t>
  </si>
  <si>
    <t>TV1</t>
  </si>
  <si>
    <t>TV1-Eff</t>
  </si>
  <si>
    <t>TV2</t>
  </si>
  <si>
    <t>TV2-Eff</t>
  </si>
  <si>
    <t>TV3</t>
  </si>
  <si>
    <t>TV3-Eff</t>
  </si>
  <si>
    <t>TrafoDistr-Trans</t>
  </si>
  <si>
    <t>TrafoTrans-Distr</t>
  </si>
  <si>
    <t>TrainChargingNetwork</t>
  </si>
  <si>
    <t>TrainH2StationNetwork</t>
  </si>
  <si>
    <t>TransElectrolyserGrid</t>
  </si>
  <si>
    <t>TransGrid-EHub</t>
  </si>
  <si>
    <t>TruckBEVChargingNetwork</t>
  </si>
  <si>
    <t>TruckEChargingNetwork</t>
  </si>
  <si>
    <t>TruckH2StationNetwork</t>
  </si>
  <si>
    <t>UPRIGHT_FREEZER</t>
  </si>
  <si>
    <t>UPRIGHT_FREEZER-Eff</t>
  </si>
  <si>
    <t>UraniumSource</t>
  </si>
  <si>
    <t>VACUUM</t>
  </si>
  <si>
    <t>VACUUM-Eff</t>
  </si>
  <si>
    <t>VCR_DVD</t>
  </si>
  <si>
    <t>WASHER_DRYER</t>
  </si>
  <si>
    <t>WASHER_DRYER-Eff</t>
  </si>
  <si>
    <t>WASHING_MACHINE</t>
  </si>
  <si>
    <t>WASHING_MACHINE-Eff</t>
  </si>
  <si>
    <t>WastePP</t>
  </si>
  <si>
    <t>WasteWoodSource</t>
  </si>
  <si>
    <t>WatergasShift</t>
  </si>
  <si>
    <t>WoodCCS</t>
  </si>
  <si>
    <t>WoodCHP_LS</t>
  </si>
  <si>
    <t>WoodCHP_MS</t>
  </si>
  <si>
    <t>WoodCHP_SS</t>
  </si>
  <si>
    <t>WoodChipSource</t>
  </si>
  <si>
    <t>WoodGasification</t>
  </si>
  <si>
    <t>WoodHP</t>
  </si>
  <si>
    <t>WoodPP</t>
  </si>
  <si>
    <t>WoodPelletStorage</t>
  </si>
  <si>
    <t>WoodPelletization</t>
  </si>
  <si>
    <t>WoodPyrolysis</t>
  </si>
  <si>
    <t>WoodStove</t>
  </si>
  <si>
    <t>WoodToCH4</t>
  </si>
  <si>
    <t>WoodToFuel</t>
  </si>
  <si>
    <t>WoodTorrefaction</t>
  </si>
  <si>
    <t>NuclearPP</t>
  </si>
  <si>
    <t>OFPVGrid</t>
  </si>
  <si>
    <t>OffshoreGrid</t>
  </si>
  <si>
    <t>OnshoreGrid</t>
  </si>
  <si>
    <t>RTPVGrid</t>
  </si>
  <si>
    <t>A-CAES-Out to TransGrid-EHub</t>
  </si>
  <si>
    <t>ANSWER_MACHINE to ANSWER_MACHINE-Hub</t>
  </si>
  <si>
    <t>ANSWER_MACHINE-Eff to ANSWER_MACHINE-Hub</t>
  </si>
  <si>
    <t>BE-PCar to EKilometerHub</t>
  </si>
  <si>
    <t>BHHub_EZF to EZFH1</t>
  </si>
  <si>
    <t>BHHub_EZF to EZFH1-SP1</t>
  </si>
  <si>
    <t>BHHub_EZF to EZFH1-SP2</t>
  </si>
  <si>
    <t>BHHub_EZF to EZFH2</t>
  </si>
  <si>
    <t>BHHub_EZF to EZFH2-SP1</t>
  </si>
  <si>
    <t>BHHub_EZF to EZFH2-SP2</t>
  </si>
  <si>
    <t>BHHub_EZF to EZFH3</t>
  </si>
  <si>
    <t>BHHub_EZF to EZFH3-SP1</t>
  </si>
  <si>
    <t>BHHub_EZF to EZFH3-SP2</t>
  </si>
  <si>
    <t>BHHub_EZF_new to EZFH4</t>
  </si>
  <si>
    <t>BHHub_EZF_new to EZFH4-K55</t>
  </si>
  <si>
    <t>BHHub_EZF_new to EZFH4-NE</t>
  </si>
  <si>
    <t>BHHub_GMF to GMFH1</t>
  </si>
  <si>
    <t>BHHub_GMF to GMFH1-SP1</t>
  </si>
  <si>
    <t>BHHub_GMF to GMFH1-SP2</t>
  </si>
  <si>
    <t>BHHub_GMF to GMFH2</t>
  </si>
  <si>
    <t>BHHub_GMF to GMFH2-SP1</t>
  </si>
  <si>
    <t>BHHub_GMF to GMFH2-SP2</t>
  </si>
  <si>
    <t>BHHub_GMF to GMFH3</t>
  </si>
  <si>
    <t>BHHub_GMF to GMFH3-SP1</t>
  </si>
  <si>
    <t>BHHub_GMF to GMFH3-SP2</t>
  </si>
  <si>
    <t>BHHub_MF to MFH1</t>
  </si>
  <si>
    <t>BHHub_MF to MFH1-SP1</t>
  </si>
  <si>
    <t>BHHub_MF to MFH1-SP2</t>
  </si>
  <si>
    <t>BHHub_MF to MFH2</t>
  </si>
  <si>
    <t>BHHub_MF to MFH2-SP1</t>
  </si>
  <si>
    <t>BHHub_MF to MFH2-SP2</t>
  </si>
  <si>
    <t>BHHub_MF to MFH3</t>
  </si>
  <si>
    <t>BHHub_MF to MFH3-SP1</t>
  </si>
  <si>
    <t>BHHub_MF to MFH3-SP2</t>
  </si>
  <si>
    <t>BHHub_MF_new to MFH4</t>
  </si>
  <si>
    <t>BHHub_MF_new to MFH4-K55</t>
  </si>
  <si>
    <t>BHHub_MF_new to MFH4-NE</t>
  </si>
  <si>
    <t>BHHub_NW to NWG1a</t>
  </si>
  <si>
    <t>BHHub_NW to NWG1a-SP1</t>
  </si>
  <si>
    <t>BHHub_NW to NWG1a-SP2</t>
  </si>
  <si>
    <t>BHHub_NW to NWG1b</t>
  </si>
  <si>
    <t>BHHub_NW to NWG1b-SP1</t>
  </si>
  <si>
    <t>BHHub_NW to NWG1b-SP2</t>
  </si>
  <si>
    <t>BHHub_NW to NWG2a</t>
  </si>
  <si>
    <t>BHHub_NW to NWG2a-SP1</t>
  </si>
  <si>
    <t>BHHub_NW to NWG2a-SP2</t>
  </si>
  <si>
    <t>BHHub_NW to NWG2b</t>
  </si>
  <si>
    <t>BHHub_NW to NWG2b-SP1</t>
  </si>
  <si>
    <t>BHHub_NW to NWG2b-SP2</t>
  </si>
  <si>
    <t>BHHub_NW to NWG3</t>
  </si>
  <si>
    <t>BHHub_NW to NWG3-SP1</t>
  </si>
  <si>
    <t>BHHub_NW to NWG3-SP2</t>
  </si>
  <si>
    <t>BHHub_NW to NWGWG</t>
  </si>
  <si>
    <t>BHHub_NW to NWGWG-SP1</t>
  </si>
  <si>
    <t>BHHub_NW to NWGWG-SP2</t>
  </si>
  <si>
    <t>BHHub_NW_new to NWG1-N</t>
  </si>
  <si>
    <t>BHHub_NW_new to NWG1-NE</t>
  </si>
  <si>
    <t>BHHub_NW_new to NWG2-N</t>
  </si>
  <si>
    <t>BHHub_NW_new to NWG2-NE</t>
  </si>
  <si>
    <t>BHHub_NW_new to NWG3-N</t>
  </si>
  <si>
    <t>BHHub_NW_new to NWG3-NE</t>
  </si>
  <si>
    <t>BHHub_NW_new to NWGWG-N</t>
  </si>
  <si>
    <t>BHHub_NW_new to NWGWG-NE</t>
  </si>
  <si>
    <t>BioCoalFurnace to PH3Hub</t>
  </si>
  <si>
    <t>BioCoalHub to BioCoalFurnace</t>
  </si>
  <si>
    <t>BioCrudeOilFurnace to PH3Hub</t>
  </si>
  <si>
    <t>BioCrudeOilHub to BioCrudeOilFurnace</t>
  </si>
  <si>
    <t>BioCrudeOilHub to T-C-BioCrudeOil</t>
  </si>
  <si>
    <t>BioDieselHub to BioDieselPlant</t>
  </si>
  <si>
    <t>BioWasteSource to BiogasHub</t>
  </si>
  <si>
    <t>BiogasCHP to DistrGrid-EHub</t>
  </si>
  <si>
    <t>BiogasCHP to LHHub</t>
  </si>
  <si>
    <t>BiogasHub to BiogasCHP</t>
  </si>
  <si>
    <t>BiogasHub to BiogasToCH4</t>
  </si>
  <si>
    <t>BusBEVChargingHub to EBusPT-BEV</t>
  </si>
  <si>
    <t>BusBEVChargingNetwork to BusBEVChargingHub</t>
  </si>
  <si>
    <t>BusEChargingHub to EBusPT-OHW</t>
  </si>
  <si>
    <t>BusEChargingNetwork to BusEChargingHub</t>
  </si>
  <si>
    <t>BusH2ChargingHub to FCBusPT</t>
  </si>
  <si>
    <t>BusH2StationNetwork to BusH2ChargingHub</t>
  </si>
  <si>
    <t>C-CH4ToCementPHeat to CementHeatHub</t>
  </si>
  <si>
    <t>C-CoalToCementPHeat to CementHeatHub</t>
  </si>
  <si>
    <t>C-H2ToCementPHeat to CementHeatHub</t>
  </si>
  <si>
    <t>C-LigniteToCementPHeat to CementHeatHub</t>
  </si>
  <si>
    <t>C-OilToCementPHeat to CementHeatHub</t>
  </si>
  <si>
    <t>C-WasteToCementPHeat to CementHeatHub</t>
  </si>
  <si>
    <t>CAES-Out to TransGrid-EHub</t>
  </si>
  <si>
    <t>CCCHP to TransGrid-EHub</t>
  </si>
  <si>
    <t>CCPP to TransGrid-EHub</t>
  </si>
  <si>
    <t>CD_PLAYER to CD_PLAYER-Hub</t>
  </si>
  <si>
    <t>CH4Hub to CH4Grid</t>
  </si>
  <si>
    <t>CH4Source to CH4Hub</t>
  </si>
  <si>
    <t>CHEST_FREEZER to CHEST_FREEZER-Hub</t>
  </si>
  <si>
    <t>CHEST_FREEZER-Eff to CHEST_FREEZER-Hub</t>
  </si>
  <si>
    <t>CHHub_EZF_new to HCGrid_EZF_new</t>
  </si>
  <si>
    <t>CHHub_GMF to HCGrid_GMF</t>
  </si>
  <si>
    <t>CHHub_MF to HCGrid_MF</t>
  </si>
  <si>
    <t>CHHub_MF_new to HCGrid_MF_new</t>
  </si>
  <si>
    <t>CHHub_NW to HCGrid_NW</t>
  </si>
  <si>
    <t>CHHub_NW_new to HCGrid_NW_new</t>
  </si>
  <si>
    <t>CLOCK to CLOCK-Hub</t>
  </si>
  <si>
    <t>CO2Hub to CO2Emissions</t>
  </si>
  <si>
    <t>CO2Hub to CO2Storage</t>
  </si>
  <si>
    <t>CO2Hub to SabatierProcess</t>
  </si>
  <si>
    <t>CO2Storage to CO2Hub</t>
  </si>
  <si>
    <t>CleanWoodHub to WoodGasification</t>
  </si>
  <si>
    <t>CleanWoodHub to WoodPelletization</t>
  </si>
  <si>
    <t>CleanWoodHub to WoodPyrolysis</t>
  </si>
  <si>
    <t>CleanWoodHub to WoodStove</t>
  </si>
  <si>
    <t>CleanWoodHub to WoodToCH4</t>
  </si>
  <si>
    <t>CleanWoodHub to WoodToFuel</t>
  </si>
  <si>
    <t>CleanWoodHub to WoodTorrefaction</t>
  </si>
  <si>
    <t>CoalCCS to CO2Hub</t>
  </si>
  <si>
    <t>CoalCCS to TransGrid-EHub</t>
  </si>
  <si>
    <t>CoalCHP to TransGrid-EHub</t>
  </si>
  <si>
    <t>CoalHub to CoalCCS</t>
  </si>
  <si>
    <t>CoalHub to CoalCHP</t>
  </si>
  <si>
    <t>CoalHub to CoalHP</t>
  </si>
  <si>
    <t>CoalHub to CoalIndustrialFurnace</t>
  </si>
  <si>
    <t>CoalHub to CoalPP</t>
  </si>
  <si>
    <t>CoalHub to ElectricArcFurnace</t>
  </si>
  <si>
    <t>CoalIndustrialFurnace to PH3Hub</t>
  </si>
  <si>
    <t>CoalPP to TransGrid-EHub</t>
  </si>
  <si>
    <t>CoalSource to CoalHub</t>
  </si>
  <si>
    <t>CrudeOilHub to Refinery-Die</t>
  </si>
  <si>
    <t>CrudeOilHub to Refinery-Gas</t>
  </si>
  <si>
    <t>CrudeOilHub to Refinery-Ker</t>
  </si>
  <si>
    <t>CrudeOilSource to CrudeOilHub</t>
  </si>
  <si>
    <t>DCHHub to HHGrid_EZF</t>
  </si>
  <si>
    <t>DCHHub to HHGrid_EZF_new</t>
  </si>
  <si>
    <t>DCHHub to HHGrid_GMF</t>
  </si>
  <si>
    <t>DCHHub to HHGrid_MF</t>
  </si>
  <si>
    <t>DCHHub to HHGrid_MF_new</t>
  </si>
  <si>
    <t>DCHHub to HHGrid_NW</t>
  </si>
  <si>
    <t>DCHHub to HHGrid_NW_new</t>
  </si>
  <si>
    <t>DHGrid_IND to CHHub_IND</t>
  </si>
  <si>
    <t>DHHub to DH-Sink</t>
  </si>
  <si>
    <t>DHHub to DHGrid_EZF</t>
  </si>
  <si>
    <t>DHHub to DHGrid_EZF_new</t>
  </si>
  <si>
    <t>DHHub to DHGrid_GMF</t>
  </si>
  <si>
    <t>DHHub to DHGrid_IND</t>
  </si>
  <si>
    <t>DHHub to DHGrid_MF</t>
  </si>
  <si>
    <t>DHHub to DHGrid_MF_new</t>
  </si>
  <si>
    <t>DHHub to DHGrid_NW</t>
  </si>
  <si>
    <t>DHHub to DHGrid_NW_new</t>
  </si>
  <si>
    <t>DISH_WASHER to DISH_WASHER-Hub</t>
  </si>
  <si>
    <t>DISH_WASHER-Eff to DISH_WASHER-Hub</t>
  </si>
  <si>
    <t>Demand-EHub to StrawGasification</t>
  </si>
  <si>
    <t>Demand-EHub to WoodGasification</t>
  </si>
  <si>
    <t>DieselBusPT to RoadPTDemandHub</t>
  </si>
  <si>
    <t>DieselHub to DieselBusPT</t>
  </si>
  <si>
    <t>DieselHub to DieselPCar</t>
  </si>
  <si>
    <t>DieselHub to DieselTrainFT</t>
  </si>
  <si>
    <t>DieselHub to DieselTrainPT</t>
  </si>
  <si>
    <t>DieselHub to DieselTruckFT</t>
  </si>
  <si>
    <t>DieselHub to DieselTruckSFT</t>
  </si>
  <si>
    <t>DieselHub to HyDieselPCar</t>
  </si>
  <si>
    <t>DieselHub to ShipFT</t>
  </si>
  <si>
    <t>DieselPCar to DieselKilometerHub</t>
  </si>
  <si>
    <t>DieselTrainFT to RailFTDemandHub</t>
  </si>
  <si>
    <t>DieselTrainPT to RailPTDemandHub</t>
  </si>
  <si>
    <t>DieselTruckFT to RoadFTDemandHub</t>
  </si>
  <si>
    <t>DieselTruckSFT to RoadSFTDemandHub</t>
  </si>
  <si>
    <t>E-Stove to PHHub</t>
  </si>
  <si>
    <t>EBusPT-BEV to RoadPTDemandHub</t>
  </si>
  <si>
    <t>EBusPT-OHW to RoadPTDemandHub</t>
  </si>
  <si>
    <t>EChargingHub to BE-PCar</t>
  </si>
  <si>
    <t>EChargingHub to HyDieselPCar</t>
  </si>
  <si>
    <t>EChargingHub to HyFC-PCar</t>
  </si>
  <si>
    <t>EChargingHub to HyGasolinePCar</t>
  </si>
  <si>
    <t>EChargingNetwork to EChargingHub</t>
  </si>
  <si>
    <t>EImport_ATGrid to TransGrid-EHub</t>
  </si>
  <si>
    <t>EImport_BEGrid to TransGrid-EHub</t>
  </si>
  <si>
    <t>EImport_CHGrid to TransGrid-EHub</t>
  </si>
  <si>
    <t>EImport_CZGrid to TransGrid-EHub</t>
  </si>
  <si>
    <t>EImport_DKGrid to TransGrid-EHub</t>
  </si>
  <si>
    <t>EImport_FRGrid to TransGrid-EHub</t>
  </si>
  <si>
    <t>EImport_LUGrid to TransGrid-EHub</t>
  </si>
  <si>
    <t>EImport_NLGrid to TransGrid-EHub</t>
  </si>
  <si>
    <t>EImport_NOGrid to TransGrid-EHub</t>
  </si>
  <si>
    <t>EImport_PLGrid to TransGrid-EHub</t>
  </si>
  <si>
    <t>EImport_SEGrid to TransGrid-EHub</t>
  </si>
  <si>
    <t>ETrainFT to RailFTDemandHub</t>
  </si>
  <si>
    <t>ETrainPT to RailPTDemandHub</t>
  </si>
  <si>
    <t>ETruckFT-BEV to RoadFTDemandHub</t>
  </si>
  <si>
    <t>ETruckFT-OHW to RoadFTDemandHub</t>
  </si>
  <si>
    <t>ETruckSFT-BEV to RoadSFTDemandHub</t>
  </si>
  <si>
    <t>EZFH1 to EZFH1Hub</t>
  </si>
  <si>
    <t>EZFH1-SP1 to EZFH1Hub</t>
  </si>
  <si>
    <t>EZFH1-SP2 to EZFH1Hub</t>
  </si>
  <si>
    <t>EZFH2 to EZFH2Hub</t>
  </si>
  <si>
    <t>EZFH2-SP1 to EZFH2Hub</t>
  </si>
  <si>
    <t>EZFH2-SP2 to EZFH2Hub</t>
  </si>
  <si>
    <t>EZFH3 to EZFH3Hub</t>
  </si>
  <si>
    <t>EZFH3-SP1 to EZFH3Hub</t>
  </si>
  <si>
    <t>EZFH3-SP2 to EZFH3Hub</t>
  </si>
  <si>
    <t>EZFH4 to EZFH4Hub</t>
  </si>
  <si>
    <t>EZFH4-K55 to EZFH4Hub</t>
  </si>
  <si>
    <t>EZFH4-NE to EZFH4Hub</t>
  </si>
  <si>
    <t>ElectricArcFurnace to SteelHub</t>
  </si>
  <si>
    <t>Electrolyser-EHub to LS-Electrolysis</t>
  </si>
  <si>
    <t>EthanolHub to BioEthanolPlant</t>
  </si>
  <si>
    <t>FAX to FAX-Hub</t>
  </si>
  <si>
    <t>FC-PCar to H2KilometerHub</t>
  </si>
  <si>
    <t>FCBusPT to RoadPTDemandHub</t>
  </si>
  <si>
    <t>FCTrainFT to RailFTDemandHub</t>
  </si>
  <si>
    <t>FCTrainPT to RailPTDemandHub</t>
  </si>
  <si>
    <t>FCTruckFT to RoadFTDemandHub</t>
  </si>
  <si>
    <t>FCTruckSFT to RoadSFTDemandHub</t>
  </si>
  <si>
    <t>FRIDGE to FRIDGE-Hub</t>
  </si>
  <si>
    <t>FRIDGE-Eff to FRIDGE-Hub</t>
  </si>
  <si>
    <t>FRIDGE_FREEZER to FRIDGE_FREEZER-Hub</t>
  </si>
  <si>
    <t>FRIDGE_FREEZER-Eff to FRIDGE_FREEZER-Hub</t>
  </si>
  <si>
    <t>FuelOilHub to OilBoiler</t>
  </si>
  <si>
    <t>FuelOilHub to OilCondensingBoiler</t>
  </si>
  <si>
    <t>FuelOilHub to OilHP</t>
  </si>
  <si>
    <t>FuelOilHub to OilIndustrialFurnace</t>
  </si>
  <si>
    <t>GMFH1 to GMFH1Hub</t>
  </si>
  <si>
    <t>GMFH1-SP1 to GMFH1Hub</t>
  </si>
  <si>
    <t>GMFH1-SP2 to GMFH1Hub</t>
  </si>
  <si>
    <t>GMFH2 to GMFH2Hub</t>
  </si>
  <si>
    <t>GMFH2-SP1 to GMFH2Hub</t>
  </si>
  <si>
    <t>GMFH2-SP2 to GMFH2Hub</t>
  </si>
  <si>
    <t>GMFH3 to GMFH3Hub</t>
  </si>
  <si>
    <t>GMFH3-SP1 to GMFH3Hub</t>
  </si>
  <si>
    <t>GMFH3-SP2 to GMFH3Hub</t>
  </si>
  <si>
    <t>Gas-Stove to PHHub</t>
  </si>
  <si>
    <t>GasCCS to CO2Hub</t>
  </si>
  <si>
    <t>GasCCS to TransGrid-EHub</t>
  </si>
  <si>
    <t>GasCHP to TransGrid-EHub</t>
  </si>
  <si>
    <t>GasIndustrialFurnace to PH3Hub</t>
  </si>
  <si>
    <t>GasPP to TransGrid-EHub</t>
  </si>
  <si>
    <t>GasolineBusPT to RoadPTDemandHub</t>
  </si>
  <si>
    <t>GasolineHub to GasolineBusPT</t>
  </si>
  <si>
    <t>GasolineHub to GasolinePCar</t>
  </si>
  <si>
    <t>GasolineHub to GasolineTruckFT</t>
  </si>
  <si>
    <t>GasolineHub to GasolineTruckSFT</t>
  </si>
  <si>
    <t>GasolineHub to HyGasolinePCar</t>
  </si>
  <si>
    <t>GasolinePCar to GasKilometerHub</t>
  </si>
  <si>
    <t>GasolineTruckFT to RoadFTDemandHub</t>
  </si>
  <si>
    <t>GasolineTruckSFT to RoadSFTDemandHub</t>
  </si>
  <si>
    <t>H2Import to H2Hub</t>
  </si>
  <si>
    <t>H2IndustrialFurnace to PH3Hub</t>
  </si>
  <si>
    <t>HCGrid_EZF to BHHub_EZF</t>
  </si>
  <si>
    <t>HCGrid_EZF_new to BHHub_EZF_new</t>
  </si>
  <si>
    <t>HCGrid_GMF to BHHub_GMF</t>
  </si>
  <si>
    <t>HCGrid_MF to BHHub_MF</t>
  </si>
  <si>
    <t>HCGrid_MF_new to BHHub_MF_new</t>
  </si>
  <si>
    <t>HCGrid_NW to BHHub_NW</t>
  </si>
  <si>
    <t>HCGrid_NW_new to BHHub_NW_new</t>
  </si>
  <si>
    <t>HH-EHub to ANSWER_MACHINE</t>
  </si>
  <si>
    <t>HH-EHub to ANSWER_MACHINE-Eff</t>
  </si>
  <si>
    <t>HH-EHub to CD_PLAYER</t>
  </si>
  <si>
    <t>HH-EHub to CHEST_FREEZER</t>
  </si>
  <si>
    <t>HH-EHub to CHEST_FREEZER-Eff</t>
  </si>
  <si>
    <t>HH-EHub to CLOCK</t>
  </si>
  <si>
    <t>HH-EHub to DISH_WASHER</t>
  </si>
  <si>
    <t>HH-EHub to DISH_WASHER-Eff</t>
  </si>
  <si>
    <t>HH-EHub to E-Heating</t>
  </si>
  <si>
    <t>HH-EHub to E-Stove</t>
  </si>
  <si>
    <t>HH-EHub to ElectricityDemand</t>
  </si>
  <si>
    <t>HH-EHub to FAX</t>
  </si>
  <si>
    <t>HH-EHub to FRIDGE</t>
  </si>
  <si>
    <t>HH-EHub to FRIDGE-Eff</t>
  </si>
  <si>
    <t>HH-EHub to FRIDGE_FREEZER</t>
  </si>
  <si>
    <t>HH-EHub to FRIDGE_FREEZER-Eff</t>
  </si>
  <si>
    <t>HH-EHub to HH-E-Sink</t>
  </si>
  <si>
    <t>HH-EHub to HH-EDemand</t>
  </si>
  <si>
    <t>HH-EHub to HIFI</t>
  </si>
  <si>
    <t>HH-EHub to HOB</t>
  </si>
  <si>
    <t>HH-EHub to HOB-Eff</t>
  </si>
  <si>
    <t>HH-EHub to IRON</t>
  </si>
  <si>
    <t>HH-EHub to KETTLE</t>
  </si>
  <si>
    <t>HH-EHub to Lighting</t>
  </si>
  <si>
    <t>HH-EHub to Lighting-Eff</t>
  </si>
  <si>
    <t>HH-EHub to LightingN</t>
  </si>
  <si>
    <t>HH-EHub to LightingN-Eff</t>
  </si>
  <si>
    <t>HH-EHub to MICROWAVE</t>
  </si>
  <si>
    <t>HH-EHub to OVEN</t>
  </si>
  <si>
    <t>HH-EHub to OVEN-Eff</t>
  </si>
  <si>
    <t>HH-EHub to PC</t>
  </si>
  <si>
    <t>HH-EHub to PHONE</t>
  </si>
  <si>
    <t>HH-EHub to PRINTER</t>
  </si>
  <si>
    <t>HH-EHub to PRINTER-Eff</t>
  </si>
  <si>
    <t>HH-EHub to RECEIVER</t>
  </si>
  <si>
    <t>HH-EHub to SMALL_COOKING</t>
  </si>
  <si>
    <t>HH-EHub to SS-Electrolysis</t>
  </si>
  <si>
    <t>HH-EHub to SS-Heatpump</t>
  </si>
  <si>
    <t>HH-EHub to SS-rSOFC</t>
  </si>
  <si>
    <t>HH-EHub to TUMBLE_DRYER</t>
  </si>
  <si>
    <t>HH-EHub to TUMBLE_DRYER-Eff</t>
  </si>
  <si>
    <t>HH-EHub to TV1</t>
  </si>
  <si>
    <t>HH-EHub to TV1-Eff</t>
  </si>
  <si>
    <t>HH-EHub to TV2</t>
  </si>
  <si>
    <t>HH-EHub to TV2-Eff</t>
  </si>
  <si>
    <t>HH-EHub to TV3</t>
  </si>
  <si>
    <t>HH-EHub to TV3-Eff</t>
  </si>
  <si>
    <t>HH-EHub to UPRIGHT_FREEZER</t>
  </si>
  <si>
    <t>HH-EHub to UPRIGHT_FREEZER-Eff</t>
  </si>
  <si>
    <t>HH-EHub to VACUUM</t>
  </si>
  <si>
    <t>HH-EHub to VACUUM-Eff</t>
  </si>
  <si>
    <t>HH-EHub to VCR_DVD</t>
  </si>
  <si>
    <t>HH-EHub to WASHER_DRYER</t>
  </si>
  <si>
    <t>HH-EHub to WASHER_DRYER-Eff</t>
  </si>
  <si>
    <t>HH-EHub to WASHING_MACHINE</t>
  </si>
  <si>
    <t>HH-EHub to WASHING_MACHINE-Eff</t>
  </si>
  <si>
    <t>HHGrid_EZF to BHHub_EZF</t>
  </si>
  <si>
    <t>HHGrid_EZF_new to BHHub_EZF_new</t>
  </si>
  <si>
    <t>HHGrid_GMF to BHHub_GMF</t>
  </si>
  <si>
    <t>HHGrid_MF to BHHub_MF</t>
  </si>
  <si>
    <t>HHGrid_MF_new to BHHub_MF_new</t>
  </si>
  <si>
    <t>HHGrid_NW to BHHub_NW</t>
  </si>
  <si>
    <t>HHGrid_NW_new to BHHub_NW_new</t>
  </si>
  <si>
    <t>HIFI to HIFI-Hub</t>
  </si>
  <si>
    <t>HOB to HOB-Hub</t>
  </si>
  <si>
    <t>HOB-Eff to HOB-Hub</t>
  </si>
  <si>
    <t>HTHHub to HeatExchanger</t>
  </si>
  <si>
    <t>HTPHHub to I-BasicChemicals</t>
  </si>
  <si>
    <t>HTPHHub to I-GlasCeramics</t>
  </si>
  <si>
    <t>HTPHHub to I-Machinery</t>
  </si>
  <si>
    <t>HTPHHub to I-MetalProcessing</t>
  </si>
  <si>
    <t>HTPHHub to I-NonFerrousMetals</t>
  </si>
  <si>
    <t>HTPHHub to I-OthIndustries</t>
  </si>
  <si>
    <t>HTPHHub to I-ProcessingStones</t>
  </si>
  <si>
    <t>HTPHHub to I-VehicleConstruction</t>
  </si>
  <si>
    <t>HyDieselPCar to DieselKilometerHub</t>
  </si>
  <si>
    <t>HyFC-PCar to H2KilometerHub</t>
  </si>
  <si>
    <t>HyGasolinePCar to GasKilometerHub</t>
  </si>
  <si>
    <t>HydroEnergy to HydroHub</t>
  </si>
  <si>
    <t>HydroPP to TransGrid-EHub</t>
  </si>
  <si>
    <t>HydroTurbine to TransGrid-EHub</t>
  </si>
  <si>
    <t>IRON to IRON-Hub</t>
  </si>
  <si>
    <t>IWRSource to CleanWoodHub</t>
  </si>
  <si>
    <t>KETTLE to KETTLE-Hub</t>
  </si>
  <si>
    <t>KeroseneHub to PlaneFT</t>
  </si>
  <si>
    <t>KeroseneHub to PlanePT</t>
  </si>
  <si>
    <t>LHGrid_IND to CHHub_IND</t>
  </si>
  <si>
    <t>LHHub to LH-Sink</t>
  </si>
  <si>
    <t>LHHub to LHGrid_EZF</t>
  </si>
  <si>
    <t>LHHub to LHGrid_EZF_new</t>
  </si>
  <si>
    <t>LHHub to LHGrid_GMF</t>
  </si>
  <si>
    <t>LHHub to LHGrid_IND</t>
  </si>
  <si>
    <t>LHHub to LHGrid_MF</t>
  </si>
  <si>
    <t>LHHub to LHGrid_MF_new</t>
  </si>
  <si>
    <t>LHHub to LHGrid_NW</t>
  </si>
  <si>
    <t>LHHub to LHGrid_NW_new</t>
  </si>
  <si>
    <t>LS-BatteryConverterOut to TransGrid-EHub</t>
  </si>
  <si>
    <t>LS-Electrolysis to H2Hub</t>
  </si>
  <si>
    <t>LS-FuelCell to DistrGrid-EHub</t>
  </si>
  <si>
    <t>LS-SOFC to DistrGrid-EHub</t>
  </si>
  <si>
    <t>LTPHHub to I-BasicChemicals</t>
  </si>
  <si>
    <t>LTPHHub to I-FoodTobacco</t>
  </si>
  <si>
    <t>LTPHHub to I-GlasCeramics</t>
  </si>
  <si>
    <t>LTPHHub to I-Machinery</t>
  </si>
  <si>
    <t>LTPHHub to I-MiningStonesEarth</t>
  </si>
  <si>
    <t>LTPHHub to I-NonFerrousMetals</t>
  </si>
  <si>
    <t>LTPHHub to I-OthChemicals</t>
  </si>
  <si>
    <t>LTPHHub to I-OthIndustries</t>
  </si>
  <si>
    <t>LTPHHub to I-RubberPlastic</t>
  </si>
  <si>
    <t>LTPHHub to I-VehicleConstruction</t>
  </si>
  <si>
    <t>Lighting to Lighting-Hub</t>
  </si>
  <si>
    <t>Lighting-Eff to Lighting-Hub</t>
  </si>
  <si>
    <t>LightingN to LightingN-Hub</t>
  </si>
  <si>
    <t>LightingN-Eff to LightingN-Hub</t>
  </si>
  <si>
    <t>LigniteCCS to CO2Hub</t>
  </si>
  <si>
    <t>LigniteCCS to TransGrid-EHub</t>
  </si>
  <si>
    <t>LigniteCHP to TransGrid-EHub</t>
  </si>
  <si>
    <t>LigniteHub to LigniteCCS</t>
  </si>
  <si>
    <t>LigniteHub to LigniteCHP</t>
  </si>
  <si>
    <t>LigniteHub to LignitePP</t>
  </si>
  <si>
    <t>LignitePP to TransGrid-EHub</t>
  </si>
  <si>
    <t>LigniteSource to LigniteHub</t>
  </si>
  <si>
    <t>MFH1 to MFH1Hub</t>
  </si>
  <si>
    <t>MFH1-SP1 to MFH1Hub</t>
  </si>
  <si>
    <t>MFH1-SP2 to MFH1Hub</t>
  </si>
  <si>
    <t>MFH2 to MFH2Hub</t>
  </si>
  <si>
    <t>MFH2-SP1 to MFH2Hub</t>
  </si>
  <si>
    <t>MFH2-SP2 to MFH2Hub</t>
  </si>
  <si>
    <t>MFH3 to MFH3Hub</t>
  </si>
  <si>
    <t>MFH3-SP1 to MFH3Hub</t>
  </si>
  <si>
    <t>MFH3-SP2 to MFH3Hub</t>
  </si>
  <si>
    <t>MFH4 to MFH4Hub</t>
  </si>
  <si>
    <t>MFH4-K55 to MFH4Hub</t>
  </si>
  <si>
    <t>MFH4-NE to MFH4Hub</t>
  </si>
  <si>
    <t>MICROWAVE to MICROWAVE-Hub</t>
  </si>
  <si>
    <t>MTPHHub to I-BasicChemicals</t>
  </si>
  <si>
    <t>MTPHHub to I-FoodTobacco</t>
  </si>
  <si>
    <t>MTPHHub to I-GlasCeramics</t>
  </si>
  <si>
    <t>MTPHHub to I-Machinery</t>
  </si>
  <si>
    <t>MTPHHub to I-MetalProcessing</t>
  </si>
  <si>
    <t>MTPHHub to I-MiningStonesEarth</t>
  </si>
  <si>
    <t>MTPHHub to I-NonFerrousMetals</t>
  </si>
  <si>
    <t>MTPHHub to I-OthChemicals</t>
  </si>
  <si>
    <t>MTPHHub to I-OthIndustries</t>
  </si>
  <si>
    <t>MTPHHub to I-ProcessingStones</t>
  </si>
  <si>
    <t>MTPHHub to I-VehicleConstruction</t>
  </si>
  <si>
    <t>MiniCHP to DistrGrid-EHub</t>
  </si>
  <si>
    <t>NWG1-N to NWG1-NHub</t>
  </si>
  <si>
    <t>NWG1-NE to NWG1-NHub</t>
  </si>
  <si>
    <t>NWG1a to NWG1aHub</t>
  </si>
  <si>
    <t>NWG1a-SP1 to NWG1aHub</t>
  </si>
  <si>
    <t>NWG1a-SP2 to NWG1aHub</t>
  </si>
  <si>
    <t>NWG1b to NWG1bHub</t>
  </si>
  <si>
    <t>NWG1b-SP1 to NWG1bHub</t>
  </si>
  <si>
    <t>NWG1b-SP2 to NWG1bHub</t>
  </si>
  <si>
    <t>NWG2-N to NWG2-NHub</t>
  </si>
  <si>
    <t>NWG2-NE to NWG2-NHub</t>
  </si>
  <si>
    <t>NWG2-NHub to NWG2-N-Demand</t>
  </si>
  <si>
    <t>NWG2a to NWG2aHub</t>
  </si>
  <si>
    <t>NWG2a-SP1 to NWG2aHub</t>
  </si>
  <si>
    <t>NWG2a-SP2 to NWG2aHub</t>
  </si>
  <si>
    <t>NWG2aHub to NWG2a-Demand</t>
  </si>
  <si>
    <t>NWG2b to NWG2bHub</t>
  </si>
  <si>
    <t>NWG2b-SP1 to NWG2bHub</t>
  </si>
  <si>
    <t>NWG2b-SP2 to NWG2bHub</t>
  </si>
  <si>
    <t>NWG2bHub to NWG2b-Demand</t>
  </si>
  <si>
    <t>NWG3 to NWG3Hub</t>
  </si>
  <si>
    <t>NWG3-N to NWG3-NHub</t>
  </si>
  <si>
    <t>NWG3-NE to NWG3-NHub</t>
  </si>
  <si>
    <t>NWG3-SP1 to NWG3Hub</t>
  </si>
  <si>
    <t>NWG3-SP2 to NWG3Hub</t>
  </si>
  <si>
    <t>NWGWG to NWGWGHub</t>
  </si>
  <si>
    <t>NWGWG-N to NWGWG-NHub</t>
  </si>
  <si>
    <t>NWGWG-NE to NWGWG-NHub</t>
  </si>
  <si>
    <t>NWGWG-SP1 to NWGWGHub</t>
  </si>
  <si>
    <t>NWGWG-SP2 to NWGWGHub</t>
  </si>
  <si>
    <t>NuclearPP to TransGrid-EHub</t>
  </si>
  <si>
    <t>OFPVGrid to TransGrid-EHub</t>
  </si>
  <si>
    <t>OFPVGrid31 to TransGrid-EHub</t>
  </si>
  <si>
    <t>OFPVGrid32 to TransGrid-EHub</t>
  </si>
  <si>
    <t>OFPVGrid33 to TransGrid-EHub</t>
  </si>
  <si>
    <t>OFPVGrid34 to TransGrid-EHub</t>
  </si>
  <si>
    <t>OFPVGrid35 to TransGrid-EHub</t>
  </si>
  <si>
    <t>OFPVGrid36 to TransGrid-EHub</t>
  </si>
  <si>
    <t>OFPVGrid37 to TransGrid-EHub</t>
  </si>
  <si>
    <t>OVEN to OVEN-Hub</t>
  </si>
  <si>
    <t>OVEN-Eff to OVEN-Hub</t>
  </si>
  <si>
    <t>OffshoreEnergy to OffshoreHub</t>
  </si>
  <si>
    <t>OffshoreEnergy-31o to OffshoreHub31</t>
  </si>
  <si>
    <t>OffshoreEnergy-32o to OffshoreHub32</t>
  </si>
  <si>
    <t>OffshoreGrid to TransGrid-EHub</t>
  </si>
  <si>
    <t>OffshoreGrid31 to TransGrid-EHub</t>
  </si>
  <si>
    <t>OffshoreGrid32 to TransGrid-EHub</t>
  </si>
  <si>
    <t>OilIndustrialFurnace to PH3Hub</t>
  </si>
  <si>
    <t>OilPP to TransGrid-EHub</t>
  </si>
  <si>
    <t>OnshoreEnergy to OnshoreHub</t>
  </si>
  <si>
    <t>OnshoreEnergy-31 to OnshoreHub31</t>
  </si>
  <si>
    <t>OnshoreEnergy-32 to OnshoreHub32</t>
  </si>
  <si>
    <t>OnshoreEnergy-33 to OnshoreHub33</t>
  </si>
  <si>
    <t>OnshoreEnergy-34 to OnshoreHub34</t>
  </si>
  <si>
    <t>OnshoreEnergy-35 to OnshoreHub35</t>
  </si>
  <si>
    <t>OnshoreEnergy-36 to OnshoreHub36</t>
  </si>
  <si>
    <t>OnshoreEnergy-37 to OnshoreHub37</t>
  </si>
  <si>
    <t>OnshoreGrid to TransGrid-EHub</t>
  </si>
  <si>
    <t>OnshoreGrid31 to TransGrid-EHub</t>
  </si>
  <si>
    <t>OnshoreGrid31_cheap to TransGrid-EHub</t>
  </si>
  <si>
    <t>OnshoreGrid32 to TransGrid-EHub</t>
  </si>
  <si>
    <t>OnshoreGrid32_cheap to TransGrid-EHub</t>
  </si>
  <si>
    <t>OnshoreGrid33 to TransGrid-EHub</t>
  </si>
  <si>
    <t>OnshoreGrid34 to TransGrid-EHub</t>
  </si>
  <si>
    <t>OnshoreGrid34_cheap to TransGrid-EHub</t>
  </si>
  <si>
    <t>OnshoreGrid35 to TransGrid-EHub</t>
  </si>
  <si>
    <t>OnshoreGrid36 to TransGrid-EHub</t>
  </si>
  <si>
    <t>OnshoreGrid37 to TransGrid-EHub</t>
  </si>
  <si>
    <t>OnshoreGrid_cheap to TransGrid-EHub</t>
  </si>
  <si>
    <t>PC to PC-Hub</t>
  </si>
  <si>
    <t>PCarH2ChargingHub to FC-PCar</t>
  </si>
  <si>
    <t>PCarH2ChargingHub to FCTruckSFT</t>
  </si>
  <si>
    <t>PCarH2ChargingHub to HyFC-PCar</t>
  </si>
  <si>
    <t>PCarH2StationNetwork to PCarH2ChargingHub</t>
  </si>
  <si>
    <t>PHONE to PHONE-Hub</t>
  </si>
  <si>
    <t>PRINTER to PRINTER-Hub</t>
  </si>
  <si>
    <t>PRINTER-Eff to PRINTER-Hub</t>
  </si>
  <si>
    <t>Pellet-Source to WoodPelletHub</t>
  </si>
  <si>
    <t>PelletBoiler_LS to LHHub</t>
  </si>
  <si>
    <t>PelletBoiler_SS to DCHHub</t>
  </si>
  <si>
    <t>PelletHP to HTHHub</t>
  </si>
  <si>
    <t>PelletMiniCHP to DCHHub</t>
  </si>
  <si>
    <t>PelletMiniCHP to Demand-EHub</t>
  </si>
  <si>
    <t>PlaneFT to AirFTDemandHub</t>
  </si>
  <si>
    <t>PlanePT to AirPTDemandHub</t>
  </si>
  <si>
    <t>RECEIVER to RECEIVER-Hub</t>
  </si>
  <si>
    <t>RTPVGrid to DistrGrid-EHub</t>
  </si>
  <si>
    <t>RTPVGrid31 to DistrGrid-EHub</t>
  </si>
  <si>
    <t>RTPVGrid31_cheap to DistrGrid-EHub</t>
  </si>
  <si>
    <t>RTPVGrid32 to Demand-EHub</t>
  </si>
  <si>
    <t>RTPVGrid32 to DistrGrid-EHub</t>
  </si>
  <si>
    <t>RTPVGrid32_cheap to Demand-EHub</t>
  </si>
  <si>
    <t>RTPVGrid32_cheap to DistrGrid-EHub</t>
  </si>
  <si>
    <t>RTPVGrid33 to Demand-EHub</t>
  </si>
  <si>
    <t>RTPVGrid33 to DistrGrid-EHub</t>
  </si>
  <si>
    <t>RTPVGrid33_cheap to Demand-EHub</t>
  </si>
  <si>
    <t>RTPVGrid33_cheap to DistrGrid-EHub</t>
  </si>
  <si>
    <t>RTPVGrid34 to Demand-EHub</t>
  </si>
  <si>
    <t>RTPVGrid34 to DistrGrid-EHub</t>
  </si>
  <si>
    <t>RTPVGrid34_cheap to Demand-EHub</t>
  </si>
  <si>
    <t>RTPVGrid34_cheap to DistrGrid-EHub</t>
  </si>
  <si>
    <t>RTPVGrid35 to Demand-EHub</t>
  </si>
  <si>
    <t>RTPVGrid35 to DistrGrid-EHub</t>
  </si>
  <si>
    <t>RTPVGrid35_cheap to Demand-EHub</t>
  </si>
  <si>
    <t>RTPVGrid35_cheap to DistrGrid-EHub</t>
  </si>
  <si>
    <t>RTPVGrid36 to Demand-EHub</t>
  </si>
  <si>
    <t>RTPVGrid36 to DistrGrid-EHub</t>
  </si>
  <si>
    <t>RTPVGrid36_cheap to Demand-EHub</t>
  </si>
  <si>
    <t>RTPVGrid36_cheap to DistrGrid-EHub</t>
  </si>
  <si>
    <t>RTPVGrid37 to Demand-EHub</t>
  </si>
  <si>
    <t>RTPVGrid37 to DistrGrid-EHub</t>
  </si>
  <si>
    <t>RTPVGrid37_cheap to Demand-EHub</t>
  </si>
  <si>
    <t>RTPVGrid37_cheap to DistrGrid-EHub</t>
  </si>
  <si>
    <t>RTPVGrid_cheap to Demand-EHub</t>
  </si>
  <si>
    <t>RTPVGrid_cheap to DistrGrid-EHub</t>
  </si>
  <si>
    <t>SMALL_COOKING to SMALL_COOKING-Hub</t>
  </si>
  <si>
    <t>SS-BatteryConverterOut to Demand-EHub</t>
  </si>
  <si>
    <t>SS-Electrolysis to HH-H2Hub</t>
  </si>
  <si>
    <t>SS-FuelCell to Demand-EHub</t>
  </si>
  <si>
    <t>SS-Reformer to HH-H2Hub</t>
  </si>
  <si>
    <t>SS-SOFC to Demand-EHub</t>
  </si>
  <si>
    <t>SS-rSOFC to Demand-EHub</t>
  </si>
  <si>
    <t>SS-rSOFC to HH-H2Hub</t>
  </si>
  <si>
    <t>SabatierProcess to CH4Hub</t>
  </si>
  <si>
    <t>ShipFT to WaterFTDemandHub</t>
  </si>
  <si>
    <t>SlurrySource to BiogasHub</t>
  </si>
  <si>
    <t>SolarEnergyOFPV to OFPVHub</t>
  </si>
  <si>
    <t>SolarEnergyOFPV-31 to OFPVHub31</t>
  </si>
  <si>
    <t>SolarEnergyOFPV-32 to OFPVHub32</t>
  </si>
  <si>
    <t>SolarEnergyOFPV-33 to OFPVHub33</t>
  </si>
  <si>
    <t>SolarEnergyOFPV-34 to OFPVHub34</t>
  </si>
  <si>
    <t>SolarEnergyOFPV-35 to OFPVHub35</t>
  </si>
  <si>
    <t>SolarEnergyOFPV-36 to OFPVHub36</t>
  </si>
  <si>
    <t>SolarEnergyOFPV-37 to OFPVHub37</t>
  </si>
  <si>
    <t>SolarEnergyRTPV to RTPVHub</t>
  </si>
  <si>
    <t>SolarEnergyRTPV-31 to RTPVHub31</t>
  </si>
  <si>
    <t>SolarEnergyRTPV-32 to RTPVHub32</t>
  </si>
  <si>
    <t>SolarEnergyRTPV-33 to RTPVHub33</t>
  </si>
  <si>
    <t>SolarEnergyRTPV-34 to RTPVHub34</t>
  </si>
  <si>
    <t>SolarEnergyRTPV-35 to RTPVHub35</t>
  </si>
  <si>
    <t>SolarEnergyRTPV-36 to RTPVHub36</t>
  </si>
  <si>
    <t>SolarEnergyRTPV-37 to RTPVHub37</t>
  </si>
  <si>
    <t>StrawCHP_LS to DHHub</t>
  </si>
  <si>
    <t>StrawCHP_LS to TransGrid-EHub</t>
  </si>
  <si>
    <t>StrawCHP_SS to DistrGrid-EHub</t>
  </si>
  <si>
    <t>StrawCHP_SS to LHHub</t>
  </si>
  <si>
    <t>StrawGasification to H2Hub</t>
  </si>
  <si>
    <t>StrawHP to DHHub</t>
  </si>
  <si>
    <t>StrawHub to StrawCHP_LS</t>
  </si>
  <si>
    <t>StrawHub to StrawCHP_MS</t>
  </si>
  <si>
    <t>StrawHub to StrawCHP_SS</t>
  </si>
  <si>
    <t>StrawHub to StrawGasification</t>
  </si>
  <si>
    <t>StrawHub to StrawHP</t>
  </si>
  <si>
    <t>StrawHub to StrawPyrolysis</t>
  </si>
  <si>
    <t>StrawHub to StrawToCH4</t>
  </si>
  <si>
    <t>StrawHub to StrawToFuel</t>
  </si>
  <si>
    <t>StrawHub to StrawTorrefaction</t>
  </si>
  <si>
    <t>StrawPyrolysis to BioCrudeOilHub</t>
  </si>
  <si>
    <t>StrawSource to StrawHub</t>
  </si>
  <si>
    <t>StrawToFuel to Demand-EHub</t>
  </si>
  <si>
    <t>TUMBLE_DRYER to TUMBLE_DRYER-Hub</t>
  </si>
  <si>
    <t>TUMBLE_DRYER-Eff to TUMBLE_DRYER-Hub</t>
  </si>
  <si>
    <t>TV1 to TV1-Hub</t>
  </si>
  <si>
    <t>TV1-Eff to TV1-Hub</t>
  </si>
  <si>
    <t>TV2 to TV2-Hub</t>
  </si>
  <si>
    <t>TV2-Eff to TV2-Hub</t>
  </si>
  <si>
    <t>TV3 to TV3-Hub</t>
  </si>
  <si>
    <t>TV3-Eff to TV3-Hub</t>
  </si>
  <si>
    <t>TrainChargingNetwork to TrainEChargingHub</t>
  </si>
  <si>
    <t>TrainEChargingHub to ETrainFT</t>
  </si>
  <si>
    <t>TrainEChargingHub to ETrainPT</t>
  </si>
  <si>
    <t>TrainH2ChargingHub to FCTrainFT</t>
  </si>
  <si>
    <t>TrainH2ChargingHub to FCTrainPT</t>
  </si>
  <si>
    <t>TrainH2StationNetwork to TrainH2ChargingHub</t>
  </si>
  <si>
    <t>TruckBEVChargingHub to ETruckFT-BEV</t>
  </si>
  <si>
    <t>TruckBEVChargingNetwork to TruckBEVChargingHub</t>
  </si>
  <si>
    <t>TruckEChargingHub to ETruckFT-OHW</t>
  </si>
  <si>
    <t>TruckEChargingNetwork to TruckEChargingHub</t>
  </si>
  <si>
    <t>TruckH2ChargingHub to FCTruckFT</t>
  </si>
  <si>
    <t>TruckH2StationNetwork to TruckH2ChargingHub</t>
  </si>
  <si>
    <t>UPRIGHT_FREEZER to UPRIGHT_FREEZER-Hub</t>
  </si>
  <si>
    <t>UPRIGHT_FREEZER-Eff to UPRIGHT_FREEZER-Hub</t>
  </si>
  <si>
    <t>UraniumSource to UraniumHub</t>
  </si>
  <si>
    <t>VACUUM to VACUUM-Hub</t>
  </si>
  <si>
    <t>VACUUM-Eff to VACUUM-Hub</t>
  </si>
  <si>
    <t>VCR_DVD to VCR_DVD-Hub</t>
  </si>
  <si>
    <t>WASHER_DRYER to WASHER_DRYER-Hub</t>
  </si>
  <si>
    <t>WASHER_DRYER-Eff to WASHER_DRYER-Hub</t>
  </si>
  <si>
    <t>WASHING_MACHINE to WASHING_MACHINE-Hub</t>
  </si>
  <si>
    <t>WASHING_MACHINE-Eff to WASHING_MACHINE-Hub</t>
  </si>
  <si>
    <t>WasteCHP to TransGrid-EHub</t>
  </si>
  <si>
    <t>WasteHub to WasteCHP</t>
  </si>
  <si>
    <t>WasteHub to WasteHP</t>
  </si>
  <si>
    <t>WastePP to TransGrid-EHub</t>
  </si>
  <si>
    <t>WasteSource to WasteHub</t>
  </si>
  <si>
    <t>WasteWoodSource to DarkWoodHub</t>
  </si>
  <si>
    <t>WatergasShift to CO2Hub</t>
  </si>
  <si>
    <t>WoodCCS to CO2Hub</t>
  </si>
  <si>
    <t>WoodCCS to TransGrid-EHub</t>
  </si>
  <si>
    <t>WoodCHP_LS to DHHub</t>
  </si>
  <si>
    <t>WoodCHP_LS to TransGrid-EHub</t>
  </si>
  <si>
    <t>WoodCHP_SS to DistrGrid-EHub</t>
  </si>
  <si>
    <t>WoodCHP_SS to LHHub</t>
  </si>
  <si>
    <t>WoodChipSource to CleanWoodHub</t>
  </si>
  <si>
    <t>WoodCombHub to WoodCCS</t>
  </si>
  <si>
    <t>WoodCombHub to WoodCHP_LS</t>
  </si>
  <si>
    <t>WoodCombHub to WoodCHP_MS</t>
  </si>
  <si>
    <t>WoodCombHub to WoodCHP_SS</t>
  </si>
  <si>
    <t>WoodCombHub to WoodHP</t>
  </si>
  <si>
    <t>WoodCombHub to WoodPP</t>
  </si>
  <si>
    <t>WoodGasification to H2Hub</t>
  </si>
  <si>
    <t>WoodHP to DHHub</t>
  </si>
  <si>
    <t>WoodPP to TransGrid-EHub</t>
  </si>
  <si>
    <t>WoodPelletHub to PelletBoiler_LS</t>
  </si>
  <si>
    <t>WoodPelletHub to PelletBoiler_SS</t>
  </si>
  <si>
    <t>WoodPelletHub to PelletHP</t>
  </si>
  <si>
    <t>WoodPelletHub to PelletMiniCHP</t>
  </si>
  <si>
    <t>WoodPyrolysis to BioCrudeOilHub</t>
  </si>
  <si>
    <t>WoodStove to DCHHub</t>
  </si>
  <si>
    <t>WoodToFuel to Demand-EHub</t>
  </si>
  <si>
    <t>CO2Separator</t>
  </si>
  <si>
    <t>E-IndustrialFurnace</t>
  </si>
  <si>
    <t>OFPVElectrolyserGrid</t>
  </si>
  <si>
    <t>OffshoreElectrolyserGrid</t>
  </si>
  <si>
    <t>OffshoreEnergy</t>
  </si>
  <si>
    <t>OnshoreElectrolyserGrid</t>
  </si>
  <si>
    <t>OnshoreEnergy</t>
  </si>
  <si>
    <t>OnshoreGrid_cheap</t>
  </si>
  <si>
    <t>RTPVGrid_cheap</t>
  </si>
  <si>
    <t>SolarEnergyOFPV</t>
  </si>
  <si>
    <t>SolarEnergyRTPV</t>
  </si>
  <si>
    <t>Flows in GWh</t>
  </si>
  <si>
    <t>Capacities in GW</t>
  </si>
  <si>
    <t>medium</t>
  </si>
  <si>
    <t>Electricity</t>
  </si>
  <si>
    <t>Natural Gas</t>
  </si>
  <si>
    <t>Hydrogen</t>
  </si>
  <si>
    <t>Energy</t>
  </si>
  <si>
    <t>Buildings</t>
  </si>
  <si>
    <t>Transport</t>
  </si>
  <si>
    <t>Industry</t>
  </si>
  <si>
    <t>Natural gas</t>
  </si>
  <si>
    <t>Heat</t>
  </si>
  <si>
    <t>large</t>
  </si>
  <si>
    <t>small</t>
  </si>
  <si>
    <t>Installed heat storage capacities</t>
  </si>
  <si>
    <t>Installed storage capacities</t>
  </si>
  <si>
    <t>Final energy consumption by sector</t>
  </si>
  <si>
    <t>Coal HP</t>
  </si>
  <si>
    <t>Coal CHP</t>
  </si>
  <si>
    <t>Lignite CHP</t>
  </si>
  <si>
    <t>Gas HP</t>
  </si>
  <si>
    <t>CC CHP</t>
  </si>
  <si>
    <t>Gas CHP</t>
  </si>
  <si>
    <t>Waste CHP</t>
  </si>
  <si>
    <t>Waste HP</t>
  </si>
  <si>
    <t>Oil HP</t>
  </si>
  <si>
    <t>H2 MiniCHP</t>
  </si>
  <si>
    <t>Electro vessel</t>
  </si>
  <si>
    <t>Solarthermics</t>
  </si>
  <si>
    <t>H2 condensing boiler</t>
  </si>
  <si>
    <t>Gas boiler</t>
  </si>
  <si>
    <t>Gas condensing boiler</t>
  </si>
  <si>
    <t>Oil boiler</t>
  </si>
  <si>
    <t>Oil condensing boiler</t>
  </si>
  <si>
    <t>Pellet HP</t>
  </si>
  <si>
    <t>Furnaces</t>
  </si>
  <si>
    <t>Stoves</t>
  </si>
  <si>
    <t>District heating</t>
  </si>
  <si>
    <t>Local heating</t>
  </si>
  <si>
    <t>Decentral heating</t>
  </si>
  <si>
    <t>EZFH</t>
  </si>
  <si>
    <t>MFH</t>
  </si>
  <si>
    <t>GMFH</t>
  </si>
  <si>
    <t>NWG</t>
  </si>
  <si>
    <t>Heat consumption</t>
  </si>
  <si>
    <t>District heating - industry</t>
  </si>
  <si>
    <t>Local heating - industry</t>
  </si>
  <si>
    <t>Decentral - industry</t>
  </si>
  <si>
    <t>Gas</t>
  </si>
  <si>
    <t>Coal</t>
  </si>
  <si>
    <t>Oil</t>
  </si>
  <si>
    <t>Waste</t>
  </si>
  <si>
    <t>Biomass</t>
  </si>
  <si>
    <t>Solar</t>
  </si>
  <si>
    <t>Installed hydrogen production capacities</t>
  </si>
  <si>
    <t>Full load hours</t>
  </si>
  <si>
    <t>Hydrogen production</t>
  </si>
  <si>
    <t>H2 Mini CHP</t>
  </si>
  <si>
    <t>LS-Fuel Cell</t>
  </si>
  <si>
    <t>Sabatier Process</t>
  </si>
  <si>
    <t>Hydrogen consumption by sector</t>
  </si>
  <si>
    <t>Building</t>
  </si>
  <si>
    <t>Hydrogen consumption in industry sector</t>
  </si>
  <si>
    <t>H2 CC PP</t>
  </si>
  <si>
    <t>SS-Fuel Cell</t>
  </si>
  <si>
    <t>Bus</t>
  </si>
  <si>
    <t>Train</t>
  </si>
  <si>
    <t>Truck</t>
  </si>
  <si>
    <t>District heating (DHGrid)</t>
  </si>
  <si>
    <t>Local heating (LHGrid)</t>
  </si>
  <si>
    <t>Decentral heating (HHGrid)</t>
  </si>
  <si>
    <t>Total building heating</t>
  </si>
  <si>
    <t>Total</t>
  </si>
  <si>
    <t>Straw HP</t>
  </si>
  <si>
    <t>Wood HP</t>
  </si>
  <si>
    <t>Heating Plants</t>
  </si>
  <si>
    <t>Biogas CHP</t>
  </si>
  <si>
    <t>Wood CHP (SS)</t>
  </si>
  <si>
    <t>Straw CHP (SS)</t>
  </si>
  <si>
    <t>Pellet boiler (SS)</t>
  </si>
  <si>
    <t>SOFC (SS)</t>
  </si>
  <si>
    <t>SOFC (LS)</t>
  </si>
  <si>
    <t>Pellet boiler (LS)</t>
  </si>
  <si>
    <t>Heatpump (LS)</t>
  </si>
  <si>
    <t>Heatpump (SS)</t>
  </si>
  <si>
    <t>Pellet MiniCHP</t>
  </si>
  <si>
    <t>Wood Stove</t>
  </si>
  <si>
    <t>HPs, Furnaces and Stoves</t>
  </si>
  <si>
    <t>Modell kann LHGrid ausbauen, wie es will, da es kostenlos ist!</t>
  </si>
  <si>
    <t>Central heating (HCGrid)</t>
  </si>
  <si>
    <t>Straw Gasification</t>
  </si>
  <si>
    <t>Wood Gasification</t>
  </si>
  <si>
    <t>Electrolysis (LS)</t>
  </si>
  <si>
    <t>Electrolysis (SS)</t>
  </si>
  <si>
    <t>Reformer (SS)</t>
  </si>
  <si>
    <t>Reformer (LS)</t>
  </si>
  <si>
    <t>rSOFC</t>
  </si>
  <si>
    <t>H2 GT</t>
  </si>
  <si>
    <t>Pumped storage</t>
  </si>
  <si>
    <t>Small Batteries</t>
  </si>
  <si>
    <t>Large Batteries</t>
  </si>
  <si>
    <t>Abfragewerte</t>
  </si>
  <si>
    <t>Diagrammbeschriftung</t>
  </si>
  <si>
    <t>Straw CHP (LS)</t>
  </si>
  <si>
    <t>Straw CHP (MS)</t>
  </si>
  <si>
    <t>Wood CHP (LS)</t>
  </si>
  <si>
    <t>Wood CHP (MS)</t>
  </si>
  <si>
    <t>CHPs (DHHub)</t>
  </si>
  <si>
    <t>(LHHub)</t>
  </si>
  <si>
    <t>(DCHHub)</t>
  </si>
  <si>
    <t>GasIndustrialFurnace to PH3hub</t>
  </si>
  <si>
    <t>Modell kann HHGrid ausbauen, wie es will, da es kostenlos ist!</t>
  </si>
  <si>
    <t>HcGrid_EZF</t>
  </si>
  <si>
    <t>CHHub_EZF to HcGrid_EZF</t>
  </si>
  <si>
    <t>Hydrogen consumption by energy sector</t>
  </si>
  <si>
    <t>Hydrogen consumption by transport sector</t>
  </si>
  <si>
    <t>Hydrogen consumption by building sector</t>
  </si>
  <si>
    <t>Installed hydrogen storage capacities</t>
  </si>
  <si>
    <t>Installed electricity storage capacities</t>
  </si>
  <si>
    <t>Compressed Air Storage</t>
  </si>
  <si>
    <t>Werteabfrage</t>
  </si>
  <si>
    <t>Low Temperature Process Heat (LTPHHub)</t>
  </si>
  <si>
    <t>Basic chemicals</t>
  </si>
  <si>
    <t>Food and tobacco</t>
  </si>
  <si>
    <t>Glas and ceramics</t>
  </si>
  <si>
    <t>Machinery</t>
  </si>
  <si>
    <t>Mining, stones and earth</t>
  </si>
  <si>
    <t>Non-ferrous metals</t>
  </si>
  <si>
    <t>Other chemicals</t>
  </si>
  <si>
    <t>Other industries</t>
  </si>
  <si>
    <t>Paper</t>
  </si>
  <si>
    <t>Rubber and plastic</t>
  </si>
  <si>
    <t>Vehicle construction</t>
  </si>
  <si>
    <t>Medium temperature process heat (MTPHHub)</t>
  </si>
  <si>
    <t>High temperature process heat (HTPHHub)</t>
  </si>
  <si>
    <t>Processing stones</t>
  </si>
  <si>
    <t>Metal processing</t>
  </si>
  <si>
    <t>Process heat</t>
  </si>
  <si>
    <t>High temperature process heat (PH3Hub)</t>
  </si>
  <si>
    <t>E-Boiler (LS)</t>
  </si>
  <si>
    <t>Medium temperature process heat (HTHHub)</t>
  </si>
  <si>
    <t>Other heating</t>
  </si>
  <si>
    <t>Vom HTHHub wird auch Fernwärme gespeist!</t>
  </si>
  <si>
    <t>Verbindet HTHHub mit DHHub</t>
  </si>
  <si>
    <t>Verbindet DHHub mit LTPHHub</t>
  </si>
  <si>
    <t>Verbindet LHHub mit LTPHHub</t>
  </si>
  <si>
    <t>DHHub an andere Verbraucher</t>
  </si>
  <si>
    <t>LHHub an andere Verbraucher</t>
  </si>
  <si>
    <t>Mini CHP</t>
  </si>
  <si>
    <t>Straw CHP</t>
  </si>
  <si>
    <t>Wood CHP</t>
  </si>
  <si>
    <t>Relative Anteile</t>
  </si>
  <si>
    <t>Energy carrier for process heat</t>
  </si>
  <si>
    <t>Lignite</t>
  </si>
  <si>
    <t>Year</t>
  </si>
  <si>
    <t>PtX</t>
  </si>
  <si>
    <t>Transport sector</t>
  </si>
  <si>
    <t>Industry sector</t>
  </si>
  <si>
    <t>Buildings sector</t>
  </si>
  <si>
    <t>Gasoline</t>
  </si>
  <si>
    <t>Diesel</t>
  </si>
  <si>
    <t>Kerosene</t>
  </si>
  <si>
    <t>Energy carrier for heat production</t>
  </si>
  <si>
    <t>Energy Carrier room heat production</t>
  </si>
  <si>
    <t>OFPV</t>
  </si>
  <si>
    <t>RTPV</t>
  </si>
  <si>
    <t>Offshore</t>
  </si>
  <si>
    <t>Onshore</t>
  </si>
  <si>
    <t>Car</t>
  </si>
  <si>
    <t>BiogasToCH4 to CO2Hub</t>
  </si>
  <si>
    <t>RE-DieselSource</t>
  </si>
  <si>
    <t>RE-GasolineSource</t>
  </si>
  <si>
    <t>RE-KeroseneSource</t>
  </si>
  <si>
    <t>Flows in PJ</t>
  </si>
  <si>
    <t>GHD</t>
  </si>
  <si>
    <t>Abweichung</t>
  </si>
  <si>
    <t>AGEB Endenergieverbrauh in PJ</t>
  </si>
  <si>
    <t>Endenergieverbrauch in PJ</t>
  </si>
  <si>
    <t>Endenergieverbrauch nach AGEB</t>
  </si>
  <si>
    <t>Mineralöl gesamt</t>
  </si>
  <si>
    <t>Erneuerbare</t>
  </si>
  <si>
    <t>In PJ</t>
  </si>
  <si>
    <t>Insgesamt</t>
  </si>
  <si>
    <t>Erdgas</t>
  </si>
  <si>
    <t>Abweichung in PJ</t>
  </si>
  <si>
    <t>Steinkohle</t>
  </si>
  <si>
    <t>Braunkohle</t>
  </si>
  <si>
    <t>Strom</t>
  </si>
  <si>
    <t>Fernwärme</t>
  </si>
  <si>
    <t>Validierung</t>
  </si>
  <si>
    <t>Wohnfläche in Mio. m2</t>
  </si>
  <si>
    <t>1</t>
  </si>
  <si>
    <t>2</t>
  </si>
  <si>
    <t>3</t>
  </si>
  <si>
    <t>4</t>
  </si>
  <si>
    <t>5</t>
  </si>
  <si>
    <t>6</t>
  </si>
  <si>
    <t>7</t>
  </si>
  <si>
    <t>North sea</t>
  </si>
  <si>
    <t>Baltic sea</t>
  </si>
  <si>
    <t>Region 1</t>
  </si>
  <si>
    <t>Region 2</t>
  </si>
  <si>
    <t>Region 3</t>
  </si>
  <si>
    <t>Region 4</t>
  </si>
  <si>
    <t>Region 5</t>
  </si>
  <si>
    <t>Region 6</t>
  </si>
  <si>
    <t>Region 7</t>
  </si>
  <si>
    <t>Wohnfläche in m2</t>
  </si>
  <si>
    <t>Faktor m2/kWh</t>
  </si>
  <si>
    <t>kWh/m2</t>
  </si>
  <si>
    <t>187</t>
  </si>
  <si>
    <t>119</t>
  </si>
  <si>
    <t>168</t>
  </si>
  <si>
    <t>122</t>
  </si>
  <si>
    <t>112</t>
  </si>
  <si>
    <t>188</t>
  </si>
  <si>
    <t>162</t>
  </si>
  <si>
    <t>158</t>
  </si>
  <si>
    <t>145</t>
  </si>
  <si>
    <t>100</t>
  </si>
  <si>
    <t>97</t>
  </si>
  <si>
    <t>114</t>
  </si>
  <si>
    <t>95</t>
  </si>
  <si>
    <t>99</t>
  </si>
  <si>
    <t>189</t>
  </si>
  <si>
    <t>125</t>
  </si>
  <si>
    <t>220</t>
  </si>
  <si>
    <t>163</t>
  </si>
  <si>
    <t>Bestand</t>
  </si>
  <si>
    <t>New buildings</t>
  </si>
  <si>
    <t>EnEV 2016</t>
  </si>
  <si>
    <t>KfW55</t>
  </si>
  <si>
    <t>KfW40</t>
  </si>
  <si>
    <t>Total buildings (Wohngebäude)</t>
  </si>
  <si>
    <t>Anfangsbestand in Mio. m2</t>
  </si>
  <si>
    <t>Anteil an Wohnfläche</t>
  </si>
  <si>
    <t>Sanierungsrate</t>
  </si>
  <si>
    <t>Average</t>
  </si>
  <si>
    <t>Renovation rate (residential)</t>
  </si>
  <si>
    <t>Renovation rate (EZFH)</t>
  </si>
  <si>
    <t>Renovation rate (MFH)</t>
  </si>
  <si>
    <t>Renovation rate (GMFH)</t>
  </si>
  <si>
    <t>Renovation rate (NWG)</t>
  </si>
  <si>
    <t>Renovierte Wohnfläche in Mio. m2</t>
  </si>
  <si>
    <t>Gesamte Wohnfläche in Mio. m2</t>
  </si>
  <si>
    <t>Anteil sanierte Fläche</t>
  </si>
  <si>
    <t>Abgerissene Fläche in Mio. m2</t>
  </si>
  <si>
    <t>Anteil abgerissene Fläche</t>
  </si>
  <si>
    <t>Mittlere Sanierungsrate</t>
  </si>
  <si>
    <t>Pellet</t>
  </si>
  <si>
    <t>Wood</t>
  </si>
  <si>
    <t>Gesamt</t>
  </si>
  <si>
    <t>CH4</t>
  </si>
  <si>
    <t>AGEB</t>
  </si>
  <si>
    <t>Gaseous biomass</t>
  </si>
  <si>
    <t xml:space="preserve"> </t>
  </si>
  <si>
    <t>Biogas</t>
  </si>
  <si>
    <t>Electricity Consumption</t>
  </si>
  <si>
    <t>Abfragewert</t>
  </si>
  <si>
    <t>PrimaryEnergy</t>
  </si>
  <si>
    <t>TargetYear</t>
  </si>
  <si>
    <t>Forresty Wood</t>
  </si>
  <si>
    <t>Industrial Wood Residues</t>
  </si>
  <si>
    <t>Straw</t>
  </si>
  <si>
    <t>Nuclear</t>
  </si>
  <si>
    <t>Waste Wood</t>
  </si>
  <si>
    <t>KUP_Grassland</t>
  </si>
  <si>
    <t>Ethanol</t>
  </si>
  <si>
    <t>KUP_Cropland</t>
  </si>
  <si>
    <t>Biodiesel</t>
  </si>
  <si>
    <t>Hydro Energy</t>
  </si>
  <si>
    <t>Onshore-Wind</t>
  </si>
  <si>
    <t>solid Biomass</t>
  </si>
  <si>
    <t>Biogas Slurry</t>
  </si>
  <si>
    <t>Offshore-Wind</t>
  </si>
  <si>
    <t>gas. Biomass</t>
  </si>
  <si>
    <t>BiowasteSource to BiogasHub</t>
  </si>
  <si>
    <t>Biogas Biowaste</t>
  </si>
  <si>
    <t>OpenField-PV</t>
  </si>
  <si>
    <t>liqu. Biomass</t>
  </si>
  <si>
    <t>Biogas Maize</t>
  </si>
  <si>
    <t>RoofTop-PV</t>
  </si>
  <si>
    <t>Solar Heat</t>
  </si>
  <si>
    <t>PV</t>
  </si>
  <si>
    <t>Wind</t>
  </si>
  <si>
    <t>Total Onshore</t>
  </si>
  <si>
    <t>Anteile</t>
  </si>
  <si>
    <t>Anteil EE</t>
  </si>
  <si>
    <t>Renewable</t>
  </si>
  <si>
    <t>Total Offshore</t>
  </si>
  <si>
    <t>Fossil</t>
  </si>
  <si>
    <t>Primärenergie</t>
  </si>
  <si>
    <t>Total OFPV</t>
  </si>
  <si>
    <t>Total RTPV</t>
  </si>
  <si>
    <t>solid. Biomass</t>
  </si>
  <si>
    <t>Total PV</t>
  </si>
  <si>
    <t>CO2-Emissions</t>
  </si>
  <si>
    <t>Power</t>
  </si>
  <si>
    <t>Energytype</t>
  </si>
  <si>
    <t>Industrysector</t>
  </si>
  <si>
    <t>Fueltype</t>
  </si>
  <si>
    <t>Biofuel</t>
  </si>
  <si>
    <t>Fossil Fuel</t>
  </si>
  <si>
    <t>Capacities</t>
  </si>
  <si>
    <t>Flows</t>
  </si>
  <si>
    <t>Installierte Kapazitäten</t>
  </si>
  <si>
    <t>Sammlung</t>
  </si>
  <si>
    <t>Fuel Cells</t>
  </si>
  <si>
    <t>Stromflüsse</t>
  </si>
  <si>
    <t>Fuel Cell</t>
  </si>
  <si>
    <t>Haushalte</t>
  </si>
  <si>
    <t>Industrie</t>
  </si>
  <si>
    <t>Transgrid</t>
  </si>
  <si>
    <t>Kapazitäten</t>
  </si>
  <si>
    <t>Photovoltaik</t>
  </si>
  <si>
    <t>DistrGrid</t>
  </si>
  <si>
    <t>Cars</t>
  </si>
  <si>
    <t>Trucks FT</t>
  </si>
  <si>
    <t>OHW-Truck</t>
  </si>
  <si>
    <t>Trucks SFT</t>
  </si>
  <si>
    <t>BE-Bus</t>
  </si>
  <si>
    <t>OHW-Bus</t>
  </si>
  <si>
    <t>Train PT</t>
  </si>
  <si>
    <t>Diesel Train</t>
  </si>
  <si>
    <t>Electric Train</t>
  </si>
  <si>
    <t>FC-Train</t>
  </si>
  <si>
    <t>Train FT</t>
  </si>
  <si>
    <t>Ship</t>
  </si>
  <si>
    <t>Plane</t>
  </si>
  <si>
    <t>Total Trucks</t>
  </si>
  <si>
    <t>Total Trains</t>
  </si>
  <si>
    <t>Ship FT</t>
  </si>
  <si>
    <t>Airplane</t>
  </si>
  <si>
    <t>Plane FT</t>
  </si>
  <si>
    <t>Plane PT</t>
  </si>
  <si>
    <t>Consumption</t>
  </si>
  <si>
    <t>Electric Drive</t>
  </si>
  <si>
    <t>Bio Diesel</t>
  </si>
  <si>
    <t>FT Diesel</t>
  </si>
  <si>
    <t>Syn Diesel</t>
  </si>
  <si>
    <t>Bio Ethanol</t>
  </si>
  <si>
    <t>FT Gas</t>
  </si>
  <si>
    <t>Methane</t>
  </si>
  <si>
    <t>Bio Gas</t>
  </si>
  <si>
    <t>Bio Gasoline</t>
  </si>
  <si>
    <t>H2</t>
  </si>
  <si>
    <t>El H2</t>
  </si>
  <si>
    <t>Bio H2</t>
  </si>
  <si>
    <t>Ref H2</t>
  </si>
  <si>
    <t>FT Kerosene</t>
  </si>
  <si>
    <t>Bio Kerosene</t>
  </si>
  <si>
    <t>Residues</t>
  </si>
  <si>
    <t>Bio Waste</t>
  </si>
  <si>
    <t>IWR</t>
  </si>
  <si>
    <t>Pellet Import</t>
  </si>
  <si>
    <t>Slurry</t>
  </si>
  <si>
    <t>Energycrops</t>
  </si>
  <si>
    <t>KUP on Cropland</t>
  </si>
  <si>
    <t>Rapeoil</t>
  </si>
  <si>
    <t>SugarBeet</t>
  </si>
  <si>
    <t>KUP on Grassland</t>
  </si>
  <si>
    <t>Fuels</t>
  </si>
  <si>
    <t>Braunhkohle</t>
  </si>
  <si>
    <t>Nuklear</t>
  </si>
  <si>
    <t>Biomasse allgemein</t>
  </si>
  <si>
    <t>Öl</t>
  </si>
  <si>
    <t>Wasserkraft</t>
  </si>
  <si>
    <t>Abfall</t>
  </si>
  <si>
    <t>Kraftwerke</t>
  </si>
  <si>
    <t>Sektoren</t>
  </si>
  <si>
    <t>Energie</t>
  </si>
  <si>
    <t>Gebäude</t>
  </si>
  <si>
    <t>"Sekundärenergieträger"</t>
  </si>
  <si>
    <t>Wärme</t>
  </si>
  <si>
    <t>Feste Biomasse</t>
  </si>
  <si>
    <t>Gasförmige Biomasse</t>
  </si>
  <si>
    <t>Transportmittel</t>
  </si>
  <si>
    <t>PKW</t>
  </si>
  <si>
    <t>Busse</t>
  </si>
  <si>
    <t>LKW</t>
  </si>
  <si>
    <t>Brennstoffzellen</t>
  </si>
  <si>
    <t>Regionen</t>
  </si>
  <si>
    <t>Skalierung</t>
  </si>
  <si>
    <t>klein</t>
  </si>
  <si>
    <t>mittel</t>
  </si>
  <si>
    <t>groß</t>
  </si>
  <si>
    <t>Wärmeerzeuger</t>
  </si>
  <si>
    <t>Wärmepumpe (groß)</t>
  </si>
  <si>
    <t>Wärmepumpe (klein)</t>
  </si>
  <si>
    <t>Öl Brennwert</t>
  </si>
  <si>
    <t>Elektroheizung</t>
  </si>
  <si>
    <t>Gas Brennwert</t>
  </si>
  <si>
    <t>Stroh</t>
  </si>
  <si>
    <t>Holz</t>
  </si>
  <si>
    <t>Solarthermie</t>
  </si>
  <si>
    <t>Gas Kessel</t>
  </si>
  <si>
    <t>Öl Kessel</t>
  </si>
  <si>
    <t>Prozesstemperatur</t>
  </si>
  <si>
    <t>Nieder</t>
  </si>
  <si>
    <t>Mittel</t>
  </si>
  <si>
    <t>Hoch</t>
  </si>
  <si>
    <t>Industriebereiche</t>
  </si>
  <si>
    <t>Wärmenetze</t>
  </si>
  <si>
    <t>Nahwärme</t>
  </si>
  <si>
    <t>Dezentral</t>
  </si>
  <si>
    <t>Gebäudetyp</t>
  </si>
  <si>
    <t>Sanierung</t>
  </si>
  <si>
    <t>Referenz</t>
  </si>
  <si>
    <t>SP1</t>
  </si>
  <si>
    <t>SP2</t>
  </si>
  <si>
    <t>Wasserstoffproduktion</t>
  </si>
  <si>
    <t>FC</t>
  </si>
  <si>
    <t>BEV</t>
  </si>
  <si>
    <t>HyFC</t>
  </si>
  <si>
    <t>Benzin</t>
  </si>
  <si>
    <t>HyBenzin</t>
  </si>
  <si>
    <t>HyDiesel</t>
  </si>
  <si>
    <t>Oberleitung</t>
  </si>
  <si>
    <t>Kerosin</t>
  </si>
  <si>
    <t>Antriebsform</t>
  </si>
  <si>
    <t>Study</t>
  </si>
  <si>
    <t>Published</t>
  </si>
  <si>
    <t>Type</t>
  </si>
  <si>
    <t>DENA Studie Integrierte Energiewende</t>
  </si>
  <si>
    <t>BDI Klimapfade</t>
  </si>
  <si>
    <t>BMWi Langfristszeanrien</t>
  </si>
  <si>
    <t>BaU</t>
  </si>
  <si>
    <t>Trend</t>
  </si>
  <si>
    <t>Referenz - 60</t>
  </si>
  <si>
    <t>EL 80</t>
  </si>
  <si>
    <t>TM 80</t>
  </si>
  <si>
    <t>EL 95</t>
  </si>
  <si>
    <t>TM 95</t>
  </si>
  <si>
    <t>Basis-80</t>
  </si>
  <si>
    <t>Beschriftung</t>
  </si>
  <si>
    <t>IEK-3</t>
  </si>
  <si>
    <t>Werte in TWh/a</t>
  </si>
  <si>
    <t>Werte in PJ/a</t>
  </si>
  <si>
    <t>Weg zu THG-neutralem Deutschland</t>
  </si>
  <si>
    <t>ewi Kosteneffiziente Sektorkopplung</t>
  </si>
  <si>
    <t>Klimaschutzszenario 2050</t>
  </si>
  <si>
    <t>UBA Energieziel 2050</t>
  </si>
  <si>
    <t>100% EE</t>
  </si>
  <si>
    <t>DLR Leitstudie</t>
  </si>
  <si>
    <t>BMU Leitszenario 2009</t>
  </si>
  <si>
    <t>Fraunhofer IWES - Geschäftsmodell EW</t>
  </si>
  <si>
    <t>StrawCHP</t>
  </si>
  <si>
    <t>WoodCHP</t>
  </si>
  <si>
    <t>BM-to-Fuel</t>
  </si>
  <si>
    <t>WoodPP to TransGrid-Ehub</t>
  </si>
  <si>
    <t>PelletBoiler</t>
  </si>
  <si>
    <t>Fuel</t>
  </si>
  <si>
    <t>Diesel (Straw)</t>
  </si>
  <si>
    <t>Gasoline (Straw)</t>
  </si>
  <si>
    <t>Kerosene (Straw)</t>
  </si>
  <si>
    <t>Diesel (Wood)</t>
  </si>
  <si>
    <t>Gasoline (Wood)</t>
  </si>
  <si>
    <t>Kerosene (Wood)</t>
  </si>
  <si>
    <t>Diesel (Pyro)</t>
  </si>
  <si>
    <t>Kerosene (Pyro)</t>
  </si>
  <si>
    <t>BioCrudeOil to LPG</t>
  </si>
  <si>
    <t>LPG (Pyro</t>
  </si>
  <si>
    <t>BioCrudeOil to Gasoline</t>
  </si>
  <si>
    <t>Gasoline (Pyro)</t>
  </si>
  <si>
    <t>Diesel (Rape)</t>
  </si>
  <si>
    <t>BioEthanol</t>
  </si>
  <si>
    <t>Anteil BioCrudeOil</t>
  </si>
  <si>
    <t>BioWaste</t>
  </si>
  <si>
    <t>Cornsilage</t>
  </si>
  <si>
    <t>Grasssilage</t>
  </si>
  <si>
    <t>BiogasHub to BiogastoCH4</t>
  </si>
  <si>
    <t>Methanization</t>
  </si>
  <si>
    <t>KUP (Cropland)</t>
  </si>
  <si>
    <t>KUP (Grassland)</t>
  </si>
  <si>
    <t>Potential</t>
  </si>
  <si>
    <t>Utilized</t>
  </si>
  <si>
    <t>Unused</t>
  </si>
  <si>
    <t>Gasification</t>
  </si>
  <si>
    <t>Pelletization</t>
  </si>
  <si>
    <t>Pyrolysis</t>
  </si>
  <si>
    <t>Stove</t>
  </si>
  <si>
    <t>WoodtoFuel</t>
  </si>
  <si>
    <t>Torrefaction</t>
  </si>
  <si>
    <t>PP-CCS</t>
  </si>
  <si>
    <t>CHP_LS</t>
  </si>
  <si>
    <t>CHP_MS</t>
  </si>
  <si>
    <t>CHP_SS</t>
  </si>
  <si>
    <t>HP</t>
  </si>
  <si>
    <t>PP</t>
  </si>
  <si>
    <t>StrawtoFuel</t>
  </si>
  <si>
    <t>Land</t>
  </si>
  <si>
    <t>KUP</t>
  </si>
  <si>
    <t>Cropland Maximum</t>
  </si>
  <si>
    <t>MAX</t>
  </si>
  <si>
    <t>Grassland Maximum</t>
  </si>
  <si>
    <t>Final energy consumption</t>
  </si>
  <si>
    <t>Photovoltaics</t>
  </si>
  <si>
    <t>Wind (Onshore)</t>
  </si>
  <si>
    <t>Wind (Offshore)</t>
  </si>
  <si>
    <t>Others</t>
  </si>
  <si>
    <t>Import/Export</t>
  </si>
  <si>
    <t>Total Export</t>
  </si>
  <si>
    <t>Total Import</t>
  </si>
  <si>
    <t>Entwicklung der Energiemärkte prognos/ewi/gws (Trendszenario 2050)</t>
  </si>
  <si>
    <t>Sektorkopplung HTW Berlin</t>
  </si>
  <si>
    <t>100%RE</t>
  </si>
  <si>
    <t>Energiesystem 2050, Fraunhofer ISE</t>
  </si>
  <si>
    <t>80%RE</t>
  </si>
  <si>
    <t>Erzeugung(TWh)</t>
  </si>
  <si>
    <t>Photovoltaics [TWh]</t>
  </si>
  <si>
    <t>Wind (Onshore) [TWh]</t>
  </si>
  <si>
    <t>Wind (Offshore) [TWh]</t>
  </si>
  <si>
    <t>Bioenergy [TWh]</t>
  </si>
  <si>
    <t>Hydropower [TWh]</t>
  </si>
  <si>
    <t>Geothermics [TWh]</t>
  </si>
  <si>
    <t>Others (Fossil Fuels, Other RE, Storage Capacity) [TWh]</t>
  </si>
  <si>
    <t>Import</t>
  </si>
  <si>
    <t>Export</t>
  </si>
  <si>
    <t>IWES (2014) - 80% *</t>
  </si>
  <si>
    <t>HTW Berlin (2016) - 100%</t>
  </si>
  <si>
    <t>ISE (2016) - 80%</t>
  </si>
  <si>
    <t>EXTGrassland</t>
  </si>
  <si>
    <t>GasBurner</t>
  </si>
  <si>
    <t>KUPCropland</t>
  </si>
  <si>
    <t>KUPGrassland</t>
  </si>
  <si>
    <t>MaizeCropland</t>
  </si>
  <si>
    <t>RapeCropland</t>
  </si>
  <si>
    <t>SugarBeetCropland</t>
  </si>
  <si>
    <t>CH4Hub2 to GasBurner</t>
  </si>
  <si>
    <t>CroplandHub to KUPCropland</t>
  </si>
  <si>
    <t>CroplandHub to MaizeCropland</t>
  </si>
  <si>
    <t>CroplandHub to RapeCropland</t>
  </si>
  <si>
    <t>CroplandHub to SugarBeetCropland</t>
  </si>
  <si>
    <t>EChargingHub to ETruckSFT-BEV</t>
  </si>
  <si>
    <t>EXTGrassland to BiogasHub</t>
  </si>
  <si>
    <t>GrasslandHub to EXTGrassland</t>
  </si>
  <si>
    <t>GrasslandHub to KUPGrassland</t>
  </si>
  <si>
    <t>HTPHHub to I-MiningStonesEarth</t>
  </si>
  <si>
    <t>HTPHHub to I-OthChemicals</t>
  </si>
  <si>
    <t>KUPCropland to CleanWoodHub</t>
  </si>
  <si>
    <t>KUPGrassland to CleanWoodHub</t>
  </si>
  <si>
    <t>MaizeCropland to BiogasHub</t>
  </si>
  <si>
    <t>RapeCropland to BioDieselHub</t>
  </si>
  <si>
    <t>SugarBeetCropland to EthanolHub</t>
  </si>
  <si>
    <t>WoodCHP_MS to LHHub</t>
  </si>
  <si>
    <t>Demand-Ehub</t>
  </si>
  <si>
    <t>RTPVGrid to Demand-Ehub</t>
  </si>
  <si>
    <t>PelletMiniCHP to Demand-Ehub</t>
  </si>
  <si>
    <t>RTPVGrid31 to Demand-Ehub</t>
  </si>
  <si>
    <t>RTPVGrid31_cheap to Demand-Ehub</t>
  </si>
  <si>
    <t>SS-FuelCell to Demand-Ehub</t>
  </si>
  <si>
    <t>SS-rSOFC to Demand-Ehub</t>
  </si>
  <si>
    <t>SS-SOFC to Demand-Ehub</t>
  </si>
  <si>
    <t>Share Local heating for industry</t>
  </si>
  <si>
    <t>Share Local heating for building</t>
  </si>
  <si>
    <t>Share district heating for industry</t>
  </si>
  <si>
    <t>Share district heating for building</t>
  </si>
  <si>
    <t>Process emissions</t>
  </si>
  <si>
    <t>Combustion emissions</t>
  </si>
  <si>
    <t>Sector</t>
  </si>
  <si>
    <t>CO2 emissions</t>
  </si>
  <si>
    <t>Werte in Mio. t</t>
  </si>
  <si>
    <t>Buildings, GHD</t>
  </si>
  <si>
    <t>BMU (2009) - 80%</t>
  </si>
  <si>
    <t>UBA (2010) - 100% EE *</t>
  </si>
  <si>
    <t>DLR (2011) - Szenario A - 80%</t>
  </si>
  <si>
    <t>DLR (2011) - Szenario B - 80%</t>
  </si>
  <si>
    <t>DLR (2011) - 95%</t>
  </si>
  <si>
    <t>Energiemärkte (2014) - Ref</t>
  </si>
  <si>
    <t>Energiemärkte (2014) - 80 %</t>
  </si>
  <si>
    <t>Ökoinstitut (2015) - Ref</t>
  </si>
  <si>
    <t>Ökoinstitut (2015) - 80 %</t>
  </si>
  <si>
    <t>Ökoinstitut (2015) - 95 %</t>
  </si>
  <si>
    <t>BMWi Langfrist (2017) - Ref</t>
  </si>
  <si>
    <t>BMWi Langfrist (2017) - 80 %</t>
  </si>
  <si>
    <t>UBA (2017) - 95 %</t>
  </si>
  <si>
    <t>DENA (2018) - Ref</t>
  </si>
  <si>
    <t>DENA (2018) - EL - 80 %</t>
  </si>
  <si>
    <t>DENA (2018) - TM - 80 %</t>
  </si>
  <si>
    <t>DENA (2018) - EL - 95 %</t>
  </si>
  <si>
    <t>DENA (2018) - TM - 95 %</t>
  </si>
  <si>
    <t>BDI (2018) - Ref</t>
  </si>
  <si>
    <t>BDI (2018) - 80 %</t>
  </si>
  <si>
    <t>BDI (2018) - 95 %</t>
  </si>
  <si>
    <t>ewi (2018) - EEV - 80%</t>
  </si>
  <si>
    <t>ewi (2018) - TO - 80%</t>
  </si>
  <si>
    <t>Cement</t>
  </si>
  <si>
    <t>CO2-Korrekturfaktor</t>
  </si>
  <si>
    <t>Room heat</t>
  </si>
  <si>
    <t>SFT</t>
  </si>
  <si>
    <t>Bahn PT</t>
  </si>
  <si>
    <t>Truck FT</t>
  </si>
  <si>
    <t>Truck SFT</t>
  </si>
  <si>
    <t>Hybrid PKW</t>
  </si>
  <si>
    <t>gestreift</t>
  </si>
  <si>
    <t>weiß gestreift</t>
  </si>
  <si>
    <t>WoodCHP_MS to TransGrid-EHub</t>
  </si>
  <si>
    <t>StrawCHP_MS to LHHub</t>
  </si>
  <si>
    <t>StrawCHP_MS to TransGrid-EHub</t>
  </si>
  <si>
    <t>Wood und Straw CHP fehlen!</t>
  </si>
  <si>
    <t>Hybrid Car</t>
  </si>
  <si>
    <t>PtL-Import</t>
  </si>
  <si>
    <t>H2-Import</t>
  </si>
  <si>
    <t>Stromimport</t>
  </si>
  <si>
    <t>nKerosene</t>
  </si>
  <si>
    <t>Battery electric</t>
  </si>
  <si>
    <t>Fuel cell</t>
  </si>
  <si>
    <t>Otto</t>
  </si>
  <si>
    <t>Hybrid diesel</t>
  </si>
  <si>
    <t>Hybrid fuel cell</t>
  </si>
  <si>
    <t>Hybrid otto</t>
  </si>
  <si>
    <t>OHW</t>
  </si>
  <si>
    <t>StrawtoCH4</t>
  </si>
  <si>
    <t>WoodtoCH4</t>
  </si>
  <si>
    <t>Reformer</t>
  </si>
  <si>
    <t>Refinery</t>
  </si>
  <si>
    <t>CH4 Quellen</t>
  </si>
  <si>
    <t>Straw to CH4</t>
  </si>
  <si>
    <t>Wood to CH4</t>
  </si>
  <si>
    <t>CH4 Demand</t>
  </si>
  <si>
    <t>Cement process heat</t>
  </si>
  <si>
    <t>Electric arc furnace</t>
  </si>
  <si>
    <t>Condensing boiler</t>
  </si>
  <si>
    <t>Glass furnace</t>
  </si>
  <si>
    <t>Industrial furnace</t>
  </si>
  <si>
    <t>CH4 Substitute</t>
  </si>
  <si>
    <t>CCS</t>
  </si>
  <si>
    <t>CHP</t>
  </si>
  <si>
    <t>Burner</t>
  </si>
  <si>
    <t>Boiler</t>
  </si>
  <si>
    <t>Biogas to CH4</t>
  </si>
  <si>
    <t>CH4 Demand by industry</t>
  </si>
  <si>
    <t>CH4 Demand power sector</t>
  </si>
  <si>
    <t>PKW Bestand 2050</t>
  </si>
  <si>
    <t>Diesel (inkl. Biodiesel)</t>
  </si>
  <si>
    <t>Otto (inkl. Bioethanol)</t>
  </si>
  <si>
    <t>Batterie</t>
  </si>
  <si>
    <t>Hybrid</t>
  </si>
  <si>
    <t>Residential</t>
  </si>
  <si>
    <t>IEK-3 (2019) - 95 %</t>
  </si>
  <si>
    <t>Demand in TWh</t>
  </si>
  <si>
    <t>2020</t>
  </si>
  <si>
    <t>2025</t>
  </si>
  <si>
    <t>2030</t>
  </si>
  <si>
    <t>2035</t>
  </si>
  <si>
    <t>2040</t>
  </si>
  <si>
    <t>2045</t>
  </si>
  <si>
    <t>2050</t>
  </si>
  <si>
    <t>Anteil Industrie</t>
  </si>
  <si>
    <t>Anteil Gebäude</t>
  </si>
  <si>
    <t>Gesamt Gebäude</t>
  </si>
  <si>
    <t>Anteil Heizung Industrie und Gebäudesektor</t>
  </si>
  <si>
    <t>Efficiency</t>
  </si>
  <si>
    <t>2013-2030</t>
  </si>
  <si>
    <t>2040-2050</t>
  </si>
  <si>
    <t>0</t>
  </si>
  <si>
    <t>Verkehr</t>
  </si>
  <si>
    <t>District and local heat</t>
  </si>
  <si>
    <t>Elektrizität</t>
  </si>
  <si>
    <t>Wasserstoff</t>
  </si>
  <si>
    <t>HH-Ehub to E-Heating</t>
  </si>
  <si>
    <t>HH-Ehub to SS-Heatpump</t>
  </si>
  <si>
    <t>HH-H2Hub to H2condensingboiler</t>
  </si>
  <si>
    <t>Anteil Buidlingsector</t>
  </si>
  <si>
    <t>Decentral</t>
  </si>
  <si>
    <t>High temperature (&gt;500°C)</t>
  </si>
  <si>
    <t>HT-Prozesswärme (&gt;500°C)</t>
  </si>
  <si>
    <t>Medium temperature (100-500°C)</t>
  </si>
  <si>
    <t>MT-Prozesswärme (100-500°C)</t>
  </si>
  <si>
    <t>Low temperature (&lt;100°C)</t>
  </si>
  <si>
    <t>NT-Prozesswärme (&lt;100°C)</t>
  </si>
  <si>
    <t>Capacities in GWh</t>
  </si>
  <si>
    <t>Batteries (incl. BEV)</t>
  </si>
  <si>
    <t>Batterien (inkl. BEV)</t>
  </si>
  <si>
    <t>gasf. Biomasse</t>
  </si>
  <si>
    <t>Pumpspeicher</t>
  </si>
  <si>
    <t>CAES</t>
  </si>
  <si>
    <t>Druckluftspeicher</t>
  </si>
  <si>
    <t>PKW und leichte NFZ</t>
  </si>
  <si>
    <t>Züge</t>
  </si>
  <si>
    <t>Nordsee</t>
  </si>
  <si>
    <t>Ostsee</t>
  </si>
  <si>
    <t>Kleine Batterien</t>
  </si>
  <si>
    <t>Große Batterien</t>
  </si>
  <si>
    <t>Industrieöfen</t>
  </si>
  <si>
    <t>Herd</t>
  </si>
  <si>
    <t>Steinkohle-HKW</t>
  </si>
  <si>
    <t>Gas-HKW</t>
  </si>
  <si>
    <t>Öl-HKW</t>
  </si>
  <si>
    <t>Pellet-HKW</t>
  </si>
  <si>
    <t>Stroh-HKW</t>
  </si>
  <si>
    <t>Holz-HKW</t>
  </si>
  <si>
    <t>Abfall-HKW</t>
  </si>
  <si>
    <t>Biokohle-Industrieofen</t>
  </si>
  <si>
    <t>Bioöl-Industrieofen</t>
  </si>
  <si>
    <t>Steinkohle-Industrieofen</t>
  </si>
  <si>
    <t>Lichtbogen-Industrieofen</t>
  </si>
  <si>
    <t>Gas-Industrieofen</t>
  </si>
  <si>
    <t>H2-Industrieofen</t>
  </si>
  <si>
    <t>Öl-Industrieofen</t>
  </si>
  <si>
    <t>Gasherd</t>
  </si>
  <si>
    <t>E-Herd</t>
  </si>
  <si>
    <t>Steinkohle-KWK</t>
  </si>
  <si>
    <t>Braunkohle-KWK</t>
  </si>
  <si>
    <t>Gas-KWK</t>
  </si>
  <si>
    <t>GuD-KWK</t>
  </si>
  <si>
    <t>Stroh-KWK (LS)</t>
  </si>
  <si>
    <t>Holz-KWK (LS)</t>
  </si>
  <si>
    <t>Abfall-KWK</t>
  </si>
  <si>
    <t>H2-KWK</t>
  </si>
  <si>
    <t>Wärmepumpe (LS)</t>
  </si>
  <si>
    <t>Biogas-KWK</t>
  </si>
  <si>
    <t>Holz-KWK (MS)</t>
  </si>
  <si>
    <t>Stroh-KWK (MS)</t>
  </si>
  <si>
    <t>Elektrokessel</t>
  </si>
  <si>
    <t>Pelletofen (LS)</t>
  </si>
  <si>
    <t>Holz-KWK (SS)</t>
  </si>
  <si>
    <t>Stroh-KWK (SS)</t>
  </si>
  <si>
    <t>Wärmepumpe (SS)</t>
  </si>
  <si>
    <t>H2-Brennwertkessel</t>
  </si>
  <si>
    <t>Erdgaskessel</t>
  </si>
  <si>
    <t>Erdgas-Brennwertkessel</t>
  </si>
  <si>
    <t>Pelletofen (SS)</t>
  </si>
  <si>
    <t>Pellet-KWK</t>
  </si>
  <si>
    <t>Holzofen</t>
  </si>
  <si>
    <t>Ölkessel</t>
  </si>
  <si>
    <t>Öl-Brennwertkessel</t>
  </si>
  <si>
    <t>Erdöl</t>
  </si>
  <si>
    <t>Biomasse</t>
  </si>
  <si>
    <t>HKW</t>
  </si>
  <si>
    <t>Elektrokessel (LS)</t>
  </si>
  <si>
    <t>Prozesswärme</t>
  </si>
  <si>
    <t>Gebäudeheizung</t>
  </si>
  <si>
    <t>Dezentral - Industrie</t>
  </si>
  <si>
    <t>Fernwärme - Industrie</t>
  </si>
  <si>
    <t>Nahwärme - Industrie</t>
  </si>
  <si>
    <t>Biokohle</t>
  </si>
  <si>
    <t>Bioöl</t>
  </si>
  <si>
    <t>Andere</t>
  </si>
  <si>
    <t>Erdgas-KWK (SS)</t>
  </si>
  <si>
    <t>Erdgas-KWK (LS)</t>
  </si>
  <si>
    <t>Glas und Keramik</t>
  </si>
  <si>
    <t>Maschinenbau</t>
  </si>
  <si>
    <t>Metallverarbeitung</t>
  </si>
  <si>
    <t>Nicht-Eisenmetallverarbeitung</t>
  </si>
  <si>
    <t>Andere Industrien</t>
  </si>
  <si>
    <t>Automobilbau</t>
  </si>
  <si>
    <t>Grundstoffchemie</t>
  </si>
  <si>
    <t>Steinverarbeitung</t>
  </si>
  <si>
    <t>Nahrungsmittel und Tabak</t>
  </si>
  <si>
    <t>Bergbau, Steine und Erden</t>
  </si>
  <si>
    <t>Nichteisenmetallverarbeitung</t>
  </si>
  <si>
    <t>Andere Chemikalien</t>
  </si>
  <si>
    <t>Papier</t>
  </si>
  <si>
    <t>Maschinenabu</t>
  </si>
  <si>
    <t>Gummi und Kunststoff</t>
  </si>
  <si>
    <t>Sanierungspaket 1</t>
  </si>
  <si>
    <t>Sanierungspaket 2</t>
  </si>
  <si>
    <t>Standard</t>
  </si>
  <si>
    <t>Sabatier-Prozess</t>
  </si>
  <si>
    <t>Stroh-zu-CH4</t>
  </si>
  <si>
    <t>Holz-zu-CH4</t>
  </si>
  <si>
    <t>Umwandlung</t>
  </si>
  <si>
    <t>Zement-Prozesswärme</t>
  </si>
  <si>
    <t>Brenner</t>
  </si>
  <si>
    <t>Glas-Industrieofen</t>
  </si>
  <si>
    <t>Industrieofen</t>
  </si>
  <si>
    <t>Gasifizierung (Stroh)</t>
  </si>
  <si>
    <t>Gasifizierung (Holz)</t>
  </si>
  <si>
    <t>Elektrolyse (LS)</t>
  </si>
  <si>
    <t>rev. SOFC</t>
  </si>
  <si>
    <t>Elektrolyse (SS)</t>
  </si>
  <si>
    <t>Reformierung (LS)</t>
  </si>
  <si>
    <t>Reformierung (SS)</t>
  </si>
  <si>
    <t>Brenntwertkessel</t>
  </si>
  <si>
    <t>SOFC</t>
  </si>
  <si>
    <t>Cars and LDV</t>
  </si>
  <si>
    <t>H2 KWK (klein)</t>
  </si>
  <si>
    <t>Zementproduktion</t>
  </si>
  <si>
    <t>Kernenergie</t>
  </si>
  <si>
    <t>fest. Biomasse</t>
  </si>
  <si>
    <t>gas. Biomasse</t>
  </si>
  <si>
    <t>flüs. Biomasse</t>
  </si>
  <si>
    <t>Onshore Wind</t>
  </si>
  <si>
    <t>Offshore Wind</t>
  </si>
  <si>
    <t>Müll</t>
  </si>
  <si>
    <t>Bioethanol</t>
  </si>
  <si>
    <t>Freiflächen-PV</t>
  </si>
  <si>
    <t>Aufdach-PV</t>
  </si>
  <si>
    <t>Raffinerie</t>
  </si>
  <si>
    <t>Verbrennungsemissionen</t>
  </si>
  <si>
    <t>Prozessemissionen</t>
  </si>
  <si>
    <t>Heizöl</t>
  </si>
  <si>
    <t>Biokraftstoff</t>
  </si>
  <si>
    <t>Fos. Kraftstoff</t>
  </si>
  <si>
    <t>Freifeld-PV</t>
  </si>
  <si>
    <t>PelletMini-BHKW</t>
  </si>
  <si>
    <t>FuelCells</t>
  </si>
  <si>
    <t>Brennstoffzelle</t>
  </si>
  <si>
    <t>Hybrid Diesel</t>
  </si>
  <si>
    <t>Hybrid Brennstoffzelle</t>
  </si>
  <si>
    <t>Hybrid Otto</t>
  </si>
  <si>
    <t>Elektrisch</t>
  </si>
  <si>
    <t>Kleintransporter</t>
  </si>
  <si>
    <t>Personenzug</t>
  </si>
  <si>
    <t>Güterzug</t>
  </si>
  <si>
    <t>Schienenverkehr</t>
  </si>
  <si>
    <t>Schifffahrt</t>
  </si>
  <si>
    <t>FT-Diesel</t>
  </si>
  <si>
    <t>Syn-Diesel</t>
  </si>
  <si>
    <t>Methan</t>
  </si>
  <si>
    <t>FT-Benzin</t>
  </si>
  <si>
    <t>Bio-Benzin</t>
  </si>
  <si>
    <t>FT-Kerosin</t>
  </si>
  <si>
    <t>Bio-Kerosin</t>
  </si>
  <si>
    <t>Maissilage</t>
  </si>
  <si>
    <t>Rapsöl</t>
  </si>
  <si>
    <t>Zuckerrüben</t>
  </si>
  <si>
    <t>Grassilage</t>
  </si>
  <si>
    <t>Potenzial</t>
  </si>
  <si>
    <t>Genutzt</t>
  </si>
  <si>
    <t>Ungenutzt</t>
  </si>
  <si>
    <t>Vergasung</t>
  </si>
  <si>
    <t>Heizwerk</t>
  </si>
  <si>
    <t>gr. KWK</t>
  </si>
  <si>
    <t>m. KWK</t>
  </si>
  <si>
    <t>kl. KWK</t>
  </si>
  <si>
    <t>Pyrolyse</t>
  </si>
  <si>
    <t>Methanisierung</t>
  </si>
  <si>
    <t>FT-Synthese</t>
  </si>
  <si>
    <t>Torrefizierung</t>
  </si>
  <si>
    <t>Industrierestholz</t>
  </si>
  <si>
    <t>Waldrestholz</t>
  </si>
  <si>
    <t>Altholz</t>
  </si>
  <si>
    <t>Pelletierung</t>
  </si>
  <si>
    <t>Kaminofen</t>
  </si>
  <si>
    <t>CC-Kraftwerk</t>
  </si>
  <si>
    <t>Kraftwerk</t>
  </si>
  <si>
    <t>KUP (Ackerland)</t>
  </si>
  <si>
    <t>KUP (Grasland)</t>
  </si>
  <si>
    <t>Gülle</t>
  </si>
  <si>
    <t>Bioabfall</t>
  </si>
  <si>
    <t>Biogas-BHKW</t>
  </si>
  <si>
    <t>Stroh KWK</t>
  </si>
  <si>
    <t>CC-Holzkraftwerk</t>
  </si>
  <si>
    <t>Holzkraftwerk</t>
  </si>
  <si>
    <t>Holz KWK</t>
  </si>
  <si>
    <t>Pellet Boiler</t>
  </si>
  <si>
    <t>Pelletheizwerk</t>
  </si>
  <si>
    <t>Strohheizwerk</t>
  </si>
  <si>
    <t>Holzheizwerk</t>
  </si>
  <si>
    <t>Industriefeuerung</t>
  </si>
  <si>
    <t>Diesel (Stroh)</t>
  </si>
  <si>
    <t>Benzin (Stroh)</t>
  </si>
  <si>
    <t>Kerosin (Stroh)</t>
  </si>
  <si>
    <t>Diesel (Holz)</t>
  </si>
  <si>
    <t>Benzin (Holz)</t>
  </si>
  <si>
    <t>Kerosin (Holz)</t>
  </si>
  <si>
    <t>Diesel (Pyrolyse)</t>
  </si>
  <si>
    <t>Kerosin (Pyrolyse)</t>
  </si>
  <si>
    <t>LPG (Pyrolyse)</t>
  </si>
  <si>
    <t>Benzin (Pyrolyse)</t>
  </si>
  <si>
    <t>Diesel (Rapsöl)</t>
  </si>
  <si>
    <t>Primary energy consumption</t>
  </si>
  <si>
    <t>EE</t>
  </si>
  <si>
    <t>AGEB für 2013</t>
  </si>
  <si>
    <t>Status quo 2013</t>
  </si>
  <si>
    <t>Buildings&amp;GHD</t>
  </si>
  <si>
    <t>THG Emissionen</t>
  </si>
  <si>
    <t>RE-CH4Source</t>
  </si>
  <si>
    <t>Total System Costs</t>
  </si>
  <si>
    <t>Energy sector</t>
  </si>
  <si>
    <t>Building sector</t>
  </si>
  <si>
    <t>Infrastructures</t>
  </si>
  <si>
    <t>Summe</t>
  </si>
  <si>
    <t>CHEST_FREEZER_stock</t>
  </si>
  <si>
    <t>FRIDGE_FREEZER_stock</t>
  </si>
  <si>
    <t>FRIDGE_stock</t>
  </si>
  <si>
    <t>UPRIGHT_FREEZER_stock</t>
  </si>
  <si>
    <t>ANSWER_MACHINE_stock</t>
  </si>
  <si>
    <t>CD_PLAYER_stock</t>
  </si>
  <si>
    <t>CLOCK_stock</t>
  </si>
  <si>
    <t>PHONE_stock</t>
  </si>
  <si>
    <t>HIFI_stock</t>
  </si>
  <si>
    <t>IRON_stock</t>
  </si>
  <si>
    <t>VACUUM_stock</t>
  </si>
  <si>
    <t>FAX_stock</t>
  </si>
  <si>
    <t>PC_stock</t>
  </si>
  <si>
    <t>PRINTER_stock</t>
  </si>
  <si>
    <t>TV1_stock</t>
  </si>
  <si>
    <t>TV2_stock</t>
  </si>
  <si>
    <t>TV3_stock</t>
  </si>
  <si>
    <t>VCR_DVD_stock</t>
  </si>
  <si>
    <t>RECEIVER_stock</t>
  </si>
  <si>
    <t>HOB_stock</t>
  </si>
  <si>
    <t>OVEN_stock</t>
  </si>
  <si>
    <t>MICROWAVE_stock</t>
  </si>
  <si>
    <t>KETTLE_stock</t>
  </si>
  <si>
    <t>SMALL_COOKING_stock</t>
  </si>
  <si>
    <t>DISH_WASHER_stock</t>
  </si>
  <si>
    <t>TUMBLE_DRYER_stock</t>
  </si>
  <si>
    <t>WASHING_MACHINE_stock</t>
  </si>
  <si>
    <t>WASHER_DRYER_stock</t>
  </si>
  <si>
    <t>Lighting_stock</t>
  </si>
  <si>
    <t>LightingN_stock</t>
  </si>
  <si>
    <t>EZFH1_stock</t>
  </si>
  <si>
    <t>EZFH2_stock</t>
  </si>
  <si>
    <t>EZFH3_stock</t>
  </si>
  <si>
    <t>MFH1_stock</t>
  </si>
  <si>
    <t>MFH2_stock</t>
  </si>
  <si>
    <t>MFH3_stock</t>
  </si>
  <si>
    <t>GMFH1_stock</t>
  </si>
  <si>
    <t>GMFH2_stock</t>
  </si>
  <si>
    <t>GMFH3_stock</t>
  </si>
  <si>
    <t>NWGWG_stock</t>
  </si>
  <si>
    <t>NWG1a_stock</t>
  </si>
  <si>
    <t>NWG1b_stock</t>
  </si>
  <si>
    <t>NWG2a_stock</t>
  </si>
  <si>
    <t>NWG2b_stock</t>
  </si>
  <si>
    <t>NWG3_stock</t>
  </si>
  <si>
    <t>WasteHeatUtil</t>
  </si>
  <si>
    <t>TrainChargingNetwork_stock</t>
  </si>
  <si>
    <t>GasBoiler_stock</t>
  </si>
  <si>
    <t>OilBoiler_stock</t>
  </si>
  <si>
    <t>E-Heating_stock</t>
  </si>
  <si>
    <t>MiniCHP_stock</t>
  </si>
  <si>
    <t>DHGrid_EZF_stock</t>
  </si>
  <si>
    <t>HCGrid_EZF_stock</t>
  </si>
  <si>
    <t>DHGrid_MF_stock</t>
  </si>
  <si>
    <t>HCGrid_MF_stock</t>
  </si>
  <si>
    <t>DHGrid_GMF_stock</t>
  </si>
  <si>
    <t>HCGrid_GMF_stock</t>
  </si>
  <si>
    <t>DHGrid_NW_stock</t>
  </si>
  <si>
    <t>HCGrid_NW_stock</t>
  </si>
  <si>
    <t>E-Stove_stock</t>
  </si>
  <si>
    <t>Gas-Stove_stock</t>
  </si>
  <si>
    <t>NuclearPP_stock</t>
  </si>
  <si>
    <t>GasPP_stock</t>
  </si>
  <si>
    <t>GasCHP_stock</t>
  </si>
  <si>
    <t>CCPP_stock</t>
  </si>
  <si>
    <t>CCCHP_stock</t>
  </si>
  <si>
    <t>WastePP_stock</t>
  </si>
  <si>
    <t>WasteCHP_stock</t>
  </si>
  <si>
    <t>OilPP_stock</t>
  </si>
  <si>
    <t>BiogasCHP_stock</t>
  </si>
  <si>
    <t>BiogasToCH4_stock</t>
  </si>
  <si>
    <t>RapeCropland_stock</t>
  </si>
  <si>
    <t>MaizeCropland_stock</t>
  </si>
  <si>
    <t>SugarBeetCropland_stock</t>
  </si>
  <si>
    <t>BioEthanolPlant_stock</t>
  </si>
  <si>
    <t>BioDieselPlant_stock</t>
  </si>
  <si>
    <t>WoodCHP_MS_stock</t>
  </si>
  <si>
    <t>WoodPelletization_stock</t>
  </si>
  <si>
    <t>PelletBoiler_SS_stock</t>
  </si>
  <si>
    <t>PelletBoiler_LS_stock</t>
  </si>
  <si>
    <t>WoodStove_stock</t>
  </si>
  <si>
    <t>CoalPP_stock</t>
  </si>
  <si>
    <t>CoalCHP_stock</t>
  </si>
  <si>
    <t>LignitePP_stock</t>
  </si>
  <si>
    <t>LigniteCHP_stock</t>
  </si>
  <si>
    <t>HydroPP_stock</t>
  </si>
  <si>
    <t>HydroPump_stock</t>
  </si>
  <si>
    <t>HydroTurbine_stock</t>
  </si>
  <si>
    <t>OnshoreGrid_stock</t>
  </si>
  <si>
    <t>OnshoreGrid31_stock</t>
  </si>
  <si>
    <t>OnshoreGrid32_stock</t>
  </si>
  <si>
    <t>OnshoreGrid33_stock</t>
  </si>
  <si>
    <t>OnshoreGrid34_stock</t>
  </si>
  <si>
    <t>OnshoreGrid35_stock</t>
  </si>
  <si>
    <t>OnshoreGrid36_stock</t>
  </si>
  <si>
    <t>OnshoreGrid37_stock</t>
  </si>
  <si>
    <t>OffshoreGrid_stock</t>
  </si>
  <si>
    <t>OffshoreGrid31_stock</t>
  </si>
  <si>
    <t>OffshoreGrid32_stock</t>
  </si>
  <si>
    <t>RTPVGrid_stock</t>
  </si>
  <si>
    <t>RTPVGrid31_stock</t>
  </si>
  <si>
    <t>RTPVGrid32_stock</t>
  </si>
  <si>
    <t>RTPVGrid33_stock</t>
  </si>
  <si>
    <t>RTPVGrid34_stock</t>
  </si>
  <si>
    <t>RTPVGrid35_stock</t>
  </si>
  <si>
    <t>RTPVGrid36_stock</t>
  </si>
  <si>
    <t>RTPVGrid37_stock</t>
  </si>
  <si>
    <t>OFPVGrid_stock</t>
  </si>
  <si>
    <t>OFPVGrid31_stock</t>
  </si>
  <si>
    <t>OFPVGrid32_stock</t>
  </si>
  <si>
    <t>OFPVGrid33_stock</t>
  </si>
  <si>
    <t>OFPVGrid34_stock</t>
  </si>
  <si>
    <t>OFPVGrid35_stock</t>
  </si>
  <si>
    <t>OFPVGrid36_stock</t>
  </si>
  <si>
    <t>OFPVGrid37_stock</t>
  </si>
  <si>
    <t>SS-Heatpump_stock</t>
  </si>
  <si>
    <t>PumpedStorage_stock</t>
  </si>
  <si>
    <t>CH4Storage_stock</t>
  </si>
  <si>
    <t>OnshoreEnergy_stock</t>
  </si>
  <si>
    <t>OnshoreEnergy-31_stock</t>
  </si>
  <si>
    <t>OnshoreEnergy-32_stock</t>
  </si>
  <si>
    <t>OnshoreEnergy-33_stock</t>
  </si>
  <si>
    <t>OnshoreEnergy-34_stock</t>
  </si>
  <si>
    <t>OnshoreEnergy-35_stock</t>
  </si>
  <si>
    <t>OnshoreEnergy-36_stock</t>
  </si>
  <si>
    <t>OnshoreEnergy-37_stock</t>
  </si>
  <si>
    <t>OffshoreEnergy_stock</t>
  </si>
  <si>
    <t>OffshoreEnergy-31o_stock</t>
  </si>
  <si>
    <t>OffshoreEnergy-32o_stock</t>
  </si>
  <si>
    <t>SolarEnergyRTPV_stock</t>
  </si>
  <si>
    <t>SolarEnergyRTPV-31_stock</t>
  </si>
  <si>
    <t>SolarEnergyRTPV-32_stock</t>
  </si>
  <si>
    <t>SolarEnergyRTPV-33_stock</t>
  </si>
  <si>
    <t>SolarEnergyRTPV-34_stock</t>
  </si>
  <si>
    <t>SolarEnergyRTPV-35_stock</t>
  </si>
  <si>
    <t>SolarEnergyRTPV-36_stock</t>
  </si>
  <si>
    <t>SolarEnergyRTPV-37_stock</t>
  </si>
  <si>
    <t>SolarEnergyOFPV_stock</t>
  </si>
  <si>
    <t>SolarEnergyOFPV-31_stock</t>
  </si>
  <si>
    <t>SolarEnergyOFPV-32_stock</t>
  </si>
  <si>
    <t>SolarEnergyOFPV-33_stock</t>
  </si>
  <si>
    <t>SolarEnergyOFPV-34_stock</t>
  </si>
  <si>
    <t>SolarEnergyOFPV-35_stock</t>
  </si>
  <si>
    <t>SolarEnergyOFPV-36_stock</t>
  </si>
  <si>
    <t>SolarEnergyOFPV-37_stock</t>
  </si>
  <si>
    <t>SolarEnergyRTST_stock</t>
  </si>
  <si>
    <t>Heating</t>
  </si>
  <si>
    <t>Storages</t>
  </si>
  <si>
    <t>Transformation</t>
  </si>
  <si>
    <t>Power Plants</t>
  </si>
  <si>
    <t>ZW.-SUMME</t>
  </si>
  <si>
    <t>Faktor NT-PH / RH+WH</t>
  </si>
  <si>
    <t>Faktor RH+WH / NT-PH</t>
  </si>
  <si>
    <t>Abs. Deviation</t>
  </si>
  <si>
    <t>Rel. Deviation</t>
  </si>
  <si>
    <t>Total Eff.</t>
  </si>
  <si>
    <t>Total (HH-Geräte)</t>
  </si>
  <si>
    <t>Total (Eff. HH-Geräte)</t>
  </si>
  <si>
    <t>Total Ligthing NWG</t>
  </si>
  <si>
    <t>Total Ligthing WG</t>
  </si>
  <si>
    <t>Total Ligthing WG Eff.</t>
  </si>
  <si>
    <t>Total Ligthing NWG Eff.</t>
  </si>
  <si>
    <t>Total el. Demand</t>
  </si>
  <si>
    <t>Share of eff. devices</t>
  </si>
  <si>
    <t>Share of eff. ligthing (WG)</t>
  </si>
  <si>
    <t>Share of eff. ligthing (NWG)</t>
  </si>
  <si>
    <t>IEK-3 (2019) - 80 %</t>
  </si>
  <si>
    <t>Renewable Energies</t>
  </si>
  <si>
    <t>Share in transportation sector</t>
  </si>
  <si>
    <t>Gross electricity consumption</t>
  </si>
  <si>
    <t>Primary energy consumption of buildings</t>
  </si>
  <si>
    <t>Heat consumption of buildings</t>
  </si>
  <si>
    <t>Greenhouse gas emissions (compared to 1990)</t>
  </si>
  <si>
    <t>-</t>
  </si>
  <si>
    <t>Share in gross final energy consumption</t>
  </si>
  <si>
    <t>Share in gross final electricity consumption</t>
  </si>
  <si>
    <t>Share in gross final heat energy consumption</t>
  </si>
  <si>
    <t>Efficiency and Consumption (compared to 2008)</t>
  </si>
  <si>
    <t>TWh</t>
  </si>
  <si>
    <t>Gross final energy consumption (total)</t>
  </si>
  <si>
    <t>Gross final energy consumption (RE)</t>
  </si>
  <si>
    <t>RE share</t>
  </si>
  <si>
    <t>Target</t>
  </si>
  <si>
    <t>2050 (GER Gov.)</t>
  </si>
  <si>
    <t>2050 (Model Results)</t>
  </si>
  <si>
    <t>Targets 2030</t>
  </si>
  <si>
    <t>Sectoral THG Emissions</t>
  </si>
  <si>
    <t>2030 (Model Results)</t>
  </si>
  <si>
    <t>ACAEStorage</t>
  </si>
  <si>
    <t>Refurb. Pack. 1</t>
  </si>
  <si>
    <t>Refurb. Pack. 2</t>
  </si>
  <si>
    <t>Unsanierbar</t>
  </si>
  <si>
    <t>Landmarked</t>
  </si>
  <si>
    <t>Neu: EnEV 2016</t>
  </si>
  <si>
    <t>Neu: KfW55</t>
  </si>
  <si>
    <t>Neu: KfW40</t>
  </si>
  <si>
    <t>New: EnEV 2016</t>
  </si>
  <si>
    <t>New: KfW55</t>
  </si>
  <si>
    <t>New: KfW40</t>
  </si>
  <si>
    <t>Bestand: Unsanierbar</t>
  </si>
  <si>
    <t>Bestand: Sanierungspaket 1</t>
  </si>
  <si>
    <t>Bestand: Sanierungspaket 2</t>
  </si>
  <si>
    <t>Stock: Landmarked</t>
  </si>
  <si>
    <t>Stock: Refurb. Pack. 1</t>
  </si>
  <si>
    <t>Stock: Refurb. Pack. 2</t>
  </si>
  <si>
    <t>Efficient</t>
  </si>
  <si>
    <t>Effizient</t>
  </si>
  <si>
    <t>Neu: Standard</t>
  </si>
  <si>
    <t>Neu: Effizient</t>
  </si>
  <si>
    <t>New: Standard</t>
  </si>
  <si>
    <t>New: Efficient</t>
  </si>
  <si>
    <t>Biomethan</t>
  </si>
  <si>
    <t>SNG</t>
  </si>
  <si>
    <t>Bio methane</t>
  </si>
  <si>
    <t>Import-SNG</t>
  </si>
  <si>
    <t>Hochtemperatur (&gt;500°C)</t>
  </si>
  <si>
    <t>Mitteltemperatur (100-500°C)</t>
  </si>
  <si>
    <t>Niedertemperatur (&lt;100°C)</t>
  </si>
  <si>
    <t>E-IndustrialFurnace to PH3Hub</t>
  </si>
  <si>
    <t>LS-E-Boiler to HTHHub</t>
  </si>
  <si>
    <t>El. HP</t>
  </si>
  <si>
    <t>Holzpellets</t>
  </si>
  <si>
    <t>Stahl</t>
  </si>
  <si>
    <t>CC-share</t>
  </si>
  <si>
    <t>Cement Prod.</t>
  </si>
  <si>
    <t>Cement Prod. (CC)</t>
  </si>
  <si>
    <t>Zementwerk</t>
  </si>
  <si>
    <t>Zementwerk (CC)</t>
  </si>
  <si>
    <t>Elektrolichtbogenofen</t>
  </si>
  <si>
    <t>Konv. Stahlwerk</t>
  </si>
  <si>
    <t>Conv. Steelworks</t>
  </si>
  <si>
    <t>Kohle/Koks</t>
  </si>
  <si>
    <t>Hard coal</t>
  </si>
  <si>
    <t>Glass</t>
  </si>
  <si>
    <t>Erdgas Glassschmelze</t>
  </si>
  <si>
    <t>Fuel oil</t>
  </si>
  <si>
    <t>Ceramics</t>
  </si>
  <si>
    <t>Keramik</t>
  </si>
  <si>
    <t>LS-E-boiler to HTHHub</t>
  </si>
  <si>
    <t>Final energy consumption in transport (c. 2005)</t>
  </si>
  <si>
    <t>Primärnenergiebedarf</t>
  </si>
  <si>
    <t>Endenegieverbrauch</t>
  </si>
  <si>
    <t>Bruttostromerzeugung</t>
  </si>
  <si>
    <t>Sanierungsrate WG</t>
  </si>
  <si>
    <t>Sanierungsrate NWG</t>
  </si>
  <si>
    <t>Sanierungsrate Gebäude</t>
  </si>
  <si>
    <t>CO2 Emissionen (ges.)</t>
  </si>
  <si>
    <t>Endenegieverbrauch (Gebäude)</t>
  </si>
  <si>
    <t>Endenegieverbrauch (Transport)</t>
  </si>
  <si>
    <t>Endenegieverbrauch (Industrie)</t>
  </si>
  <si>
    <t>Bestandsgebäude</t>
  </si>
  <si>
    <t>Stock</t>
  </si>
  <si>
    <t>Fläche</t>
  </si>
  <si>
    <t>kWh/m^2*a</t>
  </si>
  <si>
    <t>Ges.</t>
  </si>
  <si>
    <t>Conv. Fuels</t>
  </si>
  <si>
    <t>Renew. Fuels</t>
  </si>
  <si>
    <t>Umwandlungssektor</t>
  </si>
  <si>
    <t>Infrastrukturen</t>
  </si>
  <si>
    <t>Speicher</t>
  </si>
  <si>
    <t>Erneuerbare Kraftstoffe</t>
  </si>
  <si>
    <t>Konv. Kraftstoffe</t>
  </si>
  <si>
    <t>Importquote</t>
  </si>
  <si>
    <t>Ad. Compressed Air Storage</t>
  </si>
  <si>
    <t>Ad. Druckluftspeicher</t>
  </si>
  <si>
    <t>Dieselmix</t>
  </si>
  <si>
    <t>Gasolinemix</t>
  </si>
  <si>
    <t>FCEV</t>
  </si>
  <si>
    <t>Energy - reelectrification</t>
  </si>
  <si>
    <t>Umwandlung - Rückverstromung</t>
  </si>
  <si>
    <t>Energy - methanization</t>
  </si>
  <si>
    <t>Umwandlung - Methanisierung</t>
  </si>
  <si>
    <t>Energy - Fischer Tropsch</t>
  </si>
  <si>
    <t>Umwandlung - Fischer Tropsch</t>
  </si>
  <si>
    <t>Building - heat</t>
  </si>
  <si>
    <t>Gebäude - Wärme</t>
  </si>
  <si>
    <t>Industry - steel</t>
  </si>
  <si>
    <t>Industrie - Stahl</t>
  </si>
  <si>
    <t>Industry - process heat</t>
  </si>
  <si>
    <t>Industrie - Prozesswärme</t>
  </si>
  <si>
    <t>Transport - cars &amp; LDV</t>
  </si>
  <si>
    <t>Verkehr - Pkw &amp; Kl.-Transp.</t>
  </si>
  <si>
    <t>Transport - HDV</t>
  </si>
  <si>
    <t>Verkehr - Lkw</t>
  </si>
  <si>
    <t>Transport - busses</t>
  </si>
  <si>
    <t>Verkehr - Busse</t>
  </si>
  <si>
    <t>Transport - trains</t>
  </si>
  <si>
    <t>Verkehr - Züge</t>
  </si>
  <si>
    <t>rSOC</t>
  </si>
  <si>
    <t>liq. Biomass</t>
  </si>
  <si>
    <t>fl. Biomasse</t>
  </si>
  <si>
    <t>feste Biomasse</t>
  </si>
  <si>
    <t>Bio coal</t>
  </si>
  <si>
    <t>Bio oil</t>
  </si>
  <si>
    <t>Mineral oil</t>
  </si>
  <si>
    <t>Electrolysis</t>
  </si>
  <si>
    <t>Elektrolyse</t>
  </si>
  <si>
    <t>Reformierung</t>
  </si>
  <si>
    <t>Biomass Gasification</t>
  </si>
  <si>
    <t>Biomasse-Vergasung</t>
  </si>
  <si>
    <t>Fos. Erdgas</t>
  </si>
  <si>
    <t>Energy - Power</t>
  </si>
  <si>
    <t>Energy - CHP</t>
  </si>
  <si>
    <t>Energy - Heat</t>
  </si>
  <si>
    <t>Energy - Reformer</t>
  </si>
  <si>
    <t>Energie - Strom</t>
  </si>
  <si>
    <t>Energie - KWK</t>
  </si>
  <si>
    <t>Energie - Wärme</t>
  </si>
  <si>
    <t>Energie - Reformer</t>
  </si>
  <si>
    <t>El. Import</t>
  </si>
  <si>
    <t>Gesamtsystemkosten</t>
  </si>
  <si>
    <t>Nuclear energy</t>
  </si>
  <si>
    <t>Dachflächen-PV</t>
  </si>
  <si>
    <t>PV (rooftop)</t>
  </si>
  <si>
    <t>PV (open field)</t>
  </si>
  <si>
    <t>Wind (onshore)</t>
  </si>
  <si>
    <t>Wind (offshore)</t>
  </si>
  <si>
    <t>Hydro power</t>
  </si>
  <si>
    <t>El.-Import</t>
  </si>
  <si>
    <t>EE-Anteil</t>
  </si>
  <si>
    <t>EE-Anteil Bruttostromerzeugung</t>
  </si>
  <si>
    <t>Total HH-Geräte</t>
  </si>
  <si>
    <t>Anzahl Pkw [Mio.]</t>
  </si>
  <si>
    <t>Anzahl Haushalte [Mio]</t>
  </si>
  <si>
    <t>Wohngebäudeentwicklung</t>
  </si>
  <si>
    <t>El.-Share</t>
  </si>
  <si>
    <t>Anteil BEV</t>
  </si>
  <si>
    <t>Stromverbrauch (Haushaltsgeräte) in kWh/HH*a</t>
  </si>
  <si>
    <t>Sum</t>
  </si>
  <si>
    <t>Anteil Wärmepumpen</t>
  </si>
  <si>
    <t>Stromverbrauch in Haushalten</t>
  </si>
  <si>
    <t>Anteil en. Sanierungen (WG)</t>
  </si>
  <si>
    <t>Anteil en. Sanierungen</t>
  </si>
  <si>
    <t>Anteil en. Sanierungen (NWG)</t>
  </si>
  <si>
    <t>Diesel train</t>
  </si>
  <si>
    <t>El. Train</t>
  </si>
  <si>
    <t>Dieselzug</t>
  </si>
  <si>
    <t>El. Zug</t>
  </si>
  <si>
    <t>FC-Zug</t>
  </si>
  <si>
    <t>Carbon Capture</t>
  </si>
  <si>
    <t>CO2-Abscheidung</t>
  </si>
  <si>
    <t>Buttowertschöpfung (IND)</t>
  </si>
  <si>
    <t>Prozesswärmebedarf (IND)</t>
  </si>
  <si>
    <t>Strombedarf (IND)</t>
  </si>
  <si>
    <t>High temp. (&gt;500°C)</t>
  </si>
  <si>
    <t>Mid-temp. (100-500°C)</t>
  </si>
  <si>
    <t>Low temp. (&lt;100°C)</t>
  </si>
  <si>
    <t>ref 2030</t>
  </si>
  <si>
    <t>Model 2030</t>
  </si>
  <si>
    <t>80% Sz.</t>
  </si>
  <si>
    <t>95% Sz.</t>
  </si>
  <si>
    <t>CO2-Emissionen</t>
  </si>
  <si>
    <t>Sonstige THG</t>
  </si>
  <si>
    <t>Soll</t>
  </si>
  <si>
    <t>Inst. Kapazität in GW</t>
  </si>
  <si>
    <t>PtX (sonstige)</t>
  </si>
  <si>
    <t>PtX (Elektrolyse)</t>
  </si>
  <si>
    <t>PtX (electrolysis)</t>
  </si>
  <si>
    <t>PtX (others)</t>
  </si>
  <si>
    <t>PIH-CIEV</t>
  </si>
  <si>
    <t>PIH-FCEV</t>
  </si>
  <si>
    <t>PIH-SIEV</t>
  </si>
  <si>
    <t>CIE-HDV</t>
  </si>
  <si>
    <t>BE-HDV</t>
  </si>
  <si>
    <t>OHW-HDV</t>
  </si>
  <si>
    <t>FCE-HDV</t>
  </si>
  <si>
    <t>SI-HDV</t>
  </si>
  <si>
    <t>CIE-LDV</t>
  </si>
  <si>
    <t>BE-LDV</t>
  </si>
  <si>
    <t>FCE-LDV</t>
  </si>
  <si>
    <t>SI-LDV</t>
  </si>
  <si>
    <t>CIE-Bus</t>
  </si>
  <si>
    <t>FCE-Bus</t>
  </si>
  <si>
    <t>SI-Bus</t>
  </si>
  <si>
    <t>Diesel Train (PT)</t>
  </si>
  <si>
    <t>Diesel Train (FT)</t>
  </si>
  <si>
    <t>Diesel-Personenzug</t>
  </si>
  <si>
    <t>Oberleistungs-Personenzug</t>
  </si>
  <si>
    <t>FCE-Train (PT)</t>
  </si>
  <si>
    <t>OHW-Train (PT)</t>
  </si>
  <si>
    <t>Brennstoffzellen-Personenzug</t>
  </si>
  <si>
    <t>OHW-Train (FT)</t>
  </si>
  <si>
    <t>FCE-Train (FT)</t>
  </si>
  <si>
    <t>Diesel-Güterzug</t>
  </si>
  <si>
    <t>Oberleistungs-Güterzug</t>
  </si>
  <si>
    <t>Brennstoffzellen-Güterzug</t>
  </si>
  <si>
    <t>Plane (FT)</t>
  </si>
  <si>
    <t>Plane (PT)</t>
  </si>
  <si>
    <t>(H-)CIEV</t>
  </si>
  <si>
    <t>(H-)SIEV</t>
  </si>
  <si>
    <t>(H-)CIEV (fossil)</t>
  </si>
  <si>
    <t>(H-)CIEV (PtL)</t>
  </si>
  <si>
    <t>(H-)CIEV (Biodiesel)</t>
  </si>
  <si>
    <t>(H-)SIEV (fossil)</t>
  </si>
  <si>
    <t>(H-)SIEV (PtL)</t>
  </si>
  <si>
    <t>(H-)SIEV (E85)</t>
  </si>
  <si>
    <t>(H-)SIEV (CNG/SNG)</t>
  </si>
  <si>
    <t>Hybrid Cars</t>
  </si>
  <si>
    <t>HDV</t>
  </si>
  <si>
    <t>LDV</t>
  </si>
  <si>
    <t>Train (PT)</t>
  </si>
  <si>
    <t>Train (FT)</t>
  </si>
  <si>
    <t>Trains</t>
  </si>
  <si>
    <t>Buses</t>
  </si>
  <si>
    <t>Personenzüge</t>
  </si>
  <si>
    <t>Güterzüge</t>
  </si>
  <si>
    <t>Frachtflugzeuge</t>
  </si>
  <si>
    <t>Personenflugzeuge</t>
  </si>
  <si>
    <t>Oberleitungsbusse</t>
  </si>
  <si>
    <t>OHW-Busses</t>
  </si>
  <si>
    <t>Busses</t>
  </si>
  <si>
    <t>OHW-LKW</t>
  </si>
  <si>
    <t>BE-LKW</t>
  </si>
  <si>
    <t>I</t>
  </si>
  <si>
    <t>T</t>
  </si>
  <si>
    <t>E</t>
  </si>
  <si>
    <t>G</t>
  </si>
  <si>
    <t>Sektor</t>
  </si>
  <si>
    <t>CO2-Sink</t>
  </si>
  <si>
    <t>AppliancesRecycling</t>
  </si>
  <si>
    <t>BasicOxygenFurnace</t>
  </si>
  <si>
    <t>Bauxite-Source</t>
  </si>
  <si>
    <t>BayerProcess</t>
  </si>
  <si>
    <t>BlastFurnace</t>
  </si>
  <si>
    <t>CH4Pyrolysis</t>
  </si>
  <si>
    <t>Coke-Source</t>
  </si>
  <si>
    <t>ConstructionRecycling</t>
  </si>
  <si>
    <t>HaberBoschConv</t>
  </si>
  <si>
    <t>HallHeroultProcess</t>
  </si>
  <si>
    <t>MachineryRecycling</t>
  </si>
  <si>
    <t>MethanolBiomass</t>
  </si>
  <si>
    <t>MethanolConv</t>
  </si>
  <si>
    <t>MethanolGasification</t>
  </si>
  <si>
    <t>SteelScrap-Source</t>
  </si>
  <si>
    <t>VehicleRecycling</t>
  </si>
  <si>
    <t>AluminumSmelter to AluminumHub</t>
  </si>
  <si>
    <t>BasicOxygenFurnace to SteelHub</t>
  </si>
  <si>
    <t>BauxiteHub to BayerProcess</t>
  </si>
  <si>
    <t>BayerProcess to AluminaHub</t>
  </si>
  <si>
    <t>BayerProcess to RedMudHub</t>
  </si>
  <si>
    <t>CH4Hub2 to BasicOxygenFurnace</t>
  </si>
  <si>
    <t>CH4Hub2 to BlastFurnace</t>
  </si>
  <si>
    <t>CH4Hub2 to CH4Pyrolysis</t>
  </si>
  <si>
    <t>CH4Pyrolysis to H2GridHub</t>
  </si>
  <si>
    <t>CO2Hub to MethanolH2</t>
  </si>
  <si>
    <t>CO2Hub to UreaConv</t>
  </si>
  <si>
    <t>CO2Hub to UreaH2</t>
  </si>
  <si>
    <t>Cl2Diaphragm to Cl2Hub</t>
  </si>
  <si>
    <t>Cl2Diaphragm to H2GridHub</t>
  </si>
  <si>
    <t>Cl2Hub to Cl2-IDemand</t>
  </si>
  <si>
    <t>Cl2Membrane to Cl2Hub</t>
  </si>
  <si>
    <t>Cl2Membrane to H2GridHub</t>
  </si>
  <si>
    <t>CoalHub to BlastFurnace</t>
  </si>
  <si>
    <t>CokeHub to BlastFurnace</t>
  </si>
  <si>
    <t>CokeHub to HallHeroultProcess</t>
  </si>
  <si>
    <t>Demand-EHub to AluminumSmelter</t>
  </si>
  <si>
    <t>Demand-EHub to BasicOxygenFurnace</t>
  </si>
  <si>
    <t>Demand-EHub to BlastFurnace</t>
  </si>
  <si>
    <t>Demand-EHub to Cl2Diaphragm</t>
  </si>
  <si>
    <t>Demand-EHub to Cl2Membrane</t>
  </si>
  <si>
    <t>Demand-EHub to HaberBoschConv</t>
  </si>
  <si>
    <t>Demand-EHub to HaberBoschH2</t>
  </si>
  <si>
    <t>Demand-EHub to HallHeroultProcess</t>
  </si>
  <si>
    <t>Demand-EHub to InertAnodeElectrolysis</t>
  </si>
  <si>
    <t>Demand-EHub to MethanolBiomass</t>
  </si>
  <si>
    <t>Demand-EHub to MethanolConv</t>
  </si>
  <si>
    <t>Demand-EHub to MethanolH2</t>
  </si>
  <si>
    <t>Demand-EHub to UreaConv</t>
  </si>
  <si>
    <t>Demand-EHub to UreaH2</t>
  </si>
  <si>
    <t>H2GridHub to HaberBoschH2</t>
  </si>
  <si>
    <t>H2GridHub to MethanolH2</t>
  </si>
  <si>
    <t>H2KilometerHubH2NRW-TSource to H2KilometerHub</t>
  </si>
  <si>
    <t>HTPHHub to BayerProcess</t>
  </si>
  <si>
    <t>HTPHHub to Cl2Membrane</t>
  </si>
  <si>
    <t>HTPHHub to HaberBoschConv</t>
  </si>
  <si>
    <t>HTPHHub to HallHeroultProcess</t>
  </si>
  <si>
    <t>HTPHHub to MethanolBiomass</t>
  </si>
  <si>
    <t>HTPHHub to UreaH2</t>
  </si>
  <si>
    <t>HaberBoschH2 to NH3greenHub</t>
  </si>
  <si>
    <t>HallHeroultProcess to AluminumHub</t>
  </si>
  <si>
    <t>HeavyOilHub to MethanolGasification</t>
  </si>
  <si>
    <t>InertAnodeElectrolysis to AluminumHub</t>
  </si>
  <si>
    <t>MethanolHub to Methanol-IDemand</t>
  </si>
  <si>
    <t>NH3Hub to NH3-IDemand</t>
  </si>
  <si>
    <t>NH3convHub to UreaConv</t>
  </si>
  <si>
    <t>NH3greenHub to UreaH2</t>
  </si>
  <si>
    <t>PCarDemandHubH2NRW-TSource to PCarDemandHub</t>
  </si>
  <si>
    <t>RoadPTDemandHubH2NRW-TSource to RoadPTDemandHub</t>
  </si>
  <si>
    <t>SteelScrapHub to BasicOxygenFurnace</t>
  </si>
  <si>
    <t>UreaConv to UreaHub</t>
  </si>
  <si>
    <t>UreaH2 to UreaHub</t>
  </si>
  <si>
    <t>UreaHub to Urea-IDemand</t>
  </si>
  <si>
    <t>Demand-Ehub to AluminumSmelter</t>
  </si>
  <si>
    <t>Demand-Ehub to InertAnodeElectrolysis</t>
  </si>
  <si>
    <t>Demand-Ehub to haberboschconv</t>
  </si>
  <si>
    <t>Demand-ehub to Haberboschh2</t>
  </si>
  <si>
    <t>Demand-ehub to ureaconv</t>
  </si>
  <si>
    <t>demand-ehub to ureah2</t>
  </si>
  <si>
    <t>demand-ehub to methanolconv</t>
  </si>
  <si>
    <t>demand-ehub to methanolbiomass</t>
  </si>
  <si>
    <t>demand-ehub to methanolh2</t>
  </si>
  <si>
    <t>demand-ehub to cl2diaphragm</t>
  </si>
  <si>
    <t>demand-ehub to methanolgasification</t>
  </si>
  <si>
    <t>demand-ehub to cl2membrane</t>
  </si>
  <si>
    <t>CH4hub2 to basicoxygenfurnace</t>
  </si>
  <si>
    <t>CH4Hub2 to C-CH4tocementpheat</t>
  </si>
  <si>
    <t>H2gridhub to Haberboschh2</t>
  </si>
  <si>
    <t>H2gridhub to methanolh2</t>
  </si>
  <si>
    <t>H2gridhub to c-h2tocementpheat</t>
  </si>
  <si>
    <t>coalhub to c-coaltocementpheat</t>
  </si>
  <si>
    <t>fueloilhub to c-oiltocementpheat</t>
  </si>
  <si>
    <t>lignitehub to c-lignitetocementpheat</t>
  </si>
  <si>
    <t>coalhub to blastfurnace</t>
  </si>
  <si>
    <t>cokehub to blastfurnace</t>
  </si>
  <si>
    <t>Electricity demand</t>
  </si>
  <si>
    <t>Coke demand</t>
  </si>
  <si>
    <t>cokehub to hallheroultprocess</t>
  </si>
  <si>
    <t>Coal demand</t>
  </si>
  <si>
    <t>Fuel oil demand</t>
  </si>
  <si>
    <t>CH4 demand</t>
  </si>
  <si>
    <t>H2 demand</t>
  </si>
  <si>
    <t>Lignite demand</t>
  </si>
  <si>
    <t>Waste demand</t>
  </si>
  <si>
    <t>System costs</t>
  </si>
  <si>
    <t>Aluminumscrap-source</t>
  </si>
  <si>
    <t>HallHeroultprocess</t>
  </si>
  <si>
    <t>aluminumSmelter</t>
  </si>
  <si>
    <t>Inertanodeelectrolysis</t>
  </si>
  <si>
    <t>Haberboschconv</t>
  </si>
  <si>
    <t>Haberboschh2</t>
  </si>
  <si>
    <t>ureaconv</t>
  </si>
  <si>
    <t>ureah2</t>
  </si>
  <si>
    <t>methanolconv</t>
  </si>
  <si>
    <t>methanolh2</t>
  </si>
  <si>
    <t>methanolbiomass</t>
  </si>
  <si>
    <t>cl2membrane</t>
  </si>
  <si>
    <t>cl2diaphragm</t>
  </si>
  <si>
    <t>methanolgasification</t>
  </si>
  <si>
    <t>carbonstorage-sink</t>
  </si>
  <si>
    <t>Direct reduction CH4</t>
  </si>
  <si>
    <t>CH4 Pyrolysis</t>
  </si>
  <si>
    <t>HaberBosch</t>
  </si>
  <si>
    <t>Methanol</t>
  </si>
  <si>
    <t>Blast furnace</t>
  </si>
  <si>
    <t>Basic oxygen furnace</t>
  </si>
  <si>
    <t>Direktreduktion CH4</t>
  </si>
  <si>
    <t>Direktreduktion H2</t>
  </si>
  <si>
    <t>Hochofen</t>
  </si>
  <si>
    <t>Sauerstoffblasverfahren</t>
  </si>
  <si>
    <t>Haber Bosch</t>
  </si>
  <si>
    <t>Ch4Hub2 to CH4Pyrolysis</t>
  </si>
  <si>
    <t>H2GT to transgrid-ehub</t>
  </si>
  <si>
    <t>h2ccpp to transgrid-ehub</t>
  </si>
  <si>
    <t>Demand-EHUb to blastfurnace</t>
  </si>
  <si>
    <t>Demand-Ehub to basicoxygenfurnace</t>
  </si>
  <si>
    <t>Demand-Ehub to Hallheroultprocess</t>
  </si>
  <si>
    <t>Demand-Ehub to aluminumsmelter</t>
  </si>
  <si>
    <t>Demand-Ehub to inertanodeelectrolysis</t>
  </si>
  <si>
    <t>Demand-Ehub to ureaconv</t>
  </si>
  <si>
    <t>Demand-Ehub to cl2membrane</t>
  </si>
  <si>
    <t>Demand-Ehub to methanolconv</t>
  </si>
  <si>
    <t>Demand-Ehub to methanolh2</t>
  </si>
  <si>
    <t>Demand-Ehub to methanolbiomass</t>
  </si>
  <si>
    <t>Demand-Ehub to methanolgasification</t>
  </si>
  <si>
    <t>Demand-Ehub to ureah2</t>
  </si>
  <si>
    <t>Demand-Ehub to cl2diaphragm</t>
  </si>
  <si>
    <t>Demand-ehub to CH4Pyrolysis</t>
  </si>
  <si>
    <t>H2CCPP to transgrid-ehub</t>
  </si>
  <si>
    <t>LS-FuelCell to distrgrid-ehub</t>
  </si>
  <si>
    <t>LS-SOFC to distrgrid-ehub</t>
  </si>
  <si>
    <t>H2MiniCHP to distrgrid-ehub</t>
  </si>
  <si>
    <t>strawtofuel</t>
  </si>
  <si>
    <t>woodtofuel</t>
  </si>
  <si>
    <t>strawtofuel to demand-ehub</t>
  </si>
  <si>
    <t>woodtofuel to demand-ehub</t>
  </si>
  <si>
    <t>Aluminum</t>
  </si>
  <si>
    <t>Aluminium</t>
  </si>
  <si>
    <t>Ammonia</t>
  </si>
  <si>
    <t>Ammoniak</t>
  </si>
  <si>
    <t>Urea</t>
  </si>
  <si>
    <t>Harnstoff</t>
  </si>
  <si>
    <t>Chlorine</t>
  </si>
  <si>
    <t>Chlor</t>
  </si>
  <si>
    <t>HTPHHub to methanolbiomass</t>
  </si>
  <si>
    <t>Methanol Biomasse</t>
  </si>
  <si>
    <t>Bayer process</t>
  </si>
  <si>
    <t>Bayer Prozess</t>
  </si>
  <si>
    <t>Hall Heroult Process</t>
  </si>
  <si>
    <t>Hall Heroult Prozess</t>
  </si>
  <si>
    <t>HTPHHub to bayerprocess</t>
  </si>
  <si>
    <t>HTPHHub to hallheroultprocess</t>
  </si>
  <si>
    <t>HTPHHub to haberboschconv</t>
  </si>
  <si>
    <t>HTPHHub to ureah2</t>
  </si>
  <si>
    <t>HTPHHub to Cl2membrane</t>
  </si>
  <si>
    <t>HTPHHub to CL2diaphragm</t>
  </si>
  <si>
    <t>Cl2 membrane</t>
  </si>
  <si>
    <t>Cl2 Membran</t>
  </si>
  <si>
    <t>Cl2 diaphragm</t>
  </si>
  <si>
    <t>Cl2 Diaphragma</t>
  </si>
  <si>
    <t>Pig Iron Production</t>
  </si>
  <si>
    <t>Roheisen Herstellung</t>
  </si>
  <si>
    <t>Hall Heroult process</t>
  </si>
  <si>
    <t>Aluminum smelter</t>
  </si>
  <si>
    <t>Aluminium Schmelzofen</t>
  </si>
  <si>
    <t>Bauxite</t>
  </si>
  <si>
    <t>Bauxit</t>
  </si>
  <si>
    <t>Red mud</t>
  </si>
  <si>
    <t>Recycled steel</t>
  </si>
  <si>
    <t>Share of recycled steel</t>
  </si>
  <si>
    <t>Stahl Produktion</t>
  </si>
  <si>
    <t>Coke</t>
  </si>
  <si>
    <t>Koks</t>
  </si>
  <si>
    <t>Inert anode electrolysis</t>
  </si>
  <si>
    <t>Elektrolyse mit inerter Anode</t>
  </si>
  <si>
    <t>Share of H2 direct reduction</t>
  </si>
  <si>
    <t>Anteil H2 Direktreduktion</t>
  </si>
  <si>
    <t>Share of CH4 direct reduction</t>
  </si>
  <si>
    <t>Anteil CH4 Direktreduktion</t>
  </si>
  <si>
    <t>Naphtha</t>
  </si>
  <si>
    <t>conventional methanol</t>
  </si>
  <si>
    <t>conventional urea</t>
  </si>
  <si>
    <t>konventioneller Harnstoff</t>
  </si>
  <si>
    <t>NH3Coll2 to NH3Hub</t>
  </si>
  <si>
    <t>biomass based methanol</t>
  </si>
  <si>
    <t>Biomasse-basiertes Methanol</t>
  </si>
  <si>
    <t>hydrogen based urea</t>
  </si>
  <si>
    <t>Wasserstoff-basierter Harnstoff</t>
  </si>
  <si>
    <t>NH3Coll1 to NH3Hub</t>
  </si>
  <si>
    <t>hydrogen based methanol</t>
  </si>
  <si>
    <t>Wasserstoff-basiertes Methanol</t>
  </si>
  <si>
    <t>total urea production</t>
  </si>
  <si>
    <t>gesamte Harnstoffproduktion</t>
  </si>
  <si>
    <t>conventional ammonia</t>
  </si>
  <si>
    <t>konventionelles Ammoniak</t>
  </si>
  <si>
    <t>membrane chlorine</t>
  </si>
  <si>
    <t>Membran Chlor</t>
  </si>
  <si>
    <t>total methanol production</t>
  </si>
  <si>
    <t>gesamte Methanolproduktion</t>
  </si>
  <si>
    <t>hydrogen based ammonia</t>
  </si>
  <si>
    <t>Wasserstoff-basiertes Ammoniak</t>
  </si>
  <si>
    <t>diaphragm chlorine</t>
  </si>
  <si>
    <t>Diaphragma Chlor</t>
  </si>
  <si>
    <t>Rohbenzin</t>
  </si>
  <si>
    <t>Refinery methanol</t>
  </si>
  <si>
    <t>Chub to CarbonStorage-Sink</t>
  </si>
  <si>
    <t>Chub to CarbonToCoke</t>
  </si>
  <si>
    <t>demand-Ehub to methanolgasification</t>
  </si>
  <si>
    <t>HeavyOilHub to Methanolgasification</t>
  </si>
  <si>
    <t>Fueloilhub to methanolgasification</t>
  </si>
  <si>
    <t>Crude oil</t>
  </si>
  <si>
    <t>Rohöl</t>
  </si>
  <si>
    <t>sum</t>
  </si>
  <si>
    <t xml:space="preserve"> Summe</t>
  </si>
  <si>
    <t>Ratio CH4 to H2</t>
  </si>
  <si>
    <t>Cl2Membrane to H2gridHub</t>
  </si>
  <si>
    <t>CL2Diaphragm to h2gridhub</t>
  </si>
  <si>
    <t>Anteil an Wohnfläche bezogen auf 2020</t>
  </si>
  <si>
    <t>Anteil an Wohnlfäche bezogen auf 2020</t>
  </si>
  <si>
    <t>Energie - Pyrolyse</t>
  </si>
  <si>
    <t>Energy - Pyrolysis</t>
  </si>
  <si>
    <t>CH4 Pyrolyse</t>
  </si>
  <si>
    <t>Methan-Pyrolyse</t>
  </si>
  <si>
    <t>Industry - methanol</t>
  </si>
  <si>
    <t>Industry - ammonia</t>
  </si>
  <si>
    <t>Industrie - Methanol</t>
  </si>
  <si>
    <t>Industrie - Ammoniak</t>
  </si>
  <si>
    <t>Demand</t>
  </si>
  <si>
    <t>Total person trains</t>
  </si>
  <si>
    <t>Total freight trains</t>
  </si>
  <si>
    <t>Pyr H2</t>
  </si>
  <si>
    <t>CH4Pyrolysis to H2gridHub</t>
  </si>
  <si>
    <t>High temperature process heat</t>
  </si>
  <si>
    <t>Medium temperature process heat</t>
  </si>
  <si>
    <t>Coal/Coke</t>
  </si>
  <si>
    <t>c-wastetocementpheat to cementheathub</t>
  </si>
  <si>
    <t>Industrial Furnaces</t>
  </si>
  <si>
    <t>Demand-ehub to E-IndustrialFurnace</t>
  </si>
  <si>
    <t>H2gridhub to H2IndustrialFurnace</t>
  </si>
  <si>
    <t>Fueloilhub to OilIndustrialFurnace</t>
  </si>
  <si>
    <t>E-Industrial Furnace</t>
  </si>
  <si>
    <t>Elektro-Industrieofen</t>
  </si>
  <si>
    <t>biocoal</t>
  </si>
  <si>
    <t>biocrudeoil</t>
  </si>
  <si>
    <t>coal</t>
  </si>
  <si>
    <t>electricity</t>
  </si>
  <si>
    <t>fueloil</t>
  </si>
  <si>
    <t>HTHhub to wasteheatutil</t>
  </si>
  <si>
    <t>HTHHub to t-heattomtheat</t>
  </si>
  <si>
    <t>HTHHub to heatexchanger</t>
  </si>
  <si>
    <t>heatexchanger to hthgridhub</t>
  </si>
  <si>
    <t>hthgridhub to htgrid</t>
  </si>
  <si>
    <t>htgrid to dhhub</t>
  </si>
  <si>
    <t>wasteheatutil to dhhub</t>
  </si>
  <si>
    <t>t-heattomtheat to mtphhub</t>
  </si>
  <si>
    <t>share to MTPHHub</t>
  </si>
  <si>
    <t>share to DHHub</t>
  </si>
  <si>
    <t>lost in grid</t>
  </si>
  <si>
    <t>pellet</t>
  </si>
  <si>
    <t>waste</t>
  </si>
  <si>
    <t>coalhub to coalHP</t>
  </si>
  <si>
    <t>Ch4Hub2 to gasHP</t>
  </si>
  <si>
    <t>fueloilhub to oilHP</t>
  </si>
  <si>
    <t>woodpellethub to pellethp</t>
  </si>
  <si>
    <t>wastehub to wastehp</t>
  </si>
  <si>
    <t>demand-ehub to ls-e-boiler</t>
  </si>
  <si>
    <t>District Heating</t>
  </si>
  <si>
    <t>Dhhub to dhgrid_ind</t>
  </si>
  <si>
    <t>share to LTPHhub</t>
  </si>
  <si>
    <t>dhhub to dhgrid_ezf</t>
  </si>
  <si>
    <t>dhhub to dhgrid_ezf_new</t>
  </si>
  <si>
    <t>dhhub to dhgrid_GMF</t>
  </si>
  <si>
    <t>dhhub to dhgrid_mf</t>
  </si>
  <si>
    <t>dhhub to dhgrid_mf_new</t>
  </si>
  <si>
    <t>dhhub to dhgrid_nw</t>
  </si>
  <si>
    <t>dhhub to dhgrid_nw_new</t>
  </si>
  <si>
    <t>total dhhub</t>
  </si>
  <si>
    <t>straw</t>
  </si>
  <si>
    <t>wood</t>
  </si>
  <si>
    <t>lignite</t>
  </si>
  <si>
    <t>biogas</t>
  </si>
  <si>
    <t>strawhub to strawhp</t>
  </si>
  <si>
    <t>woodcombhub to woodhp</t>
  </si>
  <si>
    <t>coalhub to coalchp</t>
  </si>
  <si>
    <t>lignitehub to lignitechp</t>
  </si>
  <si>
    <t>ch4hub2 to gaschp</t>
  </si>
  <si>
    <t>ch4hub2 to ccchp</t>
  </si>
  <si>
    <t>strawhub to strawchp_ls</t>
  </si>
  <si>
    <t>woodcombhub to woodchp_ls</t>
  </si>
  <si>
    <t>wastehub to wastechp</t>
  </si>
  <si>
    <t>h2gridhub to h2gt</t>
  </si>
  <si>
    <t>coalchp</t>
  </si>
  <si>
    <t>lignitechp</t>
  </si>
  <si>
    <t>gaschp</t>
  </si>
  <si>
    <t>ccchp</t>
  </si>
  <si>
    <t>strawchp_ls</t>
  </si>
  <si>
    <t>woodchp_ls</t>
  </si>
  <si>
    <t>wastechp</t>
  </si>
  <si>
    <t>h2gt</t>
  </si>
  <si>
    <t>Local Heating</t>
  </si>
  <si>
    <t>MiniCHP to distrgrid-ehub</t>
  </si>
  <si>
    <t>BiogasCHP to distrgrid-ehub</t>
  </si>
  <si>
    <t>WoodCHP_MS to transgrid-ehub</t>
  </si>
  <si>
    <t>WoodCHP_SS to distrgrid-ehub</t>
  </si>
  <si>
    <t>StrawCHP_MS to transgrid-ehub</t>
  </si>
  <si>
    <t>StrawCHP_SS to distrgrid-ehub</t>
  </si>
  <si>
    <t>coalchp to dhhub</t>
  </si>
  <si>
    <t>lignitechp to dhhub</t>
  </si>
  <si>
    <t>gaschp to dhhub</t>
  </si>
  <si>
    <t>ccchp to dhhub</t>
  </si>
  <si>
    <t>strawchp_ls to dhhub</t>
  </si>
  <si>
    <t>woodchp_ls to dhhub</t>
  </si>
  <si>
    <t>wastechp to dhhub</t>
  </si>
  <si>
    <t>h2gt to dhhub</t>
  </si>
  <si>
    <t>coalchp to transgrid-ehub</t>
  </si>
  <si>
    <t>lignitechp to transgrid-ehub</t>
  </si>
  <si>
    <t>gaschp to transgrid-ehub</t>
  </si>
  <si>
    <t>ccchp to transgrid-ehub</t>
  </si>
  <si>
    <t>strawchp_ls to transgrid-ehub</t>
  </si>
  <si>
    <t>woodchp_ls to transgrid-ehub</t>
  </si>
  <si>
    <t>wastechp to transgrid-ehub</t>
  </si>
  <si>
    <t>h2gt to transgrid-ehub</t>
  </si>
  <si>
    <t>demand-ehub to LS-Heatpump</t>
  </si>
  <si>
    <t>demand-ehub to ElectroVessel</t>
  </si>
  <si>
    <t>woodpellethub to PelletBoiler_LS</t>
  </si>
  <si>
    <t>hh-h2hub to H2MiniCHP</t>
  </si>
  <si>
    <t>ch4hub2 to MiniCHP</t>
  </si>
  <si>
    <t>biogashub to BiogasCHP</t>
  </si>
  <si>
    <t>woodcombhub to WoodCHP_MS</t>
  </si>
  <si>
    <t>woodcombhub to WoodCHP_SS</t>
  </si>
  <si>
    <t>strawhub to StrawCHP_MS</t>
  </si>
  <si>
    <t>strawhub to StrawCHP_SS</t>
  </si>
  <si>
    <t>h2gridhub to LS-SOFC</t>
  </si>
  <si>
    <t>LHHub to Lhgrid_EZF</t>
  </si>
  <si>
    <t>LHHub to Lhgrid_GMF</t>
  </si>
  <si>
    <t>LHHub to Lhgrid_Ind</t>
  </si>
  <si>
    <t>LHHub to Lhgrid_MF</t>
  </si>
  <si>
    <t>LHHub to Lhgrid_NW</t>
  </si>
  <si>
    <t>total lhhub</t>
  </si>
  <si>
    <t>share to ltphhub</t>
  </si>
  <si>
    <t>District Heat</t>
  </si>
  <si>
    <t>biocaol</t>
  </si>
  <si>
    <t>Fueloil</t>
  </si>
  <si>
    <t>Steinkohle/Koks</t>
  </si>
  <si>
    <t>Steel scrap and DRI</t>
  </si>
  <si>
    <t>Stahlschrott und DRI</t>
  </si>
  <si>
    <t>CH4 DRI</t>
  </si>
  <si>
    <t>H2 DRI</t>
  </si>
  <si>
    <t>H2 steel</t>
  </si>
  <si>
    <t>CH4 steel</t>
  </si>
  <si>
    <t>H2 Stahl</t>
  </si>
  <si>
    <t>CH4 Stahl</t>
  </si>
  <si>
    <t>Recycelter Stahl</t>
  </si>
  <si>
    <t>Anteil recycelter Stahl</t>
  </si>
  <si>
    <t>total</t>
  </si>
  <si>
    <t>Grauer Wasserstoff Industry</t>
  </si>
  <si>
    <t>Grey hydrogen industry</t>
  </si>
  <si>
    <t>Naphtha-Source</t>
  </si>
  <si>
    <t>Plastics2Heat</t>
  </si>
  <si>
    <t>PlasticsMechRecycling</t>
  </si>
  <si>
    <t>Plastics2Heat to WasteHub</t>
  </si>
  <si>
    <t>PlasticsMechRecycling to ScrapPlasticsHub</t>
  </si>
  <si>
    <t>PlasticsWasteHub to Plastics2Heat</t>
  </si>
  <si>
    <t>PlasticsWasteHub to PlasticsLandfill-Sink</t>
  </si>
  <si>
    <t>PlasticsWasteHub to PlasticsMechRecycling</t>
  </si>
  <si>
    <t>Naphtha demand</t>
  </si>
  <si>
    <t>Plastics</t>
  </si>
  <si>
    <t>Gesamt Plastik</t>
  </si>
  <si>
    <t>total plastics</t>
  </si>
  <si>
    <t>Gesamt Rezyklateinsatz</t>
  </si>
  <si>
    <t>plastics waste amount</t>
  </si>
  <si>
    <t>Gesamt Plastik Abfallaufkommen</t>
  </si>
  <si>
    <t>total HVC</t>
  </si>
  <si>
    <t>Gesamt HVC Einsatz</t>
  </si>
  <si>
    <t>plastics waste processing</t>
  </si>
  <si>
    <t>Gesamt Plastik Abfallverwertung</t>
  </si>
  <si>
    <t>Mechanisches Recycling</t>
  </si>
  <si>
    <t>Chemisches Recycling</t>
  </si>
  <si>
    <t>Deponie</t>
  </si>
  <si>
    <t>Landfill</t>
  </si>
  <si>
    <t>Energetic recovery</t>
  </si>
  <si>
    <t>Energetische Verwertung</t>
  </si>
  <si>
    <t>Mech. recycling</t>
  </si>
  <si>
    <t>Chemical recycling</t>
  </si>
  <si>
    <t>Mechanical recycling</t>
  </si>
  <si>
    <t>Mech. recyclate input</t>
  </si>
  <si>
    <t>Chemical by-products</t>
  </si>
  <si>
    <t>DRSyngasCH4</t>
  </si>
  <si>
    <t>DirectReduction</t>
  </si>
  <si>
    <t>CH4Hub2 to DRSyngasCH4</t>
  </si>
  <si>
    <t>DRSyngasHub to DirectReduction</t>
  </si>
  <si>
    <t>Demand-EHub to DirectReduction</t>
  </si>
  <si>
    <t>H2GridHub to DRSyngasH2</t>
  </si>
  <si>
    <t>DRI</t>
  </si>
  <si>
    <t>DRSyngasH2 to drSyngasHub</t>
  </si>
  <si>
    <t>DRSyngasCH4 to drSyngasHub</t>
  </si>
  <si>
    <t>CH4hub2 to drSyngasCH4</t>
  </si>
  <si>
    <t>H2gridhub to drSyngasH2</t>
  </si>
  <si>
    <t>DRIHub to DRI2EAF</t>
  </si>
  <si>
    <t>DirectReduction to DRIHub</t>
  </si>
  <si>
    <t>SteelScrapHub to SS2EAF</t>
  </si>
  <si>
    <t>SteelScrapHub2 to ElectricArcFurnace</t>
  </si>
  <si>
    <t>H2 for PtL</t>
  </si>
  <si>
    <t>ChemRecElectricHeating</t>
  </si>
  <si>
    <t>ChemRecWasteHeating</t>
  </si>
  <si>
    <t>WasteHub to ChemRecWasteHeating</t>
  </si>
  <si>
    <t>Demand-Ehub to ChemRecElectricHeating</t>
  </si>
  <si>
    <t>Total heat</t>
  </si>
  <si>
    <t>Fischer Tropsch</t>
  </si>
  <si>
    <t>Heavy oil</t>
  </si>
  <si>
    <t>Schweröl</t>
  </si>
  <si>
    <t>ChemicalPulping</t>
  </si>
  <si>
    <t>GraphicPaperMachine</t>
  </si>
  <si>
    <t>MechanicalPulping</t>
  </si>
  <si>
    <t>PackagingPaperMachine</t>
  </si>
  <si>
    <t>SanitaryPaperMachine</t>
  </si>
  <si>
    <t>SpecialPaperMachine</t>
  </si>
  <si>
    <t>WPPulping</t>
  </si>
  <si>
    <t>WastePaper-Source</t>
  </si>
  <si>
    <t>BiomassPaper-Source to BiomassPaperHub</t>
  </si>
  <si>
    <t>ChemicalPulping to PulpHub</t>
  </si>
  <si>
    <t>GraphicPaperMachine to GraphicPaperHub</t>
  </si>
  <si>
    <t>GraphicPaperPulpHub to GraphicPaperMachine</t>
  </si>
  <si>
    <t>MechanicalPulping to PulpHub</t>
  </si>
  <si>
    <t>PackagingPaperMachine to PackagingPaperHub</t>
  </si>
  <si>
    <t>PackagingPaperPulpHub to PackagingPaperMachine</t>
  </si>
  <si>
    <t>PaperEHub to GraphicPaperMachine</t>
  </si>
  <si>
    <t>PaperEHub to PackagingPaperMachine</t>
  </si>
  <si>
    <t>PaperEHub to SanitaryPaperMachine</t>
  </si>
  <si>
    <t>PaperEHub to SpecialPaperMachine</t>
  </si>
  <si>
    <t>Pulp2GraphicPulp to GraphicPaperPulpHub</t>
  </si>
  <si>
    <t>Pulp2PackagingPulp to PackagingPaperPulpHub</t>
  </si>
  <si>
    <t>Pulp2SanitaryPulp to SanitaryPaperPulpHub</t>
  </si>
  <si>
    <t>Pulp2SpecialPulp to SpecialPaperPulpHub</t>
  </si>
  <si>
    <t>SanitaryPaperMachine to SanitaryPaperHub</t>
  </si>
  <si>
    <t>SanitaryPaperPulpHub to SanitaryPaperMachine</t>
  </si>
  <si>
    <t>SpecialPaperMachine to SpecialPaperHub</t>
  </si>
  <si>
    <t>SpecialPaperPulpHub to SpecialPaperMachine</t>
  </si>
  <si>
    <t>WPPulping to WPPulpHub</t>
  </si>
  <si>
    <t>WastePaper-Source to WastePaperHub</t>
  </si>
  <si>
    <t>Altpapier</t>
  </si>
  <si>
    <t>Holzstoff</t>
  </si>
  <si>
    <t>Zellstoff</t>
  </si>
  <si>
    <t>Altpapierstoff</t>
  </si>
  <si>
    <t>grafisches Papier</t>
  </si>
  <si>
    <t>Verpackungspapier</t>
  </si>
  <si>
    <t>Hygienepapier</t>
  </si>
  <si>
    <t>Spezialpapier</t>
  </si>
  <si>
    <t>EL2papere to paperehub</t>
  </si>
  <si>
    <t>Strom Gesamt</t>
  </si>
  <si>
    <t>Wärme Gesamt</t>
  </si>
  <si>
    <t>Stromzukauf</t>
  </si>
  <si>
    <t>Fremdwärme</t>
  </si>
  <si>
    <t>wood2paperbiomass to biomasspaperhub</t>
  </si>
  <si>
    <t>interne Biomassrückstände</t>
  </si>
  <si>
    <t>PulpImport-Source</t>
  </si>
  <si>
    <t>PulpImport-Source to PulpHub</t>
  </si>
  <si>
    <t>WPPulp2SanitaryPaperpulp to SanitaryPaperPulpHub</t>
  </si>
  <si>
    <t>WPPulp2GraphicPaperpulp to GraphicPaperPulpHub</t>
  </si>
  <si>
    <t>WPPulp2SpecialPaperpulp to SpecialPaperPulpHub</t>
  </si>
  <si>
    <t>WPPulp2PackagingPaperpulp to PackagingPaperPulpHub</t>
  </si>
  <si>
    <t>Altpapier-Quote</t>
  </si>
  <si>
    <t>MechPulping</t>
  </si>
  <si>
    <t>ChemPulping</t>
  </si>
  <si>
    <t>El / unit</t>
  </si>
  <si>
    <t>Heat / unit</t>
  </si>
  <si>
    <t>waste paper to graphic pulp</t>
  </si>
  <si>
    <t>waste paper to packaging pulp</t>
  </si>
  <si>
    <t>waste paper to sanitary pulp</t>
  </si>
  <si>
    <t>waste paper to special pulp</t>
  </si>
  <si>
    <t>graphic paper machine</t>
  </si>
  <si>
    <t>packaging paper machine</t>
  </si>
  <si>
    <t>Sanitary paper machine</t>
  </si>
  <si>
    <t>Special paper machine</t>
  </si>
  <si>
    <t>El in GWh</t>
  </si>
  <si>
    <t>heat in GWh</t>
  </si>
  <si>
    <t>unit in kt</t>
  </si>
  <si>
    <t>kWh/t</t>
  </si>
  <si>
    <t>Kohle</t>
  </si>
  <si>
    <t>Biomasse(sonstige)</t>
  </si>
  <si>
    <t>in KWK</t>
  </si>
  <si>
    <t>insgesamt Brennstoffeinsatz</t>
  </si>
  <si>
    <t>Einsatz für Wärme</t>
  </si>
  <si>
    <t>KWK Wirkungsgrad</t>
  </si>
  <si>
    <t>BiomassPaperCHP</t>
  </si>
  <si>
    <t>BiomassPaperHP</t>
  </si>
  <si>
    <t>CoalPaperCHP</t>
  </si>
  <si>
    <t>FuelOilPaperCHP</t>
  </si>
  <si>
    <t>GasPaperCHP</t>
  </si>
  <si>
    <t>GasPaperHP</t>
  </si>
  <si>
    <t>HydrogenPaperCHP</t>
  </si>
  <si>
    <t>LignitePaperCHP</t>
  </si>
  <si>
    <t>CH4Hub2 to GasPaperCHP</t>
  </si>
  <si>
    <t>CH4Hub2 to GasPaperHP</t>
  </si>
  <si>
    <t>PaperHHub to GraphicPaperMachine</t>
  </si>
  <si>
    <t>PaperHHub to PackagingPaperMachine</t>
  </si>
  <si>
    <t>PaperHHub to SanitaryPaperMachine</t>
  </si>
  <si>
    <t>PaperHHub to SpecialPaperMachine</t>
  </si>
  <si>
    <t>T-C-PAutomotive to PlasticsWasteHub</t>
  </si>
  <si>
    <t>T-C-PConstruction to PlasticsWasteHub</t>
  </si>
  <si>
    <t>T-C-PElectronics to PlasticsWasteHub</t>
  </si>
  <si>
    <t>T-C-PElse to PlasticsWasteHub</t>
  </si>
  <si>
    <t>T-C-PPackaging to PlasticsWasteHub</t>
  </si>
  <si>
    <t>Biomasspaperchp to paperehub</t>
  </si>
  <si>
    <t>Hydrogenpaperchp to paperehub</t>
  </si>
  <si>
    <t>lignitehub to lignitepaperchp</t>
  </si>
  <si>
    <t>fueloilhub to fueloilpaperchp</t>
  </si>
  <si>
    <t>CH4hub2 to gaspaperchp</t>
  </si>
  <si>
    <t>h2gridhub to hydrogenpaperchp</t>
  </si>
  <si>
    <t>Coalpaperchp to PaperEhub</t>
  </si>
  <si>
    <t>Lignitepaperchp to PaperEhub</t>
  </si>
  <si>
    <t>FuelOilpaperchp to paperEhub</t>
  </si>
  <si>
    <t>Gaspaperchp to paperehub</t>
  </si>
  <si>
    <t>coalhub to Coalpaperchp</t>
  </si>
  <si>
    <t>Coalpaperchp to paperhhub</t>
  </si>
  <si>
    <t>Lignitepaperchp to paperhhub</t>
  </si>
  <si>
    <t>FuelOilpaperchp to paperhhub</t>
  </si>
  <si>
    <t>Gaspaperchp to paperhhub</t>
  </si>
  <si>
    <t>Biomasspaperchp to paperhhub</t>
  </si>
  <si>
    <t>Hydrogenpaperchp to paperhhub</t>
  </si>
  <si>
    <t>mechanicalpulping to paperhhub</t>
  </si>
  <si>
    <t>biomasspaperhp to paperhhub</t>
  </si>
  <si>
    <t>gaspaperhp to paperhhub</t>
  </si>
  <si>
    <t>biomasspaperhub to biomasspaperhp</t>
  </si>
  <si>
    <t>CH4hub2 to gaspaperhp</t>
  </si>
  <si>
    <t>Energieeinsatz</t>
  </si>
  <si>
    <t>KWK input</t>
  </si>
  <si>
    <t>MTPHHub to MTPH2PaperHeat</t>
  </si>
  <si>
    <t>mtphhub to mtph2paperheat</t>
  </si>
  <si>
    <t>Stromeinsatz</t>
  </si>
  <si>
    <t>Gesamtbrennstoffeinsatz 2018</t>
  </si>
  <si>
    <t>Brenstoffe in TWh für KWK in 2017</t>
  </si>
  <si>
    <t>nur für Wärme in % von Gesamteinsatz des jeweiligen Brennstoffes in 2017</t>
  </si>
  <si>
    <t>Wärme produziert in KWK in TWh in 2017</t>
  </si>
  <si>
    <t>Gesamtbrennstoffeinsatz 2017</t>
  </si>
  <si>
    <t>Wärme produziert in HP in TWh in 2017</t>
  </si>
  <si>
    <t>Gesamtwärme in TWh 2017</t>
  </si>
  <si>
    <t>Wärmeeinsatz Fremdwärme in Twh in 2018</t>
  </si>
  <si>
    <t>Gesamtenergieeinsatz</t>
  </si>
  <si>
    <t>nur für Wärme in % von Gesamteinsatz des jeweiligen Brennstoffes in 201</t>
  </si>
  <si>
    <t>Brenstoffe in TWh für KWK in 201</t>
  </si>
  <si>
    <t>Differenz zu Papierverband</t>
  </si>
  <si>
    <t>Distric heating</t>
  </si>
  <si>
    <t>int. residues</t>
  </si>
  <si>
    <t>int. Rückstände</t>
  </si>
  <si>
    <t>Demand-Ehub to EL2PaperE</t>
  </si>
  <si>
    <t>H2GridHub to hydrogenpaperchp</t>
  </si>
  <si>
    <t>coalhub to coalpaperchp</t>
  </si>
  <si>
    <t>Biomass demand</t>
  </si>
  <si>
    <t>GasPaperChp</t>
  </si>
  <si>
    <t>GasPaperHp</t>
  </si>
  <si>
    <t>fueloilpaperCHP</t>
  </si>
  <si>
    <t>Demand-EHub to el2papere</t>
  </si>
  <si>
    <t>biomasspaperhub to biomasspaperchp</t>
  </si>
  <si>
    <t>Anteil externe Biomasse in CHP</t>
  </si>
  <si>
    <t>Anteil externe Biomasse in HP</t>
  </si>
  <si>
    <t>HVCHubH2NRW-Tsource to HVCHub</t>
  </si>
  <si>
    <t>CO2Hub to rWatergasshift</t>
  </si>
  <si>
    <t>CO2</t>
  </si>
  <si>
    <t>Anteil Fischer Tropsch</t>
  </si>
  <si>
    <t>Anteil Strohvergasung</t>
  </si>
  <si>
    <t>Anteil Holzvergasung</t>
  </si>
  <si>
    <t>Strawhub to strawtofuel</t>
  </si>
  <si>
    <t>Cleanwoodhub to woodtofuel</t>
  </si>
  <si>
    <t>FT Gas1</t>
  </si>
  <si>
    <t>FTGas2</t>
  </si>
  <si>
    <t>SS2EAF to steelscraphub2</t>
  </si>
  <si>
    <t>DRI2EAF to steelscraphub2</t>
  </si>
  <si>
    <t>HeavyOil-Sink</t>
  </si>
  <si>
    <t>HeavyOilHub to HeavyOil-Sink</t>
  </si>
  <si>
    <t>Refinery-Die to RefDie-ocHub</t>
  </si>
  <si>
    <t>Refinery-Gas to RefGas-ocHub</t>
  </si>
  <si>
    <t>Refinery-Ker to RefKer-ocHub</t>
  </si>
  <si>
    <t>T-C-DieselRenToDiesel</t>
  </si>
  <si>
    <t>T-C-GasRenToGas</t>
  </si>
  <si>
    <t>T-C-KeroseneRenToKerosene</t>
  </si>
  <si>
    <t>FT-1 to DieselRenHub</t>
  </si>
  <si>
    <t>FT-1 to GasolineNaphthaRenHub</t>
  </si>
  <si>
    <t>FT-2 to DieselRenHub</t>
  </si>
  <si>
    <t>FT-2 to GasolineNaphthaRenHub</t>
  </si>
  <si>
    <t>FT-2 to KeroseneRenHub</t>
  </si>
  <si>
    <t>Refinery-Die to GasolineNaphthaFosHub</t>
  </si>
  <si>
    <t>Refinery-Gas to GasolineNaphthaFosHub</t>
  </si>
  <si>
    <t>Refinery-Ker to GasolineNaphthaFosHub</t>
  </si>
  <si>
    <t>StrawToFuel to GasolineNaphthaRenHub</t>
  </si>
  <si>
    <t>WoodToFuel to GasolineNaphthaRenHub</t>
  </si>
  <si>
    <t>FischerTropsch erneuerb. Naphtha</t>
  </si>
  <si>
    <t>Stroh erneuerb. Naphtha</t>
  </si>
  <si>
    <t>Holz erneuerb. Naphtha</t>
  </si>
  <si>
    <t>erneuerb. Naphtha zu Benzin</t>
  </si>
  <si>
    <t>erneuerb. Naphtha zu Naphtha</t>
  </si>
  <si>
    <t>fossiles Naphtha zu Benzin</t>
  </si>
  <si>
    <t>fossiles Naphtha zu Naphtha</t>
  </si>
  <si>
    <t>Raffinerie Naphtha</t>
  </si>
  <si>
    <t>erneuerbarer Anteil Industrie</t>
  </si>
  <si>
    <t>fossiler Anteil Industrie</t>
  </si>
  <si>
    <t>fossiler Anteil Verkehr</t>
  </si>
  <si>
    <t>erneuerbarer Anteil Verkehr</t>
  </si>
  <si>
    <t>H2 für FT</t>
  </si>
  <si>
    <t>Methanol to Olefines</t>
  </si>
  <si>
    <t>demand-ehub to MTO-process</t>
  </si>
  <si>
    <t>Share of renewable Naphtha</t>
  </si>
  <si>
    <t>Straw to Fuel</t>
  </si>
  <si>
    <t>Wood to Fuel</t>
  </si>
  <si>
    <t>StrawToFuel to KeroseneRenHub</t>
  </si>
  <si>
    <t>WoodToFuel to KeroseneRenHub</t>
  </si>
  <si>
    <t>StrawToFuel to DieselRenHub</t>
  </si>
  <si>
    <t>WoodToFuel to DieselRenHub</t>
  </si>
  <si>
    <t>in Mt</t>
  </si>
  <si>
    <t>in TWh</t>
  </si>
  <si>
    <t>own Consumption in TWh</t>
  </si>
  <si>
    <t>T-C-GasRentogas</t>
  </si>
  <si>
    <t>T-C-dieselrentodiesel</t>
  </si>
  <si>
    <t>T-C-kerosenerentokerosene</t>
  </si>
  <si>
    <t>syngashub to FT-1</t>
  </si>
  <si>
    <t>syngashub to FT-2</t>
  </si>
  <si>
    <t>FT-1 to dieselrenhub</t>
  </si>
  <si>
    <t>FT-1 to gasolinenaphtharenhub</t>
  </si>
  <si>
    <t>FT-2 to dieselrenhub</t>
  </si>
  <si>
    <t>Anteil FT2 Naphtha</t>
  </si>
  <si>
    <t>Anteil FT1 Naphtha</t>
  </si>
  <si>
    <t>Anteil FT1 KeroseneDiesel</t>
  </si>
  <si>
    <t>Anteil FT2 KeroseneDiesel</t>
  </si>
  <si>
    <t>DieFos-Sink</t>
  </si>
  <si>
    <t>DieRen-Sink</t>
  </si>
  <si>
    <t>GasNaphthaFos-Sink</t>
  </si>
  <si>
    <t>GasNaphthaRen-Sink</t>
  </si>
  <si>
    <t>KerFos-Sink</t>
  </si>
  <si>
    <t>KerRen-Sink</t>
  </si>
  <si>
    <t>BioDieselPlant to DieselRenHub</t>
  </si>
  <si>
    <t>DieselFosHub to DieFos-Sink</t>
  </si>
  <si>
    <t>GasolineNaphthaFosHub to GasNaphthaFos-Sink</t>
  </si>
  <si>
    <t>KeroseneFosHub to KerFos-Sink</t>
  </si>
  <si>
    <t>RE-DieselSource to DieselRenHub</t>
  </si>
  <si>
    <t>RE-KeroseneSource to KeroseneRenHub</t>
  </si>
  <si>
    <t>Refinery-Die to DieselFosHub</t>
  </si>
  <si>
    <t>Refinery-Die to KeroseneFosHub</t>
  </si>
  <si>
    <t>Refinery-Gas to DieselFosHub</t>
  </si>
  <si>
    <t>Refinery-Gas to KeroseneFosHub</t>
  </si>
  <si>
    <t>Refinery-Ker to DieselFosHub</t>
  </si>
  <si>
    <t>Refinery-Ker to KeroseneFosHub</t>
  </si>
  <si>
    <t>T-CH4Subst to GasolineNaphthaFosHub</t>
  </si>
  <si>
    <t>T-RefGasoline to GasolineNaphthaFosHub</t>
  </si>
  <si>
    <t>T-C-GasNaphthaRenToGas</t>
  </si>
  <si>
    <t>RE-GasolineSource to GasolineRenHub</t>
  </si>
  <si>
    <t>GasolineNaphthaRenHub to t-c-gasnaphtharentogas</t>
  </si>
  <si>
    <t>GasolineNaphthaFosHub to t-c-gasnaphthafostonaphtha</t>
  </si>
  <si>
    <t>GasolineNaphthaFosHub to t-c-gasnaphthafostogas</t>
  </si>
  <si>
    <t>GasolineNaphthaRenHub to t-c-gasnaphtharentonaphtha</t>
  </si>
  <si>
    <t>T-C-GasNaphthaRentogas</t>
  </si>
  <si>
    <t>StrawToFuel to DieselrenHub</t>
  </si>
  <si>
    <t>StrawToFuel to KerosenerenHub</t>
  </si>
  <si>
    <t>WoodToFuel to KerosenerenHub</t>
  </si>
  <si>
    <t>BioCrudeOil to KerosenerenHub</t>
  </si>
  <si>
    <t>WoodToFuel to DieselrenHub</t>
  </si>
  <si>
    <t>BioCrudeOil to DieselrenHub</t>
  </si>
  <si>
    <t>BioDieselPlant to DieselrenHub</t>
  </si>
  <si>
    <t>StrawToFuel to GasolineNaphtharenHub</t>
  </si>
  <si>
    <t>WoodToFuel to GasolineNaphtharenHub</t>
  </si>
  <si>
    <t>BusBEVEChargingNetwork</t>
  </si>
  <si>
    <t>TruckBEVEChargingNetwork</t>
  </si>
  <si>
    <t>Demand-EHub to BusBEVEChargingNetwork</t>
  </si>
  <si>
    <t>Demand-EHub to TruckBEVEChargingNetwork</t>
  </si>
  <si>
    <t>CO2 production</t>
  </si>
  <si>
    <t>Zement CCS</t>
  </si>
  <si>
    <t>Erdgas CCS</t>
  </si>
  <si>
    <t>Steinkohle CCS</t>
  </si>
  <si>
    <t>Braunkohle CCS</t>
  </si>
  <si>
    <t>Biomasse CCS</t>
  </si>
  <si>
    <t>Wassergas-Shift</t>
  </si>
  <si>
    <t>CO2 Speicher</t>
  </si>
  <si>
    <t>CO2 Storage</t>
  </si>
  <si>
    <t>Cement CCS</t>
  </si>
  <si>
    <t>Coal CCS</t>
  </si>
  <si>
    <t>Natural Gas CCS</t>
  </si>
  <si>
    <t>Lignite CCS</t>
  </si>
  <si>
    <t>Watergas-Shift</t>
  </si>
  <si>
    <t>Biomass CCS</t>
  </si>
  <si>
    <t>Sabatier Prozess</t>
  </si>
  <si>
    <t>CO2 Emissionen</t>
  </si>
  <si>
    <t>CO2 Emissions</t>
  </si>
  <si>
    <t>Fischer-Tropsch</t>
  </si>
  <si>
    <t>Glasindustrie / Glass Industry</t>
  </si>
  <si>
    <t>NE-Metallindustrie</t>
  </si>
  <si>
    <t>Produktionsmenge nach Wannentyp und Branche</t>
  </si>
  <si>
    <t>English description</t>
  </si>
  <si>
    <t>Deutsche Bezeichnung</t>
  </si>
  <si>
    <t>Einheit</t>
  </si>
  <si>
    <t>Produktionsmenge nach Branche und Produktionsart</t>
  </si>
  <si>
    <t>Hohlglas / Hollow glass</t>
  </si>
  <si>
    <t>Zink</t>
  </si>
  <si>
    <t>HG_ElectricGlassFurnace to HG_GlassHub</t>
  </si>
  <si>
    <t>Electric Glass Production</t>
  </si>
  <si>
    <t>Elektrische Glasschmelze</t>
  </si>
  <si>
    <t>Menge in kt</t>
  </si>
  <si>
    <t>Zinc-TSource to ZincHub</t>
  </si>
  <si>
    <t>TSource</t>
  </si>
  <si>
    <t>HG_GasGlassFurnace to HG_GlassHub</t>
  </si>
  <si>
    <t>Gas Glass Production</t>
  </si>
  <si>
    <t>ZincPEP to ZincHub</t>
  </si>
  <si>
    <t>Zinc electrolysis</t>
  </si>
  <si>
    <t>Zink Elektrolyse</t>
  </si>
  <si>
    <t>HG_GasHybridGlassFurnace to HG_GlassHub</t>
  </si>
  <si>
    <t>Gas-Hydrid Glass Production</t>
  </si>
  <si>
    <t>Erdgas-Hybrid Glasschmelze</t>
  </si>
  <si>
    <t>ZincWaelzoxideProcess to ZincHub</t>
  </si>
  <si>
    <t>Waelzoxide (zinc content)</t>
  </si>
  <si>
    <t>Wälzoxid inkl. Elektrolyse</t>
  </si>
  <si>
    <t>HG_OilGlassFurnace to HG_GlassHub</t>
  </si>
  <si>
    <t>Fuel Oil Glass Production</t>
  </si>
  <si>
    <t>Heizöl Glassschmelze</t>
  </si>
  <si>
    <t>ZincRemelt to ZincHub</t>
  </si>
  <si>
    <t>Remolten Zinc</t>
  </si>
  <si>
    <t>Umschmelzzink inkl. New J.</t>
  </si>
  <si>
    <t>HG_OilHybridGlassFurnace to HG_GlassHub</t>
  </si>
  <si>
    <t>Fuel Oil Hybrid Glass Production</t>
  </si>
  <si>
    <t>Heizöl-Hybrid Glassschmelze</t>
  </si>
  <si>
    <t>ZincRemeltZref to ZincHub</t>
  </si>
  <si>
    <t>Umschmelzzink inkl. Zincref</t>
  </si>
  <si>
    <t>HG_OxyFuelGlassFurnace to HG_GlassHub</t>
  </si>
  <si>
    <t>Oxy-Fuel Glass Production</t>
  </si>
  <si>
    <t>Oxy-Fuel Glasschmelze</t>
  </si>
  <si>
    <t>CopperRecycling(KRS) to ZincHub</t>
  </si>
  <si>
    <t>KRS oxide (Zinc content)</t>
  </si>
  <si>
    <t>KRS-Oxid (zinkgehalt)</t>
  </si>
  <si>
    <t>HG_BlendedGasHybridGlassFurnace to HG_GlassHub</t>
  </si>
  <si>
    <t>Blended Gas Production</t>
  </si>
  <si>
    <t>Gasgemisch Glasschmelze</t>
  </si>
  <si>
    <t>Gesamte Zinkproduktion</t>
  </si>
  <si>
    <t>total zinc production</t>
  </si>
  <si>
    <t>HG_HydrogenHybridGlassFurnace to HG_GlassHub</t>
  </si>
  <si>
    <t>Hydrogen Production</t>
  </si>
  <si>
    <t>Wasserstoff Glasschmelze</t>
  </si>
  <si>
    <t>HG_SuperboostGlassFurnace to HG_GlassHub</t>
  </si>
  <si>
    <t>Superboost Production</t>
  </si>
  <si>
    <t>Superboost Glasschmelze</t>
  </si>
  <si>
    <t>Demand-EHub to ZincPEP</t>
  </si>
  <si>
    <t>electricity demand</t>
  </si>
  <si>
    <t>Strombedarf</t>
  </si>
  <si>
    <t>GWh</t>
  </si>
  <si>
    <t xml:space="preserve">Total </t>
  </si>
  <si>
    <t>Menge</t>
  </si>
  <si>
    <t>FuelOilHub to ZincPEP</t>
  </si>
  <si>
    <t>fuel oil demand</t>
  </si>
  <si>
    <t>Heizölbedarf</t>
  </si>
  <si>
    <t>HG_ElectricGlassFurnace2 to HG_GlassHub</t>
  </si>
  <si>
    <t>Gesamtsumme</t>
  </si>
  <si>
    <t>Gesamtenergiebedarf</t>
  </si>
  <si>
    <t>HG_GasGlassFurnace2 to HG_GlassHub</t>
  </si>
  <si>
    <t>Energieverbrauch pro Tonne</t>
  </si>
  <si>
    <t>energy per tonne</t>
  </si>
  <si>
    <t>HG_GasHybridGlassFurnace2 to HG_GlassHub</t>
  </si>
  <si>
    <t>CH4Hub2 to ZincRemelt</t>
  </si>
  <si>
    <t>natural gas demand</t>
  </si>
  <si>
    <t>Erdgasbedearf</t>
  </si>
  <si>
    <t>HG_OilGlassFurnace2 to HG_GlassHub</t>
  </si>
  <si>
    <t>Demand-EHub to ZincRemelt</t>
  </si>
  <si>
    <t>HG_OilHybridGlassFurnace2 to HG_GlassHub</t>
  </si>
  <si>
    <t>FuelOilHub to ZincRemelt</t>
  </si>
  <si>
    <t>HG_OxyFuelGlassFurnace2 to HG_GlassHub</t>
  </si>
  <si>
    <t>HG_BlendedGasHybridGlassFurnace2 to HG_GlassHub</t>
  </si>
  <si>
    <t>HG_HydrogenHybridGlassFurnace2 to HG_GlassHub</t>
  </si>
  <si>
    <t>CH4Hub2 to ZincRemeltZref</t>
  </si>
  <si>
    <t>HG_SuperboostGlassFurnace2 to HG_GlassHub</t>
  </si>
  <si>
    <t>Demand-EHub to ZincRemeltZref</t>
  </si>
  <si>
    <t>FuelOilHub to ZincRemeltZref</t>
  </si>
  <si>
    <t>Total 1 &amp; 2</t>
  </si>
  <si>
    <t>Gesamtmenge</t>
  </si>
  <si>
    <t>Flachglas / Flat glass</t>
  </si>
  <si>
    <t>FG_ElectricGlassFurnace to FG_GlassHub</t>
  </si>
  <si>
    <t>CH4Hub2 to ZincWaelzoxideProcess</t>
  </si>
  <si>
    <t>FG_GasGlassFurnace to FG_GlassHub</t>
  </si>
  <si>
    <t>CokeHub to ZincWaelzoxideProcess</t>
  </si>
  <si>
    <t>coke demand</t>
  </si>
  <si>
    <t>Koksbedarf</t>
  </si>
  <si>
    <t>FG_GasHybridGlassFurnace to FG_GlassHub</t>
  </si>
  <si>
    <t>Demand-EHub to ZincWaelzoxideProcess</t>
  </si>
  <si>
    <t>FG_OilGlassFurnace to FG_GlassHub</t>
  </si>
  <si>
    <t>FG_OilHybridGlassFurnace to FG_GlassHub</t>
  </si>
  <si>
    <t>FG_OxyFuelGlassFurnace to FG_GlassHub</t>
  </si>
  <si>
    <t>Gesamtenergieverbrauch Zinkindustrie</t>
  </si>
  <si>
    <t>total energy demand</t>
  </si>
  <si>
    <t>FG_BlendedGasHybridGlassFurnace to FG_GlassHub</t>
  </si>
  <si>
    <t>FG_HydrogenHybridGlassFurnace to FG_GlassHub</t>
  </si>
  <si>
    <t>FG_SuperboostGlassFurnace to FG_GlassHub</t>
  </si>
  <si>
    <t>ZincPEP</t>
  </si>
  <si>
    <t>kt CO2</t>
  </si>
  <si>
    <t>ZincWaelzoxideProcess</t>
  </si>
  <si>
    <t>FG_ElectricGlassFurnace2 to FG_GlassHub</t>
  </si>
  <si>
    <t>ZincRemelt</t>
  </si>
  <si>
    <t>FG_GasGlassFurnace2 to FG_GlassHub</t>
  </si>
  <si>
    <t>ZincRemeltZref</t>
  </si>
  <si>
    <t>FG_GasHybridGlassFurnace2 to FG_GlassHub</t>
  </si>
  <si>
    <t>Gesamtausstoß</t>
  </si>
  <si>
    <t>FG_OilGlassFurnace2 to FG_GlassHub</t>
  </si>
  <si>
    <t>CO2 emissions per tonne</t>
  </si>
  <si>
    <t>CO2 Emissionen pro Tonne</t>
  </si>
  <si>
    <t>t CO2 / t Zink</t>
  </si>
  <si>
    <t>FG_OilHybridGlassFurnace2 to FG_GlassHub</t>
  </si>
  <si>
    <t>FG_OxyFuelGlassFurnace2 to FG_GlassHub</t>
  </si>
  <si>
    <t>FG_BlendedGasHybridGlassFurnace2 to FG_GlassHub</t>
  </si>
  <si>
    <t>FG_HydrogenHybridGlassFurnace2 to FG_GlassHub</t>
  </si>
  <si>
    <t>Branchendurchschnittliche CO2 Emsissionen pro Tonne</t>
  </si>
  <si>
    <t>FG_SuperboostGlassFurnace2 to FG_GlassHub</t>
  </si>
  <si>
    <t>costs</t>
  </si>
  <si>
    <t>Kosten</t>
  </si>
  <si>
    <t>Mio. €</t>
  </si>
  <si>
    <t>Glasfaserstoffe (Glaswolle) / Glass fibers (Glass wool)</t>
  </si>
  <si>
    <t>GF_ElectricGlassFurnace to GF_GlassHub</t>
  </si>
  <si>
    <t>Gesamtkosten</t>
  </si>
  <si>
    <t>GF_GasGlassFurnace to GF_GlassHub</t>
  </si>
  <si>
    <t>Kosten pro Tonne</t>
  </si>
  <si>
    <t>costs per tonne</t>
  </si>
  <si>
    <t>GF_GasHybridGlassFurnace to GF_GlassHub</t>
  </si>
  <si>
    <t>GF_OxyFuelGlassFurnace to GF_GlassHub</t>
  </si>
  <si>
    <t>GF_BlendedGasHybridGlassFurnace to GF_GlassHub</t>
  </si>
  <si>
    <t>GF_HydrogenHybridGlassFurnace to GF_GlassHub</t>
  </si>
  <si>
    <t>Kosten pro Tonne durchschnittlich</t>
  </si>
  <si>
    <t>GF_SuperboostGlassFurnace to GF_GlassHub</t>
  </si>
  <si>
    <t>GF_ElectricGlassFurnace2 to GF_GlassHub</t>
  </si>
  <si>
    <t>Kupfer</t>
  </si>
  <si>
    <t>GF_GasGlassFurnace2 to GF_GlassHub</t>
  </si>
  <si>
    <t>Copper-TSource to CopperCathodeHub</t>
  </si>
  <si>
    <t>GF_GasHybridGlassFurnace2 to GF_GlassHub</t>
  </si>
  <si>
    <t>CopperPPP to CopperCathodeHub</t>
  </si>
  <si>
    <t>primary copper production</t>
  </si>
  <si>
    <t>Primärkupfergewinnung</t>
  </si>
  <si>
    <t>GF_OxyFuelGlassFurnace2 to GF_GlassHub</t>
  </si>
  <si>
    <t>CopperRecycling(KRS) to CopperCathodeHub</t>
  </si>
  <si>
    <t>copper recycling</t>
  </si>
  <si>
    <t>Kupferrecycling</t>
  </si>
  <si>
    <t>GF_BlendedGasHybridGlassFurnace2 to GF_GlassHub</t>
  </si>
  <si>
    <t>Gesamte Kupferproduktion</t>
  </si>
  <si>
    <t>total  copper production</t>
  </si>
  <si>
    <t>GF_HydrogenHybridGlassFurnace2 to GF_GlassHub</t>
  </si>
  <si>
    <t>GF_SuperboostGlassFurnace2 to GF_GlassHub</t>
  </si>
  <si>
    <t>CH4Hub2 to CopperPPP</t>
  </si>
  <si>
    <t>CokeHub to CopperPPP</t>
  </si>
  <si>
    <t>Demand-EHub to CopperPPP</t>
  </si>
  <si>
    <t>Spezialglas / Special glass</t>
  </si>
  <si>
    <t>SG_ElectricGlassFurnace to SG_GlassHub</t>
  </si>
  <si>
    <t>SG_GasGlassFurnace to SG_GlassHub</t>
  </si>
  <si>
    <t>CH4Hub2 to CopperRecycling(KRS)</t>
  </si>
  <si>
    <t>SG_GasHybridGlassFurnace to SG_GlassHub</t>
  </si>
  <si>
    <t>CokeHub to CopperRecycling(KRS)</t>
  </si>
  <si>
    <t>SG_OxyFuelGlassFurnace to SG_GlassHub</t>
  </si>
  <si>
    <t>Demand-EHub to CopperRecycling(KRS)</t>
  </si>
  <si>
    <t>SG_BlendedGasHybridGlassFurnace to SG_GlassHub</t>
  </si>
  <si>
    <t>FuelOilHub to CopperRecycling(KRS)</t>
  </si>
  <si>
    <t>SG_HydrogenHybridGlassFurnace to SG_GlassHub</t>
  </si>
  <si>
    <t>SG_SuperboostGlassFurnace to SG_GlassHub</t>
  </si>
  <si>
    <t>Gesamtenergieverbrauch Kupferindustrie</t>
  </si>
  <si>
    <t>SG_ElectricGlassFurnace2 to SG_GlassHub</t>
  </si>
  <si>
    <t>SG_GasGlassFurnace2 to SG_GlassHub</t>
  </si>
  <si>
    <t>SG_GasHybridGlassFurnace2 to SG_GlassHub</t>
  </si>
  <si>
    <t>CopperPPP</t>
  </si>
  <si>
    <t>kt</t>
  </si>
  <si>
    <t>SG_OxyFuelGlassFurnace2 to SG_GlassHub</t>
  </si>
  <si>
    <t>CopperRecycling(KRS)</t>
  </si>
  <si>
    <t>SG_BlendedGasHybridGlassFurnace2 to SG_GlassHub</t>
  </si>
  <si>
    <t>Gesamter CO2 Ausstoß</t>
  </si>
  <si>
    <t>SG_HydrogenHybridGlassFurnace2 to SG_GlassHub</t>
  </si>
  <si>
    <t>t CO2 / t Cu</t>
  </si>
  <si>
    <t>SG_SuperboostGlassFurnace2 to SG_GlassHub</t>
  </si>
  <si>
    <t>Energieströme nach Art und Branche</t>
  </si>
  <si>
    <t>CH4Hub2 to HG_GasGlassFurnace</t>
  </si>
  <si>
    <t>Natural gas consumption</t>
  </si>
  <si>
    <t>Erdgasverbrauch</t>
  </si>
  <si>
    <t>Energie in MWh</t>
  </si>
  <si>
    <t>CH4Hub2 to HG_GasHybridGlassFurnace</t>
  </si>
  <si>
    <t>CH4Hub2 to HG_OxyFuelGlassFurnace</t>
  </si>
  <si>
    <t>CH4Hub2 to HG_BlendedGasHybridGlassFurnace</t>
  </si>
  <si>
    <t>CH4Hub2 to HG_SuperboostGlassFurnace</t>
  </si>
  <si>
    <t>CH4Hub2 to HG_GasGlassFurnace2</t>
  </si>
  <si>
    <t>CH4Hub2 to HG_GasHybridGlassFurnace2</t>
  </si>
  <si>
    <t>CH4Hub2 to HG_OxyFuelGlassFurnace2</t>
  </si>
  <si>
    <t>CH4Hub2 to HG_BlendedGasHybridGlassFurnace2</t>
  </si>
  <si>
    <t>CH4Hub2 to HG_SuperboostGlassFurnace2</t>
  </si>
  <si>
    <t>CH4Hub2 to FG_GasGlassFurnace</t>
  </si>
  <si>
    <t>CH4Hub2 to FG_GasHybridGlassFurnace</t>
  </si>
  <si>
    <t>CH4Hub2 to FG_OxyFuelGlassFurnace</t>
  </si>
  <si>
    <t>CH4Hub2 to FG_BlendedGasHybridGlassFurnace</t>
  </si>
  <si>
    <t>CH4Hub2 to FG_SuperboostGlassFurnace</t>
  </si>
  <si>
    <t>CH4Hub2 to FG_GasGlassFurnace2</t>
  </si>
  <si>
    <t>CH4Hub2 to FG_GasHybridGlassFurnace2</t>
  </si>
  <si>
    <t>CH4Hub2 to FG_OxyFuelGlassFurnace2</t>
  </si>
  <si>
    <t>CH4Hub2 to FG_BlendedGasHybridGlassFurnace2</t>
  </si>
  <si>
    <t>CH4Hub2 to FG_SuperboostGlassFurnace2</t>
  </si>
  <si>
    <t>CH4Hub2 to GF_GasGlassFurnace</t>
  </si>
  <si>
    <t>CH4Hub2 to GF_GasHybridGlassFurnace</t>
  </si>
  <si>
    <t>CH4Hub2 to GF_OxyFuelGlassFurnace</t>
  </si>
  <si>
    <t>CH4Hub2 to GF_BlendedGasHybridGlassFurnace</t>
  </si>
  <si>
    <t>CH4Hub2 to GF_SuperboostGlassFurnace</t>
  </si>
  <si>
    <t>CH4Hub2 to GF_GasGlassFurnace2</t>
  </si>
  <si>
    <t>CH4Hub2 to GF_GasHybridGlassFurnace2</t>
  </si>
  <si>
    <t>CH4Hub2 to GF_OxyFuelGlassFurnace2</t>
  </si>
  <si>
    <t>CH4Hub2 to GF_BlendedGasHybridGlassFurnace2</t>
  </si>
  <si>
    <t>CH4Hub2 to GF_SuperboostGlassFurnace2</t>
  </si>
  <si>
    <t>CH4Hub2 to SG_GasGlassFurnace</t>
  </si>
  <si>
    <t>CH4Hub2 to SG_GasHybridGlassFurnace</t>
  </si>
  <si>
    <t>CH4Hub2 to SG_OxyFuelGlassFurnace</t>
  </si>
  <si>
    <t>CH4Hub2 to SG_BlendedGasHybridGlassFurnace</t>
  </si>
  <si>
    <t>CH4Hub2 to SG_SuperboostGlassFurnace</t>
  </si>
  <si>
    <t>CH4Hub2 to SG_GasGlassFurnace2</t>
  </si>
  <si>
    <t>CH4Hub2 to SG_GasHybridGlassFurnace2</t>
  </si>
  <si>
    <t>CH4Hub2 to SG_OxyFuelGlassFurnace2</t>
  </si>
  <si>
    <t>CH4Hub2 to SG_BlendedGasHybridGlassFurnace2</t>
  </si>
  <si>
    <t>CH4Hub2 to SG_SuperboostGlassFurnace2</t>
  </si>
  <si>
    <t>Demand-EHub to HG_ElectricGlassFurnace</t>
  </si>
  <si>
    <t>Electricity consumption</t>
  </si>
  <si>
    <t>Stromverbrauch</t>
  </si>
  <si>
    <t>Demand-EHub to HG_GasHybridGlassFurnace</t>
  </si>
  <si>
    <t>Demand-EHub to HG_OilHybridGlassFurnace</t>
  </si>
  <si>
    <t>Demand-EHub to HG_OxyFuelGlassFurnace</t>
  </si>
  <si>
    <t>Demand-EHub to HG_BlendedGasHybridGlassFurnace</t>
  </si>
  <si>
    <t>Demand-EHub to HG_HydrogenHybridGlassFurnace</t>
  </si>
  <si>
    <t>Demand-EHub to HG_SuperboostGlassFurnace</t>
  </si>
  <si>
    <t>Demand-EHub to HG_ElectricGlassFurnace2</t>
  </si>
  <si>
    <t>Demand-EHub to HG_GasHybridGlassFurnace2</t>
  </si>
  <si>
    <t>Demand-EHub to HG_OilHybridGlassFurnace2</t>
  </si>
  <si>
    <t>Demand-EHub to HG_OxyFuelGlassFurnace2</t>
  </si>
  <si>
    <t>Demand-EHub to HG_BlendedGasHybridGlassFurnace2</t>
  </si>
  <si>
    <t>Demand-EHub to HG_HydrogenHybridGlassFurnace2</t>
  </si>
  <si>
    <t>Demand-EHub to HG_SuperboostGlassFurnace2</t>
  </si>
  <si>
    <t>Demand-EHub to FG_ElectricGlassFurnace</t>
  </si>
  <si>
    <t>Demand-EHub to FG_GasHybridGlassFurnace</t>
  </si>
  <si>
    <t>Demand-EHub to FG_OilHybridGlassFurnace</t>
  </si>
  <si>
    <t>Demand-EHub to FG_OxyFuelGlassFurnace</t>
  </si>
  <si>
    <t>Demand-EHub to FG_BlendedGasHybridGlassFurnace</t>
  </si>
  <si>
    <t>Demand-EHub to FG_HydrogenHybridGlassFurnace</t>
  </si>
  <si>
    <t>Demand-EHub to FG_SuperboostGlassFurnace</t>
  </si>
  <si>
    <t>Demand-EHub to FG_ElectricGlassFurnace2</t>
  </si>
  <si>
    <t>Demand-EHub to FG_GasHybridGlassFurnace2</t>
  </si>
  <si>
    <t>Demand-EHub to FG_OilHybridGlassFurnace2</t>
  </si>
  <si>
    <t>Demand-EHub to FG_OxyFuelGlassFurnace2</t>
  </si>
  <si>
    <t>Demand-EHub to FG_BlendedGasHybridGlassFurnace2</t>
  </si>
  <si>
    <t>Demand-EHub to FG_HydrogenHybridGlassFurnace2</t>
  </si>
  <si>
    <t>Demand-EHub to FG_SuperboostGlassFurnace2</t>
  </si>
  <si>
    <t>Demand-EHub to GF_ElectricGlassFurnace</t>
  </si>
  <si>
    <t>Demand-EHub to GF_GasHybridGlassFurnace</t>
  </si>
  <si>
    <t>Demand-EHub to GF_OilHybridGlassFurnace</t>
  </si>
  <si>
    <t>Demand-EHub to GF_OxyFuelGlassFurnace</t>
  </si>
  <si>
    <t>Demand-EHub to GF_BlendedGasHybridGlassFurnace</t>
  </si>
  <si>
    <t>Demand-EHub to GF_HydrogenHybridGlassFurnace</t>
  </si>
  <si>
    <t>Demand-EHub to GF_SuperboostGlassFurnace</t>
  </si>
  <si>
    <t>Demand-EHub to GF_ElectricGlassFurnace2</t>
  </si>
  <si>
    <t>Demand-EHub to GF_GasHybridGlassFurnace2</t>
  </si>
  <si>
    <t>Demand-EHub to GF_OilHybridGlassFurnace2</t>
  </si>
  <si>
    <t>Demand-EHub to GF_OxyFuelGlassFurnace2</t>
  </si>
  <si>
    <t>Demand-EHub to GF_BlendedGasHybridGlassFurnace2</t>
  </si>
  <si>
    <t>Demand-EHub to GF_HydrogenHybridGlassFurnace2</t>
  </si>
  <si>
    <t>Demand-EHub to GF_SuperboostGlassFurnace2</t>
  </si>
  <si>
    <t>Demand-EHub to SG_ElectricGlassFurnace</t>
  </si>
  <si>
    <t>Demand-EHub to SG_GasHybridGlassFurnace</t>
  </si>
  <si>
    <t>Demand-EHub to SG_OxyFuelGlassFurnace</t>
  </si>
  <si>
    <t>Demand-EHub to SG_BlendedGasHybridGlassFurnace</t>
  </si>
  <si>
    <t>Demand-EHub to SG_HydrogenHybridGlassFurnace</t>
  </si>
  <si>
    <t>Demand-EHub to SG_SuperboostGlassFurnace</t>
  </si>
  <si>
    <t>Demand-EHub to SG_ElectricGlassFurnace2</t>
  </si>
  <si>
    <t>Demand-EHub to SG_GasHybridGlassFurnace2</t>
  </si>
  <si>
    <t>Demand-EHub to SG_OxyFuelGlassFurnace2</t>
  </si>
  <si>
    <t>Demand-EHub to SG_BlendedGasHybridGlassFurnace2</t>
  </si>
  <si>
    <t>Demand-EHub to SG_HydrogenHybridGlassFurnace2</t>
  </si>
  <si>
    <t>Demand-EHub to SG_SuperboostGlassFurnace2</t>
  </si>
  <si>
    <t>FuelOilHub to HG_OilGlassFurnace</t>
  </si>
  <si>
    <t>Fuel Oil consumption</t>
  </si>
  <si>
    <t>Heizölverbrauch</t>
  </si>
  <si>
    <t>FuelOilHub to HG_OilHybridGlassFurnace</t>
  </si>
  <si>
    <t>FuelOilHub to HG_OilGlassFurnace2</t>
  </si>
  <si>
    <t>FuelOilHub to HG_OilHybridGlassFurnace2</t>
  </si>
  <si>
    <t>FuelOilHub to FG_OilGlassFurnace</t>
  </si>
  <si>
    <t>FuelOilHub to FG_OilHybridGlassFurnace</t>
  </si>
  <si>
    <t>FuelOilHub to FG_OilGlassFurnace2</t>
  </si>
  <si>
    <t>FuelOilHub to FG_OilHybridGlassFurnace2</t>
  </si>
  <si>
    <t>H2GridHub to HG_HydrogenHybridGlassFurnace</t>
  </si>
  <si>
    <t>Hydrogen consumption</t>
  </si>
  <si>
    <t>Wasserstoffverbrauch</t>
  </si>
  <si>
    <t>H2GridHub to HG_BlendedGasHybridGlassFurnace</t>
  </si>
  <si>
    <t>H2GridHub to HG_SuperboostGlassFurnace</t>
  </si>
  <si>
    <t>H2GridHub to HG_HydrogenHybridGlassFurnace2</t>
  </si>
  <si>
    <t>H2GridHub to HG_BlendedGasHybridGlassFurnace2</t>
  </si>
  <si>
    <t>H2GridHub to HG_SuperboostGlassFurnace2</t>
  </si>
  <si>
    <t>H2GridHub to FG_HydrogenHybridGlassFurnace</t>
  </si>
  <si>
    <t>H2GridHub to FG_BlendedGasHybridGlassFurnace</t>
  </si>
  <si>
    <t>H2GridHub to FG_SuperboostGlassFurnace</t>
  </si>
  <si>
    <t>H2GridHub to FG_HydrogenHybridGlassFurnace2</t>
  </si>
  <si>
    <t>H2GridHub to FG_BlendedGasHybridGlassFurnace2</t>
  </si>
  <si>
    <t>H2GridHub to FG_SuperboostGlassFurnace2</t>
  </si>
  <si>
    <t>H2GridHub to GF_HydrogenHybridGlassFurnace</t>
  </si>
  <si>
    <t>H2GridHub to GF_BlendedGasHybridGlassFurnace</t>
  </si>
  <si>
    <t>H2GridHub to GF_SuperboostGlassFurnace</t>
  </si>
  <si>
    <t>H2GridHub to GF_HydrogenHybridGlassFurnace2</t>
  </si>
  <si>
    <t>H2GridHub to GF_BlendedGasHybridGlassFurnace2</t>
  </si>
  <si>
    <t>H2GridHub to GF_SuperboostGlassFurnace2</t>
  </si>
  <si>
    <t>H2GridHub to SG_HydrogenHybridGlassFurnace</t>
  </si>
  <si>
    <t>H2GridHub to SG_BlendedGasHybridGlassFurnace</t>
  </si>
  <si>
    <t>H2GridHub to SG_SuperboostGlassFurnace</t>
  </si>
  <si>
    <t>H2GridHub to SG_HydrogenHybridGlassFurnace2</t>
  </si>
  <si>
    <t>H2GridHub to SG_BlendedGasHybridGlassFurnace2</t>
  </si>
  <si>
    <t>H2GridHub to SG_SuperboostGlassFurnace2</t>
  </si>
  <si>
    <t>GlassRawMaterialHub to HG_ElectricGlassFurnace</t>
  </si>
  <si>
    <t>Glass raw material</t>
  </si>
  <si>
    <t>Rohmaterial</t>
  </si>
  <si>
    <t>GlassRawMaterialHub to HG_GasGlassFurnace</t>
  </si>
  <si>
    <t>GlassRawMaterialHub to HG_GasHybridGlassFurnace</t>
  </si>
  <si>
    <t>GlassRawMaterialHub to HG_OilGlassFurnace</t>
  </si>
  <si>
    <t>GlassRawMaterialHub to HG_OilHybridGlassFurnace</t>
  </si>
  <si>
    <t>GlassRawMaterialHub to HG_OxyFuelGlassFurnace</t>
  </si>
  <si>
    <t>GlassRawMaterialHub to HG_BlendedGasHybridGlassFurnace</t>
  </si>
  <si>
    <t>GlassRawMaterialHub to HG_HydrogenHybridGlassFurnace</t>
  </si>
  <si>
    <t>GlassRawMaterialHub to HG_SuperboostGlassFurnace</t>
  </si>
  <si>
    <t>GlassRawMaterialHub to HG_ElectricGlassFurnace2</t>
  </si>
  <si>
    <t>GlassRawMaterialHub to HG_GasGlassFurnace2</t>
  </si>
  <si>
    <t>GlassRawMaterialHub to HG_GasHybridGlassFurnace2</t>
  </si>
  <si>
    <t>GlassRawMaterialHub to HG_OilGlassFurnace2</t>
  </si>
  <si>
    <t>GlassRawMaterialHub to HG_OilHybridGlassFurnace2</t>
  </si>
  <si>
    <t>GlassRawMaterialHub to HG_OxyFuelGlassFurnace2</t>
  </si>
  <si>
    <t>GlassRawMaterialHub to HG_BlendedGasHybridGlassFurnace2</t>
  </si>
  <si>
    <t>GlassRawMaterialHub to HG_HydrogenHybridGlassFurnace2</t>
  </si>
  <si>
    <t>GlassRawMaterialHub to HG_SuperboostGlassFurnace2</t>
  </si>
  <si>
    <t>GlassRawMaterialHub to FG_ElectricGlassFurnace</t>
  </si>
  <si>
    <t>GlassRawMaterialHub to FG_GasGlassFurnace</t>
  </si>
  <si>
    <t>GlassRawMaterialHub to FG_GasHybridGlassFurnace</t>
  </si>
  <si>
    <t>GlassRawMaterialHub to FG_OilGlassFurnace</t>
  </si>
  <si>
    <t>GlassRawMaterialHub to FG_OilHybridGlassFurnace</t>
  </si>
  <si>
    <t>GlassRawMaterialHub to FG_OxyFuelGlassFurnace</t>
  </si>
  <si>
    <t>GlassRawMaterialHub to FG_BlendedGasHybridGlassFurnace</t>
  </si>
  <si>
    <t>GlassRawMaterialHub to FG_HydrogenHybridGlassFurnace</t>
  </si>
  <si>
    <t>GlassRawMaterialHub to FG_SuperboostGlassFurnace</t>
  </si>
  <si>
    <t>GlassRawMaterialHub to FG_ElectricGlassFurnace2</t>
  </si>
  <si>
    <t>GlassRawMaterialHub to FG_GasGlassFurnace2</t>
  </si>
  <si>
    <t>GlassRawMaterialHub to FG_GasHybridGlassFurnace2</t>
  </si>
  <si>
    <t>GlassRawMaterialHub to FG_OilGlassFurnace2</t>
  </si>
  <si>
    <t>GlassRawMaterialHub to FG_OilHybridGlassFurnace2</t>
  </si>
  <si>
    <t>GlassRawMaterialHub to FG_OxyFuelGlassFurnace2</t>
  </si>
  <si>
    <t>GlassRawMaterialHub to FG_BlendedGasHybridGlassFurnace2</t>
  </si>
  <si>
    <t>GlassRawMaterialHub to FG_HydrogenHybridGlassFurnace2</t>
  </si>
  <si>
    <t>GlassRawMaterialHub to FG_SuperboostGlassFurnace2</t>
  </si>
  <si>
    <t>GlassRawMaterialHub to GF_ElectricGlassFurnace</t>
  </si>
  <si>
    <t>GlassRawMaterialHub to GF_GasGlassFurnace</t>
  </si>
  <si>
    <t>GlassRawMaterialHub to GF_GasHybridGlassFurnace</t>
  </si>
  <si>
    <t>GlassRawMaterialHub to GF_OxyFuelGlassFurnace</t>
  </si>
  <si>
    <t>GlassRawMaterialHub to GF_BlendedGasHybridGlassFurnace</t>
  </si>
  <si>
    <t>GlassRawMaterialHub to GF_HydrogenHybridGlassFurnace</t>
  </si>
  <si>
    <t>GlassRawMaterialHub to GF_SuperboostGlassFurnace</t>
  </si>
  <si>
    <t>GlassRawMaterialHub to GF_ElectricGlassFurnace2</t>
  </si>
  <si>
    <t>GlassRawMaterialHub to GF_GasGlassFurnace2</t>
  </si>
  <si>
    <t>GlassRawMaterialHub to GF_GasHybridGlassFurnace2</t>
  </si>
  <si>
    <t>GlassRawMaterialHub to GF_OxyFuelGlassFurnace2</t>
  </si>
  <si>
    <t>GlassRawMaterialHub to GF_BlendedGasHybridGlassFurnace2</t>
  </si>
  <si>
    <t>GlassRawMaterialHub to GF_HydrogenHybridGlassFurnace2</t>
  </si>
  <si>
    <t>GlassRawMaterialHub to GF_SuperboostGlassFurnace2</t>
  </si>
  <si>
    <t>GlassRawMaterialHub to SG_ElectricGlassFurnace</t>
  </si>
  <si>
    <t>GlassRawMaterialHub to SG_GasGlassFurnace</t>
  </si>
  <si>
    <t>GlassRawMaterialHub to SG_GasHybridGlassFurnace</t>
  </si>
  <si>
    <t>GlassRawMaterialHub to SG_OxyFuelGlassFurnace</t>
  </si>
  <si>
    <t>GlassRawMaterialHub to SG_BlendedGasHybridGlassFurnace</t>
  </si>
  <si>
    <t>GlassRawMaterialHub to SG_HydrogenHybridGlassFurnace</t>
  </si>
  <si>
    <t>GlassRawMaterialHub to SG_SuperboostGlassFurnace</t>
  </si>
  <si>
    <t>GlassRawMaterialHub to SG_ElectricGlassFurnace2</t>
  </si>
  <si>
    <t>GlassRawMaterialHub to SG_GasGlassFurnace2</t>
  </si>
  <si>
    <t>GlassRawMaterialHub to SG_GasHybridGlassFurnace2</t>
  </si>
  <si>
    <t>GlassRawMaterialHub to SG_OxyFuelGlassFurnace2</t>
  </si>
  <si>
    <t>GlassRawMaterialHub to SG_BlendedGasHybridGlassFurnace2</t>
  </si>
  <si>
    <t>GlassRawMaterialHub to SG_HydrogenHybridGlassFurnace2</t>
  </si>
  <si>
    <t>GlassRawMaterialHub to SG_SuperboostGlassFurnace2</t>
  </si>
  <si>
    <t>WasteGlassCulletHub to HG_ElectricGlassFurnace</t>
  </si>
  <si>
    <t>Glass cullet</t>
  </si>
  <si>
    <t>Scherben</t>
  </si>
  <si>
    <t>WasteGlassCulletHub to HG_GasGlassFurnace</t>
  </si>
  <si>
    <t>WasteGlassCulletHub to HG_GasHybridGlassFurnace</t>
  </si>
  <si>
    <t>WasteGlassCulletHub to HG_OilGlassFurnace</t>
  </si>
  <si>
    <t>WasteGlassCulletHub to HG_OilHybridGlassFurnace</t>
  </si>
  <si>
    <t>WasteGlassCulletHub to HG_OxyFuelGlassFurnace</t>
  </si>
  <si>
    <t>WasteGlassCulletHub to HG_BlendedGasHybridGlassFurnace</t>
  </si>
  <si>
    <t>WasteGlassCulletHub to HG_HydrogenHybridGlassFurnace</t>
  </si>
  <si>
    <t>WasteGlassCulletHub to HG_SuperboostGlassFurnace</t>
  </si>
  <si>
    <t>Alle</t>
  </si>
  <si>
    <t>gesamt</t>
  </si>
  <si>
    <t>WasteGlassCulletHub to HG_ElectricGlassFurnace2</t>
  </si>
  <si>
    <t>WasteGlassCulletHub to HG_GasGlassFurnace2</t>
  </si>
  <si>
    <t>WasteGlassCulletHub to HG_GasHybridGlassFurnace2</t>
  </si>
  <si>
    <t>WasteGlassCulletHub to HG_OilGlassFurnace2</t>
  </si>
  <si>
    <t>WasteGlassCulletHub to HG_OilHybridGlassFurnace2</t>
  </si>
  <si>
    <t>WasteGlassCulletHub to HG_OxyFuelGlassFurnace2</t>
  </si>
  <si>
    <t>WasteGlassCulletHub to HG_BlendedGasHybridGlassFurnace2</t>
  </si>
  <si>
    <t>WasteGlassCulletHub to HG_HydrogenHybridGlassFurnace2</t>
  </si>
  <si>
    <t>WasteGlassCulletHub to HG_SuperboostGlassFurnace2</t>
  </si>
  <si>
    <t>FG_GlassCulletHub to FG_ElectricGlassFurnace</t>
  </si>
  <si>
    <t>FG_GlassCulletHub to FG_GasGlassFurnace</t>
  </si>
  <si>
    <t>FG_GlassCulletHub to FG_GasHybridGlassFurnace</t>
  </si>
  <si>
    <t>FG_GlassCulletHub to FG_OilGlassFurnace</t>
  </si>
  <si>
    <t>FG_GlassCulletHub to FG_OilHybridGlassFurnace</t>
  </si>
  <si>
    <t>FG_GlassCulletHub to FG_OxyFuelGlassFurnace</t>
  </si>
  <si>
    <t>FG_GlassCulletHub to FG_BlendedGasHybridGlassFurnace</t>
  </si>
  <si>
    <t>FG_GlassCulletHub to FG_HydrogenHybridGlassFurnace</t>
  </si>
  <si>
    <t>FG_GlassCulletHub to FG_SuperboostGlassFurnace</t>
  </si>
  <si>
    <t>FG_GlassCulletHub to FG_ElectricGlassFurnace2</t>
  </si>
  <si>
    <t>FG_GlassCulletHub to FG_GasGlassFurnace2</t>
  </si>
  <si>
    <t>FG_GlassCulletHub to FG_GasHybridGlassFurnace2</t>
  </si>
  <si>
    <t>FG_GlassCulletHub to FG_OilGlassFurnace2</t>
  </si>
  <si>
    <t>FG_GlassCulletHub to FG_OilHybridGlassFurnace2</t>
  </si>
  <si>
    <t>FG_GlassCulletHub to FG_OxyFuelGlassFurnace2</t>
  </si>
  <si>
    <t>FG_GlassCulletHub to FG_BlendedGasHybridGlassFurnace2</t>
  </si>
  <si>
    <t>FG_GlassCulletHub to FG_HydrogenHybridGlassFurnace2</t>
  </si>
  <si>
    <t>FG_GlassCulletHub to FG_SuperboostGlassFurnace2</t>
  </si>
  <si>
    <t>WasteGlassCulletHub to GF_ElectricGlassFurnace</t>
  </si>
  <si>
    <t>WasteGlassCulletHub to GF_GasGlassFurnace</t>
  </si>
  <si>
    <t>WasteGlassCulletHub to GF_GasHybridGlassFurnace</t>
  </si>
  <si>
    <t>WasteGlassCulletHub to GF_OxyFuelGlassFurnace</t>
  </si>
  <si>
    <t>WasteGlassCulletHub to GF_BlendedGasHybridGlassFurnace</t>
  </si>
  <si>
    <t>WasteGlassCulletHub to GF_HydrogenHybridGlassFurnace</t>
  </si>
  <si>
    <t>WasteGlassCulletHub to GF_SuperboostGlassFurnace</t>
  </si>
  <si>
    <t>WasteGlassCulletHub to GF_ElectricGlassFurnace2</t>
  </si>
  <si>
    <t>WasteGlassCulletHub to GF_GasGlassFurnace2</t>
  </si>
  <si>
    <t>WasteGlassCulletHub to GF_GasHybridGlassFurnace2</t>
  </si>
  <si>
    <t>WasteGlassCulletHub to GF_OxyFuelGlassFurnace2</t>
  </si>
  <si>
    <t>WasteGlassCulletHub to GF_BlendedGasHybridGlassFurnace2</t>
  </si>
  <si>
    <t>WasteGlassCulletHub to GF_HydrogenHybridGlassFurnace2</t>
  </si>
  <si>
    <t>WasteGlassCulletHub to GF_SuperboostGlassFurnace2</t>
  </si>
  <si>
    <t>SG_GlassCulletHub to SG_ElectricGlassFurnace</t>
  </si>
  <si>
    <t>SG_GlassCulletHub to SG_GasGlassFurnace</t>
  </si>
  <si>
    <t>SG_GlassCulletHub to SG_GasHybridGlassFurnace</t>
  </si>
  <si>
    <t>SG_GlassCulletHub to SG_OxyFuelGlassFurnace</t>
  </si>
  <si>
    <t>SG_GlassCulletHub to SG_BlendedGasHybridGlassFurnace</t>
  </si>
  <si>
    <t>SG_GlassCulletHub to SG_HydrogenHybridGlassFurnace</t>
  </si>
  <si>
    <t>SG_GlassCulletHub to SG_SuperboostGlassFurnace</t>
  </si>
  <si>
    <t>SG_GlassCulletHub to SG_ElectricGlassFurnace2</t>
  </si>
  <si>
    <t>SG_GlassCulletHub to SG_GasGlassFurnace2</t>
  </si>
  <si>
    <t>SG_GlassCulletHub to SG_GasHybridGlassFurnace2</t>
  </si>
  <si>
    <t>SG_GlassCulletHub to SG_OxyFuelGlassFurnace2</t>
  </si>
  <si>
    <t>SG_GlassCulletHub to SG_BlendedGasHybridGlassFurnace2</t>
  </si>
  <si>
    <t>SG_GlassCulletHub to SG_HydrogenHybridGlassFurnace2</t>
  </si>
  <si>
    <t>SG_GlassCulletHub to SG_SuperboostGlassFurnace2</t>
  </si>
  <si>
    <t>HG_ElectricGlassFurnace to WasteGlassCulletHub</t>
  </si>
  <si>
    <t>Internal glass cullet</t>
  </si>
  <si>
    <t>Interne Scherben</t>
  </si>
  <si>
    <t>HG_GasGlassFurnace to WasteGlassCulletHub</t>
  </si>
  <si>
    <t>HG_GasHybridGlassFurnace to WasteGlassCulletHub</t>
  </si>
  <si>
    <t>HG_OilGlassFurnace to WasteGlassCulletHub</t>
  </si>
  <si>
    <t>HG_OilHybridGlassFurnace to WasteGlassCulletHub</t>
  </si>
  <si>
    <t>HG_OxyFuelGlassFurnace to WasteGlassCulletHub</t>
  </si>
  <si>
    <t>HG_BlendedGasHybridGlassFurnace to WasteGlassCulletHub</t>
  </si>
  <si>
    <t>HG_HydrogenHybridGlassFurnace to WasteGlassCulletHub</t>
  </si>
  <si>
    <t>HG_SuperboostGlassFurnace to WasteGlassCulletHub</t>
  </si>
  <si>
    <t>HG_ElectricGlassFurnace2 to WasteGlassCulletHub</t>
  </si>
  <si>
    <t>HG_GasGlassFurnace2 to WasteGlassCulletHub</t>
  </si>
  <si>
    <t>HG_GasHybridGlassFurnace2 to WasteGlassCulletHub</t>
  </si>
  <si>
    <t>HG_OilGlassFurnace2 to WasteGlassCulletHub</t>
  </si>
  <si>
    <t>HG_OilHybridGlassFurnace2 to WasteGlassCulletHub</t>
  </si>
  <si>
    <t>HG_OxyFuelGlassFurnace2 to WasteGlassCulletHub</t>
  </si>
  <si>
    <t>HG_BlendedGasHybridGlassFurnace2 to WasteGlassCulletHub</t>
  </si>
  <si>
    <t>HG_HydrogenHybridGlassFurnace2 to WasteGlassCulletHub</t>
  </si>
  <si>
    <t>HG_SuperboostGlassFurnace2 to WasteGlassCulletHub</t>
  </si>
  <si>
    <t>FG_ElectricGlassFurnace to FG_GlassCulletHub</t>
  </si>
  <si>
    <t>FG_GasGlassFurnace to FG_GlassCulletHub</t>
  </si>
  <si>
    <t>FG_GasHybridGlassFurnace to FG_GlassCulletHub</t>
  </si>
  <si>
    <t>FG_OilGlassFurnace to FG_GlassCulletHub</t>
  </si>
  <si>
    <t>FG_OilHybridGlassFurnace to FG_GlassCulletHub</t>
  </si>
  <si>
    <t>FG_OxyFuelGlassFurnace to FG_GlassCulletHub</t>
  </si>
  <si>
    <t>FG_BlendedGasHybridGlassFurnace to FG_GlassCulletHub</t>
  </si>
  <si>
    <t>FG_HydrogenHybridGlassFurnace to FG_GlassCulletHub</t>
  </si>
  <si>
    <t>FG_SuperboostGlassFurnace to FG_GlassCulletHub</t>
  </si>
  <si>
    <t>FG_ElectricGlassFurnace2 to FG_GlassCulletHub</t>
  </si>
  <si>
    <t>FG_GasGlassFurnace2 to FG_GlassCulletHub</t>
  </si>
  <si>
    <t>FG_GasHybridGlassFurnace2 to FG_GlassCulletHub</t>
  </si>
  <si>
    <t>FG_OilGlassFurnace2 to FG_GlassCulletHub</t>
  </si>
  <si>
    <t>FG_OilHybridGlassFurnace2 to FG_GlassCulletHub</t>
  </si>
  <si>
    <t>FG_OxyFuelGlassFurnace2 to FG_GlassCulletHub</t>
  </si>
  <si>
    <t>FG_BlendedGasHybridGlassFurnace2 to FG_GlassCulletHub</t>
  </si>
  <si>
    <t>FG_HydrogenHybridGlassFurnace2 to FG_GlassCulletHub</t>
  </si>
  <si>
    <t>FG_SuperboostGlassFurnace2 to FG_GlassCulletHub</t>
  </si>
  <si>
    <t>GF_ElectricGlassFurnace to WasteGlassCulletHub</t>
  </si>
  <si>
    <t>GF_GasGlassFurnace to WasteGlassCulletHub</t>
  </si>
  <si>
    <t>GF_GasHybridGlassFurnace to WasteGlassCulletHub</t>
  </si>
  <si>
    <t>GF_OxyFuelGlassFurnace to WasteGlassCulletHub</t>
  </si>
  <si>
    <t>GF_BlendedGasHybridGlassFurnace to WasteGlassCulletHub</t>
  </si>
  <si>
    <t>GF_HydrogenHybridGlassFurnace to WasteGlassCulletHub</t>
  </si>
  <si>
    <t>GF_SuperboostGlassFurnace to WasteGlassCulletHub</t>
  </si>
  <si>
    <t>GF_ElectricGlassFurnace2 to WasteGlassCulletHub</t>
  </si>
  <si>
    <t>GF_GasGlassFurnace2 to WasteGlassCulletHub</t>
  </si>
  <si>
    <t>GF_GasHybridGlassFurnace2 to WasteGlassCulletHub</t>
  </si>
  <si>
    <t>GF_OxyFuelGlassFurnace2 to WasteGlassCulletHub</t>
  </si>
  <si>
    <t>GF_BlendedGasHybridGlassFurnace2 to WasteGlassCulletHub</t>
  </si>
  <si>
    <t>GF_HydrogenHybridGlassFurnace2 to WasteGlassCulletHub</t>
  </si>
  <si>
    <t>GF_SuperboostGlassFurnace2 to WasteGlassCulletHub</t>
  </si>
  <si>
    <t>SG_ElectricGlassFurnace to SG_GlassCulletHub</t>
  </si>
  <si>
    <t>SG_GasGlassFurnace to SG_GlassCulletHub</t>
  </si>
  <si>
    <t>SG_GasHybridGlassFurnace to SG_GlassCulletHub</t>
  </si>
  <si>
    <t>SG_OxyFuelGlassFurnace to SG_GlassCulletHub</t>
  </si>
  <si>
    <t>SG_BlendedGasHybridGlassFurnace to SG_GlassCulletHub</t>
  </si>
  <si>
    <t>SG_HydrogenHybridGlassFurnace to SG_GlassCulletHub</t>
  </si>
  <si>
    <t>SG_SuperboostGlassFurnace to SG_GlassCulletHub</t>
  </si>
  <si>
    <t>SG_ElectricGlassFurnace2 to SG_GlassCulletHub</t>
  </si>
  <si>
    <t>SG_GasGlassFurnace2 to SG_GlassCulletHub</t>
  </si>
  <si>
    <t>SG_GasHybridGlassFurnace2 to SG_GlassCulletHub</t>
  </si>
  <si>
    <t>SG_OxyFuelGlassFurnace2 to SG_GlassCulletHub</t>
  </si>
  <si>
    <t>SG_BlendedGasHybridGlassFurnace2 to SG_GlassCulletHub</t>
  </si>
  <si>
    <t>SG_HydrogenHybridGlassFurnace2 to SG_GlassCulletHub</t>
  </si>
  <si>
    <t>SG_SuperboostGlassFurnace2 to SG_GlassCulletHub</t>
  </si>
  <si>
    <t>Branchenübergreifende Werte und Mengen</t>
  </si>
  <si>
    <t>HG_ElectricGlassFurnace</t>
  </si>
  <si>
    <t>HG_GasGlassFurnace</t>
  </si>
  <si>
    <t>HG_GasHybridGlassFurnace</t>
  </si>
  <si>
    <t>HG_OilGlassFurnace</t>
  </si>
  <si>
    <t>HG_OilHybridGlassFurnace</t>
  </si>
  <si>
    <t>HG_OxyFuelGlassFurnace</t>
  </si>
  <si>
    <t>HG_BlendedGasHybridGlassFurnace</t>
  </si>
  <si>
    <t>HG_HydrogenHybridGlassFurnace</t>
  </si>
  <si>
    <t>HG_SuperboostGlassFurnace</t>
  </si>
  <si>
    <t>HG_ElectricGlassFurnace2</t>
  </si>
  <si>
    <t>HG_GasGlassFurnace2</t>
  </si>
  <si>
    <t>HG_GasHybridGlassFurnace2</t>
  </si>
  <si>
    <t>HG_OilGlassFurnace2</t>
  </si>
  <si>
    <t>HG_OilHybridGlassFurnace2</t>
  </si>
  <si>
    <t>HG_OxyFuelGlassFurnace2</t>
  </si>
  <si>
    <t>HG_BlendedGasHybridGlassFurnace2</t>
  </si>
  <si>
    <t>HG_HydrogenHybridGlassFurnace2</t>
  </si>
  <si>
    <t>HG_SuperboostGlassFurnace2</t>
  </si>
  <si>
    <t>Gesamtsumme Branche</t>
  </si>
  <si>
    <t>total costs</t>
  </si>
  <si>
    <t>Gesamtkosten Branche</t>
  </si>
  <si>
    <t>FG_ElectricGlassFurnace</t>
  </si>
  <si>
    <t>FG_GasGlassFurnace</t>
  </si>
  <si>
    <t>FG_GasHybridGlassFurnace</t>
  </si>
  <si>
    <t>FG_OilGlassFurnace</t>
  </si>
  <si>
    <t>FG_OilHybridGlassFurnace</t>
  </si>
  <si>
    <t>FG_OxyFuelGlassFurnace</t>
  </si>
  <si>
    <t>FG_BlendedGasHybridGlassFurnace</t>
  </si>
  <si>
    <t>FG_HydrogenHybridGlassFurnace</t>
  </si>
  <si>
    <t>FG_SuperboostGlassFurnace</t>
  </si>
  <si>
    <t>FG_ElectricGlassFurnace2</t>
  </si>
  <si>
    <t>FG_GasGlassFurnace2</t>
  </si>
  <si>
    <t>FG_GasHybridGlassFurnace2</t>
  </si>
  <si>
    <t>FG_OilGlassFurnace2</t>
  </si>
  <si>
    <t>FG_OilHybridGlassFurnace2</t>
  </si>
  <si>
    <t>FG_OxyFuelGlassFurnace2</t>
  </si>
  <si>
    <t>FG_BlendedGasHybridGlassFurnace2</t>
  </si>
  <si>
    <t>FG_HydrogenHybridGlassFurnace2</t>
  </si>
  <si>
    <t>FG_SuperboostGlassFurnace2</t>
  </si>
  <si>
    <t>GF_ElectricGlassFurnace</t>
  </si>
  <si>
    <t>GF_GasGlassFurnace</t>
  </si>
  <si>
    <t>GF_GasHybridGlassFurnace</t>
  </si>
  <si>
    <t>GF_OilGlassFurnace</t>
  </si>
  <si>
    <t>GF_OilHybridGlassFurnace</t>
  </si>
  <si>
    <t>GF_OxyFuelGlassFurnace</t>
  </si>
  <si>
    <t>GF_BlendedGasHybridGlassFurnace</t>
  </si>
  <si>
    <t>GF_HydrogenHybridGlassFurnace</t>
  </si>
  <si>
    <t>GF_SuperboostGlassFurnace</t>
  </si>
  <si>
    <t>GF_ElectricGlassFurnace2</t>
  </si>
  <si>
    <t>GF_GasGlassFurnace2</t>
  </si>
  <si>
    <t>GF_GasHybridGlassFurnace2</t>
  </si>
  <si>
    <t>GF_OilGlassFurnace2</t>
  </si>
  <si>
    <t>GF_OilHybridGlassFurnace2</t>
  </si>
  <si>
    <t>GF_OxyFuelGlassFurnace2</t>
  </si>
  <si>
    <t>GF_BlendedGasHybridGlassFurnace2</t>
  </si>
  <si>
    <t>GF_HydrogenHybridGlassFurnace2</t>
  </si>
  <si>
    <t>GF_SuperboostGlassFurnace2</t>
  </si>
  <si>
    <t>SG_ElectricGlassFurnace</t>
  </si>
  <si>
    <t>SG_GasGlassFurnace</t>
  </si>
  <si>
    <t>SG_GasHybridGlassFurnace</t>
  </si>
  <si>
    <t>SG_OilGlassFurnace</t>
  </si>
  <si>
    <t>SG_OilHybridGlassFurnace</t>
  </si>
  <si>
    <t>SG_OxyFuelGlassFurnace</t>
  </si>
  <si>
    <t>SG_BlendedGasHybridGlassFurnace</t>
  </si>
  <si>
    <t>SG_HydrogenHybridGlassFurnace</t>
  </si>
  <si>
    <t>SG_SuperboostGlassFurnace</t>
  </si>
  <si>
    <t>SG_ElectricGlassFurnace2</t>
  </si>
  <si>
    <t>SG_GasGlassFurnace2</t>
  </si>
  <si>
    <t>SG_GasHybridGlassFurnace2</t>
  </si>
  <si>
    <t>SG_OilGlassFurnace2</t>
  </si>
  <si>
    <t>SG_OilHybridGlassFurnace2</t>
  </si>
  <si>
    <t>SG_OxyFuelGlassFurnace2</t>
  </si>
  <si>
    <t>SG_BlendedGasHybridGlassFurnace2</t>
  </si>
  <si>
    <t>SG_HydrogenHybridGlassFurnace2</t>
  </si>
  <si>
    <t>SG_SuperboostGlassFurnace2</t>
  </si>
  <si>
    <t>Gesamtsumme Glasindustrie</t>
  </si>
  <si>
    <t>Gesamtkosten Glasindustrie</t>
  </si>
  <si>
    <t>Stromwannen</t>
  </si>
  <si>
    <t>Gaswannen</t>
  </si>
  <si>
    <t>Gashbyridwannen</t>
  </si>
  <si>
    <t>Ölwannen</t>
  </si>
  <si>
    <t>Ölhybridwannen</t>
  </si>
  <si>
    <t>Oxyfuelwannen</t>
  </si>
  <si>
    <t>Gasmixwannen</t>
  </si>
  <si>
    <t>Wasserstoffwannen</t>
  </si>
  <si>
    <t>Wasserstoffbefeuerte Glasschmelze</t>
  </si>
  <si>
    <t>Superboostwannen</t>
  </si>
  <si>
    <t>WasteGlassTreatment</t>
  </si>
  <si>
    <t>Treatment costs wasteglass</t>
  </si>
  <si>
    <t>Aufbereitungskosten Altglas</t>
  </si>
  <si>
    <t>FlatGlassTreatment</t>
  </si>
  <si>
    <t>Treatment costs flatglass</t>
  </si>
  <si>
    <t>Aufbereitungskosten Flachglas</t>
  </si>
  <si>
    <t>T-C-WasteGlass</t>
  </si>
  <si>
    <t>Cullet costs wasteglass</t>
  </si>
  <si>
    <t>Altglasscherbenkosten</t>
  </si>
  <si>
    <t>T-C-FlatGlassTreatment</t>
  </si>
  <si>
    <t>Cullet costs flatglass</t>
  </si>
  <si>
    <t>Flachglasscherbenkosten</t>
  </si>
  <si>
    <t>T-C-SG_GlassCullet</t>
  </si>
  <si>
    <t>Cullet costs specialglass</t>
  </si>
  <si>
    <t>Spezialglasscherbenkosten</t>
  </si>
  <si>
    <t>Gesamtsumme Altglas</t>
  </si>
  <si>
    <t>total wasteglass</t>
  </si>
  <si>
    <t>Gesamtkosten Altglas</t>
  </si>
  <si>
    <t>Gesamtsumme Flachglas</t>
  </si>
  <si>
    <t>total flatglass</t>
  </si>
  <si>
    <t>Gesamtkosten Flachglas</t>
  </si>
  <si>
    <t>Kosten pro Tonne aufbereitet Altglas</t>
  </si>
  <si>
    <t>costs per tonne tretead</t>
  </si>
  <si>
    <t>€/t</t>
  </si>
  <si>
    <t>Kosten pro Tonne aufbereitet Flachglas</t>
  </si>
  <si>
    <t>GlassRawMaterial-Source</t>
  </si>
  <si>
    <t>total costs raw material</t>
  </si>
  <si>
    <t>Gesamtkosten Rohmaterial</t>
  </si>
  <si>
    <t>Gesamt / total</t>
  </si>
  <si>
    <t>Gas-Hybrid Glass production</t>
  </si>
  <si>
    <t>Total sellable glass production</t>
  </si>
  <si>
    <t>Gesamtproduktion verkaufsfertiges Glas</t>
  </si>
  <si>
    <t>Total glass production</t>
  </si>
  <si>
    <t>Gesamtproduktion total</t>
  </si>
  <si>
    <t>Gasverbrauch</t>
  </si>
  <si>
    <t>Energie in GWh</t>
  </si>
  <si>
    <t xml:space="preserve">Stromverbrauch </t>
  </si>
  <si>
    <t>Total energy consumption</t>
  </si>
  <si>
    <t>Gesamtenergieverbrauch Schmelzprozess</t>
  </si>
  <si>
    <t>Gesamtenergieverbrauch komplett</t>
  </si>
  <si>
    <t>Hollow glass</t>
  </si>
  <si>
    <t>Hohlglas geschmolzen</t>
  </si>
  <si>
    <t>Flat glass</t>
  </si>
  <si>
    <t>Flachglas geschmolzen</t>
  </si>
  <si>
    <t>Glass fibers</t>
  </si>
  <si>
    <t>Glasfasern geschmolzen</t>
  </si>
  <si>
    <t>Special glass</t>
  </si>
  <si>
    <t>Spezialglas geschmolzen</t>
  </si>
  <si>
    <t>Hohlglas komplett</t>
  </si>
  <si>
    <t>Flachglas komplett</t>
  </si>
  <si>
    <t>Glasfasern komplett</t>
  </si>
  <si>
    <t>Spezialglas komplett</t>
  </si>
  <si>
    <t>Pro Tonne verkaufsfähiges Glas</t>
  </si>
  <si>
    <t>Hohlglas (verkaufsfertig)</t>
  </si>
  <si>
    <t>Energie in MWh/t</t>
  </si>
  <si>
    <t>Flachglas (verkaufsfertig)</t>
  </si>
  <si>
    <t>Glasfasern (verkaufsfertig)</t>
  </si>
  <si>
    <t>Spezialglas (verkaufsfertig)</t>
  </si>
  <si>
    <t>Pro Tonne geschmolzenes Glas</t>
  </si>
  <si>
    <t>Hohlglas (geschmolzen)</t>
  </si>
  <si>
    <t>Flachglas (geschmolzen)</t>
  </si>
  <si>
    <t>Glasfasern (geschmolzen)</t>
  </si>
  <si>
    <t>Spezialglas (geschmolzen)</t>
  </si>
  <si>
    <t>GlassRawMaterial-Source to GlassRawMaterialHub1</t>
  </si>
  <si>
    <t>Glass raw material total</t>
  </si>
  <si>
    <t>Rohmaterial gesamt</t>
  </si>
  <si>
    <t>WasteGlassTreatment to WasteGlassCulletHub</t>
  </si>
  <si>
    <t>Wasteglass total</t>
  </si>
  <si>
    <t>Altglasaufbereitung</t>
  </si>
  <si>
    <t>FlatGlassTreatment to FG_GlassCulletHub</t>
  </si>
  <si>
    <t>Flat glass cullet (FG)</t>
  </si>
  <si>
    <t>Flachglasaufbereitung (FG Anteil)</t>
  </si>
  <si>
    <t>FlatGlassTreatment to WasteGlassCulletHub</t>
  </si>
  <si>
    <t>Flat glass cullet (HG &amp; GF)</t>
  </si>
  <si>
    <t>Flachglasaufbereitung  (HG / GF Anteil)</t>
  </si>
  <si>
    <t>Externall Cullet total</t>
  </si>
  <si>
    <t>Scherben extern gesamt</t>
  </si>
  <si>
    <t>Cullet total</t>
  </si>
  <si>
    <t>Scherben gesamt</t>
  </si>
  <si>
    <t>Relativ zur Produktionsmenge</t>
  </si>
  <si>
    <t>Cullet perecentage</t>
  </si>
  <si>
    <t>Scherben prozentual Gemenge</t>
  </si>
  <si>
    <t>Anteil</t>
  </si>
  <si>
    <t>Rawmaterial percentage</t>
  </si>
  <si>
    <t>Rohmaterial prozentual Gemenge</t>
  </si>
  <si>
    <t>Scherben prozentual pro Tonne Glas</t>
  </si>
  <si>
    <t>Rohmaterial prozentual pro Tonne Glas</t>
  </si>
  <si>
    <t>Substituted raw material</t>
  </si>
  <si>
    <t>Rohmaterialersparnis durch ex. Scherben</t>
  </si>
  <si>
    <t>Rohmaterialersparnis durch ges. Scherben</t>
  </si>
  <si>
    <t>Energieverbrauch Durschnitt (verkaufsfertig)</t>
  </si>
  <si>
    <t>Energy per tonne</t>
  </si>
  <si>
    <t xml:space="preserve">Energie pro Tonne Glas </t>
  </si>
  <si>
    <t>Scherbeneinsatz prozentual</t>
  </si>
  <si>
    <t>Hohlglas Scherbeneinsatz</t>
  </si>
  <si>
    <t>Scherbenanteil</t>
  </si>
  <si>
    <t>Flachglas Scherbeneinsatz</t>
  </si>
  <si>
    <t>Glasfasern Scherbeneinsatz</t>
  </si>
  <si>
    <t>Spezialglas Scherbeneinsatz</t>
  </si>
  <si>
    <t>CO2-Emsissionen energie- &amp; prozessbedingt</t>
  </si>
  <si>
    <t>Hohlglas</t>
  </si>
  <si>
    <t>Flachglas</t>
  </si>
  <si>
    <t>Glasfasern</t>
  </si>
  <si>
    <t>Spezialglas</t>
  </si>
  <si>
    <r>
      <t>CO</t>
    </r>
    <r>
      <rPr>
        <b/>
        <vertAlign val="subscript"/>
        <sz val="11"/>
        <color theme="1"/>
        <rFont val="Arial Nova"/>
        <family val="2"/>
      </rPr>
      <t>2</t>
    </r>
    <r>
      <rPr>
        <b/>
        <sz val="11"/>
        <color theme="1"/>
        <rFont val="Arial Nova"/>
        <family val="2"/>
      </rPr>
      <t>-Emissionen gesamt</t>
    </r>
  </si>
  <si>
    <t>CO2-Emsissionen relativ zur Produtionsmenge (vkf.)</t>
  </si>
  <si>
    <t xml:space="preserve">t CO2 / t Glas </t>
  </si>
  <si>
    <r>
      <t>CO</t>
    </r>
    <r>
      <rPr>
        <b/>
        <vertAlign val="subscript"/>
        <sz val="11"/>
        <color theme="1"/>
        <rFont val="Arial Nova"/>
        <family val="2"/>
      </rPr>
      <t>2</t>
    </r>
    <r>
      <rPr>
        <b/>
        <sz val="11"/>
        <color theme="1"/>
        <rFont val="Arial Nova"/>
        <family val="2"/>
      </rPr>
      <t>-Emissionen rohstoffbedingt</t>
    </r>
  </si>
  <si>
    <t>Prozentualer Anteil energiebedingter CO2-Emissionen am Gesamtausstoß</t>
  </si>
  <si>
    <t>Total per tonne</t>
  </si>
  <si>
    <t>Gesamt / Tonne</t>
  </si>
  <si>
    <t>Relative Minderung ggü. 1990</t>
  </si>
  <si>
    <t>perecntual CO2 reduction</t>
  </si>
  <si>
    <t xml:space="preserve">Prozentuale CO2 Einsparung </t>
  </si>
  <si>
    <t>Prozenzwert</t>
  </si>
  <si>
    <t>CO2-Emsissionen gesamt (Hochrechnung )</t>
  </si>
  <si>
    <t>Relative Minderung ggü. 1990 (Hochrechnung)</t>
  </si>
  <si>
    <t>Verfehlung der Klimaziele (95% Ziel)</t>
  </si>
  <si>
    <t>derivation climate goals 95%</t>
  </si>
  <si>
    <t xml:space="preserve">Prozentuale Abweichung ggü. 95% Ziel </t>
  </si>
  <si>
    <t>CO2-Emissionen NUR energiebedingt</t>
  </si>
  <si>
    <t>CO2-Emsissionen gesamt</t>
  </si>
  <si>
    <r>
      <t>CO</t>
    </r>
    <r>
      <rPr>
        <b/>
        <vertAlign val="subscript"/>
        <sz val="11"/>
        <color theme="1"/>
        <rFont val="Arial Nova"/>
        <family val="2"/>
      </rPr>
      <t>2</t>
    </r>
    <r>
      <rPr>
        <b/>
        <sz val="11"/>
        <color theme="1"/>
        <rFont val="Arial Nova"/>
        <family val="2"/>
      </rPr>
      <t>-Emissionen energiebedingt</t>
    </r>
  </si>
  <si>
    <r>
      <t>CO</t>
    </r>
    <r>
      <rPr>
        <b/>
        <vertAlign val="subscript"/>
        <sz val="11"/>
        <color theme="1"/>
        <rFont val="Arial Nova"/>
        <family val="2"/>
      </rPr>
      <t>2</t>
    </r>
    <r>
      <rPr>
        <b/>
        <sz val="11"/>
        <color theme="1"/>
        <rFont val="Arial Nova"/>
        <family val="2"/>
      </rPr>
      <t>-Emissionen prozessbedingt</t>
    </r>
  </si>
  <si>
    <t>Referenzjahr 1990</t>
  </si>
  <si>
    <t>CopperConcentrate-Source</t>
  </si>
  <si>
    <t>T-C-CH4-EAF</t>
  </si>
  <si>
    <t>T-C-CopperScrap</t>
  </si>
  <si>
    <t>T-C-EAFdust</t>
  </si>
  <si>
    <t>T-C-ZincScrap</t>
  </si>
  <si>
    <t>ZincConcentrate-Source</t>
  </si>
  <si>
    <t>CH4Hub2 to T-C-CH4-EAF</t>
  </si>
  <si>
    <t>T-C-CH4-EAF to CH4H2Hub</t>
  </si>
  <si>
    <t>FG_GasGlassFurnace_stock</t>
  </si>
  <si>
    <t>FG_GasHybridGlassFurnace_stock</t>
  </si>
  <si>
    <t>CopperPPP_stock</t>
  </si>
  <si>
    <t>CopperRecycling(KRS)_stock</t>
  </si>
  <si>
    <t>ZincRemelt_stock</t>
  </si>
  <si>
    <t>ZincWaelzoxideProcess_stock</t>
  </si>
  <si>
    <t>GF_GasGlassFurnace_stock</t>
  </si>
  <si>
    <t>GF_OxyFuelGlassFurnace_stock</t>
  </si>
  <si>
    <t>HG_GasGlassFurnace_stock</t>
  </si>
  <si>
    <t>HG_GasHybridGlassFurnace_stock</t>
  </si>
  <si>
    <t>HG_OxyFuelGlassFurnace_stock</t>
  </si>
  <si>
    <t>SG_GasHybridGlassFurnace_stock</t>
  </si>
  <si>
    <t>SG_OxyFuelGlassFurnace_stock</t>
  </si>
  <si>
    <t>Glas</t>
  </si>
  <si>
    <t>Copper</t>
  </si>
  <si>
    <t>Zinc</t>
  </si>
  <si>
    <t>GesamtStrombedarf</t>
  </si>
  <si>
    <t>GesamtHeizölBedarf</t>
  </si>
  <si>
    <t>GesamtErdgasBedarf</t>
  </si>
  <si>
    <t>GesamtKoksBedarf</t>
  </si>
  <si>
    <t>SteamCrackerFos</t>
  </si>
  <si>
    <t>SteamCrackerGreen</t>
  </si>
  <si>
    <t>T-C-HVCfos2HVC</t>
  </si>
  <si>
    <t>Naphtha-Source to NaphthaFosHub</t>
  </si>
  <si>
    <t>NaphthaFosHub to SteamCrackerFos</t>
  </si>
  <si>
    <t>PlasticsChemRecycling to NaphthaRenHub</t>
  </si>
  <si>
    <t>SteamCrackerFos to HVCfosHub</t>
  </si>
  <si>
    <t>SteamCrackerGreen to HVCgreenHub</t>
  </si>
  <si>
    <t>T-C-HVCfos2HVC to HVCHub</t>
  </si>
  <si>
    <t>T-C-HVCgreen2HVC to HVCHub</t>
  </si>
  <si>
    <t>T-C-GasnaphthaFosToNaphtha to NaphthaFosHub</t>
  </si>
  <si>
    <t>T-C-GasnaphthaRenToNaphtha to NaphthaRenHub</t>
  </si>
  <si>
    <t>HVCgreen-produktion</t>
  </si>
  <si>
    <t>HVCfos-produktion</t>
  </si>
  <si>
    <t>SteamCrackerConvHeat</t>
  </si>
  <si>
    <t>SteamCrackerElHeat</t>
  </si>
  <si>
    <t>Demand-EHub to SteamCrackerConvHeat</t>
  </si>
  <si>
    <t>Demand-EHub to SteamCrackerElHeat</t>
  </si>
  <si>
    <t>Demand-Ehub to SteamcrackerConvHeat</t>
  </si>
  <si>
    <t>Demand-Ehub to SteamcrackerelHeat</t>
  </si>
  <si>
    <t>T-C-KeroseneRenToKerosene to kerosenehub</t>
  </si>
  <si>
    <t>T-C-KeroseneFosToKerosene to kerosenehub</t>
  </si>
  <si>
    <t>ren share</t>
  </si>
  <si>
    <t>fos share</t>
  </si>
  <si>
    <t>HVCHub to T-C-PlasticsAutomotive1</t>
  </si>
  <si>
    <t>HVCHub to T-C-PlasticsAutomotive2</t>
  </si>
  <si>
    <t>HVCHub to T-C-PlasticsConstruction1</t>
  </si>
  <si>
    <t>HVCHub to T-C-PlasticsConstruction2</t>
  </si>
  <si>
    <t>HVCHub to T-C-PlasticsElectronics1</t>
  </si>
  <si>
    <t>HVCHub to T-C-PlasticsElectronics2</t>
  </si>
  <si>
    <t>HVCHub to T-C-PlasticsElse1</t>
  </si>
  <si>
    <t>HVCHub to T-C-PlasticsElse2</t>
  </si>
  <si>
    <t>HVCHub to T-C-PlasticsPackaging1</t>
  </si>
  <si>
    <t>HVCHub to T-C-PlasticsPackaging2</t>
  </si>
  <si>
    <t>ScrapPlasticsHub to T-C-PlasticsAutomotive1</t>
  </si>
  <si>
    <t>ScrapPlasticsHub to T-C-PlasticsConstruction1</t>
  </si>
  <si>
    <t>ScrapPlasticsHub to T-C-PlasticsElectronics1</t>
  </si>
  <si>
    <t>ScrapPlasticsHub to T-C-PlasticsElse1</t>
  </si>
  <si>
    <t>ScrapPlasticsHub to T-C-PlasticsPackaging1</t>
  </si>
  <si>
    <t>T-C-PlasticsAutomotive1 to PlasticsAutomotiveDHub</t>
  </si>
  <si>
    <t>T-C-PlasticsAutomotive1 to PlasticsAutomotiveWasteHub</t>
  </si>
  <si>
    <t>T-C-PlasticsAutomotive2 to PlasticsAutomotiveDHub</t>
  </si>
  <si>
    <t>T-C-PlasticsAutomotive2 to PlasticsAutomotiveWasteHub</t>
  </si>
  <si>
    <t>T-C-PlasticsConstruction1 to PlasticsConstructionDHub</t>
  </si>
  <si>
    <t>T-C-PlasticsConstruction1 to PlasticsConstructionWasteHub</t>
  </si>
  <si>
    <t>T-C-PlasticsConstruction2 to PlasticsConstructionDHub</t>
  </si>
  <si>
    <t>T-C-PlasticsConstruction2 to PlasticsConstructionWasteHub</t>
  </si>
  <si>
    <t>T-C-PlasticsElectronics1 to PlasticsElectronicsDHub</t>
  </si>
  <si>
    <t>T-C-PlasticsElectronics1 to PlasticsElectronicsWasteHub</t>
  </si>
  <si>
    <t>T-C-PlasticsElectronics2 to PlasticsElectronicsDHub</t>
  </si>
  <si>
    <t>T-C-PlasticsElectronics2 to PlasticsElectronicsWasteHub</t>
  </si>
  <si>
    <t>T-C-PlasticsElse1 to PlasticsElseDHub</t>
  </si>
  <si>
    <t>T-C-PlasticsElse1 to PlasticsElseWasteHub</t>
  </si>
  <si>
    <t>T-C-PlasticsElse2 to PlasticsElseDHub</t>
  </si>
  <si>
    <t>T-C-PlasticsPackaging1 to PlasticsPackagingDHub</t>
  </si>
  <si>
    <t>T-C-PlasticsPackaging1 to PlasticsPackagingWasteHub</t>
  </si>
  <si>
    <t>T-C-PlasticsPackaging2 to PlasticsPackagingDHub</t>
  </si>
  <si>
    <t>T-C-PlasticsPackaging2 to PlasticsPackagingWasteHub</t>
  </si>
  <si>
    <t>T-C-PlasticsElse2to PlasticsElseWasteHub</t>
  </si>
  <si>
    <t>FT-3</t>
  </si>
  <si>
    <t>Demand-EHub to FT-3</t>
  </si>
  <si>
    <t>FT-1 to KeroseneRenHub</t>
  </si>
  <si>
    <t>FT-3 to DieselRenHub</t>
  </si>
  <si>
    <t>FT-3 to GasolineNaphthaRenHub</t>
  </si>
  <si>
    <t>FT-3 to KeroseneRenHub</t>
  </si>
  <si>
    <t>HeatingToPChemRecHub to PlasticsChemRecycling1</t>
  </si>
  <si>
    <t>HeatingToPChemRecHub to PlasticsChemRecycling2</t>
  </si>
  <si>
    <t>PlasticsChemRecycling1 to NaphthaRenHub</t>
  </si>
  <si>
    <t>PlasticsChemRecycling2 to SynGasHub</t>
  </si>
  <si>
    <t>PlasticsWasteHub to PlasticsChemRecycling1</t>
  </si>
  <si>
    <t>PlasticsWasteHub to PlasticsChemRecycling2</t>
  </si>
  <si>
    <t>Demand-Ehub to PlasticsChemRecycling1</t>
  </si>
  <si>
    <t>Demand-Ehub to PlasticsChemRecycling2</t>
  </si>
  <si>
    <t>Chemical recycling gasification</t>
  </si>
  <si>
    <t>Chemical recycling pyrolisis</t>
  </si>
  <si>
    <t>Chem. Recycling pyrolisis</t>
  </si>
  <si>
    <t>Chem. Recycling gasification</t>
  </si>
  <si>
    <t>Chem. Recycling pyrolysis</t>
  </si>
  <si>
    <t>syngashub to FT-3</t>
  </si>
  <si>
    <t>FT-1 to kerosenerenhub</t>
  </si>
  <si>
    <t>FT-2 to kerosenerenhub</t>
  </si>
  <si>
    <t>FT-2 to gasolinenaphtharenhub</t>
  </si>
  <si>
    <t>FT-3 to dieselrenhub</t>
  </si>
  <si>
    <t>FT-3 to kerosenerenhub</t>
  </si>
  <si>
    <t>FT-3 to gasolinenaphtharenhub</t>
  </si>
  <si>
    <t>Anteil FT3 Naphtha</t>
  </si>
  <si>
    <t>Anteil FT3 KeroseneDiesel</t>
  </si>
  <si>
    <t>PlasticsChemRecycling1</t>
  </si>
  <si>
    <t>PlasticsChemRecycling2</t>
  </si>
  <si>
    <t>Naphtha and gasoline</t>
  </si>
  <si>
    <t>Rohöl Eigenverbrauch</t>
  </si>
  <si>
    <t>Net crude oil</t>
  </si>
  <si>
    <t>Netto Rohöl</t>
  </si>
  <si>
    <t>Own consumption</t>
  </si>
  <si>
    <t>HPs and industrial plants</t>
  </si>
  <si>
    <t>Heat production</t>
  </si>
  <si>
    <t>Energy carrier</t>
  </si>
  <si>
    <t>H2gridHub to H2IndustrialFurnace</t>
  </si>
  <si>
    <t>Demand-Ehub to E-IndustrialFurnace</t>
  </si>
  <si>
    <t>HH-Ehub to E-Stove</t>
  </si>
  <si>
    <t>Demand-Ehub to LS-E-boiler</t>
  </si>
  <si>
    <t>BioCoal</t>
  </si>
  <si>
    <t>BioCrudeOil</t>
  </si>
  <si>
    <t>Heat production district heating</t>
  </si>
  <si>
    <t>Energy carrier district heating</t>
  </si>
  <si>
    <t>Heat production local heat</t>
  </si>
  <si>
    <t>Energy carrier local heat</t>
  </si>
  <si>
    <t>Demand-Ehub to LS-Heatpump</t>
  </si>
  <si>
    <t>Demand-Ehub to electrovessel</t>
  </si>
  <si>
    <t>Heat production decentral heating</t>
  </si>
  <si>
    <t>Energy carrier decentral heating</t>
  </si>
  <si>
    <t>CH4hub2 to GasBoiler</t>
  </si>
  <si>
    <t>CH4hub2 to gascondensingboiler</t>
  </si>
  <si>
    <t>WoodPelletHub to PelletMiniChp</t>
  </si>
  <si>
    <t>FuelOilHub to OilCOndensingBoiler</t>
  </si>
  <si>
    <t>Room heating and warm water for Residential and TSC sector</t>
  </si>
  <si>
    <t>TSC sector</t>
  </si>
  <si>
    <t>Industry sector (only unspecified branches)</t>
  </si>
  <si>
    <t>Mining stones</t>
  </si>
  <si>
    <t>Residential and TSC Buildings</t>
  </si>
  <si>
    <t>TCS sector total</t>
  </si>
  <si>
    <t>Total TSC and Residential Building Sector</t>
  </si>
  <si>
    <t>demand-ehub to steamcrackerelheat</t>
  </si>
  <si>
    <t>demand-ehub to steamcrackerconvheat</t>
  </si>
  <si>
    <t>Glass industry</t>
  </si>
  <si>
    <t>Heavyoil-Source</t>
  </si>
  <si>
    <t>Sum decentral building</t>
  </si>
  <si>
    <t>Summe allocatable</t>
  </si>
  <si>
    <t>H2gridhub to HydrogenPaperCHP</t>
  </si>
  <si>
    <t>Chlorine production</t>
  </si>
  <si>
    <t>Chlor Produktion</t>
  </si>
  <si>
    <t>expansion factor</t>
  </si>
  <si>
    <t>Nicht-energetischer Rohöl-Bedarf</t>
  </si>
  <si>
    <t>Energetischer Rohöl-Bedarf</t>
  </si>
  <si>
    <t>Non-energetic</t>
  </si>
  <si>
    <t>Non-energetic Demand</t>
  </si>
  <si>
    <t>Total non-energetic Naphtha demand</t>
  </si>
  <si>
    <t>non-energetic</t>
  </si>
  <si>
    <t>Total demand</t>
  </si>
  <si>
    <t>non-energetic CH4</t>
  </si>
  <si>
    <t>non-energetic H2</t>
  </si>
  <si>
    <t>non-energetic crude oil</t>
  </si>
  <si>
    <t>ES2050</t>
  </si>
  <si>
    <t>EAF heat</t>
  </si>
  <si>
    <t>EAF Wärme</t>
  </si>
  <si>
    <t>Steel</t>
  </si>
  <si>
    <t>not detailed</t>
  </si>
  <si>
    <t>Share unspecified</t>
  </si>
  <si>
    <t>energy carrier for heat</t>
  </si>
  <si>
    <t>share detailed</t>
  </si>
  <si>
    <t>total share unspecified</t>
  </si>
  <si>
    <t>avg share detailed</t>
  </si>
  <si>
    <t>Share Biogas PP</t>
  </si>
  <si>
    <t>Absolute Natural Gas PP</t>
  </si>
  <si>
    <t>Absolute Biomas PP</t>
  </si>
  <si>
    <t>Absolute Natural Gas</t>
  </si>
  <si>
    <t>Absolute Biomass</t>
  </si>
  <si>
    <t>Biogasverbrauch</t>
  </si>
  <si>
    <t>TCS sector process heat and electricity</t>
  </si>
  <si>
    <t>TCS and Building sector heat</t>
  </si>
  <si>
    <t>non-energetic Biomass</t>
  </si>
  <si>
    <t>GesamtBiogasBedarf</t>
  </si>
  <si>
    <t>Biomass gasification</t>
  </si>
  <si>
    <t>Biomassevergasung</t>
  </si>
  <si>
    <t>Demand-Ehub to ElectroVessel</t>
  </si>
  <si>
    <t>Demand-ehub to LS-E-boiler</t>
  </si>
  <si>
    <t>Demand-Ehub to HaberBoschConv</t>
  </si>
  <si>
    <t>Demand-Ehub to HaberBoschH2</t>
  </si>
  <si>
    <t>DistrGrid-Ehub to BiogasToCh4</t>
  </si>
  <si>
    <t>Sum w/o export</t>
  </si>
  <si>
    <t>Sum w export</t>
  </si>
  <si>
    <t>Net crude oil consumption</t>
  </si>
  <si>
    <t>Net crude oil for graph</t>
  </si>
  <si>
    <t>Erzeugung</t>
  </si>
  <si>
    <t>Share of Coal for el. Gen.</t>
  </si>
  <si>
    <t>Total Costs Coal El. Gen.</t>
  </si>
  <si>
    <t>Share of Lignite for el. Gen.</t>
  </si>
  <si>
    <t>Share of CH4 for el. Gen.</t>
  </si>
  <si>
    <t>Total Costs CH4 El. Gen.</t>
  </si>
  <si>
    <t>Share Biogas in CH4Hub2</t>
  </si>
  <si>
    <t>Total Costs OFPV El. Gen.</t>
  </si>
  <si>
    <t>Total Costs RTPV El. Gen.</t>
  </si>
  <si>
    <t>Total Costs Offshore El. Gen.</t>
  </si>
  <si>
    <t>Total Costs Onshore El. Gen.</t>
  </si>
  <si>
    <t>Total Costs Biomass El. Gen.</t>
  </si>
  <si>
    <t>Total Costs FuelCell El. Gen.</t>
  </si>
  <si>
    <t>Total Costs Waste El. Gen.</t>
  </si>
  <si>
    <t>Total Costs Other El. Gen.</t>
  </si>
  <si>
    <t>Schattenpreis Euro/kWh</t>
  </si>
  <si>
    <t>Vorsicht! CHP nicht rausgerechnet, Kosten für H2 und Biomasse nicht rausgerechnet</t>
  </si>
  <si>
    <t>Total Costs 10^6 Euro</t>
  </si>
  <si>
    <t>Totel El. Generation 10^6 kWh</t>
  </si>
  <si>
    <t>CO2-DAC-HT</t>
  </si>
  <si>
    <t>CO2-DAC-LT</t>
  </si>
  <si>
    <t>CO2-Offshore-Sink</t>
  </si>
  <si>
    <t>CO2-Onshore-Sink</t>
  </si>
  <si>
    <t>CO2CaptureHub</t>
  </si>
  <si>
    <t>CO2OffshoreHub</t>
  </si>
  <si>
    <t>LS-GeothermHeatpump</t>
  </si>
  <si>
    <t>SS-GeothermHeatpump</t>
  </si>
  <si>
    <t>Demand-EHub to CO2-DAC-HT</t>
  </si>
  <si>
    <t>Demand-EHub to CO2-DAC-LT</t>
  </si>
  <si>
    <t>Demand-EHub to LS-GeothermHeatpump</t>
  </si>
  <si>
    <t>HH-EHub to SS-GeothermHeatpump</t>
  </si>
  <si>
    <t>HTPHHub to CO2-DAC-HT</t>
  </si>
  <si>
    <t>LS-GeothermHeatpump to LHHub</t>
  </si>
  <si>
    <t>LTPHHub to CO2-DAC-LT</t>
  </si>
  <si>
    <t>SS-GeothermHeatpump to DCHHub</t>
  </si>
  <si>
    <t>Geothermal Heatpump</t>
  </si>
  <si>
    <t>DAC and CCS</t>
  </si>
  <si>
    <t>DAC/CCS</t>
  </si>
  <si>
    <t>Ad-CAES</t>
  </si>
  <si>
    <t>Adiabate Druckluftspeicher</t>
  </si>
  <si>
    <t>Geothermal heatpump (LS)</t>
  </si>
  <si>
    <t>Erdwärmepumpe (LS)</t>
  </si>
  <si>
    <t>Geothermal heatpump (SS)</t>
  </si>
  <si>
    <t>Erdwärmepumpe (SS)</t>
  </si>
  <si>
    <t>High temperature DAC of CO2</t>
  </si>
  <si>
    <t>Hochtemperatur DAC von CO2</t>
  </si>
  <si>
    <t>Low temperature DAC of CO2</t>
  </si>
  <si>
    <t>Niedertemperatur DAC von CO2</t>
  </si>
  <si>
    <t>CementCCU</t>
  </si>
  <si>
    <t>MethanolConvCCU</t>
  </si>
  <si>
    <t>MethanolGasCCU</t>
  </si>
  <si>
    <t>NH3CCU</t>
  </si>
  <si>
    <t>SteamCrackerCCU</t>
  </si>
  <si>
    <t>SteelCCU</t>
  </si>
  <si>
    <t>CO2-DAC-HT to CO2Hub</t>
  </si>
  <si>
    <t>CO2-DAC-LT to CO2Hub</t>
  </si>
  <si>
    <t>CementCCU to CO2Hub</t>
  </si>
  <si>
    <t>CementCCU to CementHub</t>
  </si>
  <si>
    <t>Demand-EHub to CementCCU</t>
  </si>
  <si>
    <t>Demand-EHub to MethanolConvCCU</t>
  </si>
  <si>
    <t>Demand-EHub to MethanolGasCCU</t>
  </si>
  <si>
    <t>Demand-EHub to NH3CCU</t>
  </si>
  <si>
    <t>Demand-EHub to SteamCrackerCCU</t>
  </si>
  <si>
    <t>Demand-EHub to SteelCCU</t>
  </si>
  <si>
    <t>LTPHHub to MethanolConvCCU</t>
  </si>
  <si>
    <t>LTPHHub to MethanolGasCCU</t>
  </si>
  <si>
    <t>LTPHHub to NH3CCU</t>
  </si>
  <si>
    <t>LTPHHub to SteamCrackerCCU</t>
  </si>
  <si>
    <t>LTPHHub to SteelCCU</t>
  </si>
  <si>
    <t>MethanolBiomass to MethanolGreenHub</t>
  </si>
  <si>
    <t>MethanolConvCCU to CO2Hub</t>
  </si>
  <si>
    <t>MethanolConvCCU to MethanolConvHub</t>
  </si>
  <si>
    <t>MethanolConvHub to MTOConv-process</t>
  </si>
  <si>
    <t>MethanolGasCCU to CO2Hub</t>
  </si>
  <si>
    <t>MethanolGasCCU to MethanolConvHub</t>
  </si>
  <si>
    <t>MethanolH2 to MethanolGreenHub</t>
  </si>
  <si>
    <t>NH3CCU to CO2Hub</t>
  </si>
  <si>
    <t>SteamCrackerCCU to CO2Hub</t>
  </si>
  <si>
    <t>SteelCCU to CO2Hub</t>
  </si>
  <si>
    <t>SteelCCU to PigIronHub</t>
  </si>
  <si>
    <t>T-C-Cement0toCement to CementHub</t>
  </si>
  <si>
    <t>T-C-MethConv0toMethConv to MethanolConvHub</t>
  </si>
  <si>
    <t>T-C-MethConv1toMethConv to MethanolConvHub</t>
  </si>
  <si>
    <t>T-C-NH3conv0toNH3 to NH3convHub</t>
  </si>
  <si>
    <t>MTOConv-process</t>
  </si>
  <si>
    <t>Cement CC</t>
  </si>
  <si>
    <t>Methanol Conv. CC</t>
  </si>
  <si>
    <t>Methanol Gasification CC</t>
  </si>
  <si>
    <t>NH3 CC</t>
  </si>
  <si>
    <t>SteamCracker CC</t>
  </si>
  <si>
    <t>Steel CC</t>
  </si>
  <si>
    <t>Zement CC</t>
  </si>
  <si>
    <t>Methanol konv. CC</t>
  </si>
  <si>
    <t>Methanol Gasifizierung CC</t>
  </si>
  <si>
    <t>Ammoniak CC</t>
  </si>
  <si>
    <t>Steamcracker CC</t>
  </si>
  <si>
    <t>Stahl CC</t>
  </si>
  <si>
    <t>Niedertemperatur Prozesswärme</t>
  </si>
  <si>
    <t>Low temperature process heat</t>
  </si>
  <si>
    <t>DAC Hochtemperatur</t>
  </si>
  <si>
    <t>DAC High temp.</t>
  </si>
  <si>
    <t>DAC Niedertemperatur</t>
  </si>
  <si>
    <t>DAC Low temp</t>
  </si>
  <si>
    <t>Steamcracker CCS</t>
  </si>
  <si>
    <t>Dampfspalter CCS</t>
  </si>
  <si>
    <t>Methanol konventionell CCS</t>
  </si>
  <si>
    <t>Methanol Gasifizierung CCS</t>
  </si>
  <si>
    <t>Ammoniaksynthese CCS</t>
  </si>
  <si>
    <t>Stahlproduktion CCS</t>
  </si>
  <si>
    <t>Methanol conventional CCS</t>
  </si>
  <si>
    <t>Methanol gasification CCS</t>
  </si>
  <si>
    <t>Ammonia CCS</t>
  </si>
  <si>
    <t>Steel production CCS</t>
  </si>
  <si>
    <t>Onshore CO2 Speicherung</t>
  </si>
  <si>
    <t>Onshore CO2 Storage</t>
  </si>
  <si>
    <t>Offshore CO2 Storage</t>
  </si>
  <si>
    <t>Offshore CO2 Speicherung</t>
  </si>
  <si>
    <t>Biomethan CCS-KW</t>
  </si>
  <si>
    <t>Biomethane CCS-PP</t>
  </si>
  <si>
    <t>Erdgas CCS-KW</t>
  </si>
  <si>
    <t>Natural Gas CCS-PP</t>
  </si>
  <si>
    <t>Methanol Biomethan CCS</t>
  </si>
  <si>
    <t>Methanol biomethane CCS</t>
  </si>
  <si>
    <t xml:space="preserve">CO2 production </t>
  </si>
  <si>
    <t>aggregated</t>
  </si>
  <si>
    <t>DAC</t>
  </si>
  <si>
    <t>Zement Prozessemissionen</t>
  </si>
  <si>
    <t>Cement process emissions</t>
  </si>
  <si>
    <t>Cement-CCS</t>
  </si>
  <si>
    <t>Fossil CCS</t>
  </si>
  <si>
    <t>Fossile Energieträger CCS</t>
  </si>
  <si>
    <t>Fossil fuels CCS</t>
  </si>
  <si>
    <t>Absolute Biogas Share</t>
  </si>
  <si>
    <t>Biomethan Anteil</t>
  </si>
  <si>
    <t>Biomethane share</t>
  </si>
  <si>
    <t xml:space="preserve">Absolute Biomethane </t>
  </si>
  <si>
    <t>H2ImportB</t>
  </si>
  <si>
    <t>H2ImportP</t>
  </si>
  <si>
    <t>H2-EAF to CH4H2Hub</t>
  </si>
  <si>
    <t>H2ImportB to H2Hub</t>
  </si>
  <si>
    <t>H2ImportP to H2Hub</t>
  </si>
  <si>
    <t>flows</t>
  </si>
  <si>
    <t>prices</t>
  </si>
  <si>
    <t>calculated</t>
  </si>
  <si>
    <t>cost</t>
  </si>
  <si>
    <t>FuelOil</t>
  </si>
  <si>
    <t>RE-Gasoline</t>
  </si>
  <si>
    <t>Import grüner H2 Schiff</t>
  </si>
  <si>
    <t>Import blue H2</t>
  </si>
  <si>
    <t>Import green H2 Ship</t>
  </si>
  <si>
    <t>Import green H2 pipeline</t>
  </si>
  <si>
    <t>Import blauer H2</t>
  </si>
  <si>
    <t>Import grüner H2 Pipeline</t>
  </si>
  <si>
    <t>Import green H2 ship</t>
  </si>
  <si>
    <t>T-C-BioCoal</t>
  </si>
  <si>
    <t>BioCoalHub to T-C-BioCoal</t>
  </si>
  <si>
    <t>RE-Share in CoalHub</t>
  </si>
  <si>
    <t>Biocoal</t>
  </si>
  <si>
    <t>Biocrudeoil-share</t>
  </si>
  <si>
    <t>GasSwitchingReformerCCS</t>
  </si>
  <si>
    <t>ReformerCCU</t>
  </si>
  <si>
    <t>CH4Hub2 to GasSwitchingReformerCCS</t>
  </si>
  <si>
    <t>Demand-EHub to ReformerCCU</t>
  </si>
  <si>
    <t>GasSwitchingReformerCCS to CO2Hub</t>
  </si>
  <si>
    <t>GasSwitchingReformerCCS to H2GridHub</t>
  </si>
  <si>
    <t>LS-Reformer to ReformerHub0</t>
  </si>
  <si>
    <t>ReformerCCU to CO2Hub</t>
  </si>
  <si>
    <t xml:space="preserve">GasSwitchingReformer </t>
  </si>
  <si>
    <t>Gaswechselreformierung</t>
  </si>
  <si>
    <t>GasSwtichingReformer</t>
  </si>
  <si>
    <t>Reformierung CCS</t>
  </si>
  <si>
    <t>Reformer CCS</t>
  </si>
  <si>
    <t>Gaswechselreformierung CCS</t>
  </si>
  <si>
    <t>Gasswitchingreformer CCS</t>
  </si>
  <si>
    <t>Biokohle-Anteil</t>
  </si>
  <si>
    <t>Biocoal share</t>
  </si>
  <si>
    <t>Steinkohle Anteil</t>
  </si>
  <si>
    <t>Hard coal share</t>
  </si>
  <si>
    <t>Biocrude oil</t>
  </si>
  <si>
    <t>Biorohöl</t>
  </si>
  <si>
    <t>Fossil crude oil</t>
  </si>
  <si>
    <t>Fossiles Rohöl</t>
  </si>
  <si>
    <t>Net biocrude oil</t>
  </si>
  <si>
    <t>Netto Biorohöl</t>
  </si>
  <si>
    <t>Net fossil crude oil</t>
  </si>
  <si>
    <t>Netto fossiles Rohöl</t>
  </si>
  <si>
    <t>T-C-BioCrudeOil to FuelOilHub</t>
  </si>
  <si>
    <t>BioEthanolCCU</t>
  </si>
  <si>
    <t>BioEthanolCCU to CO2Hub</t>
  </si>
  <si>
    <t>BioEthanolPlant to BioEthanolHub</t>
  </si>
  <si>
    <t>Demand-EHub to BioEthanolCCU</t>
  </si>
  <si>
    <t>NonCO2EmissionsAgriculture-Source</t>
  </si>
  <si>
    <t>NonCO2EmissionsBuildings-Source</t>
  </si>
  <si>
    <t>NonCO2EmissionsEnergy-Source</t>
  </si>
  <si>
    <t>NonCO2EmissionsIndustry-Source</t>
  </si>
  <si>
    <t>NonCO2EmissionsTransport-Source</t>
  </si>
  <si>
    <t>NonCO2EmissionsWaste-Source</t>
  </si>
  <si>
    <t>Non-CO2 Emissions</t>
  </si>
  <si>
    <t>in CO2 equivalents</t>
  </si>
  <si>
    <t>Nicht-CO2</t>
  </si>
  <si>
    <t>Non-CO2</t>
  </si>
  <si>
    <t>Agriculture</t>
  </si>
  <si>
    <t>CH4Grid1</t>
  </si>
  <si>
    <t>FTSyngas</t>
  </si>
  <si>
    <t>T-C-CH4green2CH4</t>
  </si>
  <si>
    <t>BiogasToCH4 to CH4Hubgreen</t>
  </si>
  <si>
    <t>CH4Hub to CH4Grid1</t>
  </si>
  <si>
    <t>CH4HubNE to HaberBoschConv</t>
  </si>
  <si>
    <t>CH4HubNE to MethanolConv</t>
  </si>
  <si>
    <t>CH4Hubgreen to MethanolBiomass</t>
  </si>
  <si>
    <t>CO2Hub to FTSyngas</t>
  </si>
  <si>
    <t>CementHeatHub to CementCCU</t>
  </si>
  <si>
    <t>H2GridHub to FTSyngas</t>
  </si>
  <si>
    <t>RE-CH4Source to CH4Hubgreen</t>
  </si>
  <si>
    <t>StrawToCH4 to CH4Hubgreen</t>
  </si>
  <si>
    <t>T-C-CH4green2CH4 to CH4Hub2</t>
  </si>
  <si>
    <t>WoodToCH4 to CH4Hubgreen</t>
  </si>
  <si>
    <t>BiogasToCH4 to CH4HubGreen</t>
  </si>
  <si>
    <t>CH4HubNE to Haberboschconv</t>
  </si>
  <si>
    <t>Methanol gesamt CCS</t>
  </si>
  <si>
    <t>Methanol conventional total CCS</t>
  </si>
  <si>
    <t>StrawToCH4 to CH4HubGreen</t>
  </si>
  <si>
    <t>WoodToCH4 to CH4HubGreen</t>
  </si>
  <si>
    <t>Ch4hubNE to haberboschconv</t>
  </si>
  <si>
    <t>ch4hubNE to methanolconv</t>
  </si>
  <si>
    <t>Erdgas (energ.)</t>
  </si>
  <si>
    <t>NE-Natural gas</t>
  </si>
  <si>
    <t>Erdgas (n-energ.)</t>
  </si>
  <si>
    <t>Anteil Crude Oil für nicht.energetisch</t>
  </si>
  <si>
    <t>Anteil Umwandlungsverluste in Raffinerie</t>
  </si>
  <si>
    <t>NE-Mineral oil</t>
  </si>
  <si>
    <t>Rohöl (n-energ.)</t>
  </si>
  <si>
    <t>total energetisch</t>
  </si>
  <si>
    <t>total nicht-energetisch</t>
  </si>
  <si>
    <t>Importquote (energ.)</t>
  </si>
  <si>
    <t>Erneuerbarenquote (Inland)</t>
  </si>
  <si>
    <t>fossile Energieträger (energetisch)</t>
  </si>
  <si>
    <t>fossile Energieträger (energetisch) w/o Müll</t>
  </si>
  <si>
    <t>Importquote total</t>
  </si>
  <si>
    <t>AGEB 2019</t>
  </si>
  <si>
    <t>PJ</t>
  </si>
  <si>
    <t>Mineralöle</t>
  </si>
  <si>
    <t>Gase</t>
  </si>
  <si>
    <t>Erneuerbare Energien</t>
  </si>
  <si>
    <t>Sonstige Energieträger</t>
  </si>
  <si>
    <t>Außenhandelssaldo Strom</t>
  </si>
  <si>
    <t>Modell 2020</t>
  </si>
  <si>
    <t>Differenz</t>
  </si>
  <si>
    <t>nichtenergetisch</t>
  </si>
  <si>
    <t>energetisch</t>
  </si>
  <si>
    <t>erneuerbarer Anteil (nicht-energ.)</t>
  </si>
  <si>
    <t>erneuerbarer Anteil (energ.)</t>
  </si>
  <si>
    <t>Industrie (energ.)</t>
  </si>
  <si>
    <t>Industrie (n-energ.)</t>
  </si>
  <si>
    <t>Total (energetisch)</t>
  </si>
  <si>
    <t>industry</t>
  </si>
  <si>
    <t>mto-process</t>
  </si>
  <si>
    <t>VLS 2050</t>
  </si>
  <si>
    <t>Anteil an Erzeugung</t>
  </si>
  <si>
    <t>demand-ehub to mto-process</t>
  </si>
  <si>
    <t>T-C-pigIron0toPigiron to PigIronHub</t>
  </si>
  <si>
    <t>Conv. Steelworks CCU</t>
  </si>
  <si>
    <t>Biogas steel</t>
  </si>
  <si>
    <t>Biogas Stahl</t>
  </si>
  <si>
    <t>conventional methanol CCU</t>
  </si>
  <si>
    <t>Dampfreformierung</t>
  </si>
  <si>
    <t>Part. Oxidation</t>
  </si>
  <si>
    <t>Refinery methanol CCU</t>
  </si>
  <si>
    <t>Dampfreformierung CCU</t>
  </si>
  <si>
    <t>Part. Oxidation CCU</t>
  </si>
  <si>
    <t>MTOgreen-process to HVCgreenHub</t>
  </si>
  <si>
    <t>MTOconv-process to HVCfosHub</t>
  </si>
  <si>
    <t>fos Methanol</t>
  </si>
  <si>
    <t>fossiles Methanol</t>
  </si>
  <si>
    <t>MethanolGreenHub to MTOgreen-process</t>
  </si>
  <si>
    <t>green Methanol</t>
  </si>
  <si>
    <t>grünes Methanol</t>
  </si>
  <si>
    <t>NH3CCU to NH3ConvHub</t>
  </si>
  <si>
    <t>conventional ammonia CCU</t>
  </si>
  <si>
    <t>co2hub to FTsyngas</t>
  </si>
  <si>
    <t>h2gridhub to FTsyngas</t>
  </si>
  <si>
    <t>Pyrolyseöl</t>
  </si>
  <si>
    <t>Pyrolysis oil</t>
  </si>
  <si>
    <t>MTOGreen-process to HVCGreenHub</t>
  </si>
  <si>
    <t>green MTO</t>
  </si>
  <si>
    <t>grünes MTO</t>
  </si>
  <si>
    <t>MTOConv-process to HVCFosHub</t>
  </si>
  <si>
    <t>fos MTO</t>
  </si>
  <si>
    <t>fossiles MTO</t>
  </si>
  <si>
    <t>green Naphtha</t>
  </si>
  <si>
    <t>grünes Naphtha</t>
  </si>
  <si>
    <t>fos Naphtha</t>
  </si>
  <si>
    <t>fossiles Naphtha</t>
  </si>
  <si>
    <t>GasSwitchingReformer</t>
  </si>
  <si>
    <t>NE Industrie</t>
  </si>
  <si>
    <t>NE Industry</t>
  </si>
  <si>
    <t>T-C-CH4green2CH4NE</t>
  </si>
  <si>
    <t>CH4Hubgreen to T-C-CH4green2CH4NE</t>
  </si>
  <si>
    <t>CO2Hub to T-C-CO2Stored-Offshore</t>
  </si>
  <si>
    <t>CO2Hub to T-C-CO2Stored-Onshore</t>
  </si>
  <si>
    <t>Nicht energetischer Verbrauch fossil</t>
  </si>
  <si>
    <t>Non-energetic use fossil</t>
  </si>
  <si>
    <t>Biomethan energetisch</t>
  </si>
  <si>
    <t>Biomethan nicht-energetisch</t>
  </si>
  <si>
    <t>Bio methane non-energetic</t>
  </si>
  <si>
    <t>Bio methane energetic</t>
  </si>
  <si>
    <t>Biogas share Conv</t>
  </si>
  <si>
    <t>Biogas Anteil konvent.</t>
  </si>
  <si>
    <t>Fossil share Conv</t>
  </si>
  <si>
    <t>Fossiles Erdgas</t>
  </si>
  <si>
    <t>Fossil Share HaberBosch</t>
  </si>
  <si>
    <t>Fossiler Anteil HaberBosch</t>
  </si>
  <si>
    <t>Biomethane share HaberBoshc</t>
  </si>
  <si>
    <t>Biomethan Anteil HaberBosch</t>
  </si>
  <si>
    <t>diversified</t>
  </si>
  <si>
    <t>LS-FuelCell to LHHub</t>
  </si>
  <si>
    <t>SS-FuelCell to DCHHub</t>
  </si>
  <si>
    <t>FuelCell (LS)</t>
  </si>
  <si>
    <t>Brennstoffzelle (LS)</t>
  </si>
  <si>
    <t>FuelCell (SS)</t>
  </si>
  <si>
    <t>Brennstoffzelle (SS)</t>
  </si>
  <si>
    <t>LS-H2StorageNewCaverns</t>
  </si>
  <si>
    <t>large (new caverns)</t>
  </si>
  <si>
    <t>large (existing caverns)</t>
  </si>
  <si>
    <t>groß (Umwidmung)</t>
  </si>
  <si>
    <t>groß (neu)</t>
  </si>
  <si>
    <t>THGneutral50</t>
  </si>
  <si>
    <t>THGneural50</t>
  </si>
  <si>
    <t>CO2 Einlagerung</t>
  </si>
  <si>
    <t>Import-Anteil</t>
  </si>
  <si>
    <t>UBA Wege in eine ressourcenschonende Treibhausgasneutralität</t>
  </si>
  <si>
    <t>Fraunhofer ISE Wege zu einem klimaneutralen Energiesystem</t>
  </si>
  <si>
    <t>Fraunhofer ISE Wege zu einem klimaneutralen Energiesystem - Update</t>
  </si>
  <si>
    <t>AGORA Klimaneutrales Deutschland 2050</t>
  </si>
  <si>
    <t>AGORA Klimaneutrales Deutschland 2045</t>
  </si>
  <si>
    <t>UBA (2019) - GreenEE - 100%</t>
  </si>
  <si>
    <t>UBA (2019) - GreenSupreme - 100%</t>
  </si>
  <si>
    <t>ISE (2020) - Referenz - 95%</t>
  </si>
  <si>
    <t>ISE (2020) - Inakzeptanz - 95%</t>
  </si>
  <si>
    <t>ISE (2020) - Referenz - 100%</t>
  </si>
  <si>
    <t>ISE (2020) - Update- 100%</t>
  </si>
  <si>
    <t>AGORA (2020) - 2050 - 100%</t>
  </si>
  <si>
    <t>IEK-3 (2021) - H2NRW- 95%</t>
  </si>
  <si>
    <t>Heatpumps (electricity)</t>
  </si>
  <si>
    <t>Wärmepumpen</t>
  </si>
  <si>
    <t>Heatpumps</t>
  </si>
  <si>
    <t>Landwirtschaft</t>
  </si>
  <si>
    <t>Ausnutzung in %</t>
  </si>
  <si>
    <t>Calculation of BEVintStorage from existing BE-Cars</t>
  </si>
  <si>
    <t>Yearly mileage in km</t>
  </si>
  <si>
    <t>Calculation:</t>
  </si>
  <si>
    <t>Driven km/yearly mileage = numer of used BEV *battery capacity * available share</t>
  </si>
  <si>
    <t>Battery capacity in kwh</t>
  </si>
  <si>
    <t>Available share for storage</t>
  </si>
  <si>
    <t>BEVStorageCapacity</t>
  </si>
  <si>
    <t>in GWh</t>
  </si>
  <si>
    <t>Installed charging capacities</t>
  </si>
  <si>
    <t>Pumped Storage</t>
  </si>
  <si>
    <t>Small Batteries and BEV</t>
  </si>
  <si>
    <t>Kleine Batterien und BEV</t>
  </si>
  <si>
    <t>BatteryConvertIn total</t>
  </si>
  <si>
    <t>Battery storage</t>
  </si>
  <si>
    <t>Batteriespeicher</t>
  </si>
  <si>
    <t>Installed discharging capacities</t>
  </si>
  <si>
    <t>Stored electrical energy</t>
  </si>
  <si>
    <t>Electricity output in GWh</t>
  </si>
  <si>
    <t>Stored energy/Capacity</t>
  </si>
  <si>
    <t>BEV storage optimised</t>
  </si>
  <si>
    <t>BEV Speicher optimiert</t>
  </si>
  <si>
    <t>BEVStorage calculated</t>
  </si>
  <si>
    <t>BEV share</t>
  </si>
  <si>
    <t>BEV Anteil</t>
  </si>
  <si>
    <t>Battery total to Grid</t>
  </si>
  <si>
    <t>Total battery storages optimised</t>
  </si>
  <si>
    <t>Battery storages without BEV</t>
  </si>
  <si>
    <t>Ebus-BEV+OHW</t>
  </si>
  <si>
    <t>OHW=Zwischenlader</t>
  </si>
  <si>
    <t>BE+OHW</t>
  </si>
  <si>
    <t>THGneutral2050</t>
  </si>
  <si>
    <t>Differenz THGneutral50 - 95KSG</t>
  </si>
  <si>
    <t>THGneutral2045</t>
  </si>
  <si>
    <t>(fortgeschrieben aus 2045)</t>
  </si>
  <si>
    <t>Differenz THGneutral45 - 95KSG</t>
  </si>
  <si>
    <t>Differenz THGneutral45-THGneutral50</t>
  </si>
  <si>
    <t>Berechnung der jährlichen Systemkosten</t>
  </si>
  <si>
    <t>95% KSG</t>
  </si>
  <si>
    <t>THGneutral45</t>
  </si>
  <si>
    <t>Kumulierte Systemkosten</t>
  </si>
  <si>
    <t>Kumulierte Mehrkosten ggü. 95% KSG</t>
  </si>
  <si>
    <t>2045 48Tage</t>
  </si>
  <si>
    <t>2045 48Typtage</t>
  </si>
  <si>
    <t>Vergleich 48 Typtage</t>
  </si>
  <si>
    <t>2045 48 Tage</t>
  </si>
  <si>
    <t>KeroseneHub to Ker-SinkVirt</t>
  </si>
  <si>
    <t>KeroseneRenHub to KerRen-SinkVirt</t>
  </si>
  <si>
    <t>DieselRenHub to DieRen-SinkVirt</t>
  </si>
  <si>
    <t>GasolineNaphthaRenHub to GasNaphthaRen-SinkVirt</t>
  </si>
  <si>
    <t>TransGrid-EHub_Out to EExport_ATGrid</t>
  </si>
  <si>
    <t>TransGrid-EHub_Out to EExport_BEGrid</t>
  </si>
  <si>
    <t>TransGrid-EHub_Out to EExport_CHGrid</t>
  </si>
  <si>
    <t>TransGrid-EHub_Out to EExport_CZGrid</t>
  </si>
  <si>
    <t>TransGrid-EHub_Out to EExport_DKGrid</t>
  </si>
  <si>
    <t>TransGrid-EHub_Out to EExport_FRGrid</t>
  </si>
  <si>
    <t>TransGrid-EHub_Out to EExport_LUGrid</t>
  </si>
  <si>
    <t>TransGrid-EHub_Out to EExport_NLGrid</t>
  </si>
  <si>
    <t>TransGrid-EHub_Out to EExport_NOGrid</t>
  </si>
  <si>
    <t>TransGrid-EHub_Out to EExport_PLGrid</t>
  </si>
  <si>
    <t>TransGrid-EHub_Out to EExport_SEGrid</t>
  </si>
  <si>
    <t>intGasHub to T-RefGasoline</t>
  </si>
  <si>
    <t>GasBurner to LTPHHub</t>
  </si>
  <si>
    <t>WasteHeatUtil to DHHub</t>
  </si>
  <si>
    <t>HTHHub to WasteHeatUtil</t>
  </si>
  <si>
    <t>WasteHeatUtil to HTHHub</t>
  </si>
  <si>
    <t>CH4Pyrolysis to CokeHub</t>
  </si>
  <si>
    <t>CH4Pyrolysis to CH4Hub2</t>
  </si>
  <si>
    <t>CH4Pyrolysis to Demand-EHub</t>
  </si>
  <si>
    <t>HaberBoschConv to NH3convHub0</t>
  </si>
  <si>
    <t>HaberBoschH2 to Demand-EHub</t>
  </si>
  <si>
    <t>HaberBoschH2 to H2GridHub</t>
  </si>
  <si>
    <t>CO2Hub2 to UreaConv</t>
  </si>
  <si>
    <t>CO2Hub2 to UreaH2</t>
  </si>
  <si>
    <t>UreaH2 to CO2Hub2</t>
  </si>
  <si>
    <t>UreaH2 to Demand-EHub</t>
  </si>
  <si>
    <t>UreaH2 to HTPHHub</t>
  </si>
  <si>
    <t>UreaH2 to NH3greenHub</t>
  </si>
  <si>
    <t>NH3coll1 to NH3Hub</t>
  </si>
  <si>
    <t>NH3convHub to NH3coll1</t>
  </si>
  <si>
    <t>NH3coll2 to NH3Hub</t>
  </si>
  <si>
    <t>NH3greenHub to NH3coll2</t>
  </si>
  <si>
    <t>NH3coll2 to NH3greenHub</t>
  </si>
  <si>
    <t>MethanolConv to MethanolConvHub0</t>
  </si>
  <si>
    <t>CO2Hub2 to MethanolH2</t>
  </si>
  <si>
    <t>MethanolH2 to CO2Hub2</t>
  </si>
  <si>
    <t>MethanolH2 to Demand-EHub</t>
  </si>
  <si>
    <t>MethanolH2 to H2GridHub</t>
  </si>
  <si>
    <t>MethanolBiomass to Demand-EHub</t>
  </si>
  <si>
    <t>MethanolBiomass to HTPHHub</t>
  </si>
  <si>
    <t>MethanolBiomass to CH4Hubgreen</t>
  </si>
  <si>
    <t>HTPHHub to Cl2Diaphragm</t>
  </si>
  <si>
    <t>MethanolGasification to MethanolConvHub1</t>
  </si>
  <si>
    <t>Demand-EHub to MethanolGasification</t>
  </si>
  <si>
    <t>FuelOilHub to MethanolGasification</t>
  </si>
  <si>
    <t>RecSteel2SteelScrap to SteelScrapHub</t>
  </si>
  <si>
    <t>RecScrapHub to RecSteel2SteelScrap</t>
  </si>
  <si>
    <t>NaphthaRenHub to SteamCrackerGreen</t>
  </si>
  <si>
    <t>SteamCrackerGreen to NaphthaRenHub</t>
  </si>
  <si>
    <t>SteamCrackerHeatHub to SteamCrackerGreen</t>
  </si>
  <si>
    <t>SteamCrackerGreen to SteamCrackerHeatHub</t>
  </si>
  <si>
    <t>SteamCrackerHeatHub to SteamCrackerFos</t>
  </si>
  <si>
    <t>SteamCrackerElHeat to SteamCrackerHeatHub</t>
  </si>
  <si>
    <t>SteamCrackerElHeat to Demand-EHub</t>
  </si>
  <si>
    <t>SteamCrackerConvHeat to SteamCrackerHeatHub0</t>
  </si>
  <si>
    <t>HVCgreenHub to T-C-HVCgreen2HVC</t>
  </si>
  <si>
    <t>T-C-HVCgreen2HVC to HVCgreenHub</t>
  </si>
  <si>
    <t>HVCfosHub to T-C-HVCfos2HVC</t>
  </si>
  <si>
    <t>PlasticsPackagingWasteHub to T-C-PPackaging</t>
  </si>
  <si>
    <t>PlasticsConstructionWasteHub to T-C-PConstruction</t>
  </si>
  <si>
    <t>PlasticsAutomotiveWasteHub to T-C-PAutomotive</t>
  </si>
  <si>
    <t>PlasticsElectronicsWasteHub to T-C-PElectronics</t>
  </si>
  <si>
    <t>T-C-PlasticsElse2 to PlasticsElseWasteHub</t>
  </si>
  <si>
    <t>PlasticsElseWasteHub to T-C-PElse</t>
  </si>
  <si>
    <t>Demand-EHub to PlasticsChemRecycling1</t>
  </si>
  <si>
    <t>PlasticsChemRecycling1 to Demand-EHub</t>
  </si>
  <si>
    <t>PlasticsChemRecycling1 to HeatingToPChemRecHub</t>
  </si>
  <si>
    <t>PlasticsChemRecycling1 to PlasticsWasteHub</t>
  </si>
  <si>
    <t>LowTRL40Hub to PlasticsChemRecycling1</t>
  </si>
  <si>
    <t>PlasticsChemRecycling1 to LowTRL40Hub</t>
  </si>
  <si>
    <t>Demand-EHub to PlasticsChemRecycling2</t>
  </si>
  <si>
    <t>PlasticsChemRecycling2 to Demand-EHub</t>
  </si>
  <si>
    <t>PlasticsChemRecycling2 to HeatingToPChemRecHub</t>
  </si>
  <si>
    <t>PlasticsChemRecycling2 to PlasticsWasteHub</t>
  </si>
  <si>
    <t>LowTRL40Hub to PlasticsChemRecycling2</t>
  </si>
  <si>
    <t>PlasticsChemRecycling2 to LowTRL40Hub</t>
  </si>
  <si>
    <t>DRI2EAF to SteelScrapHub2</t>
  </si>
  <si>
    <t>DRI2EAF to DRIHub</t>
  </si>
  <si>
    <t>SS2EAF to SteelScrapHub2</t>
  </si>
  <si>
    <t>ChemRecElectricHeating to HeatingToPChemRecHub</t>
  </si>
  <si>
    <t>Demand-EHub to ChemRecElectricHeating</t>
  </si>
  <si>
    <t>ChemRecElectricHeating to Demand-EHub</t>
  </si>
  <si>
    <t>ChemRecWasteHeating to HeatingToPChemRecHub</t>
  </si>
  <si>
    <t>ChemRecWasteHeating to WasteHub</t>
  </si>
  <si>
    <t>MechanicalPulping to PaperHHub</t>
  </si>
  <si>
    <t>PaperEHub to MechanicalPulping</t>
  </si>
  <si>
    <t>PaperEHub to ChemicalPulping</t>
  </si>
  <si>
    <t>PaperHHub to ChemicalPulping</t>
  </si>
  <si>
    <t>WastePaperHub to WPPulping</t>
  </si>
  <si>
    <t>WPPulp2GraphicPaperPulp to GraphicPaperPulpHub</t>
  </si>
  <si>
    <t>PaperEHub to WPPulp2GraphicPaperPulp</t>
  </si>
  <si>
    <t>PaperHHub to WPPulp2GraphicPaperPulp</t>
  </si>
  <si>
    <t>WPPulpHub to WPPulp2GraphicPaperPulp</t>
  </si>
  <si>
    <t>WPPulp2PackagingPaperPulp to PackagingPaperPulpHub</t>
  </si>
  <si>
    <t>PaperEHub to WPPulp2PackagingPaperPulp</t>
  </si>
  <si>
    <t>WPPulpHub to WPPulp2PackagingPaperPulp</t>
  </si>
  <si>
    <t>WPPulp2SanitaryPaperPulp to SanitaryPaperPulpHub</t>
  </si>
  <si>
    <t>PaperEHub to WPPulp2SanitaryPaperPulp</t>
  </si>
  <si>
    <t>PaperHHub to WPPulp2SanitaryPaperPulp</t>
  </si>
  <si>
    <t>WPPulpHub to WPPulp2SanitaryPaperPulp</t>
  </si>
  <si>
    <t>WPPulp2SpecialPaperPulp to SpecialPaperPulpHub</t>
  </si>
  <si>
    <t>PaperEHub to WPPulp2SpecialPaperPulp</t>
  </si>
  <si>
    <t>PaperHHub to WPPulp2SpecialPaperPulp</t>
  </si>
  <si>
    <t>WPPulpHub to WPPulp2SpecialPaperPulp</t>
  </si>
  <si>
    <t>PulpHub to Pulp2GraphicPulp</t>
  </si>
  <si>
    <t>PulpHub to Pulp2PackagingPulp</t>
  </si>
  <si>
    <t>Pulp2PackagingPulp to PulpHub</t>
  </si>
  <si>
    <t>PulpHub to Pulp2SanitaryPulp</t>
  </si>
  <si>
    <t>PulpHub to Pulp2SpecialPulp</t>
  </si>
  <si>
    <t>CoalPaperCHP to CoalHub</t>
  </si>
  <si>
    <t>CoalHub to CoalPaperCHP</t>
  </si>
  <si>
    <t>CoalPaperCHP to PaperEHub</t>
  </si>
  <si>
    <t>CoalPaperCHP to PaperHHub</t>
  </si>
  <si>
    <t>LignitePaperCHP to LigniteHub</t>
  </si>
  <si>
    <t>LigniteHub to LignitePaperCHP</t>
  </si>
  <si>
    <t>LignitePaperCHP to PaperEHub</t>
  </si>
  <si>
    <t>LignitePaperCHP to PaperHHub</t>
  </si>
  <si>
    <t>FuelOilHub to FuelOilPaperCHP</t>
  </si>
  <si>
    <t>FuelOilPaperCHP to PaperEHub</t>
  </si>
  <si>
    <t>FuelOilPaperCHP to PaperHHub</t>
  </si>
  <si>
    <t>GasPaperCHP to PaperEHub</t>
  </si>
  <si>
    <t>GasPaperCHP to PaperHHub</t>
  </si>
  <si>
    <t>WoodCombHub to Wood2PaperBiomass</t>
  </si>
  <si>
    <t>Wood2PaperBiomass to BiomassPaperHub</t>
  </si>
  <si>
    <t>BiomassPaperHub to BiomassPaperCHP</t>
  </si>
  <si>
    <t>BiomassPaperCHP to PaperEHub</t>
  </si>
  <si>
    <t>BiomassPaperCHP to PaperHHub</t>
  </si>
  <si>
    <t>H2GridHub to HydrogenPaperCHP</t>
  </si>
  <si>
    <t>HydrogenPaperCHP to H2GridHub</t>
  </si>
  <si>
    <t>HydrogenPaperCHP to PaperEHub</t>
  </si>
  <si>
    <t>HydrogenPaperCHP to PaperHHub</t>
  </si>
  <si>
    <t>Demand-EHub to El2PaperE</t>
  </si>
  <si>
    <t>El2PaperE to PaperEHub</t>
  </si>
  <si>
    <t>MTPH2PaperHeat to PaperHHub</t>
  </si>
  <si>
    <t>BiomassPaperHub to BiomassPaperHP</t>
  </si>
  <si>
    <t>BiomassPaperHP to PaperHHub</t>
  </si>
  <si>
    <t>GasPaperHP to PaperHHub</t>
  </si>
  <si>
    <t>T-C-GasNaphthaRenToNaphtha to NaphthaRenHub</t>
  </si>
  <si>
    <t>GasolineNaphthaRenHub to T-C-GasNaphthaRenToNaphtha</t>
  </si>
  <si>
    <t>T-C-GasNaphthaRenToNaphtha to GasolineNaphthaRenHub</t>
  </si>
  <si>
    <t>T-C-GasNaphthaFosToNaphtha to NaphthaFosHub</t>
  </si>
  <si>
    <t>GasolineNaphthaFosHub to T-C-GasNaphthaFosToNaphtha</t>
  </si>
  <si>
    <t>T-C-GasNaphthaRenToGas to GasolineHub</t>
  </si>
  <si>
    <t>GasolineNaphthaRenHub to T-C-GasNaphthaRenToGas</t>
  </si>
  <si>
    <t>T-C-GasNaphthaFosToGas to GasolineHub</t>
  </si>
  <si>
    <t>GasolineNaphthaFosHub to T-C-GasNaphthaFosToGas</t>
  </si>
  <si>
    <t>MTO-process to MTO-EHub</t>
  </si>
  <si>
    <t>Demand-EHub to MTO-process</t>
  </si>
  <si>
    <t>MTO-process to Demand-EHub</t>
  </si>
  <si>
    <t>LowTRL30Hub to MTO-process</t>
  </si>
  <si>
    <t>MTO-process to LowTRL30Hub</t>
  </si>
  <si>
    <t>T-C-DieselRenToDiesel to DieselHub</t>
  </si>
  <si>
    <t>DieselRenHub to T-C-DieselRenToDiesel</t>
  </si>
  <si>
    <t>T-C-KeroseneRenToKerosene to KeroseneHub</t>
  </si>
  <si>
    <t>KeroseneRenHub to T-C-KeroseneRenToKerosene</t>
  </si>
  <si>
    <t>T-C-DieselFosToDiesel to DieselHub</t>
  </si>
  <si>
    <t>DieselFosHub to T-C-DieselFosToDiesel</t>
  </si>
  <si>
    <t>T-C-KeroseneFosToKerosene to KeroseneHub</t>
  </si>
  <si>
    <t>KeroseneFosHub to T-C-KeroseneFosToKerosene</t>
  </si>
  <si>
    <t>GasolineRenHub to T-C-GasRenToGas</t>
  </si>
  <si>
    <t>T-C-GasRenToGas to GasolineHub</t>
  </si>
  <si>
    <t>H2GridHub to H2-EAF</t>
  </si>
  <si>
    <t>H2-EAF to H2GridHub</t>
  </si>
  <si>
    <t>CH4H2Hub to T-C-CH4H2-EAF</t>
  </si>
  <si>
    <t>T-C-CH4H2-EAF to CH4H2EAFHub</t>
  </si>
  <si>
    <t>CopperConcentrateHub to CopperPPP</t>
  </si>
  <si>
    <t>CopperScrapHub to CopperPPP</t>
  </si>
  <si>
    <t>CopperScrapHub to CopperRecycling(KRS)</t>
  </si>
  <si>
    <t>T-C-CopperScrap to CopperScrapHub</t>
  </si>
  <si>
    <t>CopperScrapHub1 to T-C-CopperScrap</t>
  </si>
  <si>
    <t>T-C-EAFdust to EAFdustHub</t>
  </si>
  <si>
    <t>EAFdustHub1 to T-C-EAFdust</t>
  </si>
  <si>
    <t>T-C-ZincScrap to ZincScrapHub</t>
  </si>
  <si>
    <t>ZincScrapHub1 to T-C-ZincScrap</t>
  </si>
  <si>
    <t>ZincRemeltZref to ZincScrapHub1</t>
  </si>
  <si>
    <t>ZincRemeltZref to CH4Hub2</t>
  </si>
  <si>
    <t>ZincRemeltZref to Demand-EHub</t>
  </si>
  <si>
    <t>ZincRemeltZref to FuelOilHub</t>
  </si>
  <si>
    <t>ZincScrapHub to ZincRemeltZref</t>
  </si>
  <si>
    <t>ZincRemeltZref to ZincScrapHub</t>
  </si>
  <si>
    <t>ZincRemelt to ZincScrapHub1</t>
  </si>
  <si>
    <t>ZincScrapHub to ZincRemelt</t>
  </si>
  <si>
    <t>ZincConcentrateHub to ZincPEP</t>
  </si>
  <si>
    <t>EAFdustHub to ZincWaelzoxideProcess</t>
  </si>
  <si>
    <t>FG_BlendedGasHybridGlassFurnace to CH4Hub2</t>
  </si>
  <si>
    <t>FG_BlendedGasHybridGlassFurnace to Demand-EHub</t>
  </si>
  <si>
    <t>FG_BlendedGasHybridGlassFurnace to GlassRawMaterialHub</t>
  </si>
  <si>
    <t>FG_BlendedGasHybridGlassFurnace to H2GridHub</t>
  </si>
  <si>
    <t>FG_BlendedGasHybridGlassFurnace2 to CH4Hub2</t>
  </si>
  <si>
    <t>FG_BlendedGasHybridGlassFurnace2 to Demand-EHub</t>
  </si>
  <si>
    <t>FG_BlendedGasHybridGlassFurnace2 to GlassRawMaterialHub</t>
  </si>
  <si>
    <t>FG_BlendedGasHybridGlassFurnace2 to H2GridHub</t>
  </si>
  <si>
    <t>FG_ElectricGlassFurnace to Demand-EHub</t>
  </si>
  <si>
    <t>FG_ElectricGlassFurnace to GlassRawMaterialHub</t>
  </si>
  <si>
    <t>FG_ElectricGlassFurnace2 to Demand-EHub</t>
  </si>
  <si>
    <t>FG_ElectricGlassFurnace2 to GlassRawMaterialHub</t>
  </si>
  <si>
    <t>FG_GasGlassFurnace2 to CH4Hub2</t>
  </si>
  <si>
    <t>FG_GasGlassFurnace2 to GlassRawMaterialHub</t>
  </si>
  <si>
    <t>FG_GasHybridGlassFurnace2 to CH4Hub2</t>
  </si>
  <si>
    <t>FG_GasHybridGlassFurnace2 to Demand-EHub</t>
  </si>
  <si>
    <t>FG_GasHybridGlassFurnace2 to GlassRawMaterialHub</t>
  </si>
  <si>
    <t>FG_HydrogenHybridGlassFurnace to Demand-EHub</t>
  </si>
  <si>
    <t>FG_HydrogenHybridGlassFurnace to GlassRawMaterialHub</t>
  </si>
  <si>
    <t>FG_HydrogenHybridGlassFurnace to H2GridHub</t>
  </si>
  <si>
    <t>FG_HydrogenHybridGlassFurnace2 to Demand-EHub</t>
  </si>
  <si>
    <t>FG_HydrogenHybridGlassFurnace2 to GlassRawMaterialHub</t>
  </si>
  <si>
    <t>FG_HydrogenHybridGlassFurnace2 to H2GridHub</t>
  </si>
  <si>
    <t>FG_OilGlassFurnace2 to FuelOilHub</t>
  </si>
  <si>
    <t>FG_OilGlassFurnace2 to GlassRawMaterialHub</t>
  </si>
  <si>
    <t>FG_OilHybridGlassFurnace2 to Demand-EHub</t>
  </si>
  <si>
    <t>FG_OilHybridGlassFurnace2 to FuelOilHub</t>
  </si>
  <si>
    <t>FG_OilHybridGlassFurnace2 to GlassRawMaterialHub</t>
  </si>
  <si>
    <t>FG_OxyFuelGlassFurnace to CH4Hub2</t>
  </si>
  <si>
    <t>FG_OxyFuelGlassFurnace to Demand-EHub</t>
  </si>
  <si>
    <t>FG_OxyFuelGlassFurnace to GlassRawMaterialHub</t>
  </si>
  <si>
    <t>FG_OxyFuelGlassFurnace2 to CH4Hub2</t>
  </si>
  <si>
    <t>FG_OxyFuelGlassFurnace2 to Demand-EHub</t>
  </si>
  <si>
    <t>FG_OxyFuelGlassFurnace2 to GlassRawMaterialHub</t>
  </si>
  <si>
    <t>FG_SuperboostGlassFurnace to CH4Hub2</t>
  </si>
  <si>
    <t>FG_SuperboostGlassFurnace to Demand-EHub</t>
  </si>
  <si>
    <t>FG_SuperboostGlassFurnace to GlassRawMaterialHub</t>
  </si>
  <si>
    <t>FG_SuperboostGlassFurnace2 to CH4Hub2</t>
  </si>
  <si>
    <t>FG_SuperboostGlassFurnace2 to Demand-EHub</t>
  </si>
  <si>
    <t>FG_SuperboostGlassFurnace2 to GlassRawMaterialHub</t>
  </si>
  <si>
    <t>T-C-FlatGlassTreatment to FlatGlassCulletHub</t>
  </si>
  <si>
    <t>FlatGlassCulletHub1 to T-C-FlatGlassTreatment</t>
  </si>
  <si>
    <t>T-C-GlassRawMaterial to GlassRawMaterialHub</t>
  </si>
  <si>
    <t>GlassRawMaterialHub1 to T-C-GlassRawMaterial</t>
  </si>
  <si>
    <t>Demand-EHub to FlatGlassTreatment</t>
  </si>
  <si>
    <t>FlatGlassCulletHub to FlatGlassTreatment</t>
  </si>
  <si>
    <t>T-C-SG_GlassCullet to SG_GlassCulletHub</t>
  </si>
  <si>
    <t>SG_GlassCulletHub1 to T-C-SG_GlassCullet</t>
  </si>
  <si>
    <t>T-C-WasteGlass to WasteGlassHub</t>
  </si>
  <si>
    <t>WasteGlassHub1 to T-C-WasteGlass</t>
  </si>
  <si>
    <t>Demand-EHub to WasteGlassTreatment</t>
  </si>
  <si>
    <t>WasteGlassHub to WasteGlassTreatment</t>
  </si>
  <si>
    <t>GF_BlendedGasHybridGlassFurnace to CH4Hub2</t>
  </si>
  <si>
    <t>GF_BlendedGasHybridGlassFurnace to Demand-EHub</t>
  </si>
  <si>
    <t>GF_BlendedGasHybridGlassFurnace to GlassRawMaterialHub</t>
  </si>
  <si>
    <t>GF_BlendedGasHybridGlassFurnace to H2GridHub</t>
  </si>
  <si>
    <t>GF_BlendedGasHybridGlassFurnace2 to CH4Hub2</t>
  </si>
  <si>
    <t>GF_BlendedGasHybridGlassFurnace2 to Demand-EHub</t>
  </si>
  <si>
    <t>GF_BlendedGasHybridGlassFurnace2 to GlassRawMaterialHub</t>
  </si>
  <si>
    <t>GF_BlendedGasHybridGlassFurnace2 to H2GridHub</t>
  </si>
  <si>
    <t>GF_ElectricGlassFurnace2 to Demand-EHub</t>
  </si>
  <si>
    <t>GF_ElectricGlassFurnace2 to GlassRawMaterialHub</t>
  </si>
  <si>
    <t>GF_GasGlassFurnace2 to CH4Hub2</t>
  </si>
  <si>
    <t>GF_GasGlassFurnace2 to GlassRawMaterialHub</t>
  </si>
  <si>
    <t>GF_GasHybridGlassFurnace to CH4Hub2</t>
  </si>
  <si>
    <t>GF_GasHybridGlassFurnace to Demand-EHub</t>
  </si>
  <si>
    <t>GF_GasHybridGlassFurnace to GlassRawMaterialHub</t>
  </si>
  <si>
    <t>GF_GasHybridGlassFurnace2 to CH4Hub2</t>
  </si>
  <si>
    <t>GF_GasHybridGlassFurnace2 to Demand-EHub</t>
  </si>
  <si>
    <t>GF_GasHybridGlassFurnace2 to GlassRawMaterialHub</t>
  </si>
  <si>
    <t>GF_HydrogenHybridGlassFurnace to Demand-EHub</t>
  </si>
  <si>
    <t>GF_HydrogenHybridGlassFurnace to GlassRawMaterialHub</t>
  </si>
  <si>
    <t>GF_HydrogenHybridGlassFurnace to H2GridHub</t>
  </si>
  <si>
    <t>GF_HydrogenHybridGlassFurnace2 to Demand-EHub</t>
  </si>
  <si>
    <t>GF_HydrogenHybridGlassFurnace2 to GlassRawMaterialHub</t>
  </si>
  <si>
    <t>GF_HydrogenHybridGlassFurnace2 to H2GridHub</t>
  </si>
  <si>
    <t>GF_OxyFuelGlassFurnace2 to CH4Hub2</t>
  </si>
  <si>
    <t>GF_OxyFuelGlassFurnace2 to Demand-EHub</t>
  </si>
  <si>
    <t>GF_OxyFuelGlassFurnace2 to GlassRawMaterialHub</t>
  </si>
  <si>
    <t>GF_SuperboostGlassFurnace to CH4Hub2</t>
  </si>
  <si>
    <t>GF_SuperboostGlassFurnace to Demand-EHub</t>
  </si>
  <si>
    <t>GF_SuperboostGlassFurnace to GlassRawMaterialHub</t>
  </si>
  <si>
    <t>GF_SuperboostGlassFurnace2 to CH4Hub2</t>
  </si>
  <si>
    <t>GF_SuperboostGlassFurnace2 to Demand-EHub</t>
  </si>
  <si>
    <t>GF_SuperboostGlassFurnace2 to GlassRawMaterialHub</t>
  </si>
  <si>
    <t>HG_BlendedGasHybridGlassFurnace to CH4Hub2</t>
  </si>
  <si>
    <t>HG_BlendedGasHybridGlassFurnace to Demand-EHub</t>
  </si>
  <si>
    <t>HG_BlendedGasHybridGlassFurnace to GlassRawMaterialHub</t>
  </si>
  <si>
    <t>HG_BlendedGasHybridGlassFurnace to H2GridHub</t>
  </si>
  <si>
    <t>HG_BlendedGasHybridGlassFurnace2 to CH4Hub2</t>
  </si>
  <si>
    <t>HG_BlendedGasHybridGlassFurnace2 to Demand-EHub</t>
  </si>
  <si>
    <t>HG_BlendedGasHybridGlassFurnace2 to GlassRawMaterialHub</t>
  </si>
  <si>
    <t>HG_BlendedGasHybridGlassFurnace2 to H2GridHub</t>
  </si>
  <si>
    <t>HG_ElectricGlassFurnace2 to Demand-EHub</t>
  </si>
  <si>
    <t>HG_ElectricGlassFurnace2 to GlassRawMaterialHub</t>
  </si>
  <si>
    <t>HG_GasGlassFurnace2 to CH4Hub2</t>
  </si>
  <si>
    <t>HG_GasGlassFurnace2 to GlassRawMaterialHub</t>
  </si>
  <si>
    <t>HG_GasHybridGlassFurnace2 to CH4Hub2</t>
  </si>
  <si>
    <t>HG_GasHybridGlassFurnace2 to Demand-EHub</t>
  </si>
  <si>
    <t>HG_GasHybridGlassFurnace2 to GlassRawMaterialHub</t>
  </si>
  <si>
    <t>HG_HydrogenHybridGlassFurnace to Demand-EHub</t>
  </si>
  <si>
    <t>HG_HydrogenHybridGlassFurnace to GlassRawMaterialHub</t>
  </si>
  <si>
    <t>HG_HydrogenHybridGlassFurnace to H2GridHub</t>
  </si>
  <si>
    <t>HG_HydrogenHybridGlassFurnace2 to Demand-EHub</t>
  </si>
  <si>
    <t>HG_HydrogenHybridGlassFurnace2 to GlassRawMaterialHub</t>
  </si>
  <si>
    <t>HG_HydrogenHybridGlassFurnace2 to H2GridHub</t>
  </si>
  <si>
    <t>HG_OilGlassFurnace2 to FuelOilHub</t>
  </si>
  <si>
    <t>HG_OilGlassFurnace2 to GlassRawMaterialHub</t>
  </si>
  <si>
    <t>HG_OilHybridGlassFurnace2 to Demand-EHub</t>
  </si>
  <si>
    <t>HG_OilHybridGlassFurnace2 to FuelOilHub</t>
  </si>
  <si>
    <t>HG_OilHybridGlassFurnace2 to GlassRawMaterialHub</t>
  </si>
  <si>
    <t>HG_OxyFuelGlassFurnace2 to CH4Hub2</t>
  </si>
  <si>
    <t>HG_OxyFuelGlassFurnace2 to Demand-EHub</t>
  </si>
  <si>
    <t>HG_OxyFuelGlassFurnace2 to GlassRawMaterialHub</t>
  </si>
  <si>
    <t>HG_SuperboostGlassFurnace to CH4Hub2</t>
  </si>
  <si>
    <t>HG_SuperboostGlassFurnace to Demand-EHub</t>
  </si>
  <si>
    <t>HG_SuperboostGlassFurnace to GlassRawMaterialHub</t>
  </si>
  <si>
    <t>HG_SuperboostGlassFurnace2 to CH4Hub2</t>
  </si>
  <si>
    <t>HG_SuperboostGlassFurnace2 to Demand-EHub</t>
  </si>
  <si>
    <t>HG_SuperboostGlassFurnace2 to GlassRawMaterialHub</t>
  </si>
  <si>
    <t>SG_BlendedGasHybridGlassFurnace to CH4Hub2</t>
  </si>
  <si>
    <t>SG_BlendedGasHybridGlassFurnace to Demand-EHub</t>
  </si>
  <si>
    <t>SG_BlendedGasHybridGlassFurnace to GlassRawMaterialHub</t>
  </si>
  <si>
    <t>SG_BlendedGasHybridGlassFurnace to H2GridHub</t>
  </si>
  <si>
    <t>SG_BlendedGasHybridGlassFurnace2 to CH4Hub2</t>
  </si>
  <si>
    <t>SG_BlendedGasHybridGlassFurnace2 to Demand-EHub</t>
  </si>
  <si>
    <t>SG_BlendedGasHybridGlassFurnace2 to GlassRawMaterialHub</t>
  </si>
  <si>
    <t>SG_BlendedGasHybridGlassFurnace2 to H2GridHub</t>
  </si>
  <si>
    <t>SG_ElectricGlassFurnace2 to Demand-EHub</t>
  </si>
  <si>
    <t>SG_ElectricGlassFurnace2 to GlassRawMaterialHub</t>
  </si>
  <si>
    <t>SG_GasGlassFurnace to CH4Hub2</t>
  </si>
  <si>
    <t>SG_GasGlassFurnace to GlassRawMaterialHub</t>
  </si>
  <si>
    <t>SG_GasGlassFurnace2 to CH4Hub2</t>
  </si>
  <si>
    <t>SG_GasGlassFurnace2 to GlassRawMaterialHub</t>
  </si>
  <si>
    <t>SG_GasHybridGlassFurnace2 to CH4Hub2</t>
  </si>
  <si>
    <t>SG_GasHybridGlassFurnace2 to Demand-EHub</t>
  </si>
  <si>
    <t>SG_GasHybridGlassFurnace2 to GlassRawMaterialHub</t>
  </si>
  <si>
    <t>SG_HydrogenHybridGlassFurnace to Demand-EHub</t>
  </si>
  <si>
    <t>SG_HydrogenHybridGlassFurnace to GlassRawMaterialHub</t>
  </si>
  <si>
    <t>SG_HydrogenHybridGlassFurnace to H2GridHub</t>
  </si>
  <si>
    <t>SG_HydrogenHybridGlassFurnace2 to Demand-EHub</t>
  </si>
  <si>
    <t>SG_HydrogenHybridGlassFurnace2 to GlassRawMaterialHub</t>
  </si>
  <si>
    <t>SG_HydrogenHybridGlassFurnace2 to H2GridHub</t>
  </si>
  <si>
    <t>SG_OxyFuelGlassFurnace2 to CH4Hub2</t>
  </si>
  <si>
    <t>SG_OxyFuelGlassFurnace2 to Demand-EHub</t>
  </si>
  <si>
    <t>SG_OxyFuelGlassFurnace2 to GlassRawMaterialHub</t>
  </si>
  <si>
    <t>SG_SuperboostGlassFurnace to CH4Hub2</t>
  </si>
  <si>
    <t>SG_SuperboostGlassFurnace to Demand-EHub</t>
  </si>
  <si>
    <t>SG_SuperboostGlassFurnace to GlassRawMaterialHub</t>
  </si>
  <si>
    <t>SG_SuperboostGlassFurnace2 to CH4Hub2</t>
  </si>
  <si>
    <t>SG_SuperboostGlassFurnace2 to Demand-EHub</t>
  </si>
  <si>
    <t>SG_SuperboostGlassFurnace2 to GlassRawMaterialHub</t>
  </si>
  <si>
    <t>CO2-DAC-HT to Demand-EHub</t>
  </si>
  <si>
    <t>CO2-DAC-HT to HTPHHub</t>
  </si>
  <si>
    <t>CO2-DAC-LT to Demand-EHub</t>
  </si>
  <si>
    <t>CO2-DAC-LT to LTPHHub</t>
  </si>
  <si>
    <t>SteelCCU to Demand-EHub</t>
  </si>
  <si>
    <t>SteelCCU to LTPHHub</t>
  </si>
  <si>
    <t>PigIronHub0 to SteelCCU</t>
  </si>
  <si>
    <t>SteelCCU to PigIronHub0</t>
  </si>
  <si>
    <t>T-C-PigIron0toPigIron to PigIronHub</t>
  </si>
  <si>
    <t>PigIronHub0 to T-C-PigIron0toPigIron</t>
  </si>
  <si>
    <t>CementHub0 to T-C-Cement0toCement</t>
  </si>
  <si>
    <t>SteamCrackerCCU to SteamCrackerHeatHub</t>
  </si>
  <si>
    <t>SteamCrackerCCU to Demand-EHub</t>
  </si>
  <si>
    <t>SteamCrackerCCU to LTPHHub</t>
  </si>
  <si>
    <t>SteamCrackerHeatHub0 to SteamCrackerCCU</t>
  </si>
  <si>
    <t>SteamCrackerCCU to SteamCrackerHeatHub0</t>
  </si>
  <si>
    <t>T-C-SCHeat0toSCHeat to SteamCrackerHeatHub</t>
  </si>
  <si>
    <t>SteamCrackerHeatHub0 to T-C-SCHeat0toSCHeat</t>
  </si>
  <si>
    <t>T-C-MethGreenToMeth to MethanolHub</t>
  </si>
  <si>
    <t>MethanolGreenHub to T-C-MethGreenToMeth</t>
  </si>
  <si>
    <t>T-C-MethGreenToMeth to MethanolGreenHub</t>
  </si>
  <si>
    <t>T-C-MethConvToMeth to MethanolHub</t>
  </si>
  <si>
    <t>MethanolConvHub to T-C-MethConvToMeth</t>
  </si>
  <si>
    <t>MTOGreen-process to HVCgreenHub</t>
  </si>
  <si>
    <t>MethanolGreenHub to MTOGreen-process</t>
  </si>
  <si>
    <t>MTOGreen-process to MethanolGreenHub</t>
  </si>
  <si>
    <t>MTO-EHub to MTOGreen-process</t>
  </si>
  <si>
    <t>MTOGreen-process to MTO-EHub</t>
  </si>
  <si>
    <t>MTOConv-process to HVCfosHub</t>
  </si>
  <si>
    <t>MTOConv-process to MethanolConvHub</t>
  </si>
  <si>
    <t>MTO-EHub to MTOConv-process</t>
  </si>
  <si>
    <t>MTOConv-process to MTO-EHub</t>
  </si>
  <si>
    <t>MethanolConvCCU to Demand-EHub</t>
  </si>
  <si>
    <t>MethanolConvCCU to LTPHHub</t>
  </si>
  <si>
    <t>MethanolConvHub0 to MethanolConvCCU</t>
  </si>
  <si>
    <t>MethanolConvCCU to MethanolConvHub0</t>
  </si>
  <si>
    <t>MethanolConvHub0 to T-C-MethConv0toMethConv</t>
  </si>
  <si>
    <t>MethanolGasCCU to Demand-EHub</t>
  </si>
  <si>
    <t>MethanolGasCCU to LTPHHub</t>
  </si>
  <si>
    <t>MethanolConvHub1 to MethanolGasCCU</t>
  </si>
  <si>
    <t>MethanolGasCCU to MethanolConvHub1</t>
  </si>
  <si>
    <t>MethanolConvHub1 to T-C-MethConv1toMethConv</t>
  </si>
  <si>
    <t>NH3CCU to NH3convHub</t>
  </si>
  <si>
    <t>NH3CCU to Demand-EHub</t>
  </si>
  <si>
    <t>NH3CCU to LTPHHub</t>
  </si>
  <si>
    <t>NH3convHub0 to NH3CCU</t>
  </si>
  <si>
    <t>NH3CCU to NH3convHub0</t>
  </si>
  <si>
    <t>NH3convHub0 to T-C-NH3conv0toNH3</t>
  </si>
  <si>
    <t>T-C-BioCoal to CoalHub</t>
  </si>
  <si>
    <t>ReformerCCU to H2GridHub</t>
  </si>
  <si>
    <t>ReformerCCU to Demand-EHub</t>
  </si>
  <si>
    <t>ReformerCCU to ReformerHub0</t>
  </si>
  <si>
    <t>T-C-ReformertoH2Grid to H2GridHub</t>
  </si>
  <si>
    <t>T-C-ReformertoH2Grid to ReformerHub0</t>
  </si>
  <si>
    <t>GasSwitchingReformerCCS to CH4Hub2</t>
  </si>
  <si>
    <t>BioEthanolCCU to GasolineRenHub</t>
  </si>
  <si>
    <t>BioEthanolHub to BioEthanolCCU</t>
  </si>
  <si>
    <t>BioEthanolCCU to BioEthanolHub</t>
  </si>
  <si>
    <t>BioEthanolCCU to Demand-EHub</t>
  </si>
  <si>
    <t>T-C-BioEthanoltoGasolineRen to GasolineRenHub</t>
  </si>
  <si>
    <t>BioEthanolHub to T-C-BioEthanoltoGasolineRen</t>
  </si>
  <si>
    <t>CH4Grid1 to CH4HubNE</t>
  </si>
  <si>
    <t>T-C-CH4green2CH4NE to CH4HubNE</t>
  </si>
  <si>
    <t>BHHub_EZF to BHCollectorTrans_EZF</t>
  </si>
  <si>
    <t>BHCollectorTrans_EZF to EnvironmentHub</t>
  </si>
  <si>
    <t>BHHub_EZF_new to BHCollectorTrans_EZF_new</t>
  </si>
  <si>
    <t>BHCollectorTrans_EZF_new to EnvironmentHub</t>
  </si>
  <si>
    <t>BHHub_GMF to BHCollectorTrans_GMFt</t>
  </si>
  <si>
    <t>BHCollectorTrans_GMFt to EnvironmentHub</t>
  </si>
  <si>
    <t>BHHub_MF to BHCollectorTrans_MF</t>
  </si>
  <si>
    <t>BHCollectorTrans_MF to EnvironmentHub</t>
  </si>
  <si>
    <t>BHHub_MF_new to BHCollectorTrans_MF_new</t>
  </si>
  <si>
    <t>BHCollectorTrans_MF_new to EnvironmentHub</t>
  </si>
  <si>
    <t>BHHub_NW to BHCollectorTrans_NW</t>
  </si>
  <si>
    <t>BHCollectorTrans_NW to EnvironmentHub</t>
  </si>
  <si>
    <t>BHHub_NW_new to BHCollectorTrans_NW_new</t>
  </si>
  <si>
    <t>BHCollectorTrans_NW_new to EnvironmentHub</t>
  </si>
  <si>
    <t>EZFH1Hub to EZFH1CollectorTrans</t>
  </si>
  <si>
    <t>EZFH1CollectorTrans to Building-EnvironmentHub</t>
  </si>
  <si>
    <t>EZFH2Hub to EZFH2CollectorTrans</t>
  </si>
  <si>
    <t>EZFH2CollectorTrans to Building-EnvironmentHub</t>
  </si>
  <si>
    <t>EZFH3Hub to EZFH3CollectorTrans</t>
  </si>
  <si>
    <t>EZFH3CollectorTrans to Building-EnvironmentHub</t>
  </si>
  <si>
    <t>EZFH4Hub to EZFH4CollectorTrans</t>
  </si>
  <si>
    <t>EZFH4CollectorTrans to Building-EnvironmentHub</t>
  </si>
  <si>
    <t>GMFH1Hub to GMFH1CollectorTrans</t>
  </si>
  <si>
    <t>GMFH1CollectorTrans to Building-EnvironmentHub</t>
  </si>
  <si>
    <t>GMFH2Hub to GMFH2CollectorTrans</t>
  </si>
  <si>
    <t>GMFH2CollectorTrans to Building-EnvironmentHub</t>
  </si>
  <si>
    <t>GMFH3Hub to GMFH3CollectorTrans</t>
  </si>
  <si>
    <t>GMFH3CollectorTrans to Building-EnvironmentHub</t>
  </si>
  <si>
    <t>MFH1Hub to MFH1CollectorTrans</t>
  </si>
  <si>
    <t>MFH1CollectorTrans to Building-EnvironmentHub</t>
  </si>
  <si>
    <t>MFH2Hub to MFH2CollectorTrans</t>
  </si>
  <si>
    <t>MFH2CollectorTrans to Building-EnvironmentHub</t>
  </si>
  <si>
    <t>MFH3Hub to MFH3CollectorTrans</t>
  </si>
  <si>
    <t>MFH3CollectorTrans to Building-EnvironmentHub</t>
  </si>
  <si>
    <t>MFH4Hub to MFH4CollectorTrans</t>
  </si>
  <si>
    <t>MFH4CollectorTrans to Building-EnvironmentHub</t>
  </si>
  <si>
    <t>NWG1aHub to NWG1aCollectorTrans</t>
  </si>
  <si>
    <t>NWG1aCollectorTrans to Building-EnvironmentHub</t>
  </si>
  <si>
    <t>NWG1bHub to NWG1bCollectorTrans</t>
  </si>
  <si>
    <t>NWG1bCollectorTrans to Building-EnvironmentHub</t>
  </si>
  <si>
    <t>NWG1-NHub to NWG1-NCollectorTrans</t>
  </si>
  <si>
    <t>NWG1-NCollectorTrans to Building-EnvironmentHub</t>
  </si>
  <si>
    <t>NWG2aHub to NWG2aCollectorTrans</t>
  </si>
  <si>
    <t>NWG2aCollectorTrans to Building-EnvironmentHub</t>
  </si>
  <si>
    <t>NWG2bHub to NWG2bCollectorTrans</t>
  </si>
  <si>
    <t>NWG2bCollectorTrans to Building-EnvironmentHub</t>
  </si>
  <si>
    <t>NWG2-NHub to NWG2-NCollectorTrans</t>
  </si>
  <si>
    <t>NWG2-NCollectorTrans to Building-EnvironmentHub</t>
  </si>
  <si>
    <t>NWG3Hub to NWG3CollectorTrans</t>
  </si>
  <si>
    <t>NWG3CollectorTrans to Building-EnvironmentHub</t>
  </si>
  <si>
    <t>NWG3-NHub to NWG3-NCollectorTrans</t>
  </si>
  <si>
    <t>NWG3-NCollectorTrans to Building-EnvironmentHub</t>
  </si>
  <si>
    <t>NWGWGHub to NWGWGCollectorTrans</t>
  </si>
  <si>
    <t>NWGWGCollectorTrans to Building-EnvironmentHub</t>
  </si>
  <si>
    <t>NWGWG-NHub to NWGWG-NCollectorTrans</t>
  </si>
  <si>
    <t>NWGWG-NCollectorTrans to Building-EnvironmentHub</t>
  </si>
  <si>
    <t>BusBEVChargingHub to BusBEVChargingCollectorTrans</t>
  </si>
  <si>
    <t>BusBEVChargingCollectorTrans to T-SinkHub</t>
  </si>
  <si>
    <t>BusEChargingHub to BusEChargingCollectorTrans</t>
  </si>
  <si>
    <t>BusEChargingCollectorTrans to T-SinkHub</t>
  </si>
  <si>
    <t>EChargingHub to EChargingCollectorTrans</t>
  </si>
  <si>
    <t>EChargingCollectorTrans to T-SinkHub</t>
  </si>
  <si>
    <t>TrainEChargingHub to TrainEChargingCollectorTrans</t>
  </si>
  <si>
    <t>TrainEChargingCollectorTrans to T-SinkHub</t>
  </si>
  <si>
    <t>TruckBEVChargingHub to TruckBEVChargingCollectorTrans</t>
  </si>
  <si>
    <t>TruckBEVChargingCollectorTrans to T-SinkHub</t>
  </si>
  <si>
    <t>TruckEChargingHub to TruckEChargingCollectorTrans</t>
  </si>
  <si>
    <t>TruckEChargingCollectorTrans to T-SinkHub</t>
  </si>
  <si>
    <t>ANSWER_MACHINE-Hub to ANSWER_MACHINE-CollectorTrans</t>
  </si>
  <si>
    <t>ANSWER_MACHINE-CollectorTrans to HHAE-SinkHub</t>
  </si>
  <si>
    <t>CD_PLAYER-Hub to CD_PLAYER-CollectorTrans</t>
  </si>
  <si>
    <t>CD_PLAYER-CollectorTrans to HHAE-SinkHub</t>
  </si>
  <si>
    <t>CHEST_FREEZER-Hub to CHEST_FREEZER-CollectorTrans</t>
  </si>
  <si>
    <t>CHEST_FREEZER-CollectorTrans to HHAE-SinkHub</t>
  </si>
  <si>
    <t>CLOCK-Hub to CLOCK-CollectorTrans</t>
  </si>
  <si>
    <t>CLOCK-CollectorTrans to HHAE-SinkHub</t>
  </si>
  <si>
    <t>DISH_WASHER-Hub to DISH_WASHER-CollectorTrans</t>
  </si>
  <si>
    <t>DISH_WASHER-CollectorTrans to HHAE-SinkHub</t>
  </si>
  <si>
    <t>FAX-Hub to FAX-CollectorTrans</t>
  </si>
  <si>
    <t>FAX-CollectorTrans to HHAE-SinkHub</t>
  </si>
  <si>
    <t>FRIDGE_FREEZER-Hub to FRIDGE_FREEZER-CollectorTrans</t>
  </si>
  <si>
    <t>FRIDGE_FREEZER-CollectorTrans to HHAE-SinkHub</t>
  </si>
  <si>
    <t>FRIDGE-Hub to FRIDGE-CollectorTrans</t>
  </si>
  <si>
    <t>FRIDGE-CollectorTrans to HHAE-SinkHub</t>
  </si>
  <si>
    <t>HIFI-Hub to HIFI-CollectorTrans</t>
  </si>
  <si>
    <t>HIFI-CollectorTrans to HHAE-SinkHub</t>
  </si>
  <si>
    <t>HOB-Hub to HOB-CollectorTrans</t>
  </si>
  <si>
    <t>HOB-CollectorTrans to HHAE-SinkHub</t>
  </si>
  <si>
    <t>IRON-Hub to IRON-CollectorTrans</t>
  </si>
  <si>
    <t>IRON-CollectorTrans to HHAE-SinkHub</t>
  </si>
  <si>
    <t>KETTLE-Hub to KETTLE-CollectorTrans</t>
  </si>
  <si>
    <t>KETTLE-CollectorTrans to HHAE-SinkHub</t>
  </si>
  <si>
    <t>Lighting-Hub to Lighting-CollectorTrans</t>
  </si>
  <si>
    <t>Lighting-CollectorTrans to HHAE-SinkHub</t>
  </si>
  <si>
    <t>MICROWAVE-Hub to MICROWAVE-CollectorTrans</t>
  </si>
  <si>
    <t>MICROWAVE-CollectorTrans to HHAE-SinkHub</t>
  </si>
  <si>
    <t>OVEN-Hub to OVEN-CollectorTrans</t>
  </si>
  <si>
    <t>OVEN-CollectorTrans to HHAE-SinkHub</t>
  </si>
  <si>
    <t>PC-Hub to PC-CollectorTrans</t>
  </si>
  <si>
    <t>PC-CollectorTrans to HHAE-SinkHub</t>
  </si>
  <si>
    <t>PHONE-Hub to PHONE-CollectorTrans</t>
  </si>
  <si>
    <t>PHONE-CollectorTrans to HHAE-SinkHub</t>
  </si>
  <si>
    <t>PRINTER-Hub to PRINTER-CollectorTrans</t>
  </si>
  <si>
    <t>PRINTER-CollectorTrans to HHAE-SinkHub</t>
  </si>
  <si>
    <t>RECEIVER-Hub to RECEIVER-CollectorTrans</t>
  </si>
  <si>
    <t>RECEIVER-CollectorTrans to HHAE-SinkHub</t>
  </si>
  <si>
    <t>SMALL_COOKING-Hub to SMALL_COOKING-CollectorTrans</t>
  </si>
  <si>
    <t>SMALL_COOKING-CollectorTrans to HHAE-SinkHub</t>
  </si>
  <si>
    <t>TUMBLE_DRYER-Hub to TUMBLE_DRYER-CollectorTrans</t>
  </si>
  <si>
    <t>TUMBLE_DRYER-CollectorTrans to HHAE-SinkHub</t>
  </si>
  <si>
    <t>TV1-Hub to TV1-CollectorTrans</t>
  </si>
  <si>
    <t>TV1-CollectorTrans to HHAE-SinkHub</t>
  </si>
  <si>
    <t>TV2-Hub to TV2-CollectorTrans</t>
  </si>
  <si>
    <t>TV2-CollectorTrans to HHAE-SinkHub</t>
  </si>
  <si>
    <t>TV3-Hub to TV3-CollectorTrans</t>
  </si>
  <si>
    <t>TV3-CollectorTrans to HHAE-SinkHub</t>
  </si>
  <si>
    <t>UPRIGHT_FREEZER-Hub to UPRIGHT_FREEZER-CollectorTrans</t>
  </si>
  <si>
    <t>UPRIGHT_FREEZER-CollectorTrans to HHAE-SinkHub</t>
  </si>
  <si>
    <t>VACUUM-Hub to VACUUM-CollectorTrans</t>
  </si>
  <si>
    <t>VACUUM-CollectorTrans to HHAE-SinkHub</t>
  </si>
  <si>
    <t>VCR_DVD-Hub to VCR_DVD-CollectorTrans</t>
  </si>
  <si>
    <t>VCR_DVD-CollectorTrans to HHAE-SinkHub</t>
  </si>
  <si>
    <t>WASHER_DRYER-Hub to WASHER_DRYER-CollectorTrans</t>
  </si>
  <si>
    <t>WASHER_DRYER-CollectorTrans to HHAE-SinkHub</t>
  </si>
  <si>
    <t>WASHING_MACHINE-Hub to WASHING_MACHINE-CollectorTrans</t>
  </si>
  <si>
    <t>WASHING_MACHINE-CollectorTrans to HHAE-SinkHub</t>
  </si>
  <si>
    <t>TransGrid-EHub to TransGrid-ECollector_Transformer</t>
  </si>
  <si>
    <t>TransGrid-ECollector_Transformer to TransGrid-EHub_Out</t>
  </si>
  <si>
    <t>DistrGrid-EHub to DistrGrid-ECollector_Transformer</t>
  </si>
  <si>
    <t>DistrGrid-ECollector_Transformer to DistrGrid-EHub_Out</t>
  </si>
  <si>
    <t>CO2Hub to CO2Collector</t>
  </si>
  <si>
    <t>CO2Collector to CO2Hub2</t>
  </si>
  <si>
    <t>CO2CollectorOnshoreStor to CO2OnshoreStorageHub</t>
  </si>
  <si>
    <t>CO2Hub2 to CO2CollectorOnshoreStor</t>
  </si>
  <si>
    <t>LowTRL40Hub to CO2CollectorOnshoreStor</t>
  </si>
  <si>
    <t>CO2Hub2 to CO2OffshoreCollector</t>
  </si>
  <si>
    <t>CO2OffshoreCollector to CO2OffshoreStorageHub</t>
  </si>
  <si>
    <t>LowTRL40Hub to CO2OffshoreCollector</t>
  </si>
  <si>
    <t>CO2TransEmissions to CO2HubEmissions</t>
  </si>
  <si>
    <t>CO2Hub2 to CO2TransEmissions</t>
  </si>
  <si>
    <t>CO2TransH2NRW to CO2HubH2NRW</t>
  </si>
  <si>
    <t>CO2Hub2 to CO2TransH2NRW</t>
  </si>
  <si>
    <t>CO2TransSink to CO2HubSink</t>
  </si>
  <si>
    <t>CO2Hub2 to CO2TransSink</t>
  </si>
  <si>
    <t>Demand-EHub to LS-Heatpump</t>
  </si>
  <si>
    <t>LS-Heatpump to Demand-EHub</t>
  </si>
  <si>
    <t>SS-GeothermHeatpump to HH-EHub</t>
  </si>
  <si>
    <t>LS-GeothermHeatpump to Demand-EHub</t>
  </si>
  <si>
    <t>=WENNFEHLER(SVERWEIS($D14;capacities!$A$2:$J$2856;G$2;FALSCH)*$B14;0)</t>
  </si>
  <si>
    <t>='Wasserstoff - Produktion'!G10/'Wasserstoff - Inst. Kapazitäten'!I10</t>
  </si>
  <si>
    <t>='Wasserstoff - Produktion'!G14/'Wasserstoff - Inst. Kapazitäten'!I14</t>
  </si>
  <si>
    <t>='Wasserstoff - Produktion'!H14/'Wasserstoff - Inst. Kapazitäten'!J14</t>
  </si>
  <si>
    <t>='Wasserstoff - Produktion'!I14/'Wasserstoff - Inst. Kapazitäten'!K14</t>
  </si>
  <si>
    <t>T-C-CH4green2CH4 to CH4Hubgreen</t>
  </si>
  <si>
    <t>TransGrid-ECollector_Transformer</t>
  </si>
  <si>
    <t>DistrGrid-ECollector_Transformer</t>
  </si>
  <si>
    <t>CO2Collector</t>
  </si>
  <si>
    <t>CO2OffshoreCollector</t>
  </si>
  <si>
    <t>Fraunhofer ISE Wege zu einem klimaneutralen Energiesystem - Update Klimaneutraltiät 2045</t>
  </si>
  <si>
    <t>dena Leitstudie Aufbruch Klimaneutralität</t>
  </si>
  <si>
    <t>BDI Klimapfade 2.0</t>
  </si>
  <si>
    <t>Ariadne Projekt Deutschland auf dem Weg zur Klimaneutraltität 2045</t>
  </si>
  <si>
    <t>Ariadne Projekt Deutschland auf dem Weg zur Klimaneutraltität 2046</t>
  </si>
  <si>
    <t>Ariadne Projekt Deutschland auf dem Weg zur Klimaneutraltität 2047</t>
  </si>
  <si>
    <t>BMWi Langfristszenarien 3</t>
  </si>
  <si>
    <t>Status Quo (2019) *</t>
  </si>
  <si>
    <t>* (https://www.destatis.de/DE/Themen/Branchen-Unternehmen/Energie/Erzeugung/Tabellen/bruttostromerzeugung.html und erneuberare-energien.de)</t>
  </si>
  <si>
    <t>ISE-KNES45</t>
  </si>
  <si>
    <t>ISE (2021) - Beharrung - 2045 - 100%</t>
  </si>
  <si>
    <t>ISE (2021) - Inakzeptanz - 2045 - 100%</t>
  </si>
  <si>
    <t>ISE (2021) - Suffizenz - 2045 - 100%</t>
  </si>
  <si>
    <t>AGORA-KNDE45</t>
  </si>
  <si>
    <t>dena-LSKN</t>
  </si>
  <si>
    <t>BDI-KPF2</t>
  </si>
  <si>
    <t>Ariadne-REMIND</t>
  </si>
  <si>
    <t>Ariadne-REMod</t>
  </si>
  <si>
    <t>Ariadne-TIMES</t>
  </si>
  <si>
    <t>BMWI-LFS3</t>
  </si>
  <si>
    <t>IEK-3 KSG 2045</t>
  </si>
  <si>
    <t>Status Quo (2019)</t>
  </si>
  <si>
    <t>IEK -3 this file</t>
  </si>
  <si>
    <t>Gebäude &amp; GHD</t>
  </si>
  <si>
    <t>GHG emissions</t>
  </si>
  <si>
    <t>Energiewirtschaft</t>
  </si>
  <si>
    <t>Negative Emissions</t>
  </si>
  <si>
    <t>BECCS</t>
  </si>
  <si>
    <t>DACS</t>
  </si>
  <si>
    <t>Import grüne Chem.</t>
  </si>
  <si>
    <t>Import green Chemicals</t>
  </si>
  <si>
    <t>LULUCF</t>
  </si>
  <si>
    <t>SMARD* (1.1.2020)</t>
  </si>
  <si>
    <t>*https://www.smard.de/page/home/wiki-article/446/2362</t>
  </si>
  <si>
    <t>Geothermie</t>
  </si>
  <si>
    <t>Sonstige (Abfall, Kohle, Atom, Geothermie)</t>
  </si>
  <si>
    <t>Energy-Charts *(2019)</t>
  </si>
  <si>
    <t>https://www.energy-charts.info/charts/energy/chart.htm?l=de&amp;c=DE&amp;chartColumnSorting=default&amp;year=2019&amp;interval=year&amp;legendItems=01111111111111111110</t>
  </si>
  <si>
    <t>Hydrogen[TWh]</t>
  </si>
  <si>
    <t>Methane [TWh]</t>
  </si>
  <si>
    <t>Gases [TWh]</t>
  </si>
  <si>
    <t>Importsaldo</t>
  </si>
  <si>
    <t>Stromverbrauch (TWh)</t>
  </si>
  <si>
    <t>Wärmepumpen und PtH</t>
  </si>
  <si>
    <t>Heatpumps and PtH</t>
  </si>
  <si>
    <t>sonstige Umwandlung</t>
  </si>
  <si>
    <t>other</t>
  </si>
  <si>
    <t>H2 Erzeugung (TWh)</t>
  </si>
  <si>
    <t>H2 production (TWh)</t>
  </si>
  <si>
    <t>Biogen</t>
  </si>
  <si>
    <t>Sonstige (fossil, Chlor)</t>
  </si>
  <si>
    <t>Other</t>
  </si>
  <si>
    <t>H2 Bedarf</t>
  </si>
  <si>
    <t>H2 demand (TWh)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</si>
</sst>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000"/>
    <numFmt numFmtId="165" formatCode="0.0"/>
    <numFmt numFmtId="166" formatCode="0.0%"/>
    <numFmt numFmtId="167" formatCode="0.000"/>
    <numFmt numFmtId="168" formatCode="_-* #,##0.0_-;\-* #,##0.0_-;_-* &quot;-&quot;??_-;_-@_-"/>
    <numFmt numFmtId="169" formatCode="_-* #,##0\ _€_-;\-* #,##0\ _€_-;_-* &quot;-&quot;?\ _€_-;_-@_-"/>
    <numFmt numFmtId="170" formatCode="_-* #,##0_-;\-* #,##0_-;_-* &quot;-&quot;??_-;_-@_-"/>
  </numFmts>
  <fonts count="6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11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499984740745262"/>
      <name val="Arial"/>
      <family val="2"/>
    </font>
    <font>
      <b/>
      <i/>
      <sz val="12"/>
      <color theme="1"/>
      <name val="Arial Nova"/>
      <family val="2"/>
    </font>
    <font>
      <b/>
      <sz val="18"/>
      <color rgb="FFFFFFFF"/>
      <name val="Arial Nova"/>
      <family val="2"/>
    </font>
    <font>
      <b/>
      <sz val="11"/>
      <color rgb="FFFFFFFF"/>
      <name val="Arial Nova"/>
      <family val="2"/>
    </font>
    <font>
      <sz val="11"/>
      <color rgb="FFFFFFFF"/>
      <name val="Arial Nova"/>
      <family val="2"/>
    </font>
    <font>
      <sz val="12"/>
      <color rgb="FFFFFFFF"/>
      <name val="Arial Nova"/>
      <family val="2"/>
    </font>
    <font>
      <b/>
      <sz val="11"/>
      <color rgb="FFC00000"/>
      <name val="Arial Nova"/>
      <family val="2"/>
    </font>
    <font>
      <b/>
      <sz val="12"/>
      <color rgb="FFC00000"/>
      <name val="Arial Nova"/>
      <family val="2"/>
    </font>
    <font>
      <b/>
      <sz val="11"/>
      <color theme="1"/>
      <name val="Arial Nova"/>
      <family val="2"/>
    </font>
    <font>
      <i/>
      <sz val="11"/>
      <color theme="1"/>
      <name val="Arial Nova"/>
      <family val="2"/>
    </font>
    <font>
      <i/>
      <sz val="12"/>
      <color theme="1"/>
      <name val="Arial Nova"/>
      <family val="2"/>
    </font>
    <font>
      <b/>
      <i/>
      <sz val="11"/>
      <color theme="1"/>
      <name val="Arial Nova"/>
      <family val="2"/>
    </font>
    <font>
      <sz val="11"/>
      <color theme="1"/>
      <name val="Arial Nova"/>
      <family val="2"/>
    </font>
    <font>
      <i/>
      <sz val="12"/>
      <color rgb="FFC00000"/>
      <name val="Arial Nova"/>
      <family val="2"/>
    </font>
    <font>
      <i/>
      <sz val="11"/>
      <name val="Arial"/>
      <family val="2"/>
    </font>
    <font>
      <b/>
      <sz val="11"/>
      <name val="Arial Nova"/>
      <family val="2"/>
    </font>
    <font>
      <i/>
      <sz val="11"/>
      <name val="Arial Nova"/>
      <family val="2"/>
    </font>
    <font>
      <i/>
      <sz val="12"/>
      <name val="Arial Nova"/>
      <family val="2"/>
    </font>
    <font>
      <b/>
      <i/>
      <sz val="11"/>
      <color rgb="FFC00000"/>
      <name val="Arial Nova"/>
      <family val="2"/>
    </font>
    <font>
      <b/>
      <i/>
      <sz val="11"/>
      <name val="Arial Nova"/>
      <family val="2"/>
    </font>
    <font>
      <b/>
      <sz val="14"/>
      <color theme="0"/>
      <name val="Arial Nova"/>
      <family val="2"/>
    </font>
    <font>
      <b/>
      <sz val="11"/>
      <color theme="0"/>
      <name val="Arial Nova"/>
      <family val="2"/>
    </font>
    <font>
      <b/>
      <sz val="12"/>
      <color theme="1"/>
      <name val="Arial Nova"/>
      <family val="2"/>
    </font>
    <font>
      <b/>
      <vertAlign val="subscript"/>
      <sz val="11"/>
      <color theme="1"/>
      <name val="Arial Nova"/>
      <family val="2"/>
    </font>
    <font>
      <i/>
      <sz val="11"/>
      <color theme="0"/>
      <name val="Arial Nova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sz val="11"/>
      <color theme="0"/>
      <name val="Calibri"/>
      <family val="2"/>
      <scheme val="minor"/>
    </font>
    <font>
      <sz val="11"/>
      <color theme="1"/>
      <name val="Trebuchet MS "/>
    </font>
    <font>
      <sz val="11"/>
      <color theme="0"/>
      <name val="Arial"/>
      <family val="2"/>
    </font>
    <font>
      <b/>
      <sz val="9"/>
      <color indexed="81"/>
      <name val="Segoe UI"/>
      <charset val="1"/>
    </font>
    <font>
      <sz val="9"/>
      <color indexed="81"/>
      <name val="Segoe UI"/>
      <charset val="1"/>
    </font>
  </fonts>
  <fills count="5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5B82"/>
        <bgColor indexed="64"/>
      </patternFill>
    </fill>
    <fill>
      <patternFill patternType="solid">
        <fgColor rgb="FFB3E8FF"/>
        <bgColor indexed="64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theme="0" tint="-0.14999847407452621"/>
      </patternFill>
    </fill>
  </fills>
  <borders count="9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theme="1"/>
      </right>
      <top style="thick">
        <color indexed="64"/>
      </top>
      <bottom/>
      <diagonal/>
    </border>
    <border>
      <left style="medium">
        <color theme="1"/>
      </left>
      <right style="medium">
        <color theme="1"/>
      </right>
      <top style="thick">
        <color indexed="64"/>
      </top>
      <bottom/>
      <diagonal/>
    </border>
    <border>
      <left style="medium">
        <color theme="1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thick">
        <color indexed="64"/>
      </right>
      <top/>
      <bottom/>
      <diagonal/>
    </border>
    <border>
      <left style="thick">
        <color indexed="64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ck">
        <color indexed="64"/>
      </right>
      <top style="thin">
        <color theme="1"/>
      </top>
      <bottom style="thin">
        <color theme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/>
      <bottom/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 style="thick">
        <color indexed="64"/>
      </left>
      <right style="medium">
        <color theme="1"/>
      </right>
      <top style="thin">
        <color theme="1"/>
      </top>
      <bottom/>
      <diagonal/>
    </border>
    <border>
      <left style="medium">
        <color theme="1"/>
      </left>
      <right style="medium">
        <color theme="1"/>
      </right>
      <top style="thin">
        <color theme="1"/>
      </top>
      <bottom/>
      <diagonal/>
    </border>
    <border>
      <left style="thick">
        <color indexed="64"/>
      </left>
      <right style="thick">
        <color indexed="64"/>
      </right>
      <top style="thin">
        <color theme="1"/>
      </top>
      <bottom/>
      <diagonal/>
    </border>
    <border>
      <left style="thick">
        <color indexed="64"/>
      </left>
      <right style="medium">
        <color theme="1"/>
      </right>
      <top style="thin">
        <color indexed="64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thin">
        <color indexed="64"/>
      </top>
      <bottom style="thin">
        <color theme="1"/>
      </bottom>
      <diagonal/>
    </border>
    <border>
      <left style="medium">
        <color theme="1"/>
      </left>
      <right style="thick">
        <color indexed="64"/>
      </right>
      <top style="thin">
        <color indexed="64"/>
      </top>
      <bottom style="thin">
        <color theme="1"/>
      </bottom>
      <diagonal/>
    </border>
    <border>
      <left style="thick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theme="1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thick">
        <color auto="1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indexed="64"/>
      </bottom>
      <diagonal/>
    </border>
    <border>
      <left style="thin">
        <color indexed="64"/>
      </left>
      <right/>
      <top style="thick">
        <color auto="1"/>
      </top>
      <bottom style="thin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0"/>
      </top>
      <bottom/>
      <diagonal/>
    </border>
  </borders>
  <cellStyleXfs count="13">
    <xf numFmtId="0" fontId="0" fillId="0" borderId="0"/>
    <xf numFmtId="0" fontId="2" fillId="2" borderId="1">
      <alignment horizontal="center" vertical="center"/>
    </xf>
    <xf numFmtId="0" fontId="3" fillId="0" borderId="0"/>
    <xf numFmtId="0" fontId="2" fillId="2" borderId="2">
      <alignment horizontal="center" vertical="center"/>
    </xf>
    <xf numFmtId="0" fontId="3" fillId="0" borderId="0"/>
    <xf numFmtId="9" fontId="4" fillId="0" borderId="0" applyFont="0" applyFill="0" applyBorder="0" applyAlignment="0" applyProtection="0"/>
    <xf numFmtId="0" fontId="4" fillId="0" borderId="0"/>
    <xf numFmtId="0" fontId="17" fillId="29" borderId="0" applyNumberFormat="0" applyBorder="0" applyAlignment="0" applyProtection="0"/>
    <xf numFmtId="0" fontId="18" fillId="30" borderId="0" applyNumberFormat="0" applyBorder="0" applyAlignment="0" applyProtection="0"/>
    <xf numFmtId="0" fontId="19" fillId="31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55" borderId="91" applyNumberFormat="0" applyFont="0" applyAlignment="0" applyProtection="0"/>
  </cellStyleXfs>
  <cellXfs count="1049">
    <xf numFmtId="0" fontId="0" fillId="0" borderId="0" xfId="0"/>
    <xf numFmtId="0" fontId="0" fillId="0" borderId="0" xfId="0"/>
    <xf numFmtId="0" fontId="5" fillId="0" borderId="0" xfId="0" applyFont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5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3" borderId="0" xfId="0" applyFont="1" applyFill="1" applyBorder="1"/>
    <xf numFmtId="0" fontId="5" fillId="3" borderId="10" xfId="0" applyFont="1" applyFill="1" applyBorder="1"/>
    <xf numFmtId="0" fontId="6" fillId="0" borderId="0" xfId="0" applyFont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0" xfId="0" applyFont="1"/>
    <xf numFmtId="0" fontId="5" fillId="3" borderId="0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0" borderId="7" xfId="0" applyFont="1" applyBorder="1"/>
    <xf numFmtId="0" fontId="5" fillId="0" borderId="9" xfId="0" applyFont="1" applyBorder="1"/>
    <xf numFmtId="0" fontId="0" fillId="0" borderId="0" xfId="0"/>
    <xf numFmtId="0" fontId="7" fillId="0" borderId="0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9" fillId="0" borderId="0" xfId="0" applyFont="1"/>
    <xf numFmtId="0" fontId="6" fillId="0" borderId="4" xfId="0" applyFont="1" applyBorder="1" applyAlignment="1">
      <alignment horizontal="left" vertical="center"/>
    </xf>
    <xf numFmtId="49" fontId="5" fillId="0" borderId="7" xfId="0" applyNumberFormat="1" applyFont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5" fillId="0" borderId="9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9" fillId="0" borderId="0" xfId="0" applyFont="1" applyBorder="1"/>
    <xf numFmtId="0" fontId="5" fillId="0" borderId="0" xfId="0" applyFont="1" applyBorder="1"/>
    <xf numFmtId="0" fontId="5" fillId="0" borderId="10" xfId="0" applyFont="1" applyBorder="1"/>
    <xf numFmtId="0" fontId="0" fillId="0" borderId="7" xfId="0" applyBorder="1"/>
    <xf numFmtId="0" fontId="0" fillId="0" borderId="9" xfId="0" applyBorder="1"/>
    <xf numFmtId="0" fontId="10" fillId="0" borderId="0" xfId="0" applyFont="1" applyFill="1" applyBorder="1" applyAlignment="1">
      <alignment horizontal="center" vertical="center"/>
    </xf>
    <xf numFmtId="49" fontId="10" fillId="0" borderId="9" xfId="0" applyNumberFormat="1" applyFont="1" applyBorder="1" applyAlignment="1">
      <alignment horizontal="left" vertical="center"/>
    </xf>
    <xf numFmtId="0" fontId="10" fillId="0" borderId="0" xfId="0" applyFont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9" fontId="5" fillId="0" borderId="0" xfId="5" applyFont="1" applyBorder="1"/>
    <xf numFmtId="9" fontId="5" fillId="0" borderId="10" xfId="5" applyFont="1" applyBorder="1"/>
    <xf numFmtId="0" fontId="5" fillId="3" borderId="5" xfId="0" applyFont="1" applyFill="1" applyBorder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8" fillId="0" borderId="5" xfId="0" applyNumberFormat="1" applyFont="1" applyBorder="1" applyAlignment="1">
      <alignment horizontal="center" vertical="center"/>
    </xf>
    <xf numFmtId="0" fontId="8" fillId="0" borderId="7" xfId="0" applyNumberFormat="1" applyFont="1" applyBorder="1" applyAlignment="1">
      <alignment horizontal="center" vertical="center"/>
    </xf>
    <xf numFmtId="0" fontId="8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5" fillId="0" borderId="7" xfId="0" applyNumberFormat="1" applyFont="1" applyBorder="1" applyAlignment="1">
      <alignment horizontal="center" vertical="center"/>
    </xf>
    <xf numFmtId="0" fontId="5" fillId="3" borderId="0" xfId="0" applyNumberFormat="1" applyFont="1" applyFill="1" applyBorder="1" applyAlignment="1">
      <alignment horizontal="center" vertical="center"/>
    </xf>
    <xf numFmtId="0" fontId="5" fillId="0" borderId="9" xfId="0" applyNumberFormat="1" applyFont="1" applyBorder="1" applyAlignment="1">
      <alignment horizontal="center" vertical="center"/>
    </xf>
    <xf numFmtId="0" fontId="5" fillId="0" borderId="10" xfId="0" applyNumberFormat="1" applyFont="1" applyBorder="1" applyAlignment="1">
      <alignment horizontal="center" vertical="center"/>
    </xf>
    <xf numFmtId="0" fontId="5" fillId="3" borderId="10" xfId="0" applyNumberFormat="1" applyFont="1" applyFill="1" applyBorder="1" applyAlignment="1">
      <alignment horizontal="center" vertical="center"/>
    </xf>
    <xf numFmtId="0" fontId="5" fillId="0" borderId="0" xfId="0" applyNumberFormat="1" applyFont="1"/>
    <xf numFmtId="0" fontId="10" fillId="0" borderId="0" xfId="0" applyNumberFormat="1" applyFont="1"/>
    <xf numFmtId="9" fontId="5" fillId="0" borderId="0" xfId="5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right" vertical="center"/>
    </xf>
    <xf numFmtId="0" fontId="0" fillId="0" borderId="0" xfId="0"/>
    <xf numFmtId="0" fontId="5" fillId="0" borderId="0" xfId="0" applyFont="1" applyFill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6" fillId="3" borderId="0" xfId="0" applyFont="1" applyFill="1" applyBorder="1"/>
    <xf numFmtId="9" fontId="5" fillId="0" borderId="0" xfId="5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164" fontId="5" fillId="0" borderId="0" xfId="0" applyNumberFormat="1" applyFont="1" applyBorder="1" applyAlignment="1">
      <alignment horizontal="center" vertical="center"/>
    </xf>
    <xf numFmtId="165" fontId="5" fillId="0" borderId="0" xfId="0" applyNumberFormat="1" applyFont="1" applyFill="1" applyBorder="1" applyAlignment="1">
      <alignment horizontal="center" vertical="center"/>
    </xf>
    <xf numFmtId="165" fontId="5" fillId="0" borderId="0" xfId="0" applyNumberFormat="1" applyFont="1" applyBorder="1" applyAlignment="1">
      <alignment horizontal="center" vertical="center"/>
    </xf>
    <xf numFmtId="165" fontId="5" fillId="0" borderId="0" xfId="5" applyNumberFormat="1" applyFont="1" applyBorder="1" applyAlignment="1">
      <alignment horizontal="center" vertical="center"/>
    </xf>
    <xf numFmtId="10" fontId="5" fillId="0" borderId="0" xfId="5" applyNumberFormat="1" applyFont="1" applyBorder="1" applyAlignment="1">
      <alignment horizontal="center" vertical="center"/>
    </xf>
    <xf numFmtId="166" fontId="5" fillId="0" borderId="0" xfId="5" applyNumberFormat="1" applyFont="1" applyBorder="1" applyAlignment="1">
      <alignment horizontal="center" vertical="center"/>
    </xf>
    <xf numFmtId="0" fontId="0" fillId="0" borderId="10" xfId="0" applyBorder="1"/>
    <xf numFmtId="10" fontId="0" fillId="0" borderId="10" xfId="0" applyNumberFormat="1" applyBorder="1"/>
    <xf numFmtId="49" fontId="6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1" fillId="0" borderId="0" xfId="0" applyFont="1"/>
    <xf numFmtId="0" fontId="0" fillId="0" borderId="0" xfId="0" applyFont="1"/>
    <xf numFmtId="165" fontId="0" fillId="0" borderId="0" xfId="0" applyNumberFormat="1"/>
    <xf numFmtId="9" fontId="0" fillId="0" borderId="0" xfId="5" applyFont="1"/>
    <xf numFmtId="9" fontId="0" fillId="0" borderId="0" xfId="0" applyNumberFormat="1"/>
    <xf numFmtId="0" fontId="0" fillId="0" borderId="4" xfId="0" applyBorder="1"/>
    <xf numFmtId="0" fontId="1" fillId="0" borderId="5" xfId="0" applyFont="1" applyBorder="1"/>
    <xf numFmtId="0" fontId="0" fillId="0" borderId="5" xfId="0" applyBorder="1"/>
    <xf numFmtId="0" fontId="0" fillId="0" borderId="6" xfId="0" applyBorder="1"/>
    <xf numFmtId="0" fontId="1" fillId="0" borderId="4" xfId="0" applyFont="1" applyBorder="1"/>
    <xf numFmtId="0" fontId="0" fillId="0" borderId="0" xfId="0" applyBorder="1"/>
    <xf numFmtId="0" fontId="0" fillId="0" borderId="8" xfId="0" applyBorder="1"/>
    <xf numFmtId="0" fontId="0" fillId="0" borderId="11" xfId="0" applyBorder="1"/>
    <xf numFmtId="0" fontId="1" fillId="0" borderId="9" xfId="0" applyFont="1" applyBorder="1"/>
    <xf numFmtId="165" fontId="0" fillId="0" borderId="0" xfId="0" applyNumberFormat="1" applyBorder="1"/>
    <xf numFmtId="9" fontId="0" fillId="0" borderId="0" xfId="5" applyFont="1" applyBorder="1"/>
    <xf numFmtId="9" fontId="0" fillId="0" borderId="8" xfId="5" applyFont="1" applyBorder="1"/>
    <xf numFmtId="0" fontId="1" fillId="0" borderId="7" xfId="0" applyFont="1" applyBorder="1"/>
    <xf numFmtId="9" fontId="0" fillId="0" borderId="10" xfId="5" applyFont="1" applyBorder="1"/>
    <xf numFmtId="165" fontId="0" fillId="0" borderId="10" xfId="0" applyNumberFormat="1" applyBorder="1"/>
    <xf numFmtId="0" fontId="1" fillId="0" borderId="0" xfId="0" applyFont="1" applyBorder="1"/>
    <xf numFmtId="0" fontId="1" fillId="0" borderId="10" xfId="0" applyFont="1" applyBorder="1"/>
    <xf numFmtId="9" fontId="0" fillId="0" borderId="7" xfId="5" applyFont="1" applyBorder="1"/>
    <xf numFmtId="9" fontId="0" fillId="0" borderId="9" xfId="5" applyFont="1" applyBorder="1"/>
    <xf numFmtId="1" fontId="0" fillId="0" borderId="0" xfId="0" applyNumberFormat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4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0" borderId="0" xfId="0" applyFill="1"/>
    <xf numFmtId="0" fontId="12" fillId="12" borderId="0" xfId="0" applyFont="1" applyFill="1"/>
    <xf numFmtId="0" fontId="0" fillId="28" borderId="0" xfId="0" applyFill="1"/>
    <xf numFmtId="0" fontId="0" fillId="0" borderId="0" xfId="0"/>
    <xf numFmtId="0" fontId="1" fillId="0" borderId="0" xfId="0" applyFont="1"/>
    <xf numFmtId="0" fontId="0" fillId="0" borderId="7" xfId="0" applyFill="1" applyBorder="1"/>
    <xf numFmtId="0" fontId="0" fillId="0" borderId="9" xfId="0" applyFill="1" applyBorder="1"/>
    <xf numFmtId="165" fontId="0" fillId="0" borderId="0" xfId="0" applyNumberFormat="1" applyFill="1" applyBorder="1"/>
    <xf numFmtId="0" fontId="0" fillId="0" borderId="0" xfId="0" applyFill="1" applyBorder="1"/>
    <xf numFmtId="0" fontId="0" fillId="0" borderId="10" xfId="0" applyFill="1" applyBorder="1"/>
    <xf numFmtId="0" fontId="15" fillId="0" borderId="7" xfId="0" applyFont="1" applyBorder="1"/>
    <xf numFmtId="0" fontId="15" fillId="0" borderId="0" xfId="0" applyFont="1" applyBorder="1"/>
    <xf numFmtId="0" fontId="16" fillId="0" borderId="7" xfId="0" applyFont="1" applyBorder="1"/>
    <xf numFmtId="166" fontId="15" fillId="0" borderId="0" xfId="5" applyNumberFormat="1" applyFont="1" applyBorder="1"/>
    <xf numFmtId="0" fontId="15" fillId="0" borderId="9" xfId="0" applyFont="1" applyBorder="1"/>
    <xf numFmtId="0" fontId="15" fillId="0" borderId="10" xfId="0" applyFont="1" applyBorder="1"/>
    <xf numFmtId="0" fontId="1" fillId="0" borderId="0" xfId="0" applyFont="1" applyFill="1" applyBorder="1"/>
    <xf numFmtId="166" fontId="0" fillId="0" borderId="0" xfId="5" applyNumberFormat="1" applyFont="1"/>
    <xf numFmtId="166" fontId="0" fillId="0" borderId="0" xfId="0" applyNumberFormat="1"/>
    <xf numFmtId="166" fontId="0" fillId="0" borderId="0" xfId="5" applyNumberFormat="1" applyFont="1" applyBorder="1"/>
    <xf numFmtId="166" fontId="0" fillId="0" borderId="10" xfId="0" applyNumberFormat="1" applyBorder="1"/>
    <xf numFmtId="0" fontId="12" fillId="0" borderId="0" xfId="0" applyFont="1"/>
    <xf numFmtId="0" fontId="0" fillId="0" borderId="0" xfId="0" applyNumberFormat="1" applyBorder="1"/>
    <xf numFmtId="0" fontId="0" fillId="0" borderId="10" xfId="0" applyNumberFormat="1" applyBorder="1"/>
    <xf numFmtId="9" fontId="5" fillId="0" borderId="0" xfId="5" applyFont="1" applyAlignment="1">
      <alignment horizontal="center" vertical="center"/>
    </xf>
    <xf numFmtId="9" fontId="5" fillId="0" borderId="0" xfId="0" applyNumberFormat="1" applyFont="1" applyFill="1" applyBorder="1" applyAlignment="1">
      <alignment horizontal="center" vertical="center"/>
    </xf>
    <xf numFmtId="0" fontId="18" fillId="30" borderId="7" xfId="8" applyBorder="1"/>
    <xf numFmtId="0" fontId="19" fillId="31" borderId="7" xfId="9" applyBorder="1"/>
    <xf numFmtId="0" fontId="17" fillId="29" borderId="7" xfId="7" applyBorder="1"/>
    <xf numFmtId="0" fontId="18" fillId="30" borderId="0" xfId="8" applyBorder="1"/>
    <xf numFmtId="0" fontId="12" fillId="0" borderId="6" xfId="0" applyFont="1" applyBorder="1"/>
    <xf numFmtId="0" fontId="1" fillId="0" borderId="0" xfId="0" applyFont="1" applyFill="1"/>
    <xf numFmtId="0" fontId="0" fillId="32" borderId="0" xfId="0" applyFill="1"/>
    <xf numFmtId="0" fontId="23" fillId="0" borderId="0" xfId="0" applyFont="1"/>
    <xf numFmtId="0" fontId="0" fillId="0" borderId="0" xfId="0" applyNumberFormat="1"/>
    <xf numFmtId="0" fontId="24" fillId="0" borderId="0" xfId="0" applyFont="1" applyBorder="1"/>
    <xf numFmtId="0" fontId="1" fillId="0" borderId="7" xfId="0" applyFont="1" applyFill="1" applyBorder="1"/>
    <xf numFmtId="49" fontId="6" fillId="0" borderId="7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49" fontId="5" fillId="33" borderId="7" xfId="0" applyNumberFormat="1" applyFont="1" applyFill="1" applyBorder="1" applyAlignment="1">
      <alignment horizontal="center" vertical="center"/>
    </xf>
    <xf numFmtId="49" fontId="5" fillId="33" borderId="0" xfId="0" applyNumberFormat="1" applyFont="1" applyFill="1" applyBorder="1" applyAlignment="1">
      <alignment horizontal="center" vertical="center"/>
    </xf>
    <xf numFmtId="0" fontId="5" fillId="33" borderId="0" xfId="0" applyFont="1" applyFill="1" applyBorder="1" applyAlignment="1">
      <alignment horizontal="center" vertical="center"/>
    </xf>
    <xf numFmtId="49" fontId="5" fillId="12" borderId="7" xfId="0" applyNumberFormat="1" applyFont="1" applyFill="1" applyBorder="1" applyAlignment="1">
      <alignment horizontal="center" vertical="center"/>
    </xf>
    <xf numFmtId="49" fontId="5" fillId="12" borderId="0" xfId="0" applyNumberFormat="1" applyFont="1" applyFill="1" applyBorder="1" applyAlignment="1">
      <alignment horizontal="center" vertical="center"/>
    </xf>
    <xf numFmtId="0" fontId="5" fillId="12" borderId="0" xfId="0" applyFont="1" applyFill="1" applyBorder="1" applyAlignment="1">
      <alignment horizontal="center" vertical="center"/>
    </xf>
    <xf numFmtId="49" fontId="5" fillId="34" borderId="7" xfId="0" applyNumberFormat="1" applyFont="1" applyFill="1" applyBorder="1" applyAlignment="1">
      <alignment horizontal="center" vertical="center"/>
    </xf>
    <xf numFmtId="49" fontId="5" fillId="34" borderId="0" xfId="0" applyNumberFormat="1" applyFont="1" applyFill="1" applyBorder="1" applyAlignment="1">
      <alignment horizontal="center" vertical="center"/>
    </xf>
    <xf numFmtId="0" fontId="5" fillId="34" borderId="0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34" borderId="7" xfId="0" applyFont="1" applyFill="1" applyBorder="1" applyAlignment="1">
      <alignment horizontal="center" vertical="center"/>
    </xf>
    <xf numFmtId="0" fontId="5" fillId="33" borderId="7" xfId="0" applyFont="1" applyFill="1" applyBorder="1" applyAlignment="1">
      <alignment horizontal="center" vertical="center"/>
    </xf>
    <xf numFmtId="0" fontId="5" fillId="0" borderId="4" xfId="0" applyFont="1" applyBorder="1"/>
    <xf numFmtId="10" fontId="5" fillId="0" borderId="0" xfId="0" applyNumberFormat="1" applyFont="1" applyBorder="1"/>
    <xf numFmtId="0" fontId="0" fillId="33" borderId="7" xfId="0" applyFill="1" applyBorder="1"/>
    <xf numFmtId="0" fontId="0" fillId="33" borderId="0" xfId="0" applyFill="1" applyBorder="1"/>
    <xf numFmtId="0" fontId="24" fillId="33" borderId="7" xfId="9" applyFont="1" applyFill="1" applyBorder="1"/>
    <xf numFmtId="0" fontId="24" fillId="33" borderId="0" xfId="9" applyFont="1" applyFill="1" applyBorder="1"/>
    <xf numFmtId="0" fontId="4" fillId="35" borderId="7" xfId="10" applyBorder="1"/>
    <xf numFmtId="0" fontId="4" fillId="35" borderId="0" xfId="10" applyBorder="1"/>
    <xf numFmtId="9" fontId="0" fillId="33" borderId="0" xfId="5" applyFont="1" applyFill="1" applyBorder="1"/>
    <xf numFmtId="0" fontId="0" fillId="0" borderId="0" xfId="0"/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5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49" fontId="5" fillId="0" borderId="7" xfId="0" applyNumberFormat="1" applyFont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5" fillId="0" borderId="9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9" fontId="5" fillId="3" borderId="0" xfId="5" applyFont="1" applyFill="1" applyBorder="1" applyAlignment="1">
      <alignment horizontal="center" vertical="center"/>
    </xf>
    <xf numFmtId="0" fontId="6" fillId="0" borderId="5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16" fillId="0" borderId="0" xfId="0" applyFont="1" applyBorder="1"/>
    <xf numFmtId="0" fontId="24" fillId="0" borderId="0" xfId="7" applyFont="1" applyFill="1"/>
    <xf numFmtId="0" fontId="24" fillId="0" borderId="0" xfId="7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26" borderId="0" xfId="0" applyFont="1" applyFill="1" applyAlignment="1">
      <alignment horizontal="center" vertical="center" wrapText="1"/>
    </xf>
    <xf numFmtId="0" fontId="8" fillId="27" borderId="0" xfId="0" applyFont="1" applyFill="1" applyAlignment="1">
      <alignment horizontal="center" vertical="center" wrapText="1"/>
    </xf>
    <xf numFmtId="0" fontId="24" fillId="26" borderId="0" xfId="7" applyFont="1" applyFill="1" applyAlignment="1">
      <alignment horizontal="center" vertical="center" wrapText="1"/>
    </xf>
    <xf numFmtId="0" fontId="24" fillId="27" borderId="0" xfId="7" applyFont="1" applyFill="1" applyAlignment="1">
      <alignment horizontal="center" vertical="center" wrapText="1"/>
    </xf>
    <xf numFmtId="0" fontId="8" fillId="11" borderId="0" xfId="0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/>
    </xf>
    <xf numFmtId="0" fontId="8" fillId="0" borderId="0" xfId="0" applyFont="1"/>
    <xf numFmtId="0" fontId="8" fillId="11" borderId="0" xfId="0" applyFont="1" applyFill="1" applyAlignment="1">
      <alignment horizontal="center" vertical="center" wrapText="1"/>
    </xf>
    <xf numFmtId="0" fontId="8" fillId="12" borderId="0" xfId="0" applyFont="1" applyFill="1"/>
    <xf numFmtId="0" fontId="11" fillId="0" borderId="0" xfId="0" applyFont="1" applyAlignment="1">
      <alignment horizontal="center" vertical="center"/>
    </xf>
    <xf numFmtId="0" fontId="11" fillId="27" borderId="0" xfId="0" applyFont="1" applyFill="1" applyAlignment="1">
      <alignment horizontal="center"/>
    </xf>
    <xf numFmtId="0" fontId="11" fillId="27" borderId="0" xfId="0" applyFont="1" applyFill="1" applyAlignment="1">
      <alignment horizontal="center" vertical="center"/>
    </xf>
    <xf numFmtId="0" fontId="24" fillId="26" borderId="0" xfId="7" applyFont="1" applyFill="1" applyAlignment="1">
      <alignment horizontal="center" vertical="center"/>
    </xf>
    <xf numFmtId="0" fontId="24" fillId="27" borderId="0" xfId="7" applyFont="1" applyFill="1" applyAlignment="1">
      <alignment horizontal="center"/>
    </xf>
    <xf numFmtId="0" fontId="24" fillId="26" borderId="0" xfId="7" applyFont="1" applyFill="1" applyAlignment="1">
      <alignment horizontal="center"/>
    </xf>
    <xf numFmtId="0" fontId="11" fillId="11" borderId="0" xfId="0" applyFont="1" applyFill="1" applyAlignment="1">
      <alignment horizontal="center" vertical="center"/>
    </xf>
    <xf numFmtId="0" fontId="11" fillId="12" borderId="0" xfId="0" applyFont="1" applyFill="1"/>
    <xf numFmtId="0" fontId="11" fillId="0" borderId="0" xfId="0" applyFont="1"/>
    <xf numFmtId="0" fontId="8" fillId="26" borderId="0" xfId="0" applyFont="1" applyFill="1" applyAlignment="1">
      <alignment horizontal="center"/>
    </xf>
    <xf numFmtId="0" fontId="8" fillId="27" borderId="0" xfId="0" applyFont="1" applyFill="1" applyAlignment="1">
      <alignment horizontal="center"/>
    </xf>
    <xf numFmtId="0" fontId="8" fillId="27" borderId="0" xfId="0" applyFont="1" applyFill="1" applyAlignment="1">
      <alignment horizontal="center" vertical="center"/>
    </xf>
    <xf numFmtId="0" fontId="8" fillId="26" borderId="0" xfId="0" applyFont="1" applyFill="1"/>
    <xf numFmtId="9" fontId="8" fillId="27" borderId="0" xfId="0" applyNumberFormat="1" applyFont="1" applyFill="1" applyAlignment="1">
      <alignment horizontal="center"/>
    </xf>
    <xf numFmtId="9" fontId="8" fillId="26" borderId="0" xfId="0" applyNumberFormat="1" applyFont="1" applyFill="1" applyAlignment="1">
      <alignment horizontal="center"/>
    </xf>
    <xf numFmtId="9" fontId="24" fillId="26" borderId="0" xfId="7" applyNumberFormat="1" applyFont="1" applyFill="1" applyAlignment="1">
      <alignment horizontal="center"/>
    </xf>
    <xf numFmtId="9" fontId="24" fillId="27" borderId="0" xfId="7" applyNumberFormat="1" applyFont="1" applyFill="1" applyAlignment="1">
      <alignment horizontal="center"/>
    </xf>
    <xf numFmtId="9" fontId="8" fillId="11" borderId="0" xfId="0" applyNumberFormat="1" applyFont="1" applyFill="1" applyAlignment="1">
      <alignment horizontal="center" vertical="center"/>
    </xf>
    <xf numFmtId="0" fontId="8" fillId="27" borderId="0" xfId="0" applyFont="1" applyFill="1"/>
    <xf numFmtId="0" fontId="24" fillId="27" borderId="0" xfId="7" applyFont="1" applyFill="1"/>
    <xf numFmtId="0" fontId="24" fillId="26" borderId="0" xfId="7" applyFont="1" applyFill="1"/>
    <xf numFmtId="0" fontId="11" fillId="0" borderId="0" xfId="0" applyFont="1" applyAlignment="1">
      <alignment horizontal="right" vertical="center"/>
    </xf>
    <xf numFmtId="1" fontId="8" fillId="27" borderId="0" xfId="0" applyNumberFormat="1" applyFont="1" applyFill="1" applyAlignment="1">
      <alignment horizontal="center"/>
    </xf>
    <xf numFmtId="1" fontId="8" fillId="26" borderId="0" xfId="0" applyNumberFormat="1" applyFont="1" applyFill="1" applyAlignment="1">
      <alignment horizontal="center"/>
    </xf>
    <xf numFmtId="1" fontId="8" fillId="4" borderId="0" xfId="0" applyNumberFormat="1" applyFont="1" applyFill="1" applyAlignment="1">
      <alignment horizontal="center"/>
    </xf>
    <xf numFmtId="1" fontId="8" fillId="12" borderId="0" xfId="0" applyNumberFormat="1" applyFont="1" applyFill="1" applyAlignment="1">
      <alignment horizontal="center"/>
    </xf>
    <xf numFmtId="1" fontId="24" fillId="27" borderId="0" xfId="7" applyNumberFormat="1" applyFont="1" applyFill="1" applyAlignment="1">
      <alignment horizontal="center"/>
    </xf>
    <xf numFmtId="1" fontId="24" fillId="26" borderId="0" xfId="7" applyNumberFormat="1" applyFont="1" applyFill="1" applyAlignment="1">
      <alignment horizontal="center"/>
    </xf>
    <xf numFmtId="0" fontId="8" fillId="11" borderId="0" xfId="0" applyFont="1" applyFill="1" applyAlignment="1">
      <alignment horizontal="right" vertical="center"/>
    </xf>
    <xf numFmtId="0" fontId="8" fillId="11" borderId="0" xfId="0" applyFont="1" applyFill="1"/>
    <xf numFmtId="0" fontId="24" fillId="0" borderId="0" xfId="0" applyFont="1"/>
    <xf numFmtId="0" fontId="24" fillId="27" borderId="0" xfId="7" applyFont="1" applyFill="1" applyAlignment="1">
      <alignment horizontal="center" vertical="center"/>
    </xf>
    <xf numFmtId="1" fontId="8" fillId="11" borderId="0" xfId="0" applyNumberFormat="1" applyFont="1" applyFill="1" applyAlignment="1">
      <alignment horizontal="center"/>
    </xf>
    <xf numFmtId="9" fontId="8" fillId="27" borderId="0" xfId="5" applyFont="1" applyFill="1" applyAlignment="1">
      <alignment horizontal="center"/>
    </xf>
    <xf numFmtId="9" fontId="8" fillId="26" borderId="0" xfId="5" applyFont="1" applyFill="1" applyAlignment="1">
      <alignment horizontal="center"/>
    </xf>
    <xf numFmtId="9" fontId="8" fillId="11" borderId="0" xfId="5" applyFont="1" applyFill="1" applyAlignment="1">
      <alignment horizontal="center" vertical="center"/>
    </xf>
    <xf numFmtId="9" fontId="8" fillId="12" borderId="0" xfId="0" applyNumberFormat="1" applyFont="1" applyFill="1"/>
    <xf numFmtId="1" fontId="24" fillId="26" borderId="0" xfId="7" applyNumberFormat="1" applyFont="1" applyFill="1" applyAlignment="1">
      <alignment horizontal="left"/>
    </xf>
    <xf numFmtId="9" fontId="1" fillId="0" borderId="0" xfId="5" applyFont="1"/>
    <xf numFmtId="0" fontId="1" fillId="36" borderId="12" xfId="0" applyFont="1" applyFill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1" fillId="36" borderId="13" xfId="0" applyFont="1" applyFill="1" applyBorder="1" applyAlignment="1">
      <alignment horizontal="center" vertical="top"/>
    </xf>
    <xf numFmtId="0" fontId="1" fillId="0" borderId="11" xfId="0" applyFont="1" applyBorder="1"/>
    <xf numFmtId="0" fontId="0" fillId="0" borderId="7" xfId="0" applyFont="1" applyBorder="1"/>
    <xf numFmtId="0" fontId="0" fillId="36" borderId="7" xfId="0" applyFont="1" applyFill="1" applyBorder="1"/>
    <xf numFmtId="0" fontId="1" fillId="0" borderId="8" xfId="0" applyFont="1" applyBorder="1"/>
    <xf numFmtId="0" fontId="1" fillId="36" borderId="7" xfId="0" applyFont="1" applyFill="1" applyBorder="1"/>
    <xf numFmtId="9" fontId="1" fillId="0" borderId="0" xfId="0" applyNumberFormat="1" applyFont="1" applyBorder="1"/>
    <xf numFmtId="9" fontId="1" fillId="0" borderId="0" xfId="5" applyFont="1" applyBorder="1"/>
    <xf numFmtId="0" fontId="1" fillId="0" borderId="7" xfId="0" applyFont="1" applyBorder="1" applyAlignment="1">
      <alignment horizontal="right"/>
    </xf>
    <xf numFmtId="0" fontId="1" fillId="36" borderId="9" xfId="0" applyFont="1" applyFill="1" applyBorder="1"/>
    <xf numFmtId="1" fontId="0" fillId="0" borderId="0" xfId="0" applyNumberFormat="1"/>
    <xf numFmtId="49" fontId="17" fillId="29" borderId="10" xfId="7" applyNumberFormat="1" applyBorder="1" applyAlignment="1">
      <alignment horizontal="center" vertical="center"/>
    </xf>
    <xf numFmtId="166" fontId="17" fillId="29" borderId="10" xfId="5" applyNumberFormat="1" applyFont="1" applyFill="1" applyBorder="1" applyAlignment="1">
      <alignment horizontal="center" vertical="center"/>
    </xf>
    <xf numFmtId="49" fontId="17" fillId="29" borderId="0" xfId="7" applyNumberFormat="1" applyBorder="1" applyAlignment="1">
      <alignment horizontal="center" vertical="center"/>
    </xf>
    <xf numFmtId="9" fontId="17" fillId="29" borderId="0" xfId="5" applyFont="1" applyFill="1" applyBorder="1" applyAlignment="1">
      <alignment horizontal="center" vertical="center"/>
    </xf>
    <xf numFmtId="166" fontId="17" fillId="29" borderId="0" xfId="7" applyNumberFormat="1"/>
    <xf numFmtId="0" fontId="17" fillId="29" borderId="0" xfId="7" applyAlignment="1">
      <alignment horizontal="center" vertical="center"/>
    </xf>
    <xf numFmtId="166" fontId="17" fillId="29" borderId="0" xfId="5" applyNumberFormat="1" applyFont="1" applyFill="1"/>
    <xf numFmtId="166" fontId="17" fillId="29" borderId="0" xfId="5" applyNumberFormat="1" applyFont="1" applyFill="1" applyAlignment="1">
      <alignment horizontal="center" vertical="center"/>
    </xf>
    <xf numFmtId="0" fontId="27" fillId="37" borderId="3" xfId="0" applyFont="1" applyFill="1" applyBorder="1" applyAlignment="1">
      <alignment horizontal="left" vertical="center" wrapText="1" readingOrder="1"/>
    </xf>
    <xf numFmtId="0" fontId="27" fillId="37" borderId="3" xfId="0" applyFont="1" applyFill="1" applyBorder="1" applyAlignment="1">
      <alignment horizontal="center" vertical="center" wrapText="1" readingOrder="1"/>
    </xf>
    <xf numFmtId="0" fontId="29" fillId="0" borderId="3" xfId="0" applyFont="1" applyFill="1" applyBorder="1" applyAlignment="1">
      <alignment horizontal="left" vertical="center" wrapText="1" readingOrder="1"/>
    </xf>
    <xf numFmtId="166" fontId="29" fillId="0" borderId="3" xfId="5" applyNumberFormat="1" applyFont="1" applyFill="1" applyBorder="1" applyAlignment="1">
      <alignment horizontal="center" vertical="center" wrapText="1" readingOrder="1"/>
    </xf>
    <xf numFmtId="166" fontId="28" fillId="0" borderId="3" xfId="5" applyNumberFormat="1" applyFont="1" applyFill="1" applyBorder="1" applyAlignment="1">
      <alignment horizontal="center" vertical="center" wrapText="1" readingOrder="1"/>
    </xf>
    <xf numFmtId="0" fontId="28" fillId="38" borderId="3" xfId="0" applyFont="1" applyFill="1" applyBorder="1" applyAlignment="1">
      <alignment horizontal="left" vertical="center" wrapText="1" readingOrder="1"/>
    </xf>
    <xf numFmtId="166" fontId="29" fillId="38" borderId="3" xfId="5" applyNumberFormat="1" applyFont="1" applyFill="1" applyBorder="1" applyAlignment="1">
      <alignment horizontal="center" vertical="center" wrapText="1" readingOrder="1"/>
    </xf>
    <xf numFmtId="0" fontId="24" fillId="38" borderId="3" xfId="0" applyFont="1" applyFill="1" applyBorder="1" applyAlignment="1">
      <alignment horizontal="center" vertical="center" wrapText="1"/>
    </xf>
    <xf numFmtId="166" fontId="28" fillId="0" borderId="3" xfId="0" applyNumberFormat="1" applyFont="1" applyFill="1" applyBorder="1" applyAlignment="1">
      <alignment horizontal="center" vertical="center" wrapText="1" readingOrder="1"/>
    </xf>
    <xf numFmtId="0" fontId="27" fillId="14" borderId="3" xfId="0" applyFont="1" applyFill="1" applyBorder="1" applyAlignment="1">
      <alignment horizontal="center" vertical="center" wrapText="1" readingOrder="1"/>
    </xf>
    <xf numFmtId="0" fontId="29" fillId="0" borderId="0" xfId="0" applyFont="1" applyFill="1" applyBorder="1" applyAlignment="1">
      <alignment horizontal="left" vertical="center" wrapText="1" readingOrder="1"/>
    </xf>
    <xf numFmtId="0" fontId="30" fillId="38" borderId="3" xfId="0" applyFont="1" applyFill="1" applyBorder="1" applyAlignment="1">
      <alignment horizontal="center" vertical="center" wrapText="1"/>
    </xf>
    <xf numFmtId="0" fontId="27" fillId="25" borderId="3" xfId="0" applyFont="1" applyFill="1" applyBorder="1" applyAlignment="1">
      <alignment horizontal="center" vertical="center" wrapText="1" readingOrder="1"/>
    </xf>
    <xf numFmtId="166" fontId="1" fillId="0" borderId="3" xfId="5" applyNumberFormat="1" applyFont="1" applyBorder="1" applyAlignment="1">
      <alignment horizontal="center" vertical="center"/>
    </xf>
    <xf numFmtId="166" fontId="0" fillId="0" borderId="3" xfId="5" applyNumberFormat="1" applyFont="1" applyBorder="1" applyAlignment="1">
      <alignment horizontal="center" vertical="center"/>
    </xf>
    <xf numFmtId="9" fontId="28" fillId="0" borderId="3" xfId="5" applyNumberFormat="1" applyFont="1" applyFill="1" applyBorder="1" applyAlignment="1">
      <alignment horizontal="center" vertical="center" wrapText="1" readingOrder="1"/>
    </xf>
    <xf numFmtId="9" fontId="24" fillId="38" borderId="3" xfId="5" applyNumberFormat="1" applyFont="1" applyFill="1" applyBorder="1" applyAlignment="1">
      <alignment horizontal="center" vertical="center" wrapText="1"/>
    </xf>
    <xf numFmtId="9" fontId="30" fillId="38" borderId="3" xfId="5" applyNumberFormat="1" applyFont="1" applyFill="1" applyBorder="1" applyAlignment="1">
      <alignment horizontal="center" vertical="center" wrapText="1"/>
    </xf>
    <xf numFmtId="9" fontId="1" fillId="0" borderId="3" xfId="5" applyNumberFormat="1" applyFont="1" applyBorder="1" applyAlignment="1">
      <alignment horizontal="center" vertical="center"/>
    </xf>
    <xf numFmtId="9" fontId="5" fillId="0" borderId="0" xfId="5" applyNumberFormat="1" applyFont="1" applyAlignment="1">
      <alignment horizontal="center" vertical="center"/>
    </xf>
    <xf numFmtId="2" fontId="5" fillId="0" borderId="0" xfId="5" applyNumberFormat="1" applyFont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" fontId="5" fillId="0" borderId="0" xfId="5" applyNumberFormat="1" applyFont="1" applyBorder="1" applyAlignment="1">
      <alignment horizontal="center" vertical="center"/>
    </xf>
    <xf numFmtId="9" fontId="5" fillId="0" borderId="0" xfId="5" applyNumberFormat="1" applyFont="1" applyBorder="1" applyAlignment="1">
      <alignment horizontal="center" vertical="center"/>
    </xf>
    <xf numFmtId="2" fontId="5" fillId="0" borderId="0" xfId="0" applyNumberFormat="1" applyFont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1" fillId="0" borderId="10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/>
    <xf numFmtId="2" fontId="5" fillId="0" borderId="0" xfId="0" applyNumberFormat="1" applyFont="1" applyAlignment="1">
      <alignment horizontal="center" vertical="center"/>
    </xf>
    <xf numFmtId="0" fontId="17" fillId="29" borderId="0" xfId="7"/>
    <xf numFmtId="0" fontId="6" fillId="0" borderId="0" xfId="0" applyFont="1" applyAlignment="1">
      <alignment horizontal="center" vertical="center"/>
    </xf>
    <xf numFmtId="9" fontId="17" fillId="29" borderId="0" xfId="7" applyNumberFormat="1"/>
    <xf numFmtId="0" fontId="5" fillId="0" borderId="0" xfId="0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top"/>
    </xf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top"/>
    </xf>
    <xf numFmtId="1" fontId="5" fillId="0" borderId="0" xfId="5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top"/>
    </xf>
    <xf numFmtId="1" fontId="5" fillId="0" borderId="0" xfId="5" applyNumberFormat="1" applyFont="1" applyBorder="1" applyAlignment="1">
      <alignment horizontal="center" vertical="center"/>
    </xf>
    <xf numFmtId="0" fontId="0" fillId="0" borderId="0" xfId="0"/>
    <xf numFmtId="0" fontId="5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9" fontId="0" fillId="0" borderId="0" xfId="5" applyFont="1"/>
    <xf numFmtId="0" fontId="1" fillId="0" borderId="3" xfId="0" applyFont="1" applyBorder="1" applyAlignment="1">
      <alignment horizontal="center" vertical="top"/>
    </xf>
    <xf numFmtId="1" fontId="1" fillId="0" borderId="0" xfId="0" applyNumberFormat="1" applyFont="1"/>
    <xf numFmtId="1" fontId="5" fillId="0" borderId="0" xfId="5" applyNumberFormat="1" applyFont="1" applyBorder="1" applyAlignment="1">
      <alignment horizontal="center" vertical="center"/>
    </xf>
    <xf numFmtId="0" fontId="0" fillId="0" borderId="0" xfId="0"/>
    <xf numFmtId="1" fontId="5" fillId="0" borderId="0" xfId="0" applyNumberFormat="1" applyFont="1" applyBorder="1" applyAlignment="1">
      <alignment horizontal="center" vertical="center"/>
    </xf>
    <xf numFmtId="10" fontId="5" fillId="0" borderId="10" xfId="5" applyNumberFormat="1" applyFont="1" applyBorder="1"/>
    <xf numFmtId="10" fontId="0" fillId="0" borderId="0" xfId="5" applyNumberFormat="1" applyFont="1"/>
    <xf numFmtId="167" fontId="0" fillId="0" borderId="0" xfId="0" applyNumberFormat="1"/>
    <xf numFmtId="10" fontId="0" fillId="0" borderId="0" xfId="0" applyNumberFormat="1"/>
    <xf numFmtId="1" fontId="0" fillId="0" borderId="0" xfId="5" applyNumberFormat="1" applyFont="1"/>
    <xf numFmtId="9" fontId="0" fillId="0" borderId="0" xfId="5" applyNumberFormat="1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Border="1"/>
    <xf numFmtId="0" fontId="0" fillId="0" borderId="0" xfId="0"/>
    <xf numFmtId="0" fontId="1" fillId="0" borderId="3" xfId="0" applyFont="1" applyBorder="1" applyAlignment="1">
      <alignment horizontal="center" vertical="top"/>
    </xf>
    <xf numFmtId="0" fontId="0" fillId="0" borderId="0" xfId="0"/>
    <xf numFmtId="0" fontId="5" fillId="28" borderId="0" xfId="0" applyFont="1" applyFill="1" applyBorder="1" applyAlignment="1">
      <alignment horizontal="center" vertical="center"/>
    </xf>
    <xf numFmtId="0" fontId="0" fillId="0" borderId="7" xfId="0" applyFont="1" applyFill="1" applyBorder="1"/>
    <xf numFmtId="0" fontId="0" fillId="39" borderId="7" xfId="0" applyFont="1" applyFill="1" applyBorder="1"/>
    <xf numFmtId="0" fontId="5" fillId="4" borderId="0" xfId="0" applyFont="1" applyFill="1" applyBorder="1" applyAlignment="1">
      <alignment horizontal="center" vertical="center"/>
    </xf>
    <xf numFmtId="0" fontId="0" fillId="4" borderId="7" xfId="0" applyFont="1" applyFill="1" applyBorder="1"/>
    <xf numFmtId="0" fontId="1" fillId="0" borderId="0" xfId="0" applyFont="1" applyAlignment="1">
      <alignment horizontal="center" vertical="top"/>
    </xf>
    <xf numFmtId="0" fontId="5" fillId="3" borderId="0" xfId="0" applyFont="1" applyFill="1" applyAlignment="1">
      <alignment horizontal="center" vertical="center"/>
    </xf>
    <xf numFmtId="0" fontId="1" fillId="0" borderId="14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15" xfId="0" applyFont="1" applyBorder="1" applyAlignment="1">
      <alignment horizontal="center" vertical="top"/>
    </xf>
    <xf numFmtId="0" fontId="1" fillId="0" borderId="13" xfId="0" applyFont="1" applyBorder="1" applyAlignment="1">
      <alignment horizontal="center" vertical="top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>
      <alignment horizontal="center" vertical="top"/>
    </xf>
    <xf numFmtId="0" fontId="17" fillId="29" borderId="0" xfId="7" applyBorder="1"/>
    <xf numFmtId="0" fontId="5" fillId="15" borderId="7" xfId="0" applyFont="1" applyFill="1" applyBorder="1" applyAlignment="1">
      <alignment horizontal="center" vertical="center"/>
    </xf>
    <xf numFmtId="0" fontId="5" fillId="15" borderId="0" xfId="0" applyFont="1" applyFill="1" applyBorder="1" applyAlignment="1">
      <alignment horizontal="center" vertical="center"/>
    </xf>
    <xf numFmtId="0" fontId="1" fillId="13" borderId="9" xfId="0" applyFont="1" applyFill="1" applyBorder="1"/>
    <xf numFmtId="0" fontId="1" fillId="13" borderId="10" xfId="0" applyFont="1" applyFill="1" applyBorder="1"/>
    <xf numFmtId="165" fontId="0" fillId="13" borderId="10" xfId="0" applyNumberFormat="1" applyFill="1" applyBorder="1"/>
    <xf numFmtId="9" fontId="0" fillId="0" borderId="0" xfId="5" applyFont="1" applyFill="1" applyBorder="1"/>
    <xf numFmtId="166" fontId="0" fillId="0" borderId="0" xfId="0" applyNumberFormat="1" applyBorder="1"/>
    <xf numFmtId="0" fontId="5" fillId="40" borderId="7" xfId="0" applyFont="1" applyFill="1" applyBorder="1" applyAlignment="1">
      <alignment horizontal="center" vertical="center"/>
    </xf>
    <xf numFmtId="0" fontId="5" fillId="40" borderId="0" xfId="0" applyFont="1" applyFill="1" applyAlignment="1">
      <alignment horizontal="center" vertical="center"/>
    </xf>
    <xf numFmtId="49" fontId="5" fillId="40" borderId="7" xfId="0" applyNumberFormat="1" applyFont="1" applyFill="1" applyBorder="1" applyAlignment="1">
      <alignment horizontal="center" vertical="center"/>
    </xf>
    <xf numFmtId="15" fontId="5" fillId="40" borderId="7" xfId="0" applyNumberFormat="1" applyFont="1" applyFill="1" applyBorder="1" applyAlignment="1">
      <alignment horizontal="center" vertical="center"/>
    </xf>
    <xf numFmtId="0" fontId="1" fillId="0" borderId="6" xfId="0" applyFont="1" applyBorder="1"/>
    <xf numFmtId="166" fontId="28" fillId="28" borderId="3" xfId="5" applyNumberFormat="1" applyFont="1" applyFill="1" applyBorder="1" applyAlignment="1">
      <alignment horizontal="center" vertical="center" wrapText="1" readingOrder="1"/>
    </xf>
    <xf numFmtId="0" fontId="24" fillId="28" borderId="3" xfId="0" applyFont="1" applyFill="1" applyBorder="1" applyAlignment="1">
      <alignment horizontal="center" vertical="center" wrapText="1"/>
    </xf>
    <xf numFmtId="166" fontId="28" fillId="28" borderId="3" xfId="0" applyNumberFormat="1" applyFont="1" applyFill="1" applyBorder="1" applyAlignment="1">
      <alignment horizontal="center" vertical="center" wrapText="1" readingOrder="1"/>
    </xf>
    <xf numFmtId="166" fontId="1" fillId="28" borderId="3" xfId="5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5" fillId="0" borderId="7" xfId="0" applyFont="1" applyBorder="1" applyAlignment="1">
      <alignment vertical="center" wrapText="1"/>
    </xf>
    <xf numFmtId="9" fontId="5" fillId="0" borderId="0" xfId="5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NumberFormat="1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10" xfId="0" applyBorder="1" applyAlignment="1">
      <alignment horizontal="center" vertical="center"/>
    </xf>
    <xf numFmtId="0" fontId="0" fillId="0" borderId="11" xfId="0" applyNumberFormat="1" applyBorder="1"/>
    <xf numFmtId="0" fontId="0" fillId="41" borderId="0" xfId="0" applyFill="1" applyBorder="1"/>
    <xf numFmtId="49" fontId="5" fillId="0" borderId="5" xfId="0" applyNumberFormat="1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49" fontId="32" fillId="0" borderId="16" xfId="0" applyNumberFormat="1" applyFont="1" applyBorder="1" applyAlignment="1">
      <alignment horizontal="center" vertical="center"/>
    </xf>
    <xf numFmtId="0" fontId="15" fillId="0" borderId="16" xfId="0" applyFont="1" applyBorder="1"/>
    <xf numFmtId="0" fontId="15" fillId="0" borderId="16" xfId="0" applyNumberFormat="1" applyFont="1" applyBorder="1"/>
    <xf numFmtId="0" fontId="15" fillId="0" borderId="18" xfId="0" applyNumberFormat="1" applyFont="1" applyBorder="1"/>
    <xf numFmtId="0" fontId="32" fillId="0" borderId="7" xfId="0" applyFont="1" applyBorder="1" applyAlignment="1">
      <alignment horizontal="center" vertical="center"/>
    </xf>
    <xf numFmtId="49" fontId="32" fillId="0" borderId="0" xfId="0" applyNumberFormat="1" applyFont="1" applyBorder="1" applyAlignment="1">
      <alignment horizontal="center" vertical="center"/>
    </xf>
    <xf numFmtId="0" fontId="15" fillId="0" borderId="0" xfId="0" applyNumberFormat="1" applyFont="1" applyBorder="1"/>
    <xf numFmtId="0" fontId="15" fillId="0" borderId="8" xfId="0" applyNumberFormat="1" applyFont="1" applyBorder="1"/>
    <xf numFmtId="0" fontId="32" fillId="0" borderId="0" xfId="0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40" borderId="7" xfId="0" applyFont="1" applyFill="1" applyBorder="1" applyAlignment="1">
      <alignment horizontal="center" vertical="center"/>
    </xf>
    <xf numFmtId="0" fontId="15" fillId="40" borderId="0" xfId="0" applyFont="1" applyFill="1" applyBorder="1"/>
    <xf numFmtId="0" fontId="32" fillId="40" borderId="0" xfId="0" applyFont="1" applyFill="1" applyBorder="1" applyAlignment="1">
      <alignment horizontal="center" vertical="center"/>
    </xf>
    <xf numFmtId="0" fontId="15" fillId="40" borderId="0" xfId="0" applyNumberFormat="1" applyFont="1" applyFill="1" applyBorder="1"/>
    <xf numFmtId="0" fontId="15" fillId="40" borderId="8" xfId="0" applyNumberFormat="1" applyFont="1" applyFill="1" applyBorder="1"/>
    <xf numFmtId="0" fontId="32" fillId="42" borderId="7" xfId="0" applyFont="1" applyFill="1" applyBorder="1" applyAlignment="1">
      <alignment horizontal="center" vertical="center"/>
    </xf>
    <xf numFmtId="0" fontId="15" fillId="42" borderId="0" xfId="0" applyFont="1" applyFill="1" applyBorder="1"/>
    <xf numFmtId="0" fontId="32" fillId="42" borderId="0" xfId="0" applyFont="1" applyFill="1" applyBorder="1" applyAlignment="1">
      <alignment horizontal="center" vertical="center"/>
    </xf>
    <xf numFmtId="0" fontId="15" fillId="42" borderId="0" xfId="0" applyNumberFormat="1" applyFont="1" applyFill="1" applyBorder="1"/>
    <xf numFmtId="0" fontId="15" fillId="42" borderId="8" xfId="0" applyNumberFormat="1" applyFont="1" applyFill="1" applyBorder="1"/>
    <xf numFmtId="0" fontId="32" fillId="42" borderId="9" xfId="0" applyFont="1" applyFill="1" applyBorder="1" applyAlignment="1">
      <alignment horizontal="center" vertical="center"/>
    </xf>
    <xf numFmtId="0" fontId="15" fillId="42" borderId="10" xfId="0" applyFont="1" applyFill="1" applyBorder="1"/>
    <xf numFmtId="0" fontId="32" fillId="42" borderId="10" xfId="0" applyFont="1" applyFill="1" applyBorder="1" applyAlignment="1">
      <alignment horizontal="center" vertical="center"/>
    </xf>
    <xf numFmtId="0" fontId="15" fillId="42" borderId="10" xfId="0" applyNumberFormat="1" applyFont="1" applyFill="1" applyBorder="1"/>
    <xf numFmtId="0" fontId="15" fillId="42" borderId="11" xfId="0" applyNumberFormat="1" applyFont="1" applyFill="1" applyBorder="1"/>
    <xf numFmtId="0" fontId="0" fillId="28" borderId="0" xfId="0" applyFill="1" applyBorder="1"/>
    <xf numFmtId="0" fontId="0" fillId="28" borderId="0" xfId="0" applyNumberFormat="1" applyFill="1" applyBorder="1"/>
    <xf numFmtId="0" fontId="0" fillId="28" borderId="8" xfId="0" applyNumberFormat="1" applyFill="1" applyBorder="1"/>
    <xf numFmtId="49" fontId="32" fillId="0" borderId="0" xfId="0" applyNumberFormat="1" applyFont="1" applyFill="1" applyBorder="1" applyAlignment="1">
      <alignment horizontal="center" vertical="center"/>
    </xf>
    <xf numFmtId="0" fontId="32" fillId="0" borderId="19" xfId="0" applyFont="1" applyBorder="1" applyAlignment="1">
      <alignment horizontal="center" vertical="center"/>
    </xf>
    <xf numFmtId="49" fontId="32" fillId="0" borderId="20" xfId="0" applyNumberFormat="1" applyFont="1" applyBorder="1" applyAlignment="1">
      <alignment horizontal="center" vertical="center"/>
    </xf>
    <xf numFmtId="0" fontId="15" fillId="0" borderId="20" xfId="0" applyFont="1" applyBorder="1"/>
    <xf numFmtId="0" fontId="32" fillId="0" borderId="21" xfId="0" applyFont="1" applyBorder="1" applyAlignment="1">
      <alignment horizontal="center" vertical="center"/>
    </xf>
    <xf numFmtId="0" fontId="15" fillId="0" borderId="22" xfId="0" applyFont="1" applyBorder="1"/>
    <xf numFmtId="49" fontId="32" fillId="0" borderId="21" xfId="0" applyNumberFormat="1" applyFont="1" applyBorder="1" applyAlignment="1">
      <alignment horizontal="center" vertical="center"/>
    </xf>
    <xf numFmtId="0" fontId="32" fillId="40" borderId="21" xfId="0" applyFont="1" applyFill="1" applyBorder="1" applyAlignment="1">
      <alignment horizontal="center" vertical="center"/>
    </xf>
    <xf numFmtId="0" fontId="15" fillId="40" borderId="22" xfId="0" applyFont="1" applyFill="1" applyBorder="1"/>
    <xf numFmtId="0" fontId="15" fillId="42" borderId="21" xfId="0" applyFont="1" applyFill="1" applyBorder="1"/>
    <xf numFmtId="0" fontId="15" fillId="42" borderId="22" xfId="0" applyFont="1" applyFill="1" applyBorder="1"/>
    <xf numFmtId="0" fontId="15" fillId="42" borderId="23" xfId="0" applyFont="1" applyFill="1" applyBorder="1"/>
    <xf numFmtId="0" fontId="15" fillId="42" borderId="24" xfId="0" applyFont="1" applyFill="1" applyBorder="1"/>
    <xf numFmtId="0" fontId="15" fillId="42" borderId="25" xfId="0" applyFont="1" applyFill="1" applyBorder="1"/>
    <xf numFmtId="9" fontId="0" fillId="41" borderId="0" xfId="5" applyFont="1" applyFill="1" applyBorder="1"/>
    <xf numFmtId="9" fontId="5" fillId="41" borderId="0" xfId="5" applyFont="1" applyFill="1" applyBorder="1" applyAlignment="1">
      <alignment horizontal="center" vertical="center"/>
    </xf>
    <xf numFmtId="9" fontId="5" fillId="41" borderId="8" xfId="5" applyFont="1" applyFill="1" applyBorder="1" applyAlignment="1">
      <alignment horizontal="center" vertical="center"/>
    </xf>
    <xf numFmtId="9" fontId="0" fillId="41" borderId="8" xfId="5" applyFont="1" applyFill="1" applyBorder="1"/>
    <xf numFmtId="0" fontId="1" fillId="0" borderId="0" xfId="0" applyFont="1" applyBorder="1" applyAlignment="1">
      <alignment horizontal="center"/>
    </xf>
    <xf numFmtId="0" fontId="1" fillId="0" borderId="15" xfId="0" applyFont="1" applyFill="1" applyBorder="1" applyAlignment="1">
      <alignment horizontal="center" vertical="top"/>
    </xf>
    <xf numFmtId="0" fontId="5" fillId="3" borderId="0" xfId="5" applyNumberFormat="1" applyFont="1" applyFill="1" applyAlignment="1">
      <alignment horizontal="center" vertical="center"/>
    </xf>
    <xf numFmtId="0" fontId="0" fillId="0" borderId="0" xfId="0"/>
    <xf numFmtId="9" fontId="5" fillId="3" borderId="0" xfId="5" applyFont="1" applyFill="1" applyAlignment="1">
      <alignment horizontal="center" vertical="center"/>
    </xf>
    <xf numFmtId="0" fontId="0" fillId="0" borderId="0" xfId="0"/>
    <xf numFmtId="2" fontId="5" fillId="3" borderId="0" xfId="5" applyNumberFormat="1" applyFont="1" applyFill="1" applyBorder="1" applyAlignment="1">
      <alignment horizontal="center" vertical="center"/>
    </xf>
    <xf numFmtId="10" fontId="0" fillId="0" borderId="10" xfId="5" applyNumberFormat="1" applyFont="1" applyBorder="1"/>
    <xf numFmtId="0" fontId="18" fillId="0" borderId="0" xfId="0" applyFont="1" applyBorder="1"/>
    <xf numFmtId="0" fontId="0" fillId="0" borderId="0" xfId="0"/>
    <xf numFmtId="0" fontId="0" fillId="0" borderId="0" xfId="0"/>
    <xf numFmtId="0" fontId="1" fillId="0" borderId="0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 applyFill="1" applyBorder="1" applyAlignment="1">
      <alignment wrapText="1"/>
    </xf>
    <xf numFmtId="0" fontId="0" fillId="0" borderId="0" xfId="0"/>
    <xf numFmtId="0" fontId="0" fillId="0" borderId="0" xfId="0"/>
    <xf numFmtId="2" fontId="5" fillId="3" borderId="5" xfId="5" applyNumberFormat="1" applyFont="1" applyFill="1" applyBorder="1" applyAlignment="1">
      <alignment horizontal="center" vertical="center"/>
    </xf>
    <xf numFmtId="2" fontId="5" fillId="3" borderId="8" xfId="5" applyNumberFormat="1" applyFont="1" applyFill="1" applyBorder="1" applyAlignment="1">
      <alignment horizontal="center" vertical="center"/>
    </xf>
    <xf numFmtId="2" fontId="5" fillId="3" borderId="10" xfId="5" applyNumberFormat="1" applyFont="1" applyFill="1" applyBorder="1" applyAlignment="1">
      <alignment horizontal="center" vertical="center"/>
    </xf>
    <xf numFmtId="2" fontId="5" fillId="3" borderId="11" xfId="5" applyNumberFormat="1" applyFont="1" applyFill="1" applyBorder="1" applyAlignment="1">
      <alignment horizontal="center" vertical="center"/>
    </xf>
    <xf numFmtId="0" fontId="0" fillId="0" borderId="5" xfId="0" applyFill="1" applyBorder="1"/>
    <xf numFmtId="0" fontId="5" fillId="3" borderId="6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2" fontId="5" fillId="3" borderId="0" xfId="0" applyNumberFormat="1" applyFont="1" applyFill="1" applyBorder="1" applyAlignment="1">
      <alignment horizontal="center" vertical="center"/>
    </xf>
    <xf numFmtId="0" fontId="0" fillId="43" borderId="0" xfId="0" applyFill="1" applyBorder="1"/>
    <xf numFmtId="0" fontId="0" fillId="0" borderId="0" xfId="0"/>
    <xf numFmtId="0" fontId="5" fillId="43" borderId="0" xfId="0" applyFont="1" applyFill="1" applyAlignment="1">
      <alignment horizontal="center" vertical="center"/>
    </xf>
    <xf numFmtId="0" fontId="0" fillId="26" borderId="0" xfId="0" applyFill="1" applyBorder="1"/>
    <xf numFmtId="0" fontId="5" fillId="26" borderId="0" xfId="0" applyFont="1" applyFill="1" applyAlignment="1">
      <alignment horizontal="center" vertical="center"/>
    </xf>
    <xf numFmtId="0" fontId="0" fillId="0" borderId="4" xfId="0" applyFill="1" applyBorder="1"/>
    <xf numFmtId="0" fontId="0" fillId="0" borderId="0" xfId="0"/>
    <xf numFmtId="0" fontId="33" fillId="0" borderId="0" xfId="0" applyFont="1"/>
    <xf numFmtId="0" fontId="34" fillId="5" borderId="28" xfId="0" applyFont="1" applyFill="1" applyBorder="1" applyAlignment="1">
      <alignment horizontal="left"/>
    </xf>
    <xf numFmtId="0" fontId="35" fillId="5" borderId="29" xfId="0" applyFont="1" applyFill="1" applyBorder="1"/>
    <xf numFmtId="0" fontId="36" fillId="5" borderId="29" xfId="0" applyFont="1" applyFill="1" applyBorder="1"/>
    <xf numFmtId="0" fontId="36" fillId="5" borderId="30" xfId="0" applyFont="1" applyFill="1" applyBorder="1"/>
    <xf numFmtId="0" fontId="37" fillId="5" borderId="30" xfId="0" applyFont="1" applyFill="1" applyBorder="1"/>
    <xf numFmtId="0" fontId="38" fillId="33" borderId="31" xfId="0" applyFont="1" applyFill="1" applyBorder="1" applyAlignment="1">
      <alignment horizontal="center" vertical="center"/>
    </xf>
    <xf numFmtId="0" fontId="39" fillId="33" borderId="32" xfId="0" applyFont="1" applyFill="1" applyBorder="1" applyAlignment="1">
      <alignment horizontal="center" vertical="center"/>
    </xf>
    <xf numFmtId="0" fontId="38" fillId="33" borderId="32" xfId="0" applyFont="1" applyFill="1" applyBorder="1" applyAlignment="1">
      <alignment horizontal="center" vertical="center"/>
    </xf>
    <xf numFmtId="0" fontId="38" fillId="33" borderId="33" xfId="0" applyFont="1" applyFill="1" applyBorder="1" applyAlignment="1">
      <alignment horizontal="center" vertical="center"/>
    </xf>
    <xf numFmtId="0" fontId="39" fillId="33" borderId="33" xfId="0" applyFont="1" applyFill="1" applyBorder="1" applyAlignment="1">
      <alignment horizontal="center" vertical="center"/>
    </xf>
    <xf numFmtId="0" fontId="39" fillId="33" borderId="31" xfId="0" applyFont="1" applyFill="1" applyBorder="1" applyAlignment="1">
      <alignment horizontal="center" vertical="center"/>
    </xf>
    <xf numFmtId="0" fontId="38" fillId="26" borderId="34" xfId="0" applyFont="1" applyFill="1" applyBorder="1" applyAlignment="1">
      <alignment horizontal="center" vertical="center"/>
    </xf>
    <xf numFmtId="0" fontId="38" fillId="26" borderId="35" xfId="0" applyFont="1" applyFill="1" applyBorder="1" applyAlignment="1">
      <alignment horizontal="center" vertical="center"/>
    </xf>
    <xf numFmtId="0" fontId="38" fillId="26" borderId="36" xfId="0" applyFont="1" applyFill="1" applyBorder="1" applyAlignment="1">
      <alignment horizontal="center" vertical="center"/>
    </xf>
    <xf numFmtId="0" fontId="39" fillId="26" borderId="36" xfId="0" applyFont="1" applyFill="1" applyBorder="1" applyAlignment="1">
      <alignment horizontal="center" vertical="center"/>
    </xf>
    <xf numFmtId="0" fontId="40" fillId="0" borderId="40" xfId="0" applyFont="1" applyFill="1" applyBorder="1" applyAlignment="1">
      <alignment horizontal="right" vertical="center"/>
    </xf>
    <xf numFmtId="0" fontId="41" fillId="0" borderId="41" xfId="0" applyFont="1" applyFill="1" applyBorder="1" applyAlignment="1">
      <alignment horizontal="right" wrapText="1"/>
    </xf>
    <xf numFmtId="0" fontId="40" fillId="0" borderId="41" xfId="0" applyFont="1" applyFill="1" applyBorder="1" applyAlignment="1">
      <alignment horizontal="right" wrapText="1"/>
    </xf>
    <xf numFmtId="168" fontId="40" fillId="0" borderId="41" xfId="11" applyNumberFormat="1" applyFont="1" applyFill="1" applyBorder="1" applyAlignment="1">
      <alignment horizontal="right" vertical="center"/>
    </xf>
    <xf numFmtId="168" fontId="42" fillId="0" borderId="42" xfId="11" applyNumberFormat="1" applyFont="1" applyFill="1" applyBorder="1" applyAlignment="1">
      <alignment horizontal="center" vertical="center"/>
    </xf>
    <xf numFmtId="0" fontId="40" fillId="0" borderId="40" xfId="0" applyFont="1" applyBorder="1" applyAlignment="1">
      <alignment horizontal="right" vertical="center"/>
    </xf>
    <xf numFmtId="0" fontId="40" fillId="0" borderId="40" xfId="0" applyFont="1" applyBorder="1" applyAlignment="1">
      <alignment horizontal="right"/>
    </xf>
    <xf numFmtId="0" fontId="40" fillId="44" borderId="40" xfId="0" applyFont="1" applyFill="1" applyBorder="1" applyAlignment="1">
      <alignment horizontal="right"/>
    </xf>
    <xf numFmtId="0" fontId="41" fillId="44" borderId="41" xfId="0" applyFont="1" applyFill="1" applyBorder="1" applyAlignment="1">
      <alignment horizontal="right" wrapText="1"/>
    </xf>
    <xf numFmtId="0" fontId="40" fillId="44" borderId="41" xfId="0" applyFont="1" applyFill="1" applyBorder="1" applyAlignment="1">
      <alignment horizontal="right" wrapText="1"/>
    </xf>
    <xf numFmtId="168" fontId="40" fillId="44" borderId="41" xfId="11" applyNumberFormat="1" applyFont="1" applyFill="1" applyBorder="1" applyAlignment="1">
      <alignment horizontal="right" vertical="center"/>
    </xf>
    <xf numFmtId="168" fontId="42" fillId="44" borderId="42" xfId="11" applyNumberFormat="1" applyFont="1" applyFill="1" applyBorder="1" applyAlignment="1">
      <alignment horizontal="center" vertical="center"/>
    </xf>
    <xf numFmtId="0" fontId="39" fillId="33" borderId="40" xfId="0" applyFont="1" applyFill="1" applyBorder="1" applyAlignment="1">
      <alignment horizontal="center" vertical="center"/>
    </xf>
    <xf numFmtId="0" fontId="39" fillId="33" borderId="41" xfId="0" applyFont="1" applyFill="1" applyBorder="1" applyAlignment="1">
      <alignment horizontal="center" vertical="center"/>
    </xf>
    <xf numFmtId="0" fontId="38" fillId="33" borderId="41" xfId="0" applyFont="1" applyFill="1" applyBorder="1" applyAlignment="1">
      <alignment horizontal="right" vertical="center"/>
    </xf>
    <xf numFmtId="0" fontId="39" fillId="33" borderId="42" xfId="0" applyFont="1" applyFill="1" applyBorder="1" applyAlignment="1">
      <alignment horizontal="center" vertical="center"/>
    </xf>
    <xf numFmtId="168" fontId="42" fillId="45" borderId="39" xfId="11" applyNumberFormat="1" applyFont="1" applyFill="1" applyBorder="1" applyAlignment="1">
      <alignment horizontal="center" vertical="center"/>
    </xf>
    <xf numFmtId="0" fontId="40" fillId="44" borderId="40" xfId="0" applyFont="1" applyFill="1" applyBorder="1" applyAlignment="1">
      <alignment horizontal="right" vertical="center"/>
    </xf>
    <xf numFmtId="0" fontId="40" fillId="46" borderId="34" xfId="0" applyFont="1" applyFill="1" applyBorder="1" applyAlignment="1">
      <alignment horizontal="right"/>
    </xf>
    <xf numFmtId="0" fontId="41" fillId="46" borderId="35" xfId="0" applyFont="1" applyFill="1" applyBorder="1" applyAlignment="1">
      <alignment horizontal="right"/>
    </xf>
    <xf numFmtId="168" fontId="40" fillId="46" borderId="35" xfId="11" applyNumberFormat="1" applyFont="1" applyFill="1" applyBorder="1" applyAlignment="1">
      <alignment horizontal="center" vertical="center"/>
    </xf>
    <xf numFmtId="168" fontId="42" fillId="46" borderId="39" xfId="11" applyNumberFormat="1" applyFont="1" applyFill="1" applyBorder="1" applyAlignment="1">
      <alignment horizontal="center" vertical="center"/>
    </xf>
    <xf numFmtId="0" fontId="44" fillId="26" borderId="35" xfId="0" applyFont="1" applyFill="1" applyBorder="1" applyAlignment="1">
      <alignment horizontal="right"/>
    </xf>
    <xf numFmtId="168" fontId="38" fillId="26" borderId="35" xfId="11" applyNumberFormat="1" applyFont="1" applyFill="1" applyBorder="1" applyAlignment="1">
      <alignment horizontal="center" vertical="center"/>
    </xf>
    <xf numFmtId="168" fontId="38" fillId="26" borderId="36" xfId="11" applyNumberFormat="1" applyFont="1" applyFill="1" applyBorder="1" applyAlignment="1">
      <alignment horizontal="center" vertical="center"/>
    </xf>
    <xf numFmtId="168" fontId="45" fillId="26" borderId="43" xfId="11" applyNumberFormat="1" applyFont="1" applyFill="1" applyBorder="1" applyAlignment="1">
      <alignment horizontal="center" vertical="center"/>
    </xf>
    <xf numFmtId="168" fontId="42" fillId="47" borderId="39" xfId="11" applyNumberFormat="1" applyFont="1" applyFill="1" applyBorder="1" applyAlignment="1">
      <alignment horizontal="center" vertical="center"/>
    </xf>
    <xf numFmtId="165" fontId="40" fillId="44" borderId="41" xfId="0" applyNumberFormat="1" applyFont="1" applyFill="1" applyBorder="1" applyAlignment="1">
      <alignment horizontal="right" vertical="center"/>
    </xf>
    <xf numFmtId="0" fontId="41" fillId="0" borderId="41" xfId="0" applyFont="1" applyBorder="1" applyAlignment="1">
      <alignment horizontal="right" vertical="center"/>
    </xf>
    <xf numFmtId="0" fontId="40" fillId="0" borderId="41" xfId="0" applyFont="1" applyBorder="1" applyAlignment="1">
      <alignment horizontal="right" vertical="center"/>
    </xf>
    <xf numFmtId="169" fontId="40" fillId="0" borderId="41" xfId="0" applyNumberFormat="1" applyFont="1" applyBorder="1" applyAlignment="1">
      <alignment horizontal="right" vertical="center"/>
    </xf>
    <xf numFmtId="0" fontId="38" fillId="33" borderId="41" xfId="0" applyFont="1" applyFill="1" applyBorder="1" applyAlignment="1">
      <alignment horizontal="center" vertical="center"/>
    </xf>
    <xf numFmtId="168" fontId="40" fillId="0" borderId="41" xfId="11" applyNumberFormat="1" applyFont="1" applyFill="1" applyBorder="1" applyAlignment="1">
      <alignment horizontal="center" vertical="center"/>
    </xf>
    <xf numFmtId="168" fontId="42" fillId="40" borderId="39" xfId="11" applyNumberFormat="1" applyFont="1" applyFill="1" applyBorder="1" applyAlignment="1">
      <alignment horizontal="center" vertical="center"/>
    </xf>
    <xf numFmtId="168" fontId="40" fillId="44" borderId="41" xfId="11" applyNumberFormat="1" applyFont="1" applyFill="1" applyBorder="1" applyAlignment="1">
      <alignment horizontal="center" vertical="center"/>
    </xf>
    <xf numFmtId="0" fontId="41" fillId="0" borderId="41" xfId="0" applyFont="1" applyBorder="1" applyAlignment="1">
      <alignment horizontal="right"/>
    </xf>
    <xf numFmtId="43" fontId="40" fillId="0" borderId="41" xfId="11" applyNumberFormat="1" applyFont="1" applyFill="1" applyBorder="1" applyAlignment="1">
      <alignment horizontal="center" vertical="center"/>
    </xf>
    <xf numFmtId="0" fontId="41" fillId="44" borderId="41" xfId="0" applyFont="1" applyFill="1" applyBorder="1" applyAlignment="1">
      <alignment horizontal="right"/>
    </xf>
    <xf numFmtId="168" fontId="42" fillId="48" borderId="39" xfId="11" applyNumberFormat="1" applyFont="1" applyFill="1" applyBorder="1" applyAlignment="1">
      <alignment horizontal="center" vertical="center"/>
    </xf>
    <xf numFmtId="0" fontId="40" fillId="0" borderId="41" xfId="0" applyFont="1" applyBorder="1" applyAlignment="1">
      <alignment horizontal="right"/>
    </xf>
    <xf numFmtId="0" fontId="40" fillId="44" borderId="41" xfId="0" applyFont="1" applyFill="1" applyBorder="1" applyAlignment="1">
      <alignment horizontal="right"/>
    </xf>
    <xf numFmtId="43" fontId="40" fillId="44" borderId="41" xfId="11" applyNumberFormat="1" applyFont="1" applyFill="1" applyBorder="1" applyAlignment="1">
      <alignment horizontal="center" vertical="center"/>
    </xf>
    <xf numFmtId="0" fontId="39" fillId="5" borderId="40" xfId="0" applyFont="1" applyFill="1" applyBorder="1" applyAlignment="1">
      <alignment horizontal="center" vertical="center"/>
    </xf>
    <xf numFmtId="0" fontId="39" fillId="5" borderId="41" xfId="0" applyFont="1" applyFill="1" applyBorder="1" applyAlignment="1">
      <alignment horizontal="center" vertical="center"/>
    </xf>
    <xf numFmtId="0" fontId="38" fillId="5" borderId="41" xfId="0" applyFont="1" applyFill="1" applyBorder="1" applyAlignment="1">
      <alignment horizontal="center" vertical="center"/>
    </xf>
    <xf numFmtId="0" fontId="39" fillId="5" borderId="42" xfId="0" applyFont="1" applyFill="1" applyBorder="1" applyAlignment="1">
      <alignment horizontal="center" vertical="center"/>
    </xf>
    <xf numFmtId="168" fontId="42" fillId="42" borderId="39" xfId="11" applyNumberFormat="1" applyFont="1" applyFill="1" applyBorder="1" applyAlignment="1">
      <alignment horizontal="center" vertical="center"/>
    </xf>
    <xf numFmtId="0" fontId="38" fillId="26" borderId="45" xfId="0" applyFont="1" applyFill="1" applyBorder="1" applyAlignment="1">
      <alignment horizontal="center" vertical="center"/>
    </xf>
    <xf numFmtId="0" fontId="38" fillId="26" borderId="46" xfId="0" applyFont="1" applyFill="1" applyBorder="1" applyAlignment="1">
      <alignment horizontal="center" vertical="center"/>
    </xf>
    <xf numFmtId="0" fontId="39" fillId="26" borderId="47" xfId="0" applyFont="1" applyFill="1" applyBorder="1" applyAlignment="1">
      <alignment horizontal="center" vertical="center"/>
    </xf>
    <xf numFmtId="0" fontId="40" fillId="0" borderId="48" xfId="0" applyFont="1" applyBorder="1" applyAlignment="1">
      <alignment horizontal="right"/>
    </xf>
    <xf numFmtId="0" fontId="46" fillId="0" borderId="49" xfId="0" applyFont="1" applyBorder="1" applyAlignment="1">
      <alignment horizontal="right" vertical="center"/>
    </xf>
    <xf numFmtId="168" fontId="40" fillId="0" borderId="49" xfId="11" applyNumberFormat="1" applyFont="1" applyFill="1" applyBorder="1" applyAlignment="1">
      <alignment horizontal="center" vertical="center"/>
    </xf>
    <xf numFmtId="168" fontId="42" fillId="0" borderId="50" xfId="11" applyNumberFormat="1" applyFont="1" applyFill="1" applyBorder="1" applyAlignment="1">
      <alignment horizontal="center" vertical="center"/>
    </xf>
    <xf numFmtId="0" fontId="47" fillId="44" borderId="40" xfId="0" applyFont="1" applyFill="1" applyBorder="1" applyAlignment="1">
      <alignment horizontal="right"/>
    </xf>
    <xf numFmtId="0" fontId="48" fillId="44" borderId="41" xfId="0" applyFont="1" applyFill="1" applyBorder="1" applyAlignment="1">
      <alignment horizontal="right"/>
    </xf>
    <xf numFmtId="168" fontId="47" fillId="44" borderId="41" xfId="11" applyNumberFormat="1" applyFont="1" applyFill="1" applyBorder="1" applyAlignment="1">
      <alignment horizontal="center" vertical="center"/>
    </xf>
    <xf numFmtId="0" fontId="47" fillId="0" borderId="40" xfId="0" applyFont="1" applyFill="1" applyBorder="1" applyAlignment="1">
      <alignment horizontal="right"/>
    </xf>
    <xf numFmtId="0" fontId="48" fillId="0" borderId="41" xfId="0" applyFont="1" applyBorder="1" applyAlignment="1">
      <alignment horizontal="right"/>
    </xf>
    <xf numFmtId="168" fontId="47" fillId="0" borderId="41" xfId="11" applyNumberFormat="1" applyFont="1" applyFill="1" applyBorder="1" applyAlignment="1">
      <alignment horizontal="center" vertical="center"/>
    </xf>
    <xf numFmtId="0" fontId="47" fillId="0" borderId="40" xfId="0" applyFont="1" applyBorder="1" applyAlignment="1">
      <alignment horizontal="right"/>
    </xf>
    <xf numFmtId="168" fontId="49" fillId="0" borderId="42" xfId="11" applyNumberFormat="1" applyFont="1" applyFill="1" applyBorder="1" applyAlignment="1">
      <alignment horizontal="center" vertical="center"/>
    </xf>
    <xf numFmtId="0" fontId="38" fillId="26" borderId="37" xfId="0" applyFont="1" applyFill="1" applyBorder="1" applyAlignment="1">
      <alignment horizontal="center" vertical="center"/>
    </xf>
    <xf numFmtId="0" fontId="41" fillId="26" borderId="38" xfId="0" applyFont="1" applyFill="1" applyBorder="1" applyAlignment="1">
      <alignment horizontal="right"/>
    </xf>
    <xf numFmtId="168" fontId="38" fillId="26" borderId="38" xfId="11" applyNumberFormat="1" applyFont="1" applyFill="1" applyBorder="1" applyAlignment="1">
      <alignment horizontal="center" vertical="center"/>
    </xf>
    <xf numFmtId="168" fontId="38" fillId="26" borderId="39" xfId="11" applyNumberFormat="1" applyFont="1" applyFill="1" applyBorder="1" applyAlignment="1">
      <alignment horizontal="center" vertical="center"/>
    </xf>
    <xf numFmtId="2" fontId="47" fillId="0" borderId="41" xfId="0" applyNumberFormat="1" applyFont="1" applyBorder="1"/>
    <xf numFmtId="168" fontId="42" fillId="44" borderId="39" xfId="11" applyNumberFormat="1" applyFont="1" applyFill="1" applyBorder="1" applyAlignment="1">
      <alignment horizontal="center" vertical="center"/>
    </xf>
    <xf numFmtId="2" fontId="40" fillId="44" borderId="41" xfId="0" applyNumberFormat="1" applyFont="1" applyFill="1" applyBorder="1" applyAlignment="1">
      <alignment horizontal="right" vertical="center"/>
    </xf>
    <xf numFmtId="168" fontId="42" fillId="44" borderId="53" xfId="11" applyNumberFormat="1" applyFont="1" applyFill="1" applyBorder="1" applyAlignment="1">
      <alignment horizontal="center" vertical="center"/>
    </xf>
    <xf numFmtId="168" fontId="42" fillId="49" borderId="56" xfId="11" applyNumberFormat="1" applyFont="1" applyFill="1" applyBorder="1" applyAlignment="1">
      <alignment horizontal="center" vertical="center"/>
    </xf>
    <xf numFmtId="168" fontId="42" fillId="49" borderId="39" xfId="11" applyNumberFormat="1" applyFont="1" applyFill="1" applyBorder="1" applyAlignment="1">
      <alignment horizontal="center" vertical="center"/>
    </xf>
    <xf numFmtId="165" fontId="47" fillId="0" borderId="41" xfId="0" applyNumberFormat="1" applyFont="1" applyBorder="1" applyAlignment="1">
      <alignment horizontal="right"/>
    </xf>
    <xf numFmtId="168" fontId="42" fillId="49" borderId="53" xfId="11" applyNumberFormat="1" applyFont="1" applyFill="1" applyBorder="1" applyAlignment="1">
      <alignment horizontal="center" vertical="center"/>
    </xf>
    <xf numFmtId="168" fontId="49" fillId="44" borderId="42" xfId="11" applyNumberFormat="1" applyFont="1" applyFill="1" applyBorder="1" applyAlignment="1">
      <alignment horizontal="center" vertical="center"/>
    </xf>
    <xf numFmtId="0" fontId="40" fillId="46" borderId="57" xfId="0" applyFont="1" applyFill="1" applyBorder="1" applyAlignment="1">
      <alignment horizontal="right"/>
    </xf>
    <xf numFmtId="0" fontId="41" fillId="46" borderId="58" xfId="0" applyFont="1" applyFill="1" applyBorder="1" applyAlignment="1">
      <alignment horizontal="right"/>
    </xf>
    <xf numFmtId="168" fontId="40" fillId="46" borderId="58" xfId="11" applyNumberFormat="1" applyFont="1" applyFill="1" applyBorder="1" applyAlignment="1">
      <alignment horizontal="center" vertical="center"/>
    </xf>
    <xf numFmtId="168" fontId="42" fillId="46" borderId="59" xfId="11" applyNumberFormat="1" applyFont="1" applyFill="1" applyBorder="1" applyAlignment="1">
      <alignment horizontal="center" vertical="center"/>
    </xf>
    <xf numFmtId="0" fontId="44" fillId="0" borderId="29" xfId="0" applyFont="1" applyBorder="1" applyAlignment="1"/>
    <xf numFmtId="0" fontId="44" fillId="0" borderId="29" xfId="0" applyFont="1" applyBorder="1" applyAlignment="1">
      <alignment horizontal="right"/>
    </xf>
    <xf numFmtId="168" fontId="40" fillId="0" borderId="29" xfId="11" applyNumberFormat="1" applyFont="1" applyBorder="1" applyAlignment="1">
      <alignment horizontal="center" vertical="center"/>
    </xf>
    <xf numFmtId="0" fontId="33" fillId="0" borderId="22" xfId="0" applyFont="1" applyBorder="1" applyAlignment="1"/>
    <xf numFmtId="0" fontId="38" fillId="33" borderId="60" xfId="0" applyFont="1" applyFill="1" applyBorder="1" applyAlignment="1">
      <alignment horizontal="center" vertical="center"/>
    </xf>
    <xf numFmtId="0" fontId="39" fillId="33" borderId="61" xfId="0" applyFont="1" applyFill="1" applyBorder="1" applyAlignment="1">
      <alignment horizontal="center" vertical="center"/>
    </xf>
    <xf numFmtId="168" fontId="38" fillId="33" borderId="61" xfId="11" applyNumberFormat="1" applyFont="1" applyFill="1" applyBorder="1" applyAlignment="1">
      <alignment horizontal="center" vertical="center"/>
    </xf>
    <xf numFmtId="168" fontId="38" fillId="33" borderId="62" xfId="11" applyNumberFormat="1" applyFont="1" applyFill="1" applyBorder="1" applyAlignment="1">
      <alignment horizontal="center" vertical="center"/>
    </xf>
    <xf numFmtId="168" fontId="39" fillId="33" borderId="62" xfId="11" applyNumberFormat="1" applyFont="1" applyFill="1" applyBorder="1" applyAlignment="1">
      <alignment horizontal="center" vertical="center"/>
    </xf>
    <xf numFmtId="2" fontId="47" fillId="0" borderId="41" xfId="0" applyNumberFormat="1" applyFont="1" applyBorder="1" applyAlignment="1">
      <alignment horizontal="right"/>
    </xf>
    <xf numFmtId="168" fontId="38" fillId="26" borderId="46" xfId="11" applyNumberFormat="1" applyFont="1" applyFill="1" applyBorder="1" applyAlignment="1">
      <alignment horizontal="center" vertical="center"/>
    </xf>
    <xf numFmtId="168" fontId="38" fillId="26" borderId="47" xfId="11" applyNumberFormat="1" applyFont="1" applyFill="1" applyBorder="1" applyAlignment="1">
      <alignment horizontal="center" vertical="center"/>
    </xf>
    <xf numFmtId="168" fontId="39" fillId="26" borderId="47" xfId="11" applyNumberFormat="1" applyFont="1" applyFill="1" applyBorder="1" applyAlignment="1">
      <alignment horizontal="center" vertical="center"/>
    </xf>
    <xf numFmtId="0" fontId="40" fillId="44" borderId="63" xfId="0" applyFont="1" applyFill="1" applyBorder="1" applyAlignment="1">
      <alignment horizontal="right"/>
    </xf>
    <xf numFmtId="0" fontId="41" fillId="44" borderId="64" xfId="0" applyFont="1" applyFill="1" applyBorder="1" applyAlignment="1">
      <alignment horizontal="right"/>
    </xf>
    <xf numFmtId="0" fontId="40" fillId="44" borderId="64" xfId="0" applyFont="1" applyFill="1" applyBorder="1" applyAlignment="1">
      <alignment horizontal="right"/>
    </xf>
    <xf numFmtId="43" fontId="40" fillId="44" borderId="64" xfId="11" applyNumberFormat="1" applyFont="1" applyFill="1" applyBorder="1" applyAlignment="1">
      <alignment horizontal="center" vertical="center"/>
    </xf>
    <xf numFmtId="168" fontId="42" fillId="44" borderId="65" xfId="11" applyNumberFormat="1" applyFont="1" applyFill="1" applyBorder="1" applyAlignment="1">
      <alignment horizontal="center" vertical="center"/>
    </xf>
    <xf numFmtId="0" fontId="40" fillId="45" borderId="40" xfId="0" applyFont="1" applyFill="1" applyBorder="1" applyAlignment="1">
      <alignment horizontal="right"/>
    </xf>
    <xf numFmtId="0" fontId="41" fillId="45" borderId="41" xfId="0" applyFont="1" applyFill="1" applyBorder="1" applyAlignment="1">
      <alignment horizontal="right"/>
    </xf>
    <xf numFmtId="0" fontId="39" fillId="0" borderId="0" xfId="0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0" fontId="47" fillId="0" borderId="0" xfId="0" applyFont="1" applyFill="1" applyBorder="1" applyAlignment="1">
      <alignment horizontal="right"/>
    </xf>
    <xf numFmtId="0" fontId="48" fillId="0" borderId="0" xfId="0" applyFont="1" applyFill="1" applyBorder="1" applyAlignment="1">
      <alignment horizontal="right"/>
    </xf>
    <xf numFmtId="168" fontId="40" fillId="0" borderId="0" xfId="11" applyNumberFormat="1" applyFont="1" applyFill="1" applyBorder="1" applyAlignment="1">
      <alignment horizontal="center" vertical="center"/>
    </xf>
    <xf numFmtId="168" fontId="47" fillId="0" borderId="0" xfId="11" applyNumberFormat="1" applyFont="1" applyFill="1" applyBorder="1" applyAlignment="1">
      <alignment horizontal="center" vertical="center"/>
    </xf>
    <xf numFmtId="168" fontId="49" fillId="0" borderId="0" xfId="11" applyNumberFormat="1" applyFont="1" applyFill="1" applyBorder="1" applyAlignment="1">
      <alignment horizontal="center" vertical="center"/>
    </xf>
    <xf numFmtId="2" fontId="40" fillId="0" borderId="0" xfId="11" applyNumberFormat="1" applyFont="1" applyFill="1" applyBorder="1" applyAlignment="1">
      <alignment horizontal="center" vertical="center"/>
    </xf>
    <xf numFmtId="2" fontId="47" fillId="0" borderId="0" xfId="0" applyNumberFormat="1" applyFont="1" applyFill="1" applyBorder="1"/>
    <xf numFmtId="0" fontId="38" fillId="26" borderId="40" xfId="0" applyFont="1" applyFill="1" applyBorder="1" applyAlignment="1">
      <alignment horizontal="center" vertical="center"/>
    </xf>
    <xf numFmtId="0" fontId="41" fillId="26" borderId="41" xfId="0" applyFont="1" applyFill="1" applyBorder="1" applyAlignment="1">
      <alignment horizontal="right"/>
    </xf>
    <xf numFmtId="0" fontId="33" fillId="26" borderId="43" xfId="0" applyFont="1" applyFill="1" applyBorder="1" applyAlignment="1"/>
    <xf numFmtId="0" fontId="40" fillId="47" borderId="40" xfId="0" applyFont="1" applyFill="1" applyBorder="1" applyAlignment="1">
      <alignment horizontal="right"/>
    </xf>
    <xf numFmtId="0" fontId="41" fillId="47" borderId="41" xfId="0" applyFont="1" applyFill="1" applyBorder="1" applyAlignment="1">
      <alignment horizontal="right"/>
    </xf>
    <xf numFmtId="0" fontId="40" fillId="40" borderId="40" xfId="0" applyFont="1" applyFill="1" applyBorder="1" applyAlignment="1">
      <alignment horizontal="right"/>
    </xf>
    <xf numFmtId="0" fontId="41" fillId="40" borderId="41" xfId="0" applyFont="1" applyFill="1" applyBorder="1" applyAlignment="1">
      <alignment horizontal="right"/>
    </xf>
    <xf numFmtId="0" fontId="40" fillId="48" borderId="40" xfId="0" applyFont="1" applyFill="1" applyBorder="1" applyAlignment="1">
      <alignment horizontal="right"/>
    </xf>
    <xf numFmtId="0" fontId="41" fillId="48" borderId="41" xfId="0" applyFont="1" applyFill="1" applyBorder="1" applyAlignment="1">
      <alignment horizontal="right"/>
    </xf>
    <xf numFmtId="0" fontId="40" fillId="42" borderId="40" xfId="0" applyFont="1" applyFill="1" applyBorder="1" applyAlignment="1">
      <alignment horizontal="right"/>
    </xf>
    <xf numFmtId="0" fontId="41" fillId="42" borderId="41" xfId="0" applyFont="1" applyFill="1" applyBorder="1" applyAlignment="1">
      <alignment horizontal="right"/>
    </xf>
    <xf numFmtId="0" fontId="40" fillId="49" borderId="40" xfId="0" applyFont="1" applyFill="1" applyBorder="1" applyAlignment="1">
      <alignment horizontal="right"/>
    </xf>
    <xf numFmtId="0" fontId="50" fillId="26" borderId="41" xfId="0" applyFont="1" applyFill="1" applyBorder="1" applyAlignment="1">
      <alignment horizontal="center" vertical="center"/>
    </xf>
    <xf numFmtId="0" fontId="41" fillId="49" borderId="41" xfId="0" applyFont="1" applyFill="1" applyBorder="1" applyAlignment="1">
      <alignment horizontal="right"/>
    </xf>
    <xf numFmtId="0" fontId="33" fillId="26" borderId="43" xfId="0" applyFont="1" applyFill="1" applyBorder="1" applyAlignment="1">
      <alignment horizontal="center"/>
    </xf>
    <xf numFmtId="0" fontId="40" fillId="0" borderId="66" xfId="0" applyFont="1" applyFill="1" applyBorder="1" applyAlignment="1">
      <alignment horizontal="right"/>
    </xf>
    <xf numFmtId="0" fontId="43" fillId="0" borderId="67" xfId="0" applyFont="1" applyFill="1" applyBorder="1" applyAlignment="1">
      <alignment horizontal="right"/>
    </xf>
    <xf numFmtId="168" fontId="40" fillId="0" borderId="67" xfId="11" applyNumberFormat="1" applyFont="1" applyFill="1" applyBorder="1" applyAlignment="1">
      <alignment horizontal="center" vertical="center"/>
    </xf>
    <xf numFmtId="168" fontId="42" fillId="0" borderId="68" xfId="11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right"/>
    </xf>
    <xf numFmtId="0" fontId="41" fillId="0" borderId="0" xfId="0" applyFont="1" applyFill="1" applyBorder="1" applyAlignment="1">
      <alignment horizontal="right"/>
    </xf>
    <xf numFmtId="0" fontId="40" fillId="0" borderId="0" xfId="0" applyFont="1" applyFill="1" applyBorder="1" applyAlignment="1">
      <alignment horizontal="center" vertical="center"/>
    </xf>
    <xf numFmtId="0" fontId="33" fillId="0" borderId="69" xfId="0" applyFont="1" applyFill="1" applyBorder="1" applyAlignment="1"/>
    <xf numFmtId="0" fontId="38" fillId="26" borderId="60" xfId="0" applyFont="1" applyFill="1" applyBorder="1" applyAlignment="1">
      <alignment horizontal="center" vertical="center"/>
    </xf>
    <xf numFmtId="0" fontId="41" fillId="26" borderId="61" xfId="0" applyFont="1" applyFill="1" applyBorder="1" applyAlignment="1">
      <alignment horizontal="right"/>
    </xf>
    <xf numFmtId="0" fontId="38" fillId="26" borderId="32" xfId="0" applyFont="1" applyFill="1" applyBorder="1" applyAlignment="1">
      <alignment horizontal="center" vertical="center"/>
    </xf>
    <xf numFmtId="0" fontId="38" fillId="26" borderId="33" xfId="0" applyFont="1" applyFill="1" applyBorder="1" applyAlignment="1">
      <alignment horizontal="center" vertical="center"/>
    </xf>
    <xf numFmtId="0" fontId="33" fillId="26" borderId="70" xfId="0" applyFont="1" applyFill="1" applyBorder="1" applyAlignment="1"/>
    <xf numFmtId="0" fontId="40" fillId="50" borderId="37" xfId="0" applyFont="1" applyFill="1" applyBorder="1" applyAlignment="1">
      <alignment horizontal="right"/>
    </xf>
    <xf numFmtId="0" fontId="41" fillId="50" borderId="41" xfId="0" applyFont="1" applyFill="1" applyBorder="1" applyAlignment="1">
      <alignment horizontal="right"/>
    </xf>
    <xf numFmtId="2" fontId="40" fillId="50" borderId="41" xfId="0" applyNumberFormat="1" applyFont="1" applyFill="1" applyBorder="1" applyAlignment="1"/>
    <xf numFmtId="168" fontId="42" fillId="50" borderId="39" xfId="11" applyNumberFormat="1" applyFont="1" applyFill="1" applyBorder="1" applyAlignment="1">
      <alignment horizontal="center" vertical="center"/>
    </xf>
    <xf numFmtId="0" fontId="40" fillId="50" borderId="40" xfId="0" applyFont="1" applyFill="1" applyBorder="1" applyAlignment="1">
      <alignment horizontal="right"/>
    </xf>
    <xf numFmtId="0" fontId="43" fillId="50" borderId="40" xfId="0" applyFont="1" applyFill="1" applyBorder="1" applyAlignment="1">
      <alignment horizontal="right"/>
    </xf>
    <xf numFmtId="2" fontId="43" fillId="50" borderId="41" xfId="0" applyNumberFormat="1" applyFont="1" applyFill="1" applyBorder="1" applyAlignment="1"/>
    <xf numFmtId="2" fontId="40" fillId="45" borderId="41" xfId="0" applyNumberFormat="1" applyFont="1" applyFill="1" applyBorder="1" applyAlignment="1"/>
    <xf numFmtId="0" fontId="43" fillId="45" borderId="40" xfId="0" applyFont="1" applyFill="1" applyBorder="1" applyAlignment="1">
      <alignment horizontal="right"/>
    </xf>
    <xf numFmtId="2" fontId="43" fillId="45" borderId="41" xfId="0" applyNumberFormat="1" applyFont="1" applyFill="1" applyBorder="1" applyAlignment="1"/>
    <xf numFmtId="2" fontId="40" fillId="47" borderId="41" xfId="0" applyNumberFormat="1" applyFont="1" applyFill="1" applyBorder="1" applyAlignment="1"/>
    <xf numFmtId="0" fontId="43" fillId="47" borderId="40" xfId="0" applyFont="1" applyFill="1" applyBorder="1" applyAlignment="1">
      <alignment horizontal="right"/>
    </xf>
    <xf numFmtId="2" fontId="43" fillId="47" borderId="41" xfId="0" applyNumberFormat="1" applyFont="1" applyFill="1" applyBorder="1" applyAlignment="1"/>
    <xf numFmtId="2" fontId="40" fillId="40" borderId="41" xfId="0" applyNumberFormat="1" applyFont="1" applyFill="1" applyBorder="1" applyAlignment="1"/>
    <xf numFmtId="0" fontId="43" fillId="40" borderId="40" xfId="0" applyFont="1" applyFill="1" applyBorder="1" applyAlignment="1">
      <alignment horizontal="right"/>
    </xf>
    <xf numFmtId="2" fontId="43" fillId="40" borderId="41" xfId="0" applyNumberFormat="1" applyFont="1" applyFill="1" applyBorder="1" applyAlignment="1"/>
    <xf numFmtId="2" fontId="40" fillId="48" borderId="41" xfId="0" applyNumberFormat="1" applyFont="1" applyFill="1" applyBorder="1" applyAlignment="1"/>
    <xf numFmtId="0" fontId="43" fillId="48" borderId="40" xfId="0" applyFont="1" applyFill="1" applyBorder="1" applyAlignment="1">
      <alignment horizontal="right"/>
    </xf>
    <xf numFmtId="2" fontId="43" fillId="48" borderId="41" xfId="0" applyNumberFormat="1" applyFont="1" applyFill="1" applyBorder="1" applyAlignment="1"/>
    <xf numFmtId="2" fontId="40" fillId="42" borderId="41" xfId="0" applyNumberFormat="1" applyFont="1" applyFill="1" applyBorder="1" applyAlignment="1"/>
    <xf numFmtId="0" fontId="43" fillId="42" borderId="40" xfId="0" applyFont="1" applyFill="1" applyBorder="1" applyAlignment="1">
      <alignment horizontal="right"/>
    </xf>
    <xf numFmtId="2" fontId="43" fillId="42" borderId="41" xfId="0" applyNumberFormat="1" applyFont="1" applyFill="1" applyBorder="1" applyAlignment="1"/>
    <xf numFmtId="2" fontId="40" fillId="44" borderId="41" xfId="0" applyNumberFormat="1" applyFont="1" applyFill="1" applyBorder="1" applyAlignment="1"/>
    <xf numFmtId="0" fontId="40" fillId="44" borderId="57" xfId="0" applyFont="1" applyFill="1" applyBorder="1" applyAlignment="1">
      <alignment horizontal="right"/>
    </xf>
    <xf numFmtId="0" fontId="41" fillId="44" borderId="58" xfId="0" applyFont="1" applyFill="1" applyBorder="1" applyAlignment="1">
      <alignment horizontal="right"/>
    </xf>
    <xf numFmtId="0" fontId="43" fillId="44" borderId="57" xfId="0" applyFont="1" applyFill="1" applyBorder="1" applyAlignment="1">
      <alignment horizontal="right"/>
    </xf>
    <xf numFmtId="2" fontId="43" fillId="44" borderId="58" xfId="0" applyNumberFormat="1" applyFont="1" applyFill="1" applyBorder="1" applyAlignment="1"/>
    <xf numFmtId="2" fontId="40" fillId="49" borderId="41" xfId="0" applyNumberFormat="1" applyFont="1" applyFill="1" applyBorder="1" applyAlignment="1"/>
    <xf numFmtId="0" fontId="40" fillId="49" borderId="57" xfId="0" applyFont="1" applyFill="1" applyBorder="1" applyAlignment="1">
      <alignment horizontal="right"/>
    </xf>
    <xf numFmtId="0" fontId="41" fillId="49" borderId="58" xfId="0" applyFont="1" applyFill="1" applyBorder="1" applyAlignment="1">
      <alignment horizontal="right"/>
    </xf>
    <xf numFmtId="0" fontId="43" fillId="49" borderId="57" xfId="0" applyFont="1" applyFill="1" applyBorder="1" applyAlignment="1">
      <alignment horizontal="right"/>
    </xf>
    <xf numFmtId="2" fontId="43" fillId="49" borderId="58" xfId="0" applyNumberFormat="1" applyFont="1" applyFill="1" applyBorder="1" applyAlignment="1"/>
    <xf numFmtId="0" fontId="40" fillId="46" borderId="71" xfId="0" applyFont="1" applyFill="1" applyBorder="1" applyAlignment="1">
      <alignment horizontal="right"/>
    </xf>
    <xf numFmtId="0" fontId="41" fillId="46" borderId="72" xfId="0" applyFont="1" applyFill="1" applyBorder="1" applyAlignment="1">
      <alignment horizontal="right"/>
    </xf>
    <xf numFmtId="2" fontId="40" fillId="46" borderId="72" xfId="0" applyNumberFormat="1" applyFont="1" applyFill="1" applyBorder="1" applyAlignment="1"/>
    <xf numFmtId="2" fontId="40" fillId="46" borderId="0" xfId="0" applyNumberFormat="1" applyFont="1" applyFill="1" applyBorder="1" applyAlignment="1"/>
    <xf numFmtId="168" fontId="42" fillId="46" borderId="73" xfId="11" applyNumberFormat="1" applyFont="1" applyFill="1" applyBorder="1" applyAlignment="1">
      <alignment horizontal="center" vertical="center"/>
    </xf>
    <xf numFmtId="0" fontId="41" fillId="26" borderId="46" xfId="0" applyFont="1" applyFill="1" applyBorder="1" applyAlignment="1">
      <alignment horizontal="right"/>
    </xf>
    <xf numFmtId="0" fontId="40" fillId="51" borderId="40" xfId="0" applyFont="1" applyFill="1" applyBorder="1" applyAlignment="1">
      <alignment horizontal="right"/>
    </xf>
    <xf numFmtId="0" fontId="41" fillId="51" borderId="41" xfId="0" applyFont="1" applyFill="1" applyBorder="1" applyAlignment="1">
      <alignment horizontal="right"/>
    </xf>
    <xf numFmtId="2" fontId="40" fillId="51" borderId="41" xfId="0" applyNumberFormat="1" applyFont="1" applyFill="1" applyBorder="1" applyAlignment="1"/>
    <xf numFmtId="168" fontId="42" fillId="51" borderId="39" xfId="11" applyNumberFormat="1" applyFont="1" applyFill="1" applyBorder="1" applyAlignment="1">
      <alignment horizontal="center" vertical="center"/>
    </xf>
    <xf numFmtId="0" fontId="43" fillId="51" borderId="40" xfId="0" applyFont="1" applyFill="1" applyBorder="1" applyAlignment="1">
      <alignment horizontal="right"/>
    </xf>
    <xf numFmtId="2" fontId="43" fillId="51" borderId="41" xfId="0" applyNumberFormat="1" applyFont="1" applyFill="1" applyBorder="1" applyAlignment="1"/>
    <xf numFmtId="0" fontId="40" fillId="40" borderId="57" xfId="0" applyFont="1" applyFill="1" applyBorder="1" applyAlignment="1">
      <alignment horizontal="right"/>
    </xf>
    <xf numFmtId="0" fontId="47" fillId="48" borderId="40" xfId="0" applyFont="1" applyFill="1" applyBorder="1" applyAlignment="1">
      <alignment horizontal="right"/>
    </xf>
    <xf numFmtId="0" fontId="48" fillId="48" borderId="41" xfId="0" applyFont="1" applyFill="1" applyBorder="1" applyAlignment="1">
      <alignment horizontal="right"/>
    </xf>
    <xf numFmtId="2" fontId="47" fillId="48" borderId="41" xfId="0" applyNumberFormat="1" applyFont="1" applyFill="1" applyBorder="1" applyAlignment="1"/>
    <xf numFmtId="168" fontId="49" fillId="48" borderId="39" xfId="11" applyNumberFormat="1" applyFont="1" applyFill="1" applyBorder="1" applyAlignment="1">
      <alignment horizontal="center" vertical="center"/>
    </xf>
    <xf numFmtId="0" fontId="51" fillId="48" borderId="40" xfId="0" applyFont="1" applyFill="1" applyBorder="1" applyAlignment="1">
      <alignment horizontal="right"/>
    </xf>
    <xf numFmtId="2" fontId="51" fillId="48" borderId="41" xfId="0" applyNumberFormat="1" applyFont="1" applyFill="1" applyBorder="1" applyAlignment="1"/>
    <xf numFmtId="0" fontId="47" fillId="42" borderId="40" xfId="0" applyFont="1" applyFill="1" applyBorder="1" applyAlignment="1">
      <alignment horizontal="right"/>
    </xf>
    <xf numFmtId="0" fontId="48" fillId="42" borderId="41" xfId="0" applyFont="1" applyFill="1" applyBorder="1" applyAlignment="1">
      <alignment horizontal="right"/>
    </xf>
    <xf numFmtId="2" fontId="47" fillId="42" borderId="41" xfId="0" applyNumberFormat="1" applyFont="1" applyFill="1" applyBorder="1" applyAlignment="1"/>
    <xf numFmtId="168" fontId="49" fillId="42" borderId="39" xfId="11" applyNumberFormat="1" applyFont="1" applyFill="1" applyBorder="1" applyAlignment="1">
      <alignment horizontal="center" vertical="center"/>
    </xf>
    <xf numFmtId="0" fontId="51" fillId="42" borderId="40" xfId="0" applyFont="1" applyFill="1" applyBorder="1" applyAlignment="1">
      <alignment horizontal="right"/>
    </xf>
    <xf numFmtId="2" fontId="51" fillId="42" borderId="41" xfId="0" applyNumberFormat="1" applyFont="1" applyFill="1" applyBorder="1" applyAlignment="1"/>
    <xf numFmtId="0" fontId="40" fillId="46" borderId="63" xfId="0" applyFont="1" applyFill="1" applyBorder="1" applyAlignment="1">
      <alignment horizontal="right"/>
    </xf>
    <xf numFmtId="0" fontId="41" fillId="46" borderId="64" xfId="0" applyFont="1" applyFill="1" applyBorder="1" applyAlignment="1">
      <alignment horizontal="right"/>
    </xf>
    <xf numFmtId="168" fontId="40" fillId="46" borderId="64" xfId="11" applyNumberFormat="1" applyFont="1" applyFill="1" applyBorder="1" applyAlignment="1">
      <alignment horizontal="center" vertical="center"/>
    </xf>
    <xf numFmtId="168" fontId="42" fillId="46" borderId="65" xfId="11" applyNumberFormat="1" applyFont="1" applyFill="1" applyBorder="1" applyAlignment="1">
      <alignment horizontal="center" vertical="center"/>
    </xf>
    <xf numFmtId="0" fontId="0" fillId="0" borderId="0" xfId="0" applyFont="1" applyAlignment="1"/>
    <xf numFmtId="0" fontId="0" fillId="0" borderId="0" xfId="0" applyAlignment="1"/>
    <xf numFmtId="2" fontId="1" fillId="0" borderId="0" xfId="0" applyNumberFormat="1" applyFont="1" applyAlignment="1"/>
    <xf numFmtId="0" fontId="33" fillId="26" borderId="74" xfId="0" applyFont="1" applyFill="1" applyBorder="1" applyAlignment="1"/>
    <xf numFmtId="0" fontId="52" fillId="52" borderId="0" xfId="0" applyFont="1" applyFill="1" applyAlignment="1">
      <alignment horizontal="center" vertical="center"/>
    </xf>
    <xf numFmtId="0" fontId="53" fillId="52" borderId="0" xfId="0" applyFont="1" applyFill="1" applyAlignment="1">
      <alignment horizontal="center" vertical="center"/>
    </xf>
    <xf numFmtId="0" fontId="38" fillId="26" borderId="75" xfId="0" applyFont="1" applyFill="1" applyBorder="1" applyAlignment="1">
      <alignment horizontal="center" vertical="center"/>
    </xf>
    <xf numFmtId="0" fontId="39" fillId="26" borderId="76" xfId="0" applyFont="1" applyFill="1" applyBorder="1" applyAlignment="1">
      <alignment horizontal="center" vertical="center"/>
    </xf>
    <xf numFmtId="0" fontId="39" fillId="26" borderId="77" xfId="0" applyFont="1" applyFill="1" applyBorder="1" applyAlignment="1">
      <alignment horizontal="center" vertical="center"/>
    </xf>
    <xf numFmtId="0" fontId="39" fillId="26" borderId="74" xfId="0" applyFont="1" applyFill="1" applyBorder="1" applyAlignment="1">
      <alignment horizontal="center" vertical="center"/>
    </xf>
    <xf numFmtId="0" fontId="40" fillId="0" borderId="78" xfId="0" applyFont="1" applyBorder="1" applyAlignment="1">
      <alignment horizontal="right"/>
    </xf>
    <xf numFmtId="0" fontId="44" fillId="0" borderId="26" xfId="0" applyFont="1" applyBorder="1" applyAlignment="1">
      <alignment horizontal="right"/>
    </xf>
    <xf numFmtId="0" fontId="40" fillId="0" borderId="26" xfId="0" applyFont="1" applyBorder="1" applyAlignment="1">
      <alignment horizontal="right"/>
    </xf>
    <xf numFmtId="2" fontId="40" fillId="0" borderId="26" xfId="5" applyNumberFormat="1" applyFont="1" applyBorder="1" applyAlignment="1">
      <alignment horizontal="center" vertical="center"/>
    </xf>
    <xf numFmtId="170" fontId="42" fillId="0" borderId="79" xfId="11" applyNumberFormat="1" applyFont="1" applyBorder="1" applyAlignment="1">
      <alignment horizontal="center" vertical="center"/>
    </xf>
    <xf numFmtId="2" fontId="40" fillId="0" borderId="27" xfId="5" applyNumberFormat="1" applyFont="1" applyBorder="1" applyAlignment="1">
      <alignment horizontal="center" vertical="center"/>
    </xf>
    <xf numFmtId="0" fontId="40" fillId="13" borderId="22" xfId="0" applyFont="1" applyFill="1" applyBorder="1" applyAlignment="1">
      <alignment horizontal="right"/>
    </xf>
    <xf numFmtId="0" fontId="44" fillId="13" borderId="80" xfId="0" applyFont="1" applyFill="1" applyBorder="1" applyAlignment="1">
      <alignment horizontal="right"/>
    </xf>
    <xf numFmtId="0" fontId="40" fillId="13" borderId="80" xfId="0" applyFont="1" applyFill="1" applyBorder="1" applyAlignment="1">
      <alignment horizontal="right"/>
    </xf>
    <xf numFmtId="170" fontId="40" fillId="13" borderId="0" xfId="11" applyNumberFormat="1" applyFont="1" applyFill="1" applyAlignment="1">
      <alignment horizontal="center" vertical="center"/>
    </xf>
    <xf numFmtId="170" fontId="42" fillId="13" borderId="79" xfId="11" applyNumberFormat="1" applyFont="1" applyFill="1" applyBorder="1" applyAlignment="1">
      <alignment horizontal="center" vertical="center"/>
    </xf>
    <xf numFmtId="0" fontId="40" fillId="44" borderId="22" xfId="0" applyFont="1" applyFill="1" applyBorder="1" applyAlignment="1">
      <alignment horizontal="right"/>
    </xf>
    <xf numFmtId="0" fontId="44" fillId="44" borderId="80" xfId="0" applyFont="1" applyFill="1" applyBorder="1" applyAlignment="1">
      <alignment horizontal="right"/>
    </xf>
    <xf numFmtId="0" fontId="40" fillId="44" borderId="80" xfId="0" applyFont="1" applyFill="1" applyBorder="1" applyAlignment="1">
      <alignment horizontal="right"/>
    </xf>
    <xf numFmtId="170" fontId="40" fillId="44" borderId="0" xfId="11" applyNumberFormat="1" applyFont="1" applyFill="1" applyAlignment="1">
      <alignment horizontal="center" vertical="center"/>
    </xf>
    <xf numFmtId="170" fontId="42" fillId="44" borderId="79" xfId="11" applyNumberFormat="1" applyFont="1" applyFill="1" applyBorder="1" applyAlignment="1">
      <alignment horizontal="center" vertical="center"/>
    </xf>
    <xf numFmtId="0" fontId="40" fillId="0" borderId="22" xfId="0" applyFont="1" applyFill="1" applyBorder="1" applyAlignment="1">
      <alignment horizontal="right"/>
    </xf>
    <xf numFmtId="0" fontId="44" fillId="0" borderId="80" xfId="0" applyFont="1" applyFill="1" applyBorder="1" applyAlignment="1">
      <alignment horizontal="right"/>
    </xf>
    <xf numFmtId="0" fontId="40" fillId="0" borderId="80" xfId="0" applyFont="1" applyFill="1" applyBorder="1" applyAlignment="1">
      <alignment horizontal="right"/>
    </xf>
    <xf numFmtId="170" fontId="40" fillId="0" borderId="0" xfId="11" applyNumberFormat="1" applyFont="1" applyAlignment="1">
      <alignment horizontal="center"/>
    </xf>
    <xf numFmtId="1" fontId="40" fillId="0" borderId="26" xfId="5" applyNumberFormat="1" applyFont="1" applyBorder="1" applyAlignment="1">
      <alignment horizontal="center" vertical="center"/>
    </xf>
    <xf numFmtId="0" fontId="40" fillId="0" borderId="81" xfId="0" applyFont="1" applyBorder="1" applyAlignment="1">
      <alignment horizontal="right"/>
    </xf>
    <xf numFmtId="0" fontId="40" fillId="0" borderId="78" xfId="0" applyFont="1" applyBorder="1" applyAlignment="1">
      <alignment horizontal="right" vertical="center"/>
    </xf>
    <xf numFmtId="0" fontId="44" fillId="0" borderId="26" xfId="0" applyFont="1" applyBorder="1" applyAlignment="1">
      <alignment horizontal="right" vertical="center"/>
    </xf>
    <xf numFmtId="0" fontId="40" fillId="0" borderId="26" xfId="0" applyFont="1" applyBorder="1" applyAlignment="1">
      <alignment horizontal="right" vertical="center"/>
    </xf>
    <xf numFmtId="170" fontId="54" fillId="0" borderId="26" xfId="11" applyNumberFormat="1" applyFont="1" applyBorder="1" applyAlignment="1">
      <alignment horizontal="center" vertical="center"/>
    </xf>
    <xf numFmtId="170" fontId="42" fillId="0" borderId="43" xfId="11" applyNumberFormat="1" applyFont="1" applyBorder="1" applyAlignment="1">
      <alignment horizontal="center" vertical="center"/>
    </xf>
    <xf numFmtId="170" fontId="40" fillId="0" borderId="26" xfId="11" applyNumberFormat="1" applyFont="1" applyBorder="1" applyAlignment="1">
      <alignment horizontal="center" vertical="center"/>
    </xf>
    <xf numFmtId="0" fontId="44" fillId="0" borderId="82" xfId="0" applyFont="1" applyBorder="1" applyAlignment="1">
      <alignment horizontal="right"/>
    </xf>
    <xf numFmtId="0" fontId="40" fillId="0" borderId="82" xfId="0" applyFont="1" applyBorder="1" applyAlignment="1">
      <alignment horizontal="right"/>
    </xf>
    <xf numFmtId="0" fontId="40" fillId="0" borderId="83" xfId="0" applyFont="1" applyBorder="1" applyAlignment="1">
      <alignment horizontal="right"/>
    </xf>
    <xf numFmtId="170" fontId="40" fillId="0" borderId="84" xfId="11" applyNumberFormat="1" applyFont="1" applyBorder="1" applyAlignment="1">
      <alignment horizontal="center" vertical="center"/>
    </xf>
    <xf numFmtId="43" fontId="40" fillId="0" borderId="26" xfId="11" applyNumberFormat="1" applyFont="1" applyBorder="1" applyAlignment="1">
      <alignment horizontal="center" vertical="center"/>
    </xf>
    <xf numFmtId="170" fontId="40" fillId="0" borderId="26" xfId="0" applyNumberFormat="1" applyFont="1" applyBorder="1" applyAlignment="1">
      <alignment horizontal="center" vertical="center"/>
    </xf>
    <xf numFmtId="10" fontId="40" fillId="0" borderId="26" xfId="5" applyNumberFormat="1" applyFont="1" applyBorder="1" applyAlignment="1">
      <alignment horizontal="right" vertical="center"/>
    </xf>
    <xf numFmtId="1" fontId="40" fillId="0" borderId="26" xfId="5" applyNumberFormat="1" applyFont="1" applyBorder="1" applyAlignment="1">
      <alignment horizontal="right" vertical="center"/>
    </xf>
    <xf numFmtId="43" fontId="40" fillId="0" borderId="82" xfId="0" applyNumberFormat="1" applyFont="1" applyBorder="1" applyAlignment="1">
      <alignment horizontal="center" vertical="center"/>
    </xf>
    <xf numFmtId="170" fontId="42" fillId="0" borderId="85" xfId="11" applyNumberFormat="1" applyFont="1" applyBorder="1" applyAlignment="1">
      <alignment horizontal="center" vertical="center"/>
    </xf>
    <xf numFmtId="9" fontId="40" fillId="0" borderId="26" xfId="5" applyNumberFormat="1" applyFont="1" applyBorder="1" applyAlignment="1">
      <alignment horizontal="center" vertical="center"/>
    </xf>
    <xf numFmtId="170" fontId="42" fillId="0" borderId="79" xfId="0" applyNumberFormat="1" applyFont="1" applyBorder="1" applyAlignment="1">
      <alignment horizontal="center" vertical="center"/>
    </xf>
    <xf numFmtId="9" fontId="40" fillId="0" borderId="82" xfId="5" applyNumberFormat="1" applyFont="1" applyBorder="1" applyAlignment="1">
      <alignment horizontal="center" vertical="center"/>
    </xf>
    <xf numFmtId="170" fontId="42" fillId="0" borderId="86" xfId="0" applyNumberFormat="1" applyFont="1" applyBorder="1" applyAlignment="1">
      <alignment horizontal="center" vertical="center"/>
    </xf>
    <xf numFmtId="0" fontId="43" fillId="0" borderId="0" xfId="0" applyFont="1"/>
    <xf numFmtId="0" fontId="0" fillId="0" borderId="0" xfId="0"/>
    <xf numFmtId="0" fontId="40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9" fontId="40" fillId="0" borderId="0" xfId="5" applyNumberFormat="1" applyFont="1" applyBorder="1" applyAlignment="1">
      <alignment horizontal="center" vertical="center"/>
    </xf>
    <xf numFmtId="170" fontId="42" fillId="0" borderId="0" xfId="0" applyNumberFormat="1" applyFont="1" applyBorder="1" applyAlignment="1">
      <alignment horizontal="center" vertical="center"/>
    </xf>
    <xf numFmtId="170" fontId="40" fillId="0" borderId="0" xfId="11" applyNumberFormat="1" applyFont="1" applyBorder="1" applyAlignment="1">
      <alignment horizontal="center" vertical="center"/>
    </xf>
    <xf numFmtId="1" fontId="40" fillId="0" borderId="0" xfId="5" applyNumberFormat="1" applyFont="1" applyBorder="1" applyAlignment="1">
      <alignment horizontal="center" vertical="center"/>
    </xf>
    <xf numFmtId="2" fontId="40" fillId="0" borderId="0" xfId="5" applyNumberFormat="1" applyFont="1" applyBorder="1" applyAlignment="1">
      <alignment horizontal="center" vertical="center"/>
    </xf>
    <xf numFmtId="10" fontId="40" fillId="0" borderId="0" xfId="5" applyNumberFormat="1" applyFont="1" applyBorder="1" applyAlignment="1">
      <alignment horizontal="center" vertical="center"/>
    </xf>
    <xf numFmtId="9" fontId="40" fillId="0" borderId="0" xfId="5" applyFont="1" applyBorder="1" applyAlignment="1">
      <alignment horizontal="center" vertical="center"/>
    </xf>
    <xf numFmtId="9" fontId="40" fillId="6" borderId="0" xfId="5" applyFont="1" applyFill="1" applyBorder="1" applyAlignment="1">
      <alignment horizontal="center" vertical="center"/>
    </xf>
    <xf numFmtId="2" fontId="40" fillId="0" borderId="0" xfId="11" applyNumberFormat="1" applyFont="1" applyBorder="1" applyAlignment="1">
      <alignment horizontal="center" vertical="center"/>
    </xf>
    <xf numFmtId="9" fontId="40" fillId="46" borderId="0" xfId="5" applyFont="1" applyFill="1" applyBorder="1" applyAlignment="1">
      <alignment horizontal="center" vertical="center"/>
    </xf>
    <xf numFmtId="0" fontId="38" fillId="26" borderId="4" xfId="0" applyFont="1" applyFill="1" applyBorder="1" applyAlignment="1">
      <alignment horizontal="center" vertical="center"/>
    </xf>
    <xf numFmtId="0" fontId="39" fillId="26" borderId="5" xfId="0" applyFont="1" applyFill="1" applyBorder="1" applyAlignment="1">
      <alignment horizontal="center" vertical="center"/>
    </xf>
    <xf numFmtId="0" fontId="39" fillId="26" borderId="6" xfId="0" applyFont="1" applyFill="1" applyBorder="1" applyAlignment="1">
      <alignment horizontal="center" vertical="center"/>
    </xf>
    <xf numFmtId="0" fontId="40" fillId="0" borderId="7" xfId="0" applyFont="1" applyBorder="1" applyAlignment="1">
      <alignment horizontal="right"/>
    </xf>
    <xf numFmtId="170" fontId="42" fillId="0" borderId="8" xfId="11" applyNumberFormat="1" applyFont="1" applyBorder="1" applyAlignment="1">
      <alignment horizontal="center" vertical="center"/>
    </xf>
    <xf numFmtId="0" fontId="40" fillId="0" borderId="9" xfId="0" applyFont="1" applyBorder="1" applyAlignment="1">
      <alignment horizontal="right"/>
    </xf>
    <xf numFmtId="167" fontId="40" fillId="0" borderId="10" xfId="5" applyNumberFormat="1" applyFont="1" applyBorder="1" applyAlignment="1">
      <alignment horizontal="center" vertical="center"/>
    </xf>
    <xf numFmtId="170" fontId="42" fillId="0" borderId="10" xfId="11" applyNumberFormat="1" applyFont="1" applyBorder="1" applyAlignment="1">
      <alignment horizontal="center" vertical="center"/>
    </xf>
    <xf numFmtId="0" fontId="40" fillId="0" borderId="10" xfId="0" applyFont="1" applyBorder="1" applyAlignment="1">
      <alignment horizontal="right"/>
    </xf>
    <xf numFmtId="170" fontId="42" fillId="0" borderId="11" xfId="11" applyNumberFormat="1" applyFont="1" applyBorder="1" applyAlignment="1">
      <alignment horizontal="center" vertical="center"/>
    </xf>
    <xf numFmtId="0" fontId="40" fillId="0" borderId="37" xfId="0" applyFont="1" applyFill="1" applyBorder="1" applyAlignment="1">
      <alignment horizontal="right"/>
    </xf>
    <xf numFmtId="0" fontId="41" fillId="0" borderId="38" xfId="0" applyFont="1" applyFill="1" applyBorder="1" applyAlignment="1">
      <alignment horizontal="right"/>
    </xf>
    <xf numFmtId="168" fontId="40" fillId="0" borderId="38" xfId="11" applyNumberFormat="1" applyFont="1" applyFill="1" applyBorder="1" applyAlignment="1">
      <alignment horizontal="center" vertical="center"/>
    </xf>
    <xf numFmtId="168" fontId="40" fillId="0" borderId="39" xfId="11" applyNumberFormat="1" applyFont="1" applyFill="1" applyBorder="1" applyAlignment="1">
      <alignment horizontal="center" vertical="center"/>
    </xf>
    <xf numFmtId="168" fontId="42" fillId="0" borderId="39" xfId="11" applyNumberFormat="1" applyFont="1" applyFill="1" applyBorder="1" applyAlignment="1">
      <alignment horizontal="center" vertical="center"/>
    </xf>
    <xf numFmtId="0" fontId="43" fillId="0" borderId="34" xfId="0" applyFont="1" applyFill="1" applyBorder="1" applyAlignment="1">
      <alignment horizontal="right"/>
    </xf>
    <xf numFmtId="0" fontId="41" fillId="0" borderId="35" xfId="0" applyFont="1" applyFill="1" applyBorder="1" applyAlignment="1">
      <alignment horizontal="right"/>
    </xf>
    <xf numFmtId="168" fontId="43" fillId="0" borderId="35" xfId="11" applyNumberFormat="1" applyFont="1" applyFill="1" applyBorder="1" applyAlignment="1">
      <alignment horizontal="center" vertical="center"/>
    </xf>
    <xf numFmtId="0" fontId="40" fillId="0" borderId="34" xfId="0" applyFont="1" applyFill="1" applyBorder="1" applyAlignment="1">
      <alignment horizontal="right"/>
    </xf>
    <xf numFmtId="168" fontId="40" fillId="0" borderId="35" xfId="11" applyNumberFormat="1" applyFont="1" applyFill="1" applyBorder="1" applyAlignment="1">
      <alignment horizontal="center" vertical="center"/>
    </xf>
    <xf numFmtId="168" fontId="40" fillId="0" borderId="44" xfId="11" applyNumberFormat="1" applyFont="1" applyFill="1" applyBorder="1" applyAlignment="1">
      <alignment horizontal="center" vertical="center"/>
    </xf>
    <xf numFmtId="0" fontId="43" fillId="0" borderId="37" xfId="0" applyFont="1" applyFill="1" applyBorder="1" applyAlignment="1">
      <alignment horizontal="right"/>
    </xf>
    <xf numFmtId="168" fontId="43" fillId="0" borderId="38" xfId="11" applyNumberFormat="1" applyFont="1" applyFill="1" applyBorder="1" applyAlignment="1">
      <alignment horizontal="center" vertical="center"/>
    </xf>
    <xf numFmtId="0" fontId="40" fillId="0" borderId="51" xfId="0" applyFont="1" applyFill="1" applyBorder="1" applyAlignment="1">
      <alignment horizontal="right"/>
    </xf>
    <xf numFmtId="0" fontId="41" fillId="0" borderId="52" xfId="0" applyFont="1" applyFill="1" applyBorder="1" applyAlignment="1">
      <alignment horizontal="right"/>
    </xf>
    <xf numFmtId="0" fontId="43" fillId="0" borderId="51" xfId="0" applyFont="1" applyFill="1" applyBorder="1" applyAlignment="1">
      <alignment horizontal="right"/>
    </xf>
    <xf numFmtId="168" fontId="43" fillId="0" borderId="52" xfId="11" applyNumberFormat="1" applyFont="1" applyFill="1" applyBorder="1" applyAlignment="1">
      <alignment horizontal="center" vertical="center"/>
    </xf>
    <xf numFmtId="168" fontId="42" fillId="0" borderId="53" xfId="11" applyNumberFormat="1" applyFont="1" applyFill="1" applyBorder="1" applyAlignment="1">
      <alignment horizontal="center" vertical="center"/>
    </xf>
    <xf numFmtId="0" fontId="40" fillId="0" borderId="54" xfId="0" applyFont="1" applyFill="1" applyBorder="1" applyAlignment="1">
      <alignment horizontal="right"/>
    </xf>
    <xf numFmtId="0" fontId="41" fillId="0" borderId="55" xfId="0" applyFont="1" applyFill="1" applyBorder="1" applyAlignment="1">
      <alignment horizontal="right"/>
    </xf>
    <xf numFmtId="168" fontId="40" fillId="0" borderId="55" xfId="11" applyNumberFormat="1" applyFont="1" applyFill="1" applyBorder="1" applyAlignment="1">
      <alignment horizontal="center" vertical="center"/>
    </xf>
    <xf numFmtId="168" fontId="40" fillId="0" borderId="56" xfId="11" applyNumberFormat="1" applyFont="1" applyFill="1" applyBorder="1" applyAlignment="1">
      <alignment horizontal="center" vertical="center"/>
    </xf>
    <xf numFmtId="168" fontId="42" fillId="0" borderId="56" xfId="11" applyNumberFormat="1" applyFont="1" applyFill="1" applyBorder="1" applyAlignment="1">
      <alignment horizontal="center" vertical="center"/>
    </xf>
    <xf numFmtId="0" fontId="40" fillId="17" borderId="40" xfId="0" applyFont="1" applyFill="1" applyBorder="1" applyAlignment="1">
      <alignment horizontal="right"/>
    </xf>
    <xf numFmtId="0" fontId="41" fillId="17" borderId="41" xfId="0" applyFont="1" applyFill="1" applyBorder="1" applyAlignment="1">
      <alignment horizontal="right"/>
    </xf>
    <xf numFmtId="168" fontId="40" fillId="17" borderId="41" xfId="11" applyNumberFormat="1" applyFont="1" applyFill="1" applyBorder="1" applyAlignment="1">
      <alignment horizontal="center" vertical="center"/>
    </xf>
    <xf numFmtId="168" fontId="40" fillId="17" borderId="42" xfId="11" applyNumberFormat="1" applyFont="1" applyFill="1" applyBorder="1" applyAlignment="1">
      <alignment horizontal="center" vertical="center"/>
    </xf>
    <xf numFmtId="168" fontId="42" fillId="17" borderId="42" xfId="11" applyNumberFormat="1" applyFont="1" applyFill="1" applyBorder="1" applyAlignment="1">
      <alignment horizontal="center" vertical="center"/>
    </xf>
    <xf numFmtId="0" fontId="40" fillId="12" borderId="40" xfId="0" applyFont="1" applyFill="1" applyBorder="1" applyAlignment="1">
      <alignment horizontal="right"/>
    </xf>
    <xf numFmtId="0" fontId="41" fillId="12" borderId="41" xfId="0" applyFont="1" applyFill="1" applyBorder="1" applyAlignment="1">
      <alignment horizontal="right"/>
    </xf>
    <xf numFmtId="168" fontId="40" fillId="12" borderId="41" xfId="11" applyNumberFormat="1" applyFont="1" applyFill="1" applyBorder="1" applyAlignment="1">
      <alignment horizontal="center" vertical="center"/>
    </xf>
    <xf numFmtId="168" fontId="40" fillId="12" borderId="42" xfId="11" applyNumberFormat="1" applyFont="1" applyFill="1" applyBorder="1" applyAlignment="1">
      <alignment horizontal="center" vertical="center"/>
    </xf>
    <xf numFmtId="168" fontId="42" fillId="12" borderId="42" xfId="11" applyNumberFormat="1" applyFont="1" applyFill="1" applyBorder="1" applyAlignment="1">
      <alignment horizontal="center" vertical="center"/>
    </xf>
    <xf numFmtId="0" fontId="40" fillId="27" borderId="37" xfId="0" applyFont="1" applyFill="1" applyBorder="1" applyAlignment="1">
      <alignment horizontal="right"/>
    </xf>
    <xf numFmtId="0" fontId="41" fillId="27" borderId="41" xfId="0" applyFont="1" applyFill="1" applyBorder="1" applyAlignment="1">
      <alignment horizontal="right"/>
    </xf>
    <xf numFmtId="168" fontId="40" fillId="27" borderId="41" xfId="11" applyNumberFormat="1" applyFont="1" applyFill="1" applyBorder="1" applyAlignment="1">
      <alignment horizontal="center" vertical="center"/>
    </xf>
    <xf numFmtId="168" fontId="40" fillId="27" borderId="42" xfId="11" applyNumberFormat="1" applyFont="1" applyFill="1" applyBorder="1" applyAlignment="1">
      <alignment horizontal="center" vertical="center"/>
    </xf>
    <xf numFmtId="168" fontId="42" fillId="27" borderId="42" xfId="11" applyNumberFormat="1" applyFont="1" applyFill="1" applyBorder="1" applyAlignment="1">
      <alignment horizontal="center" vertical="center"/>
    </xf>
    <xf numFmtId="0" fontId="40" fillId="27" borderId="40" xfId="0" applyFont="1" applyFill="1" applyBorder="1" applyAlignment="1">
      <alignment horizontal="right"/>
    </xf>
    <xf numFmtId="0" fontId="53" fillId="18" borderId="41" xfId="0" applyFont="1" applyFill="1" applyBorder="1" applyAlignment="1">
      <alignment horizontal="right"/>
    </xf>
    <xf numFmtId="0" fontId="56" fillId="18" borderId="41" xfId="0" applyFont="1" applyFill="1" applyBorder="1" applyAlignment="1">
      <alignment horizontal="right"/>
    </xf>
    <xf numFmtId="165" fontId="53" fillId="18" borderId="41" xfId="0" applyNumberFormat="1" applyFont="1" applyFill="1" applyBorder="1" applyAlignment="1">
      <alignment horizontal="right"/>
    </xf>
    <xf numFmtId="0" fontId="56" fillId="18" borderId="41" xfId="0" applyFont="1" applyFill="1" applyBorder="1" applyAlignment="1">
      <alignment horizontal="center"/>
    </xf>
    <xf numFmtId="0" fontId="5" fillId="33" borderId="0" xfId="0" applyNumberFormat="1" applyFont="1" applyFill="1" applyBorder="1" applyAlignment="1">
      <alignment horizontal="center" vertical="center"/>
    </xf>
    <xf numFmtId="0" fontId="40" fillId="0" borderId="58" xfId="0" applyFont="1" applyFill="1" applyBorder="1" applyAlignment="1">
      <alignment horizontal="right" wrapText="1"/>
    </xf>
    <xf numFmtId="168" fontId="40" fillId="0" borderId="58" xfId="11" applyNumberFormat="1" applyFont="1" applyFill="1" applyBorder="1" applyAlignment="1">
      <alignment horizontal="right" vertical="center"/>
    </xf>
    <xf numFmtId="0" fontId="40" fillId="0" borderId="87" xfId="0" applyFont="1" applyFill="1" applyBorder="1" applyAlignment="1">
      <alignment horizontal="right" wrapText="1"/>
    </xf>
    <xf numFmtId="168" fontId="40" fillId="0" borderId="87" xfId="11" applyNumberFormat="1" applyFont="1" applyFill="1" applyBorder="1" applyAlignment="1">
      <alignment horizontal="right" vertical="center"/>
    </xf>
    <xf numFmtId="0" fontId="40" fillId="0" borderId="49" xfId="0" applyFont="1" applyFill="1" applyBorder="1" applyAlignment="1">
      <alignment horizontal="right" wrapText="1"/>
    </xf>
    <xf numFmtId="168" fontId="40" fillId="0" borderId="49" xfId="11" applyNumberFormat="1" applyFont="1" applyFill="1" applyBorder="1" applyAlignment="1">
      <alignment horizontal="right" vertical="center"/>
    </xf>
    <xf numFmtId="0" fontId="40" fillId="0" borderId="88" xfId="0" applyFont="1" applyFill="1" applyBorder="1" applyAlignment="1">
      <alignment horizontal="right" wrapText="1"/>
    </xf>
    <xf numFmtId="168" fontId="40" fillId="0" borderId="88" xfId="11" applyNumberFormat="1" applyFont="1" applyFill="1" applyBorder="1" applyAlignment="1">
      <alignment horizontal="right" vertical="center"/>
    </xf>
    <xf numFmtId="0" fontId="48" fillId="0" borderId="58" xfId="0" applyFont="1" applyBorder="1" applyAlignment="1">
      <alignment horizontal="right"/>
    </xf>
    <xf numFmtId="168" fontId="40" fillId="0" borderId="58" xfId="11" applyNumberFormat="1" applyFont="1" applyFill="1" applyBorder="1" applyAlignment="1">
      <alignment horizontal="center" vertical="center"/>
    </xf>
    <xf numFmtId="0" fontId="48" fillId="0" borderId="87" xfId="0" applyFont="1" applyBorder="1" applyAlignment="1">
      <alignment horizontal="right"/>
    </xf>
    <xf numFmtId="168" fontId="40" fillId="0" borderId="87" xfId="11" applyNumberFormat="1" applyFont="1" applyFill="1" applyBorder="1" applyAlignment="1">
      <alignment horizontal="center" vertical="center"/>
    </xf>
    <xf numFmtId="168" fontId="40" fillId="0" borderId="88" xfId="11" applyNumberFormat="1" applyFont="1" applyFill="1" applyBorder="1" applyAlignment="1">
      <alignment horizontal="center" vertical="center"/>
    </xf>
    <xf numFmtId="0" fontId="0" fillId="0" borderId="0" xfId="0"/>
    <xf numFmtId="0" fontId="24" fillId="0" borderId="0" xfId="9" applyFont="1" applyFill="1" applyBorder="1"/>
    <xf numFmtId="0" fontId="57" fillId="0" borderId="26" xfId="0" applyFont="1" applyBorder="1" applyAlignment="1">
      <alignment horizontal="center" vertical="top"/>
    </xf>
    <xf numFmtId="0" fontId="24" fillId="4" borderId="0" xfId="8" applyFont="1" applyFill="1" applyBorder="1"/>
    <xf numFmtId="0" fontId="0" fillId="0" borderId="0" xfId="0"/>
    <xf numFmtId="0" fontId="0" fillId="0" borderId="0" xfId="0"/>
    <xf numFmtId="0" fontId="0" fillId="0" borderId="0" xfId="0"/>
    <xf numFmtId="0" fontId="1" fillId="0" borderId="7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89" xfId="0" applyBorder="1"/>
    <xf numFmtId="0" fontId="1" fillId="0" borderId="22" xfId="0" applyFont="1" applyBorder="1"/>
    <xf numFmtId="0" fontId="5" fillId="0" borderId="22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165" fontId="1" fillId="0" borderId="0" xfId="0" applyNumberFormat="1" applyFont="1" applyFill="1" applyBorder="1"/>
    <xf numFmtId="2" fontId="0" fillId="0" borderId="0" xfId="0" applyNumberFormat="1"/>
    <xf numFmtId="0" fontId="11" fillId="0" borderId="0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0" fillId="0" borderId="0" xfId="0"/>
    <xf numFmtId="165" fontId="0" fillId="0" borderId="8" xfId="0" applyNumberFormat="1" applyBorder="1"/>
    <xf numFmtId="165" fontId="0" fillId="0" borderId="11" xfId="0" applyNumberFormat="1" applyBorder="1"/>
    <xf numFmtId="0" fontId="0" fillId="11" borderId="7" xfId="0" applyFont="1" applyFill="1" applyBorder="1"/>
    <xf numFmtId="165" fontId="0" fillId="11" borderId="0" xfId="0" applyNumberFormat="1" applyFill="1" applyBorder="1"/>
    <xf numFmtId="0" fontId="0" fillId="11" borderId="7" xfId="0" applyFill="1" applyBorder="1"/>
    <xf numFmtId="9" fontId="0" fillId="11" borderId="0" xfId="5" applyFont="1" applyFill="1" applyBorder="1"/>
    <xf numFmtId="0" fontId="1" fillId="14" borderId="7" xfId="0" applyFont="1" applyFill="1" applyBorder="1"/>
    <xf numFmtId="165" fontId="1" fillId="14" borderId="0" xfId="0" applyNumberFormat="1" applyFont="1" applyFill="1" applyBorder="1"/>
    <xf numFmtId="165" fontId="1" fillId="41" borderId="0" xfId="0" applyNumberFormat="1" applyFont="1" applyFill="1" applyBorder="1"/>
    <xf numFmtId="164" fontId="0" fillId="36" borderId="0" xfId="0" applyNumberFormat="1" applyFill="1"/>
    <xf numFmtId="164" fontId="24" fillId="14" borderId="0" xfId="0" applyNumberFormat="1" applyFont="1" applyFill="1"/>
    <xf numFmtId="0" fontId="18" fillId="30" borderId="0" xfId="8"/>
    <xf numFmtId="0" fontId="1" fillId="0" borderId="19" xfId="0" applyFont="1" applyFill="1" applyBorder="1"/>
    <xf numFmtId="0" fontId="1" fillId="0" borderId="20" xfId="0" applyFont="1" applyBorder="1"/>
    <xf numFmtId="0" fontId="0" fillId="0" borderId="20" xfId="0" applyBorder="1"/>
    <xf numFmtId="0" fontId="0" fillId="0" borderId="90" xfId="0" applyBorder="1"/>
    <xf numFmtId="0" fontId="0" fillId="0" borderId="21" xfId="0" applyBorder="1"/>
    <xf numFmtId="0" fontId="4" fillId="35" borderId="22" xfId="1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19" fillId="31" borderId="0" xfId="9" applyBorder="1" applyAlignment="1">
      <alignment horizontal="left" vertical="top"/>
    </xf>
    <xf numFmtId="0" fontId="58" fillId="0" borderId="0" xfId="0" applyFont="1" applyBorder="1" applyAlignment="1">
      <alignment horizontal="center" vertical="top"/>
    </xf>
    <xf numFmtId="0" fontId="59" fillId="0" borderId="26" xfId="0" applyFont="1" applyBorder="1" applyAlignment="1">
      <alignment horizontal="left" vertical="top"/>
    </xf>
    <xf numFmtId="166" fontId="1" fillId="41" borderId="0" xfId="5" applyNumberFormat="1" applyFont="1" applyFill="1"/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2" fontId="5" fillId="3" borderId="0" xfId="0" applyNumberFormat="1" applyFont="1" applyFill="1" applyBorder="1"/>
    <xf numFmtId="0" fontId="5" fillId="12" borderId="0" xfId="0" applyFont="1" applyFill="1" applyAlignment="1">
      <alignment horizontal="center" vertical="center"/>
    </xf>
    <xf numFmtId="0" fontId="6" fillId="12" borderId="0" xfId="0" applyFont="1" applyFill="1" applyAlignment="1">
      <alignment horizontal="center" vertical="center"/>
    </xf>
    <xf numFmtId="165" fontId="0" fillId="4" borderId="0" xfId="0" applyNumberFormat="1" applyFill="1" applyBorder="1"/>
    <xf numFmtId="165" fontId="0" fillId="4" borderId="0" xfId="0" applyNumberFormat="1" applyFill="1"/>
    <xf numFmtId="165" fontId="0" fillId="50" borderId="0" xfId="0" applyNumberFormat="1" applyFill="1" applyBorder="1"/>
    <xf numFmtId="165" fontId="0" fillId="50" borderId="0" xfId="0" applyNumberFormat="1" applyFill="1"/>
    <xf numFmtId="0" fontId="0" fillId="50" borderId="0" xfId="0" applyFill="1"/>
    <xf numFmtId="0" fontId="0" fillId="4" borderId="7" xfId="0" applyFill="1" applyBorder="1"/>
    <xf numFmtId="0" fontId="0" fillId="0" borderId="0" xfId="0"/>
    <xf numFmtId="0" fontId="60" fillId="0" borderId="26" xfId="0" applyFont="1" applyBorder="1" applyAlignment="1">
      <alignment horizontal="center" vertical="top"/>
    </xf>
    <xf numFmtId="0" fontId="0" fillId="50" borderId="7" xfId="0" applyFill="1" applyBorder="1"/>
    <xf numFmtId="0" fontId="5" fillId="13" borderId="0" xfId="0" applyFont="1" applyFill="1" applyAlignment="1">
      <alignment horizontal="center" vertical="center"/>
    </xf>
    <xf numFmtId="0" fontId="5" fillId="4" borderId="0" xfId="0" applyNumberFormat="1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49" fontId="5" fillId="4" borderId="7" xfId="0" applyNumberFormat="1" applyFont="1" applyFill="1" applyBorder="1" applyAlignment="1">
      <alignment horizontal="center" vertical="center"/>
    </xf>
    <xf numFmtId="49" fontId="5" fillId="13" borderId="7" xfId="0" applyNumberFormat="1" applyFont="1" applyFill="1" applyBorder="1" applyAlignment="1">
      <alignment horizontal="center" vertical="center"/>
    </xf>
    <xf numFmtId="49" fontId="5" fillId="53" borderId="7" xfId="0" applyNumberFormat="1" applyFont="1" applyFill="1" applyBorder="1" applyAlignment="1">
      <alignment horizontal="center" vertical="center"/>
    </xf>
    <xf numFmtId="0" fontId="5" fillId="53" borderId="0" xfId="0" applyFont="1" applyFill="1" applyAlignment="1">
      <alignment horizontal="center" vertical="center"/>
    </xf>
    <xf numFmtId="0" fontId="0" fillId="4" borderId="0" xfId="0" applyNumberFormat="1" applyFill="1"/>
    <xf numFmtId="0" fontId="5" fillId="0" borderId="0" xfId="5" applyNumberFormat="1" applyFont="1" applyAlignment="1">
      <alignment horizontal="center" vertical="center"/>
    </xf>
    <xf numFmtId="0" fontId="24" fillId="54" borderId="0" xfId="7" applyFont="1" applyFill="1" applyAlignment="1">
      <alignment horizontal="center" vertical="center" wrapText="1"/>
    </xf>
    <xf numFmtId="0" fontId="24" fillId="34" borderId="0" xfId="7" applyFont="1" applyFill="1" applyAlignment="1">
      <alignment horizontal="center" vertical="center" wrapText="1"/>
    </xf>
    <xf numFmtId="0" fontId="24" fillId="44" borderId="0" xfId="7" applyFont="1" applyFill="1" applyAlignment="1">
      <alignment horizontal="center" vertical="center" wrapText="1"/>
    </xf>
    <xf numFmtId="0" fontId="24" fillId="45" borderId="0" xfId="7" applyFont="1" applyFill="1" applyAlignment="1">
      <alignment horizontal="center" vertical="center" wrapText="1"/>
    </xf>
    <xf numFmtId="0" fontId="24" fillId="49" borderId="0" xfId="7" applyFont="1" applyFill="1" applyAlignment="1">
      <alignment horizontal="center" vertical="center" wrapText="1"/>
    </xf>
    <xf numFmtId="0" fontId="8" fillId="12" borderId="0" xfId="0" applyFont="1" applyFill="1" applyAlignment="1">
      <alignment horizontal="center" vertical="center" wrapText="1"/>
    </xf>
    <xf numFmtId="0" fontId="24" fillId="54" borderId="0" xfId="7" applyFont="1" applyFill="1" applyAlignment="1">
      <alignment horizontal="center"/>
    </xf>
    <xf numFmtId="0" fontId="24" fillId="34" borderId="0" xfId="7" applyFont="1" applyFill="1" applyAlignment="1">
      <alignment horizontal="center"/>
    </xf>
    <xf numFmtId="0" fontId="24" fillId="44" borderId="0" xfId="7" applyFont="1" applyFill="1" applyAlignment="1">
      <alignment horizontal="center"/>
    </xf>
    <xf numFmtId="0" fontId="24" fillId="45" borderId="0" xfId="7" applyFont="1" applyFill="1" applyAlignment="1">
      <alignment horizontal="center"/>
    </xf>
    <xf numFmtId="0" fontId="24" fillId="49" borderId="0" xfId="7" applyFont="1" applyFill="1" applyAlignment="1">
      <alignment horizontal="center"/>
    </xf>
    <xf numFmtId="9" fontId="24" fillId="34" borderId="0" xfId="7" applyNumberFormat="1" applyFont="1" applyFill="1" applyAlignment="1">
      <alignment horizontal="center"/>
    </xf>
    <xf numFmtId="9" fontId="24" fillId="44" borderId="0" xfId="7" applyNumberFormat="1" applyFont="1" applyFill="1" applyAlignment="1">
      <alignment horizontal="center"/>
    </xf>
    <xf numFmtId="9" fontId="24" fillId="45" borderId="0" xfId="7" applyNumberFormat="1" applyFont="1" applyFill="1" applyAlignment="1">
      <alignment horizontal="center"/>
    </xf>
    <xf numFmtId="9" fontId="24" fillId="49" borderId="0" xfId="7" applyNumberFormat="1" applyFont="1" applyFill="1" applyAlignment="1">
      <alignment horizontal="center"/>
    </xf>
    <xf numFmtId="9" fontId="8" fillId="11" borderId="0" xfId="0" applyNumberFormat="1" applyFont="1" applyFill="1" applyAlignment="1">
      <alignment horizontal="center" vertical="center" wrapText="1"/>
    </xf>
    <xf numFmtId="0" fontId="24" fillId="34" borderId="0" xfId="7" applyFont="1" applyFill="1"/>
    <xf numFmtId="0" fontId="24" fillId="44" borderId="0" xfId="7" applyFont="1" applyFill="1"/>
    <xf numFmtId="0" fontId="24" fillId="45" borderId="0" xfId="7" applyFont="1" applyFill="1"/>
    <xf numFmtId="0" fontId="24" fillId="49" borderId="0" xfId="7" applyFont="1" applyFill="1"/>
    <xf numFmtId="1" fontId="8" fillId="34" borderId="0" xfId="0" applyNumberFormat="1" applyFont="1" applyFill="1" applyAlignment="1">
      <alignment horizontal="center"/>
    </xf>
    <xf numFmtId="1" fontId="24" fillId="44" borderId="0" xfId="7" applyNumberFormat="1" applyFont="1" applyFill="1" applyAlignment="1">
      <alignment horizontal="center"/>
    </xf>
    <xf numFmtId="1" fontId="24" fillId="45" borderId="0" xfId="7" applyNumberFormat="1" applyFont="1" applyFill="1" applyAlignment="1">
      <alignment horizontal="center"/>
    </xf>
    <xf numFmtId="1" fontId="24" fillId="49" borderId="0" xfId="7" applyNumberFormat="1" applyFont="1" applyFill="1" applyAlignment="1">
      <alignment horizontal="center"/>
    </xf>
    <xf numFmtId="1" fontId="24" fillId="54" borderId="0" xfId="7" applyNumberFormat="1" applyFont="1" applyFill="1" applyAlignment="1">
      <alignment horizontal="center"/>
    </xf>
    <xf numFmtId="1" fontId="24" fillId="34" borderId="0" xfId="7" applyNumberFormat="1" applyFont="1" applyFill="1" applyAlignment="1">
      <alignment horizontal="center"/>
    </xf>
    <xf numFmtId="9" fontId="24" fillId="54" borderId="0" xfId="7" applyNumberFormat="1" applyFont="1" applyFill="1" applyAlignment="1">
      <alignment horizontal="center"/>
    </xf>
    <xf numFmtId="0" fontId="8" fillId="54" borderId="0" xfId="0" applyFont="1" applyFill="1"/>
    <xf numFmtId="0" fontId="8" fillId="34" borderId="0" xfId="0" applyFont="1" applyFill="1" applyAlignment="1">
      <alignment horizontal="center" vertical="center"/>
    </xf>
    <xf numFmtId="9" fontId="0" fillId="4" borderId="0" xfId="5" applyFont="1" applyFill="1"/>
    <xf numFmtId="0" fontId="1" fillId="55" borderId="91" xfId="12" applyFont="1"/>
    <xf numFmtId="0" fontId="0" fillId="55" borderId="91" xfId="12" applyFont="1"/>
    <xf numFmtId="9" fontId="0" fillId="55" borderId="91" xfId="12" applyNumberFormat="1" applyFont="1"/>
    <xf numFmtId="0" fontId="1" fillId="0" borderId="19" xfId="0" applyFont="1" applyBorder="1"/>
    <xf numFmtId="0" fontId="8" fillId="0" borderId="21" xfId="0" applyFont="1" applyBorder="1" applyAlignment="1">
      <alignment horizontal="center" vertical="center"/>
    </xf>
    <xf numFmtId="0" fontId="24" fillId="0" borderId="21" xfId="0" applyFont="1" applyBorder="1"/>
    <xf numFmtId="0" fontId="24" fillId="0" borderId="23" xfId="0" applyFont="1" applyBorder="1"/>
    <xf numFmtId="0" fontId="0" fillId="36" borderId="7" xfId="0" applyFill="1" applyBorder="1"/>
    <xf numFmtId="0" fontId="6" fillId="3" borderId="0" xfId="0" applyFont="1" applyFill="1" applyAlignment="1">
      <alignment horizontal="center" vertical="center"/>
    </xf>
    <xf numFmtId="0" fontId="0" fillId="39" borderId="7" xfId="0" applyFill="1" applyBorder="1"/>
    <xf numFmtId="9" fontId="1" fillId="0" borderId="0" xfId="0" applyNumberFormat="1" applyFont="1"/>
    <xf numFmtId="0" fontId="5" fillId="22" borderId="0" xfId="0" applyFont="1" applyFill="1" applyAlignment="1">
      <alignment horizontal="center" vertical="center"/>
    </xf>
    <xf numFmtId="0" fontId="1" fillId="34" borderId="0" xfId="0" applyFont="1" applyFill="1"/>
    <xf numFmtId="0" fontId="0" fillId="34" borderId="0" xfId="0" applyNumberFormat="1" applyFill="1"/>
    <xf numFmtId="2" fontId="0" fillId="34" borderId="0" xfId="0" applyNumberFormat="1" applyFill="1"/>
    <xf numFmtId="165" fontId="0" fillId="34" borderId="0" xfId="0" applyNumberFormat="1" applyFill="1"/>
    <xf numFmtId="0" fontId="0" fillId="34" borderId="0" xfId="0" applyFill="1"/>
    <xf numFmtId="0" fontId="0" fillId="16" borderId="0" xfId="0" applyNumberFormat="1" applyFill="1"/>
    <xf numFmtId="166" fontId="0" fillId="34" borderId="0" xfId="5" applyNumberFormat="1" applyFont="1" applyFill="1"/>
    <xf numFmtId="1" fontId="1" fillId="34" borderId="0" xfId="0" applyNumberFormat="1" applyFont="1" applyFill="1"/>
    <xf numFmtId="0" fontId="0" fillId="34" borderId="0" xfId="0" applyFill="1" applyBorder="1"/>
    <xf numFmtId="0" fontId="0" fillId="34" borderId="10" xfId="0" applyFill="1" applyBorder="1"/>
    <xf numFmtId="0" fontId="0" fillId="4" borderId="0" xfId="0" applyFill="1" applyBorder="1"/>
    <xf numFmtId="165" fontId="0" fillId="34" borderId="0" xfId="0" applyNumberFormat="1" applyFill="1" applyBorder="1"/>
    <xf numFmtId="165" fontId="0" fillId="34" borderId="10" xfId="0" applyNumberFormat="1" applyFill="1" applyBorder="1"/>
    <xf numFmtId="165" fontId="0" fillId="16" borderId="0" xfId="0" applyNumberFormat="1" applyFill="1" applyBorder="1"/>
    <xf numFmtId="0" fontId="0" fillId="16" borderId="0" xfId="0" applyFill="1" applyBorder="1"/>
    <xf numFmtId="0" fontId="5" fillId="16" borderId="0" xfId="0" applyFont="1" applyFill="1" applyBorder="1" applyAlignment="1">
      <alignment horizontal="center" vertical="center"/>
    </xf>
    <xf numFmtId="0" fontId="5" fillId="56" borderId="0" xfId="0" applyFont="1" applyFill="1" applyBorder="1" applyAlignment="1">
      <alignment horizontal="center" vertical="center"/>
    </xf>
    <xf numFmtId="0" fontId="5" fillId="56" borderId="10" xfId="0" applyFont="1" applyFill="1" applyBorder="1" applyAlignment="1">
      <alignment horizontal="center" vertical="center"/>
    </xf>
    <xf numFmtId="0" fontId="5" fillId="4" borderId="10" xfId="0" applyNumberFormat="1" applyFont="1" applyFill="1" applyBorder="1" applyAlignment="1">
      <alignment horizontal="center" vertical="center"/>
    </xf>
    <xf numFmtId="49" fontId="5" fillId="4" borderId="0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9" fontId="17" fillId="4" borderId="0" xfId="5" applyFont="1" applyFill="1" applyBorder="1" applyAlignment="1">
      <alignment horizontal="center" vertical="center"/>
    </xf>
    <xf numFmtId="9" fontId="5" fillId="4" borderId="0" xfId="5" applyFont="1" applyFill="1" applyBorder="1" applyAlignment="1">
      <alignment horizontal="center" vertical="center"/>
    </xf>
    <xf numFmtId="0" fontId="0" fillId="57" borderId="7" xfId="0" applyFont="1" applyFill="1" applyBorder="1"/>
    <xf numFmtId="0" fontId="0" fillId="3" borderId="7" xfId="0" applyFont="1" applyFill="1" applyBorder="1"/>
    <xf numFmtId="0" fontId="0" fillId="4" borderId="9" xfId="0" applyFill="1" applyBorder="1"/>
    <xf numFmtId="0" fontId="61" fillId="0" borderId="26" xfId="0" applyFont="1" applyBorder="1" applyAlignment="1">
      <alignment horizontal="center" vertical="top"/>
    </xf>
    <xf numFmtId="0" fontId="1" fillId="0" borderId="26" xfId="0" applyFont="1" applyBorder="1" applyAlignment="1">
      <alignment horizontal="center" vertical="top"/>
    </xf>
    <xf numFmtId="0" fontId="11" fillId="26" borderId="0" xfId="0" applyFont="1" applyFill="1" applyAlignment="1">
      <alignment horizontal="center"/>
    </xf>
    <xf numFmtId="0" fontId="0" fillId="0" borderId="0" xfId="0" applyAlignment="1">
      <alignment horizont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66" fontId="5" fillId="0" borderId="10" xfId="5" applyNumberFormat="1" applyFont="1" applyFill="1" applyBorder="1" applyAlignment="1">
      <alignment horizontal="center" vertical="center"/>
    </xf>
    <xf numFmtId="10" fontId="5" fillId="0" borderId="10" xfId="5" applyNumberFormat="1" applyFont="1" applyFill="1" applyBorder="1" applyAlignment="1">
      <alignment horizontal="center" vertical="center"/>
    </xf>
    <xf numFmtId="0" fontId="8" fillId="27" borderId="0" xfId="0" applyFont="1" applyFill="1" applyAlignment="1">
      <alignment horizontal="right" vertical="center"/>
    </xf>
    <xf numFmtId="0" fontId="11" fillId="26" borderId="0" xfId="0" applyFont="1" applyFill="1" applyAlignment="1">
      <alignment horizontal="center"/>
    </xf>
    <xf numFmtId="0" fontId="24" fillId="25" borderId="0" xfId="7" applyFont="1" applyFill="1" applyAlignment="1">
      <alignment horizontal="center" vertical="center" wrapText="1"/>
    </xf>
    <xf numFmtId="0" fontId="8" fillId="25" borderId="0" xfId="0" applyFont="1" applyFill="1" applyAlignment="1">
      <alignment horizontal="center" vertical="center"/>
    </xf>
    <xf numFmtId="0" fontId="8" fillId="25" borderId="0" xfId="0" applyFont="1" applyFill="1" applyAlignment="1">
      <alignment horizontal="center" vertical="center" wrapText="1"/>
    </xf>
    <xf numFmtId="0" fontId="24" fillId="25" borderId="0" xfId="7" applyFont="1" applyFill="1" applyAlignment="1">
      <alignment horizontal="center"/>
    </xf>
    <xf numFmtId="0" fontId="11" fillId="25" borderId="0" xfId="0" applyFont="1" applyFill="1"/>
    <xf numFmtId="0" fontId="11" fillId="25" borderId="0" xfId="0" applyFont="1" applyFill="1" applyAlignment="1">
      <alignment horizontal="center" vertical="center"/>
    </xf>
    <xf numFmtId="0" fontId="8" fillId="25" borderId="0" xfId="0" applyFont="1" applyFill="1"/>
    <xf numFmtId="9" fontId="24" fillId="25" borderId="0" xfId="7" applyNumberFormat="1" applyFont="1" applyFill="1" applyAlignment="1">
      <alignment horizontal="center"/>
    </xf>
    <xf numFmtId="9" fontId="8" fillId="25" borderId="0" xfId="0" applyNumberFormat="1" applyFont="1" applyFill="1"/>
    <xf numFmtId="0" fontId="24" fillId="25" borderId="0" xfId="7" applyFont="1" applyFill="1"/>
    <xf numFmtId="1" fontId="8" fillId="25" borderId="0" xfId="0" applyNumberFormat="1" applyFont="1" applyFill="1" applyAlignment="1">
      <alignment horizontal="center" vertical="center"/>
    </xf>
    <xf numFmtId="0" fontId="8" fillId="4" borderId="0" xfId="0" applyFont="1" applyFill="1"/>
    <xf numFmtId="1" fontId="24" fillId="25" borderId="0" xfId="7" applyNumberFormat="1" applyFont="1" applyFill="1" applyAlignment="1">
      <alignment horizontal="center"/>
    </xf>
    <xf numFmtId="0" fontId="11" fillId="26" borderId="0" xfId="0" applyFont="1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0" fontId="11" fillId="43" borderId="0" xfId="0" applyFont="1" applyFill="1" applyAlignment="1">
      <alignment horizontal="center" vertical="center"/>
    </xf>
    <xf numFmtId="0" fontId="8" fillId="43" borderId="0" xfId="0" applyFont="1" applyFill="1" applyAlignment="1">
      <alignment horizontal="center"/>
    </xf>
    <xf numFmtId="1" fontId="8" fillId="43" borderId="0" xfId="0" applyNumberFormat="1" applyFont="1" applyFill="1" applyAlignment="1">
      <alignment horizontal="center"/>
    </xf>
    <xf numFmtId="0" fontId="8" fillId="43" borderId="0" xfId="0" applyFont="1" applyFill="1" applyAlignment="1">
      <alignment horizontal="center" vertical="center"/>
    </xf>
    <xf numFmtId="0" fontId="24" fillId="43" borderId="0" xfId="7" applyFont="1" applyFill="1" applyAlignment="1">
      <alignment horizontal="center" vertical="center"/>
    </xf>
    <xf numFmtId="1" fontId="24" fillId="43" borderId="0" xfId="7" applyNumberFormat="1" applyFont="1" applyFill="1" applyAlignment="1">
      <alignment horizontal="center"/>
    </xf>
    <xf numFmtId="0" fontId="8" fillId="43" borderId="0" xfId="0" applyFont="1" applyFill="1"/>
    <xf numFmtId="9" fontId="8" fillId="25" borderId="0" xfId="5" applyFont="1" applyFill="1"/>
    <xf numFmtId="9" fontId="8" fillId="0" borderId="0" xfId="0" applyNumberFormat="1" applyFont="1"/>
    <xf numFmtId="0" fontId="11" fillId="48" borderId="0" xfId="0" applyFont="1" applyFill="1" applyAlignment="1">
      <alignment horizontal="center" vertical="center"/>
    </xf>
    <xf numFmtId="0" fontId="8" fillId="48" borderId="0" xfId="0" applyFont="1" applyFill="1"/>
    <xf numFmtId="0" fontId="8" fillId="48" borderId="0" xfId="0" applyFont="1" applyFill="1" applyAlignment="1">
      <alignment horizontal="center"/>
    </xf>
    <xf numFmtId="1" fontId="8" fillId="48" borderId="0" xfId="0" applyNumberFormat="1" applyFont="1" applyFill="1" applyAlignment="1">
      <alignment horizontal="center"/>
    </xf>
    <xf numFmtId="0" fontId="8" fillId="48" borderId="0" xfId="0" applyFont="1" applyFill="1" applyAlignment="1">
      <alignment horizontal="center" vertical="center"/>
    </xf>
    <xf numFmtId="0" fontId="24" fillId="48" borderId="0" xfId="7" applyFont="1" applyFill="1" applyAlignment="1">
      <alignment horizontal="center" vertical="center"/>
    </xf>
    <xf numFmtId="1" fontId="24" fillId="48" borderId="0" xfId="7" applyNumberFormat="1" applyFont="1" applyFill="1" applyAlignment="1">
      <alignment horizontal="center"/>
    </xf>
    <xf numFmtId="0" fontId="24" fillId="48" borderId="0" xfId="7" applyFont="1" applyFill="1" applyAlignment="1">
      <alignment horizontal="center"/>
    </xf>
    <xf numFmtId="1" fontId="63" fillId="25" borderId="92" xfId="0" applyNumberFormat="1" applyFont="1" applyFill="1" applyBorder="1" applyAlignment="1">
      <alignment horizontal="center"/>
    </xf>
    <xf numFmtId="1" fontId="63" fillId="25" borderId="0" xfId="0" applyNumberFormat="1" applyFont="1" applyFill="1" applyAlignment="1">
      <alignment horizontal="center"/>
    </xf>
    <xf numFmtId="0" fontId="11" fillId="48" borderId="0" xfId="0" applyFont="1" applyFill="1"/>
    <xf numFmtId="0" fontId="64" fillId="18" borderId="0" xfId="0" applyFont="1" applyFill="1"/>
    <xf numFmtId="0" fontId="64" fillId="18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center"/>
    </xf>
    <xf numFmtId="1" fontId="8" fillId="18" borderId="0" xfId="0" applyNumberFormat="1" applyFont="1" applyFill="1" applyAlignment="1">
      <alignment horizontal="center"/>
    </xf>
    <xf numFmtId="0" fontId="8" fillId="18" borderId="0" xfId="0" applyFont="1" applyFill="1" applyAlignment="1">
      <alignment horizontal="center" vertical="center"/>
    </xf>
    <xf numFmtId="0" fontId="24" fillId="18" borderId="0" xfId="7" applyFont="1" applyFill="1" applyAlignment="1">
      <alignment horizontal="center" vertical="center"/>
    </xf>
    <xf numFmtId="1" fontId="24" fillId="18" borderId="0" xfId="7" applyNumberFormat="1" applyFont="1" applyFill="1" applyAlignment="1">
      <alignment horizontal="center"/>
    </xf>
    <xf numFmtId="0" fontId="24" fillId="18" borderId="0" xfId="7" applyFont="1" applyFill="1" applyAlignment="1">
      <alignment horizontal="center"/>
    </xf>
    <xf numFmtId="0" fontId="8" fillId="20" borderId="0" xfId="0" applyFont="1" applyFill="1"/>
    <xf numFmtId="0" fontId="8" fillId="18" borderId="0" xfId="0" applyFont="1" applyFill="1"/>
    <xf numFmtId="0" fontId="64" fillId="18" borderId="0" xfId="0" applyFont="1" applyFill="1" applyAlignment="1">
      <alignment horizontal="center"/>
    </xf>
    <xf numFmtId="1" fontId="64" fillId="18" borderId="0" xfId="0" applyNumberFormat="1" applyFont="1" applyFill="1" applyAlignment="1">
      <alignment horizontal="center"/>
    </xf>
    <xf numFmtId="0" fontId="62" fillId="18" borderId="0" xfId="7" applyFont="1" applyFill="1" applyAlignment="1">
      <alignment horizontal="center" vertical="center"/>
    </xf>
    <xf numFmtId="1" fontId="62" fillId="18" borderId="0" xfId="7" applyNumberFormat="1" applyFont="1" applyFill="1" applyAlignment="1">
      <alignment horizontal="center"/>
    </xf>
    <xf numFmtId="0" fontId="62" fillId="18" borderId="0" xfId="7" applyFont="1" applyFill="1" applyAlignment="1">
      <alignment horizontal="center"/>
    </xf>
  </cellXfs>
  <cellStyles count="13">
    <cellStyle name="20 % - Akzent2" xfId="10" builtinId="34"/>
    <cellStyle name="Formel" xfId="1" xr:uid="{00000000-0005-0000-0000-000001000000}"/>
    <cellStyle name="Formel 2" xfId="3" xr:uid="{00000000-0005-0000-0000-000002000000}"/>
    <cellStyle name="Gut" xfId="7" builtinId="26"/>
    <cellStyle name="Komma" xfId="11" builtinId="3"/>
    <cellStyle name="Neutral" xfId="9" builtinId="28"/>
    <cellStyle name="Normal 2" xfId="4" xr:uid="{00000000-0005-0000-0000-000006000000}"/>
    <cellStyle name="Notiz" xfId="12" builtinId="10"/>
    <cellStyle name="Prozent" xfId="5" builtinId="5"/>
    <cellStyle name="Schlecht" xfId="8" builtinId="27"/>
    <cellStyle name="Standard" xfId="0" builtinId="0"/>
    <cellStyle name="Standard 2" xfId="2" xr:uid="{00000000-0005-0000-0000-00000A000000}"/>
    <cellStyle name="Standard 2 2" xfId="6" xr:uid="{00000000-0005-0000-0000-00000B000000}"/>
  </cellStyles>
  <dxfs count="161">
    <dxf>
      <fill>
        <patternFill>
          <bgColor rgb="FF00B0F0"/>
        </patternFill>
      </fill>
    </dxf>
    <dxf>
      <fill>
        <patternFill>
          <bgColor rgb="FFEB8B75"/>
        </patternFill>
      </fill>
    </dxf>
    <dxf>
      <fill>
        <patternFill>
          <bgColor theme="0" tint="-0.24994659260841701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theme="0" tint="-0.24994659260841701"/>
        </patternFill>
      </fill>
    </dxf>
    <dxf>
      <fill>
        <patternFill>
          <bgColor rgb="FFEB8B75"/>
        </patternFill>
      </fill>
    </dxf>
    <dxf>
      <fill>
        <patternFill>
          <bgColor rgb="FFEB8B75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fgColor auto="1"/>
          <bgColor rgb="FFCCCAA8"/>
        </patternFill>
      </fill>
    </dxf>
    <dxf>
      <fill>
        <patternFill patternType="solid">
          <fgColor auto="1"/>
          <bgColor rgb="FFCCCAA8"/>
        </patternFill>
      </fill>
    </dxf>
    <dxf>
      <fill>
        <patternFill patternType="solid">
          <fgColor auto="1"/>
          <bgColor rgb="FFCCCAA8"/>
        </patternFill>
      </fill>
    </dxf>
    <dxf>
      <fill>
        <patternFill patternType="solid">
          <fgColor auto="1"/>
          <bgColor rgb="FFCCCAA8"/>
        </patternFill>
      </fill>
    </dxf>
    <dxf>
      <fill>
        <patternFill patternType="solid">
          <fgColor auto="1"/>
          <bgColor rgb="FFCCCAA8"/>
        </patternFill>
      </fill>
    </dxf>
    <dxf>
      <fill>
        <patternFill patternType="solid">
          <fgColor auto="1"/>
          <bgColor rgb="FFCCCAA8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EB8B75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EB8B75"/>
        </patternFill>
      </fill>
    </dxf>
    <dxf>
      <fill>
        <patternFill patternType="solid">
          <fgColor auto="1"/>
          <bgColor rgb="FFCCCAA8"/>
        </patternFill>
      </fill>
    </dxf>
    <dxf>
      <fill>
        <patternFill patternType="solid">
          <fgColor auto="1"/>
          <bgColor rgb="FFCCCAA8"/>
        </patternFill>
      </fill>
    </dxf>
    <dxf>
      <fill>
        <patternFill patternType="solid">
          <fgColor auto="1"/>
          <bgColor rgb="FFCCCAA8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B050"/>
      <color rgb="FF023D6B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2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5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5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5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11984723203962"/>
          <c:y val="0.12876054749354679"/>
          <c:w val="0.65528490567071596"/>
          <c:h val="0.71414481247695283"/>
        </c:manualLayout>
      </c:layout>
      <c:barChart>
        <c:barDir val="col"/>
        <c:grouping val="stacked"/>
        <c:varyColors val="0"/>
        <c:ser>
          <c:idx val="17"/>
          <c:order val="0"/>
          <c:tx>
            <c:strRef>
              <c:f>Primärenergiebedarf!$B$14</c:f>
              <c:strCache>
                <c:ptCount val="1"/>
                <c:pt idx="0">
                  <c:v>NE-Mineral oil</c:v>
                </c:pt>
              </c:strCache>
            </c:strRef>
          </c:tx>
          <c:spPr>
            <a:pattFill prst="dkUpDiag">
              <a:fgClr>
                <a:schemeClr val="tx1"/>
              </a:fgClr>
              <a:bgClr>
                <a:schemeClr val="bg1"/>
              </a:bgClr>
            </a:pattFill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Primärenergiebedarf!$E$14:$K$14</c:f>
              <c:numCache>
                <c:formatCode>0.00</c:formatCode>
                <c:ptCount val="7"/>
                <c:pt idx="0">
                  <c:v>106388.99681788957</c:v>
                </c:pt>
                <c:pt idx="1">
                  <c:v>117264.22362450516</c:v>
                </c:pt>
                <c:pt idx="2">
                  <c:v>112956.3728679303</c:v>
                </c:pt>
                <c:pt idx="3">
                  <c:v>99466.405709215673</c:v>
                </c:pt>
                <c:pt idx="4">
                  <c:v>33023.758035273691</c:v>
                </c:pt>
                <c:pt idx="5">
                  <c:v>7.6724786859521765E-4</c:v>
                </c:pt>
                <c:pt idx="6">
                  <c:v>90531.438417980578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1-4778-A324-6BF4455899E3}"/>
            </c:ext>
          </c:extLst>
        </c:ser>
        <c:ser>
          <c:idx val="4"/>
          <c:order val="1"/>
          <c:tx>
            <c:strRef>
              <c:f>Primärenergiebedarf!$B$15</c:f>
              <c:strCache>
                <c:ptCount val="1"/>
                <c:pt idx="0">
                  <c:v>Mineral oil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Primärenergiebedarf!$E$15:$K$15</c:f>
              <c:numCache>
                <c:formatCode>0.00</c:formatCode>
                <c:ptCount val="7"/>
                <c:pt idx="0">
                  <c:v>-9388.9968178895651</c:v>
                </c:pt>
                <c:pt idx="1">
                  <c:v>-20264.223624505161</c:v>
                </c:pt>
                <c:pt idx="2">
                  <c:v>-15956.372867930302</c:v>
                </c:pt>
                <c:pt idx="3">
                  <c:v>-34799.739042549001</c:v>
                </c:pt>
                <c:pt idx="4">
                  <c:v>-690.42470194035559</c:v>
                </c:pt>
                <c:pt idx="5">
                  <c:v>-7.6724786859521765E-4</c:v>
                </c:pt>
                <c:pt idx="6">
                  <c:v>24250.821870127125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D7-4484-8546-F945D797A142}"/>
            </c:ext>
          </c:extLst>
        </c:ser>
        <c:ser>
          <c:idx val="1"/>
          <c:order val="2"/>
          <c:tx>
            <c:strRef>
              <c:f>Primärenergiebedarf!$B$5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Primärenergiebedarf!$E$5:$K$5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0.10843133015339571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D7-4484-8546-F945D797A142}"/>
            </c:ext>
          </c:extLst>
        </c:ser>
        <c:ser>
          <c:idx val="0"/>
          <c:order val="3"/>
          <c:tx>
            <c:strRef>
              <c:f>Primärenergiebedarf!$B$4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Primärenergiebedarf!$E$4:$K$4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4602.4859722529427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7-4484-8546-F945D797A142}"/>
            </c:ext>
          </c:extLst>
        </c:ser>
        <c:ser>
          <c:idx val="2"/>
          <c:order val="4"/>
          <c:tx>
            <c:strRef>
              <c:f>Primärenergiebedarf!$B$6</c:f>
              <c:strCache>
                <c:ptCount val="1"/>
                <c:pt idx="0">
                  <c:v>Nuclear energy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Primärenergiebedarf!$E$6:$K$6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D7-4484-8546-F945D797A142}"/>
            </c:ext>
          </c:extLst>
        </c:ser>
        <c:ser>
          <c:idx val="18"/>
          <c:order val="5"/>
          <c:tx>
            <c:strRef>
              <c:f>Primärenergiebedarf!$B$9</c:f>
              <c:strCache>
                <c:ptCount val="1"/>
                <c:pt idx="0">
                  <c:v>NE-Natural gas</c:v>
                </c:pt>
              </c:strCache>
            </c:strRef>
          </c:tx>
          <c:spPr>
            <a:pattFill prst="dkUpDiag">
              <a:fgClr>
                <a:srgbClr val="FFC000"/>
              </a:fgClr>
              <a:bgClr>
                <a:schemeClr val="bg1"/>
              </a:bgClr>
            </a:pattFill>
          </c:spPr>
          <c:invertIfNegative val="0"/>
          <c:val>
            <c:numRef>
              <c:f>Primärenergiebedarf!$E$9:$K$9</c:f>
              <c:numCache>
                <c:formatCode>General</c:formatCode>
                <c:ptCount val="7"/>
                <c:pt idx="0">
                  <c:v>19803.66776795328</c:v>
                </c:pt>
                <c:pt idx="1">
                  <c:v>21568.72636301296</c:v>
                </c:pt>
                <c:pt idx="2">
                  <c:v>41835.651712141582</c:v>
                </c:pt>
                <c:pt idx="3">
                  <c:v>75323.983151658715</c:v>
                </c:pt>
                <c:pt idx="4">
                  <c:v>128551.2845284192</c:v>
                </c:pt>
                <c:pt idx="5">
                  <c:v>17160.268269532378</c:v>
                </c:pt>
                <c:pt idx="6">
                  <c:v>7910.4042157244039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5-4A81-8786-DB056778F7CD}"/>
            </c:ext>
          </c:extLst>
        </c:ser>
        <c:ser>
          <c:idx val="3"/>
          <c:order val="6"/>
          <c:tx>
            <c:strRef>
              <c:f>Primärenergiebedarf!$B$8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Primärenergiebedarf!$E$8:$K$8</c:f>
              <c:numCache>
                <c:formatCode>General</c:formatCode>
                <c:ptCount val="7"/>
                <c:pt idx="0">
                  <c:v>-19803.66776795328</c:v>
                </c:pt>
                <c:pt idx="1">
                  <c:v>-21568.72636301296</c:v>
                </c:pt>
                <c:pt idx="2">
                  <c:v>-41835.651712141582</c:v>
                </c:pt>
                <c:pt idx="3">
                  <c:v>-75323.983151658715</c:v>
                </c:pt>
                <c:pt idx="4">
                  <c:v>-128551.2845284192</c:v>
                </c:pt>
                <c:pt idx="5">
                  <c:v>-17160.268269532378</c:v>
                </c:pt>
                <c:pt idx="6">
                  <c:v>-9.7898680878643063E-2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D7-4484-8546-F945D797A142}"/>
            </c:ext>
          </c:extLst>
        </c:ser>
        <c:ser>
          <c:idx val="5"/>
          <c:order val="7"/>
          <c:tx>
            <c:strRef>
              <c:f>Primärenergiebedarf!$B$17</c:f>
              <c:strCache>
                <c:ptCount val="1"/>
                <c:pt idx="0">
                  <c:v>Hydro power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Primärenergiebedarf!$E$17:$K$17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24026.86459034554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D7-4484-8546-F945D797A142}"/>
            </c:ext>
          </c:extLst>
        </c:ser>
        <c:ser>
          <c:idx val="11"/>
          <c:order val="8"/>
          <c:tx>
            <c:strRef>
              <c:f>Primärenergiebedarf!$B$24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Primärenergiebedarf!$E$24:$K$24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48815.975999999988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D7-4484-8546-F945D797A142}"/>
            </c:ext>
          </c:extLst>
        </c:ser>
        <c:ser>
          <c:idx val="6"/>
          <c:order val="9"/>
          <c:tx>
            <c:strRef>
              <c:f>Primärenergiebedarf!$B$18</c:f>
              <c:strCache>
                <c:ptCount val="1"/>
                <c:pt idx="0">
                  <c:v>solid 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Primärenergiebedarf!$E$18:$K$18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345825.33439392172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D7-4484-8546-F945D797A142}"/>
            </c:ext>
          </c:extLst>
        </c:ser>
        <c:ser>
          <c:idx val="7"/>
          <c:order val="10"/>
          <c:tx>
            <c:strRef>
              <c:f>Primärenergiebedarf!$B$19</c:f>
              <c:strCache>
                <c:ptCount val="1"/>
                <c:pt idx="0">
                  <c:v>gas. 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Primärenergiebedarf!$E$19:$K$19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77327.589208268007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D7-4484-8546-F945D797A142}"/>
            </c:ext>
          </c:extLst>
        </c:ser>
        <c:ser>
          <c:idx val="8"/>
          <c:order val="11"/>
          <c:tx>
            <c:strRef>
              <c:f>Primärenergiebedarf!$B$20</c:f>
              <c:strCache>
                <c:ptCount val="1"/>
                <c:pt idx="0">
                  <c:v>liq. Biomass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Primärenergiebedarf!$E$20:$K$20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0.0">
                  <c:v>5186.8145527342595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D7-4484-8546-F945D797A142}"/>
            </c:ext>
          </c:extLst>
        </c:ser>
        <c:ser>
          <c:idx val="10"/>
          <c:order val="12"/>
          <c:tx>
            <c:strRef>
              <c:f>Primärenergiebedarf!$B$23</c:f>
              <c:strCache>
                <c:ptCount val="1"/>
                <c:pt idx="0">
                  <c:v>Photovoltaics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Primärenergiebedarf!$E$23:$K$23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443500.25462811888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D7-4484-8546-F945D797A142}"/>
            </c:ext>
          </c:extLst>
        </c:ser>
        <c:ser>
          <c:idx val="12"/>
          <c:order val="13"/>
          <c:tx>
            <c:strRef>
              <c:f>Primärenergiebedarf!$B$25</c:f>
              <c:strCache>
                <c:ptCount val="1"/>
                <c:pt idx="0">
                  <c:v>Solarthermics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Primärenergiebedarf!$E$25:$K$25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2235.3808780035779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D7-4484-8546-F945D797A142}"/>
            </c:ext>
          </c:extLst>
        </c:ser>
        <c:ser>
          <c:idx val="9"/>
          <c:order val="14"/>
          <c:tx>
            <c:strRef>
              <c:f>Primärenergiebedarf!$B$21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Primärenergiebedarf!$E$21:$K$21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0</c:v>
                </c:pt>
                <c:pt idx="6" formatCode="0.0">
                  <c:v>227047.36262054922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D7-4484-8546-F945D797A142}"/>
            </c:ext>
          </c:extLst>
        </c:ser>
        <c:ser>
          <c:idx val="13"/>
          <c:order val="15"/>
          <c:tx>
            <c:strRef>
              <c:f>Primärenergiebedarf!$B$22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Primärenergiebedarf!$E$22:$K$22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243494.29528204963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3-4AF7-BC72-33F94BA07FF0}"/>
            </c:ext>
          </c:extLst>
        </c:ser>
        <c:ser>
          <c:idx val="14"/>
          <c:order val="16"/>
          <c:tx>
            <c:strRef>
              <c:f>Primärenergiebedarf!$B$26</c:f>
              <c:strCache>
                <c:ptCount val="1"/>
                <c:pt idx="0">
                  <c:v>El.-Import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accent4"/>
              </a:bgClr>
            </a:pattFill>
            <a:ln w="25400">
              <a:noFill/>
            </a:ln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Primärenergiebedarf!$E$26:$K$26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74540.537776986035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1-4451-97A8-7AAD3D5FD2F6}"/>
            </c:ext>
          </c:extLst>
        </c:ser>
        <c:ser>
          <c:idx val="15"/>
          <c:order val="17"/>
          <c:tx>
            <c:strRef>
              <c:f>Primärenergiebedarf!$B$27</c:f>
              <c:strCache>
                <c:ptCount val="1"/>
                <c:pt idx="0">
                  <c:v>PtL-Import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 w="25400">
              <a:noFill/>
            </a:ln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Primärenergiebedarf!$E$27:$K$27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87463.256614198064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1-4451-97A8-7AAD3D5FD2F6}"/>
            </c:ext>
          </c:extLst>
        </c:ser>
        <c:ser>
          <c:idx val="16"/>
          <c:order val="18"/>
          <c:tx>
            <c:strRef>
              <c:f>Primärenergiebedarf!$B$28</c:f>
              <c:strCache>
                <c:ptCount val="1"/>
                <c:pt idx="0">
                  <c:v>H2-Import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cat>
            <c:strRef>
              <c:f>Primärenergiebedarf!$E$3:$K$3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Primärenergiebedarf!$E$28:$K$28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429159.85315177112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1-4451-97A8-7AAD3D5FD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278016"/>
        <c:axId val="330965568"/>
      </c:barChart>
      <c:catAx>
        <c:axId val="32027801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30965568"/>
        <c:crosses val="autoZero"/>
        <c:auto val="1"/>
        <c:lblAlgn val="ctr"/>
        <c:lblOffset val="100"/>
        <c:noMultiLvlLbl val="0"/>
      </c:catAx>
      <c:valAx>
        <c:axId val="3309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Primary energy use in TWh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0278016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9995002334349929"/>
          <c:y val="4.0621678488536065E-3"/>
          <c:w val="0.11908043275212717"/>
          <c:h val="0.971034971979854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Allocation of Primary Energy 2020</a:t>
            </a:r>
          </a:p>
        </c:rich>
      </c:tx>
      <c:layout>
        <c:manualLayout>
          <c:xMode val="edge"/>
          <c:yMode val="edge"/>
          <c:x val="0.28730876125146931"/>
          <c:y val="1.97044334975369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007715043036183"/>
          <c:y val="0.17397385671618634"/>
          <c:w val="0.36622969899718816"/>
          <c:h val="0.7373561925448973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D8-4F7E-BA01-DEBD374C9590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D8-4F7E-BA01-DEBD374C9590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D8-4F7E-BA01-DEBD374C9590}"/>
              </c:ext>
            </c:extLst>
          </c:dPt>
          <c:dPt>
            <c:idx val="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ED8-4F7E-BA01-DEBD374C9590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ED8-4F7E-BA01-DEBD374C9590}"/>
              </c:ext>
            </c:extLst>
          </c:dPt>
          <c:dPt>
            <c:idx val="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ED8-4F7E-BA01-DEBD374C9590}"/>
              </c:ext>
            </c:extLst>
          </c:dPt>
          <c:dPt>
            <c:idx val="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ED8-4F7E-BA01-DEBD374C9590}"/>
              </c:ext>
            </c:extLst>
          </c:dPt>
          <c:dPt>
            <c:idx val="7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ED8-4F7E-BA01-DEBD374C9590}"/>
              </c:ext>
            </c:extLst>
          </c:dPt>
          <c:dPt>
            <c:idx val="8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ED8-4F7E-BA01-DEBD374C9590}"/>
              </c:ext>
            </c:extLst>
          </c:dPt>
          <c:dPt>
            <c:idx val="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ED8-4F7E-BA01-DEBD374C9590}"/>
              </c:ext>
            </c:extLst>
          </c:dPt>
          <c:dPt>
            <c:idx val="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ED8-4F7E-BA01-DEBD374C9590}"/>
              </c:ext>
            </c:extLst>
          </c:dPt>
          <c:dPt>
            <c:idx val="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ED8-4F7E-BA01-DEBD374C9590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ED8-4F7E-BA01-DEBD374C9590}"/>
              </c:ext>
            </c:extLst>
          </c:dPt>
          <c:dPt>
            <c:idx val="1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ED8-4F7E-BA01-DEBD374C9590}"/>
              </c:ext>
            </c:extLst>
          </c:dPt>
          <c:cat>
            <c:strRef>
              <c:f>Primärenergiebedarf!$I$42:$I$55</c:f>
              <c:strCache>
                <c:ptCount val="14"/>
                <c:pt idx="0">
                  <c:v>Coal</c:v>
                </c:pt>
                <c:pt idx="1">
                  <c:v>Lignite</c:v>
                </c:pt>
                <c:pt idx="2">
                  <c:v>Nuclear</c:v>
                </c:pt>
                <c:pt idx="3">
                  <c:v>Natural Gas</c:v>
                </c:pt>
                <c:pt idx="4">
                  <c:v>Oil</c:v>
                </c:pt>
                <c:pt idx="5">
                  <c:v>Hydro Energy</c:v>
                </c:pt>
                <c:pt idx="6">
                  <c:v>solid. Biomass</c:v>
                </c:pt>
                <c:pt idx="7">
                  <c:v>gas. Biomass</c:v>
                </c:pt>
                <c:pt idx="8">
                  <c:v>liqu. Biomass</c:v>
                </c:pt>
                <c:pt idx="9">
                  <c:v>Onshore</c:v>
                </c:pt>
                <c:pt idx="10">
                  <c:v>Offshore</c:v>
                </c:pt>
                <c:pt idx="11">
                  <c:v>PV</c:v>
                </c:pt>
                <c:pt idx="12">
                  <c:v>Waste</c:v>
                </c:pt>
                <c:pt idx="13">
                  <c:v>Solar Heat</c:v>
                </c:pt>
              </c:strCache>
            </c:strRef>
          </c:cat>
          <c:val>
            <c:numRef>
              <c:f>Primärenergiebedarf!$J$42:$J$55</c:f>
              <c:numCache>
                <c:formatCode>0%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D8-4F7E-BA01-DEBD374C9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34555715746796"/>
          <c:y val="0.15568762995534649"/>
          <c:w val="0.25504565450445454"/>
          <c:h val="0.8246081058049562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 rtl="0">
              <a:defRPr sz="1600"/>
            </a:pPr>
            <a:r>
              <a:rPr lang="de-DE" sz="1600"/>
              <a:t>Allocation of Primary Energy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9561958050372644"/>
          <c:y val="0.1849283552474601"/>
          <c:w val="0.44830253668148223"/>
          <c:h val="0.7486008866116616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FE-4FC9-AB61-73E4DCBB64A3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FE-4FC9-AB61-73E4DCBB64A3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FE-4FC9-AB61-73E4DCBB64A3}"/>
              </c:ext>
            </c:extLst>
          </c:dPt>
          <c:dPt>
            <c:idx val="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4FE-4FC9-AB61-73E4DCBB64A3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4FE-4FC9-AB61-73E4DCBB64A3}"/>
              </c:ext>
            </c:extLst>
          </c:dPt>
          <c:dPt>
            <c:idx val="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4FE-4FC9-AB61-73E4DCBB64A3}"/>
              </c:ext>
            </c:extLst>
          </c:dPt>
          <c:dPt>
            <c:idx val="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4FE-4FC9-AB61-73E4DCBB64A3}"/>
              </c:ext>
            </c:extLst>
          </c:dPt>
          <c:dPt>
            <c:idx val="7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4FE-4FC9-AB61-73E4DCBB64A3}"/>
              </c:ext>
            </c:extLst>
          </c:dPt>
          <c:dPt>
            <c:idx val="8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4FE-4FC9-AB61-73E4DCBB64A3}"/>
              </c:ext>
            </c:extLst>
          </c:dPt>
          <c:dPt>
            <c:idx val="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4FE-4FC9-AB61-73E4DCBB64A3}"/>
              </c:ext>
            </c:extLst>
          </c:dPt>
          <c:dPt>
            <c:idx val="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4FE-4FC9-AB61-73E4DCBB64A3}"/>
              </c:ext>
            </c:extLst>
          </c:dPt>
          <c:dPt>
            <c:idx val="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4FE-4FC9-AB61-73E4DCBB64A3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14FE-4FC9-AB61-73E4DCBB64A3}"/>
              </c:ext>
            </c:extLst>
          </c:dPt>
          <c:dPt>
            <c:idx val="1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14FE-4FC9-AB61-73E4DCBB64A3}"/>
              </c:ext>
            </c:extLst>
          </c:dPt>
          <c:dPt>
            <c:idx val="14"/>
            <c:bubble3D val="0"/>
            <c:spPr>
              <a:pattFill prst="ltUpDiag">
                <a:fgClr>
                  <a:schemeClr val="bg1"/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1D-F880-4A93-BCF3-BE022679AC19}"/>
              </c:ext>
            </c:extLst>
          </c:dPt>
          <c:dPt>
            <c:idx val="15"/>
            <c:bubble3D val="0"/>
            <c:spPr>
              <a:pattFill prst="ltUpDiag">
                <a:fgClr>
                  <a:schemeClr val="bg1"/>
                </a:fgClr>
                <a:bgClr>
                  <a:srgbClr val="C00000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1F-F880-4A93-BCF3-BE022679AC19}"/>
              </c:ext>
            </c:extLst>
          </c:dPt>
          <c:dPt>
            <c:idx val="16"/>
            <c:bubble3D val="0"/>
            <c:spPr>
              <a:pattFill prst="ltUpDiag">
                <a:fgClr>
                  <a:schemeClr val="bg1"/>
                </a:fgClr>
                <a:bgClr>
                  <a:schemeClr val="accent2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21-F880-4A93-BCF3-BE022679AC19}"/>
              </c:ext>
            </c:extLst>
          </c:dPt>
          <c:cat>
            <c:strRef>
              <c:f>Primärenergiebedarf!$I$42:$I$58</c:f>
              <c:strCache>
                <c:ptCount val="17"/>
                <c:pt idx="0">
                  <c:v>Coal</c:v>
                </c:pt>
                <c:pt idx="1">
                  <c:v>Lignite</c:v>
                </c:pt>
                <c:pt idx="2">
                  <c:v>Nuclear</c:v>
                </c:pt>
                <c:pt idx="3">
                  <c:v>Natural Gas</c:v>
                </c:pt>
                <c:pt idx="4">
                  <c:v>Oil</c:v>
                </c:pt>
                <c:pt idx="5">
                  <c:v>Hydro Energy</c:v>
                </c:pt>
                <c:pt idx="6">
                  <c:v>solid. Biomass</c:v>
                </c:pt>
                <c:pt idx="7">
                  <c:v>gas. Biomass</c:v>
                </c:pt>
                <c:pt idx="8">
                  <c:v>liqu. Biomass</c:v>
                </c:pt>
                <c:pt idx="9">
                  <c:v>Onshore</c:v>
                </c:pt>
                <c:pt idx="10">
                  <c:v>Offshore</c:v>
                </c:pt>
                <c:pt idx="11">
                  <c:v>PV</c:v>
                </c:pt>
                <c:pt idx="12">
                  <c:v>Waste</c:v>
                </c:pt>
                <c:pt idx="13">
                  <c:v>Solar Heat</c:v>
                </c:pt>
                <c:pt idx="14">
                  <c:v>El. Import</c:v>
                </c:pt>
                <c:pt idx="15">
                  <c:v>PtL-Import</c:v>
                </c:pt>
                <c:pt idx="16">
                  <c:v>H2-Import</c:v>
                </c:pt>
              </c:strCache>
            </c:strRef>
          </c:cat>
          <c:val>
            <c:numRef>
              <c:f>Primärenergiebedarf!$K$42:$K$58</c:f>
              <c:numCache>
                <c:formatCode>0%</c:formatCode>
                <c:ptCount val="17"/>
                <c:pt idx="0">
                  <c:v>2.1548039322978065E-3</c:v>
                </c:pt>
                <c:pt idx="1">
                  <c:v>5.076566403622229E-8</c:v>
                </c:pt>
                <c:pt idx="2">
                  <c:v>0</c:v>
                </c:pt>
                <c:pt idx="3">
                  <c:v>3.7034679215549827E-3</c:v>
                </c:pt>
                <c:pt idx="4">
                  <c:v>1.1354978258419648E-2</c:v>
                </c:pt>
                <c:pt idx="5">
                  <c:v>1.1248960368850452E-2</c:v>
                </c:pt>
                <c:pt idx="6">
                  <c:v>0.16190941046485227</c:v>
                </c:pt>
                <c:pt idx="7">
                  <c:v>3.6203433167558592E-2</c:v>
                </c:pt>
                <c:pt idx="8">
                  <c:v>2.4283764169432719E-3</c:v>
                </c:pt>
                <c:pt idx="9">
                  <c:v>0.10629962866635713</c:v>
                </c:pt>
                <c:pt idx="10">
                  <c:v>0.11399979665967538</c:v>
                </c:pt>
                <c:pt idx="11">
                  <c:v>0.20763911034365415</c:v>
                </c:pt>
                <c:pt idx="12">
                  <c:v>2.2854791449209957E-2</c:v>
                </c:pt>
                <c:pt idx="13">
                  <c:v>1.0465664719337708E-3</c:v>
                </c:pt>
                <c:pt idx="14">
                  <c:v>3.4898584131657487E-2</c:v>
                </c:pt>
                <c:pt idx="15">
                  <c:v>4.094877646994563E-2</c:v>
                </c:pt>
                <c:pt idx="16">
                  <c:v>0.20092518363572823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4FE-4FC9-AB61-73E4DCBB6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39404858572463"/>
          <c:y val="9.1423978701226941E-2"/>
          <c:w val="0.28999076757383485"/>
          <c:h val="0.8862474726544348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/>
              <a:t>Development of Renewable Energy</a:t>
            </a:r>
          </a:p>
        </c:rich>
      </c:tx>
      <c:layout>
        <c:manualLayout>
          <c:xMode val="edge"/>
          <c:yMode val="edge"/>
          <c:x val="0.29487412664966173"/>
          <c:y val="1.91846522781774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888417699758984"/>
          <c:y val="0.14625125096772976"/>
          <c:w val="0.8130978098259235"/>
          <c:h val="0.476049270819564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Primärenergiebedarf!$AA$3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Primärenergiebedarf!$Z$4:$Z$16</c:f>
              <c:strCache>
                <c:ptCount val="13"/>
                <c:pt idx="0">
                  <c:v>Wood</c:v>
                </c:pt>
                <c:pt idx="1">
                  <c:v>Straw</c:v>
                </c:pt>
                <c:pt idx="2">
                  <c:v>Biogas</c:v>
                </c:pt>
                <c:pt idx="3">
                  <c:v>Ethanol</c:v>
                </c:pt>
                <c:pt idx="4">
                  <c:v>Biodiesel</c:v>
                </c:pt>
                <c:pt idx="5">
                  <c:v>Onshore-Wind</c:v>
                </c:pt>
                <c:pt idx="7">
                  <c:v>Offshore-Wind</c:v>
                </c:pt>
                <c:pt idx="8">
                  <c:v>OpenField-PV</c:v>
                </c:pt>
                <c:pt idx="9">
                  <c:v>RoofTop-PV</c:v>
                </c:pt>
                <c:pt idx="10">
                  <c:v>Waste</c:v>
                </c:pt>
                <c:pt idx="11">
                  <c:v>Solar Heat</c:v>
                </c:pt>
                <c:pt idx="12">
                  <c:v>Hydro Energy</c:v>
                </c:pt>
              </c:strCache>
            </c:strRef>
          </c:cat>
          <c:val>
            <c:numRef>
              <c:f>Primärenergiebedarf!$AA$4:$AA$16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5-4F2E-BAC4-443F2B790466}"/>
            </c:ext>
          </c:extLst>
        </c:ser>
        <c:ser>
          <c:idx val="1"/>
          <c:order val="1"/>
          <c:tx>
            <c:strRef>
              <c:f>Primärenergiebedarf!$AB$3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Primärenergiebedarf!$Z$4:$Z$16</c:f>
              <c:strCache>
                <c:ptCount val="13"/>
                <c:pt idx="0">
                  <c:v>Wood</c:v>
                </c:pt>
                <c:pt idx="1">
                  <c:v>Straw</c:v>
                </c:pt>
                <c:pt idx="2">
                  <c:v>Biogas</c:v>
                </c:pt>
                <c:pt idx="3">
                  <c:v>Ethanol</c:v>
                </c:pt>
                <c:pt idx="4">
                  <c:v>Biodiesel</c:v>
                </c:pt>
                <c:pt idx="5">
                  <c:v>Onshore-Wind</c:v>
                </c:pt>
                <c:pt idx="7">
                  <c:v>Offshore-Wind</c:v>
                </c:pt>
                <c:pt idx="8">
                  <c:v>OpenField-PV</c:v>
                </c:pt>
                <c:pt idx="9">
                  <c:v>RoofTop-PV</c:v>
                </c:pt>
                <c:pt idx="10">
                  <c:v>Waste</c:v>
                </c:pt>
                <c:pt idx="11">
                  <c:v>Solar Heat</c:v>
                </c:pt>
                <c:pt idx="12">
                  <c:v>Hydro Energy</c:v>
                </c:pt>
              </c:strCache>
            </c:strRef>
          </c:cat>
          <c:val>
            <c:numRef>
              <c:f>Primärenergiebedarf!$AB$4:$AB$16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5-4F2E-BAC4-443F2B790466}"/>
            </c:ext>
          </c:extLst>
        </c:ser>
        <c:ser>
          <c:idx val="2"/>
          <c:order val="2"/>
          <c:tx>
            <c:strRef>
              <c:f>Primärenergiebedarf!$AC$3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Primärenergiebedarf!$Z$4:$Z$16</c:f>
              <c:strCache>
                <c:ptCount val="13"/>
                <c:pt idx="0">
                  <c:v>Wood</c:v>
                </c:pt>
                <c:pt idx="1">
                  <c:v>Straw</c:v>
                </c:pt>
                <c:pt idx="2">
                  <c:v>Biogas</c:v>
                </c:pt>
                <c:pt idx="3">
                  <c:v>Ethanol</c:v>
                </c:pt>
                <c:pt idx="4">
                  <c:v>Biodiesel</c:v>
                </c:pt>
                <c:pt idx="5">
                  <c:v>Onshore-Wind</c:v>
                </c:pt>
                <c:pt idx="7">
                  <c:v>Offshore-Wind</c:v>
                </c:pt>
                <c:pt idx="8">
                  <c:v>OpenField-PV</c:v>
                </c:pt>
                <c:pt idx="9">
                  <c:v>RoofTop-PV</c:v>
                </c:pt>
                <c:pt idx="10">
                  <c:v>Waste</c:v>
                </c:pt>
                <c:pt idx="11">
                  <c:v>Solar Heat</c:v>
                </c:pt>
                <c:pt idx="12">
                  <c:v>Hydro Energy</c:v>
                </c:pt>
              </c:strCache>
            </c:strRef>
          </c:cat>
          <c:val>
            <c:numRef>
              <c:f>Primärenergiebedarf!$AC$4:$AC$16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B5-4F2E-BAC4-443F2B790466}"/>
            </c:ext>
          </c:extLst>
        </c:ser>
        <c:ser>
          <c:idx val="3"/>
          <c:order val="3"/>
          <c:tx>
            <c:strRef>
              <c:f>Primärenergiebedarf!$AD$3</c:f>
              <c:strCache>
                <c:ptCount val="1"/>
                <c:pt idx="0">
                  <c:v>2035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Primärenergiebedarf!$Z$4:$Z$16</c:f>
              <c:strCache>
                <c:ptCount val="13"/>
                <c:pt idx="0">
                  <c:v>Wood</c:v>
                </c:pt>
                <c:pt idx="1">
                  <c:v>Straw</c:v>
                </c:pt>
                <c:pt idx="2">
                  <c:v>Biogas</c:v>
                </c:pt>
                <c:pt idx="3">
                  <c:v>Ethanol</c:v>
                </c:pt>
                <c:pt idx="4">
                  <c:v>Biodiesel</c:v>
                </c:pt>
                <c:pt idx="5">
                  <c:v>Onshore-Wind</c:v>
                </c:pt>
                <c:pt idx="7">
                  <c:v>Offshore-Wind</c:v>
                </c:pt>
                <c:pt idx="8">
                  <c:v>OpenField-PV</c:v>
                </c:pt>
                <c:pt idx="9">
                  <c:v>RoofTop-PV</c:v>
                </c:pt>
                <c:pt idx="10">
                  <c:v>Waste</c:v>
                </c:pt>
                <c:pt idx="11">
                  <c:v>Solar Heat</c:v>
                </c:pt>
                <c:pt idx="12">
                  <c:v>Hydro Energy</c:v>
                </c:pt>
              </c:strCache>
            </c:strRef>
          </c:cat>
          <c:val>
            <c:numRef>
              <c:f>Primärenergiebedarf!$AD$4:$AD$16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B5-4F2E-BAC4-443F2B790466}"/>
            </c:ext>
          </c:extLst>
        </c:ser>
        <c:ser>
          <c:idx val="4"/>
          <c:order val="4"/>
          <c:tx>
            <c:strRef>
              <c:f>Primärenergiebedarf!$AE$3</c:f>
              <c:strCache>
                <c:ptCount val="1"/>
                <c:pt idx="0">
                  <c:v>2040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Primärenergiebedarf!$Z$4:$Z$16</c:f>
              <c:strCache>
                <c:ptCount val="13"/>
                <c:pt idx="0">
                  <c:v>Wood</c:v>
                </c:pt>
                <c:pt idx="1">
                  <c:v>Straw</c:v>
                </c:pt>
                <c:pt idx="2">
                  <c:v>Biogas</c:v>
                </c:pt>
                <c:pt idx="3">
                  <c:v>Ethanol</c:v>
                </c:pt>
                <c:pt idx="4">
                  <c:v>Biodiesel</c:v>
                </c:pt>
                <c:pt idx="5">
                  <c:v>Onshore-Wind</c:v>
                </c:pt>
                <c:pt idx="7">
                  <c:v>Offshore-Wind</c:v>
                </c:pt>
                <c:pt idx="8">
                  <c:v>OpenField-PV</c:v>
                </c:pt>
                <c:pt idx="9">
                  <c:v>RoofTop-PV</c:v>
                </c:pt>
                <c:pt idx="10">
                  <c:v>Waste</c:v>
                </c:pt>
                <c:pt idx="11">
                  <c:v>Solar Heat</c:v>
                </c:pt>
                <c:pt idx="12">
                  <c:v>Hydro Energy</c:v>
                </c:pt>
              </c:strCache>
            </c:strRef>
          </c:cat>
          <c:val>
            <c:numRef>
              <c:f>Primärenergiebedarf!$AE$4:$AE$16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B5-4F2E-BAC4-443F2B790466}"/>
            </c:ext>
          </c:extLst>
        </c:ser>
        <c:ser>
          <c:idx val="5"/>
          <c:order val="5"/>
          <c:tx>
            <c:strRef>
              <c:f>Primärenergiebedarf!$AF$3</c:f>
              <c:strCache>
                <c:ptCount val="1"/>
                <c:pt idx="0">
                  <c:v>2045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Primärenergiebedarf!$Z$4:$Z$16</c:f>
              <c:strCache>
                <c:ptCount val="13"/>
                <c:pt idx="0">
                  <c:v>Wood</c:v>
                </c:pt>
                <c:pt idx="1">
                  <c:v>Straw</c:v>
                </c:pt>
                <c:pt idx="2">
                  <c:v>Biogas</c:v>
                </c:pt>
                <c:pt idx="3">
                  <c:v>Ethanol</c:v>
                </c:pt>
                <c:pt idx="4">
                  <c:v>Biodiesel</c:v>
                </c:pt>
                <c:pt idx="5">
                  <c:v>Onshore-Wind</c:v>
                </c:pt>
                <c:pt idx="7">
                  <c:v>Offshore-Wind</c:v>
                </c:pt>
                <c:pt idx="8">
                  <c:v>OpenField-PV</c:v>
                </c:pt>
                <c:pt idx="9">
                  <c:v>RoofTop-PV</c:v>
                </c:pt>
                <c:pt idx="10">
                  <c:v>Waste</c:v>
                </c:pt>
                <c:pt idx="11">
                  <c:v>Solar Heat</c:v>
                </c:pt>
                <c:pt idx="12">
                  <c:v>Hydro Energy</c:v>
                </c:pt>
              </c:strCache>
            </c:strRef>
          </c:cat>
          <c:val>
            <c:numRef>
              <c:f>Primärenergiebedarf!$AF$4:$AF$16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B5-4F2E-BAC4-443F2B790466}"/>
            </c:ext>
          </c:extLst>
        </c:ser>
        <c:ser>
          <c:idx val="6"/>
          <c:order val="6"/>
          <c:tx>
            <c:strRef>
              <c:f>Primärenergiebedarf!$AG$3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Primärenergiebedarf!$Z$4:$Z$16</c:f>
              <c:strCache>
                <c:ptCount val="13"/>
                <c:pt idx="0">
                  <c:v>Wood</c:v>
                </c:pt>
                <c:pt idx="1">
                  <c:v>Straw</c:v>
                </c:pt>
                <c:pt idx="2">
                  <c:v>Biogas</c:v>
                </c:pt>
                <c:pt idx="3">
                  <c:v>Ethanol</c:v>
                </c:pt>
                <c:pt idx="4">
                  <c:v>Biodiesel</c:v>
                </c:pt>
                <c:pt idx="5">
                  <c:v>Onshore-Wind</c:v>
                </c:pt>
                <c:pt idx="7">
                  <c:v>Offshore-Wind</c:v>
                </c:pt>
                <c:pt idx="8">
                  <c:v>OpenField-PV</c:v>
                </c:pt>
                <c:pt idx="9">
                  <c:v>RoofTop-PV</c:v>
                </c:pt>
                <c:pt idx="10">
                  <c:v>Waste</c:v>
                </c:pt>
                <c:pt idx="11">
                  <c:v>Solar Heat</c:v>
                </c:pt>
                <c:pt idx="12">
                  <c:v>Hydro Energy</c:v>
                </c:pt>
              </c:strCache>
            </c:strRef>
          </c:cat>
          <c:val>
            <c:numRef>
              <c:f>Primärenergiebedarf!$AG$4:$AG$16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48815.975999999988</c:v>
                </c:pt>
                <c:pt idx="11">
                  <c:v>2235.3808780035779</c:v>
                </c:pt>
                <c:pt idx="12">
                  <c:v>24026.86459034554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B5-4F2E-BAC4-443F2B790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5526784"/>
        <c:axId val="330971328"/>
      </c:barChart>
      <c:catAx>
        <c:axId val="2255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71328"/>
        <c:crosses val="autoZero"/>
        <c:auto val="1"/>
        <c:lblAlgn val="ctr"/>
        <c:lblOffset val="100"/>
        <c:noMultiLvlLbl val="0"/>
      </c:catAx>
      <c:valAx>
        <c:axId val="33097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Energy Supply [TWh/a]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52678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674585824192123"/>
          <c:y val="0.90940161256821317"/>
          <c:w val="0.81974089346386114"/>
          <c:h val="8.100606129269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/>
              <a:t>Allocation of Renewable Energy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007715043036183"/>
          <c:y val="0.14441720646988093"/>
          <c:w val="0.41784089102582828"/>
          <c:h val="0.832594287782992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25-4EBB-B067-84D8357B49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25-4EBB-B067-84D8357B49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25-4EBB-B067-84D8357B49C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A25-4EBB-B067-84D8357B49C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A25-4EBB-B067-84D8357B49C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A25-4EBB-B067-84D8357B49C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A25-4EBB-B067-84D8357B49C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A25-4EBB-B067-84D8357B49C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A25-4EBB-B067-84D8357B49C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A25-4EBB-B067-84D8357B49C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A25-4EBB-B067-84D8357B49C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A25-4EBB-B067-84D8357B49C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A25-4EBB-B067-84D8357B49CB}"/>
              </c:ext>
            </c:extLst>
          </c:dPt>
          <c:dLbls>
            <c:dLbl>
              <c:idx val="0"/>
              <c:layout>
                <c:manualLayout>
                  <c:x val="-7.4115480262409092E-2"/>
                  <c:y val="0.1329994957526860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25-4EBB-B067-84D8357B49C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25-4EBB-B067-84D8357B49C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25-4EBB-B067-84D8357B49CB}"/>
                </c:ext>
              </c:extLst>
            </c:dLbl>
            <c:dLbl>
              <c:idx val="5"/>
              <c:layout>
                <c:manualLayout>
                  <c:x val="2.6270402849829184E-2"/>
                  <c:y val="-8.85714285714285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A25-4EBB-B067-84D8357B49C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A25-4EBB-B067-84D8357B49CB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1-9A25-4EBB-B067-84D8357B49CB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7-9A25-4EBB-B067-84D8357B49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Primärenergiebedarf!$Z$31:$Z$42</c:f>
              <c:strCache>
                <c:ptCount val="12"/>
                <c:pt idx="0">
                  <c:v>Wood</c:v>
                </c:pt>
                <c:pt idx="1">
                  <c:v>Straw</c:v>
                </c:pt>
                <c:pt idx="2">
                  <c:v>Biogas</c:v>
                </c:pt>
                <c:pt idx="3">
                  <c:v>Ethanol</c:v>
                </c:pt>
                <c:pt idx="4">
                  <c:v>Biodiesel</c:v>
                </c:pt>
                <c:pt idx="5">
                  <c:v>Onshore-Wind</c:v>
                </c:pt>
                <c:pt idx="6">
                  <c:v>Offshore-Wind</c:v>
                </c:pt>
                <c:pt idx="7">
                  <c:v>OpenField-PV</c:v>
                </c:pt>
                <c:pt idx="8">
                  <c:v>RoofTop-PV</c:v>
                </c:pt>
                <c:pt idx="9">
                  <c:v>Waste</c:v>
                </c:pt>
                <c:pt idx="10">
                  <c:v>Solar Heat</c:v>
                </c:pt>
                <c:pt idx="11">
                  <c:v>Hydro Energy</c:v>
                </c:pt>
              </c:strCache>
            </c:strRef>
          </c:cat>
          <c:val>
            <c:numRef>
              <c:f>Primärenergiebedarf!$AA$31:$AA$42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A25-4EBB-B067-84D8357B4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220939626057249"/>
          <c:y val="0.23534127199617291"/>
          <c:w val="0.22218181936157855"/>
          <c:h val="0.744954294506290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Allocation of Renewable Energy 2050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9561958050372644"/>
          <c:y val="0.1849283552474601"/>
          <c:w val="0.44830253668148223"/>
          <c:h val="0.7486008866116616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48-4483-9F4D-9473437041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48-4483-9F4D-9473437041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48-4483-9F4D-9473437041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48-4483-9F4D-94734370418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648-4483-9F4D-94734370418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648-4483-9F4D-94734370418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648-4483-9F4D-94734370418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648-4483-9F4D-94734370418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648-4483-9F4D-94734370418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648-4483-9F4D-94734370418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648-4483-9F4D-94734370418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648-4483-9F4D-94734370418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648-4483-9F4D-947343704186}"/>
              </c:ext>
            </c:extLst>
          </c:dPt>
          <c:dLbls>
            <c:dLbl>
              <c:idx val="0"/>
              <c:layout>
                <c:manualLayout>
                  <c:x val="-9.5867260778449148E-2"/>
                  <c:y val="6.435544839191752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48-4483-9F4D-94734370418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48-4483-9F4D-947343704186}"/>
                </c:ext>
              </c:extLst>
            </c:dLbl>
            <c:dLbl>
              <c:idx val="2"/>
              <c:layout>
                <c:manualLayout>
                  <c:x val="8.7531112874456585E-3"/>
                  <c:y val="-9.698476685629607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48-4483-9F4D-947343704186}"/>
                </c:ext>
              </c:extLst>
            </c:dLbl>
            <c:dLbl>
              <c:idx val="5"/>
              <c:layout>
                <c:manualLayout>
                  <c:x val="2.4631420719393875E-2"/>
                  <c:y val="-0.141413555362996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648-4483-9F4D-947343704186}"/>
                </c:ext>
              </c:extLst>
            </c:dLbl>
            <c:dLbl>
              <c:idx val="6"/>
              <c:layout>
                <c:manualLayout>
                  <c:x val="9.03446662190482E-2"/>
                  <c:y val="-1.268457471524193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648-4483-9F4D-947343704186}"/>
                </c:ext>
              </c:extLst>
            </c:dLbl>
            <c:dLbl>
              <c:idx val="7"/>
              <c:layout>
                <c:manualLayout>
                  <c:x val="-6.6434040706152041E-3"/>
                  <c:y val="-5.590676763490688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648-4483-9F4D-947343704186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1-E648-4483-9F4D-94734370418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648-4483-9F4D-9473437041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Primärenergiebedarf!$Z$31:$Z$42</c:f>
              <c:strCache>
                <c:ptCount val="12"/>
                <c:pt idx="0">
                  <c:v>Wood</c:v>
                </c:pt>
                <c:pt idx="1">
                  <c:v>Straw</c:v>
                </c:pt>
                <c:pt idx="2">
                  <c:v>Biogas</c:v>
                </c:pt>
                <c:pt idx="3">
                  <c:v>Ethanol</c:v>
                </c:pt>
                <c:pt idx="4">
                  <c:v>Biodiesel</c:v>
                </c:pt>
                <c:pt idx="5">
                  <c:v>Onshore-Wind</c:v>
                </c:pt>
                <c:pt idx="6">
                  <c:v>Offshore-Wind</c:v>
                </c:pt>
                <c:pt idx="7">
                  <c:v>OpenField-PV</c:v>
                </c:pt>
                <c:pt idx="8">
                  <c:v>RoofTop-PV</c:v>
                </c:pt>
                <c:pt idx="9">
                  <c:v>Waste</c:v>
                </c:pt>
                <c:pt idx="10">
                  <c:v>Solar Heat</c:v>
                </c:pt>
                <c:pt idx="11">
                  <c:v>Hydro Energy</c:v>
                </c:pt>
              </c:strCache>
            </c:strRef>
          </c:cat>
          <c:val>
            <c:numRef>
              <c:f>Primärenergiebedarf!$AB$31:$AB$42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0.65020155040006444</c:v>
                </c:pt>
                <c:pt idx="10">
                  <c:v>2.9774025466838643E-2</c:v>
                </c:pt>
                <c:pt idx="11">
                  <c:v>0.32002442413309695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648-4483-9F4D-947343704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379291413788175"/>
          <c:y val="0.24453402654811693"/>
          <c:w val="0.23459182215403598"/>
          <c:h val="0.733137424807545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Share of Renewable</a:t>
            </a:r>
            <a:r>
              <a:rPr lang="en-US" sz="1800" baseline="0"/>
              <a:t> Energy</a:t>
            </a:r>
            <a:r>
              <a:rPr lang="en-US" sz="1800"/>
              <a:t>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655686789151359"/>
          <c:y val="0.15546587926509187"/>
          <c:w val="0.42077537182852148"/>
          <c:h val="0.7012922863808691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8-48F7-8560-44AA2F44B1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8-48F7-8560-44AA2F44B1C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7C8-48F7-8560-44AA2F44B1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Primärenergiebedarf!$AE$31:$AE$32</c:f>
              <c:strCache>
                <c:ptCount val="2"/>
                <c:pt idx="0">
                  <c:v>Renewable</c:v>
                </c:pt>
                <c:pt idx="1">
                  <c:v>Fossil</c:v>
                </c:pt>
              </c:strCache>
            </c:strRef>
          </c:cat>
          <c:val>
            <c:numRef>
              <c:f>Primärenergiebedarf!$AF$31:$AF$32</c:f>
              <c:numCache>
                <c:formatCode>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C8-48F7-8560-44AA2F44B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Share of Renewable</a:t>
            </a:r>
            <a:r>
              <a:rPr lang="en-US" sz="1800" baseline="0"/>
              <a:t> Energy</a:t>
            </a:r>
            <a:r>
              <a:rPr lang="en-US" sz="1800"/>
              <a:t> 2025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655686789151359"/>
          <c:y val="0.15546587926509187"/>
          <c:w val="0.42077537182852148"/>
          <c:h val="0.7012922863808691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B2-4767-8040-186AE1E1D0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B2-4767-8040-186AE1E1D03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6B2-4767-8040-186AE1E1D0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Primärenergiebedarf!$AE$31:$AE$32</c:f>
              <c:strCache>
                <c:ptCount val="2"/>
                <c:pt idx="0">
                  <c:v>Renewable</c:v>
                </c:pt>
                <c:pt idx="1">
                  <c:v>Fossil</c:v>
                </c:pt>
              </c:strCache>
            </c:strRef>
          </c:cat>
          <c:val>
            <c:numRef>
              <c:f>Primärenergiebedarf!$AG$31:$AG$32</c:f>
              <c:numCache>
                <c:formatCode>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B2-4767-8040-186AE1E1D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Share of Renewable</a:t>
            </a:r>
            <a:r>
              <a:rPr lang="en-US" sz="1800" baseline="0"/>
              <a:t> Energy</a:t>
            </a:r>
            <a:r>
              <a:rPr lang="en-US" sz="1800"/>
              <a:t> 2030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655686789151359"/>
          <c:y val="0.15546587926509187"/>
          <c:w val="0.42077537182852148"/>
          <c:h val="0.7012922863808691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E3-4419-98FC-FF2A2D5651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E3-4419-98FC-FF2A2D56513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BEE3-4419-98FC-FF2A2D5651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Primärenergiebedarf!$AE$31:$AE$32</c:f>
              <c:strCache>
                <c:ptCount val="2"/>
                <c:pt idx="0">
                  <c:v>Renewable</c:v>
                </c:pt>
                <c:pt idx="1">
                  <c:v>Fossil</c:v>
                </c:pt>
              </c:strCache>
            </c:strRef>
          </c:cat>
          <c:val>
            <c:numRef>
              <c:f>Primärenergiebedarf!$AH$31:$AH$32</c:f>
              <c:numCache>
                <c:formatCode>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E3-4419-98FC-FF2A2D565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Share of Renewable</a:t>
            </a:r>
            <a:r>
              <a:rPr lang="en-US" sz="1800" baseline="0"/>
              <a:t> Energy</a:t>
            </a:r>
            <a:r>
              <a:rPr lang="en-US" sz="1800"/>
              <a:t> 2035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655686789151359"/>
          <c:y val="0.15546587926509187"/>
          <c:w val="0.42077537182852148"/>
          <c:h val="0.7012922863808691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69-422B-9015-22D916EE506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69-422B-9015-22D916EE5065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869-422B-9015-22D916EE50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Primärenergiebedarf!$AE$31:$AE$32</c:f>
              <c:strCache>
                <c:ptCount val="2"/>
                <c:pt idx="0">
                  <c:v>Renewable</c:v>
                </c:pt>
                <c:pt idx="1">
                  <c:v>Fossil</c:v>
                </c:pt>
              </c:strCache>
            </c:strRef>
          </c:cat>
          <c:val>
            <c:numRef>
              <c:f>Primärenergiebedarf!$AI$31:$AI$32</c:f>
              <c:numCache>
                <c:formatCode>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69-422B-9015-22D916EE5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Share of Renewable</a:t>
            </a:r>
            <a:r>
              <a:rPr lang="en-US" sz="1800" baseline="0"/>
              <a:t> Energy</a:t>
            </a:r>
            <a:r>
              <a:rPr lang="en-US" sz="1800"/>
              <a:t> 2040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655686789151359"/>
          <c:y val="0.15546587926509187"/>
          <c:w val="0.42077537182852148"/>
          <c:h val="0.7012922863808691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AA-408F-BA9B-598AB5BAF4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AA-408F-BA9B-598AB5BAF4C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DAA-408F-BA9B-598AB5BAF4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Primärenergiebedarf!$AE$31:$AE$32</c:f>
              <c:strCache>
                <c:ptCount val="2"/>
                <c:pt idx="0">
                  <c:v>Renewable</c:v>
                </c:pt>
                <c:pt idx="1">
                  <c:v>Fossil</c:v>
                </c:pt>
              </c:strCache>
            </c:strRef>
          </c:cat>
          <c:val>
            <c:numRef>
              <c:f>Primärenergiebedarf!$AJ$31:$AJ$32</c:f>
              <c:numCache>
                <c:formatCode>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AA-408F-BA9B-598AB5BA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Share of Renewable</a:t>
            </a:r>
            <a:r>
              <a:rPr lang="en-US" sz="1800" baseline="0"/>
              <a:t> Energy</a:t>
            </a:r>
            <a:r>
              <a:rPr lang="en-US" sz="1800"/>
              <a:t> 2045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655686789151359"/>
          <c:y val="0.15546587926509187"/>
          <c:w val="0.42077537182852148"/>
          <c:h val="0.7012922863808691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E6-44B5-BBE2-AE3113A2F4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E6-44B5-BBE2-AE3113A2F4A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3E6-44B5-BBE2-AE3113A2F4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Primärenergiebedarf!$AE$31:$AE$32</c:f>
              <c:strCache>
                <c:ptCount val="2"/>
                <c:pt idx="0">
                  <c:v>Renewable</c:v>
                </c:pt>
                <c:pt idx="1">
                  <c:v>Fossil</c:v>
                </c:pt>
              </c:strCache>
            </c:strRef>
          </c:cat>
          <c:val>
            <c:numRef>
              <c:f>Primärenergiebedarf!$AK$31:$AK$32</c:f>
              <c:numCache>
                <c:formatCode>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E6-44B5-BBE2-AE3113A2F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Share of Renewable</a:t>
            </a:r>
            <a:r>
              <a:rPr lang="en-US" sz="1800" baseline="0"/>
              <a:t> Energy</a:t>
            </a:r>
            <a:r>
              <a:rPr lang="en-US" sz="1800"/>
              <a:t>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655686789151359"/>
          <c:y val="0.15546587926509187"/>
          <c:w val="0.42077537182852148"/>
          <c:h val="0.70129228638086916"/>
        </c:manualLayout>
      </c:layout>
      <c:pieChart>
        <c:varyColors val="1"/>
        <c:ser>
          <c:idx val="0"/>
          <c:order val="0"/>
          <c:tx>
            <c:strRef>
              <c:f>Primärenergiebedarf!$AL$30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C2-49D4-A932-CF3037D490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C2-49D4-A932-CF3037D4904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4C2-49D4-A932-CF3037D490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Primärenergiebedarf!$AE$31:$AE$32</c:f>
              <c:strCache>
                <c:ptCount val="2"/>
                <c:pt idx="0">
                  <c:v>Renewable</c:v>
                </c:pt>
                <c:pt idx="1">
                  <c:v>Fossil</c:v>
                </c:pt>
              </c:strCache>
            </c:strRef>
          </c:cat>
          <c:val>
            <c:numRef>
              <c:f>Primärenergiebedarf!$AL$31:$AL$32</c:f>
              <c:numCache>
                <c:formatCode>0%</c:formatCode>
                <c:ptCount val="2"/>
                <c:pt idx="0">
                  <c:v>3.5150318289994181E-2</c:v>
                </c:pt>
                <c:pt idx="1">
                  <c:v>0.96484968171000585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C2-49D4-A932-CF3037D49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31684685553124"/>
          <c:y val="0.12876055904121597"/>
          <c:w val="0.65528490567071596"/>
          <c:h val="0.71414481247695283"/>
        </c:manualLayout>
      </c:layout>
      <c:barChart>
        <c:barDir val="col"/>
        <c:grouping val="stacked"/>
        <c:varyColors val="0"/>
        <c:ser>
          <c:idx val="17"/>
          <c:order val="0"/>
          <c:tx>
            <c:strRef>
              <c:f>Primärenergiebedarf!$C$14</c:f>
              <c:strCache>
                <c:ptCount val="1"/>
                <c:pt idx="0">
                  <c:v>Rohöl (n-energ.)</c:v>
                </c:pt>
              </c:strCache>
            </c:strRef>
          </c:tx>
          <c:spPr>
            <a:pattFill prst="dkUpDiag">
              <a:fgClr>
                <a:schemeClr val="tx1"/>
              </a:fgClr>
              <a:bgClr>
                <a:schemeClr val="bg1"/>
              </a:bgClr>
            </a:pattFill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Primärenergiebedarf!$E$14:$L$14</c:f>
              <c:numCache>
                <c:formatCode>0.00</c:formatCode>
                <c:ptCount val="8"/>
                <c:pt idx="0">
                  <c:v>106388.99681788957</c:v>
                </c:pt>
                <c:pt idx="1">
                  <c:v>117264.22362450516</c:v>
                </c:pt>
                <c:pt idx="2">
                  <c:v>112956.3728679303</c:v>
                </c:pt>
                <c:pt idx="3">
                  <c:v>99466.405709215673</c:v>
                </c:pt>
                <c:pt idx="4">
                  <c:v>33023.758035273691</c:v>
                </c:pt>
                <c:pt idx="5">
                  <c:v>7.6724786859521765E-4</c:v>
                </c:pt>
                <c:pt idx="6">
                  <c:v>90531.438417980578</c:v>
                </c:pt>
                <c:pt idx="7" formatCode="General">
                  <c:v>90577.752757359223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2-4915-88A6-013512025F16}"/>
            </c:ext>
          </c:extLst>
        </c:ser>
        <c:ser>
          <c:idx val="4"/>
          <c:order val="1"/>
          <c:tx>
            <c:strRef>
              <c:f>Primärenergiebedarf!$C$15</c:f>
              <c:strCache>
                <c:ptCount val="1"/>
                <c:pt idx="0">
                  <c:v>Energetischer Rohöl-Bedarf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Primärenergiebedarf!$E$15:$L$15</c:f>
              <c:numCache>
                <c:formatCode>0.00</c:formatCode>
                <c:ptCount val="8"/>
                <c:pt idx="0">
                  <c:v>-9388.9968178895651</c:v>
                </c:pt>
                <c:pt idx="1">
                  <c:v>-20264.223624505161</c:v>
                </c:pt>
                <c:pt idx="2">
                  <c:v>-15956.372867930302</c:v>
                </c:pt>
                <c:pt idx="3">
                  <c:v>-34799.739042549001</c:v>
                </c:pt>
                <c:pt idx="4">
                  <c:v>-690.42470194035559</c:v>
                </c:pt>
                <c:pt idx="5">
                  <c:v>-7.6724786859521765E-4</c:v>
                </c:pt>
                <c:pt idx="6">
                  <c:v>24250.821870127125</c:v>
                </c:pt>
                <c:pt idx="7" formatCode="General">
                  <c:v>27.404793992463965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6-400E-82FD-A6E9CE15D941}"/>
            </c:ext>
          </c:extLst>
        </c:ser>
        <c:ser>
          <c:idx val="1"/>
          <c:order val="2"/>
          <c:tx>
            <c:strRef>
              <c:f>Primärenergiebedarf!$C$5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Primärenergiebedarf!$E$5:$L$5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0.10843133015339571</c:v>
                </c:pt>
                <c:pt idx="7">
                  <c:v>1.185187967342497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6-400E-82FD-A6E9CE15D941}"/>
            </c:ext>
          </c:extLst>
        </c:ser>
        <c:ser>
          <c:idx val="0"/>
          <c:order val="3"/>
          <c:tx>
            <c:strRef>
              <c:f>Primärenergiebedarf!$C$4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Primärenergiebedarf!$E$4:$L$4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4602.4859722529427</c:v>
                </c:pt>
                <c:pt idx="7">
                  <c:v>4607.0491034394809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56-400E-82FD-A6E9CE15D941}"/>
            </c:ext>
          </c:extLst>
        </c:ser>
        <c:ser>
          <c:idx val="2"/>
          <c:order val="4"/>
          <c:tx>
            <c:strRef>
              <c:f>Primärenergiebedarf!$C$6</c:f>
              <c:strCache>
                <c:ptCount val="1"/>
                <c:pt idx="0">
                  <c:v>Kernenergie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Primärenergiebedarf!$E$6:$L$6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56-400E-82FD-A6E9CE15D941}"/>
            </c:ext>
          </c:extLst>
        </c:ser>
        <c:ser>
          <c:idx val="18"/>
          <c:order val="5"/>
          <c:tx>
            <c:strRef>
              <c:f>Primärenergiebedarf!$C$9</c:f>
              <c:strCache>
                <c:ptCount val="1"/>
                <c:pt idx="0">
                  <c:v>Erdgas (n-energ.)</c:v>
                </c:pt>
              </c:strCache>
            </c:strRef>
          </c:tx>
          <c:spPr>
            <a:pattFill prst="dkUpDiag">
              <a:fgClr>
                <a:srgbClr val="FFC000"/>
              </a:fgClr>
              <a:bgClr>
                <a:schemeClr val="bg1"/>
              </a:bgClr>
            </a:pattFill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Primärenergiebedarf!$E$9:$L$9</c:f>
              <c:numCache>
                <c:formatCode>General</c:formatCode>
                <c:ptCount val="8"/>
                <c:pt idx="0">
                  <c:v>19803.66776795328</c:v>
                </c:pt>
                <c:pt idx="1">
                  <c:v>21568.72636301296</c:v>
                </c:pt>
                <c:pt idx="2">
                  <c:v>41835.651712141582</c:v>
                </c:pt>
                <c:pt idx="3">
                  <c:v>75323.983151658715</c:v>
                </c:pt>
                <c:pt idx="4">
                  <c:v>128551.2845284192</c:v>
                </c:pt>
                <c:pt idx="5">
                  <c:v>17160.268269532378</c:v>
                </c:pt>
                <c:pt idx="6">
                  <c:v>7910.4042157244039</c:v>
                </c:pt>
                <c:pt idx="7">
                  <c:v>38512.690214027949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F2-4915-88A6-013512025F16}"/>
            </c:ext>
          </c:extLst>
        </c:ser>
        <c:ser>
          <c:idx val="3"/>
          <c:order val="6"/>
          <c:tx>
            <c:strRef>
              <c:f>Primärenergiebedarf!$C$8</c:f>
              <c:strCache>
                <c:ptCount val="1"/>
                <c:pt idx="0">
                  <c:v>Erdgas (energ.)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Primärenergiebedarf!$E$8:$L$8</c:f>
              <c:numCache>
                <c:formatCode>General</c:formatCode>
                <c:ptCount val="8"/>
                <c:pt idx="0">
                  <c:v>-19803.66776795328</c:v>
                </c:pt>
                <c:pt idx="1">
                  <c:v>-21568.72636301296</c:v>
                </c:pt>
                <c:pt idx="2">
                  <c:v>-41835.651712141582</c:v>
                </c:pt>
                <c:pt idx="3">
                  <c:v>-75323.983151658715</c:v>
                </c:pt>
                <c:pt idx="4">
                  <c:v>-128551.2845284192</c:v>
                </c:pt>
                <c:pt idx="5">
                  <c:v>-17160.268269532378</c:v>
                </c:pt>
                <c:pt idx="6">
                  <c:v>-9.7898680878643063E-2</c:v>
                </c:pt>
                <c:pt idx="7">
                  <c:v>0.6622072036479949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56-400E-82FD-A6E9CE15D941}"/>
            </c:ext>
          </c:extLst>
        </c:ser>
        <c:ser>
          <c:idx val="5"/>
          <c:order val="7"/>
          <c:tx>
            <c:strRef>
              <c:f>Primärenergiebedarf!$C$17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Primärenergiebedarf!$E$17:$L$17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24026.86459034554</c:v>
                </c:pt>
                <c:pt idx="7">
                  <c:v>23783.232361607879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56-400E-82FD-A6E9CE15D941}"/>
            </c:ext>
          </c:extLst>
        </c:ser>
        <c:ser>
          <c:idx val="11"/>
          <c:order val="8"/>
          <c:tx>
            <c:strRef>
              <c:f>Primärenergiebedarf!$C$24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Primärenergiebedarf!$E$24:$L$24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48815.975999999988</c:v>
                </c:pt>
                <c:pt idx="7">
                  <c:v>48815.975999999988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56-400E-82FD-A6E9CE15D941}"/>
            </c:ext>
          </c:extLst>
        </c:ser>
        <c:ser>
          <c:idx val="6"/>
          <c:order val="9"/>
          <c:tx>
            <c:strRef>
              <c:f>Primärenergiebedarf!$C$18</c:f>
              <c:strCache>
                <c:ptCount val="1"/>
                <c:pt idx="0">
                  <c:v>feste Biomasse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Primärenergiebedarf!$E$18:$L$18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345825.33439392172</c:v>
                </c:pt>
                <c:pt idx="7">
                  <c:v>359459.07546092395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56-400E-82FD-A6E9CE15D941}"/>
            </c:ext>
          </c:extLst>
        </c:ser>
        <c:ser>
          <c:idx val="7"/>
          <c:order val="10"/>
          <c:tx>
            <c:strRef>
              <c:f>Primärenergiebedarf!$C$19</c:f>
              <c:strCache>
                <c:ptCount val="1"/>
                <c:pt idx="0">
                  <c:v>gas. Biomasse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Primärenergiebedarf!$E$19:$L$19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77327.589208268007</c:v>
                </c:pt>
                <c:pt idx="7">
                  <c:v>77266.97944890619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56-400E-82FD-A6E9CE15D941}"/>
            </c:ext>
          </c:extLst>
        </c:ser>
        <c:ser>
          <c:idx val="8"/>
          <c:order val="11"/>
          <c:tx>
            <c:strRef>
              <c:f>Primärenergiebedarf!$C$20</c:f>
              <c:strCache>
                <c:ptCount val="1"/>
                <c:pt idx="0">
                  <c:v>fl. Biomasse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Primärenergiebedarf!$E$20:$L$20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0.0">
                  <c:v>5186.8145527342595</c:v>
                </c:pt>
                <c:pt idx="7">
                  <c:v>58.521345105358989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56-400E-82FD-A6E9CE15D941}"/>
            </c:ext>
          </c:extLst>
        </c:ser>
        <c:ser>
          <c:idx val="10"/>
          <c:order val="12"/>
          <c:tx>
            <c:strRef>
              <c:f>Primärenergiebedarf!$C$23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Primärenergiebedarf!$E$23:$L$23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443500.25462811888</c:v>
                </c:pt>
                <c:pt idx="7">
                  <c:v>423467.03014944436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56-400E-82FD-A6E9CE15D941}"/>
            </c:ext>
          </c:extLst>
        </c:ser>
        <c:ser>
          <c:idx val="12"/>
          <c:order val="13"/>
          <c:tx>
            <c:strRef>
              <c:f>Primärenergiebedarf!$C$25</c:f>
              <c:strCache>
                <c:ptCount val="1"/>
                <c:pt idx="0">
                  <c:v>Solarthermie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Primärenergiebedarf!$E$25:$L$25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2235.3808780035779</c:v>
                </c:pt>
                <c:pt idx="7">
                  <c:v>67.555149753976579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56-400E-82FD-A6E9CE15D941}"/>
            </c:ext>
          </c:extLst>
        </c:ser>
        <c:ser>
          <c:idx val="9"/>
          <c:order val="14"/>
          <c:tx>
            <c:strRef>
              <c:f>Primärenergiebedarf!$C$21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Primärenergiebedarf!$E$21:$L$21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0</c:v>
                </c:pt>
                <c:pt idx="6" formatCode="0.0">
                  <c:v>227047.36262054922</c:v>
                </c:pt>
                <c:pt idx="7">
                  <c:v>165263.00661774672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A56-400E-82FD-A6E9CE15D941}"/>
            </c:ext>
          </c:extLst>
        </c:ser>
        <c:ser>
          <c:idx val="13"/>
          <c:order val="15"/>
          <c:tx>
            <c:strRef>
              <c:f>Primärenergiebedarf!$C$22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Primärenergiebedarf!$E$22:$L$22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243494.29528204963</c:v>
                </c:pt>
                <c:pt idx="7">
                  <c:v>264618.46900213789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A56-400E-82FD-A6E9CE15D941}"/>
            </c:ext>
          </c:extLst>
        </c:ser>
        <c:ser>
          <c:idx val="14"/>
          <c:order val="16"/>
          <c:tx>
            <c:strRef>
              <c:f>Primärenergiebedarf!$C$26</c:f>
              <c:strCache>
                <c:ptCount val="1"/>
                <c:pt idx="0">
                  <c:v>El.-Import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accent4">
                  <a:lumMod val="60000"/>
                  <a:lumOff val="40000"/>
                </a:schemeClr>
              </a:bgClr>
            </a:pattFill>
            <a:ln w="25400">
              <a:noFill/>
            </a:ln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Primärenergiebedarf!$E$26:$L$26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74540.537776986035</c:v>
                </c:pt>
                <c:pt idx="7">
                  <c:v>77654.985682766099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A56-400E-82FD-A6E9CE15D941}"/>
            </c:ext>
          </c:extLst>
        </c:ser>
        <c:ser>
          <c:idx val="15"/>
          <c:order val="17"/>
          <c:tx>
            <c:strRef>
              <c:f>Primärenergiebedarf!$C$27</c:f>
              <c:strCache>
                <c:ptCount val="1"/>
                <c:pt idx="0">
                  <c:v>PtL-Import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 w="25400">
              <a:noFill/>
            </a:ln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Primärenergiebedarf!$E$27:$L$27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87463.256614198064</c:v>
                </c:pt>
                <c:pt idx="7">
                  <c:v>111401.68030624262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A56-400E-82FD-A6E9CE15D941}"/>
            </c:ext>
          </c:extLst>
        </c:ser>
        <c:ser>
          <c:idx val="16"/>
          <c:order val="18"/>
          <c:tx>
            <c:strRef>
              <c:f>Primärenergiebedarf!$C$28</c:f>
              <c:strCache>
                <c:ptCount val="1"/>
                <c:pt idx="0">
                  <c:v>H2-Import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cat>
            <c:strRef>
              <c:f>Primärenergiebedarf!$E$3:$L$3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  <c:pt idx="7">
                  <c:v>THGneutral50</c:v>
                </c:pt>
              </c:strCache>
            </c:strRef>
          </c:cat>
          <c:val>
            <c:numRef>
              <c:f>Primärenergiebedarf!$E$28:$L$28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429159.85315177112</c:v>
                </c:pt>
                <c:pt idx="7">
                  <c:v>425767.03641594213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A56-400E-82FD-A6E9CE15D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122944"/>
        <c:axId val="80957376"/>
      </c:barChart>
      <c:catAx>
        <c:axId val="23912294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80957376"/>
        <c:crosses val="autoZero"/>
        <c:auto val="1"/>
        <c:lblAlgn val="ctr"/>
        <c:lblOffset val="100"/>
        <c:noMultiLvlLbl val="0"/>
      </c:catAx>
      <c:valAx>
        <c:axId val="809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Primärenergieverbrauch</a:t>
                </a:r>
                <a:r>
                  <a:rPr lang="en-US" baseline="0"/>
                  <a:t> </a:t>
                </a:r>
                <a:r>
                  <a:rPr lang="en-US"/>
                  <a:t>in TWh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39122944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80996377377499074"/>
          <c:y val="0"/>
          <c:w val="0.19003622495143985"/>
          <c:h val="0.989052756129494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Verteilung der Primärenergieträger</a:t>
            </a:r>
            <a:r>
              <a:rPr lang="de-DE" sz="1600" baseline="0"/>
              <a:t> </a:t>
            </a:r>
            <a:r>
              <a:rPr lang="de-DE" sz="1600"/>
              <a:t>2020</a:t>
            </a:r>
          </a:p>
        </c:rich>
      </c:tx>
      <c:layout>
        <c:manualLayout>
          <c:xMode val="edge"/>
          <c:yMode val="edge"/>
          <c:x val="0.28730876125146931"/>
          <c:y val="1.97044334975369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007715043036183"/>
          <c:y val="0.17397385671618634"/>
          <c:w val="0.36622969899718816"/>
          <c:h val="0.7373561925448973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F0-4138-BBFE-642D6B233E41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F0-4138-BBFE-642D6B233E41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F0-4138-BBFE-642D6B233E41}"/>
              </c:ext>
            </c:extLst>
          </c:dPt>
          <c:dPt>
            <c:idx val="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F0-4138-BBFE-642D6B233E41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AF0-4138-BBFE-642D6B233E41}"/>
              </c:ext>
            </c:extLst>
          </c:dPt>
          <c:dPt>
            <c:idx val="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AF0-4138-BBFE-642D6B233E41}"/>
              </c:ext>
            </c:extLst>
          </c:dPt>
          <c:dPt>
            <c:idx val="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AF0-4138-BBFE-642D6B233E41}"/>
              </c:ext>
            </c:extLst>
          </c:dPt>
          <c:dPt>
            <c:idx val="7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AF0-4138-BBFE-642D6B233E41}"/>
              </c:ext>
            </c:extLst>
          </c:dPt>
          <c:dPt>
            <c:idx val="8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AF0-4138-BBFE-642D6B233E41}"/>
              </c:ext>
            </c:extLst>
          </c:dPt>
          <c:dPt>
            <c:idx val="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AF0-4138-BBFE-642D6B233E41}"/>
              </c:ext>
            </c:extLst>
          </c:dPt>
          <c:dPt>
            <c:idx val="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AF0-4138-BBFE-642D6B233E41}"/>
              </c:ext>
            </c:extLst>
          </c:dPt>
          <c:dPt>
            <c:idx val="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AF0-4138-BBFE-642D6B233E41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AF0-4138-BBFE-642D6B233E41}"/>
              </c:ext>
            </c:extLst>
          </c:dPt>
          <c:dPt>
            <c:idx val="1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AF0-4138-BBFE-642D6B233E41}"/>
              </c:ext>
            </c:extLst>
          </c:dPt>
          <c:cat>
            <c:strRef>
              <c:f>Primärenergiebedarf!$H$42:$H$55</c:f>
              <c:strCache>
                <c:ptCount val="14"/>
                <c:pt idx="0">
                  <c:v>Steinkohle</c:v>
                </c:pt>
                <c:pt idx="1">
                  <c:v>Braunkohle</c:v>
                </c:pt>
                <c:pt idx="2">
                  <c:v>Kernenergie</c:v>
                </c:pt>
                <c:pt idx="3">
                  <c:v>Erdgas</c:v>
                </c:pt>
                <c:pt idx="4">
                  <c:v>Erdöl</c:v>
                </c:pt>
                <c:pt idx="5">
                  <c:v>Wasserkraft</c:v>
                </c:pt>
                <c:pt idx="6">
                  <c:v>fest. Biomasse</c:v>
                </c:pt>
                <c:pt idx="7">
                  <c:v>gas. Biomasse</c:v>
                </c:pt>
                <c:pt idx="8">
                  <c:v>flüs. Biomasse</c:v>
                </c:pt>
                <c:pt idx="9">
                  <c:v>Onshore Wind</c:v>
                </c:pt>
                <c:pt idx="10">
                  <c:v>Offshore Wind</c:v>
                </c:pt>
                <c:pt idx="11">
                  <c:v>PV</c:v>
                </c:pt>
                <c:pt idx="12">
                  <c:v>Müll</c:v>
                </c:pt>
                <c:pt idx="13">
                  <c:v>Solarthermie</c:v>
                </c:pt>
              </c:strCache>
            </c:strRef>
          </c:cat>
          <c:val>
            <c:numRef>
              <c:f>Primärenergiebedarf!$J$42:$J$55</c:f>
              <c:numCache>
                <c:formatCode>0%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AF0-4138-BBFE-642D6B233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34555715746796"/>
          <c:y val="0.15568762995534649"/>
          <c:w val="0.25504565450445454"/>
          <c:h val="0.8246081058049562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 rtl="0">
              <a:defRPr sz="1600"/>
            </a:pPr>
            <a:r>
              <a:rPr lang="de-DE" sz="1600"/>
              <a:t>Verteilung der Primärenergieträger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9561958050372644"/>
          <c:y val="0.1849283552474601"/>
          <c:w val="0.44830253668148223"/>
          <c:h val="0.7486008866116616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BE-4A50-A03D-0711B1CB4C50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BE-4A50-A03D-0711B1CB4C50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BBE-4A50-A03D-0711B1CB4C50}"/>
              </c:ext>
            </c:extLst>
          </c:dPt>
          <c:dPt>
            <c:idx val="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BBE-4A50-A03D-0711B1CB4C50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BBE-4A50-A03D-0711B1CB4C50}"/>
              </c:ext>
            </c:extLst>
          </c:dPt>
          <c:dPt>
            <c:idx val="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BBE-4A50-A03D-0711B1CB4C50}"/>
              </c:ext>
            </c:extLst>
          </c:dPt>
          <c:dPt>
            <c:idx val="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BBE-4A50-A03D-0711B1CB4C50}"/>
              </c:ext>
            </c:extLst>
          </c:dPt>
          <c:dPt>
            <c:idx val="7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BBE-4A50-A03D-0711B1CB4C50}"/>
              </c:ext>
            </c:extLst>
          </c:dPt>
          <c:dPt>
            <c:idx val="8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BBE-4A50-A03D-0711B1CB4C50}"/>
              </c:ext>
            </c:extLst>
          </c:dPt>
          <c:dPt>
            <c:idx val="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BBE-4A50-A03D-0711B1CB4C50}"/>
              </c:ext>
            </c:extLst>
          </c:dPt>
          <c:dPt>
            <c:idx val="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BBE-4A50-A03D-0711B1CB4C50}"/>
              </c:ext>
            </c:extLst>
          </c:dPt>
          <c:dPt>
            <c:idx val="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BBE-4A50-A03D-0711B1CB4C50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BBE-4A50-A03D-0711B1CB4C50}"/>
              </c:ext>
            </c:extLst>
          </c:dPt>
          <c:dPt>
            <c:idx val="1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BBE-4A50-A03D-0711B1CB4C50}"/>
              </c:ext>
            </c:extLst>
          </c:dPt>
          <c:dPt>
            <c:idx val="14"/>
            <c:bubble3D val="0"/>
            <c:spPr>
              <a:pattFill prst="ltUpDiag">
                <a:fgClr>
                  <a:schemeClr val="bg1"/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1D-FBBE-4A50-A03D-0711B1CB4C50}"/>
              </c:ext>
            </c:extLst>
          </c:dPt>
          <c:dPt>
            <c:idx val="15"/>
            <c:bubble3D val="0"/>
            <c:spPr>
              <a:pattFill prst="ltUpDiag">
                <a:fgClr>
                  <a:schemeClr val="bg1"/>
                </a:fgClr>
                <a:bgClr>
                  <a:srgbClr val="C00000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1F-FBBE-4A50-A03D-0711B1CB4C50}"/>
              </c:ext>
            </c:extLst>
          </c:dPt>
          <c:dPt>
            <c:idx val="16"/>
            <c:bubble3D val="0"/>
            <c:spPr>
              <a:pattFill prst="ltUpDiag">
                <a:fgClr>
                  <a:schemeClr val="bg1"/>
                </a:fgClr>
                <a:bgClr>
                  <a:schemeClr val="accent2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21-FBBE-4A50-A03D-0711B1CB4C50}"/>
              </c:ext>
            </c:extLst>
          </c:dPt>
          <c:cat>
            <c:strRef>
              <c:f>Primärenergiebedarf!$H$42:$H$58</c:f>
              <c:strCache>
                <c:ptCount val="17"/>
                <c:pt idx="0">
                  <c:v>Steinkohle</c:v>
                </c:pt>
                <c:pt idx="1">
                  <c:v>Braunkohle</c:v>
                </c:pt>
                <c:pt idx="2">
                  <c:v>Kernenergie</c:v>
                </c:pt>
                <c:pt idx="3">
                  <c:v>Erdgas</c:v>
                </c:pt>
                <c:pt idx="4">
                  <c:v>Erdöl</c:v>
                </c:pt>
                <c:pt idx="5">
                  <c:v>Wasserkraft</c:v>
                </c:pt>
                <c:pt idx="6">
                  <c:v>fest. Biomasse</c:v>
                </c:pt>
                <c:pt idx="7">
                  <c:v>gas. Biomasse</c:v>
                </c:pt>
                <c:pt idx="8">
                  <c:v>flüs. Biomasse</c:v>
                </c:pt>
                <c:pt idx="9">
                  <c:v>Onshore Wind</c:v>
                </c:pt>
                <c:pt idx="10">
                  <c:v>Offshore Wind</c:v>
                </c:pt>
                <c:pt idx="11">
                  <c:v>PV</c:v>
                </c:pt>
                <c:pt idx="12">
                  <c:v>Müll</c:v>
                </c:pt>
                <c:pt idx="13">
                  <c:v>Solarthermie</c:v>
                </c:pt>
                <c:pt idx="14">
                  <c:v>Stromimport</c:v>
                </c:pt>
                <c:pt idx="15">
                  <c:v>PtL-Import</c:v>
                </c:pt>
                <c:pt idx="16">
                  <c:v>H2-Import</c:v>
                </c:pt>
              </c:strCache>
            </c:strRef>
          </c:cat>
          <c:val>
            <c:numRef>
              <c:f>Primärenergiebedarf!$K$42:$K$58</c:f>
              <c:numCache>
                <c:formatCode>0%</c:formatCode>
                <c:ptCount val="17"/>
                <c:pt idx="0">
                  <c:v>2.1548039322978065E-3</c:v>
                </c:pt>
                <c:pt idx="1">
                  <c:v>5.076566403622229E-8</c:v>
                </c:pt>
                <c:pt idx="2">
                  <c:v>0</c:v>
                </c:pt>
                <c:pt idx="3">
                  <c:v>3.7034679215549827E-3</c:v>
                </c:pt>
                <c:pt idx="4">
                  <c:v>1.1354978258419648E-2</c:v>
                </c:pt>
                <c:pt idx="5">
                  <c:v>1.1248960368850452E-2</c:v>
                </c:pt>
                <c:pt idx="6">
                  <c:v>0.16190941046485227</c:v>
                </c:pt>
                <c:pt idx="7">
                  <c:v>3.6203433167558592E-2</c:v>
                </c:pt>
                <c:pt idx="8">
                  <c:v>2.4283764169432719E-3</c:v>
                </c:pt>
                <c:pt idx="9">
                  <c:v>0.10629962866635713</c:v>
                </c:pt>
                <c:pt idx="10">
                  <c:v>0.11399979665967538</c:v>
                </c:pt>
                <c:pt idx="11">
                  <c:v>0.20763911034365415</c:v>
                </c:pt>
                <c:pt idx="12">
                  <c:v>2.2854791449209957E-2</c:v>
                </c:pt>
                <c:pt idx="13">
                  <c:v>1.0465664719337708E-3</c:v>
                </c:pt>
                <c:pt idx="14">
                  <c:v>3.4898584131657487E-2</c:v>
                </c:pt>
                <c:pt idx="15">
                  <c:v>4.094877646994563E-2</c:v>
                </c:pt>
                <c:pt idx="16">
                  <c:v>0.20092518363572823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BBE-4A50-A03D-0711B1CB4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839404858572463"/>
          <c:y val="9.1423978701226941E-2"/>
          <c:w val="0.28999076757383485"/>
          <c:h val="0.8862474726544348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/>
              <a:t>Entwicklung der Erneuerbaren</a:t>
            </a:r>
            <a:r>
              <a:rPr lang="de-DE" sz="1800" baseline="0"/>
              <a:t> Energien</a:t>
            </a:r>
            <a:endParaRPr lang="de-DE" sz="1800"/>
          </a:p>
        </c:rich>
      </c:tx>
      <c:layout>
        <c:manualLayout>
          <c:xMode val="edge"/>
          <c:yMode val="edge"/>
          <c:x val="0.29487412664966173"/>
          <c:y val="1.91846522781774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888417699758984"/>
          <c:y val="0.14625125096772976"/>
          <c:w val="0.8130978098259235"/>
          <c:h val="0.476049270819564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Primärenergiebedarf!$AA$3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Primärenergiebedarf!$Y$4:$Y$16</c:f>
              <c:strCache>
                <c:ptCount val="13"/>
                <c:pt idx="0">
                  <c:v>Holz</c:v>
                </c:pt>
                <c:pt idx="1">
                  <c:v>Stroh</c:v>
                </c:pt>
                <c:pt idx="2">
                  <c:v>Biogas</c:v>
                </c:pt>
                <c:pt idx="3">
                  <c:v>Bioethanol</c:v>
                </c:pt>
                <c:pt idx="4">
                  <c:v>Biodiesel</c:v>
                </c:pt>
                <c:pt idx="5">
                  <c:v>Onshore Wind</c:v>
                </c:pt>
                <c:pt idx="7">
                  <c:v>Offshore Wind</c:v>
                </c:pt>
                <c:pt idx="8">
                  <c:v>Freiflächen-PV</c:v>
                </c:pt>
                <c:pt idx="9">
                  <c:v>Aufdach-PV</c:v>
                </c:pt>
                <c:pt idx="10">
                  <c:v>Müll</c:v>
                </c:pt>
                <c:pt idx="11">
                  <c:v>Solarthermie</c:v>
                </c:pt>
                <c:pt idx="12">
                  <c:v>Wasserkraft</c:v>
                </c:pt>
              </c:strCache>
            </c:strRef>
          </c:cat>
          <c:val>
            <c:numRef>
              <c:f>Primärenergiebedarf!$AA$4:$AA$16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A-4779-9C51-C90AE58B8506}"/>
            </c:ext>
          </c:extLst>
        </c:ser>
        <c:ser>
          <c:idx val="1"/>
          <c:order val="1"/>
          <c:tx>
            <c:strRef>
              <c:f>Primärenergiebedarf!$AB$3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Primärenergiebedarf!$Y$4:$Y$16</c:f>
              <c:strCache>
                <c:ptCount val="13"/>
                <c:pt idx="0">
                  <c:v>Holz</c:v>
                </c:pt>
                <c:pt idx="1">
                  <c:v>Stroh</c:v>
                </c:pt>
                <c:pt idx="2">
                  <c:v>Biogas</c:v>
                </c:pt>
                <c:pt idx="3">
                  <c:v>Bioethanol</c:v>
                </c:pt>
                <c:pt idx="4">
                  <c:v>Biodiesel</c:v>
                </c:pt>
                <c:pt idx="5">
                  <c:v>Onshore Wind</c:v>
                </c:pt>
                <c:pt idx="7">
                  <c:v>Offshore Wind</c:v>
                </c:pt>
                <c:pt idx="8">
                  <c:v>Freiflächen-PV</c:v>
                </c:pt>
                <c:pt idx="9">
                  <c:v>Aufdach-PV</c:v>
                </c:pt>
                <c:pt idx="10">
                  <c:v>Müll</c:v>
                </c:pt>
                <c:pt idx="11">
                  <c:v>Solarthermie</c:v>
                </c:pt>
                <c:pt idx="12">
                  <c:v>Wasserkraft</c:v>
                </c:pt>
              </c:strCache>
            </c:strRef>
          </c:cat>
          <c:val>
            <c:numRef>
              <c:f>Primärenergiebedarf!$AB$4:$AB$16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A-4779-9C51-C90AE58B8506}"/>
            </c:ext>
          </c:extLst>
        </c:ser>
        <c:ser>
          <c:idx val="2"/>
          <c:order val="2"/>
          <c:tx>
            <c:strRef>
              <c:f>Primärenergiebedarf!$AC$3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Primärenergiebedarf!$Y$4:$Y$16</c:f>
              <c:strCache>
                <c:ptCount val="13"/>
                <c:pt idx="0">
                  <c:v>Holz</c:v>
                </c:pt>
                <c:pt idx="1">
                  <c:v>Stroh</c:v>
                </c:pt>
                <c:pt idx="2">
                  <c:v>Biogas</c:v>
                </c:pt>
                <c:pt idx="3">
                  <c:v>Bioethanol</c:v>
                </c:pt>
                <c:pt idx="4">
                  <c:v>Biodiesel</c:v>
                </c:pt>
                <c:pt idx="5">
                  <c:v>Onshore Wind</c:v>
                </c:pt>
                <c:pt idx="7">
                  <c:v>Offshore Wind</c:v>
                </c:pt>
                <c:pt idx="8">
                  <c:v>Freiflächen-PV</c:v>
                </c:pt>
                <c:pt idx="9">
                  <c:v>Aufdach-PV</c:v>
                </c:pt>
                <c:pt idx="10">
                  <c:v>Müll</c:v>
                </c:pt>
                <c:pt idx="11">
                  <c:v>Solarthermie</c:v>
                </c:pt>
                <c:pt idx="12">
                  <c:v>Wasserkraft</c:v>
                </c:pt>
              </c:strCache>
            </c:strRef>
          </c:cat>
          <c:val>
            <c:numRef>
              <c:f>Primärenergiebedarf!$AC$4:$AC$16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EA-4779-9C51-C90AE58B8506}"/>
            </c:ext>
          </c:extLst>
        </c:ser>
        <c:ser>
          <c:idx val="3"/>
          <c:order val="3"/>
          <c:tx>
            <c:strRef>
              <c:f>Primärenergiebedarf!$AD$3</c:f>
              <c:strCache>
                <c:ptCount val="1"/>
                <c:pt idx="0">
                  <c:v>2035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Primärenergiebedarf!$Y$4:$Y$16</c:f>
              <c:strCache>
                <c:ptCount val="13"/>
                <c:pt idx="0">
                  <c:v>Holz</c:v>
                </c:pt>
                <c:pt idx="1">
                  <c:v>Stroh</c:v>
                </c:pt>
                <c:pt idx="2">
                  <c:v>Biogas</c:v>
                </c:pt>
                <c:pt idx="3">
                  <c:v>Bioethanol</c:v>
                </c:pt>
                <c:pt idx="4">
                  <c:v>Biodiesel</c:v>
                </c:pt>
                <c:pt idx="5">
                  <c:v>Onshore Wind</c:v>
                </c:pt>
                <c:pt idx="7">
                  <c:v>Offshore Wind</c:v>
                </c:pt>
                <c:pt idx="8">
                  <c:v>Freiflächen-PV</c:v>
                </c:pt>
                <c:pt idx="9">
                  <c:v>Aufdach-PV</c:v>
                </c:pt>
                <c:pt idx="10">
                  <c:v>Müll</c:v>
                </c:pt>
                <c:pt idx="11">
                  <c:v>Solarthermie</c:v>
                </c:pt>
                <c:pt idx="12">
                  <c:v>Wasserkraft</c:v>
                </c:pt>
              </c:strCache>
            </c:strRef>
          </c:cat>
          <c:val>
            <c:numRef>
              <c:f>Primärenergiebedarf!$AD$4:$AD$16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EA-4779-9C51-C90AE58B8506}"/>
            </c:ext>
          </c:extLst>
        </c:ser>
        <c:ser>
          <c:idx val="4"/>
          <c:order val="4"/>
          <c:tx>
            <c:strRef>
              <c:f>Primärenergiebedarf!$AE$3</c:f>
              <c:strCache>
                <c:ptCount val="1"/>
                <c:pt idx="0">
                  <c:v>2040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Primärenergiebedarf!$Y$4:$Y$16</c:f>
              <c:strCache>
                <c:ptCount val="13"/>
                <c:pt idx="0">
                  <c:v>Holz</c:v>
                </c:pt>
                <c:pt idx="1">
                  <c:v>Stroh</c:v>
                </c:pt>
                <c:pt idx="2">
                  <c:v>Biogas</c:v>
                </c:pt>
                <c:pt idx="3">
                  <c:v>Bioethanol</c:v>
                </c:pt>
                <c:pt idx="4">
                  <c:v>Biodiesel</c:v>
                </c:pt>
                <c:pt idx="5">
                  <c:v>Onshore Wind</c:v>
                </c:pt>
                <c:pt idx="7">
                  <c:v>Offshore Wind</c:v>
                </c:pt>
                <c:pt idx="8">
                  <c:v>Freiflächen-PV</c:v>
                </c:pt>
                <c:pt idx="9">
                  <c:v>Aufdach-PV</c:v>
                </c:pt>
                <c:pt idx="10">
                  <c:v>Müll</c:v>
                </c:pt>
                <c:pt idx="11">
                  <c:v>Solarthermie</c:v>
                </c:pt>
                <c:pt idx="12">
                  <c:v>Wasserkraft</c:v>
                </c:pt>
              </c:strCache>
            </c:strRef>
          </c:cat>
          <c:val>
            <c:numRef>
              <c:f>Primärenergiebedarf!$AE$4:$AE$16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EA-4779-9C51-C90AE58B8506}"/>
            </c:ext>
          </c:extLst>
        </c:ser>
        <c:ser>
          <c:idx val="5"/>
          <c:order val="5"/>
          <c:tx>
            <c:strRef>
              <c:f>Primärenergiebedarf!$AF$3</c:f>
              <c:strCache>
                <c:ptCount val="1"/>
                <c:pt idx="0">
                  <c:v>2045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Primärenergiebedarf!$Y$4:$Y$16</c:f>
              <c:strCache>
                <c:ptCount val="13"/>
                <c:pt idx="0">
                  <c:v>Holz</c:v>
                </c:pt>
                <c:pt idx="1">
                  <c:v>Stroh</c:v>
                </c:pt>
                <c:pt idx="2">
                  <c:v>Biogas</c:v>
                </c:pt>
                <c:pt idx="3">
                  <c:v>Bioethanol</c:v>
                </c:pt>
                <c:pt idx="4">
                  <c:v>Biodiesel</c:v>
                </c:pt>
                <c:pt idx="5">
                  <c:v>Onshore Wind</c:v>
                </c:pt>
                <c:pt idx="7">
                  <c:v>Offshore Wind</c:v>
                </c:pt>
                <c:pt idx="8">
                  <c:v>Freiflächen-PV</c:v>
                </c:pt>
                <c:pt idx="9">
                  <c:v>Aufdach-PV</c:v>
                </c:pt>
                <c:pt idx="10">
                  <c:v>Müll</c:v>
                </c:pt>
                <c:pt idx="11">
                  <c:v>Solarthermie</c:v>
                </c:pt>
                <c:pt idx="12">
                  <c:v>Wasserkraft</c:v>
                </c:pt>
              </c:strCache>
            </c:strRef>
          </c:cat>
          <c:val>
            <c:numRef>
              <c:f>Primärenergiebedarf!$AF$4:$AF$16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EA-4779-9C51-C90AE58B8506}"/>
            </c:ext>
          </c:extLst>
        </c:ser>
        <c:ser>
          <c:idx val="6"/>
          <c:order val="6"/>
          <c:tx>
            <c:strRef>
              <c:f>Primärenergiebedarf!$AG$3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Primärenergiebedarf!$Y$4:$Y$16</c:f>
              <c:strCache>
                <c:ptCount val="13"/>
                <c:pt idx="0">
                  <c:v>Holz</c:v>
                </c:pt>
                <c:pt idx="1">
                  <c:v>Stroh</c:v>
                </c:pt>
                <c:pt idx="2">
                  <c:v>Biogas</c:v>
                </c:pt>
                <c:pt idx="3">
                  <c:v>Bioethanol</c:v>
                </c:pt>
                <c:pt idx="4">
                  <c:v>Biodiesel</c:v>
                </c:pt>
                <c:pt idx="5">
                  <c:v>Onshore Wind</c:v>
                </c:pt>
                <c:pt idx="7">
                  <c:v>Offshore Wind</c:v>
                </c:pt>
                <c:pt idx="8">
                  <c:v>Freiflächen-PV</c:v>
                </c:pt>
                <c:pt idx="9">
                  <c:v>Aufdach-PV</c:v>
                </c:pt>
                <c:pt idx="10">
                  <c:v>Müll</c:v>
                </c:pt>
                <c:pt idx="11">
                  <c:v>Solarthermie</c:v>
                </c:pt>
                <c:pt idx="12">
                  <c:v>Wasserkraft</c:v>
                </c:pt>
              </c:strCache>
            </c:strRef>
          </c:cat>
          <c:val>
            <c:numRef>
              <c:f>Primärenergiebedarf!$AG$4:$AG$16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48815.975999999988</c:v>
                </c:pt>
                <c:pt idx="11">
                  <c:v>2235.3808780035779</c:v>
                </c:pt>
                <c:pt idx="12">
                  <c:v>24026.86459034554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EA-4779-9C51-C90AE58B8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095232"/>
        <c:axId val="81340672"/>
      </c:barChart>
      <c:catAx>
        <c:axId val="36009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40672"/>
        <c:crosses val="autoZero"/>
        <c:auto val="1"/>
        <c:lblAlgn val="ctr"/>
        <c:lblOffset val="100"/>
        <c:noMultiLvlLbl val="0"/>
      </c:catAx>
      <c:valAx>
        <c:axId val="8134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Nutzung</a:t>
                </a:r>
                <a:r>
                  <a:rPr lang="en-US" sz="1600" b="1" baseline="0"/>
                  <a:t> EE </a:t>
                </a:r>
                <a:r>
                  <a:rPr lang="en-US" sz="1600" b="1"/>
                  <a:t>[TWh/a]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9523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674585824192123"/>
          <c:y val="0.90940161256821317"/>
          <c:w val="0.81974089346386114"/>
          <c:h val="8.100606129269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/>
              <a:t>Verteilung der Erneuerbaren Energien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007715043036183"/>
          <c:y val="0.14441720646988093"/>
          <c:w val="0.41784089102582828"/>
          <c:h val="0.832594287782992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94-43E0-923C-C9BC2384AA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94-43E0-923C-C9BC2384AA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494-43E0-923C-C9BC2384AA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494-43E0-923C-C9BC2384AA8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494-43E0-923C-C9BC2384AA8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494-43E0-923C-C9BC2384AA8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494-43E0-923C-C9BC2384AA8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494-43E0-923C-C9BC2384AA8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494-43E0-923C-C9BC2384AA8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494-43E0-923C-C9BC2384AA8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494-43E0-923C-C9BC2384AA8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494-43E0-923C-C9BC2384AA8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494-43E0-923C-C9BC2384AA82}"/>
              </c:ext>
            </c:extLst>
          </c:dPt>
          <c:dLbls>
            <c:dLbl>
              <c:idx val="0"/>
              <c:layout>
                <c:manualLayout>
                  <c:x val="-7.4115480262409092E-2"/>
                  <c:y val="0.1329994957526860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94-43E0-923C-C9BC2384AA8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94-43E0-923C-C9BC2384AA8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94-43E0-923C-C9BC2384AA82}"/>
                </c:ext>
              </c:extLst>
            </c:dLbl>
            <c:dLbl>
              <c:idx val="5"/>
              <c:layout>
                <c:manualLayout>
                  <c:x val="2.6270402849829184E-2"/>
                  <c:y val="-8.85714285714285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94-43E0-923C-C9BC2384AA8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94-43E0-923C-C9BC2384AA8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1-3494-43E0-923C-C9BC2384AA82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7-3494-43E0-923C-C9BC2384AA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Primärenergiebedarf!$Y$31:$Y$42</c:f>
              <c:strCache>
                <c:ptCount val="12"/>
                <c:pt idx="0">
                  <c:v>Holz</c:v>
                </c:pt>
                <c:pt idx="1">
                  <c:v>Stroh</c:v>
                </c:pt>
                <c:pt idx="2">
                  <c:v>Biogas</c:v>
                </c:pt>
                <c:pt idx="3">
                  <c:v>Bioethanol</c:v>
                </c:pt>
                <c:pt idx="4">
                  <c:v>Biodiesel</c:v>
                </c:pt>
                <c:pt idx="5">
                  <c:v>Onshore Wind</c:v>
                </c:pt>
                <c:pt idx="6">
                  <c:v>Offshore Wind</c:v>
                </c:pt>
                <c:pt idx="7">
                  <c:v>Freiflächen-PV</c:v>
                </c:pt>
                <c:pt idx="8">
                  <c:v>Aufdach-PV</c:v>
                </c:pt>
                <c:pt idx="9">
                  <c:v>Müll</c:v>
                </c:pt>
                <c:pt idx="10">
                  <c:v>Solarthermie</c:v>
                </c:pt>
                <c:pt idx="11">
                  <c:v>Wasserkraft</c:v>
                </c:pt>
              </c:strCache>
            </c:strRef>
          </c:cat>
          <c:val>
            <c:numRef>
              <c:f>Primärenergiebedarf!$AA$31:$AA$42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494-43E0-923C-C9BC2384A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220939626057249"/>
          <c:y val="0.23534127199617291"/>
          <c:w val="0.22218181936157855"/>
          <c:h val="0.744954294506290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Verteilung der Erneuerbaren Energien 2050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9561958050372644"/>
          <c:y val="0.1849283552474601"/>
          <c:w val="0.44830253668148223"/>
          <c:h val="0.7486008866116616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58-4E17-A533-88326DC735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58-4E17-A533-88326DC735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658-4E17-A533-88326DC735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658-4E17-A533-88326DC7358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658-4E17-A533-88326DC7358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658-4E17-A533-88326DC7358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658-4E17-A533-88326DC7358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658-4E17-A533-88326DC7358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658-4E17-A533-88326DC7358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658-4E17-A533-88326DC7358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658-4E17-A533-88326DC7358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658-4E17-A533-88326DC7358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658-4E17-A533-88326DC7358D}"/>
              </c:ext>
            </c:extLst>
          </c:dPt>
          <c:dLbls>
            <c:dLbl>
              <c:idx val="0"/>
              <c:layout>
                <c:manualLayout>
                  <c:x val="-9.5867260778449148E-2"/>
                  <c:y val="6.435544839191752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58-4E17-A533-88326DC7358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58-4E17-A533-88326DC7358D}"/>
                </c:ext>
              </c:extLst>
            </c:dLbl>
            <c:dLbl>
              <c:idx val="2"/>
              <c:layout>
                <c:manualLayout>
                  <c:x val="8.7531112874456585E-3"/>
                  <c:y val="-9.698476685629607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658-4E17-A533-88326DC7358D}"/>
                </c:ext>
              </c:extLst>
            </c:dLbl>
            <c:dLbl>
              <c:idx val="5"/>
              <c:layout>
                <c:manualLayout>
                  <c:x val="2.4631420719393875E-2"/>
                  <c:y val="-0.141413555362996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658-4E17-A533-88326DC7358D}"/>
                </c:ext>
              </c:extLst>
            </c:dLbl>
            <c:dLbl>
              <c:idx val="6"/>
              <c:layout>
                <c:manualLayout>
                  <c:x val="9.03446662190482E-2"/>
                  <c:y val="-1.268457471524193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658-4E17-A533-88326DC7358D}"/>
                </c:ext>
              </c:extLst>
            </c:dLbl>
            <c:dLbl>
              <c:idx val="7"/>
              <c:layout>
                <c:manualLayout>
                  <c:x val="-6.6434040706152041E-3"/>
                  <c:y val="-5.590676763490688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658-4E17-A533-88326DC7358D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1-B658-4E17-A533-88326DC7358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658-4E17-A533-88326DC735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Primärenergiebedarf!$Y$31:$Y$42</c:f>
              <c:strCache>
                <c:ptCount val="12"/>
                <c:pt idx="0">
                  <c:v>Holz</c:v>
                </c:pt>
                <c:pt idx="1">
                  <c:v>Stroh</c:v>
                </c:pt>
                <c:pt idx="2">
                  <c:v>Biogas</c:v>
                </c:pt>
                <c:pt idx="3">
                  <c:v>Bioethanol</c:v>
                </c:pt>
                <c:pt idx="4">
                  <c:v>Biodiesel</c:v>
                </c:pt>
                <c:pt idx="5">
                  <c:v>Onshore Wind</c:v>
                </c:pt>
                <c:pt idx="6">
                  <c:v>Offshore Wind</c:v>
                </c:pt>
                <c:pt idx="7">
                  <c:v>Freiflächen-PV</c:v>
                </c:pt>
                <c:pt idx="8">
                  <c:v>Aufdach-PV</c:v>
                </c:pt>
                <c:pt idx="9">
                  <c:v>Müll</c:v>
                </c:pt>
                <c:pt idx="10">
                  <c:v>Solarthermie</c:v>
                </c:pt>
                <c:pt idx="11">
                  <c:v>Wasserkraft</c:v>
                </c:pt>
              </c:strCache>
            </c:strRef>
          </c:cat>
          <c:val>
            <c:numRef>
              <c:f>Primärenergiebedarf!$AB$31:$AB$42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0.65020155040006444</c:v>
                </c:pt>
                <c:pt idx="10">
                  <c:v>2.9774025466838643E-2</c:v>
                </c:pt>
                <c:pt idx="11">
                  <c:v>0.32002442413309695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658-4E17-A533-88326DC73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379291413788175"/>
          <c:y val="0.24453402654811693"/>
          <c:w val="0.23459182215403598"/>
          <c:h val="0.733137424807545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31684685553124"/>
          <c:y val="0.12876055904121597"/>
          <c:w val="0.65528490567071596"/>
          <c:h val="0.71414481247695283"/>
        </c:manualLayout>
      </c:layout>
      <c:barChart>
        <c:barDir val="col"/>
        <c:grouping val="stacked"/>
        <c:varyColors val="0"/>
        <c:ser>
          <c:idx val="17"/>
          <c:order val="0"/>
          <c:tx>
            <c:strRef>
              <c:f>Primärenergiebedarf!$C$14</c:f>
              <c:strCache>
                <c:ptCount val="1"/>
                <c:pt idx="0">
                  <c:v>Rohöl (n-energ.)</c:v>
                </c:pt>
              </c:strCache>
            </c:strRef>
          </c:tx>
          <c:spPr>
            <a:pattFill prst="dkUpDiag">
              <a:fgClr>
                <a:schemeClr val="tx1"/>
              </a:fgClr>
              <a:bgClr>
                <a:schemeClr val="bg1"/>
              </a:bgClr>
            </a:patt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Primärenergiebedarf!$E$14:$L$14</c15:sqref>
                  </c15:fullRef>
                </c:ext>
              </c:extLst>
              <c:f>Primärenergiebedarf!$E$14:$J$14</c:f>
              <c:numCache>
                <c:formatCode>0.00</c:formatCode>
                <c:ptCount val="6"/>
                <c:pt idx="0">
                  <c:v>106388.99681788957</c:v>
                </c:pt>
                <c:pt idx="1">
                  <c:v>117264.22362450516</c:v>
                </c:pt>
                <c:pt idx="2">
                  <c:v>112956.3728679303</c:v>
                </c:pt>
                <c:pt idx="3">
                  <c:v>99466.405709215673</c:v>
                </c:pt>
                <c:pt idx="4">
                  <c:v>33023.758035273691</c:v>
                </c:pt>
                <c:pt idx="5">
                  <c:v>7.6724786859521765E-4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5-4F2E-83A5-859C86E697F5}"/>
            </c:ext>
          </c:extLst>
        </c:ser>
        <c:ser>
          <c:idx val="4"/>
          <c:order val="1"/>
          <c:tx>
            <c:strRef>
              <c:f>Primärenergiebedarf!$C$15</c:f>
              <c:strCache>
                <c:ptCount val="1"/>
                <c:pt idx="0">
                  <c:v>Energetischer Rohöl-Bedarf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Primärenergiebedarf!$E$15:$L$15</c15:sqref>
                  </c15:fullRef>
                </c:ext>
              </c:extLst>
              <c:f>Primärenergiebedarf!$E$15:$J$15</c:f>
              <c:numCache>
                <c:formatCode>0.00</c:formatCode>
                <c:ptCount val="6"/>
                <c:pt idx="0">
                  <c:v>-9388.9968178895651</c:v>
                </c:pt>
                <c:pt idx="1">
                  <c:v>-20264.223624505161</c:v>
                </c:pt>
                <c:pt idx="2">
                  <c:v>-15956.372867930302</c:v>
                </c:pt>
                <c:pt idx="3">
                  <c:v>-34799.739042549001</c:v>
                </c:pt>
                <c:pt idx="4">
                  <c:v>-690.42470194035559</c:v>
                </c:pt>
                <c:pt idx="5">
                  <c:v>-7.6724786859521765E-4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05-4F2E-83A5-859C86E697F5}"/>
            </c:ext>
          </c:extLst>
        </c:ser>
        <c:ser>
          <c:idx val="1"/>
          <c:order val="2"/>
          <c:tx>
            <c:strRef>
              <c:f>Primärenergiebedarf!$C$5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Primärenergiebedarf!$E$5:$L$5</c15:sqref>
                  </c15:fullRef>
                </c:ext>
              </c:extLst>
              <c:f>Primärenergiebedarf!$E$5:$J$5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05-4F2E-83A5-859C86E697F5}"/>
            </c:ext>
          </c:extLst>
        </c:ser>
        <c:ser>
          <c:idx val="0"/>
          <c:order val="3"/>
          <c:tx>
            <c:strRef>
              <c:f>Primärenergiebedarf!$C$4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Primärenergiebedarf!$E$4:$L$4</c15:sqref>
                  </c15:fullRef>
                </c:ext>
              </c:extLst>
              <c:f>Primärenergiebedarf!$E$4:$J$4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05-4F2E-83A5-859C86E697F5}"/>
            </c:ext>
          </c:extLst>
        </c:ser>
        <c:ser>
          <c:idx val="2"/>
          <c:order val="4"/>
          <c:tx>
            <c:strRef>
              <c:f>Primärenergiebedarf!$C$6</c:f>
              <c:strCache>
                <c:ptCount val="1"/>
                <c:pt idx="0">
                  <c:v>Kernenergie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Primärenergiebedarf!$E$6:$L$6</c15:sqref>
                  </c15:fullRef>
                </c:ext>
              </c:extLst>
              <c:f>Primärenergiebedarf!$E$6:$J$6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05-4F2E-83A5-859C86E697F5}"/>
            </c:ext>
          </c:extLst>
        </c:ser>
        <c:ser>
          <c:idx val="18"/>
          <c:order val="5"/>
          <c:tx>
            <c:strRef>
              <c:f>Primärenergiebedarf!$C$9</c:f>
              <c:strCache>
                <c:ptCount val="1"/>
                <c:pt idx="0">
                  <c:v>Erdgas (n-energ.)</c:v>
                </c:pt>
              </c:strCache>
            </c:strRef>
          </c:tx>
          <c:spPr>
            <a:pattFill prst="dkUpDiag">
              <a:fgClr>
                <a:srgbClr val="FFC000"/>
              </a:fgClr>
              <a:bgClr>
                <a:schemeClr val="bg1"/>
              </a:bgClr>
            </a:patt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Primärenergiebedarf!$E$9:$L$9</c15:sqref>
                  </c15:fullRef>
                </c:ext>
              </c:extLst>
              <c:f>Primärenergiebedarf!$E$9:$J$9</c:f>
              <c:numCache>
                <c:formatCode>General</c:formatCode>
                <c:ptCount val="6"/>
                <c:pt idx="0">
                  <c:v>19803.66776795328</c:v>
                </c:pt>
                <c:pt idx="1">
                  <c:v>21568.72636301296</c:v>
                </c:pt>
                <c:pt idx="2">
                  <c:v>41835.651712141582</c:v>
                </c:pt>
                <c:pt idx="3">
                  <c:v>75323.983151658715</c:v>
                </c:pt>
                <c:pt idx="4">
                  <c:v>128551.2845284192</c:v>
                </c:pt>
                <c:pt idx="5">
                  <c:v>17160.268269532378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05-4F2E-83A5-859C86E697F5}"/>
            </c:ext>
          </c:extLst>
        </c:ser>
        <c:ser>
          <c:idx val="3"/>
          <c:order val="6"/>
          <c:tx>
            <c:strRef>
              <c:f>Primärenergiebedarf!$C$8</c:f>
              <c:strCache>
                <c:ptCount val="1"/>
                <c:pt idx="0">
                  <c:v>Erdgas (energ.)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Primärenergiebedarf!$E$8:$L$8</c15:sqref>
                  </c15:fullRef>
                </c:ext>
              </c:extLst>
              <c:f>Primärenergiebedarf!$E$8:$J$8</c:f>
              <c:numCache>
                <c:formatCode>General</c:formatCode>
                <c:ptCount val="6"/>
                <c:pt idx="0">
                  <c:v>-19803.66776795328</c:v>
                </c:pt>
                <c:pt idx="1">
                  <c:v>-21568.72636301296</c:v>
                </c:pt>
                <c:pt idx="2">
                  <c:v>-41835.651712141582</c:v>
                </c:pt>
                <c:pt idx="3">
                  <c:v>-75323.983151658715</c:v>
                </c:pt>
                <c:pt idx="4">
                  <c:v>-128551.2845284192</c:v>
                </c:pt>
                <c:pt idx="5">
                  <c:v>-17160.268269532378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05-4F2E-83A5-859C86E697F5}"/>
            </c:ext>
          </c:extLst>
        </c:ser>
        <c:ser>
          <c:idx val="5"/>
          <c:order val="7"/>
          <c:tx>
            <c:strRef>
              <c:f>Primärenergiebedarf!$C$17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Primärenergiebedarf!$E$17:$L$17</c15:sqref>
                  </c15:fullRef>
                </c:ext>
              </c:extLst>
              <c:f>Primärenergiebedarf!$E$17:$J$17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05-4F2E-83A5-859C86E697F5}"/>
            </c:ext>
          </c:extLst>
        </c:ser>
        <c:ser>
          <c:idx val="11"/>
          <c:order val="8"/>
          <c:tx>
            <c:strRef>
              <c:f>Primärenergiebedarf!$C$24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Primärenergiebedarf!$E$24:$L$24</c15:sqref>
                  </c15:fullRef>
                </c:ext>
              </c:extLst>
              <c:f>Primärenergiebedarf!$E$24:$J$24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05-4F2E-83A5-859C86E697F5}"/>
            </c:ext>
          </c:extLst>
        </c:ser>
        <c:ser>
          <c:idx val="6"/>
          <c:order val="9"/>
          <c:tx>
            <c:strRef>
              <c:f>Primärenergiebedarf!$C$18</c:f>
              <c:strCache>
                <c:ptCount val="1"/>
                <c:pt idx="0">
                  <c:v>feste Biomasse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Primärenergiebedarf!$E$18:$L$18</c15:sqref>
                  </c15:fullRef>
                </c:ext>
              </c:extLst>
              <c:f>Primärenergiebedarf!$E$18:$J$18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05-4F2E-83A5-859C86E697F5}"/>
            </c:ext>
          </c:extLst>
        </c:ser>
        <c:ser>
          <c:idx val="7"/>
          <c:order val="10"/>
          <c:tx>
            <c:strRef>
              <c:f>Primärenergiebedarf!$C$19</c:f>
              <c:strCache>
                <c:ptCount val="1"/>
                <c:pt idx="0">
                  <c:v>gas. Biomasse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Primärenergiebedarf!$E$19:$L$19</c15:sqref>
                  </c15:fullRef>
                </c:ext>
              </c:extLst>
              <c:f>Primärenergiebedarf!$E$19:$J$19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05-4F2E-83A5-859C86E697F5}"/>
            </c:ext>
          </c:extLst>
        </c:ser>
        <c:ser>
          <c:idx val="8"/>
          <c:order val="11"/>
          <c:tx>
            <c:strRef>
              <c:f>Primärenergiebedarf!$C$20</c:f>
              <c:strCache>
                <c:ptCount val="1"/>
                <c:pt idx="0">
                  <c:v>fl. Biomasse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Primärenergiebedarf!$E$20:$L$20</c15:sqref>
                  </c15:fullRef>
                </c:ext>
              </c:extLst>
              <c:f>Primärenergiebedarf!$E$20:$J$20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05-4F2E-83A5-859C86E697F5}"/>
            </c:ext>
          </c:extLst>
        </c:ser>
        <c:ser>
          <c:idx val="10"/>
          <c:order val="12"/>
          <c:tx>
            <c:strRef>
              <c:f>Primärenergiebedarf!$C$23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Primärenergiebedarf!$E$23:$L$23</c15:sqref>
                  </c15:fullRef>
                </c:ext>
              </c:extLst>
              <c:f>Primärenergiebedarf!$E$23:$J$23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05-4F2E-83A5-859C86E697F5}"/>
            </c:ext>
          </c:extLst>
        </c:ser>
        <c:ser>
          <c:idx val="12"/>
          <c:order val="13"/>
          <c:tx>
            <c:strRef>
              <c:f>Primärenergiebedarf!$C$25</c:f>
              <c:strCache>
                <c:ptCount val="1"/>
                <c:pt idx="0">
                  <c:v>Solarthermie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Primärenergiebedarf!$E$25:$L$25</c15:sqref>
                  </c15:fullRef>
                </c:ext>
              </c:extLst>
              <c:f>Primärenergiebedarf!$E$25:$J$25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05-4F2E-83A5-859C86E697F5}"/>
            </c:ext>
          </c:extLst>
        </c:ser>
        <c:ser>
          <c:idx val="9"/>
          <c:order val="14"/>
          <c:tx>
            <c:strRef>
              <c:f>Primärenergiebedarf!$C$21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Primärenergiebedarf!$E$21:$L$21</c15:sqref>
                  </c15:fullRef>
                </c:ext>
              </c:extLst>
              <c:f>Primärenergiebedarf!$E$21:$J$21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05-4F2E-83A5-859C86E697F5}"/>
            </c:ext>
          </c:extLst>
        </c:ser>
        <c:ser>
          <c:idx val="13"/>
          <c:order val="15"/>
          <c:tx>
            <c:strRef>
              <c:f>Primärenergiebedarf!$C$22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Primärenergiebedarf!$E$22:$L$22</c15:sqref>
                  </c15:fullRef>
                </c:ext>
              </c:extLst>
              <c:f>Primärenergiebedarf!$E$22:$J$22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705-4F2E-83A5-859C86E697F5}"/>
            </c:ext>
          </c:extLst>
        </c:ser>
        <c:ser>
          <c:idx val="14"/>
          <c:order val="16"/>
          <c:tx>
            <c:strRef>
              <c:f>Primärenergiebedarf!$C$26</c:f>
              <c:strCache>
                <c:ptCount val="1"/>
                <c:pt idx="0">
                  <c:v>El.-Import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accent4">
                  <a:lumMod val="60000"/>
                  <a:lumOff val="40000"/>
                </a:schemeClr>
              </a:bgClr>
            </a:patt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Primärenergiebedarf!$E$26:$L$26</c15:sqref>
                  </c15:fullRef>
                </c:ext>
              </c:extLst>
              <c:f>Primärenergiebedarf!$E$26:$J$26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705-4F2E-83A5-859C86E697F5}"/>
            </c:ext>
          </c:extLst>
        </c:ser>
        <c:ser>
          <c:idx val="15"/>
          <c:order val="17"/>
          <c:tx>
            <c:strRef>
              <c:f>Primärenergiebedarf!$C$27</c:f>
              <c:strCache>
                <c:ptCount val="1"/>
                <c:pt idx="0">
                  <c:v>PtL-Import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Primärenergiebedarf!$E$27:$L$27</c15:sqref>
                  </c15:fullRef>
                </c:ext>
              </c:extLst>
              <c:f>Primärenergiebedarf!$E$27:$J$27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705-4F2E-83A5-859C86E697F5}"/>
            </c:ext>
          </c:extLst>
        </c:ser>
        <c:ser>
          <c:idx val="16"/>
          <c:order val="18"/>
          <c:tx>
            <c:strRef>
              <c:f>Primärenergiebedarf!$C$28</c:f>
              <c:strCache>
                <c:ptCount val="1"/>
                <c:pt idx="0">
                  <c:v>H2-Import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Primärenergiebedarf!$E$3:$L$3</c15:sqref>
                  </c15:fullRef>
                </c:ext>
              </c:extLst>
              <c:f>Primärenergiebedarf!$E$3:$J$3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Primärenergiebedarf!$E$28:$L$28</c15:sqref>
                  </c15:fullRef>
                </c:ext>
              </c:extLst>
              <c:f>Primärenergiebedarf!$E$28:$J$28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705-4F2E-83A5-859C86E69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122944"/>
        <c:axId val="80957376"/>
      </c:barChart>
      <c:catAx>
        <c:axId val="23912294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80957376"/>
        <c:crosses val="autoZero"/>
        <c:auto val="1"/>
        <c:lblAlgn val="ctr"/>
        <c:lblOffset val="100"/>
        <c:noMultiLvlLbl val="0"/>
      </c:catAx>
      <c:valAx>
        <c:axId val="809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Primärenergieverbrauch</a:t>
                </a:r>
                <a:r>
                  <a:rPr lang="en-US" baseline="0"/>
                  <a:t> </a:t>
                </a:r>
                <a:r>
                  <a:rPr lang="en-US"/>
                  <a:t>in TWh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39122944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80996377377499074"/>
          <c:y val="0"/>
          <c:w val="0.19003622495143985"/>
          <c:h val="0.989052756129494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776597222222225"/>
          <c:y val="6.1460416666666663E-2"/>
          <c:w val="0.50866006944444442"/>
          <c:h val="0.62354548611111116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'Endenergiebedarf nach Sektor'!$O$33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'Endenergiebedarf nach Sektor'!$Q$3:$W$3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Sektor'!$Q$33:$W$33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F1-410A-A9D3-23313A42D5B6}"/>
            </c:ext>
          </c:extLst>
        </c:ser>
        <c:ser>
          <c:idx val="2"/>
          <c:order val="1"/>
          <c:tx>
            <c:strRef>
              <c:f>'Endenergiebedarf nach Sektor'!$O$34</c:f>
              <c:strCache>
                <c:ptCount val="1"/>
                <c:pt idx="0">
                  <c:v>Biogas</c:v>
                </c:pt>
              </c:strCache>
            </c:strRef>
          </c:tx>
          <c:invertIfNegative val="0"/>
          <c:cat>
            <c:numRef>
              <c:f>'Endenergiebedarf nach Sektor'!$Q$3:$W$3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Sektor'!$Q$34:$W$34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7-422B-BB47-25D8391AC01B}"/>
            </c:ext>
          </c:extLst>
        </c:ser>
        <c:ser>
          <c:idx val="0"/>
          <c:order val="2"/>
          <c:tx>
            <c:strRef>
              <c:f>'Endenergiebedarf nach Sektor'!$O$36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'Endenergiebedarf nach Sektor'!$Q$3:$W$3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Sektor'!$Q$36:$W$36</c:f>
              <c:numCache>
                <c:formatCode>General</c:formatCode>
                <c:ptCount val="7"/>
                <c:pt idx="0">
                  <c:v>11255.74357974178</c:v>
                </c:pt>
                <c:pt idx="1">
                  <c:v>23597.64118871318</c:v>
                </c:pt>
                <c:pt idx="2">
                  <c:v>53171.185913277484</c:v>
                </c:pt>
                <c:pt idx="3">
                  <c:v>120820.9049745582</c:v>
                </c:pt>
                <c:pt idx="4">
                  <c:v>158087.65654767354</c:v>
                </c:pt>
                <c:pt idx="5">
                  <c:v>247643.20097972167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F1-410A-A9D3-23313A42D5B6}"/>
            </c:ext>
          </c:extLst>
        </c:ser>
        <c:ser>
          <c:idx val="1"/>
          <c:order val="3"/>
          <c:tx>
            <c:strRef>
              <c:f>'Endenergiebedarf nach Sektor'!$O$37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'Endenergiebedarf nach Sektor'!$Q$3:$W$3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Sektor'!$Q$37:$W$37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F1-410A-A9D3-23313A42D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076928"/>
        <c:axId val="81344704"/>
      </c:barChart>
      <c:catAx>
        <c:axId val="32607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81344704"/>
        <c:crosses val="autoZero"/>
        <c:auto val="1"/>
        <c:lblAlgn val="ctr"/>
        <c:lblOffset val="100"/>
        <c:noMultiLvlLbl val="0"/>
      </c:catAx>
      <c:valAx>
        <c:axId val="81344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Final energy consumption</a:t>
                </a:r>
                <a:r>
                  <a:rPr lang="de-DE" baseline="0"/>
                  <a:t> by PtX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607692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4983055555555556"/>
          <c:y val="0.16394268330625367"/>
          <c:w val="0.23767016450345516"/>
          <c:h val="0.3942559849865635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776597222222225"/>
          <c:y val="6.1460416666666663E-2"/>
          <c:w val="0.50392093952591599"/>
          <c:h val="0.62354548611111116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'Endenergiebedarf nach Sektor'!$AA$86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'Endenergiebedarf nach Sektor'!$AC$3:$AI$3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Sektor'!$AC$86:$AI$86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337-BFCA-D8640DE14538}"/>
            </c:ext>
          </c:extLst>
        </c:ser>
        <c:ser>
          <c:idx val="0"/>
          <c:order val="1"/>
          <c:tx>
            <c:strRef>
              <c:f>'Endenergiebedarf nach Sektor'!$AA$87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'Endenergiebedarf nach Sektor'!$AC$3:$AI$3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Sektor'!$AC$87:$AI$87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337-BFCA-D8640DE14538}"/>
            </c:ext>
          </c:extLst>
        </c:ser>
        <c:ser>
          <c:idx val="1"/>
          <c:order val="2"/>
          <c:tx>
            <c:strRef>
              <c:f>'Endenergiebedarf nach Sektor'!$AA$88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'Endenergiebedarf nach Sektor'!$AC$3:$AI$3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Sektor'!$AC$88:$AI$88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F-4F83-998A-8A990F0D0057}"/>
            </c:ext>
          </c:extLst>
        </c:ser>
        <c:ser>
          <c:idx val="2"/>
          <c:order val="3"/>
          <c:tx>
            <c:strRef>
              <c:f>'Endenergiebedarf nach Sektor'!$AA$89</c:f>
              <c:strCache>
                <c:ptCount val="1"/>
                <c:pt idx="0">
                  <c:v>Biomass</c:v>
                </c:pt>
              </c:strCache>
            </c:strRef>
          </c:tx>
          <c:invertIfNegative val="0"/>
          <c:cat>
            <c:numRef>
              <c:f>'Endenergiebedarf nach Sektor'!$AC$3:$AI$3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Sektor'!$AC$89:$AI$89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F-4F83-998A-8A990F0D0057}"/>
            </c:ext>
          </c:extLst>
        </c:ser>
        <c:ser>
          <c:idx val="4"/>
          <c:order val="4"/>
          <c:tx>
            <c:strRef>
              <c:f>'Endenergiebedarf nach Sektor'!$AA$90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'Endenergiebedarf nach Sektor'!$AC$3:$AI$3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Sektor'!$AC$90:$AI$90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F-4F83-998A-8A990F0D0057}"/>
            </c:ext>
          </c:extLst>
        </c:ser>
        <c:ser>
          <c:idx val="5"/>
          <c:order val="5"/>
          <c:tx>
            <c:strRef>
              <c:f>'Endenergiebedarf nach Sektor'!$AA$91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'Endenergiebedarf nach Sektor'!$AC$3:$AI$3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Sektor'!$AC$91:$AI$91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9F-4F83-998A-8A990F0D0057}"/>
            </c:ext>
          </c:extLst>
        </c:ser>
        <c:ser>
          <c:idx val="6"/>
          <c:order val="6"/>
          <c:tx>
            <c:strRef>
              <c:f>'Endenergiebedarf nach Sektor'!$AA$92</c:f>
              <c:strCache>
                <c:ptCount val="1"/>
                <c:pt idx="0">
                  <c:v>District and local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'Endenergiebedarf nach Sektor'!$AC$3:$AI$3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Sektor'!$AC$92:$AI$92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9F-4F83-998A-8A990F0D0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960128"/>
        <c:axId val="224715328"/>
      </c:barChart>
      <c:catAx>
        <c:axId val="32696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4715328"/>
        <c:crosses val="autoZero"/>
        <c:auto val="1"/>
        <c:lblAlgn val="ctr"/>
        <c:lblOffset val="100"/>
        <c:noMultiLvlLbl val="0"/>
      </c:catAx>
      <c:valAx>
        <c:axId val="22471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Final energy consumption</a:t>
                </a:r>
                <a:r>
                  <a:rPr lang="de-DE" baseline="0"/>
                  <a:t> by residential building sector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696012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3933419382969012"/>
          <c:y val="0"/>
          <c:w val="0.26066580617030993"/>
          <c:h val="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776597222222225"/>
          <c:y val="6.1460416666666663E-2"/>
          <c:w val="0.52115075942593558"/>
          <c:h val="0.62354548611111116"/>
        </c:manualLayout>
      </c:layout>
      <c:barChart>
        <c:barDir val="col"/>
        <c:grouping val="stacked"/>
        <c:varyColors val="0"/>
        <c:ser>
          <c:idx val="12"/>
          <c:order val="0"/>
          <c:tx>
            <c:strRef>
              <c:f>'Endenergiebedarf nach Sektor'!$BJ$242</c:f>
              <c:strCache>
                <c:ptCount val="1"/>
                <c:pt idx="0">
                  <c:v>non-energetic</c:v>
                </c:pt>
              </c:strCache>
            </c:strRef>
          </c:tx>
          <c:spPr>
            <a:pattFill prst="dkUpDiag">
              <a:fgClr>
                <a:schemeClr val="accent1"/>
              </a:fgClr>
              <a:bgClr>
                <a:schemeClr val="bg1"/>
              </a:bgClr>
            </a:patt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Sektor'!$BL$242:$BR$242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1-4FF1-9548-FD3D3AA1CFBD}"/>
            </c:ext>
          </c:extLst>
        </c:ser>
        <c:ser>
          <c:idx val="13"/>
          <c:order val="1"/>
          <c:tx>
            <c:strRef>
              <c:f>'Endenergiebedarf nach Sektor'!$BJ$240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Sektor'!$BL$240:$BR$240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21-4FF1-9548-FD3D3AA1CFBD}"/>
            </c:ext>
          </c:extLst>
        </c:ser>
        <c:ser>
          <c:idx val="8"/>
          <c:order val="2"/>
          <c:tx>
            <c:strRef>
              <c:f>'Endenergiebedarf nach Sektor'!$BJ$241</c:f>
              <c:strCache>
                <c:ptCount val="1"/>
                <c:pt idx="0">
                  <c:v>non-energetic crude oil</c:v>
                </c:pt>
              </c:strCache>
            </c:strRef>
          </c:tx>
          <c:spPr>
            <a:pattFill prst="dkUpDiag">
              <a:fgClr>
                <a:schemeClr val="tx1"/>
              </a:fgClr>
              <a:bgClr>
                <a:schemeClr val="bg1"/>
              </a:bgClr>
            </a:patt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Sektor'!$BL$241:$BR$241</c:f>
              <c:numCache>
                <c:formatCode>0.00</c:formatCode>
                <c:ptCount val="7"/>
                <c:pt idx="0">
                  <c:v>96979.813257444417</c:v>
                </c:pt>
                <c:pt idx="1">
                  <c:v>106775.5944363048</c:v>
                </c:pt>
                <c:pt idx="2">
                  <c:v>102124.94348134314</c:v>
                </c:pt>
                <c:pt idx="3">
                  <c:v>89928.532407881445</c:v>
                </c:pt>
                <c:pt idx="4">
                  <c:v>29875.565885802032</c:v>
                </c:pt>
                <c:pt idx="5">
                  <c:v>7.1142786453392561E-4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49-42A1-AD7A-ED9FA9B65C8D}"/>
            </c:ext>
          </c:extLst>
        </c:ser>
        <c:ser>
          <c:idx val="0"/>
          <c:order val="3"/>
          <c:tx>
            <c:strRef>
              <c:f>'Endenergiebedarf nach Sektor'!$BJ$231</c:f>
              <c:strCache>
                <c:ptCount val="1"/>
                <c:pt idx="0">
                  <c:v>CH4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Sektor'!$BL$231:$BR$231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B8-4F8D-9A63-026E423FB2D5}"/>
            </c:ext>
          </c:extLst>
        </c:ser>
        <c:ser>
          <c:idx val="10"/>
          <c:order val="4"/>
          <c:tx>
            <c:strRef>
              <c:f>'Endenergiebedarf nach Sektor'!$BJ$239</c:f>
              <c:strCache>
                <c:ptCount val="1"/>
                <c:pt idx="0">
                  <c:v>non-energetic CH4</c:v>
                </c:pt>
              </c:strCache>
            </c:strRef>
          </c:tx>
          <c:spPr>
            <a:pattFill prst="dkUpDiag">
              <a:fgClr>
                <a:schemeClr val="accent5"/>
              </a:fgClr>
              <a:bgClr>
                <a:schemeClr val="bg1"/>
              </a:bgClr>
            </a:patt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Sektor'!$BL$239:$BR$239</c:f>
              <c:numCache>
                <c:formatCode>General</c:formatCode>
                <c:ptCount val="7"/>
                <c:pt idx="0">
                  <c:v>19605.631090273793</c:v>
                </c:pt>
                <c:pt idx="1">
                  <c:v>21353.03909938287</c:v>
                </c:pt>
                <c:pt idx="2">
                  <c:v>41417.295195019949</c:v>
                </c:pt>
                <c:pt idx="3">
                  <c:v>74570.743320142297</c:v>
                </c:pt>
                <c:pt idx="4">
                  <c:v>127265.77168313506</c:v>
                </c:pt>
                <c:pt idx="5">
                  <c:v>16988.665586837102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1-4FF1-9548-FD3D3AA1CFBD}"/>
            </c:ext>
          </c:extLst>
        </c:ser>
        <c:ser>
          <c:idx val="2"/>
          <c:order val="5"/>
          <c:tx>
            <c:strRef>
              <c:f>'Endenergiebedarf nach Sektor'!$BJ$233</c:f>
              <c:strCache>
                <c:ptCount val="1"/>
                <c:pt idx="0">
                  <c:v>H2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Sektor'!$BL$233:$BR$233</c:f>
              <c:numCache>
                <c:formatCode>General</c:formatCode>
                <c:ptCount val="7"/>
                <c:pt idx="0">
                  <c:v>0</c:v>
                </c:pt>
                <c:pt idx="1">
                  <c:v>67.099699233844461</c:v>
                </c:pt>
                <c:pt idx="2">
                  <c:v>156.97179700755223</c:v>
                </c:pt>
                <c:pt idx="3">
                  <c:v>5913.0711423766397</c:v>
                </c:pt>
                <c:pt idx="4">
                  <c:v>4088.270380143003</c:v>
                </c:pt>
                <c:pt idx="5">
                  <c:v>9488.3689969400712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8-4056-A6D7-DFE057497E25}"/>
            </c:ext>
          </c:extLst>
        </c:ser>
        <c:ser>
          <c:idx val="11"/>
          <c:order val="6"/>
          <c:tx>
            <c:strRef>
              <c:f>'Endenergiebedarf nach Sektor'!$BJ$234</c:f>
              <c:strCache>
                <c:ptCount val="1"/>
                <c:pt idx="0">
                  <c:v>non-energetic H2</c:v>
                </c:pt>
              </c:strCache>
            </c:strRef>
          </c:tx>
          <c:spPr>
            <a:pattFill prst="dkUpDiag">
              <a:fgClr>
                <a:schemeClr val="accent1">
                  <a:lumMod val="60000"/>
                  <a:lumOff val="40000"/>
                </a:schemeClr>
              </a:fgClr>
              <a:bgClr>
                <a:schemeClr val="bg1"/>
              </a:bgClr>
            </a:patt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Sektor'!$BL$234:$BR$234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1-4FF1-9548-FD3D3AA1CFBD}"/>
            </c:ext>
          </c:extLst>
        </c:ser>
        <c:ser>
          <c:idx val="1"/>
          <c:order val="7"/>
          <c:tx>
            <c:strRef>
              <c:f>'Endenergiebedarf nach Sektor'!$BJ$232</c:f>
              <c:strCache>
                <c:ptCount val="1"/>
                <c:pt idx="0">
                  <c:v>Coal/Coke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Sektor'!$BL$232:$BR$232</c:f>
              <c:numCache>
                <c:formatCode>General</c:formatCode>
                <c:ptCount val="7"/>
                <c:pt idx="0">
                  <c:v>3007.4203665236382</c:v>
                </c:pt>
                <c:pt idx="1">
                  <c:v>1194.8893285331555</c:v>
                </c:pt>
                <c:pt idx="2">
                  <c:v>751.75098633603966</c:v>
                </c:pt>
                <c:pt idx="3">
                  <c:v>781.89597262337293</c:v>
                </c:pt>
                <c:pt idx="4">
                  <c:v>842.15399965733775</c:v>
                </c:pt>
                <c:pt idx="5">
                  <c:v>1004.9200025542893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8-4056-A6D7-DFE057497E25}"/>
            </c:ext>
          </c:extLst>
        </c:ser>
        <c:ser>
          <c:idx val="3"/>
          <c:order val="8"/>
          <c:tx>
            <c:strRef>
              <c:f>'Endenergiebedarf nach Sektor'!$BJ$230</c:f>
              <c:strCache>
                <c:ptCount val="1"/>
                <c:pt idx="0">
                  <c:v>District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Sektor'!$BL$230:$BR$230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8-4F8D-9A63-026E423FB2D5}"/>
            </c:ext>
          </c:extLst>
        </c:ser>
        <c:ser>
          <c:idx val="5"/>
          <c:order val="9"/>
          <c:tx>
            <c:strRef>
              <c:f>'Endenergiebedarf nach Sektor'!$BJ$235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Sektor'!$BL$235:$BR$235</c:f>
              <c:numCache>
                <c:formatCode>General</c:formatCode>
                <c:ptCount val="7"/>
                <c:pt idx="0">
                  <c:v>27982.603426618065</c:v>
                </c:pt>
                <c:pt idx="1">
                  <c:v>28499.82659498994</c:v>
                </c:pt>
                <c:pt idx="2">
                  <c:v>27008.812676348269</c:v>
                </c:pt>
                <c:pt idx="3">
                  <c:v>38079.553455787398</c:v>
                </c:pt>
                <c:pt idx="4">
                  <c:v>49052.813769170119</c:v>
                </c:pt>
                <c:pt idx="5">
                  <c:v>119885.19117213918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8-4056-A6D7-DFE057497E25}"/>
            </c:ext>
          </c:extLst>
        </c:ser>
        <c:ser>
          <c:idx val="4"/>
          <c:order val="10"/>
          <c:tx>
            <c:strRef>
              <c:f>'Endenergiebedarf nach Sektor'!$BJ$236</c:f>
              <c:strCache>
                <c:ptCount val="1"/>
                <c:pt idx="0">
                  <c:v>Fueloil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Sektor'!$BL$236:$BR$236</c:f>
              <c:numCache>
                <c:formatCode>General</c:formatCode>
                <c:ptCount val="7"/>
                <c:pt idx="0">
                  <c:v>1340.0509136971159</c:v>
                </c:pt>
                <c:pt idx="1">
                  <c:v>592.77346204711</c:v>
                </c:pt>
                <c:pt idx="2">
                  <c:v>248.02805905966926</c:v>
                </c:pt>
                <c:pt idx="3">
                  <c:v>216.98308407897272</c:v>
                </c:pt>
                <c:pt idx="4">
                  <c:v>157.04934144740906</c:v>
                </c:pt>
                <c:pt idx="5">
                  <c:v>9.2402833331500371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9-42A1-AD7A-ED9FA9B65C8D}"/>
            </c:ext>
          </c:extLst>
        </c:ser>
        <c:ser>
          <c:idx val="6"/>
          <c:order val="11"/>
          <c:tx>
            <c:strRef>
              <c:f>'Endenergiebedarf nach Sektor'!$BJ$237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Sektor'!$BL$237:$BR$237</c:f>
              <c:numCache>
                <c:formatCode>General</c:formatCode>
                <c:ptCount val="7"/>
                <c:pt idx="0">
                  <c:v>1908.2551995205649</c:v>
                </c:pt>
                <c:pt idx="1">
                  <c:v>1414.225381069318</c:v>
                </c:pt>
                <c:pt idx="2">
                  <c:v>7.4150700442521334E-3</c:v>
                </c:pt>
                <c:pt idx="3">
                  <c:v>1.524383841507091E-3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9-42A1-AD7A-ED9FA9B65C8D}"/>
            </c:ext>
          </c:extLst>
        </c:ser>
        <c:ser>
          <c:idx val="7"/>
          <c:order val="12"/>
          <c:tx>
            <c:strRef>
              <c:f>'Endenergiebedarf nach Sektor'!$BJ$238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Sektor'!$BL$238:$BR$238</c:f>
              <c:numCache>
                <c:formatCode>General</c:formatCode>
                <c:ptCount val="7"/>
                <c:pt idx="0">
                  <c:v>0</c:v>
                </c:pt>
                <c:pt idx="1">
                  <c:v>2.7725225165216309E-3</c:v>
                </c:pt>
                <c:pt idx="2">
                  <c:v>7.599008122856956E-6</c:v>
                </c:pt>
                <c:pt idx="3">
                  <c:v>4.4270631102238443E-6</c:v>
                </c:pt>
                <c:pt idx="4">
                  <c:v>8777.6678379653113</c:v>
                </c:pt>
                <c:pt idx="5">
                  <c:v>9427.550548007921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49-42A1-AD7A-ED9FA9B65C8D}"/>
            </c:ext>
          </c:extLst>
        </c:ser>
        <c:ser>
          <c:idx val="9"/>
          <c:order val="13"/>
          <c:tx>
            <c:strRef>
              <c:f>'Endenergiebedarf nach Sektor'!$BJ$244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Sektor'!$BL$244:$BR$244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0-4E3E-907A-74DA88446379}"/>
            </c:ext>
          </c:extLst>
        </c:ser>
        <c:ser>
          <c:idx val="14"/>
          <c:order val="14"/>
          <c:tx>
            <c:strRef>
              <c:f>'Endenergiebedarf nach Sektor'!$BJ$243</c:f>
              <c:strCache>
                <c:ptCount val="1"/>
                <c:pt idx="0">
                  <c:v>non-energetic Biomass</c:v>
                </c:pt>
              </c:strCache>
            </c:strRef>
          </c:tx>
          <c:spPr>
            <a:pattFill prst="dkUpDiag">
              <a:fgClr>
                <a:schemeClr val="accent3">
                  <a:lumMod val="50000"/>
                </a:schemeClr>
              </a:fgClr>
              <a:bgClr>
                <a:schemeClr val="bg1"/>
              </a:bgClr>
            </a:pattFill>
          </c:spPr>
          <c:invertIfNegative val="0"/>
          <c:cat>
            <c:numRef>
              <c:f>'Endenergiebedarf nach Sektor'!$BL$229:$BR$229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Sektor'!$BL$243:$BR$243</c:f>
              <c:numCache>
                <c:formatCode>General</c:formatCode>
                <c:ptCount val="7"/>
                <c:pt idx="0">
                  <c:v>0</c:v>
                </c:pt>
                <c:pt idx="1">
                  <c:v>17.082474788445118</c:v>
                </c:pt>
                <c:pt idx="2">
                  <c:v>6.1168813937558728E-3</c:v>
                </c:pt>
                <c:pt idx="3">
                  <c:v>1.708588817119109E-3</c:v>
                </c:pt>
                <c:pt idx="4">
                  <c:v>2.4136784454422571E-4</c:v>
                </c:pt>
                <c:pt idx="5">
                  <c:v>2.8213120300483291E-4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6-43C3-A5B7-5DB3865BE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961152"/>
        <c:axId val="224717632"/>
      </c:barChart>
      <c:catAx>
        <c:axId val="32696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4717632"/>
        <c:crosses val="autoZero"/>
        <c:auto val="1"/>
        <c:lblAlgn val="ctr"/>
        <c:lblOffset val="100"/>
        <c:noMultiLvlLbl val="0"/>
      </c:catAx>
      <c:valAx>
        <c:axId val="224717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Final energy consumption</a:t>
                </a:r>
                <a:r>
                  <a:rPr lang="de-DE" baseline="0"/>
                  <a:t> by industry sector in TWh</a:t>
                </a:r>
                <a:endParaRPr lang="de-DE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696115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egendEntry>
        <c:idx val="0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2"/>
        <c:delete val="1"/>
      </c:legendEntry>
      <c:layout>
        <c:manualLayout>
          <c:xMode val="edge"/>
          <c:yMode val="edge"/>
          <c:x val="0.75638451473054458"/>
          <c:y val="4.1527728953381936E-2"/>
          <c:w val="0.24361547105512482"/>
          <c:h val="0.95558509487440235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524861111111114"/>
          <c:y val="6.1460416666666663E-2"/>
          <c:w val="0.52188923611111115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'Endenergiebedarf nach Sektor'!$BV$33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Sektor'!$BX$33:$CD$33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6-49D1-ABF8-FB467AB4E394}"/>
            </c:ext>
          </c:extLst>
        </c:ser>
        <c:ser>
          <c:idx val="2"/>
          <c:order val="1"/>
          <c:tx>
            <c:strRef>
              <c:f>'Endenergiebedarf nach Sektor'!$BV$34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Sektor'!$BX$34:$CD$34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6-49D1-ABF8-FB467AB4E394}"/>
            </c:ext>
          </c:extLst>
        </c:ser>
        <c:ser>
          <c:idx val="4"/>
          <c:order val="2"/>
          <c:tx>
            <c:strRef>
              <c:f>'Endenergiebedarf nach Sektor'!$BV$35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Sektor'!$BX$35:$CD$35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06-49D1-ABF8-FB467AB4E394}"/>
            </c:ext>
          </c:extLst>
        </c:ser>
        <c:ser>
          <c:idx val="0"/>
          <c:order val="3"/>
          <c:tx>
            <c:strRef>
              <c:f>'Endenergiebedarf nach Sektor'!$BV$32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Sektor'!$BX$32:$CD$32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6-49D1-ABF8-FB467AB4E394}"/>
            </c:ext>
          </c:extLst>
        </c:ser>
        <c:ser>
          <c:idx val="3"/>
          <c:order val="4"/>
          <c:tx>
            <c:strRef>
              <c:f>'Endenergiebedarf nach Sektor'!$BV$31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Sektor'!$BX$31:$CD$31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6-49D1-ABF8-FB467AB4E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962688"/>
        <c:axId val="224719936"/>
      </c:barChart>
      <c:catAx>
        <c:axId val="32696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en-US"/>
          </a:p>
        </c:txPr>
        <c:crossAx val="224719936"/>
        <c:crosses val="autoZero"/>
        <c:auto val="1"/>
        <c:lblAlgn val="ctr"/>
        <c:lblOffset val="100"/>
        <c:noMultiLvlLbl val="0"/>
      </c:catAx>
      <c:valAx>
        <c:axId val="224719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Final energy consumption</a:t>
                </a:r>
                <a:r>
                  <a:rPr lang="de-DE" baseline="0"/>
                  <a:t> by transport sector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696268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8713680555555554"/>
          <c:y val="6.0851318425000224E-2"/>
          <c:w val="0.2016842013888889"/>
          <c:h val="0.6672539821550895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453680555555554"/>
          <c:y val="6.1460416666666663E-2"/>
          <c:w val="0.5726010416666667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'Endenergiebedarf nach Sektor'!$C$4</c:f>
              <c:strCache>
                <c:ptCount val="1"/>
                <c:pt idx="0">
                  <c:v>Gebäude</c:v>
                </c:pt>
              </c:strCache>
            </c:strRef>
          </c:tx>
          <c:invertIfNegative val="0"/>
          <c:cat>
            <c:numRef>
              <c:f>'Endenergiebedarf nach Sektor'!$E$3:$K$3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Sektor'!$E$4:$K$4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B-4064-8C8B-6D775A0603AC}"/>
            </c:ext>
          </c:extLst>
        </c:ser>
        <c:ser>
          <c:idx val="1"/>
          <c:order val="1"/>
          <c:tx>
            <c:strRef>
              <c:f>'Endenergiebedarf nach Sektor'!$C$5</c:f>
              <c:strCache>
                <c:ptCount val="1"/>
                <c:pt idx="0">
                  <c:v>GHD</c:v>
                </c:pt>
              </c:strCache>
            </c:strRef>
          </c:tx>
          <c:invertIfNegative val="0"/>
          <c:cat>
            <c:numRef>
              <c:f>'Endenergiebedarf nach Sektor'!$E$3:$K$3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Sektor'!$E$5:$K$5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CB-4064-8C8B-6D775A0603AC}"/>
            </c:ext>
          </c:extLst>
        </c:ser>
        <c:ser>
          <c:idx val="2"/>
          <c:order val="2"/>
          <c:tx>
            <c:strRef>
              <c:f>'Endenergiebedarf nach Sektor'!$C$6</c:f>
              <c:strCache>
                <c:ptCount val="1"/>
                <c:pt idx="0">
                  <c:v>Industrie (energ.)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'Endenergiebedarf nach Sektor'!$E$3:$K$3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Sektor'!$E$6:$K$6</c:f>
              <c:numCache>
                <c:formatCode>0.00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CB-4064-8C8B-6D775A0603AC}"/>
            </c:ext>
          </c:extLst>
        </c:ser>
        <c:ser>
          <c:idx val="4"/>
          <c:order val="3"/>
          <c:tx>
            <c:strRef>
              <c:f>'Endenergiebedarf nach Sektor'!$C$7</c:f>
              <c:strCache>
                <c:ptCount val="1"/>
                <c:pt idx="0">
                  <c:v>Industrie (n-energ.)</c:v>
                </c:pt>
              </c:strCache>
            </c:strRef>
          </c:tx>
          <c:spPr>
            <a:pattFill prst="dkUpDiag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</c:spPr>
          <c:invertIfNegative val="0"/>
          <c:cat>
            <c:numRef>
              <c:f>'Endenergiebedarf nach Sektor'!$E$3:$K$3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Sektor'!$E$7:$K$7</c:f>
              <c:numCache>
                <c:formatCode>0.00</c:formatCode>
                <c:ptCount val="7"/>
                <c:pt idx="0">
                  <c:v>116585.44434771821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CB-4064-8C8B-6D775A0603AC}"/>
            </c:ext>
          </c:extLst>
        </c:ser>
        <c:ser>
          <c:idx val="3"/>
          <c:order val="4"/>
          <c:tx>
            <c:strRef>
              <c:f>'Endenergiebedarf nach Sektor'!$C$8</c:f>
              <c:strCache>
                <c:ptCount val="1"/>
                <c:pt idx="0">
                  <c:v>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'Endenergiebedarf nach Sektor'!$E$3:$K$3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Sektor'!$E$8:$K$8</c:f>
              <c:numCache>
                <c:formatCode>General</c:formatCode>
                <c:ptCount val="7"/>
                <c:pt idx="0">
                  <c:v>97000</c:v>
                </c:pt>
                <c:pt idx="1">
                  <c:v>97000</c:v>
                </c:pt>
                <c:pt idx="2">
                  <c:v>97000</c:v>
                </c:pt>
                <c:pt idx="3">
                  <c:v>97000</c:v>
                </c:pt>
                <c:pt idx="4">
                  <c:v>97000</c:v>
                </c:pt>
                <c:pt idx="5">
                  <c:v>97000</c:v>
                </c:pt>
                <c:pt idx="6">
                  <c:v>97000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A6-4E48-902A-827C40DEB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936512"/>
        <c:axId val="225625792"/>
      </c:barChart>
      <c:catAx>
        <c:axId val="32793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5625792"/>
        <c:crosses val="autoZero"/>
        <c:auto val="1"/>
        <c:lblAlgn val="ctr"/>
        <c:lblOffset val="100"/>
        <c:noMultiLvlLbl val="0"/>
      </c:catAx>
      <c:valAx>
        <c:axId val="225625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Final energy consumption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793651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871368527998317"/>
          <c:y val="5.3832212850761951E-2"/>
          <c:w val="0.21286313453065375"/>
          <c:h val="0.7954473385688127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453680555555554"/>
          <c:y val="6.1460416666666663E-2"/>
          <c:w val="0.572601041666666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'Endenergiebedarf nach Sektor'!$C$4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'Endenergiebedarf nach Sektor'!$E$3:$K$3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Sektor'!$E$4:$K$4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CB-4064-8C8B-6D775A0603AC}"/>
            </c:ext>
          </c:extLst>
        </c:ser>
        <c:ser>
          <c:idx val="2"/>
          <c:order val="1"/>
          <c:tx>
            <c:strRef>
              <c:f>'Endenergiebedarf nach Sektor'!$C$5</c:f>
              <c:strCache>
                <c:ptCount val="1"/>
                <c:pt idx="0">
                  <c:v>GHD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'Endenergiebedarf nach Sektor'!$E$3:$K$3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Sektor'!$E$5:$K$5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CB-4064-8C8B-6D775A0603AC}"/>
            </c:ext>
          </c:extLst>
        </c:ser>
        <c:ser>
          <c:idx val="4"/>
          <c:order val="2"/>
          <c:tx>
            <c:strRef>
              <c:f>'Endenergiebedarf nach Sektor'!$C$7</c:f>
              <c:strCache>
                <c:ptCount val="1"/>
                <c:pt idx="0">
                  <c:v>Industrie (n-energ.)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'Endenergiebedarf nach Sektor'!$E$3:$K$3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Sektor'!$E$7:$K$7</c:f>
              <c:numCache>
                <c:formatCode>0.00</c:formatCode>
                <c:ptCount val="7"/>
                <c:pt idx="0">
                  <c:v>116585.44434771821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CB-4064-8C8B-6D775A0603AC}"/>
            </c:ext>
          </c:extLst>
        </c:ser>
        <c:ser>
          <c:idx val="3"/>
          <c:order val="3"/>
          <c:tx>
            <c:strRef>
              <c:f>'Endenergiebedarf nach Sektor'!$C$8</c:f>
              <c:strCache>
                <c:ptCount val="1"/>
                <c:pt idx="0">
                  <c:v>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'Endenergiebedarf nach Sektor'!$E$3:$K$3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Sektor'!$E$8:$K$8</c:f>
              <c:numCache>
                <c:formatCode>General</c:formatCode>
                <c:ptCount val="7"/>
                <c:pt idx="0">
                  <c:v>97000</c:v>
                </c:pt>
                <c:pt idx="1">
                  <c:v>97000</c:v>
                </c:pt>
                <c:pt idx="2">
                  <c:v>97000</c:v>
                </c:pt>
                <c:pt idx="3">
                  <c:v>97000</c:v>
                </c:pt>
                <c:pt idx="4">
                  <c:v>97000</c:v>
                </c:pt>
                <c:pt idx="5">
                  <c:v>97000</c:v>
                </c:pt>
                <c:pt idx="6">
                  <c:v>97000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C-4E95-9363-95779F8E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937536"/>
        <c:axId val="225628096"/>
      </c:barChart>
      <c:catAx>
        <c:axId val="32793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ysClr val="windowText" lastClr="000000"/>
            </a:solidFill>
          </a:ln>
        </c:spPr>
        <c:crossAx val="225628096"/>
        <c:crosses val="autoZero"/>
        <c:auto val="1"/>
        <c:lblAlgn val="ctr"/>
        <c:lblOffset val="100"/>
        <c:noMultiLvlLbl val="0"/>
      </c:catAx>
      <c:valAx>
        <c:axId val="225628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Endenergiebedarf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ysClr val="windowText" lastClr="000000"/>
            </a:solidFill>
          </a:ln>
        </c:spPr>
        <c:crossAx val="327937536"/>
        <c:crosses val="autoZero"/>
        <c:crossBetween val="between"/>
        <c:dispUnits>
          <c:builtInUnit val="thousands"/>
        </c:dispUnits>
      </c:valAx>
      <c:spPr>
        <a:ln w="127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8713680555555554"/>
          <c:y val="6.0851318425000224E-2"/>
          <c:w val="0.19387899305555556"/>
          <c:h val="0.6240581517333543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524861111111114"/>
          <c:y val="6.1460416666666663E-2"/>
          <c:w val="0.52188923611111115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'Endenergiebedarf nach Sektor'!$BU$33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Sektor'!$BX$33:$CD$33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6-49D1-ABF8-FB467AB4E394}"/>
            </c:ext>
          </c:extLst>
        </c:ser>
        <c:ser>
          <c:idx val="2"/>
          <c:order val="1"/>
          <c:tx>
            <c:strRef>
              <c:f>'Endenergiebedarf nach Sektor'!$BU$34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Sektor'!$BX$34:$CD$34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6-49D1-ABF8-FB467AB4E394}"/>
            </c:ext>
          </c:extLst>
        </c:ser>
        <c:ser>
          <c:idx val="4"/>
          <c:order val="2"/>
          <c:tx>
            <c:strRef>
              <c:f>'Endenergiebedarf nach Sektor'!$BU$35</c:f>
              <c:strCache>
                <c:ptCount val="1"/>
                <c:pt idx="0">
                  <c:v>Kerosin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Sektor'!$BX$35:$CD$35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06-49D1-ABF8-FB467AB4E394}"/>
            </c:ext>
          </c:extLst>
        </c:ser>
        <c:ser>
          <c:idx val="0"/>
          <c:order val="3"/>
          <c:tx>
            <c:strRef>
              <c:f>'Endenergiebedarf nach Sektor'!$BU$32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Sektor'!$BX$32:$CD$32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6-49D1-ABF8-FB467AB4E394}"/>
            </c:ext>
          </c:extLst>
        </c:ser>
        <c:ser>
          <c:idx val="3"/>
          <c:order val="4"/>
          <c:tx>
            <c:strRef>
              <c:f>'Endenergiebedarf nach Sektor'!$BU$31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'Endenergiebedarf nach Sektor'!$BX$3:$CD$3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Sektor'!$BX$31:$CD$31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6-49D1-ABF8-FB467AB4E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8578560"/>
        <c:axId val="225630400"/>
      </c:barChart>
      <c:catAx>
        <c:axId val="32857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en-US"/>
          </a:p>
        </c:txPr>
        <c:crossAx val="225630400"/>
        <c:crosses val="autoZero"/>
        <c:auto val="1"/>
        <c:lblAlgn val="ctr"/>
        <c:lblOffset val="100"/>
        <c:noMultiLvlLbl val="0"/>
      </c:catAx>
      <c:valAx>
        <c:axId val="225630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Endenergienachfrage</a:t>
                </a:r>
                <a:r>
                  <a:rPr lang="de-DE" baseline="0"/>
                  <a:t> des Verkerhssektors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857856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8713680555555554"/>
          <c:y val="6.0851318425000224E-2"/>
          <c:w val="0.2016842013888889"/>
          <c:h val="0.6672539821550895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776597222222225"/>
          <c:y val="6.1460416666666663E-2"/>
          <c:w val="0.50392093952591599"/>
          <c:h val="0.62354548611111116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'Endenergiebedarf nach Sektor'!$AM$82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Sektor'!$AO$82:$AU$82</c:f>
              <c:numCache>
                <c:formatCode>General</c:formatCode>
                <c:ptCount val="7"/>
                <c:pt idx="0">
                  <c:v>11255.74357974178</c:v>
                </c:pt>
                <c:pt idx="1">
                  <c:v>22864.083470322981</c:v>
                </c:pt>
                <c:pt idx="2">
                  <c:v>40537.188651640012</c:v>
                </c:pt>
                <c:pt idx="3">
                  <c:v>76491.508325183255</c:v>
                </c:pt>
                <c:pt idx="4">
                  <c:v>90534.40706327511</c:v>
                </c:pt>
                <c:pt idx="5">
                  <c:v>112924.83044288339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A-4238-8974-8951B9590C40}"/>
            </c:ext>
          </c:extLst>
        </c:ser>
        <c:ser>
          <c:idx val="0"/>
          <c:order val="1"/>
          <c:tx>
            <c:strRef>
              <c:f>'Endenergiebedarf nach Sektor'!$AM$83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Sektor'!$AO$83:$AU$83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7A-4238-8974-8951B9590C40}"/>
            </c:ext>
          </c:extLst>
        </c:ser>
        <c:ser>
          <c:idx val="1"/>
          <c:order val="2"/>
          <c:tx>
            <c:strRef>
              <c:f>'Endenergiebedarf nach Sektor'!$AM$84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Sektor'!$AO$84:$AU$84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7A-4238-8974-8951B9590C40}"/>
            </c:ext>
          </c:extLst>
        </c:ser>
        <c:ser>
          <c:idx val="2"/>
          <c:order val="3"/>
          <c:tx>
            <c:strRef>
              <c:f>'Endenergiebedarf nach Sektor'!$AM$85</c:f>
              <c:strCache>
                <c:ptCount val="1"/>
                <c:pt idx="0">
                  <c:v>Biomass</c:v>
                </c:pt>
              </c:strCache>
            </c:strRef>
          </c:tx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Sektor'!$AO$85:$AU$85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7A-4238-8974-8951B9590C40}"/>
            </c:ext>
          </c:extLst>
        </c:ser>
        <c:ser>
          <c:idx val="4"/>
          <c:order val="4"/>
          <c:tx>
            <c:strRef>
              <c:f>'Endenergiebedarf nach Sektor'!$AM$86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Sektor'!$AO$86:$AU$86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7A-4238-8974-8951B9590C40}"/>
            </c:ext>
          </c:extLst>
        </c:ser>
        <c:ser>
          <c:idx val="5"/>
          <c:order val="5"/>
          <c:tx>
            <c:strRef>
              <c:f>'Endenergiebedarf nach Sektor'!$AM$87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Sektor'!$AO$87:$AU$87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7A-4238-8974-8951B9590C40}"/>
            </c:ext>
          </c:extLst>
        </c:ser>
        <c:ser>
          <c:idx val="6"/>
          <c:order val="6"/>
          <c:tx>
            <c:strRef>
              <c:f>'Endenergiebedarf nach Sektor'!$AM$88</c:f>
              <c:strCache>
                <c:ptCount val="1"/>
                <c:pt idx="0">
                  <c:v>District and local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Sektor'!$AO$88:$AU$88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7A-4238-8974-8951B959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960128"/>
        <c:axId val="224715328"/>
      </c:barChart>
      <c:catAx>
        <c:axId val="32696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4715328"/>
        <c:crosses val="autoZero"/>
        <c:auto val="1"/>
        <c:lblAlgn val="ctr"/>
        <c:lblOffset val="100"/>
        <c:noMultiLvlLbl val="0"/>
      </c:catAx>
      <c:valAx>
        <c:axId val="22471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Final energy consumption</a:t>
                </a:r>
                <a:r>
                  <a:rPr lang="de-DE" baseline="0"/>
                  <a:t> by residential building sector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696012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3933419382969012"/>
          <c:y val="0"/>
          <c:w val="0.26066580617030993"/>
          <c:h val="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TCS Total sector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2776597222222225"/>
          <c:y val="0.17819752678701276"/>
          <c:w val="0.47274908822584089"/>
          <c:h val="0.5068084101978918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'Endenergiebedarf nach Sektor'!$AM$16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Sektor'!$AO$16:$AU$16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6-4CB5-AF79-AC991A0940A4}"/>
            </c:ext>
          </c:extLst>
        </c:ser>
        <c:ser>
          <c:idx val="0"/>
          <c:order val="1"/>
          <c:tx>
            <c:strRef>
              <c:f>'Endenergiebedarf nach Sektor'!$AM$17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Sektor'!$AO$17:$AU$17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96-4CB5-AF79-AC991A0940A4}"/>
            </c:ext>
          </c:extLst>
        </c:ser>
        <c:ser>
          <c:idx val="1"/>
          <c:order val="2"/>
          <c:tx>
            <c:strRef>
              <c:f>'Endenergiebedarf nach Sektor'!$AM$18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Sektor'!$AO$18:$AU$18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96-4CB5-AF79-AC991A0940A4}"/>
            </c:ext>
          </c:extLst>
        </c:ser>
        <c:ser>
          <c:idx val="2"/>
          <c:order val="3"/>
          <c:tx>
            <c:strRef>
              <c:f>'Endenergiebedarf nach Sektor'!$AM$19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Sektor'!$AO$19:$AU$19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96-4CB5-AF79-AC991A0940A4}"/>
            </c:ext>
          </c:extLst>
        </c:ser>
        <c:ser>
          <c:idx val="4"/>
          <c:order val="4"/>
          <c:tx>
            <c:strRef>
              <c:f>'Endenergiebedarf nach Sektor'!$AM$20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Sektor'!$AO$20:$AU$20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96-4CB5-AF79-AC991A0940A4}"/>
            </c:ext>
          </c:extLst>
        </c:ser>
        <c:ser>
          <c:idx val="5"/>
          <c:order val="5"/>
          <c:tx>
            <c:strRef>
              <c:f>'Endenergiebedarf nach Sektor'!$AM$21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Sektor'!$AO$21:$AU$21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D96-4CB5-AF79-AC991A0940A4}"/>
            </c:ext>
          </c:extLst>
        </c:ser>
        <c:ser>
          <c:idx val="6"/>
          <c:order val="6"/>
          <c:tx>
            <c:strRef>
              <c:f>'Endenergiebedarf nach Sektor'!$AM$22</c:f>
              <c:strCache>
                <c:ptCount val="1"/>
                <c:pt idx="0">
                  <c:v>District and local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'Endenergiebedarf nach Sektor'!$AO$3:$AU$3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Sektor'!$AO$22:$AU$22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D96-4CB5-AF79-AC991A094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960128"/>
        <c:axId val="224715328"/>
      </c:barChart>
      <c:catAx>
        <c:axId val="32696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4715328"/>
        <c:crosses val="autoZero"/>
        <c:auto val="1"/>
        <c:lblAlgn val="ctr"/>
        <c:lblOffset val="100"/>
        <c:noMultiLvlLbl val="0"/>
      </c:catAx>
      <c:valAx>
        <c:axId val="22471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Final energy consumption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696012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4384998124261714"/>
          <c:y val="0.14773177499270587"/>
          <c:w val="0.2561500187573828"/>
          <c:h val="0.6875050993533530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TCS Process Heat and Electricity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2776597222222225"/>
          <c:y val="0.17819752678701276"/>
          <c:w val="0.50392093952591599"/>
          <c:h val="0.5068084101978918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'Endenergiebedarf nach Sektor'!$AW$20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numRef>
              <c:f>'Endenergiebedarf nach Sektor'!$AY$3:$BE$3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Sektor'!$AY$20:$BE$20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9-45E5-ABE4-C4FAFB15FFB9}"/>
            </c:ext>
          </c:extLst>
        </c:ser>
        <c:ser>
          <c:idx val="0"/>
          <c:order val="1"/>
          <c:tx>
            <c:strRef>
              <c:f>'Endenergiebedarf nach Sektor'!$AW$21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'Endenergiebedarf nach Sektor'!$AY$3:$BE$3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Sektor'!$AY$21:$BE$21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9-45E5-ABE4-C4FAFB15FFB9}"/>
            </c:ext>
          </c:extLst>
        </c:ser>
        <c:ser>
          <c:idx val="1"/>
          <c:order val="2"/>
          <c:tx>
            <c:strRef>
              <c:f>'Endenergiebedarf nach Sektor'!$AW$22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'Endenergiebedarf nach Sektor'!$AY$3:$BE$3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'Endenergiebedarf nach Sektor'!$AY$22:$BE$22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B9-45E5-ABE4-C4FAFB15F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960128"/>
        <c:axId val="224715328"/>
      </c:barChart>
      <c:catAx>
        <c:axId val="32696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4715328"/>
        <c:crosses val="autoZero"/>
        <c:auto val="1"/>
        <c:lblAlgn val="ctr"/>
        <c:lblOffset val="100"/>
        <c:noMultiLvlLbl val="0"/>
      </c:catAx>
      <c:valAx>
        <c:axId val="22471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Final energy consumption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696012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4384995915245689"/>
          <c:y val="0.29839986486508646"/>
          <c:w val="0.20648171542603488"/>
          <c:h val="0.29595942443647055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453680555555554"/>
          <c:y val="6.1460416666666663E-2"/>
          <c:w val="0.5726010416666667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'Endenergiebedarf nach Sektor'!$C$4</c:f>
              <c:strCache>
                <c:ptCount val="1"/>
                <c:pt idx="0">
                  <c:v>Gebäude</c:v>
                </c:pt>
              </c:strCache>
            </c:strRef>
          </c:tx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Sektor'!$E$3:$K$3</c15:sqref>
                  </c15:fullRef>
                </c:ext>
              </c:extLst>
              <c:f>'Endenergiebedarf nach Sektor'!$E$3:$J$3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Sektor'!$E$4:$K$4</c15:sqref>
                  </c15:fullRef>
                </c:ext>
              </c:extLst>
              <c:f>'Endenergiebedarf nach Sektor'!$E$4:$J$4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5-44A0-AB6F-B061A822931F}"/>
            </c:ext>
          </c:extLst>
        </c:ser>
        <c:ser>
          <c:idx val="1"/>
          <c:order val="1"/>
          <c:tx>
            <c:strRef>
              <c:f>'Endenergiebedarf nach Sektor'!$C$5</c:f>
              <c:strCache>
                <c:ptCount val="1"/>
                <c:pt idx="0">
                  <c:v>GHD</c:v>
                </c:pt>
              </c:strCache>
            </c:strRef>
          </c:tx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Sektor'!$E$3:$K$3</c15:sqref>
                  </c15:fullRef>
                </c:ext>
              </c:extLst>
              <c:f>'Endenergiebedarf nach Sektor'!$E$3:$J$3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Sektor'!$E$5:$K$5</c15:sqref>
                  </c15:fullRef>
                </c:ext>
              </c:extLst>
              <c:f>'Endenergiebedarf nach Sektor'!$E$5:$J$5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5-44A0-AB6F-B061A822931F}"/>
            </c:ext>
          </c:extLst>
        </c:ser>
        <c:ser>
          <c:idx val="2"/>
          <c:order val="2"/>
          <c:tx>
            <c:strRef>
              <c:f>'Endenergiebedarf nach Sektor'!$C$6</c:f>
              <c:strCache>
                <c:ptCount val="1"/>
                <c:pt idx="0">
                  <c:v>Industrie (energ.)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Sektor'!$E$3:$K$3</c15:sqref>
                  </c15:fullRef>
                </c:ext>
              </c:extLst>
              <c:f>'Endenergiebedarf nach Sektor'!$E$3:$J$3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Sektor'!$E$6:$K$6</c15:sqref>
                  </c15:fullRef>
                </c:ext>
              </c:extLst>
              <c:f>'Endenergiebedarf nach Sektor'!$E$6:$J$6</c:f>
              <c:numCache>
                <c:formatCode>0.00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5-44A0-AB6F-B061A822931F}"/>
            </c:ext>
          </c:extLst>
        </c:ser>
        <c:ser>
          <c:idx val="4"/>
          <c:order val="3"/>
          <c:tx>
            <c:strRef>
              <c:f>'Endenergiebedarf nach Sektor'!$C$7</c:f>
              <c:strCache>
                <c:ptCount val="1"/>
                <c:pt idx="0">
                  <c:v>Industrie (n-energ.)</c:v>
                </c:pt>
              </c:strCache>
            </c:strRef>
          </c:tx>
          <c:spPr>
            <a:pattFill prst="dkUpDiag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Sektor'!$E$3:$K$3</c15:sqref>
                  </c15:fullRef>
                </c:ext>
              </c:extLst>
              <c:f>'Endenergiebedarf nach Sektor'!$E$3:$J$3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Sektor'!$E$7:$K$7</c15:sqref>
                  </c15:fullRef>
                </c:ext>
              </c:extLst>
              <c:f>'Endenergiebedarf nach Sektor'!$E$7:$J$7</c:f>
              <c:numCache>
                <c:formatCode>0.00</c:formatCode>
                <c:ptCount val="6"/>
                <c:pt idx="0">
                  <c:v>116585.44434771821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75-44A0-AB6F-B061A822931F}"/>
            </c:ext>
          </c:extLst>
        </c:ser>
        <c:ser>
          <c:idx val="3"/>
          <c:order val="4"/>
          <c:tx>
            <c:strRef>
              <c:f>'Endenergiebedarf nach Sektor'!$C$8</c:f>
              <c:strCache>
                <c:ptCount val="1"/>
                <c:pt idx="0">
                  <c:v>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Sektor'!$E$3:$K$3</c15:sqref>
                  </c15:fullRef>
                </c:ext>
              </c:extLst>
              <c:f>'Endenergiebedarf nach Sektor'!$E$3:$J$3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'Endenergiebedarf nach Sektor'!$E$8:$K$8</c15:sqref>
                  </c15:fullRef>
                </c:ext>
              </c:extLst>
              <c:f>'Endenergiebedarf nach Sektor'!$E$8:$J$8</c:f>
              <c:numCache>
                <c:formatCode>General</c:formatCode>
                <c:ptCount val="6"/>
                <c:pt idx="0">
                  <c:v>97000</c:v>
                </c:pt>
                <c:pt idx="1">
                  <c:v>97000</c:v>
                </c:pt>
                <c:pt idx="2">
                  <c:v>97000</c:v>
                </c:pt>
                <c:pt idx="3">
                  <c:v>97000</c:v>
                </c:pt>
                <c:pt idx="4">
                  <c:v>97000</c:v>
                </c:pt>
                <c:pt idx="5">
                  <c:v>97000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75-44A0-AB6F-B061A8229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936512"/>
        <c:axId val="225625792"/>
      </c:barChart>
      <c:catAx>
        <c:axId val="32793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5625792"/>
        <c:crosses val="autoZero"/>
        <c:auto val="1"/>
        <c:lblAlgn val="ctr"/>
        <c:lblOffset val="100"/>
        <c:noMultiLvlLbl val="0"/>
      </c:catAx>
      <c:valAx>
        <c:axId val="225625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Endenergiebedarf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793651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871368527998317"/>
          <c:y val="5.3832212850761951E-2"/>
          <c:w val="0.21286313453065375"/>
          <c:h val="0.7954473385688127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Total System Costs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Kosten!$B$15</c:f>
              <c:strCache>
                <c:ptCount val="1"/>
                <c:pt idx="0">
                  <c:v>Transport sector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Kosten!$C$3:$H$3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Kosten!$C$15:$H$15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3-4411-971C-96C36E780095}"/>
            </c:ext>
          </c:extLst>
        </c:ser>
        <c:ser>
          <c:idx val="1"/>
          <c:order val="1"/>
          <c:tx>
            <c:strRef>
              <c:f>Kosten!$B$16</c:f>
              <c:strCache>
                <c:ptCount val="1"/>
                <c:pt idx="0">
                  <c:v>Building sector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Kosten!$C$3:$H$3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Kosten!$C$16:$H$16</c:f>
              <c:numCache>
                <c:formatCode>General</c:formatCode>
                <c:ptCount val="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83-4411-971C-96C36E780095}"/>
            </c:ext>
          </c:extLst>
        </c:ser>
        <c:ser>
          <c:idx val="2"/>
          <c:order val="2"/>
          <c:tx>
            <c:strRef>
              <c:f>Kosten!$B$17</c:f>
              <c:strCache>
                <c:ptCount val="1"/>
                <c:pt idx="0">
                  <c:v>Industry sector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numRef>
              <c:f>Kosten!$C$3:$H$3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Kosten!$C$17:$H$17</c:f>
              <c:numCache>
                <c:formatCode>General</c:formatCode>
                <c:ptCount val="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83-4411-971C-96C36E780095}"/>
            </c:ext>
          </c:extLst>
        </c:ser>
        <c:ser>
          <c:idx val="3"/>
          <c:order val="3"/>
          <c:tx>
            <c:strRef>
              <c:f>Kosten!$B$18</c:f>
              <c:strCache>
                <c:ptCount val="1"/>
                <c:pt idx="0">
                  <c:v>Energy sector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Kosten!$C$3:$H$3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Kosten!$C$18:$H$18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83-4411-971C-96C36E780095}"/>
            </c:ext>
          </c:extLst>
        </c:ser>
        <c:ser>
          <c:idx val="4"/>
          <c:order val="4"/>
          <c:tx>
            <c:strRef>
              <c:f>Kosten!$B$19</c:f>
              <c:strCache>
                <c:ptCount val="1"/>
                <c:pt idx="0">
                  <c:v>Infrastructures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Kosten!$C$3:$H$3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Kosten!$C$19:$H$19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83-4411-971C-96C36E780095}"/>
            </c:ext>
          </c:extLst>
        </c:ser>
        <c:ser>
          <c:idx val="6"/>
          <c:order val="5"/>
          <c:tx>
            <c:strRef>
              <c:f>Kosten!$B$20</c:f>
              <c:strCache>
                <c:ptCount val="1"/>
                <c:pt idx="0">
                  <c:v>Storages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numRef>
              <c:f>Kosten!$C$3:$H$3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Kosten!$C$20:$H$20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83-4411-971C-96C36E780095}"/>
            </c:ext>
          </c:extLst>
        </c:ser>
        <c:ser>
          <c:idx val="5"/>
          <c:order val="6"/>
          <c:tx>
            <c:strRef>
              <c:f>Kosten!$B$21</c:f>
              <c:strCache>
                <c:ptCount val="1"/>
                <c:pt idx="0">
                  <c:v>Renew. Fuels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numRef>
              <c:f>Kosten!$C$3:$H$3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Kosten!$C$21:$H$21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83-4411-971C-96C36E780095}"/>
            </c:ext>
          </c:extLst>
        </c:ser>
        <c:ser>
          <c:idx val="7"/>
          <c:order val="7"/>
          <c:tx>
            <c:strRef>
              <c:f>Kosten!$B$22</c:f>
              <c:strCache>
                <c:ptCount val="1"/>
                <c:pt idx="0">
                  <c:v>Conv. Fuels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Kosten!$C$3:$H$3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Kosten!$C$22:$H$22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83-4411-971C-96C36E780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0560000"/>
        <c:axId val="239141440"/>
      </c:barChart>
      <c:lineChart>
        <c:grouping val="standard"/>
        <c:varyColors val="0"/>
        <c:ser>
          <c:idx val="8"/>
          <c:order val="8"/>
          <c:tx>
            <c:strRef>
              <c:f>Kosten!$B$23</c:f>
              <c:strCache>
                <c:ptCount val="1"/>
                <c:pt idx="0">
                  <c:v>Total System Costs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Kosten!$C$3:$H$3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Kosten!$C$23:$H$23</c:f>
              <c:numCache>
                <c:formatCode>0</c:formatCode>
                <c:ptCount val="6"/>
                <c:pt idx="0" formatCode="General">
                  <c:v>0</c:v>
                </c:pt>
                <c:pt idx="1">
                  <c:v>#N/A</c:v>
                </c:pt>
                <c:pt idx="2">
                  <c:v>#N/A</c:v>
                </c:pt>
                <c:pt idx="3" formatCode="General">
                  <c:v>#N/A</c:v>
                </c:pt>
                <c:pt idx="4" formatCode="General">
                  <c:v>#N/A</c:v>
                </c:pt>
                <c:pt idx="5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83-4411-971C-96C36E780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60000"/>
        <c:axId val="239141440"/>
      </c:lineChart>
      <c:catAx>
        <c:axId val="33056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crossAx val="239141440"/>
        <c:crosses val="autoZero"/>
        <c:auto val="1"/>
        <c:lblAlgn val="ctr"/>
        <c:lblOffset val="100"/>
        <c:noMultiLvlLbl val="0"/>
      </c:catAx>
      <c:valAx>
        <c:axId val="239141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Annual cost</a:t>
                </a:r>
                <a:r>
                  <a:rPr lang="de-DE" baseline="0"/>
                  <a:t> dev.</a:t>
                </a:r>
                <a:r>
                  <a:rPr lang="de-DE"/>
                  <a:t> in bn 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0560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554969744704835"/>
          <c:y val="0.16803464984722602"/>
          <c:w val="0.25445033224259156"/>
          <c:h val="0.75939416199605791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Total System Costs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074104718699642"/>
          <c:y val="0.13938453581587795"/>
          <c:w val="0.54746392856603965"/>
          <c:h val="0.653475758922573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Kosten!$A$4</c:f>
              <c:strCache>
                <c:ptCount val="1"/>
                <c:pt idx="0">
                  <c:v>Transport sector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Kosten!$C$3:$I$3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</c:strCache>
            </c:strRef>
          </c:cat>
          <c:val>
            <c:numRef>
              <c:f>Kosten!$C$4:$I$4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175692.89018479298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E-4F94-84CF-2C5C4BE6C104}"/>
            </c:ext>
          </c:extLst>
        </c:ser>
        <c:ser>
          <c:idx val="1"/>
          <c:order val="1"/>
          <c:tx>
            <c:strRef>
              <c:f>Kosten!$A$5</c:f>
              <c:strCache>
                <c:ptCount val="1"/>
                <c:pt idx="0">
                  <c:v>Building sector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Kosten!$C$3:$I$3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</c:strCache>
            </c:strRef>
          </c:cat>
          <c:val>
            <c:numRef>
              <c:f>Kosten!$C$5:$I$5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136070.93479936768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E-4F94-84CF-2C5C4BE6C104}"/>
            </c:ext>
          </c:extLst>
        </c:ser>
        <c:ser>
          <c:idx val="2"/>
          <c:order val="2"/>
          <c:tx>
            <c:strRef>
              <c:f>Kosten!$A$6</c:f>
              <c:strCache>
                <c:ptCount val="1"/>
                <c:pt idx="0">
                  <c:v>Industry sector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Kosten!$C$3:$I$3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</c:strCache>
            </c:strRef>
          </c:cat>
          <c:val>
            <c:numRef>
              <c:f>Kosten!$C$6:$I$6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44813.307169298147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E-4F94-84CF-2C5C4BE6C104}"/>
            </c:ext>
          </c:extLst>
        </c:ser>
        <c:ser>
          <c:idx val="3"/>
          <c:order val="3"/>
          <c:tx>
            <c:strRef>
              <c:f>Kosten!$A$7</c:f>
              <c:strCache>
                <c:ptCount val="1"/>
                <c:pt idx="0">
                  <c:v>Energy sector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Kosten!$C$3:$I$3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</c:strCache>
            </c:strRef>
          </c:cat>
          <c:val>
            <c:numRef>
              <c:f>Kosten!$C$7:$I$7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83174.148161641409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E-4F94-84CF-2C5C4BE6C104}"/>
            </c:ext>
          </c:extLst>
        </c:ser>
        <c:ser>
          <c:idx val="4"/>
          <c:order val="4"/>
          <c:tx>
            <c:strRef>
              <c:f>Kosten!$A$8</c:f>
              <c:strCache>
                <c:ptCount val="1"/>
                <c:pt idx="0">
                  <c:v>Infrastructures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Kosten!$C$3:$I$3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</c:strCache>
            </c:strRef>
          </c:cat>
          <c:val>
            <c:numRef>
              <c:f>Kosten!$C$8:$I$8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62784.179205977576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6E-4F94-84CF-2C5C4BE6C104}"/>
            </c:ext>
          </c:extLst>
        </c:ser>
        <c:ser>
          <c:idx val="6"/>
          <c:order val="5"/>
          <c:tx>
            <c:strRef>
              <c:f>Kosten!$A$9</c:f>
              <c:strCache>
                <c:ptCount val="1"/>
                <c:pt idx="0">
                  <c:v>Storages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f>Kosten!$C$3:$I$3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</c:strCache>
            </c:strRef>
          </c:cat>
          <c:val>
            <c:numRef>
              <c:f>Kosten!$C$9:$I$9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10598.787226875094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6E-4F94-84CF-2C5C4BE6C104}"/>
            </c:ext>
          </c:extLst>
        </c:ser>
        <c:ser>
          <c:idx val="5"/>
          <c:order val="6"/>
          <c:tx>
            <c:strRef>
              <c:f>Kosten!$A$10</c:f>
              <c:strCache>
                <c:ptCount val="1"/>
                <c:pt idx="0">
                  <c:v>Renew. Fuels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Kosten!$C$3:$I$3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</c:strCache>
            </c:strRef>
          </c:cat>
          <c:val>
            <c:numRef>
              <c:f>Kosten!$C$10:$I$10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47290.217946797675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6E-4F94-84CF-2C5C4BE6C104}"/>
            </c:ext>
          </c:extLst>
        </c:ser>
        <c:ser>
          <c:idx val="7"/>
          <c:order val="7"/>
          <c:tx>
            <c:strRef>
              <c:f>Kosten!$A$11</c:f>
              <c:strCache>
                <c:ptCount val="1"/>
                <c:pt idx="0">
                  <c:v>Conv. Fuels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Kosten!$C$3:$I$3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</c:strCache>
            </c:strRef>
          </c:cat>
          <c:val>
            <c:numRef>
              <c:f>Kosten!$C$11:$I$11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260.02153520781218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6E-4F94-84CF-2C5C4BE6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0562048"/>
        <c:axId val="239143744"/>
      </c:barChart>
      <c:catAx>
        <c:axId val="33056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39143744"/>
        <c:crosses val="autoZero"/>
        <c:auto val="1"/>
        <c:lblAlgn val="ctr"/>
        <c:lblOffset val="100"/>
        <c:noMultiLvlLbl val="0"/>
      </c:catAx>
      <c:valAx>
        <c:axId val="239143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Annual costs in bn 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05620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0335575876987566"/>
          <c:y val="0.16803464984722602"/>
          <c:w val="0.28608524249940231"/>
          <c:h val="0.5596604939829551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Share of Additional</a:t>
            </a:r>
            <a:r>
              <a:rPr lang="de-DE" baseline="0"/>
              <a:t> Annual Costs</a:t>
            </a:r>
            <a:endParaRPr lang="de-DE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73571428680005"/>
          <c:y val="0.17949015507516766"/>
          <c:w val="0.41189085364435546"/>
          <c:h val="0.78028181505875971"/>
        </c:manualLayout>
      </c:layout>
      <c:pieChart>
        <c:varyColors val="1"/>
        <c:ser>
          <c:idx val="0"/>
          <c:order val="0"/>
          <c:tx>
            <c:strRef>
              <c:f>Kosten!$I$14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7FBE-4D79-BBD1-AF787A28AD86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7FBE-4D79-BBD1-AF787A28AD86}"/>
              </c:ext>
            </c:extLst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7FBE-4D79-BBD1-AF787A28AD86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7FBE-4D79-BBD1-AF787A28AD86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7FBE-4D79-BBD1-AF787A28AD86}"/>
              </c:ext>
            </c:extLst>
          </c:dPt>
          <c:dPt>
            <c:idx val="5"/>
            <c:bubble3D val="0"/>
            <c:spPr>
              <a:pattFill prst="ltDnDiag">
                <a:fgClr>
                  <a:schemeClr val="bg1"/>
                </a:fgClr>
                <a:bgClr>
                  <a:schemeClr val="accent1">
                    <a:lumMod val="60000"/>
                    <a:lumOff val="40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0B-7FBE-4D79-BBD1-AF787A28AD86}"/>
              </c:ext>
            </c:extLst>
          </c:dPt>
          <c:dPt>
            <c:idx val="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D-7FBE-4D79-BBD1-AF787A28AD86}"/>
              </c:ext>
            </c:extLst>
          </c:dPt>
          <c:dLbls>
            <c:dLbl>
              <c:idx val="0"/>
              <c:layout>
                <c:manualLayout>
                  <c:x val="-7.1851712101197757E-2"/>
                  <c:y val="0.10234621273400001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BE-4D79-BBD1-AF787A28AD86}"/>
                </c:ext>
              </c:extLst>
            </c:dLbl>
            <c:dLbl>
              <c:idx val="1"/>
              <c:layout>
                <c:manualLayout>
                  <c:x val="-9.8000821848709674E-2"/>
                  <c:y val="5.4660879435989775E-2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BE-4D79-BBD1-AF787A28AD86}"/>
                </c:ext>
              </c:extLst>
            </c:dLbl>
            <c:dLbl>
              <c:idx val="2"/>
              <c:layout>
                <c:manualLayout>
                  <c:x val="2.4343585229377504E-2"/>
                  <c:y val="-2.986146526207381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BE-4D79-BBD1-AF787A28AD86}"/>
                </c:ext>
              </c:extLst>
            </c:dLbl>
            <c:dLbl>
              <c:idx val="5"/>
              <c:layout>
                <c:manualLayout>
                  <c:x val="-1.9308511940058247E-2"/>
                  <c:y val="6.7964349384326845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FBE-4D79-BBD1-AF787A28AD86}"/>
                </c:ext>
              </c:extLst>
            </c:dLbl>
            <c:dLbl>
              <c:idx val="6"/>
              <c:layout>
                <c:manualLayout>
                  <c:x val="9.7222452371617307E-2"/>
                  <c:y val="-9.7477094931527397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FBE-4D79-BBD1-AF787A28AD86}"/>
                </c:ext>
              </c:extLst>
            </c:dLbl>
            <c:dLbl>
              <c:idx val="7"/>
              <c:layout>
                <c:manualLayout>
                  <c:x val="0.10242445369332516"/>
                  <c:y val="0.1100094076573781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80A-4393-AFB0-6A5EE457249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Kosten!$B$15:$B$21</c:f>
              <c:strCache>
                <c:ptCount val="7"/>
                <c:pt idx="0">
                  <c:v>Transport sector</c:v>
                </c:pt>
                <c:pt idx="1">
                  <c:v>Building sector</c:v>
                </c:pt>
                <c:pt idx="2">
                  <c:v>Industry sector</c:v>
                </c:pt>
                <c:pt idx="3">
                  <c:v>Energy sector</c:v>
                </c:pt>
                <c:pt idx="4">
                  <c:v>Infrastructures</c:v>
                </c:pt>
                <c:pt idx="5">
                  <c:v>Storages</c:v>
                </c:pt>
                <c:pt idx="6">
                  <c:v>Renew. Fuels</c:v>
                </c:pt>
              </c:strCache>
            </c:strRef>
          </c:cat>
          <c:val>
            <c:numRef>
              <c:f>Kosten!$I$15:$I$21</c:f>
              <c:numCache>
                <c:formatCode>General</c:formatCode>
                <c:ptCount val="7"/>
                <c:pt idx="0">
                  <c:v>175692.89018479298</c:v>
                </c:pt>
                <c:pt idx="1">
                  <c:v>#N/A</c:v>
                </c:pt>
                <c:pt idx="2">
                  <c:v>#N/A</c:v>
                </c:pt>
                <c:pt idx="3">
                  <c:v>83174.148161641409</c:v>
                </c:pt>
                <c:pt idx="4">
                  <c:v>62784.179205977576</c:v>
                </c:pt>
                <c:pt idx="5">
                  <c:v>10598.787226875094</c:v>
                </c:pt>
                <c:pt idx="6">
                  <c:v>47290.217946797675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BE-4D79-BBD1-AF787A28AD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6678134442672166"/>
          <c:y val="0.20487038482703532"/>
          <c:w val="0.30618855516968152"/>
          <c:h val="0.68197885048044704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Gesamtsystemkosten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260806422517383"/>
          <c:y val="0.1394734458059482"/>
          <c:w val="0.43954796091668069"/>
          <c:h val="0.585985281306845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Kosten!$B$90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Kosten!$C$3:$I$3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Kosten!$C$90:$I$90</c15:sqref>
                  </c15:fullRef>
                </c:ext>
              </c:extLst>
              <c:f>Kosten!$C$90:$H$90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7-4B26-8FC7-8092B1AD6302}"/>
            </c:ext>
          </c:extLst>
        </c:ser>
        <c:ser>
          <c:idx val="1"/>
          <c:order val="1"/>
          <c:tx>
            <c:strRef>
              <c:f>Kosten!$B$91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Kosten!$C$3:$I$3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Kosten!$C$91:$I$91</c15:sqref>
                  </c15:fullRef>
                </c:ext>
              </c:extLst>
              <c:f>Kosten!$C$91:$H$91</c:f>
              <c:numCache>
                <c:formatCode>General</c:formatCode>
                <c:ptCount val="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E7-4B26-8FC7-8092B1AD6302}"/>
            </c:ext>
          </c:extLst>
        </c:ser>
        <c:ser>
          <c:idx val="2"/>
          <c:order val="2"/>
          <c:tx>
            <c:strRef>
              <c:f>Kosten!$B$92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Kosten!$C$3:$I$3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Kosten!$C$92:$I$92</c15:sqref>
                  </c15:fullRef>
                </c:ext>
              </c:extLst>
              <c:f>Kosten!$C$92:$H$92</c:f>
              <c:numCache>
                <c:formatCode>General</c:formatCode>
                <c:ptCount val="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7-4B26-8FC7-8092B1AD6302}"/>
            </c:ext>
          </c:extLst>
        </c:ser>
        <c:ser>
          <c:idx val="3"/>
          <c:order val="3"/>
          <c:tx>
            <c:strRef>
              <c:f>Kosten!$B$93</c:f>
              <c:strCache>
                <c:ptCount val="1"/>
                <c:pt idx="0">
                  <c:v>Umwandlungssektor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Kosten!$C$3:$I$3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Kosten!$C$93:$I$93</c15:sqref>
                  </c15:fullRef>
                </c:ext>
              </c:extLst>
              <c:f>Kosten!$C$93:$H$93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E7-4B26-8FC7-8092B1AD6302}"/>
            </c:ext>
          </c:extLst>
        </c:ser>
        <c:ser>
          <c:idx val="4"/>
          <c:order val="4"/>
          <c:tx>
            <c:strRef>
              <c:f>Kosten!$B$94</c:f>
              <c:strCache>
                <c:ptCount val="1"/>
                <c:pt idx="0">
                  <c:v>Infrastrukturen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Kosten!$C$3:$I$3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Kosten!$C$94:$I$94</c15:sqref>
                  </c15:fullRef>
                </c:ext>
              </c:extLst>
              <c:f>Kosten!$C$94:$H$94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E7-4B26-8FC7-8092B1AD6302}"/>
            </c:ext>
          </c:extLst>
        </c:ser>
        <c:ser>
          <c:idx val="6"/>
          <c:order val="5"/>
          <c:tx>
            <c:strRef>
              <c:f>Kosten!$B$95</c:f>
              <c:strCache>
                <c:ptCount val="1"/>
                <c:pt idx="0">
                  <c:v>Speicher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Kosten!$C$3:$I$3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Kosten!$C$95:$I$95</c15:sqref>
                  </c15:fullRef>
                </c:ext>
              </c:extLst>
              <c:f>Kosten!$C$95:$H$95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E7-4B26-8FC7-8092B1AD6302}"/>
            </c:ext>
          </c:extLst>
        </c:ser>
        <c:ser>
          <c:idx val="5"/>
          <c:order val="6"/>
          <c:tx>
            <c:strRef>
              <c:f>Kosten!$B$96</c:f>
              <c:strCache>
                <c:ptCount val="1"/>
                <c:pt idx="0">
                  <c:v>Erneuerbare Kraftstoffe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Kosten!$C$3:$I$3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Kosten!$C$96:$I$96</c15:sqref>
                  </c15:fullRef>
                </c:ext>
              </c:extLst>
              <c:f>Kosten!$C$96:$H$96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E7-4B26-8FC7-8092B1AD6302}"/>
            </c:ext>
          </c:extLst>
        </c:ser>
        <c:ser>
          <c:idx val="7"/>
          <c:order val="7"/>
          <c:tx>
            <c:strRef>
              <c:f>Kosten!$B$97</c:f>
              <c:strCache>
                <c:ptCount val="1"/>
                <c:pt idx="0">
                  <c:v>Konv. Kraftstoffe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Kosten!$C$3:$I$3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Kosten!$C$97:$I$97</c15:sqref>
                  </c15:fullRef>
                </c:ext>
              </c:extLst>
              <c:f>Kosten!$C$97:$H$97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E7-4B26-8FC7-8092B1AD6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66720"/>
        <c:axId val="239147200"/>
      </c:barChart>
      <c:lineChart>
        <c:grouping val="standard"/>
        <c:varyColors val="0"/>
        <c:ser>
          <c:idx val="8"/>
          <c:order val="8"/>
          <c:tx>
            <c:strRef>
              <c:f>Kosten!$B$98</c:f>
              <c:strCache>
                <c:ptCount val="1"/>
                <c:pt idx="0">
                  <c:v>Gesamtsystemkosten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Kosten!$C$3:$I$3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Kosten!$C$98:$I$98</c15:sqref>
                  </c15:fullRef>
                </c:ext>
              </c:extLst>
              <c:f>Kosten!$C$98:$H$98</c:f>
              <c:numCache>
                <c:formatCode>General</c:formatCode>
                <c:ptCount val="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E7-4B26-8FC7-8092B1AD6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66720"/>
        <c:axId val="239147200"/>
      </c:lineChart>
      <c:catAx>
        <c:axId val="33116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crossAx val="239147200"/>
        <c:crosses val="autoZero"/>
        <c:auto val="1"/>
        <c:lblAlgn val="ctr"/>
        <c:lblOffset val="100"/>
        <c:noMultiLvlLbl val="0"/>
      </c:catAx>
      <c:valAx>
        <c:axId val="23914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Änderung der jährl. Kosten in Mrd. </a:t>
                </a:r>
                <a:r>
                  <a:rPr lang="de-DE"/>
                  <a:t>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1166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293618410315"/>
          <c:y val="0.15453857367197149"/>
          <c:w val="0.33299553805739224"/>
          <c:h val="0.76013242155992733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Gesamtsystemkosten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074104718699642"/>
          <c:y val="0.13938453581587795"/>
          <c:w val="0.48763800628629494"/>
          <c:h val="0.653475758922573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Kosten!$B$79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Kosten!$C$3:$J$3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  <c:pt idx="7">
                  <c:v>THGneural50</c:v>
                </c:pt>
              </c:strCache>
            </c:strRef>
          </c:cat>
          <c:val>
            <c:numRef>
              <c:f>Kosten!$C$79:$J$79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175692.89018479298</c:v>
                </c:pt>
                <c:pt idx="7">
                  <c:v>187241.52377001295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1-4737-9CD2-1D50CF9D8513}"/>
            </c:ext>
          </c:extLst>
        </c:ser>
        <c:ser>
          <c:idx val="1"/>
          <c:order val="1"/>
          <c:tx>
            <c:strRef>
              <c:f>Kosten!$B$80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Kosten!$C$3:$J$3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  <c:pt idx="7">
                  <c:v>THGneural50</c:v>
                </c:pt>
              </c:strCache>
            </c:strRef>
          </c:cat>
          <c:val>
            <c:numRef>
              <c:f>Kosten!$C$80:$J$80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136070.93479936768</c:v>
                </c:pt>
                <c:pt idx="7">
                  <c:v>204826.03331721658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1-4737-9CD2-1D50CF9D8513}"/>
            </c:ext>
          </c:extLst>
        </c:ser>
        <c:ser>
          <c:idx val="2"/>
          <c:order val="2"/>
          <c:tx>
            <c:strRef>
              <c:f>Kosten!$B$81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Kosten!$C$3:$J$3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  <c:pt idx="7">
                  <c:v>THGneural50</c:v>
                </c:pt>
              </c:strCache>
            </c:strRef>
          </c:cat>
          <c:val>
            <c:numRef>
              <c:f>Kosten!$C$81:$J$81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44813.307169298147</c:v>
                </c:pt>
                <c:pt idx="7">
                  <c:v>48031.628907320104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F1-4737-9CD2-1D50CF9D8513}"/>
            </c:ext>
          </c:extLst>
        </c:ser>
        <c:ser>
          <c:idx val="3"/>
          <c:order val="3"/>
          <c:tx>
            <c:strRef>
              <c:f>Kosten!$B$82</c:f>
              <c:strCache>
                <c:ptCount val="1"/>
                <c:pt idx="0">
                  <c:v>Umwandlungssektor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Kosten!$C$3:$J$3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  <c:pt idx="7">
                  <c:v>THGneural50</c:v>
                </c:pt>
              </c:strCache>
            </c:strRef>
          </c:cat>
          <c:val>
            <c:numRef>
              <c:f>Kosten!$C$82:$J$82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83174.148161641409</c:v>
                </c:pt>
                <c:pt idx="7">
                  <c:v>72783.300564175675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F1-4737-9CD2-1D50CF9D8513}"/>
            </c:ext>
          </c:extLst>
        </c:ser>
        <c:ser>
          <c:idx val="4"/>
          <c:order val="4"/>
          <c:tx>
            <c:strRef>
              <c:f>Kosten!$B$83</c:f>
              <c:strCache>
                <c:ptCount val="1"/>
                <c:pt idx="0">
                  <c:v>Infrastrukturen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Kosten!$C$3:$J$3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  <c:pt idx="7">
                  <c:v>THGneural50</c:v>
                </c:pt>
              </c:strCache>
            </c:strRef>
          </c:cat>
          <c:val>
            <c:numRef>
              <c:f>Kosten!$C$83:$J$83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62784.179205977576</c:v>
                </c:pt>
                <c:pt idx="7">
                  <c:v>54708.779771839363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F1-4737-9CD2-1D50CF9D8513}"/>
            </c:ext>
          </c:extLst>
        </c:ser>
        <c:ser>
          <c:idx val="6"/>
          <c:order val="5"/>
          <c:tx>
            <c:strRef>
              <c:f>Kosten!$B$84</c:f>
              <c:strCache>
                <c:ptCount val="1"/>
                <c:pt idx="0">
                  <c:v>Speicher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f>Kosten!$C$3:$J$3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  <c:pt idx="7">
                  <c:v>THGneural50</c:v>
                </c:pt>
              </c:strCache>
            </c:strRef>
          </c:cat>
          <c:val>
            <c:numRef>
              <c:f>Kosten!$C$84:$J$84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10598.787226875094</c:v>
                </c:pt>
                <c:pt idx="7">
                  <c:v>10062.408314091364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F1-4737-9CD2-1D50CF9D8513}"/>
            </c:ext>
          </c:extLst>
        </c:ser>
        <c:ser>
          <c:idx val="5"/>
          <c:order val="6"/>
          <c:tx>
            <c:strRef>
              <c:f>Kosten!$B$85</c:f>
              <c:strCache>
                <c:ptCount val="1"/>
                <c:pt idx="0">
                  <c:v>Erneuerbare Kraftstoffe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Kosten!$C$3:$J$3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  <c:pt idx="7">
                  <c:v>THGneural50</c:v>
                </c:pt>
              </c:strCache>
            </c:strRef>
          </c:cat>
          <c:val>
            <c:numRef>
              <c:f>Kosten!$C$85:$J$85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47290.217946797675</c:v>
                </c:pt>
                <c:pt idx="7">
                  <c:v>48511.816243608118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F1-4737-9CD2-1D50CF9D8513}"/>
            </c:ext>
          </c:extLst>
        </c:ser>
        <c:ser>
          <c:idx val="7"/>
          <c:order val="7"/>
          <c:tx>
            <c:strRef>
              <c:f>Kosten!$B$86</c:f>
              <c:strCache>
                <c:ptCount val="1"/>
                <c:pt idx="0">
                  <c:v>Konv. Kraftstoffe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Kosten!$C$3:$J$3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48Typtage</c:v>
                </c:pt>
                <c:pt idx="7">
                  <c:v>THGneural50</c:v>
                </c:pt>
              </c:strCache>
            </c:strRef>
          </c:cat>
          <c:val>
            <c:numRef>
              <c:f>Kosten!$C$86:$J$86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260.02153520781218</c:v>
                </c:pt>
                <c:pt idx="7">
                  <c:v>1043.5491757337936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F1-4737-9CD2-1D50CF9D8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68256"/>
        <c:axId val="323756608"/>
      </c:barChart>
      <c:catAx>
        <c:axId val="33116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23756608"/>
        <c:crosses val="autoZero"/>
        <c:auto val="1"/>
        <c:lblAlgn val="ctr"/>
        <c:lblOffset val="100"/>
        <c:noMultiLvlLbl val="0"/>
      </c:catAx>
      <c:valAx>
        <c:axId val="323756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Jährliche</a:t>
                </a:r>
                <a:r>
                  <a:rPr lang="de-DE" baseline="0"/>
                  <a:t> Kosten in Mrd. </a:t>
                </a:r>
                <a:r>
                  <a:rPr lang="de-DE"/>
                  <a:t>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11682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177027673718956"/>
          <c:y val="0.21519433213736572"/>
          <c:w val="0.33359413079627787"/>
          <c:h val="0.5596604939829551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Verteilung</a:t>
            </a:r>
            <a:r>
              <a:rPr lang="de-DE" baseline="0"/>
              <a:t> zusätzlicher jährlicher Kosten (2050)</a:t>
            </a:r>
            <a:endParaRPr lang="de-DE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73571428680005"/>
          <c:y val="0.17949015507516766"/>
          <c:w val="0.41189085364435546"/>
          <c:h val="0.78028181505875971"/>
        </c:manualLayout>
      </c:layout>
      <c:pieChart>
        <c:varyColors val="1"/>
        <c:ser>
          <c:idx val="0"/>
          <c:order val="0"/>
          <c:tx>
            <c:strRef>
              <c:f>Kosten!$I$3</c:f>
              <c:strCache>
                <c:ptCount val="1"/>
                <c:pt idx="0">
                  <c:v>2045 48Typtage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5ECB-46FE-B4BA-54C2F8CAB562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5ECB-46FE-B4BA-54C2F8CAB562}"/>
              </c:ext>
            </c:extLst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5ECB-46FE-B4BA-54C2F8CAB562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5ECB-46FE-B4BA-54C2F8CAB562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5ECB-46FE-B4BA-54C2F8CAB562}"/>
              </c:ext>
            </c:extLst>
          </c:dPt>
          <c:dPt>
            <c:idx val="5"/>
            <c:bubble3D val="0"/>
            <c:spPr>
              <a:pattFill prst="ltDnDiag">
                <a:fgClr>
                  <a:schemeClr val="bg1"/>
                </a:fgClr>
                <a:bgClr>
                  <a:schemeClr val="accent1">
                    <a:lumMod val="60000"/>
                    <a:lumOff val="40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0B-5ECB-46FE-B4BA-54C2F8CAB562}"/>
              </c:ext>
            </c:extLst>
          </c:dPt>
          <c:dPt>
            <c:idx val="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D-5ECB-46FE-B4BA-54C2F8CAB562}"/>
              </c:ext>
            </c:extLst>
          </c:dPt>
          <c:dLbls>
            <c:dLbl>
              <c:idx val="0"/>
              <c:layout>
                <c:manualLayout>
                  <c:x val="-0.10853544030974122"/>
                  <c:y val="2.9204340250231591E-2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CB-46FE-B4BA-54C2F8CAB562}"/>
                </c:ext>
              </c:extLst>
            </c:dLbl>
            <c:dLbl>
              <c:idx val="1"/>
              <c:numFmt formatCode="0.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5ECB-46FE-B4BA-54C2F8CAB562}"/>
                </c:ext>
              </c:extLst>
            </c:dLbl>
            <c:dLbl>
              <c:idx val="2"/>
              <c:layout>
                <c:manualLayout>
                  <c:x val="2.4343585229377504E-2"/>
                  <c:y val="-2.986146526207381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CB-46FE-B4BA-54C2F8CAB562}"/>
                </c:ext>
              </c:extLst>
            </c:dLbl>
            <c:dLbl>
              <c:idx val="5"/>
              <c:layout>
                <c:manualLayout>
                  <c:x val="-1.9308511940058247E-2"/>
                  <c:y val="6.7964349384326845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CB-46FE-B4BA-54C2F8CAB562}"/>
                </c:ext>
              </c:extLst>
            </c:dLbl>
            <c:dLbl>
              <c:idx val="6"/>
              <c:layout>
                <c:manualLayout>
                  <c:x val="8.3707409404326388E-2"/>
                  <c:y val="0.1165492701218618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CB-46FE-B4BA-54C2F8CAB56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Kosten!$B$90:$B$96</c:f>
              <c:strCache>
                <c:ptCount val="7"/>
                <c:pt idx="0">
                  <c:v>Transport</c:v>
                </c:pt>
                <c:pt idx="1">
                  <c:v>Gebäude</c:v>
                </c:pt>
                <c:pt idx="2">
                  <c:v>Industrie</c:v>
                </c:pt>
                <c:pt idx="3">
                  <c:v>Umwandlungssektor</c:v>
                </c:pt>
                <c:pt idx="4">
                  <c:v>Infrastrukturen</c:v>
                </c:pt>
                <c:pt idx="5">
                  <c:v>Speicher</c:v>
                </c:pt>
                <c:pt idx="6">
                  <c:v>Erneuerbare Kraftstoffe</c:v>
                </c:pt>
              </c:strCache>
            </c:strRef>
          </c:cat>
          <c:val>
            <c:numRef>
              <c:f>Kosten!$I$15:$I$21</c:f>
              <c:numCache>
                <c:formatCode>General</c:formatCode>
                <c:ptCount val="7"/>
                <c:pt idx="0">
                  <c:v>175692.89018479298</c:v>
                </c:pt>
                <c:pt idx="1">
                  <c:v>#N/A</c:v>
                </c:pt>
                <c:pt idx="2">
                  <c:v>#N/A</c:v>
                </c:pt>
                <c:pt idx="3">
                  <c:v>83174.148161641409</c:v>
                </c:pt>
                <c:pt idx="4">
                  <c:v>62784.179205977576</c:v>
                </c:pt>
                <c:pt idx="5">
                  <c:v>10598.787226875094</c:v>
                </c:pt>
                <c:pt idx="6">
                  <c:v>47290.217946797675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ECB-46FE-B4BA-54C2F8CAB5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9922703874988803"/>
          <c:y val="0.17561363583352796"/>
          <c:w val="0.37374287412099599"/>
          <c:h val="0.7112355994739544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Gesamtsystemkosten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074104718699642"/>
          <c:y val="0.13938453581587795"/>
          <c:w val="0.48763800628629494"/>
          <c:h val="0.653475758922573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Kosten!$B$79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Kosten!$C$3:$J$3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Kosten!$C$79:$J$79</c15:sqref>
                  </c15:fullRef>
                </c:ext>
              </c:extLst>
              <c:f>Kosten!$C$79:$H$79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1-46AE-86D8-3F48D5A76BE9}"/>
            </c:ext>
          </c:extLst>
        </c:ser>
        <c:ser>
          <c:idx val="1"/>
          <c:order val="1"/>
          <c:tx>
            <c:strRef>
              <c:f>Kosten!$B$80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Kosten!$C$3:$J$3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Kosten!$C$80:$J$80</c15:sqref>
                  </c15:fullRef>
                </c:ext>
              </c:extLst>
              <c:f>Kosten!$C$80:$H$80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91-46AE-86D8-3F48D5A76BE9}"/>
            </c:ext>
          </c:extLst>
        </c:ser>
        <c:ser>
          <c:idx val="2"/>
          <c:order val="2"/>
          <c:tx>
            <c:strRef>
              <c:f>Kosten!$B$81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Kosten!$C$3:$J$3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Kosten!$C$81:$J$81</c15:sqref>
                  </c15:fullRef>
                </c:ext>
              </c:extLst>
              <c:f>Kosten!$C$81:$H$81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91-46AE-86D8-3F48D5A76BE9}"/>
            </c:ext>
          </c:extLst>
        </c:ser>
        <c:ser>
          <c:idx val="3"/>
          <c:order val="3"/>
          <c:tx>
            <c:strRef>
              <c:f>Kosten!$B$82</c:f>
              <c:strCache>
                <c:ptCount val="1"/>
                <c:pt idx="0">
                  <c:v>Umwandlungssektor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Kosten!$C$3:$J$3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Kosten!$C$82:$J$82</c15:sqref>
                  </c15:fullRef>
                </c:ext>
              </c:extLst>
              <c:f>Kosten!$C$82:$H$82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91-46AE-86D8-3F48D5A76BE9}"/>
            </c:ext>
          </c:extLst>
        </c:ser>
        <c:ser>
          <c:idx val="4"/>
          <c:order val="4"/>
          <c:tx>
            <c:strRef>
              <c:f>Kosten!$B$83</c:f>
              <c:strCache>
                <c:ptCount val="1"/>
                <c:pt idx="0">
                  <c:v>Infrastrukturen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Kosten!$C$3:$J$3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Kosten!$C$83:$J$83</c15:sqref>
                  </c15:fullRef>
                </c:ext>
              </c:extLst>
              <c:f>Kosten!$C$83:$H$83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91-46AE-86D8-3F48D5A76BE9}"/>
            </c:ext>
          </c:extLst>
        </c:ser>
        <c:ser>
          <c:idx val="6"/>
          <c:order val="5"/>
          <c:tx>
            <c:strRef>
              <c:f>Kosten!$B$84</c:f>
              <c:strCache>
                <c:ptCount val="1"/>
                <c:pt idx="0">
                  <c:v>Speicher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Kosten!$C$3:$J$3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Kosten!$C$84:$J$84</c15:sqref>
                  </c15:fullRef>
                </c:ext>
              </c:extLst>
              <c:f>Kosten!$C$84:$H$84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91-46AE-86D8-3F48D5A76BE9}"/>
            </c:ext>
          </c:extLst>
        </c:ser>
        <c:ser>
          <c:idx val="5"/>
          <c:order val="6"/>
          <c:tx>
            <c:strRef>
              <c:f>Kosten!$B$85</c:f>
              <c:strCache>
                <c:ptCount val="1"/>
                <c:pt idx="0">
                  <c:v>Erneuerbare Kraftstoffe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Kosten!$C$3:$J$3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Kosten!$C$85:$J$85</c15:sqref>
                  </c15:fullRef>
                </c:ext>
              </c:extLst>
              <c:f>Kosten!$C$85:$H$85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91-46AE-86D8-3F48D5A76BE9}"/>
            </c:ext>
          </c:extLst>
        </c:ser>
        <c:ser>
          <c:idx val="7"/>
          <c:order val="7"/>
          <c:tx>
            <c:strRef>
              <c:f>Kosten!$B$86</c:f>
              <c:strCache>
                <c:ptCount val="1"/>
                <c:pt idx="0">
                  <c:v>Konv. Kraftstoffe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Kosten!$C$3:$J$3</c15:sqref>
                  </c15:fullRef>
                </c:ext>
              </c:extLst>
              <c:f>Kosten!$C$3:$H$3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Kosten!$C$86:$J$86</c15:sqref>
                  </c15:fullRef>
                </c:ext>
              </c:extLst>
              <c:f>Kosten!$C$86:$H$86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91-46AE-86D8-3F48D5A76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68256"/>
        <c:axId val="323756608"/>
      </c:barChart>
      <c:catAx>
        <c:axId val="33116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23756608"/>
        <c:crosses val="autoZero"/>
        <c:auto val="1"/>
        <c:lblAlgn val="ctr"/>
        <c:lblOffset val="100"/>
        <c:noMultiLvlLbl val="0"/>
      </c:catAx>
      <c:valAx>
        <c:axId val="323756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Jährliche</a:t>
                </a:r>
                <a:r>
                  <a:rPr lang="de-DE" baseline="0"/>
                  <a:t> Kosten in Mrd. </a:t>
                </a:r>
                <a:r>
                  <a:rPr lang="de-DE"/>
                  <a:t>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11682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177027673718956"/>
          <c:y val="0.21519433213736572"/>
          <c:w val="0.33359413079627787"/>
          <c:h val="0.5596604939829551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Total System Costs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Kostenvergleich!$B$15</c:f>
              <c:strCache>
                <c:ptCount val="1"/>
                <c:pt idx="0">
                  <c:v>Transport sector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Kostenvergleich!$C$15:$I$15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2-4D79-9291-0B5349CFBCAF}"/>
            </c:ext>
          </c:extLst>
        </c:ser>
        <c:ser>
          <c:idx val="1"/>
          <c:order val="1"/>
          <c:tx>
            <c:strRef>
              <c:f>Kostenvergleich!$B$16</c:f>
              <c:strCache>
                <c:ptCount val="1"/>
                <c:pt idx="0">
                  <c:v>Building sector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Kostenvergleich!$C$16:$I$16</c:f>
              <c:numCache>
                <c:formatCode>General</c:formatCode>
                <c:ptCount val="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12-4D79-9291-0B5349CFBCAF}"/>
            </c:ext>
          </c:extLst>
        </c:ser>
        <c:ser>
          <c:idx val="2"/>
          <c:order val="2"/>
          <c:tx>
            <c:strRef>
              <c:f>Kostenvergleich!$B$17</c:f>
              <c:strCache>
                <c:ptCount val="1"/>
                <c:pt idx="0">
                  <c:v>Industry sector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Kostenvergleich!$C$17:$I$17</c:f>
              <c:numCache>
                <c:formatCode>General</c:formatCode>
                <c:ptCount val="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12-4D79-9291-0B5349CFBCAF}"/>
            </c:ext>
          </c:extLst>
        </c:ser>
        <c:ser>
          <c:idx val="3"/>
          <c:order val="3"/>
          <c:tx>
            <c:strRef>
              <c:f>Kostenvergleich!$B$18</c:f>
              <c:strCache>
                <c:ptCount val="1"/>
                <c:pt idx="0">
                  <c:v>Energy sector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Kostenvergleich!$C$18:$I$18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12-4D79-9291-0B5349CFBCAF}"/>
            </c:ext>
          </c:extLst>
        </c:ser>
        <c:ser>
          <c:idx val="4"/>
          <c:order val="4"/>
          <c:tx>
            <c:strRef>
              <c:f>Kostenvergleich!$B$19</c:f>
              <c:strCache>
                <c:ptCount val="1"/>
                <c:pt idx="0">
                  <c:v>Infrastructures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Kostenvergleich!$C$19:$I$19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12-4D79-9291-0B5349CFBCAF}"/>
            </c:ext>
          </c:extLst>
        </c:ser>
        <c:ser>
          <c:idx val="6"/>
          <c:order val="5"/>
          <c:tx>
            <c:strRef>
              <c:f>Kostenvergleich!$B$20</c:f>
              <c:strCache>
                <c:ptCount val="1"/>
                <c:pt idx="0">
                  <c:v>Storages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Kostenvergleich!$C$20:$I$20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12-4D79-9291-0B5349CFBCAF}"/>
            </c:ext>
          </c:extLst>
        </c:ser>
        <c:ser>
          <c:idx val="5"/>
          <c:order val="6"/>
          <c:tx>
            <c:strRef>
              <c:f>Kostenvergleich!$B$21</c:f>
              <c:strCache>
                <c:ptCount val="1"/>
                <c:pt idx="0">
                  <c:v>Renew. Fuels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Kostenvergleich!$C$21:$I$21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12-4D79-9291-0B5349CFBCAF}"/>
            </c:ext>
          </c:extLst>
        </c:ser>
        <c:ser>
          <c:idx val="7"/>
          <c:order val="7"/>
          <c:tx>
            <c:strRef>
              <c:f>Kostenvergleich!$B$22</c:f>
              <c:strCache>
                <c:ptCount val="1"/>
                <c:pt idx="0">
                  <c:v>Conv. Fuels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Kostenvergleich!$C$22:$I$22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12-4D79-9291-0B5349CFB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0560000"/>
        <c:axId val="239141440"/>
      </c:barChart>
      <c:lineChart>
        <c:grouping val="standard"/>
        <c:varyColors val="0"/>
        <c:ser>
          <c:idx val="8"/>
          <c:order val="8"/>
          <c:tx>
            <c:strRef>
              <c:f>Kostenvergleich!$B$23</c:f>
              <c:strCache>
                <c:ptCount val="1"/>
                <c:pt idx="0">
                  <c:v>Total System Costs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Kostenvergleich!$C$23:$I$23</c:f>
              <c:numCache>
                <c:formatCode>0</c:formatCode>
                <c:ptCount val="7"/>
                <c:pt idx="0" formatCode="General">
                  <c:v>0</c:v>
                </c:pt>
                <c:pt idx="1">
                  <c:v>#N/A</c:v>
                </c:pt>
                <c:pt idx="2">
                  <c:v>#N/A</c:v>
                </c:pt>
                <c:pt idx="3" formatCode="General">
                  <c:v>#N/A</c:v>
                </c:pt>
                <c:pt idx="4" formatCode="General">
                  <c:v>#N/A</c:v>
                </c:pt>
                <c:pt idx="5" formatCode="General">
                  <c:v>#N/A</c:v>
                </c:pt>
                <c:pt idx="6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12-4D79-9291-0B5349CFB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60000"/>
        <c:axId val="239141440"/>
      </c:lineChart>
      <c:catAx>
        <c:axId val="33056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crossAx val="239141440"/>
        <c:crosses val="autoZero"/>
        <c:auto val="1"/>
        <c:lblAlgn val="ctr"/>
        <c:lblOffset val="100"/>
        <c:noMultiLvlLbl val="0"/>
      </c:catAx>
      <c:valAx>
        <c:axId val="239141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Annual cost</a:t>
                </a:r>
                <a:r>
                  <a:rPr lang="de-DE" baseline="0"/>
                  <a:t> dev.</a:t>
                </a:r>
                <a:r>
                  <a:rPr lang="de-DE"/>
                  <a:t> in bn 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0560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554969744704835"/>
          <c:y val="0.16803464984722602"/>
          <c:w val="0.25445033224259156"/>
          <c:h val="0.75939416199605791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Total System Costs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074104718699642"/>
          <c:y val="0.13938453581587795"/>
          <c:w val="0.54746392856603965"/>
          <c:h val="0.653475758922573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Kostenvergleich!$A$4</c:f>
              <c:strCache>
                <c:ptCount val="1"/>
                <c:pt idx="0">
                  <c:v>Transport sector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Kostenvergleich!$C$4:$I$4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9-4580-ABA9-E293E12A4081}"/>
            </c:ext>
          </c:extLst>
        </c:ser>
        <c:ser>
          <c:idx val="1"/>
          <c:order val="1"/>
          <c:tx>
            <c:strRef>
              <c:f>Kostenvergleich!$A$5</c:f>
              <c:strCache>
                <c:ptCount val="1"/>
                <c:pt idx="0">
                  <c:v>Building sector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Kostenvergleich!$C$5:$I$5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9-4580-ABA9-E293E12A4081}"/>
            </c:ext>
          </c:extLst>
        </c:ser>
        <c:ser>
          <c:idx val="2"/>
          <c:order val="2"/>
          <c:tx>
            <c:strRef>
              <c:f>Kostenvergleich!$A$6</c:f>
              <c:strCache>
                <c:ptCount val="1"/>
                <c:pt idx="0">
                  <c:v>Industry sector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Kostenvergleich!$C$6:$I$6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9-4580-ABA9-E293E12A4081}"/>
            </c:ext>
          </c:extLst>
        </c:ser>
        <c:ser>
          <c:idx val="3"/>
          <c:order val="3"/>
          <c:tx>
            <c:strRef>
              <c:f>Kostenvergleich!$A$7</c:f>
              <c:strCache>
                <c:ptCount val="1"/>
                <c:pt idx="0">
                  <c:v>Energy sector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Kostenvergleich!$C$7:$I$7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9-4580-ABA9-E293E12A4081}"/>
            </c:ext>
          </c:extLst>
        </c:ser>
        <c:ser>
          <c:idx val="4"/>
          <c:order val="4"/>
          <c:tx>
            <c:strRef>
              <c:f>Kostenvergleich!$A$8</c:f>
              <c:strCache>
                <c:ptCount val="1"/>
                <c:pt idx="0">
                  <c:v>Infrastructures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Kostenvergleich!$C$8:$I$8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39-4580-ABA9-E293E12A4081}"/>
            </c:ext>
          </c:extLst>
        </c:ser>
        <c:ser>
          <c:idx val="6"/>
          <c:order val="5"/>
          <c:tx>
            <c:strRef>
              <c:f>Kostenvergleich!$A$9</c:f>
              <c:strCache>
                <c:ptCount val="1"/>
                <c:pt idx="0">
                  <c:v>Storages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Kostenvergleich!$C$9:$I$9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39-4580-ABA9-E293E12A4081}"/>
            </c:ext>
          </c:extLst>
        </c:ser>
        <c:ser>
          <c:idx val="5"/>
          <c:order val="6"/>
          <c:tx>
            <c:strRef>
              <c:f>Kostenvergleich!$A$10</c:f>
              <c:strCache>
                <c:ptCount val="1"/>
                <c:pt idx="0">
                  <c:v>Renew. Fuels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Kostenvergleich!$C$10:$I$10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39-4580-ABA9-E293E12A4081}"/>
            </c:ext>
          </c:extLst>
        </c:ser>
        <c:ser>
          <c:idx val="7"/>
          <c:order val="7"/>
          <c:tx>
            <c:strRef>
              <c:f>Kostenvergleich!$A$11</c:f>
              <c:strCache>
                <c:ptCount val="1"/>
                <c:pt idx="0">
                  <c:v>Conv. Fuels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Kostenvergleich!$C$11:$I$11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39-4580-ABA9-E293E12A4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0562048"/>
        <c:axId val="239143744"/>
      </c:barChart>
      <c:catAx>
        <c:axId val="33056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39143744"/>
        <c:crosses val="autoZero"/>
        <c:auto val="1"/>
        <c:lblAlgn val="ctr"/>
        <c:lblOffset val="100"/>
        <c:noMultiLvlLbl val="0"/>
      </c:catAx>
      <c:valAx>
        <c:axId val="239143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Annual costs in bn 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05620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0335575876987566"/>
          <c:y val="0.16803464984722602"/>
          <c:w val="0.28608524249940231"/>
          <c:h val="0.5596604939829551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Share of Additional</a:t>
            </a:r>
            <a:r>
              <a:rPr lang="de-DE" baseline="0"/>
              <a:t> Annual Costs</a:t>
            </a:r>
            <a:endParaRPr lang="de-DE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73571428680005"/>
          <c:y val="0.17949015507516766"/>
          <c:w val="0.41189085364435546"/>
          <c:h val="0.78028181505875971"/>
        </c:manualLayout>
      </c:layout>
      <c:pieChart>
        <c:varyColors val="1"/>
        <c:ser>
          <c:idx val="0"/>
          <c:order val="0"/>
          <c:tx>
            <c:strRef>
              <c:f>Kostenvergleich!$I$14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47BD-4CC6-807E-D98D4EED7832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47BD-4CC6-807E-D98D4EED7832}"/>
              </c:ext>
            </c:extLst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47BD-4CC6-807E-D98D4EED7832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47BD-4CC6-807E-D98D4EED7832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47BD-4CC6-807E-D98D4EED7832}"/>
              </c:ext>
            </c:extLst>
          </c:dPt>
          <c:dPt>
            <c:idx val="5"/>
            <c:bubble3D val="0"/>
            <c:spPr>
              <a:pattFill prst="ltDnDiag">
                <a:fgClr>
                  <a:schemeClr val="bg1"/>
                </a:fgClr>
                <a:bgClr>
                  <a:schemeClr val="accent1">
                    <a:lumMod val="60000"/>
                    <a:lumOff val="40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0B-47BD-4CC6-807E-D98D4EED7832}"/>
              </c:ext>
            </c:extLst>
          </c:dPt>
          <c:dPt>
            <c:idx val="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D-47BD-4CC6-807E-D98D4EED7832}"/>
              </c:ext>
            </c:extLst>
          </c:dPt>
          <c:dLbls>
            <c:dLbl>
              <c:idx val="0"/>
              <c:layout>
                <c:manualLayout>
                  <c:x val="-7.1851712101197757E-2"/>
                  <c:y val="0.10234621273400001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BD-4CC6-807E-D98D4EED7832}"/>
                </c:ext>
              </c:extLst>
            </c:dLbl>
            <c:dLbl>
              <c:idx val="1"/>
              <c:layout>
                <c:manualLayout>
                  <c:x val="-9.8000821848709674E-2"/>
                  <c:y val="5.4660879435989775E-2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BD-4CC6-807E-D98D4EED7832}"/>
                </c:ext>
              </c:extLst>
            </c:dLbl>
            <c:dLbl>
              <c:idx val="2"/>
              <c:layout>
                <c:manualLayout>
                  <c:x val="2.4343585229377504E-2"/>
                  <c:y val="-2.986146526207381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BD-4CC6-807E-D98D4EED7832}"/>
                </c:ext>
              </c:extLst>
            </c:dLbl>
            <c:dLbl>
              <c:idx val="5"/>
              <c:layout>
                <c:manualLayout>
                  <c:x val="-1.9308511940058247E-2"/>
                  <c:y val="6.7964349384326845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BD-4CC6-807E-D98D4EED7832}"/>
                </c:ext>
              </c:extLst>
            </c:dLbl>
            <c:dLbl>
              <c:idx val="6"/>
              <c:layout>
                <c:manualLayout>
                  <c:x val="9.7222452371617307E-2"/>
                  <c:y val="-9.7477094931527397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BD-4CC6-807E-D98D4EED7832}"/>
                </c:ext>
              </c:extLst>
            </c:dLbl>
            <c:dLbl>
              <c:idx val="7"/>
              <c:layout>
                <c:manualLayout>
                  <c:x val="0.10242445369332516"/>
                  <c:y val="0.1100094076573781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7BD-4CC6-807E-D98D4EED783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Kostenvergleich!$B$15:$B$21</c:f>
              <c:strCache>
                <c:ptCount val="7"/>
                <c:pt idx="0">
                  <c:v>Transport sector</c:v>
                </c:pt>
                <c:pt idx="1">
                  <c:v>Building sector</c:v>
                </c:pt>
                <c:pt idx="2">
                  <c:v>Industry sector</c:v>
                </c:pt>
                <c:pt idx="3">
                  <c:v>Energy sector</c:v>
                </c:pt>
                <c:pt idx="4">
                  <c:v>Infrastructures</c:v>
                </c:pt>
                <c:pt idx="5">
                  <c:v>Storages</c:v>
                </c:pt>
                <c:pt idx="6">
                  <c:v>Renew. Fuels</c:v>
                </c:pt>
              </c:strCache>
            </c:strRef>
          </c:cat>
          <c:val>
            <c:numRef>
              <c:f>Kostenvergleich!$I$15:$I$21</c:f>
              <c:numCache>
                <c:formatCode>General</c:formatCode>
                <c:ptCount val="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7BD-4CC6-807E-D98D4EED783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6678134442672166"/>
          <c:y val="0.20487038482703532"/>
          <c:w val="0.30618855516968152"/>
          <c:h val="0.68197885048044704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Gesamtsystemkosten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260806422517383"/>
          <c:y val="0.1394734458059482"/>
          <c:w val="0.43954796091668069"/>
          <c:h val="0.585985281306845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Kostenvergleich!$B$90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Kostenvergleich!$C$90:$I$90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6-46DB-929C-C5D564D6A079}"/>
            </c:ext>
          </c:extLst>
        </c:ser>
        <c:ser>
          <c:idx val="1"/>
          <c:order val="1"/>
          <c:tx>
            <c:strRef>
              <c:f>Kostenvergleich!$B$91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Kostenvergleich!$C$91:$I$91</c:f>
              <c:numCache>
                <c:formatCode>General</c:formatCode>
                <c:ptCount val="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6-46DB-929C-C5D564D6A079}"/>
            </c:ext>
          </c:extLst>
        </c:ser>
        <c:ser>
          <c:idx val="2"/>
          <c:order val="2"/>
          <c:tx>
            <c:strRef>
              <c:f>Kostenvergleich!$B$92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Kostenvergleich!$C$92:$I$92</c:f>
              <c:numCache>
                <c:formatCode>General</c:formatCode>
                <c:ptCount val="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06-46DB-929C-C5D564D6A079}"/>
            </c:ext>
          </c:extLst>
        </c:ser>
        <c:ser>
          <c:idx val="3"/>
          <c:order val="3"/>
          <c:tx>
            <c:strRef>
              <c:f>Kostenvergleich!$B$93</c:f>
              <c:strCache>
                <c:ptCount val="1"/>
                <c:pt idx="0">
                  <c:v>Umwandlungssektor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Kostenvergleich!$C$93:$I$93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06-46DB-929C-C5D564D6A079}"/>
            </c:ext>
          </c:extLst>
        </c:ser>
        <c:ser>
          <c:idx val="4"/>
          <c:order val="4"/>
          <c:tx>
            <c:strRef>
              <c:f>Kostenvergleich!$B$94</c:f>
              <c:strCache>
                <c:ptCount val="1"/>
                <c:pt idx="0">
                  <c:v>Infrastrukturen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Kostenvergleich!$C$94:$I$94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06-46DB-929C-C5D564D6A079}"/>
            </c:ext>
          </c:extLst>
        </c:ser>
        <c:ser>
          <c:idx val="6"/>
          <c:order val="5"/>
          <c:tx>
            <c:strRef>
              <c:f>Kostenvergleich!$B$95</c:f>
              <c:strCache>
                <c:ptCount val="1"/>
                <c:pt idx="0">
                  <c:v>Speicher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Kostenvergleich!$C$95:$I$95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06-46DB-929C-C5D564D6A079}"/>
            </c:ext>
          </c:extLst>
        </c:ser>
        <c:ser>
          <c:idx val="5"/>
          <c:order val="6"/>
          <c:tx>
            <c:strRef>
              <c:f>Kostenvergleich!$B$96</c:f>
              <c:strCache>
                <c:ptCount val="1"/>
                <c:pt idx="0">
                  <c:v>Erneuerbare Kraftstoffe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Kostenvergleich!$C$96:$I$96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06-46DB-929C-C5D564D6A079}"/>
            </c:ext>
          </c:extLst>
        </c:ser>
        <c:ser>
          <c:idx val="7"/>
          <c:order val="7"/>
          <c:tx>
            <c:strRef>
              <c:f>Kostenvergleich!$B$97</c:f>
              <c:strCache>
                <c:ptCount val="1"/>
                <c:pt idx="0">
                  <c:v>Konv. Kraftstoffe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Kostenvergleich!$C$97:$I$97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06-46DB-929C-C5D564D6A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66720"/>
        <c:axId val="239147200"/>
      </c:barChart>
      <c:lineChart>
        <c:grouping val="standard"/>
        <c:varyColors val="0"/>
        <c:ser>
          <c:idx val="8"/>
          <c:order val="8"/>
          <c:tx>
            <c:strRef>
              <c:f>Kostenvergleich!$B$98</c:f>
              <c:strCache>
                <c:ptCount val="1"/>
                <c:pt idx="0">
                  <c:v>Gesamtsystemkosten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Kostenvergleich!$C$3:$I$3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Kostenvergleich!$C$98:$I$98</c:f>
              <c:numCache>
                <c:formatCode>General</c:formatCode>
                <c:ptCount val="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06-46DB-929C-C5D564D6A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66720"/>
        <c:axId val="239147200"/>
      </c:lineChart>
      <c:catAx>
        <c:axId val="33116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crossAx val="239147200"/>
        <c:crosses val="autoZero"/>
        <c:auto val="1"/>
        <c:lblAlgn val="ctr"/>
        <c:lblOffset val="100"/>
        <c:noMultiLvlLbl val="0"/>
      </c:catAx>
      <c:valAx>
        <c:axId val="23914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Änderung der jährl. Kosten in Mrd. </a:t>
                </a:r>
                <a:r>
                  <a:rPr lang="de-DE"/>
                  <a:t>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1166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293618410315"/>
          <c:y val="0.15453857367197149"/>
          <c:w val="0.33299553805739224"/>
          <c:h val="0.76013242155992733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Gesamtsystemkosten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074104718699642"/>
          <c:y val="0.13938453581587795"/>
          <c:w val="0.48763800628629494"/>
          <c:h val="0.653475758922573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Kostenvergleich!$B$79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Kostenvergleich!$C$3:$J$3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Kostenvergleich!$C$79:$J$79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205576.23223365983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8-4A63-A5D6-30ADBA1DBDE7}"/>
            </c:ext>
          </c:extLst>
        </c:ser>
        <c:ser>
          <c:idx val="1"/>
          <c:order val="1"/>
          <c:tx>
            <c:strRef>
              <c:f>Kostenvergleich!$B$80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Kostenvergleich!$C$3:$J$3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Kostenvergleich!$C$80:$J$80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177127.75661793374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8-4A63-A5D6-30ADBA1DBDE7}"/>
            </c:ext>
          </c:extLst>
        </c:ser>
        <c:ser>
          <c:idx val="2"/>
          <c:order val="2"/>
          <c:tx>
            <c:strRef>
              <c:f>Kostenvergleich!$B$81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Kostenvergleich!$C$3:$J$3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Kostenvergleich!$C$81:$J$81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21319.037541379748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8-4A63-A5D6-30ADBA1DBDE7}"/>
            </c:ext>
          </c:extLst>
        </c:ser>
        <c:ser>
          <c:idx val="3"/>
          <c:order val="3"/>
          <c:tx>
            <c:strRef>
              <c:f>Kostenvergleich!$B$82</c:f>
              <c:strCache>
                <c:ptCount val="1"/>
                <c:pt idx="0">
                  <c:v>Umwandlungssektor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Kostenvergleich!$C$3:$J$3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Kostenvergleich!$C$82:$J$82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83184.489882799244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78-4A63-A5D6-30ADBA1DBDE7}"/>
            </c:ext>
          </c:extLst>
        </c:ser>
        <c:ser>
          <c:idx val="4"/>
          <c:order val="4"/>
          <c:tx>
            <c:strRef>
              <c:f>Kostenvergleich!$B$83</c:f>
              <c:strCache>
                <c:ptCount val="1"/>
                <c:pt idx="0">
                  <c:v>Infrastrukturen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Kostenvergleich!$C$3:$J$3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Kostenvergleich!$C$83:$J$83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46119.51331729762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78-4A63-A5D6-30ADBA1DBDE7}"/>
            </c:ext>
          </c:extLst>
        </c:ser>
        <c:ser>
          <c:idx val="6"/>
          <c:order val="5"/>
          <c:tx>
            <c:strRef>
              <c:f>Kostenvergleich!$B$84</c:f>
              <c:strCache>
                <c:ptCount val="1"/>
                <c:pt idx="0">
                  <c:v>Speicher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f>Kostenvergleich!$C$3:$J$3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Kostenvergleich!$C$84:$J$84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13443.035457218863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78-4A63-A5D6-30ADBA1DBDE7}"/>
            </c:ext>
          </c:extLst>
        </c:ser>
        <c:ser>
          <c:idx val="5"/>
          <c:order val="6"/>
          <c:tx>
            <c:strRef>
              <c:f>Kostenvergleich!$B$85</c:f>
              <c:strCache>
                <c:ptCount val="1"/>
                <c:pt idx="0">
                  <c:v>Erneuerbare Kraftstoffe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Kostenvergleich!$C$3:$J$3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Kostenvergleich!$C$85:$J$85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44668.618602135641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78-4A63-A5D6-30ADBA1DBDE7}"/>
            </c:ext>
          </c:extLst>
        </c:ser>
        <c:ser>
          <c:idx val="7"/>
          <c:order val="7"/>
          <c:tx>
            <c:strRef>
              <c:f>Kostenvergleich!$B$86</c:f>
              <c:strCache>
                <c:ptCount val="1"/>
                <c:pt idx="0">
                  <c:v>Konv. Kraftstoffe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Kostenvergleich!$C$3:$J$3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Kostenvergleich!$C$86:$J$86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117.38053412233118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78-4A63-A5D6-30ADBA1DB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68256"/>
        <c:axId val="323756608"/>
      </c:barChart>
      <c:catAx>
        <c:axId val="33116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23756608"/>
        <c:crosses val="autoZero"/>
        <c:auto val="1"/>
        <c:lblAlgn val="ctr"/>
        <c:lblOffset val="100"/>
        <c:noMultiLvlLbl val="0"/>
      </c:catAx>
      <c:valAx>
        <c:axId val="323756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Jährliche</a:t>
                </a:r>
                <a:r>
                  <a:rPr lang="de-DE" baseline="0"/>
                  <a:t> Kosten in Mrd. </a:t>
                </a:r>
                <a:r>
                  <a:rPr lang="de-DE"/>
                  <a:t>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11682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177027673718956"/>
          <c:y val="0.21519433213736572"/>
          <c:w val="0.33359413079627787"/>
          <c:h val="0.5596604939829551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Verteilung</a:t>
            </a:r>
            <a:r>
              <a:rPr lang="de-DE" baseline="0"/>
              <a:t> zusätzlicher jährlicher Kosten (2050)</a:t>
            </a:r>
            <a:endParaRPr lang="de-DE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73571428680005"/>
          <c:y val="0.17949015507516766"/>
          <c:w val="0.41189085364435546"/>
          <c:h val="0.78028181505875971"/>
        </c:manualLayout>
      </c:layout>
      <c:pieChart>
        <c:varyColors val="1"/>
        <c:ser>
          <c:idx val="0"/>
          <c:order val="0"/>
          <c:tx>
            <c:strRef>
              <c:f>Kostenvergleich!$I$3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34AC-4EC5-8B19-5C79BCBE847B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34AC-4EC5-8B19-5C79BCBE847B}"/>
              </c:ext>
            </c:extLst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34AC-4EC5-8B19-5C79BCBE847B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34AC-4EC5-8B19-5C79BCBE847B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34AC-4EC5-8B19-5C79BCBE847B}"/>
              </c:ext>
            </c:extLst>
          </c:dPt>
          <c:dPt>
            <c:idx val="5"/>
            <c:bubble3D val="0"/>
            <c:spPr>
              <a:pattFill prst="ltDnDiag">
                <a:fgClr>
                  <a:schemeClr val="bg1"/>
                </a:fgClr>
                <a:bgClr>
                  <a:schemeClr val="accent1">
                    <a:lumMod val="60000"/>
                    <a:lumOff val="40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0B-34AC-4EC5-8B19-5C79BCBE847B}"/>
              </c:ext>
            </c:extLst>
          </c:dPt>
          <c:dPt>
            <c:idx val="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D-34AC-4EC5-8B19-5C79BCBE847B}"/>
              </c:ext>
            </c:extLst>
          </c:dPt>
          <c:dLbls>
            <c:dLbl>
              <c:idx val="0"/>
              <c:layout>
                <c:manualLayout>
                  <c:x val="-0.10853544030974122"/>
                  <c:y val="2.9204340250231591E-2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AC-4EC5-8B19-5C79BCBE847B}"/>
                </c:ext>
              </c:extLst>
            </c:dLbl>
            <c:dLbl>
              <c:idx val="1"/>
              <c:numFmt formatCode="0.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4AC-4EC5-8B19-5C79BCBE847B}"/>
                </c:ext>
              </c:extLst>
            </c:dLbl>
            <c:dLbl>
              <c:idx val="2"/>
              <c:layout>
                <c:manualLayout>
                  <c:x val="2.4343585229377504E-2"/>
                  <c:y val="-2.986146526207381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AC-4EC5-8B19-5C79BCBE847B}"/>
                </c:ext>
              </c:extLst>
            </c:dLbl>
            <c:dLbl>
              <c:idx val="5"/>
              <c:layout>
                <c:manualLayout>
                  <c:x val="-1.9308511940058247E-2"/>
                  <c:y val="6.7964349384326845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AC-4EC5-8B19-5C79BCBE847B}"/>
                </c:ext>
              </c:extLst>
            </c:dLbl>
            <c:dLbl>
              <c:idx val="6"/>
              <c:layout>
                <c:manualLayout>
                  <c:x val="8.3707409404326388E-2"/>
                  <c:y val="0.1165492701218618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AC-4EC5-8B19-5C79BCBE84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Kostenvergleich!$B$90:$B$96</c:f>
              <c:strCache>
                <c:ptCount val="7"/>
                <c:pt idx="0">
                  <c:v>Transport</c:v>
                </c:pt>
                <c:pt idx="1">
                  <c:v>Gebäude</c:v>
                </c:pt>
                <c:pt idx="2">
                  <c:v>Industrie</c:v>
                </c:pt>
                <c:pt idx="3">
                  <c:v>Umwandlungssektor</c:v>
                </c:pt>
                <c:pt idx="4">
                  <c:v>Infrastrukturen</c:v>
                </c:pt>
                <c:pt idx="5">
                  <c:v>Speicher</c:v>
                </c:pt>
                <c:pt idx="6">
                  <c:v>Erneuerbare Kraftstoffe</c:v>
                </c:pt>
              </c:strCache>
            </c:strRef>
          </c:cat>
          <c:val>
            <c:numRef>
              <c:f>Kostenvergleich!$I$15:$I$21</c:f>
              <c:numCache>
                <c:formatCode>General</c:formatCode>
                <c:ptCount val="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4AC-4EC5-8B19-5C79BCBE84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9922703874988803"/>
          <c:y val="0.17561363583352796"/>
          <c:w val="0.37374287412099599"/>
          <c:h val="0.7112355994739544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Kostendifferenz THGneutral 2050 zu 95% nach altem KSG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260806422517383"/>
          <c:y val="0.1394734458059482"/>
          <c:w val="0.43954796091668069"/>
          <c:h val="0.585985281306845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Kostenvergleich!$B$165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Kostenvergleich!$C$165:$I$165</c:f>
              <c:numCache>
                <c:formatCode>General</c:formatCode>
                <c:ptCount val="7"/>
                <c:pt idx="0">
                  <c:v>150053.00446022657</c:v>
                </c:pt>
                <c:pt idx="1">
                  <c:v>140446.22367246458</c:v>
                </c:pt>
                <c:pt idx="2">
                  <c:v>160312.6168077742</c:v>
                </c:pt>
                <c:pt idx="3">
                  <c:v>164872.67993220716</c:v>
                </c:pt>
                <c:pt idx="4">
                  <c:v>170766.79590091188</c:v>
                </c:pt>
                <c:pt idx="5">
                  <c:v>164241.76346091297</c:v>
                </c:pt>
                <c:pt idx="6">
                  <c:v>186324.07161377309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B-4CFC-B8F1-97AD7B4D8562}"/>
            </c:ext>
          </c:extLst>
        </c:ser>
        <c:ser>
          <c:idx val="1"/>
          <c:order val="1"/>
          <c:tx>
            <c:strRef>
              <c:f>Kostenvergleich!$B$166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Kostenvergleich!$C$166:$I$166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B-4CFC-B8F1-97AD7B4D8562}"/>
            </c:ext>
          </c:extLst>
        </c:ser>
        <c:ser>
          <c:idx val="2"/>
          <c:order val="2"/>
          <c:tx>
            <c:strRef>
              <c:f>Kostenvergleich!$B$167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Kostenvergleich!$C$167:$I$167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B-4CFC-B8F1-97AD7B4D8562}"/>
            </c:ext>
          </c:extLst>
        </c:ser>
        <c:ser>
          <c:idx val="3"/>
          <c:order val="3"/>
          <c:tx>
            <c:strRef>
              <c:f>Kostenvergleich!$B$168</c:f>
              <c:strCache>
                <c:ptCount val="1"/>
                <c:pt idx="0">
                  <c:v>Umwandlungssektor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Kostenvergleich!$C$168:$I$168</c:f>
              <c:numCache>
                <c:formatCode>General</c:formatCode>
                <c:ptCount val="7"/>
                <c:pt idx="0">
                  <c:v>38841.119383468562</c:v>
                </c:pt>
                <c:pt idx="1">
                  <c:v>37626.070792662373</c:v>
                </c:pt>
                <c:pt idx="2">
                  <c:v>46643.133709667738</c:v>
                </c:pt>
                <c:pt idx="3">
                  <c:v>52226.491311243226</c:v>
                </c:pt>
                <c:pt idx="4">
                  <c:v>54864.669320994464</c:v>
                </c:pt>
                <c:pt idx="5">
                  <c:v>63993.605966497656</c:v>
                </c:pt>
                <c:pt idx="6">
                  <c:v>72491.440946551709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B-4CFC-B8F1-97AD7B4D8562}"/>
            </c:ext>
          </c:extLst>
        </c:ser>
        <c:ser>
          <c:idx val="4"/>
          <c:order val="4"/>
          <c:tx>
            <c:strRef>
              <c:f>Kostenvergleich!$B$169</c:f>
              <c:strCache>
                <c:ptCount val="1"/>
                <c:pt idx="0">
                  <c:v>Infrastrukturen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Kostenvergleich!$C$169:$I$169</c:f>
              <c:numCache>
                <c:formatCode>General</c:formatCode>
                <c:ptCount val="7"/>
                <c:pt idx="0">
                  <c:v>27119.329075158144</c:v>
                </c:pt>
                <c:pt idx="1">
                  <c:v>25343.780395972703</c:v>
                </c:pt>
                <c:pt idx="2">
                  <c:v>32142.365605597697</c:v>
                </c:pt>
                <c:pt idx="3">
                  <c:v>39817.062995501117</c:v>
                </c:pt>
                <c:pt idx="4">
                  <c:v>47826.7806890262</c:v>
                </c:pt>
                <c:pt idx="5">
                  <c:v>55676.68589829214</c:v>
                </c:pt>
                <c:pt idx="6">
                  <c:v>59518.795602867205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B-4CFC-B8F1-97AD7B4D8562}"/>
            </c:ext>
          </c:extLst>
        </c:ser>
        <c:ser>
          <c:idx val="6"/>
          <c:order val="5"/>
          <c:tx>
            <c:strRef>
              <c:f>Kostenvergleich!$B$170</c:f>
              <c:strCache>
                <c:ptCount val="1"/>
                <c:pt idx="0">
                  <c:v>Speicher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Kostenvergleich!$C$170:$I$170</c:f>
              <c:numCache>
                <c:formatCode>General</c:formatCode>
                <c:ptCount val="7"/>
                <c:pt idx="0">
                  <c:v>6197.6708834576557</c:v>
                </c:pt>
                <c:pt idx="1">
                  <c:v>5812.4969742733047</c:v>
                </c:pt>
                <c:pt idx="2">
                  <c:v>6162.334007963218</c:v>
                </c:pt>
                <c:pt idx="3">
                  <c:v>6665.3244859681226</c:v>
                </c:pt>
                <c:pt idx="4">
                  <c:v>7800.7129656786174</c:v>
                </c:pt>
                <c:pt idx="5">
                  <c:v>9294.4788824807256</c:v>
                </c:pt>
                <c:pt idx="6">
                  <c:v>10573.93246049019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B-4CFC-B8F1-97AD7B4D8562}"/>
            </c:ext>
          </c:extLst>
        </c:ser>
        <c:ser>
          <c:idx val="5"/>
          <c:order val="6"/>
          <c:tx>
            <c:strRef>
              <c:f>Kostenvergleich!$B$171</c:f>
              <c:strCache>
                <c:ptCount val="1"/>
                <c:pt idx="0">
                  <c:v>Erneuerbare Kraftstoffe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Kostenvergleich!$C$171:$I$171</c:f>
              <c:numCache>
                <c:formatCode>General</c:formatCode>
                <c:ptCount val="7"/>
                <c:pt idx="0">
                  <c:v>5537.0290548025632</c:v>
                </c:pt>
                <c:pt idx="1">
                  <c:v>6691.4340723028727</c:v>
                </c:pt>
                <c:pt idx="2">
                  <c:v>18410.183114896583</c:v>
                </c:pt>
                <c:pt idx="3">
                  <c:v>31685.831412821124</c:v>
                </c:pt>
                <c:pt idx="4">
                  <c:v>34754.20578942218</c:v>
                </c:pt>
                <c:pt idx="5">
                  <c:v>43214.532288302042</c:v>
                </c:pt>
                <c:pt idx="6">
                  <c:v>43510.334931250356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B-4CFC-B8F1-97AD7B4D8562}"/>
            </c:ext>
          </c:extLst>
        </c:ser>
        <c:ser>
          <c:idx val="7"/>
          <c:order val="7"/>
          <c:tx>
            <c:strRef>
              <c:f>Kostenvergleich!$B$172</c:f>
              <c:strCache>
                <c:ptCount val="1"/>
                <c:pt idx="0">
                  <c:v>Konv. Kraftstoffe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Kostenvergleich!$C$172:$I$172</c:f>
              <c:numCache>
                <c:formatCode>General</c:formatCode>
                <c:ptCount val="7"/>
                <c:pt idx="0">
                  <c:v>89839.860137714975</c:v>
                </c:pt>
                <c:pt idx="1">
                  <c:v>85763.020051506988</c:v>
                </c:pt>
                <c:pt idx="2">
                  <c:v>64591.453668726419</c:v>
                </c:pt>
                <c:pt idx="3">
                  <c:v>46637.680948638663</c:v>
                </c:pt>
                <c:pt idx="4">
                  <c:v>21375.708021733524</c:v>
                </c:pt>
                <c:pt idx="5">
                  <c:v>4541.0105165959612</c:v>
                </c:pt>
                <c:pt idx="6">
                  <c:v>558.70318855355583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6B-4CFC-B8F1-97AD7B4D8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66720"/>
        <c:axId val="239147200"/>
      </c:barChart>
      <c:lineChart>
        <c:grouping val="standard"/>
        <c:varyColors val="0"/>
        <c:ser>
          <c:idx val="8"/>
          <c:order val="8"/>
          <c:tx>
            <c:strRef>
              <c:f>Kostenvergleich!$B$173</c:f>
              <c:strCache>
                <c:ptCount val="1"/>
                <c:pt idx="0">
                  <c:v>Gesamtsystemkosten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Kostenvergleich!$C$173:$I$173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6B-4CFC-B8F1-97AD7B4D8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66720"/>
        <c:axId val="239147200"/>
      </c:lineChart>
      <c:catAx>
        <c:axId val="33116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crossAx val="239147200"/>
        <c:crosses val="autoZero"/>
        <c:auto val="1"/>
        <c:lblAlgn val="ctr"/>
        <c:lblOffset val="100"/>
        <c:noMultiLvlLbl val="0"/>
      </c:catAx>
      <c:valAx>
        <c:axId val="239147200"/>
        <c:scaling>
          <c:orientation val="minMax"/>
          <c:max val="14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Kostendifferenz  der jährl. Systemkosten in Mrd. </a:t>
                </a:r>
                <a:r>
                  <a:rPr lang="de-DE"/>
                  <a:t>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1166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293618410315"/>
          <c:y val="0.15453857367197149"/>
          <c:w val="0.33299553805739224"/>
          <c:h val="0.76013242155992733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Kostendifferenz THGneutral 2045 zu 95% nach altem KSG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260806422517383"/>
          <c:y val="0.1394734458059482"/>
          <c:w val="0.43954796091668069"/>
          <c:h val="0.585985281306845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Kostenvergleich!$B$187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Kostenvergleich!$C$186:$H$186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Kostenvergleich!$C$187:$H$187</c:f>
              <c:numCache>
                <c:formatCode>General</c:formatCode>
                <c:ptCount val="6"/>
                <c:pt idx="0">
                  <c:v>150053.16209379569</c:v>
                </c:pt>
                <c:pt idx="1">
                  <c:v>140877.3094197599</c:v>
                </c:pt>
                <c:pt idx="2">
                  <c:v>143462.49681424699</c:v>
                </c:pt>
                <c:pt idx="3">
                  <c:v>167241.06580272288</c:v>
                </c:pt>
                <c:pt idx="4">
                  <c:v>162092.15566606092</c:v>
                </c:pt>
                <c:pt idx="5">
                  <c:v>175399.01508368421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4-4EC3-9188-12844C708E07}"/>
            </c:ext>
          </c:extLst>
        </c:ser>
        <c:ser>
          <c:idx val="1"/>
          <c:order val="1"/>
          <c:tx>
            <c:strRef>
              <c:f>Kostenvergleich!$B$188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Kostenvergleich!$C$186:$H$186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Kostenvergleich!$C$188:$H$188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4-4EC3-9188-12844C708E07}"/>
            </c:ext>
          </c:extLst>
        </c:ser>
        <c:ser>
          <c:idx val="2"/>
          <c:order val="2"/>
          <c:tx>
            <c:strRef>
              <c:f>Kostenvergleich!$B$189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numRef>
              <c:f>Kostenvergleich!$C$186:$H$186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Kostenvergleich!$C$189:$H$189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34-4EC3-9188-12844C708E07}"/>
            </c:ext>
          </c:extLst>
        </c:ser>
        <c:ser>
          <c:idx val="3"/>
          <c:order val="3"/>
          <c:tx>
            <c:strRef>
              <c:f>Kostenvergleich!$B$190</c:f>
              <c:strCache>
                <c:ptCount val="1"/>
                <c:pt idx="0">
                  <c:v>Umwandlungssektor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Kostenvergleich!$C$186:$H$186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Kostenvergleich!$C$190:$H$190</c:f>
              <c:numCache>
                <c:formatCode>General</c:formatCode>
                <c:ptCount val="6"/>
                <c:pt idx="0">
                  <c:v>38840.045851486713</c:v>
                </c:pt>
                <c:pt idx="1">
                  <c:v>39584.870012703999</c:v>
                </c:pt>
                <c:pt idx="2">
                  <c:v>49658.809511660816</c:v>
                </c:pt>
                <c:pt idx="3">
                  <c:v>61448.009827019683</c:v>
                </c:pt>
                <c:pt idx="4">
                  <c:v>64690.894208093523</c:v>
                </c:pt>
                <c:pt idx="5">
                  <c:v>83497.368079667882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4-4EC3-9188-12844C708E07}"/>
            </c:ext>
          </c:extLst>
        </c:ser>
        <c:ser>
          <c:idx val="4"/>
          <c:order val="4"/>
          <c:tx>
            <c:strRef>
              <c:f>Kostenvergleich!$B$191</c:f>
              <c:strCache>
                <c:ptCount val="1"/>
                <c:pt idx="0">
                  <c:v>Infrastrukturen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Kostenvergleich!$C$186:$H$186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Kostenvergleich!$C$191:$H$191</c:f>
              <c:numCache>
                <c:formatCode>General</c:formatCode>
                <c:ptCount val="6"/>
                <c:pt idx="0">
                  <c:v>27124.886342278271</c:v>
                </c:pt>
                <c:pt idx="1">
                  <c:v>26708.530468860128</c:v>
                </c:pt>
                <c:pt idx="2">
                  <c:v>31628.509798469535</c:v>
                </c:pt>
                <c:pt idx="3">
                  <c:v>42201.067624512689</c:v>
                </c:pt>
                <c:pt idx="4">
                  <c:v>48813.212538600368</c:v>
                </c:pt>
                <c:pt idx="5">
                  <c:v>62792.311940781219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34-4EC3-9188-12844C708E07}"/>
            </c:ext>
          </c:extLst>
        </c:ser>
        <c:ser>
          <c:idx val="6"/>
          <c:order val="5"/>
          <c:tx>
            <c:strRef>
              <c:f>Kostenvergleich!$B$192</c:f>
              <c:strCache>
                <c:ptCount val="1"/>
                <c:pt idx="0">
                  <c:v>Speicher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numRef>
              <c:f>Kostenvergleich!$C$186:$H$186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Kostenvergleich!$C$192:$H$192</c:f>
              <c:numCache>
                <c:formatCode>General</c:formatCode>
                <c:ptCount val="6"/>
                <c:pt idx="0">
                  <c:v>6199.085757814546</c:v>
                </c:pt>
                <c:pt idx="1">
                  <c:v>6203.1111728178585</c:v>
                </c:pt>
                <c:pt idx="2">
                  <c:v>6080.9326116779366</c:v>
                </c:pt>
                <c:pt idx="3">
                  <c:v>6577.5338767854337</c:v>
                </c:pt>
                <c:pt idx="4">
                  <c:v>7625.5678368172257</c:v>
                </c:pt>
                <c:pt idx="5">
                  <c:v>10738.199898221465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34-4EC3-9188-12844C708E07}"/>
            </c:ext>
          </c:extLst>
        </c:ser>
        <c:ser>
          <c:idx val="5"/>
          <c:order val="6"/>
          <c:tx>
            <c:strRef>
              <c:f>Kostenvergleich!$B$193</c:f>
              <c:strCache>
                <c:ptCount val="1"/>
                <c:pt idx="0">
                  <c:v>Erneuerbare Kraftstoffe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numRef>
              <c:f>Kostenvergleich!$C$186:$H$186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Kostenvergleich!$C$193:$H$193</c:f>
              <c:numCache>
                <c:formatCode>General</c:formatCode>
                <c:ptCount val="6"/>
                <c:pt idx="0">
                  <c:v>5537.2697595802319</c:v>
                </c:pt>
                <c:pt idx="1">
                  <c:v>6132.3757180717339</c:v>
                </c:pt>
                <c:pt idx="2">
                  <c:v>17300.835459500708</c:v>
                </c:pt>
                <c:pt idx="3">
                  <c:v>29380.366793313267</c:v>
                </c:pt>
                <c:pt idx="4">
                  <c:v>28917.470912978904</c:v>
                </c:pt>
                <c:pt idx="5">
                  <c:v>36563.882251646173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4-4EC3-9188-12844C708E07}"/>
            </c:ext>
          </c:extLst>
        </c:ser>
        <c:ser>
          <c:idx val="7"/>
          <c:order val="7"/>
          <c:tx>
            <c:strRef>
              <c:f>Kostenvergleich!$B$194</c:f>
              <c:strCache>
                <c:ptCount val="1"/>
                <c:pt idx="0">
                  <c:v>Konv. Kraftstoffe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Kostenvergleich!$C$186:$H$186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Kostenvergleich!$C$194:$H$194</c:f>
              <c:numCache>
                <c:formatCode>General</c:formatCode>
                <c:ptCount val="6"/>
                <c:pt idx="0">
                  <c:v>89826.608268601383</c:v>
                </c:pt>
                <c:pt idx="1">
                  <c:v>85719.105298543567</c:v>
                </c:pt>
                <c:pt idx="2">
                  <c:v>66855.410586233484</c:v>
                </c:pt>
                <c:pt idx="3">
                  <c:v>40300.250501656563</c:v>
                </c:pt>
                <c:pt idx="4">
                  <c:v>24588.16718859315</c:v>
                </c:pt>
                <c:pt idx="5">
                  <c:v>258.21477933384978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4-4EC3-9188-12844C708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66720"/>
        <c:axId val="239147200"/>
      </c:barChart>
      <c:lineChart>
        <c:grouping val="standard"/>
        <c:varyColors val="0"/>
        <c:ser>
          <c:idx val="8"/>
          <c:order val="8"/>
          <c:tx>
            <c:strRef>
              <c:f>Kostenvergleich!$B$195</c:f>
              <c:strCache>
                <c:ptCount val="1"/>
                <c:pt idx="0">
                  <c:v>Gesamtsystemkosten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Kostenvergleich!$C$195:$H$195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34-4EC3-9188-12844C708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66720"/>
        <c:axId val="239147200"/>
      </c:lineChart>
      <c:catAx>
        <c:axId val="33116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crossAx val="239147200"/>
        <c:crosses val="autoZero"/>
        <c:auto val="1"/>
        <c:lblAlgn val="ctr"/>
        <c:lblOffset val="100"/>
        <c:noMultiLvlLbl val="0"/>
      </c:catAx>
      <c:valAx>
        <c:axId val="23914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Kostendifferenz  der jährl. Systemkosten in Mrd. </a:t>
                </a:r>
                <a:r>
                  <a:rPr lang="de-DE"/>
                  <a:t>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1166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293618410315"/>
          <c:y val="0.15453857367197149"/>
          <c:w val="0.33299553805739224"/>
          <c:h val="0.76013242155992733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Kostendifferenz THGneutral 2045 zu THGneutral 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260806422517383"/>
          <c:y val="0.1394734458059482"/>
          <c:w val="0.43954796091668069"/>
          <c:h val="0.585985281306845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Kostenvergleich!$B$198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Kostenvergleich!$C$197:$H$197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Kostenvergleich!$C$198:$H$198</c:f>
              <c:numCache>
                <c:formatCode>General</c:formatCode>
                <c:ptCount val="6"/>
                <c:pt idx="0">
                  <c:v>0.15763356912066229</c:v>
                </c:pt>
                <c:pt idx="1">
                  <c:v>431.0857472953212</c:v>
                </c:pt>
                <c:pt idx="2">
                  <c:v>-16850.119993527216</c:v>
                </c:pt>
                <c:pt idx="3">
                  <c:v>2368.3858705157181</c:v>
                </c:pt>
                <c:pt idx="4">
                  <c:v>-8674.6402348509582</c:v>
                </c:pt>
                <c:pt idx="5">
                  <c:v>11157.251622771233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9-4575-BFB0-2FF67D6CFF62}"/>
            </c:ext>
          </c:extLst>
        </c:ser>
        <c:ser>
          <c:idx val="1"/>
          <c:order val="1"/>
          <c:tx>
            <c:strRef>
              <c:f>Kostenvergleich!$B$199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Kostenvergleich!$C$197:$H$197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Kostenvergleich!$C$199:$H$199</c:f>
              <c:numCache>
                <c:formatCode>General</c:formatCode>
                <c:ptCount val="6"/>
                <c:pt idx="0">
                  <c:v>2.4890742060961202E-3</c:v>
                </c:pt>
                <c:pt idx="1">
                  <c:v>119.26665696346026</c:v>
                </c:pt>
                <c:pt idx="2">
                  <c:v>-3893.7916522278247</c:v>
                </c:pt>
                <c:pt idx="3">
                  <c:v>-28.0245409529889</c:v>
                </c:pt>
                <c:pt idx="4">
                  <c:v>-755.96726071054582</c:v>
                </c:pt>
                <c:pt idx="5">
                  <c:v>4228.1465351844672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9-4575-BFB0-2FF67D6CFF62}"/>
            </c:ext>
          </c:extLst>
        </c:ser>
        <c:ser>
          <c:idx val="2"/>
          <c:order val="2"/>
          <c:tx>
            <c:strRef>
              <c:f>Kostenvergleich!$B$200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numRef>
              <c:f>Kostenvergleich!$C$197:$H$197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Kostenvergleich!$C$200:$H$200</c:f>
              <c:numCache>
                <c:formatCode>General</c:formatCode>
                <c:ptCount val="6"/>
                <c:pt idx="0">
                  <c:v>90.099819142764318</c:v>
                </c:pt>
                <c:pt idx="1">
                  <c:v>1967.9495681062399</c:v>
                </c:pt>
                <c:pt idx="2">
                  <c:v>45.559984931118379</c:v>
                </c:pt>
                <c:pt idx="3">
                  <c:v>525.45080927038362</c:v>
                </c:pt>
                <c:pt idx="4">
                  <c:v>893.90875690175744</c:v>
                </c:pt>
                <c:pt idx="5">
                  <c:v>2024.6304777712066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9-4575-BFB0-2FF67D6CFF62}"/>
            </c:ext>
          </c:extLst>
        </c:ser>
        <c:ser>
          <c:idx val="3"/>
          <c:order val="3"/>
          <c:tx>
            <c:strRef>
              <c:f>Kostenvergleich!$B$201</c:f>
              <c:strCache>
                <c:ptCount val="1"/>
                <c:pt idx="0">
                  <c:v>Umwandlungssektor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Kostenvergleich!$C$197:$H$197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Kostenvergleich!$C$201:$H$201</c:f>
              <c:numCache>
                <c:formatCode>General</c:formatCode>
                <c:ptCount val="6"/>
                <c:pt idx="0">
                  <c:v>-1.073531981848646</c:v>
                </c:pt>
                <c:pt idx="1">
                  <c:v>1958.7992200416265</c:v>
                </c:pt>
                <c:pt idx="2">
                  <c:v>3015.6758019930785</c:v>
                </c:pt>
                <c:pt idx="3">
                  <c:v>9221.5185157764572</c:v>
                </c:pt>
                <c:pt idx="4">
                  <c:v>9826.2248870990588</c:v>
                </c:pt>
                <c:pt idx="5">
                  <c:v>19503.762113170225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9-4575-BFB0-2FF67D6CFF62}"/>
            </c:ext>
          </c:extLst>
        </c:ser>
        <c:ser>
          <c:idx val="4"/>
          <c:order val="4"/>
          <c:tx>
            <c:strRef>
              <c:f>Kostenvergleich!$B$202</c:f>
              <c:strCache>
                <c:ptCount val="1"/>
                <c:pt idx="0">
                  <c:v>Infrastrukturen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Kostenvergleich!$C$197:$H$197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Kostenvergleich!$C$202:$H$202</c:f>
              <c:numCache>
                <c:formatCode>General</c:formatCode>
                <c:ptCount val="6"/>
                <c:pt idx="0">
                  <c:v>5.5572671201261983</c:v>
                </c:pt>
                <c:pt idx="1">
                  <c:v>1364.7500728874256</c:v>
                </c:pt>
                <c:pt idx="2">
                  <c:v>-513.85580712816227</c:v>
                </c:pt>
                <c:pt idx="3">
                  <c:v>2384.0046290115715</c:v>
                </c:pt>
                <c:pt idx="4">
                  <c:v>986.43184957416815</c:v>
                </c:pt>
                <c:pt idx="5">
                  <c:v>7115.6260424890788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A9-4575-BFB0-2FF67D6CFF62}"/>
            </c:ext>
          </c:extLst>
        </c:ser>
        <c:ser>
          <c:idx val="6"/>
          <c:order val="5"/>
          <c:tx>
            <c:strRef>
              <c:f>Kostenvergleich!$B$203</c:f>
              <c:strCache>
                <c:ptCount val="1"/>
                <c:pt idx="0">
                  <c:v>Speicher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1">
                  <a:lumMod val="60000"/>
                  <a:lumOff val="40000"/>
                </a:schemeClr>
              </a:bgClr>
            </a:pattFill>
          </c:spPr>
          <c:invertIfNegative val="0"/>
          <c:cat>
            <c:numRef>
              <c:f>Kostenvergleich!$C$197:$H$197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Kostenvergleich!$C$203:$H$203</c:f>
              <c:numCache>
                <c:formatCode>General</c:formatCode>
                <c:ptCount val="6"/>
                <c:pt idx="0">
                  <c:v>1.4148743568903228</c:v>
                </c:pt>
                <c:pt idx="1">
                  <c:v>390.6141985445538</c:v>
                </c:pt>
                <c:pt idx="2">
                  <c:v>-81.401396285281407</c:v>
                </c:pt>
                <c:pt idx="3">
                  <c:v>-87.790609182688968</c:v>
                </c:pt>
                <c:pt idx="4">
                  <c:v>-175.14512886139164</c:v>
                </c:pt>
                <c:pt idx="5">
                  <c:v>1443.7210157407389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A9-4575-BFB0-2FF67D6CFF62}"/>
            </c:ext>
          </c:extLst>
        </c:ser>
        <c:ser>
          <c:idx val="5"/>
          <c:order val="6"/>
          <c:tx>
            <c:strRef>
              <c:f>Kostenvergleich!$B$204</c:f>
              <c:strCache>
                <c:ptCount val="1"/>
                <c:pt idx="0">
                  <c:v>Erneuerbare Kraftstoffe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numRef>
              <c:f>Kostenvergleich!$C$197:$H$197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Kostenvergleich!$C$204:$H$204</c:f>
              <c:numCache>
                <c:formatCode>General</c:formatCode>
                <c:ptCount val="6"/>
                <c:pt idx="0">
                  <c:v>0.240704777668725</c:v>
                </c:pt>
                <c:pt idx="1">
                  <c:v>-559.05835423113876</c:v>
                </c:pt>
                <c:pt idx="2">
                  <c:v>-1109.3476553958753</c:v>
                </c:pt>
                <c:pt idx="3">
                  <c:v>-2305.4646195078567</c:v>
                </c:pt>
                <c:pt idx="4">
                  <c:v>-5836.7348764432754</c:v>
                </c:pt>
                <c:pt idx="5">
                  <c:v>-6650.6500366558685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A9-4575-BFB0-2FF67D6CFF62}"/>
            </c:ext>
          </c:extLst>
        </c:ser>
        <c:ser>
          <c:idx val="7"/>
          <c:order val="7"/>
          <c:tx>
            <c:strRef>
              <c:f>Kostenvergleich!$B$205</c:f>
              <c:strCache>
                <c:ptCount val="1"/>
                <c:pt idx="0">
                  <c:v>Konv. Kraftstoffe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Kostenvergleich!$C$197:$H$197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Kostenvergleich!$C$205:$H$205</c:f>
              <c:numCache>
                <c:formatCode>General</c:formatCode>
                <c:ptCount val="6"/>
                <c:pt idx="0">
                  <c:v>-13.251869113591965</c:v>
                </c:pt>
                <c:pt idx="1">
                  <c:v>-43.914752963421051</c:v>
                </c:pt>
                <c:pt idx="2">
                  <c:v>2263.9569175070646</c:v>
                </c:pt>
                <c:pt idx="3">
                  <c:v>-6337.4304469821</c:v>
                </c:pt>
                <c:pt idx="4">
                  <c:v>3212.4591668596258</c:v>
                </c:pt>
                <c:pt idx="5">
                  <c:v>-4282.7957372621113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A9-4575-BFB0-2FF67D6CF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66720"/>
        <c:axId val="239147200"/>
      </c:barChart>
      <c:lineChart>
        <c:grouping val="standard"/>
        <c:varyColors val="0"/>
        <c:ser>
          <c:idx val="8"/>
          <c:order val="8"/>
          <c:tx>
            <c:strRef>
              <c:f>Kostenvergleich!$B$206</c:f>
              <c:strCache>
                <c:ptCount val="1"/>
                <c:pt idx="0">
                  <c:v>Gesamtsystemkosten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Kostenvergleich!$C$206:$H$206</c:f>
              <c:numCache>
                <c:formatCode>General</c:formatCode>
                <c:ptCount val="6"/>
                <c:pt idx="0">
                  <c:v>83.147386945434846</c:v>
                </c:pt>
                <c:pt idx="1">
                  <c:v>5629.492356644012</c:v>
                </c:pt>
                <c:pt idx="2">
                  <c:v>-17123.323800133076</c:v>
                </c:pt>
                <c:pt idx="3">
                  <c:v>5740.6496079485514</c:v>
                </c:pt>
                <c:pt idx="4">
                  <c:v>-523.46284043142805</c:v>
                </c:pt>
                <c:pt idx="5">
                  <c:v>34539.692033208965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A9-4575-BFB0-2FF67D6CF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166720"/>
        <c:axId val="239147200"/>
      </c:lineChart>
      <c:catAx>
        <c:axId val="33116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crossAx val="239147200"/>
        <c:crosses val="autoZero"/>
        <c:auto val="1"/>
        <c:lblAlgn val="ctr"/>
        <c:lblOffset val="100"/>
        <c:noMultiLvlLbl val="0"/>
      </c:catAx>
      <c:valAx>
        <c:axId val="23914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Kostendifferenz  der jährl. Systemkosten in Mrd. </a:t>
                </a:r>
                <a:r>
                  <a:rPr lang="de-DE"/>
                  <a:t>€/a</a:t>
                </a:r>
              </a:p>
            </c:rich>
          </c:tx>
          <c:overlay val="0"/>
        </c:title>
        <c:numFmt formatCode="0," sourceLinked="0"/>
        <c:majorTickMark val="out"/>
        <c:minorTickMark val="none"/>
        <c:tickLblPos val="nextTo"/>
        <c:crossAx val="331166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293618410315"/>
          <c:y val="0.15453857367197149"/>
          <c:w val="0.33299553805739224"/>
          <c:h val="0.76013242155992733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de-DE" sz="1600" b="1">
                <a:solidFill>
                  <a:schemeClr val="tx1"/>
                </a:solidFill>
              </a:rPr>
              <a:t>Jährliche Mehrkosten im Vergleich zum 95% Szenario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0225440569929"/>
          <c:y val="0.13793099881540699"/>
          <c:w val="0.55069143700787404"/>
          <c:h val="0.68104917547827848"/>
        </c:manualLayout>
      </c:layout>
      <c:lineChart>
        <c:grouping val="standard"/>
        <c:varyColors val="0"/>
        <c:ser>
          <c:idx val="0"/>
          <c:order val="0"/>
          <c:tx>
            <c:v>THGneutral2050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Kostenvergleich!$C$173:$I$173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1-4C61-BC3A-C8EC13BDD315}"/>
            </c:ext>
          </c:extLst>
        </c:ser>
        <c:ser>
          <c:idx val="1"/>
          <c:order val="1"/>
          <c:tx>
            <c:v>THGneutral2045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numRef>
              <c:f>Kostenvergleich!$C$164:$I$164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Kostenvergleich!$C$195:$I$195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1-4C61-BC3A-C8EC13BDD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515792"/>
        <c:axId val="875521200"/>
      </c:lineChart>
      <c:catAx>
        <c:axId val="875515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 b="1">
                    <a:solidFill>
                      <a:schemeClr val="tx1"/>
                    </a:solidFill>
                  </a:rPr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75521200"/>
        <c:crosses val="autoZero"/>
        <c:auto val="1"/>
        <c:lblAlgn val="ctr"/>
        <c:lblOffset val="900"/>
        <c:noMultiLvlLbl val="0"/>
      </c:catAx>
      <c:valAx>
        <c:axId val="8755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 b="1">
                    <a:solidFill>
                      <a:schemeClr val="tx1"/>
                    </a:solidFill>
                  </a:rPr>
                  <a:t>Jährliche</a:t>
                </a:r>
                <a:r>
                  <a:rPr lang="de-DE" b="1" baseline="0">
                    <a:solidFill>
                      <a:schemeClr val="tx1"/>
                    </a:solidFill>
                  </a:rPr>
                  <a:t> Mehrkosten im Vergleich zum 95% Szenario in Mrd. €/a</a:t>
                </a:r>
                <a:endParaRPr lang="de-DE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solidFill>
                <a:schemeClr val="tx1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755157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de-DE" sz="1600" b="1">
                <a:solidFill>
                  <a:schemeClr val="tx1"/>
                </a:solidFill>
              </a:rPr>
              <a:t>Kumulierte Mehrkosten im Vergleich zum 95% Szenario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0225440569929"/>
          <c:y val="0.13793099881540699"/>
          <c:w val="0.6065963452681622"/>
          <c:h val="0.68104917547827848"/>
        </c:manualLayout>
      </c:layout>
      <c:lineChart>
        <c:grouping val="standard"/>
        <c:varyColors val="0"/>
        <c:ser>
          <c:idx val="0"/>
          <c:order val="0"/>
          <c:tx>
            <c:strRef>
              <c:f>Kostenvergleich!$C$241</c:f>
              <c:strCache>
                <c:ptCount val="1"/>
                <c:pt idx="0">
                  <c:v>THGneutral50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Kostenvergleich!$B$242:$B$272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Kostenvergleich!$C$242:$C$272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E-4223-8796-B13A6A674C5C}"/>
            </c:ext>
          </c:extLst>
        </c:ser>
        <c:ser>
          <c:idx val="1"/>
          <c:order val="1"/>
          <c:tx>
            <c:strRef>
              <c:f>Kostenvergleich!$D$241</c:f>
              <c:strCache>
                <c:ptCount val="1"/>
                <c:pt idx="0">
                  <c:v>THGneutral45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numRef>
              <c:f>Kostenvergleich!$B$242:$B$272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Kostenvergleich!$D$242:$D$272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E-4223-8796-B13A6A674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515792"/>
        <c:axId val="875521200"/>
      </c:lineChart>
      <c:catAx>
        <c:axId val="875515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 b="1">
                    <a:solidFill>
                      <a:schemeClr val="tx1"/>
                    </a:solidFill>
                  </a:rPr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75521200"/>
        <c:crosses val="autoZero"/>
        <c:auto val="1"/>
        <c:lblAlgn val="ctr"/>
        <c:lblOffset val="900"/>
        <c:tickLblSkip val="5"/>
        <c:tickMarkSkip val="5"/>
        <c:noMultiLvlLbl val="0"/>
      </c:catAx>
      <c:valAx>
        <c:axId val="8755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 b="1">
                    <a:solidFill>
                      <a:schemeClr val="tx1"/>
                    </a:solidFill>
                  </a:rPr>
                  <a:t>Kumulierte</a:t>
                </a:r>
                <a:r>
                  <a:rPr lang="de-DE" b="1" baseline="0">
                    <a:solidFill>
                      <a:schemeClr val="tx1"/>
                    </a:solidFill>
                  </a:rPr>
                  <a:t> Mehrkosten im Vergleich zum 95% Szenario in Mrd. €</a:t>
                </a:r>
                <a:endParaRPr lang="de-DE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solidFill>
                <a:schemeClr val="tx1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755157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71892936459874"/>
          <c:y val="0.47290997161940124"/>
          <c:w val="0.18226982800334315"/>
          <c:h val="0.12629564542273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 rtl="0">
              <a:defRPr sz="1800"/>
            </a:pPr>
            <a:r>
              <a:rPr lang="de-DE" sz="1800"/>
              <a:t>CO2-Emissions Industry Sektor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484041647111992"/>
          <c:y val="0.15163773888290011"/>
          <c:w val="0.77866819627678996"/>
          <c:h val="0.594621905755232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'CO2-Emissionen'!$AA$34</c:f>
              <c:strCache>
                <c:ptCount val="1"/>
                <c:pt idx="0">
                  <c:v>Combustion emissions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'CO2-Emissionen'!$AB$33:$AH$33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'CO2-Emissionen'!$AB$34:$AH$34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1-469C-8EA9-769A1228980F}"/>
            </c:ext>
          </c:extLst>
        </c:ser>
        <c:ser>
          <c:idx val="1"/>
          <c:order val="1"/>
          <c:tx>
            <c:strRef>
              <c:f>'CO2-Emissionen'!$AA$35</c:f>
              <c:strCache>
                <c:ptCount val="1"/>
                <c:pt idx="0">
                  <c:v>Process emissions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'CO2-Emissionen'!$AB$33:$AH$33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'CO2-Emissionen'!$AB$35:$AH$35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1-469C-8EA9-769A1228980F}"/>
            </c:ext>
          </c:extLst>
        </c:ser>
        <c:ser>
          <c:idx val="2"/>
          <c:order val="2"/>
          <c:tx>
            <c:strRef>
              <c:f>'CO2-Emissionen'!$AA$36</c:f>
              <c:strCache>
                <c:ptCount val="1"/>
                <c:pt idx="0">
                  <c:v>Non-CO2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val>
            <c:numRef>
              <c:f>'CO2-Emissionen'!$AB$36:$AH$36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11-4006-B39D-2F09AED45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68768"/>
        <c:axId val="323760064"/>
      </c:barChart>
      <c:catAx>
        <c:axId val="3311687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3760064"/>
        <c:crosses val="autoZero"/>
        <c:auto val="1"/>
        <c:lblAlgn val="ctr"/>
        <c:lblOffset val="100"/>
        <c:noMultiLvlLbl val="0"/>
      </c:catAx>
      <c:valAx>
        <c:axId val="3237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CO2-Emissions [Mt CO2]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3116876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800"/>
            </a:pPr>
            <a:r>
              <a:rPr lang="de-DE" sz="1800"/>
              <a:t>CO2-Emissions</a:t>
            </a:r>
            <a:r>
              <a:rPr lang="de-DE" sz="1800" baseline="0"/>
              <a:t> Energy </a:t>
            </a:r>
            <a:r>
              <a:rPr lang="de-DE" sz="1800"/>
              <a:t>Sector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920966779019549"/>
          <c:y val="0.1592177312307827"/>
          <c:w val="0.63688931363790613"/>
          <c:h val="0.6648661810041824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'CO2-Emissionen'!$AA$5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'CO2-Emissionen'!$AB$5:$AH$5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E8-4185-8E31-948743C80F43}"/>
            </c:ext>
          </c:extLst>
        </c:ser>
        <c:ser>
          <c:idx val="2"/>
          <c:order val="1"/>
          <c:tx>
            <c:strRef>
              <c:f>'CO2-Emissionen'!$AA$6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'CO2-Emissionen'!$AB$6:$AH$6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E8-4185-8E31-948743C80F43}"/>
            </c:ext>
          </c:extLst>
        </c:ser>
        <c:ser>
          <c:idx val="3"/>
          <c:order val="2"/>
          <c:tx>
            <c:strRef>
              <c:f>'CO2-Emissionen'!$AA$7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'CO2-Emissionen'!$AB$7:$AH$7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E8-4185-8E31-948743C80F43}"/>
            </c:ext>
          </c:extLst>
        </c:ser>
        <c:ser>
          <c:idx val="0"/>
          <c:order val="3"/>
          <c:tx>
            <c:strRef>
              <c:f>'CO2-Emissionen'!$AA$4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'CO2-Emissionen'!$AB$4:$AH$4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8-4185-8E31-948743C80F43}"/>
            </c:ext>
          </c:extLst>
        </c:ser>
        <c:ser>
          <c:idx val="4"/>
          <c:order val="4"/>
          <c:tx>
            <c:strRef>
              <c:f>'CO2-Emissionen'!$AA$8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'CO2-Emissionen'!$AB$8:$AH$8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E8-4185-8E31-948743C80F43}"/>
            </c:ext>
          </c:extLst>
        </c:ser>
        <c:ser>
          <c:idx val="5"/>
          <c:order val="5"/>
          <c:tx>
            <c:strRef>
              <c:f>'CO2-Emissionen'!$AA$9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'CO2-Emissionen'!$AB$9:$AH$9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E8-4185-8E31-948743C80F43}"/>
            </c:ext>
          </c:extLst>
        </c:ser>
        <c:ser>
          <c:idx val="7"/>
          <c:order val="6"/>
          <c:tx>
            <c:strRef>
              <c:f>'CO2-Emissionen'!$AA$10</c:f>
              <c:strCache>
                <c:ptCount val="1"/>
                <c:pt idx="0">
                  <c:v>Reformer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'CO2-Emissionen'!$AB$10:$AH$10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6-40D9-829B-7F1B8FF87C57}"/>
            </c:ext>
          </c:extLst>
        </c:ser>
        <c:ser>
          <c:idx val="6"/>
          <c:order val="7"/>
          <c:tx>
            <c:strRef>
              <c:f>'CO2-Emissionen'!$AA$11</c:f>
              <c:strCache>
                <c:ptCount val="1"/>
                <c:pt idx="0">
                  <c:v>Refinery</c:v>
                </c:pt>
              </c:strCache>
            </c:strRef>
          </c:tx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'CO2-Emissionen'!$AB$11:$AH$11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3-4AEE-931B-B89F7558F3BB}"/>
            </c:ext>
          </c:extLst>
        </c:ser>
        <c:ser>
          <c:idx val="8"/>
          <c:order val="8"/>
          <c:tx>
            <c:strRef>
              <c:f>'CO2-Emissionen'!$AA$12</c:f>
              <c:strCache>
                <c:ptCount val="1"/>
                <c:pt idx="0">
                  <c:v>Non-CO2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val>
            <c:numRef>
              <c:f>'CO2-Emissionen'!$AB$12:$AH$12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36-434B-BC13-7F1403FC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9866368"/>
        <c:axId val="323762944"/>
      </c:barChart>
      <c:catAx>
        <c:axId val="3598663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3762944"/>
        <c:crosses val="autoZero"/>
        <c:auto val="1"/>
        <c:lblAlgn val="ctr"/>
        <c:lblOffset val="100"/>
        <c:noMultiLvlLbl val="0"/>
      </c:catAx>
      <c:valAx>
        <c:axId val="3237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CO2-Emissions [Mt CO2]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5986636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7334871259725968"/>
          <c:y val="3.3691045443213392E-2"/>
          <c:w val="0.21884445043310119"/>
          <c:h val="0.93154825407591901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 rtl="0">
              <a:defRPr sz="1800"/>
            </a:pPr>
            <a:r>
              <a:rPr lang="de-DE" sz="1800"/>
              <a:t>CO2-Emissions Building Sektor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18037232100951"/>
          <c:y val="0.13048372911169745"/>
          <c:w val="0.63915384749091797"/>
          <c:h val="0.700392661999044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'CO2-Emissionen'!$AA$68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'CO2-Emissionen'!$AB$67:$AH$67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'CO2-Emissionen'!$AB$68:$AH$68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5-4E25-93F7-301BDD0AD6B9}"/>
            </c:ext>
          </c:extLst>
        </c:ser>
        <c:ser>
          <c:idx val="1"/>
          <c:order val="1"/>
          <c:tx>
            <c:strRef>
              <c:f>'CO2-Emissionen'!$AA$69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'CO2-Emissionen'!$AB$67:$AH$67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'CO2-Emissionen'!$AB$69:$AH$69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5-4E25-93F7-301BDD0AD6B9}"/>
            </c:ext>
          </c:extLst>
        </c:ser>
        <c:ser>
          <c:idx val="2"/>
          <c:order val="2"/>
          <c:tx>
            <c:strRef>
              <c:f>'CO2-Emissionen'!$AA$70</c:f>
              <c:strCache>
                <c:ptCount val="1"/>
                <c:pt idx="0">
                  <c:v>Non-CO2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val>
            <c:numRef>
              <c:f>'CO2-Emissionen'!$AB$70:$AH$70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B-4CCF-AA22-6436DCE1E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9867392"/>
        <c:axId val="323847296"/>
      </c:barChart>
      <c:catAx>
        <c:axId val="35986739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3847296"/>
        <c:crosses val="autoZero"/>
        <c:auto val="1"/>
        <c:lblAlgn val="ctr"/>
        <c:lblOffset val="100"/>
        <c:noMultiLvlLbl val="0"/>
      </c:catAx>
      <c:valAx>
        <c:axId val="32384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CO2-Emissions [Mt CO2]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5986739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 rtl="0">
              <a:defRPr sz="1800"/>
            </a:pPr>
            <a:r>
              <a:rPr lang="de-DE" sz="1800"/>
              <a:t>CO2-Emissions Transport Sektor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777639881107576"/>
          <c:y val="0.13048372911169745"/>
          <c:w val="0.62855782100085167"/>
          <c:h val="0.700392661999044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'CO2-Emissionen'!$AA$78</c:f>
              <c:strCache>
                <c:ptCount val="1"/>
                <c:pt idx="0">
                  <c:v>Biofuel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'CO2-Emissionen'!$AB$67:$AH$67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'CO2-Emissionen'!$AB$78:$AH$78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2-4274-9BA9-B494269FFA76}"/>
            </c:ext>
          </c:extLst>
        </c:ser>
        <c:ser>
          <c:idx val="1"/>
          <c:order val="1"/>
          <c:tx>
            <c:strRef>
              <c:f>'CO2-Emissionen'!$AA$79</c:f>
              <c:strCache>
                <c:ptCount val="1"/>
                <c:pt idx="0">
                  <c:v>Fossil Fuel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'CO2-Emissionen'!$AB$67:$AH$67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'CO2-Emissionen'!$AB$79:$AH$79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2-4274-9BA9-B494269FFA76}"/>
            </c:ext>
          </c:extLst>
        </c:ser>
        <c:ser>
          <c:idx val="2"/>
          <c:order val="2"/>
          <c:tx>
            <c:strRef>
              <c:f>'CO2-Emissionen'!$AA$80</c:f>
              <c:strCache>
                <c:ptCount val="1"/>
                <c:pt idx="0">
                  <c:v>Non-CO2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val>
            <c:numRef>
              <c:f>'CO2-Emissionen'!$AB$80:$AH$80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4-48E2-B04F-DD22BFE43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9868928"/>
        <c:axId val="323849600"/>
      </c:barChart>
      <c:catAx>
        <c:axId val="35986892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3849600"/>
        <c:crosses val="autoZero"/>
        <c:auto val="1"/>
        <c:lblAlgn val="ctr"/>
        <c:lblOffset val="100"/>
        <c:noMultiLvlLbl val="0"/>
      </c:catAx>
      <c:valAx>
        <c:axId val="32384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CO2-Emissions [Mt CO2]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5986892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990727541731575"/>
          <c:y val="0.12677307373491498"/>
          <c:w val="0.62855782100085167"/>
          <c:h val="0.7003926619990442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'CO2-Emissionen'!$AA$100</c:f>
              <c:strCache>
                <c:ptCount val="1"/>
                <c:pt idx="0">
                  <c:v>DAC/CCS</c:v>
                </c:pt>
              </c:strCache>
            </c:strRef>
          </c:tx>
          <c:invertIfNegative val="0"/>
          <c:cat>
            <c:strRef>
              <c:f>'CO2-Emissionen'!$AB$95:$AH$95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'CO2-Emissionen'!$AB$100:$AH$100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-90052.761168181285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E-4291-A9C7-430E12A8AD6F}"/>
            </c:ext>
          </c:extLst>
        </c:ser>
        <c:ser>
          <c:idx val="0"/>
          <c:order val="1"/>
          <c:tx>
            <c:strRef>
              <c:f>'CO2-Emissionen'!$AA$96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'CO2-Emissionen'!$AB$95:$AH$95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'CO2-Emissionen'!$AB$96:$AH$96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3002.796669710182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2-4274-9BA9-B494269FFA76}"/>
            </c:ext>
          </c:extLst>
        </c:ser>
        <c:ser>
          <c:idx val="1"/>
          <c:order val="2"/>
          <c:tx>
            <c:strRef>
              <c:f>'CO2-Emissionen'!$AA$97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'CO2-Emissionen'!$AB$95:$AH$95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'CO2-Emissionen'!$AB$97:$AH$97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32357.048557901777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2-4274-9BA9-B494269FFA76}"/>
            </c:ext>
          </c:extLst>
        </c:ser>
        <c:ser>
          <c:idx val="2"/>
          <c:order val="3"/>
          <c:tx>
            <c:strRef>
              <c:f>'CO2-Emissionen'!$AA$98</c:f>
              <c:strCache>
                <c:ptCount val="1"/>
                <c:pt idx="0">
                  <c:v>Building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'CO2-Emissionen'!$AB$95:$AH$95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'CO2-Emissionen'!$AB$98:$AH$98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573.7451517238992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F-49B6-BC88-252E1A27C606}"/>
            </c:ext>
          </c:extLst>
        </c:ser>
        <c:ser>
          <c:idx val="3"/>
          <c:order val="4"/>
          <c:tx>
            <c:strRef>
              <c:f>'CO2-Emissionen'!$AA$99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'CO2-Emissionen'!$AB$95:$AH$95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'CO2-Emissionen'!$AB$99:$AH$99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119.17125322334059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F-49B6-BC88-252E1A27C606}"/>
            </c:ext>
          </c:extLst>
        </c:ser>
        <c:ser>
          <c:idx val="5"/>
          <c:order val="5"/>
          <c:tx>
            <c:strRef>
              <c:f>'CO2-Emissionen'!$AA$101</c:f>
              <c:strCache>
                <c:ptCount val="1"/>
                <c:pt idx="0">
                  <c:v>Non-CO2</c:v>
                </c:pt>
              </c:strCache>
            </c:strRef>
          </c:tx>
          <c:invertIfNegative val="0"/>
          <c:cat>
            <c:strRef>
              <c:f>'CO2-Emissionen'!$AB$95:$AH$95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48Tage</c:v>
                </c:pt>
              </c:strCache>
            </c:strRef>
          </c:cat>
          <c:val>
            <c:numRef>
              <c:f>'CO2-Emissionen'!$AB$101:$AH$101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8-4652-A8EF-A06FB5330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1656832"/>
        <c:axId val="323851904"/>
      </c:barChart>
      <c:catAx>
        <c:axId val="36165683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 anchor="b" anchorCtr="1"/>
          <a:lstStyle/>
          <a:p>
            <a:pPr>
              <a:defRPr/>
            </a:pPr>
            <a:endParaRPr lang="en-US"/>
          </a:p>
        </c:txPr>
        <c:crossAx val="323851904"/>
        <c:crosses val="autoZero"/>
        <c:auto val="1"/>
        <c:lblAlgn val="ctr"/>
        <c:lblOffset val="100"/>
        <c:noMultiLvlLbl val="0"/>
      </c:catAx>
      <c:valAx>
        <c:axId val="323851904"/>
        <c:scaling>
          <c:orientation val="minMax"/>
          <c:max val="900000"/>
          <c:min val="-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GHG-Emissions [Mt CO2eq]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61656832"/>
        <c:crosses val="autoZero"/>
        <c:crossBetween val="between"/>
        <c:majorUnit val="100000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800"/>
            </a:pPr>
            <a:r>
              <a:rPr lang="de-DE" sz="1800"/>
              <a:t>CO2-Emissionen Umwandlungssektor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043698363562076"/>
          <c:y val="0.15208671235297583"/>
          <c:w val="0.63688931363790613"/>
          <c:h val="0.664866181004182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'CO2-Emissionen'!$Z$4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'CO2-Emissionen'!$AB$4:$AH$4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2-4A23-BDC8-7B299546998F}"/>
            </c:ext>
          </c:extLst>
        </c:ser>
        <c:ser>
          <c:idx val="1"/>
          <c:order val="1"/>
          <c:tx>
            <c:strRef>
              <c:f>'CO2-Emissionen'!$Z$5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'CO2-Emissionen'!$AB$5:$AH$5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32-4A23-BDC8-7B299546998F}"/>
            </c:ext>
          </c:extLst>
        </c:ser>
        <c:ser>
          <c:idx val="2"/>
          <c:order val="2"/>
          <c:tx>
            <c:strRef>
              <c:f>'CO2-Emissionen'!$Z$6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'CO2-Emissionen'!$AB$6:$AH$6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32-4A23-BDC8-7B299546998F}"/>
            </c:ext>
          </c:extLst>
        </c:ser>
        <c:ser>
          <c:idx val="3"/>
          <c:order val="3"/>
          <c:tx>
            <c:strRef>
              <c:f>'CO2-Emissionen'!$Z$7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'CO2-Emissionen'!$AB$7:$AH$7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32-4A23-BDC8-7B299546998F}"/>
            </c:ext>
          </c:extLst>
        </c:ser>
        <c:ser>
          <c:idx val="4"/>
          <c:order val="4"/>
          <c:tx>
            <c:strRef>
              <c:f>'CO2-Emissionen'!$Z$8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'CO2-Emissionen'!$AB$8:$AH$8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32-4A23-BDC8-7B299546998F}"/>
            </c:ext>
          </c:extLst>
        </c:ser>
        <c:ser>
          <c:idx val="5"/>
          <c:order val="5"/>
          <c:tx>
            <c:strRef>
              <c:f>'CO2-Emissionen'!$Z$9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'CO2-Emissionen'!$AB$9:$AH$9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32-4A23-BDC8-7B299546998F}"/>
            </c:ext>
          </c:extLst>
        </c:ser>
        <c:ser>
          <c:idx val="7"/>
          <c:order val="6"/>
          <c:tx>
            <c:strRef>
              <c:f>'CO2-Emissionen'!$Z$10</c:f>
              <c:strCache>
                <c:ptCount val="1"/>
                <c:pt idx="0">
                  <c:v>Reformer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'CO2-Emissionen'!$AB$10:$AH$10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32-4A23-BDC8-7B299546998F}"/>
            </c:ext>
          </c:extLst>
        </c:ser>
        <c:ser>
          <c:idx val="6"/>
          <c:order val="7"/>
          <c:tx>
            <c:strRef>
              <c:f>'CO2-Emissionen'!$Z$11</c:f>
              <c:strCache>
                <c:ptCount val="1"/>
                <c:pt idx="0">
                  <c:v>Raffinerie</c:v>
                </c:pt>
              </c:strCache>
            </c:strRef>
          </c:tx>
          <c:invertIfNegative val="0"/>
          <c:cat>
            <c:numRef>
              <c:f>'CO2-Emissionen'!$AB$3:$AH$3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'CO2-Emissionen'!$AB$11:$AH$11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B-4F34-BDAF-5162AC3ECA62}"/>
            </c:ext>
          </c:extLst>
        </c:ser>
        <c:ser>
          <c:idx val="8"/>
          <c:order val="8"/>
          <c:tx>
            <c:strRef>
              <c:f>'CO2-Emissionen'!$Z$12</c:f>
              <c:strCache>
                <c:ptCount val="1"/>
                <c:pt idx="0">
                  <c:v>Nicht-CO2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val>
            <c:numRef>
              <c:f>'CO2-Emissionen'!$AB$12:$AH$12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8-474D-AD27-10B7CD876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1658880"/>
        <c:axId val="323158016"/>
      </c:barChart>
      <c:catAx>
        <c:axId val="3616588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3158016"/>
        <c:crosses val="autoZero"/>
        <c:auto val="1"/>
        <c:lblAlgn val="ctr"/>
        <c:lblOffset val="100"/>
        <c:noMultiLvlLbl val="0"/>
      </c:catAx>
      <c:valAx>
        <c:axId val="3231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CO2-Emissionen [Mt CO2]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61658880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 rtl="0">
              <a:defRPr sz="1800"/>
            </a:pPr>
            <a:r>
              <a:rPr lang="de-DE" sz="1800"/>
              <a:t>CO2-Emissionen Industriesektor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181228768282257"/>
          <c:y val="0.1410606665887498"/>
          <c:w val="0.77814833445525511"/>
          <c:h val="0.580519142696365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'CO2-Emissionen'!$Z$34</c:f>
              <c:strCache>
                <c:ptCount val="1"/>
                <c:pt idx="0">
                  <c:v>Verbrennungsemissionen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'CO2-Emissionen'!$AB$33:$AH$33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'CO2-Emissionen'!$AB$34:$AH$34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7-4047-9140-9F3BFB41B806}"/>
            </c:ext>
          </c:extLst>
        </c:ser>
        <c:ser>
          <c:idx val="1"/>
          <c:order val="1"/>
          <c:tx>
            <c:strRef>
              <c:f>'CO2-Emissionen'!$Z$35</c:f>
              <c:strCache>
                <c:ptCount val="1"/>
                <c:pt idx="0">
                  <c:v>Prozessemissionen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'CO2-Emissionen'!$AB$33:$AH$33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'CO2-Emissionen'!$AB$35:$AH$35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7-4047-9140-9F3BFB41B806}"/>
            </c:ext>
          </c:extLst>
        </c:ser>
        <c:ser>
          <c:idx val="2"/>
          <c:order val="2"/>
          <c:tx>
            <c:strRef>
              <c:f>'CO2-Emissionen'!$Z$36</c:f>
              <c:strCache>
                <c:ptCount val="1"/>
                <c:pt idx="0">
                  <c:v>Nicht-CO2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val>
            <c:numRef>
              <c:f>'CO2-Emissionen'!$AB$36:$AH$36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D-4C3E-8AFA-A3BF40512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361088"/>
        <c:axId val="323160320"/>
      </c:barChart>
      <c:catAx>
        <c:axId val="32636108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3160320"/>
        <c:crosses val="autoZero"/>
        <c:auto val="1"/>
        <c:lblAlgn val="ctr"/>
        <c:lblOffset val="100"/>
        <c:noMultiLvlLbl val="0"/>
      </c:catAx>
      <c:valAx>
        <c:axId val="3231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CO2-Emissionen [Mt CO2]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636108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 rtl="0">
              <a:defRPr sz="1800"/>
            </a:pPr>
            <a:r>
              <a:rPr lang="de-DE" sz="1800"/>
              <a:t>CO2-Emissionen Gebäudesektor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18037232100951"/>
          <c:y val="0.13048372911169745"/>
          <c:w val="0.63915384749091797"/>
          <c:h val="0.700392661999044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'CO2-Emissionen'!$Z$68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'CO2-Emissionen'!$AB$67:$AH$67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'CO2-Emissionen'!$AB$68:$AH$68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4-46FA-92D5-4721871DEBD9}"/>
            </c:ext>
          </c:extLst>
        </c:ser>
        <c:ser>
          <c:idx val="1"/>
          <c:order val="1"/>
          <c:tx>
            <c:strRef>
              <c:f>'CO2-Emissionen'!$Z$69</c:f>
              <c:strCache>
                <c:ptCount val="1"/>
                <c:pt idx="0">
                  <c:v>Heizöl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'CO2-Emissionen'!$AB$67:$AH$67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'CO2-Emissionen'!$AB$69:$AH$69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94-46FA-92D5-4721871DEBD9}"/>
            </c:ext>
          </c:extLst>
        </c:ser>
        <c:ser>
          <c:idx val="2"/>
          <c:order val="2"/>
          <c:tx>
            <c:strRef>
              <c:f>'CO2-Emissionen'!$Z$70</c:f>
              <c:strCache>
                <c:ptCount val="1"/>
                <c:pt idx="0">
                  <c:v>Nicht-CO2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val>
            <c:numRef>
              <c:f>'CO2-Emissionen'!$AB$70:$AH$70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26-4D9C-8319-44A57EA6B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362112"/>
        <c:axId val="323162624"/>
      </c:barChart>
      <c:catAx>
        <c:axId val="32636211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3162624"/>
        <c:crosses val="autoZero"/>
        <c:auto val="1"/>
        <c:lblAlgn val="ctr"/>
        <c:lblOffset val="100"/>
        <c:noMultiLvlLbl val="0"/>
      </c:catAx>
      <c:valAx>
        <c:axId val="32316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CO2-Emissionen [Mt CO2]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636211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 algn="ctr" rtl="0">
              <a:defRPr sz="1800"/>
            </a:pPr>
            <a:r>
              <a:rPr lang="de-DE" sz="1800"/>
              <a:t>CO2-Emissionen Transportsektor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777639881107576"/>
          <c:y val="0.13048372911169745"/>
          <c:w val="0.60371309286944697"/>
          <c:h val="0.700392661999044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'CO2-Emissionen'!$Z$78</c:f>
              <c:strCache>
                <c:ptCount val="1"/>
                <c:pt idx="0">
                  <c:v>Biokraftstoff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'CO2-Emissionen'!$AB$67:$AH$67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'CO2-Emissionen'!$AB$78:$AH$78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6-47A2-AE6C-D82F94246102}"/>
            </c:ext>
          </c:extLst>
        </c:ser>
        <c:ser>
          <c:idx val="1"/>
          <c:order val="1"/>
          <c:tx>
            <c:strRef>
              <c:f>'CO2-Emissionen'!$Z$79</c:f>
              <c:strCache>
                <c:ptCount val="1"/>
                <c:pt idx="0">
                  <c:v>Fos. Kraftstoff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'CO2-Emissionen'!$AB$67:$AH$67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'CO2-Emissionen'!$AB$79:$AH$79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6-47A2-AE6C-D82F94246102}"/>
            </c:ext>
          </c:extLst>
        </c:ser>
        <c:ser>
          <c:idx val="2"/>
          <c:order val="2"/>
          <c:tx>
            <c:strRef>
              <c:f>'CO2-Emissionen'!$Z$80</c:f>
              <c:strCache>
                <c:ptCount val="1"/>
                <c:pt idx="0">
                  <c:v>Nicht-CO2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val>
            <c:numRef>
              <c:f>'CO2-Emissionen'!$AB$80:$AH$80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B6-4BD3-87DE-BBB45AF8E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362624"/>
        <c:axId val="323164928"/>
      </c:barChart>
      <c:catAx>
        <c:axId val="32636262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3164928"/>
        <c:crosses val="autoZero"/>
        <c:auto val="1"/>
        <c:lblAlgn val="ctr"/>
        <c:lblOffset val="100"/>
        <c:noMultiLvlLbl val="0"/>
      </c:catAx>
      <c:valAx>
        <c:axId val="32316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CO2-Emissionen [Mt CO2]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636262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77639881107576"/>
          <c:y val="0.13048372911169745"/>
          <c:w val="0.62855782100085167"/>
          <c:h val="0.7003926619990442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'CO2-Emissionen'!$Z$100</c:f>
              <c:strCache>
                <c:ptCount val="1"/>
                <c:pt idx="0">
                  <c:v>CO2 Einlagerung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'CO2-Emissionen'!$AB$95:$AI$95</c15:sqref>
                  </c15:fullRef>
                </c:ext>
              </c:extLst>
              <c:f>'CO2-Emissionen'!$AB$95:$AG$95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'CO2-Emissionen'!$AB$100:$AI$100</c15:sqref>
                  </c15:fullRef>
                </c:ext>
              </c:extLst>
              <c:f>'CO2-Emissionen'!$AB$100:$AG$100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B-479D-9E95-6423B27BE90E}"/>
            </c:ext>
          </c:extLst>
        </c:ser>
        <c:ser>
          <c:idx val="0"/>
          <c:order val="1"/>
          <c:tx>
            <c:strRef>
              <c:f>'CO2-Emissionen'!$Z$96</c:f>
              <c:strCache>
                <c:ptCount val="1"/>
                <c:pt idx="0">
                  <c:v>Energie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'CO2-Emissionen'!$AB$95:$AI$95</c15:sqref>
                  </c15:fullRef>
                </c:ext>
              </c:extLst>
              <c:f>'CO2-Emissionen'!$AB$95:$AG$95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'CO2-Emissionen'!$AB$96:$AI$96</c15:sqref>
                  </c15:fullRef>
                </c:ext>
              </c:extLst>
              <c:f>'CO2-Emissionen'!$AB$96:$AG$96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8-4D76-9671-93022CC638C0}"/>
            </c:ext>
          </c:extLst>
        </c:ser>
        <c:ser>
          <c:idx val="1"/>
          <c:order val="2"/>
          <c:tx>
            <c:strRef>
              <c:f>'CO2-Emissionen'!$Z$97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'CO2-Emissionen'!$AB$95:$AI$95</c15:sqref>
                  </c15:fullRef>
                </c:ext>
              </c:extLst>
              <c:f>'CO2-Emissionen'!$AB$95:$AG$95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'CO2-Emissionen'!$AB$97:$AI$97</c15:sqref>
                  </c15:fullRef>
                </c:ext>
              </c:extLst>
              <c:f>'CO2-Emissionen'!$AB$97:$AG$97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8-4D76-9671-93022CC638C0}"/>
            </c:ext>
          </c:extLst>
        </c:ser>
        <c:ser>
          <c:idx val="2"/>
          <c:order val="3"/>
          <c:tx>
            <c:strRef>
              <c:f>'CO2-Emissionen'!$Z$98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'CO2-Emissionen'!$AB$95:$AI$95</c15:sqref>
                  </c15:fullRef>
                </c:ext>
              </c:extLst>
              <c:f>'CO2-Emissionen'!$AB$95:$AG$95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'CO2-Emissionen'!$AB$98:$AI$98</c15:sqref>
                  </c15:fullRef>
                </c:ext>
              </c:extLst>
              <c:f>'CO2-Emissionen'!$AB$98:$AG$98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8-4D76-9671-93022CC638C0}"/>
            </c:ext>
          </c:extLst>
        </c:ser>
        <c:ser>
          <c:idx val="3"/>
          <c:order val="4"/>
          <c:tx>
            <c:strRef>
              <c:f>'CO2-Emissionen'!$Z$99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'CO2-Emissionen'!$AB$95:$AI$95</c15:sqref>
                  </c15:fullRef>
                </c:ext>
              </c:extLst>
              <c:f>'CO2-Emissionen'!$AB$95:$AG$95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'CO2-Emissionen'!$AB$99:$AI$99</c15:sqref>
                  </c15:fullRef>
                </c:ext>
              </c:extLst>
              <c:f>'CO2-Emissionen'!$AB$99:$AG$99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E8-4D76-9671-93022CC638C0}"/>
            </c:ext>
          </c:extLst>
        </c:ser>
        <c:ser>
          <c:idx val="5"/>
          <c:order val="5"/>
          <c:tx>
            <c:strRef>
              <c:f>'CO2-Emissionen'!$Z$101</c:f>
              <c:strCache>
                <c:ptCount val="1"/>
                <c:pt idx="0">
                  <c:v>Nicht-CO2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'CO2-Emissionen'!$AB$95:$AI$95</c15:sqref>
                  </c15:fullRef>
                </c:ext>
              </c:extLst>
              <c:f>'CO2-Emissionen'!$AB$95:$AG$95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'CO2-Emissionen'!$AB$101:$AI$101</c15:sqref>
                  </c15:fullRef>
                </c:ext>
              </c:extLst>
              <c:f>'CO2-Emissionen'!$AB$101:$AG$101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887-491D-9810-634A8B11C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363648"/>
        <c:axId val="326730880"/>
      </c:barChart>
      <c:catAx>
        <c:axId val="32636364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6730880"/>
        <c:crosses val="autoZero"/>
        <c:auto val="1"/>
        <c:lblAlgn val="ctr"/>
        <c:lblOffset val="500"/>
        <c:noMultiLvlLbl val="0"/>
      </c:catAx>
      <c:valAx>
        <c:axId val="326730880"/>
        <c:scaling>
          <c:orientation val="minMax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THG-Emissionen [Mt CO2äq]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6363648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990727541731575"/>
          <c:y val="0.12677307373491498"/>
          <c:w val="0.62855782100085167"/>
          <c:h val="0.700392661999044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'CO2-Emissionen'!$N$204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rgbClr val="FFE900"/>
            </a:solidFill>
          </c:spPr>
          <c:invertIfNegative val="0"/>
          <c:cat>
            <c:numRef>
              <c:f>'CO2-Emissionen'!$R$211:$X$211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'CO2-Emissionen'!$R$212:$X$212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B2-40DA-917B-FAF52EC562B8}"/>
            </c:ext>
          </c:extLst>
        </c:ser>
        <c:ser>
          <c:idx val="1"/>
          <c:order val="1"/>
          <c:tx>
            <c:strRef>
              <c:f>'CO2-Emissionen'!$N$205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numRef>
              <c:f>'CO2-Emissionen'!$R$211:$X$211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'CO2-Emissionen'!$R$213:$X$213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B2-40DA-917B-FAF52EC562B8}"/>
            </c:ext>
          </c:extLst>
        </c:ser>
        <c:ser>
          <c:idx val="2"/>
          <c:order val="2"/>
          <c:tx>
            <c:strRef>
              <c:f>'CO2-Emissionen'!$N$206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rgbClr val="023D6B"/>
            </a:solidFill>
          </c:spPr>
          <c:invertIfNegative val="0"/>
          <c:cat>
            <c:numRef>
              <c:f>'CO2-Emissionen'!$R$211:$X$211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'CO2-Emissionen'!$R$214:$X$214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B2-40DA-917B-FAF52EC562B8}"/>
            </c:ext>
          </c:extLst>
        </c:ser>
        <c:ser>
          <c:idx val="3"/>
          <c:order val="3"/>
          <c:tx>
            <c:strRef>
              <c:f>'CO2-Emissionen'!$N$207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30A93B">
                <a:lumMod val="75000"/>
              </a:srgbClr>
            </a:solidFill>
          </c:spPr>
          <c:invertIfNegative val="0"/>
          <c:cat>
            <c:numRef>
              <c:f>'CO2-Emissionen'!$R$211:$X$211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'CO2-Emissionen'!$R$215:$X$215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B2-40DA-917B-FAF52EC562B8}"/>
            </c:ext>
          </c:extLst>
        </c:ser>
        <c:ser>
          <c:idx val="4"/>
          <c:order val="4"/>
          <c:tx>
            <c:strRef>
              <c:f>'CO2-Emissionen'!$N$208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rgbClr val="6D268E">
                <a:lumMod val="75000"/>
              </a:srgbClr>
            </a:solidFill>
          </c:spPr>
          <c:invertIfNegative val="0"/>
          <c:cat>
            <c:numRef>
              <c:f>'CO2-Emissionen'!$R$211:$X$211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'CO2-Emissionen'!$R$216:$X$216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B2-40DA-917B-FAF52EC562B8}"/>
            </c:ext>
          </c:extLst>
        </c:ser>
        <c:ser>
          <c:idx val="5"/>
          <c:order val="5"/>
          <c:tx>
            <c:strRef>
              <c:f>'CO2-Emissionen'!$N$209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DF0F44">
                <a:lumMod val="75000"/>
              </a:srgbClr>
            </a:solidFill>
          </c:spPr>
          <c:invertIfNegative val="0"/>
          <c:cat>
            <c:numRef>
              <c:f>'CO2-Emissionen'!$R$211:$X$211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'CO2-Emissionen'!$R$217:$X$217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B2-40DA-917B-FAF52EC56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1656832"/>
        <c:axId val="323851904"/>
      </c:barChart>
      <c:catAx>
        <c:axId val="36165683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 anchor="b" anchorCtr="1"/>
          <a:lstStyle/>
          <a:p>
            <a:pPr>
              <a:defRPr/>
            </a:pPr>
            <a:endParaRPr lang="en-US"/>
          </a:p>
        </c:txPr>
        <c:crossAx val="323851904"/>
        <c:crosses val="autoZero"/>
        <c:auto val="1"/>
        <c:lblAlgn val="ctr"/>
        <c:lblOffset val="100"/>
        <c:noMultiLvlLbl val="0"/>
      </c:catAx>
      <c:valAx>
        <c:axId val="32385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GHG-Emissions [Mt</a:t>
                </a:r>
                <a:r>
                  <a:rPr lang="en-US" baseline="0"/>
                  <a:t> </a:t>
                </a:r>
                <a:r>
                  <a:rPr lang="en-US"/>
                  <a:t>CO2eq]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4.0758489613277334E-2"/>
              <c:y val="0.189990483423342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61656832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990727541731575"/>
          <c:y val="0.12677307373491498"/>
          <c:w val="0.62855782100085167"/>
          <c:h val="0.700392661999044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'CO2-Emissionen'!$N$212</c:f>
              <c:strCache>
                <c:ptCount val="1"/>
                <c:pt idx="0">
                  <c:v>Energie</c:v>
                </c:pt>
              </c:strCache>
            </c:strRef>
          </c:tx>
          <c:spPr>
            <a:solidFill>
              <a:srgbClr val="FFE900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'CO2-Emissionen'!$R$211:$X$211</c15:sqref>
                  </c15:fullRef>
                </c:ext>
              </c:extLst>
              <c:f>'CO2-Emissionen'!$R$211:$W$211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'CO2-Emissionen'!$R$212:$X$212</c15:sqref>
                  </c15:fullRef>
                </c:ext>
              </c:extLst>
              <c:f>'CO2-Emissionen'!$R$212:$W$212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F-4A90-9822-E965ADBA191C}"/>
            </c:ext>
          </c:extLst>
        </c:ser>
        <c:ser>
          <c:idx val="1"/>
          <c:order val="1"/>
          <c:tx>
            <c:strRef>
              <c:f>'CO2-Emissionen'!$N$213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'CO2-Emissionen'!$R$211:$X$211</c15:sqref>
                  </c15:fullRef>
                </c:ext>
              </c:extLst>
              <c:f>'CO2-Emissionen'!$R$211:$W$211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'CO2-Emissionen'!$R$213:$X$213</c15:sqref>
                  </c15:fullRef>
                </c:ext>
              </c:extLst>
              <c:f>'CO2-Emissionen'!$R$213:$W$213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F-4A90-9822-E965ADBA191C}"/>
            </c:ext>
          </c:extLst>
        </c:ser>
        <c:ser>
          <c:idx val="2"/>
          <c:order val="2"/>
          <c:tx>
            <c:strRef>
              <c:f>'CO2-Emissionen'!$N$214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rgbClr val="023D6B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'CO2-Emissionen'!$R$211:$X$211</c15:sqref>
                  </c15:fullRef>
                </c:ext>
              </c:extLst>
              <c:f>'CO2-Emissionen'!$R$211:$W$211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'CO2-Emissionen'!$R$214:$X$214</c15:sqref>
                  </c15:fullRef>
                </c:ext>
              </c:extLst>
              <c:f>'CO2-Emissionen'!$R$214:$W$214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F-4A90-9822-E965ADBA191C}"/>
            </c:ext>
          </c:extLst>
        </c:ser>
        <c:ser>
          <c:idx val="3"/>
          <c:order val="3"/>
          <c:tx>
            <c:strRef>
              <c:f>'CO2-Emissionen'!$N$215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30A93B">
                <a:lumMod val="75000"/>
              </a:srgb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'CO2-Emissionen'!$R$211:$X$211</c15:sqref>
                  </c15:fullRef>
                </c:ext>
              </c:extLst>
              <c:f>'CO2-Emissionen'!$R$211:$W$211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'CO2-Emissionen'!$R$215:$X$215</c15:sqref>
                  </c15:fullRef>
                </c:ext>
              </c:extLst>
              <c:f>'CO2-Emissionen'!$R$215:$W$215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7F-4A90-9822-E965ADBA191C}"/>
            </c:ext>
          </c:extLst>
        </c:ser>
        <c:ser>
          <c:idx val="4"/>
          <c:order val="4"/>
          <c:tx>
            <c:strRef>
              <c:f>'CO2-Emissionen'!$N$216</c:f>
              <c:strCache>
                <c:ptCount val="1"/>
                <c:pt idx="0">
                  <c:v>Abfall</c:v>
                </c:pt>
              </c:strCache>
            </c:strRef>
          </c:tx>
          <c:spPr>
            <a:solidFill>
              <a:srgbClr val="6D268E">
                <a:lumMod val="75000"/>
              </a:srgb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'CO2-Emissionen'!$R$211:$X$211</c15:sqref>
                  </c15:fullRef>
                </c:ext>
              </c:extLst>
              <c:f>'CO2-Emissionen'!$R$211:$W$211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'CO2-Emissionen'!$R$216:$X$216</c15:sqref>
                  </c15:fullRef>
                </c:ext>
              </c:extLst>
              <c:f>'CO2-Emissionen'!$R$216:$W$216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7F-4A90-9822-E965ADBA191C}"/>
            </c:ext>
          </c:extLst>
        </c:ser>
        <c:ser>
          <c:idx val="5"/>
          <c:order val="5"/>
          <c:tx>
            <c:strRef>
              <c:f>'CO2-Emissionen'!$N$217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DF0F44">
                <a:lumMod val="75000"/>
              </a:srgb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'CO2-Emissionen'!$R$211:$X$211</c15:sqref>
                  </c15:fullRef>
                </c:ext>
              </c:extLst>
              <c:f>'CO2-Emissionen'!$R$211:$W$211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'CO2-Emissionen'!$R$217:$X$217</c15:sqref>
                  </c15:fullRef>
                </c:ext>
              </c:extLst>
              <c:f>'CO2-Emissionen'!$R$217:$W$217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7F-4A90-9822-E965ADBA1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1656832"/>
        <c:axId val="323851904"/>
      </c:barChart>
      <c:catAx>
        <c:axId val="36165683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 anchor="b" anchorCtr="1"/>
          <a:lstStyle/>
          <a:p>
            <a:pPr>
              <a:defRPr/>
            </a:pPr>
            <a:endParaRPr lang="en-US"/>
          </a:p>
        </c:txPr>
        <c:crossAx val="323851904"/>
        <c:crosses val="autoZero"/>
        <c:auto val="1"/>
        <c:lblAlgn val="ctr"/>
        <c:lblOffset val="100"/>
        <c:noMultiLvlLbl val="0"/>
      </c:catAx>
      <c:valAx>
        <c:axId val="32385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THG-Emissionen [Mt</a:t>
                </a:r>
                <a:r>
                  <a:rPr lang="en-US" baseline="0"/>
                  <a:t> </a:t>
                </a:r>
                <a:r>
                  <a:rPr lang="en-US"/>
                  <a:t>CO2äq]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4.0758489613277334E-2"/>
              <c:y val="0.189990483423342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61656832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'Spez. Auswertung'!$C$1:$I$1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'Spez. Auswertung'!$C$15:$I$15</c:f>
              <c:numCache>
                <c:formatCode>0.0%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DB-4807-9E4C-B7F595FF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733184"/>
        <c:axId val="326733760"/>
      </c:scatterChart>
      <c:valAx>
        <c:axId val="326733184"/>
        <c:scaling>
          <c:orientation val="minMax"/>
          <c:max val="2050"/>
          <c:min val="2020"/>
        </c:scaling>
        <c:delete val="0"/>
        <c:axPos val="b"/>
        <c:numFmt formatCode="General" sourceLinked="1"/>
        <c:majorTickMark val="out"/>
        <c:minorTickMark val="none"/>
        <c:tickLblPos val="nextTo"/>
        <c:crossAx val="326733760"/>
        <c:crosses val="autoZero"/>
        <c:crossBetween val="midCat"/>
        <c:majorUnit val="5"/>
      </c:valAx>
      <c:valAx>
        <c:axId val="326733760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00B050"/>
                    </a:solidFill>
                  </a:defRPr>
                </a:pPr>
                <a:r>
                  <a:rPr lang="de-DE">
                    <a:solidFill>
                      <a:srgbClr val="00B050"/>
                    </a:solidFill>
                  </a:rPr>
                  <a:t>Renewable energy share in electricity mix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rgbClr val="00B050"/>
                </a:solidFill>
              </a:defRPr>
            </a:pPr>
            <a:endParaRPr lang="en-US"/>
          </a:p>
        </c:txPr>
        <c:crossAx val="326733184"/>
        <c:crosses val="autoZero"/>
        <c:crossBetween val="midCat"/>
        <c:majorUnit val="0.25"/>
        <c:minorUnit val="0.1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'Spez. Auswertung'!$C$1:$I$1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'Spez. Auswertung'!$C$11:$I$11</c:f>
              <c:numCache>
                <c:formatCode>0.00%</c:formatCode>
                <c:ptCount val="7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0-480D-9E93-928750376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735488"/>
        <c:axId val="326736064"/>
      </c:scatterChart>
      <c:valAx>
        <c:axId val="326735488"/>
        <c:scaling>
          <c:orientation val="minMax"/>
          <c:max val="2050"/>
          <c:min val="2020"/>
        </c:scaling>
        <c:delete val="0"/>
        <c:axPos val="b"/>
        <c:numFmt formatCode="General" sourceLinked="1"/>
        <c:majorTickMark val="out"/>
        <c:minorTickMark val="none"/>
        <c:tickLblPos val="nextTo"/>
        <c:crossAx val="326736064"/>
        <c:crosses val="autoZero"/>
        <c:crossBetween val="midCat"/>
        <c:majorUnit val="5"/>
      </c:valAx>
      <c:valAx>
        <c:axId val="326736064"/>
        <c:scaling>
          <c:orientation val="minMax"/>
          <c:max val="3.0000000000000006E-2"/>
          <c:min val="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accent1"/>
                    </a:solidFill>
                  </a:defRPr>
                </a:pPr>
                <a:r>
                  <a:rPr lang="de-DE">
                    <a:solidFill>
                      <a:schemeClr val="accent1"/>
                    </a:solidFill>
                  </a:rPr>
                  <a:t>En.</a:t>
                </a:r>
                <a:r>
                  <a:rPr lang="de-DE" baseline="0">
                    <a:solidFill>
                      <a:schemeClr val="accent1"/>
                    </a:solidFill>
                  </a:rPr>
                  <a:t> </a:t>
                </a:r>
                <a:r>
                  <a:rPr lang="de-DE">
                    <a:solidFill>
                      <a:schemeClr val="accent1"/>
                    </a:solidFill>
                  </a:rPr>
                  <a:t>Renovation 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accent1"/>
                </a:solidFill>
              </a:defRPr>
            </a:pPr>
            <a:endParaRPr lang="en-US"/>
          </a:p>
        </c:txPr>
        <c:crossAx val="326735488"/>
        <c:crosses val="autoZero"/>
        <c:crossBetween val="midCat"/>
        <c:majorUnit val="1.0000000000000002E-2"/>
        <c:minorUnit val="5.000000000000001E-3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'Spez. Auswertung'!$A$19</c:f>
              <c:strCache>
                <c:ptCount val="1"/>
                <c:pt idx="0">
                  <c:v>Stromverbrauch in Haushalten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xVal>
            <c:numRef>
              <c:f>'Spez. Auswertung'!$C$1:$I$1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'Spez. Auswertung'!$C$19:$I$19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B6-4ECB-B205-7840FD811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147520"/>
        <c:axId val="327148096"/>
      </c:scatterChart>
      <c:scatterChart>
        <c:scatterStyle val="lineMarker"/>
        <c:varyColors val="0"/>
        <c:ser>
          <c:idx val="1"/>
          <c:order val="1"/>
          <c:tx>
            <c:strRef>
              <c:f>'Spez. Auswertung'!$A$9</c:f>
              <c:strCache>
                <c:ptCount val="1"/>
                <c:pt idx="0">
                  <c:v>Anteil Wärmepumpen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'Spez. Auswertung'!$C$1:$I$1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'Spez. Auswertung'!$C$9:$I$9</c:f>
              <c:numCache>
                <c:formatCode>0.00%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0.54241905871033358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B6-4ECB-B205-7840FD811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149248"/>
        <c:axId val="327148672"/>
      </c:scatterChart>
      <c:valAx>
        <c:axId val="327147520"/>
        <c:scaling>
          <c:orientation val="minMax"/>
          <c:max val="2050"/>
          <c:min val="2020"/>
        </c:scaling>
        <c:delete val="0"/>
        <c:axPos val="b"/>
        <c:numFmt formatCode="General" sourceLinked="1"/>
        <c:majorTickMark val="out"/>
        <c:minorTickMark val="none"/>
        <c:tickLblPos val="nextTo"/>
        <c:crossAx val="327148096"/>
        <c:crosses val="autoZero"/>
        <c:crossBetween val="midCat"/>
        <c:majorUnit val="5"/>
      </c:valAx>
      <c:valAx>
        <c:axId val="327148096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accent5"/>
                    </a:solidFill>
                  </a:defRPr>
                </a:pPr>
                <a:r>
                  <a:rPr lang="de-DE">
                    <a:solidFill>
                      <a:schemeClr val="accent5"/>
                    </a:solidFill>
                  </a:rPr>
                  <a:t>El.</a:t>
                </a:r>
                <a:r>
                  <a:rPr lang="de-DE" baseline="0">
                    <a:solidFill>
                      <a:schemeClr val="accent5"/>
                    </a:solidFill>
                  </a:rPr>
                  <a:t> demand of households</a:t>
                </a:r>
                <a:endParaRPr lang="de-DE">
                  <a:solidFill>
                    <a:schemeClr val="accent5"/>
                  </a:solidFill>
                </a:endParaRP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accent5"/>
                </a:solidFill>
              </a:defRPr>
            </a:pPr>
            <a:endParaRPr lang="en-US"/>
          </a:p>
        </c:txPr>
        <c:crossAx val="327147520"/>
        <c:crosses val="autoZero"/>
        <c:crossBetween val="midCat"/>
        <c:majorUnit val="0.25"/>
        <c:minorUnit val="5.000000000000001E-2"/>
      </c:valAx>
      <c:valAx>
        <c:axId val="32714867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r>
                  <a:rPr lang="de-DE">
                    <a:solidFill>
                      <a:srgbClr val="C00000"/>
                    </a:solidFill>
                  </a:rPr>
                  <a:t>Share</a:t>
                </a:r>
                <a:r>
                  <a:rPr lang="de-DE" baseline="0">
                    <a:solidFill>
                      <a:srgbClr val="C00000"/>
                    </a:solidFill>
                  </a:rPr>
                  <a:t> of heat pumps</a:t>
                </a:r>
                <a:endParaRPr lang="de-DE">
                  <a:solidFill>
                    <a:srgbClr val="C00000"/>
                  </a:solidFill>
                </a:endParaRP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rgbClr val="C00000"/>
                </a:solidFill>
              </a:defRPr>
            </a:pPr>
            <a:endParaRPr lang="en-US"/>
          </a:p>
        </c:txPr>
        <c:crossAx val="327149248"/>
        <c:crosses val="max"/>
        <c:crossBetween val="midCat"/>
      </c:valAx>
      <c:valAx>
        <c:axId val="32714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71486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'Spez. Auswertung'!$C$1:$I$1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'Spez. Auswertung'!$C$24:$I$24</c:f>
              <c:numCache>
                <c:formatCode>0%</c:formatCode>
                <c:ptCount val="7"/>
                <c:pt idx="0">
                  <c:v>1.0730050933786077</c:v>
                </c:pt>
                <c:pt idx="1">
                  <c:v>1.1460101867572157</c:v>
                </c:pt>
                <c:pt idx="2">
                  <c:v>1.2190152801358234</c:v>
                </c:pt>
                <c:pt idx="3">
                  <c:v>1.2835314091680814</c:v>
                </c:pt>
                <c:pt idx="4">
                  <c:v>1.3480475382003398</c:v>
                </c:pt>
                <c:pt idx="5">
                  <c:v>1.4074702886247878</c:v>
                </c:pt>
                <c:pt idx="6">
                  <c:v>1.4668930390492361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1B-457B-83F5-6E0BC8E7FA18}"/>
            </c:ext>
          </c:extLst>
        </c:ser>
        <c:ser>
          <c:idx val="1"/>
          <c:order val="1"/>
          <c:marker>
            <c:symbol val="none"/>
          </c:marker>
          <c:xVal>
            <c:numRef>
              <c:f>'Spez. Auswertung'!$C$1:$I$1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'Spez. Auswertung'!$C$25:$I$25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1B-457B-83F5-6E0BC8E7FA18}"/>
            </c:ext>
          </c:extLst>
        </c:ser>
        <c:ser>
          <c:idx val="2"/>
          <c:order val="2"/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'Spez. Auswertung'!$C$1:$I$1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'Spez. Auswertung'!$C$26:$I$26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1B-457B-83F5-6E0BC8E7FA18}"/>
            </c:ext>
          </c:extLst>
        </c:ser>
        <c:ser>
          <c:idx val="3"/>
          <c:order val="3"/>
          <c:marker>
            <c:symbol val="none"/>
          </c:marker>
          <c:xVal>
            <c:numRef>
              <c:f>'Spez. Auswertung'!$C$1:$I$1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'Spez. Auswertung'!$C$27:$I$27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1B-457B-83F5-6E0BC8E7FA18}"/>
            </c:ext>
          </c:extLst>
        </c:ser>
        <c:ser>
          <c:idx val="4"/>
          <c:order val="4"/>
          <c:marker>
            <c:symbol val="none"/>
          </c:marker>
          <c:xVal>
            <c:numRef>
              <c:f>'Spez. Auswertung'!$C$1:$I$1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xVal>
          <c:yVal>
            <c:numRef>
              <c:f>'Spez. Auswertung'!$C$28:$I$28</c:f>
              <c:numCache>
                <c:formatCode>0%</c:formatCode>
                <c:ptCount val="7"/>
                <c:pt idx="0">
                  <c:v>1.0618474462296661</c:v>
                </c:pt>
                <c:pt idx="1">
                  <c:v>1.0622672910313884</c:v>
                </c:pt>
                <c:pt idx="2">
                  <c:v>1.0841014090155094</c:v>
                </c:pt>
                <c:pt idx="3">
                  <c:v>1.1253278218362117</c:v>
                </c:pt>
                <c:pt idx="4">
                  <c:v>1.1467894735627155</c:v>
                </c:pt>
                <c:pt idx="5">
                  <c:v>1.1894519986254521</c:v>
                </c:pt>
                <c:pt idx="6">
                  <c:v>1.2797473999833977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51B-457B-83F5-6E0BC8E7F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151552"/>
        <c:axId val="327152128"/>
      </c:scatterChart>
      <c:valAx>
        <c:axId val="327151552"/>
        <c:scaling>
          <c:orientation val="minMax"/>
          <c:max val="2050"/>
          <c:min val="2020"/>
        </c:scaling>
        <c:delete val="0"/>
        <c:axPos val="b"/>
        <c:numFmt formatCode="General" sourceLinked="1"/>
        <c:majorTickMark val="out"/>
        <c:minorTickMark val="none"/>
        <c:tickLblPos val="nextTo"/>
        <c:crossAx val="327152128"/>
        <c:crosses val="autoZero"/>
        <c:crossBetween val="midCat"/>
        <c:majorUnit val="5"/>
      </c:valAx>
      <c:valAx>
        <c:axId val="327152128"/>
        <c:scaling>
          <c:orientation val="minMax"/>
          <c:max val="1.5"/>
          <c:min val="0.25"/>
        </c:scaling>
        <c:delete val="0"/>
        <c:axPos val="l"/>
        <c:majorGridlines/>
        <c:min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en-US"/>
          </a:p>
        </c:txPr>
        <c:crossAx val="327151552"/>
        <c:crosses val="autoZero"/>
        <c:crossBetween val="midCat"/>
        <c:majorUnit val="0.25"/>
        <c:minorUnit val="0.25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'Spez. Auswertung'!$B$1</c:f>
              <c:strCache>
                <c:ptCount val="1"/>
                <c:pt idx="0">
                  <c:v>2016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</c:spPr>
          </c:marker>
          <c:dLbls>
            <c:dLbl>
              <c:idx val="0"/>
              <c:layout>
                <c:manualLayout>
                  <c:x val="-2.9131652661064426E-2"/>
                  <c:y val="-5.8823786732540788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7BB-4FF8-9CE7-91C2A3A39C0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'Spez. Auswertung'!$B$7</c:f>
              <c:numCache>
                <c:formatCode>General</c:formatCode>
                <c:ptCount val="1"/>
                <c:pt idx="0">
                  <c:v>651</c:v>
                </c:pt>
              </c:numCache>
            </c:numRef>
          </c:xVal>
          <c:yVal>
            <c:numRef>
              <c:f>'Spez. Auswertung'!$B$29</c:f>
              <c:numCache>
                <c:formatCode>General</c:formatCode>
                <c:ptCount val="1"/>
                <c:pt idx="0">
                  <c:v>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BB-4FF8-9CE7-91C2A3A39C05}"/>
            </c:ext>
          </c:extLst>
        </c:ser>
        <c:ser>
          <c:idx val="1"/>
          <c:order val="1"/>
          <c:tx>
            <c:strRef>
              <c:f>'Spez. Auswertung'!$C$1</c:f>
              <c:strCache>
                <c:ptCount val="1"/>
                <c:pt idx="0">
                  <c:v>2020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noFill/>
              </a:ln>
            </c:spPr>
          </c:marker>
          <c:dLbls>
            <c:dLbl>
              <c:idx val="0"/>
              <c:layout>
                <c:manualLayout>
                  <c:x val="-8.9635854341736695E-2"/>
                  <c:y val="-4.2483660130718956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BB-4FF8-9CE7-91C2A3A39C0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'Spez. Auswertung'!$C$7</c:f>
              <c:numCache>
                <c:formatCode>0</c:formatCode>
                <c:ptCount val="1"/>
                <c:pt idx="0">
                  <c:v>#N/A</c:v>
                </c:pt>
              </c:numCache>
            </c:numRef>
          </c:xVal>
          <c:yVal>
            <c:numRef>
              <c:f>'Spez. Auswertung'!$C$29</c:f>
              <c:numCache>
                <c:formatCode>0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BB-4FF8-9CE7-91C2A3A39C05}"/>
            </c:ext>
          </c:extLst>
        </c:ser>
        <c:ser>
          <c:idx val="2"/>
          <c:order val="2"/>
          <c:tx>
            <c:strRef>
              <c:f>'Spez. Auswertung'!$D$1</c:f>
              <c:strCache>
                <c:ptCount val="1"/>
                <c:pt idx="0">
                  <c:v>2025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5"/>
              </a:solidFill>
              <a:ln>
                <a:noFill/>
              </a:ln>
            </c:spPr>
          </c:marker>
          <c:dLbls>
            <c:dLbl>
              <c:idx val="0"/>
              <c:layout>
                <c:manualLayout>
                  <c:x val="-0.11204481792717087"/>
                  <c:y val="0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BB-4FF8-9CE7-91C2A3A39C0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'Spez. Auswertung'!$D$7</c:f>
              <c:numCache>
                <c:formatCode>0</c:formatCode>
                <c:ptCount val="1"/>
                <c:pt idx="0">
                  <c:v>#N/A</c:v>
                </c:pt>
              </c:numCache>
            </c:numRef>
          </c:xVal>
          <c:yVal>
            <c:numRef>
              <c:f>'Spez. Auswertung'!$D$29</c:f>
              <c:numCache>
                <c:formatCode>0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BB-4FF8-9CE7-91C2A3A39C05}"/>
            </c:ext>
          </c:extLst>
        </c:ser>
        <c:ser>
          <c:idx val="3"/>
          <c:order val="3"/>
          <c:tx>
            <c:strRef>
              <c:f>'Spez. Auswertung'!$E$1</c:f>
              <c:strCache>
                <c:ptCount val="1"/>
                <c:pt idx="0">
                  <c:v>2030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C000"/>
              </a:solidFill>
              <a:ln>
                <a:noFill/>
              </a:ln>
            </c:spPr>
          </c:marker>
          <c:dLbls>
            <c:dLbl>
              <c:idx val="0"/>
              <c:layout>
                <c:manualLayout>
                  <c:x val="-5.1540616246498555E-2"/>
                  <c:y val="5.555555555555555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7BB-4FF8-9CE7-91C2A3A39C0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'Spez. Auswertung'!$E$7</c:f>
              <c:numCache>
                <c:formatCode>0</c:formatCode>
                <c:ptCount val="1"/>
                <c:pt idx="0">
                  <c:v>#N/A</c:v>
                </c:pt>
              </c:numCache>
            </c:numRef>
          </c:xVal>
          <c:yVal>
            <c:numRef>
              <c:f>'Spez. Auswertung'!$E$29</c:f>
              <c:numCache>
                <c:formatCode>0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B-4FF8-9CE7-91C2A3A39C05}"/>
            </c:ext>
          </c:extLst>
        </c:ser>
        <c:ser>
          <c:idx val="4"/>
          <c:order val="4"/>
          <c:tx>
            <c:strRef>
              <c:f>'Spez. Auswertung'!$F$1</c:f>
              <c:strCache>
                <c:ptCount val="1"/>
                <c:pt idx="0">
                  <c:v>2035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</c:spPr>
          </c:marker>
          <c:dLbls>
            <c:dLbl>
              <c:idx val="0"/>
              <c:layout>
                <c:manualLayout>
                  <c:x val="0"/>
                  <c:y val="2.9411764705882353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7BB-4FF8-9CE7-91C2A3A39C0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'Spez. Auswertung'!$F$7</c:f>
              <c:numCache>
                <c:formatCode>0</c:formatCode>
                <c:ptCount val="1"/>
                <c:pt idx="0">
                  <c:v>#N/A</c:v>
                </c:pt>
              </c:numCache>
            </c:numRef>
          </c:xVal>
          <c:yVal>
            <c:numRef>
              <c:f>'Spez. Auswertung'!$F$29</c:f>
              <c:numCache>
                <c:formatCode>0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BB-4FF8-9CE7-91C2A3A39C05}"/>
            </c:ext>
          </c:extLst>
        </c:ser>
        <c:ser>
          <c:idx val="5"/>
          <c:order val="5"/>
          <c:tx>
            <c:strRef>
              <c:f>'Spez. Auswertung'!$G$1</c:f>
              <c:strCache>
                <c:ptCount val="1"/>
                <c:pt idx="0">
                  <c:v>2040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'Spez. Auswertung'!$G$7</c:f>
              <c:numCache>
                <c:formatCode>0</c:formatCode>
                <c:ptCount val="1"/>
                <c:pt idx="0">
                  <c:v>#N/A</c:v>
                </c:pt>
              </c:numCache>
            </c:numRef>
          </c:xVal>
          <c:yVal>
            <c:numRef>
              <c:f>'Spez. Auswertung'!$G$29</c:f>
              <c:numCache>
                <c:formatCode>0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BB-4FF8-9CE7-91C2A3A39C05}"/>
            </c:ext>
          </c:extLst>
        </c:ser>
        <c:ser>
          <c:idx val="6"/>
          <c:order val="6"/>
          <c:tx>
            <c:strRef>
              <c:f>'Spez. Auswertung'!$H$1</c:f>
              <c:strCache>
                <c:ptCount val="1"/>
                <c:pt idx="0">
                  <c:v>2045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3"/>
              </a:solidFill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'Spez. Auswertung'!$H$7</c:f>
              <c:numCache>
                <c:formatCode>0</c:formatCode>
                <c:ptCount val="1"/>
                <c:pt idx="0">
                  <c:v>#N/A</c:v>
                </c:pt>
              </c:numCache>
            </c:numRef>
          </c:xVal>
          <c:yVal>
            <c:numRef>
              <c:f>'Spez. Auswertung'!$H$29</c:f>
              <c:numCache>
                <c:formatCode>0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7BB-4FF8-9CE7-91C2A3A39C05}"/>
            </c:ext>
          </c:extLst>
        </c:ser>
        <c:ser>
          <c:idx val="7"/>
          <c:order val="7"/>
          <c:tx>
            <c:strRef>
              <c:f>'Spez. Auswertung'!$I$1</c:f>
              <c:strCache>
                <c:ptCount val="1"/>
                <c:pt idx="0">
                  <c:v>2050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'Spez. Auswertung'!$I$7</c:f>
              <c:numCache>
                <c:formatCode>0</c:formatCode>
                <c:ptCount val="1"/>
                <c:pt idx="0">
                  <c:v>#N/A</c:v>
                </c:pt>
              </c:numCache>
            </c:numRef>
          </c:xVal>
          <c:yVal>
            <c:numRef>
              <c:f>'Spez. Auswertung'!$I$29</c:f>
              <c:numCache>
                <c:formatCode>0</c:formatCode>
                <c:ptCount val="1"/>
                <c:pt idx="0">
                  <c:v>733.79122076164765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7BB-4FF8-9CE7-91C2A3A39C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27154432"/>
        <c:axId val="327155008"/>
      </c:scatterChart>
      <c:valAx>
        <c:axId val="327154432"/>
        <c:scaling>
          <c:orientation val="minMax"/>
          <c:max val="1000"/>
          <c:min val="5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Energy Supply in TWh/a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155008"/>
        <c:crosses val="autoZero"/>
        <c:crossBetween val="midCat"/>
      </c:valAx>
      <c:valAx>
        <c:axId val="32715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r>
                  <a:rPr lang="de-DE">
                    <a:solidFill>
                      <a:sysClr val="windowText" lastClr="000000"/>
                    </a:solidFill>
                  </a:rPr>
                  <a:t>Inst. Capacity in GW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en-US"/>
          </a:p>
        </c:txPr>
        <c:crossAx val="3271544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318003472222222"/>
          <c:y val="6.1460416666666663E-2"/>
          <c:w val="0.41400364583333332"/>
          <c:h val="0.623545486111111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'Speicher allgemein'!$C$4</c:f>
              <c:strCache>
                <c:ptCount val="1"/>
                <c:pt idx="0">
                  <c:v>Batteries (incl. BEV)</c:v>
                </c:pt>
              </c:strCache>
            </c:strRef>
          </c:tx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allgemein'!$F$4:$L$4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5-45FD-B10D-7F6CBB42610B}"/>
            </c:ext>
          </c:extLst>
        </c:ser>
        <c:ser>
          <c:idx val="2"/>
          <c:order val="1"/>
          <c:tx>
            <c:strRef>
              <c:f>'Speicher allgemein'!$C$6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allgemein'!$F$6:$L$6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58225.728329905673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5-45FD-B10D-7F6CBB42610B}"/>
            </c:ext>
          </c:extLst>
        </c:ser>
        <c:ser>
          <c:idx val="3"/>
          <c:order val="2"/>
          <c:tx>
            <c:strRef>
              <c:f>'Speicher allgemein'!$C$7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allgemein'!$F$7:$L$7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5451.5764148130647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F5-45FD-B10D-7F6CBB42610B}"/>
            </c:ext>
          </c:extLst>
        </c:ser>
        <c:ser>
          <c:idx val="5"/>
          <c:order val="3"/>
          <c:tx>
            <c:strRef>
              <c:f>'Speicher allgemein'!$C$8</c:f>
              <c:strCache>
                <c:ptCount val="1"/>
                <c:pt idx="0">
                  <c:v>Gaseous biomass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allgemein'!$F$8:$L$8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1-40BF-A9EE-076307286684}"/>
            </c:ext>
          </c:extLst>
        </c:ser>
        <c:ser>
          <c:idx val="4"/>
          <c:order val="4"/>
          <c:tx>
            <c:strRef>
              <c:f>'Speicher allgemein'!$C$9</c:f>
              <c:strCache>
                <c:ptCount val="1"/>
                <c:pt idx="0">
                  <c:v>Pumped storage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allgemein'!$F$9:$L$9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A-4ECA-A674-9F46A9E903D3}"/>
            </c:ext>
          </c:extLst>
        </c:ser>
        <c:ser>
          <c:idx val="6"/>
          <c:order val="5"/>
          <c:tx>
            <c:strRef>
              <c:f>'Speicher allgemein'!$C$10</c:f>
              <c:strCache>
                <c:ptCount val="1"/>
                <c:pt idx="0">
                  <c:v>CAES</c:v>
                </c:pt>
              </c:strCache>
            </c:strRef>
          </c:tx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allgemein'!$F$10:$L$10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A-4ECA-A674-9F46A9E903D3}"/>
            </c:ext>
          </c:extLst>
        </c:ser>
        <c:ser>
          <c:idx val="1"/>
          <c:order val="6"/>
          <c:tx>
            <c:strRef>
              <c:f>'Speicher allgemein'!$C$11</c:f>
              <c:strCache>
                <c:ptCount val="1"/>
                <c:pt idx="0">
                  <c:v>Ad-CAES</c:v>
                </c:pt>
              </c:strCache>
            </c:strRef>
          </c:tx>
          <c:invertIfNegative val="0"/>
          <c:val>
            <c:numRef>
              <c:f>'Speicher allgemein'!$F$11:$L$11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45-42B4-9F60-D3E486AE6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7729152"/>
        <c:axId val="328108288"/>
      </c:barChart>
      <c:catAx>
        <c:axId val="32772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8108288"/>
        <c:crosses val="autoZero"/>
        <c:auto val="1"/>
        <c:lblAlgn val="ctr"/>
        <c:lblOffset val="100"/>
        <c:noMultiLvlLbl val="0"/>
      </c:catAx>
      <c:valAx>
        <c:axId val="328108288"/>
        <c:scaling>
          <c:logBase val="10"/>
          <c:orientation val="minMax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</a:t>
                </a:r>
                <a:r>
                  <a:rPr lang="de-DE" baseline="0"/>
                  <a:t> storage capacities in GWh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772915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565034722222216"/>
          <c:y val="4.3398263888888892E-2"/>
          <c:w val="0.31552792872984892"/>
          <c:h val="0.9091656590323647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318003472222222"/>
          <c:y val="6.1460416666666663E-2"/>
          <c:w val="0.38534045138888878"/>
          <c:h val="0.623545486111111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'Speicher allgemein'!$D$4</c:f>
              <c:strCache>
                <c:ptCount val="1"/>
                <c:pt idx="0">
                  <c:v>Batterien (inkl. BEV)</c:v>
                </c:pt>
              </c:strCache>
            </c:strRef>
          </c:tx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allgemein'!$F$4:$L$4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5-45FD-B10D-7F6CBB42610B}"/>
            </c:ext>
          </c:extLst>
        </c:ser>
        <c:ser>
          <c:idx val="2"/>
          <c:order val="1"/>
          <c:tx>
            <c:strRef>
              <c:f>'Speicher allgemein'!$D$6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allgemein'!$F$6:$L$6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58225.728329905673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1-4471-B172-35AFEE68D2A7}"/>
            </c:ext>
          </c:extLst>
        </c:ser>
        <c:ser>
          <c:idx val="3"/>
          <c:order val="2"/>
          <c:tx>
            <c:strRef>
              <c:f>'Speicher allgemein'!$D$7</c:f>
              <c:strCache>
                <c:ptCount val="1"/>
                <c:pt idx="0">
                  <c:v>Wärme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allgemein'!$F$7:$L$7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5451.5764148130647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1-4471-B172-35AFEE68D2A7}"/>
            </c:ext>
          </c:extLst>
        </c:ser>
        <c:ser>
          <c:idx val="4"/>
          <c:order val="3"/>
          <c:tx>
            <c:strRef>
              <c:f>'Speicher allgemein'!$D$8</c:f>
              <c:strCache>
                <c:ptCount val="1"/>
                <c:pt idx="0">
                  <c:v>gasf. Biomasse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allgemein'!$F$8:$L$8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1-4471-B172-35AFEE68D2A7}"/>
            </c:ext>
          </c:extLst>
        </c:ser>
        <c:ser>
          <c:idx val="5"/>
          <c:order val="4"/>
          <c:tx>
            <c:strRef>
              <c:f>'Speicher allgemein'!$D$9</c:f>
              <c:strCache>
                <c:ptCount val="1"/>
                <c:pt idx="0">
                  <c:v>Pumpspeicher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allgemein'!$F$9:$L$9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1-4471-B172-35AFEE68D2A7}"/>
            </c:ext>
          </c:extLst>
        </c:ser>
        <c:ser>
          <c:idx val="6"/>
          <c:order val="5"/>
          <c:tx>
            <c:strRef>
              <c:f>'Speicher allgemein'!$D$10</c:f>
              <c:strCache>
                <c:ptCount val="1"/>
                <c:pt idx="0">
                  <c:v>Druckluftspeicher</c:v>
                </c:pt>
              </c:strCache>
            </c:strRef>
          </c:tx>
          <c:invertIfNegative val="0"/>
          <c:cat>
            <c:numRef>
              <c:f>'Speicher allgemein'!$F$3:$L$3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'Speicher allgemein'!$F$10:$L$10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1-4471-B172-35AFEE68D2A7}"/>
            </c:ext>
          </c:extLst>
        </c:ser>
        <c:ser>
          <c:idx val="1"/>
          <c:order val="6"/>
          <c:tx>
            <c:strRef>
              <c:f>'Speicher allgemein'!$D$11</c:f>
              <c:strCache>
                <c:ptCount val="1"/>
                <c:pt idx="0">
                  <c:v>Adiabate Druckluftspeicher</c:v>
                </c:pt>
              </c:strCache>
            </c:strRef>
          </c:tx>
          <c:invertIfNegative val="0"/>
          <c:val>
            <c:numRef>
              <c:f>'Speicher allgemein'!$F$11:$L$11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5-4CAB-A031-57EA9A113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7730688"/>
        <c:axId val="328110592"/>
      </c:barChart>
      <c:catAx>
        <c:axId val="32773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ysClr val="windowText" lastClr="000000"/>
            </a:solidFill>
          </a:ln>
        </c:spPr>
        <c:crossAx val="328110592"/>
        <c:crosses val="autoZero"/>
        <c:auto val="1"/>
        <c:lblAlgn val="ctr"/>
        <c:lblOffset val="100"/>
        <c:noMultiLvlLbl val="0"/>
      </c:catAx>
      <c:valAx>
        <c:axId val="328110592"/>
        <c:scaling>
          <c:logBase val="10"/>
          <c:orientation val="minMax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Installierte Speicherkapazitäten in </a:t>
                </a:r>
                <a:r>
                  <a:rPr lang="de-DE" baseline="0"/>
                  <a:t>GWh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ysClr val="windowText" lastClr="000000"/>
            </a:solidFill>
          </a:ln>
        </c:spPr>
        <c:crossAx val="327730688"/>
        <c:crosses val="autoZero"/>
        <c:crossBetween val="between"/>
      </c:valAx>
      <c:spPr>
        <a:ln w="127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23757986111111"/>
          <c:y val="4.3398263888888892E-2"/>
          <c:w val="0.3195789846728771"/>
          <c:h val="0.9015685256055313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99718932771198"/>
          <c:y val="0.13797912138810703"/>
          <c:w val="0.5837270341207349"/>
          <c:h val="0.66586596358713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Inst. Kapazitäten'!$B$5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Kapazitäten'!$D$5:$J$5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F-47DA-AFF9-E04A38D97F99}"/>
            </c:ext>
          </c:extLst>
        </c:ser>
        <c:ser>
          <c:idx val="1"/>
          <c:order val="1"/>
          <c:tx>
            <c:strRef>
              <c:f>'Strom - Inst. Kapazitäten'!$B$6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Kapazitäten'!$D$6:$J$6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F-47DA-AFF9-E04A38D97F99}"/>
            </c:ext>
          </c:extLst>
        </c:ser>
        <c:ser>
          <c:idx val="2"/>
          <c:order val="2"/>
          <c:tx>
            <c:strRef>
              <c:f>'Strom - Inst. Kapazitäten'!$B$7</c:f>
              <c:strCache>
                <c:ptCount val="1"/>
                <c:pt idx="0">
                  <c:v>Nuclear energy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Kapazitäten'!$D$7:$J$7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F-47DA-AFF9-E04A38D97F99}"/>
            </c:ext>
          </c:extLst>
        </c:ser>
        <c:ser>
          <c:idx val="3"/>
          <c:order val="3"/>
          <c:tx>
            <c:strRef>
              <c:f>'Strom - Inst. Kapazitäten'!$B$8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Kapazitäten'!$D$8:$J$8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1.7451811154900996E-4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4F-47DA-AFF9-E04A38D97F99}"/>
            </c:ext>
          </c:extLst>
        </c:ser>
        <c:ser>
          <c:idx val="13"/>
          <c:order val="4"/>
          <c:tx>
            <c:strRef>
              <c:f>'Strom - Inst. Kapazitäten'!$B$9</c:f>
              <c:strCache>
                <c:ptCount val="1"/>
                <c:pt idx="0">
                  <c:v>Biomethane share</c:v>
                </c:pt>
              </c:strCache>
            </c:strRef>
          </c:tx>
          <c:spPr>
            <a:pattFill prst="wdUpDiag">
              <a:fgClr>
                <a:schemeClr val="accent5"/>
              </a:fgClr>
              <a:bgClr>
                <a:schemeClr val="bg1"/>
              </a:bgClr>
            </a:pattFill>
          </c:spPr>
          <c:invertIfNegative val="0"/>
          <c:val>
            <c:numRef>
              <c:f>'Strom - Inst. Kapazitäten'!$D$9:$J$9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54.648759710330779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2-499C-8F98-9029C28C5E83}"/>
            </c:ext>
          </c:extLst>
        </c:ser>
        <c:ser>
          <c:idx val="4"/>
          <c:order val="5"/>
          <c:tx>
            <c:strRef>
              <c:f>'Strom - Inst. Kapazitäten'!$B$10</c:f>
              <c:strCache>
                <c:ptCount val="1"/>
                <c:pt idx="0">
                  <c:v>Mineral oil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Kapazitäten'!$D$10:$J$10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2.3908005195254239E-4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4F-47DA-AFF9-E04A38D97F99}"/>
            </c:ext>
          </c:extLst>
        </c:ser>
        <c:ser>
          <c:idx val="5"/>
          <c:order val="6"/>
          <c:tx>
            <c:strRef>
              <c:f>'Strom - Inst. Kapazitäten'!$B$11</c:f>
              <c:strCache>
                <c:ptCount val="1"/>
                <c:pt idx="0">
                  <c:v>PV (rooftop)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Kapazitäten'!$D$11:$J$11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175.60571889805138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4F-47DA-AFF9-E04A38D97F99}"/>
            </c:ext>
          </c:extLst>
        </c:ser>
        <c:ser>
          <c:idx val="12"/>
          <c:order val="7"/>
          <c:tx>
            <c:strRef>
              <c:f>'Strom - Inst. Kapazitäten'!$B$12</c:f>
              <c:strCache>
                <c:ptCount val="1"/>
                <c:pt idx="0">
                  <c:v>PV (open field)</c:v>
                </c:pt>
              </c:strCache>
            </c:strRef>
          </c:tx>
          <c:spPr>
            <a:solidFill>
              <a:srgbClr val="FFFF00"/>
            </a:solidFill>
            <a:ln w="25400">
              <a:noFill/>
            </a:ln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Kapazitäten'!$D$12:$J$12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245.89998925834772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B-4604-A80D-9AC726FDDE5D}"/>
            </c:ext>
          </c:extLst>
        </c:ser>
        <c:ser>
          <c:idx val="6"/>
          <c:order val="8"/>
          <c:tx>
            <c:strRef>
              <c:f>'Strom - Inst. Kapazitäten'!$B$13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Kapazitäten'!$D$13:$J$13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127.63553445401585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4F-47DA-AFF9-E04A38D97F99}"/>
            </c:ext>
          </c:extLst>
        </c:ser>
        <c:ser>
          <c:idx val="7"/>
          <c:order val="9"/>
          <c:tx>
            <c:strRef>
              <c:f>'Strom - Inst. Kapazitäten'!$B$14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Kapazitäten'!$D$14:$J$14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54.010862087939188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4F-47DA-AFF9-E04A38D97F99}"/>
            </c:ext>
          </c:extLst>
        </c:ser>
        <c:ser>
          <c:idx val="8"/>
          <c:order val="10"/>
          <c:tx>
            <c:strRef>
              <c:f>'Strom - Inst. Kapazitäten'!$B$15</c:f>
              <c:strCache>
                <c:ptCount val="1"/>
                <c:pt idx="0">
                  <c:v>Hydro power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Kapazitäten'!$D$15:$J$15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3.270219724950048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4F-47DA-AFF9-E04A38D97F99}"/>
            </c:ext>
          </c:extLst>
        </c:ser>
        <c:ser>
          <c:idx val="9"/>
          <c:order val="11"/>
          <c:tx>
            <c:strRef>
              <c:f>'Strom - Inst. Kapazitäten'!$B$16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Kapazitäten'!$D$16:$J$16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17.257626629640839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4F-47DA-AFF9-E04A38D97F99}"/>
            </c:ext>
          </c:extLst>
        </c:ser>
        <c:ser>
          <c:idx val="10"/>
          <c:order val="12"/>
          <c:tx>
            <c:strRef>
              <c:f>'Strom - Inst. Kapazitäten'!$B$17</c:f>
              <c:strCache>
                <c:ptCount val="1"/>
                <c:pt idx="0">
                  <c:v>Hydrogen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2">
                  <a:lumMod val="75000"/>
                </a:schemeClr>
              </a:bgClr>
            </a:pattFill>
            <a:ln w="25400">
              <a:noFill/>
            </a:ln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Kapazitäten'!$D$17:$J$17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53.680587325688577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B-4604-A80D-9AC726FDDE5D}"/>
            </c:ext>
          </c:extLst>
        </c:ser>
        <c:ser>
          <c:idx val="11"/>
          <c:order val="13"/>
          <c:tx>
            <c:strRef>
              <c:f>'Strom - Inst. Kapazitäten'!$B$18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strRef>
              <c:f>'Strom - Inst. Kapazitäten'!$D$4:$J$4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Inst. Kapazitäten'!$D$18:$J$18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1.7815090745196605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5-4F8D-BF79-273C858E6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732224"/>
        <c:axId val="328112896"/>
      </c:barChart>
      <c:catAx>
        <c:axId val="32773222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8112896"/>
        <c:crosses val="autoZero"/>
        <c:auto val="1"/>
        <c:lblAlgn val="ctr"/>
        <c:lblOffset val="100"/>
        <c:noMultiLvlLbl val="0"/>
      </c:catAx>
      <c:valAx>
        <c:axId val="3281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Installed capacities in GW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773222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3411734212805535"/>
          <c:y val="1.3793897934703866E-2"/>
          <c:w val="0.24657821106816341"/>
          <c:h val="0.8964119484061667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Installed capacities in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603755459873668"/>
          <c:y val="0.1884727201849882"/>
          <c:w val="0.4370669894909654"/>
          <c:h val="0.7424285245594300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93-4752-B9B0-E3107A67E856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93-4752-B9B0-E3107A67E856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A93-4752-B9B0-E3107A67E856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A93-4752-B9B0-E3107A67E856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A93-4752-B9B0-E3107A67E856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A93-4752-B9B0-E3107A67E856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A93-4752-B9B0-E3107A67E856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A93-4752-B9B0-E3107A67E856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A93-4752-B9B0-E3107A67E856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A93-4752-B9B0-E3107A67E856}"/>
              </c:ext>
            </c:extLst>
          </c:dPt>
          <c:dPt>
            <c:idx val="10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5-E375-44E9-A477-5479F5B89A13}"/>
              </c:ext>
            </c:extLst>
          </c:dPt>
          <c:dPt>
            <c:idx val="11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17-E375-44E9-A477-5479F5B89A13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('Strom - Inst. Kapazitäten'!$B$27:$B$37,'Strom - Inst. Kapazitäten'!$B$39)</c:f>
              <c:strCache>
                <c:ptCount val="12"/>
                <c:pt idx="0">
                  <c:v>Coal</c:v>
                </c:pt>
                <c:pt idx="1">
                  <c:v>Lignite</c:v>
                </c:pt>
                <c:pt idx="2">
                  <c:v>Nuclear</c:v>
                </c:pt>
                <c:pt idx="3">
                  <c:v>Natural Gas</c:v>
                </c:pt>
                <c:pt idx="4">
                  <c:v>Oil</c:v>
                </c:pt>
                <c:pt idx="5">
                  <c:v>RTPV</c:v>
                </c:pt>
                <c:pt idx="6">
                  <c:v>OFPV</c:v>
                </c:pt>
                <c:pt idx="7">
                  <c:v>Onshore</c:v>
                </c:pt>
                <c:pt idx="8">
                  <c:v>Offshore</c:v>
                </c:pt>
                <c:pt idx="9">
                  <c:v>Hydro Energy</c:v>
                </c:pt>
                <c:pt idx="10">
                  <c:v>Biomass</c:v>
                </c:pt>
                <c:pt idx="11">
                  <c:v>Waste</c:v>
                </c:pt>
              </c:strCache>
            </c:strRef>
          </c:cat>
          <c:val>
            <c:numRef>
              <c:f>('Strom - Inst. Kapazitäten'!$C$27:$C$37,'Strom - Inst. Kapazitäten'!$C$39)</c:f>
              <c:numCache>
                <c:formatCode>0%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A93-4752-B9B0-E3107A67E8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405244263366875"/>
          <c:y val="8.9601918496653513E-3"/>
          <c:w val="0.27480590523241111"/>
          <c:h val="0.9904973760608197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Installed capacities in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845730683138985"/>
          <c:y val="0.2113320209973753"/>
          <c:w val="0.4370669894909654"/>
          <c:h val="0.74242852455943009"/>
        </c:manualLayout>
      </c:layout>
      <c:pieChart>
        <c:varyColors val="1"/>
        <c:ser>
          <c:idx val="0"/>
          <c:order val="0"/>
          <c:tx>
            <c:strRef>
              <c:f>'Strom - Inst. Kapazitäten'!$J$4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72-4D4F-918E-A4CA415605F0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72-4D4F-918E-A4CA415605F0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E72-4D4F-918E-A4CA415605F0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E72-4D4F-918E-A4CA415605F0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E72-4D4F-918E-A4CA415605F0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E72-4D4F-918E-A4CA415605F0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E72-4D4F-918E-A4CA415605F0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E72-4D4F-918E-A4CA415605F0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E72-4D4F-918E-A4CA415605F0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E72-4D4F-918E-A4CA415605F0}"/>
              </c:ext>
            </c:extLst>
          </c:dPt>
          <c:dPt>
            <c:idx val="10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5-F49B-4F13-B73B-0F6872CC8EAB}"/>
              </c:ext>
            </c:extLst>
          </c:dPt>
          <c:dPt>
            <c:idx val="11"/>
            <c:bubble3D val="0"/>
            <c:spPr>
              <a:pattFill prst="ltDnDiag">
                <a:fgClr>
                  <a:schemeClr val="bg1"/>
                </a:fgClr>
                <a:bgClr>
                  <a:schemeClr val="accent2">
                    <a:lumMod val="75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7-F49B-4F13-B73B-0F6872CC8EAB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19-F49B-4F13-B73B-0F6872CC8EAB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'Strom - Inst. Kapazitäten'!$B$5:$B$18</c:f>
              <c:strCache>
                <c:ptCount val="14"/>
                <c:pt idx="0">
                  <c:v>Hard coal</c:v>
                </c:pt>
                <c:pt idx="1">
                  <c:v>Lignite</c:v>
                </c:pt>
                <c:pt idx="2">
                  <c:v>Nuclear energy</c:v>
                </c:pt>
                <c:pt idx="3">
                  <c:v>Natural gas</c:v>
                </c:pt>
                <c:pt idx="4">
                  <c:v>Biomethane share</c:v>
                </c:pt>
                <c:pt idx="5">
                  <c:v>Mineral oil</c:v>
                </c:pt>
                <c:pt idx="6">
                  <c:v>PV (rooftop)</c:v>
                </c:pt>
                <c:pt idx="7">
                  <c:v>PV (open field)</c:v>
                </c:pt>
                <c:pt idx="8">
                  <c:v>Wind (onshore)</c:v>
                </c:pt>
                <c:pt idx="9">
                  <c:v>Wind (offshore)</c:v>
                </c:pt>
                <c:pt idx="10">
                  <c:v>Hydro power</c:v>
                </c:pt>
                <c:pt idx="11">
                  <c:v>Biomass</c:v>
                </c:pt>
                <c:pt idx="12">
                  <c:v>Hydrogen</c:v>
                </c:pt>
                <c:pt idx="13">
                  <c:v>Waste</c:v>
                </c:pt>
              </c:strCache>
            </c:strRef>
          </c:cat>
          <c:val>
            <c:numRef>
              <c:f>'Strom - Inst. Kapazitäten'!$J$5:$J$18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1.7451811154900996E-4</c:v>
                </c:pt>
                <c:pt idx="4">
                  <c:v>54.648759710330779</c:v>
                </c:pt>
                <c:pt idx="5">
                  <c:v>2.3908005195254239E-4</c:v>
                </c:pt>
                <c:pt idx="6">
                  <c:v>175.60571889805138</c:v>
                </c:pt>
                <c:pt idx="7">
                  <c:v>245.89998925834772</c:v>
                </c:pt>
                <c:pt idx="8">
                  <c:v>127.63553445401585</c:v>
                </c:pt>
                <c:pt idx="9">
                  <c:v>54.010862087939188</c:v>
                </c:pt>
                <c:pt idx="10">
                  <c:v>3.270219724950048</c:v>
                </c:pt>
                <c:pt idx="11">
                  <c:v>17.257626629640839</c:v>
                </c:pt>
                <c:pt idx="12">
                  <c:v>53.680587325688577</c:v>
                </c:pt>
                <c:pt idx="13">
                  <c:v>1.7815090745196605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72-4D4F-918E-A4CA415605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44162088148968"/>
          <c:y val="1.2475448560178338E-2"/>
          <c:w val="0.21930585877816522"/>
          <c:h val="0.98505118659841806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9295401796433"/>
          <c:y val="0.13797912701670584"/>
          <c:w val="0.5889763341730031"/>
          <c:h val="0.66586596358713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Inst. Kapazitäten'!$A$5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Kapazitäten'!$D$5:$K$5</c15:sqref>
                  </c15:fullRef>
                </c:ext>
              </c:extLst>
              <c:f>'Strom - Inst. Kapazitäten'!$D$5:$I$5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C-40E2-8E44-88A2B6C2E267}"/>
            </c:ext>
          </c:extLst>
        </c:ser>
        <c:ser>
          <c:idx val="1"/>
          <c:order val="1"/>
          <c:tx>
            <c:strRef>
              <c:f>'Strom - Inst. Kapazitäten'!$A$6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Kapazitäten'!$D$6:$K$6</c15:sqref>
                  </c15:fullRef>
                </c:ext>
              </c:extLst>
              <c:f>'Strom - Inst. Kapazitäten'!$D$6:$I$6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BC-40E2-8E44-88A2B6C2E267}"/>
            </c:ext>
          </c:extLst>
        </c:ser>
        <c:ser>
          <c:idx val="2"/>
          <c:order val="2"/>
          <c:tx>
            <c:strRef>
              <c:f>'Strom - Inst. Kapazitäten'!$A$7</c:f>
              <c:strCache>
                <c:ptCount val="1"/>
                <c:pt idx="0">
                  <c:v>Kernenergie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Kapazitäten'!$D$7:$K$7</c15:sqref>
                  </c15:fullRef>
                </c:ext>
              </c:extLst>
              <c:f>'Strom - Inst. Kapazitäten'!$D$7:$I$7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BC-40E2-8E44-88A2B6C2E267}"/>
            </c:ext>
          </c:extLst>
        </c:ser>
        <c:ser>
          <c:idx val="3"/>
          <c:order val="3"/>
          <c:tx>
            <c:strRef>
              <c:f>'Strom - Inst. Kapazitäten'!$A$8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Kapazitäten'!$D$8:$K$8</c15:sqref>
                  </c15:fullRef>
                </c:ext>
              </c:extLst>
              <c:f>'Strom - Inst. Kapazitäten'!$D$8:$I$8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BC-40E2-8E44-88A2B6C2E267}"/>
            </c:ext>
          </c:extLst>
        </c:ser>
        <c:ser>
          <c:idx val="13"/>
          <c:order val="4"/>
          <c:tx>
            <c:strRef>
              <c:f>'Strom - Inst. Kapazitäten'!$A$9</c:f>
              <c:strCache>
                <c:ptCount val="1"/>
                <c:pt idx="0">
                  <c:v>Biomethan Anteil</c:v>
                </c:pt>
              </c:strCache>
            </c:strRef>
          </c:tx>
          <c:spPr>
            <a:pattFill prst="ltUpDiag">
              <a:fgClr>
                <a:schemeClr val="accent5"/>
              </a:fgClr>
              <a:bgClr>
                <a:schemeClr val="bg1"/>
              </a:bgClr>
            </a:pattFill>
          </c:spPr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Kapazitäten'!$D$9:$K$9</c15:sqref>
                  </c15:fullRef>
                </c:ext>
              </c:extLst>
              <c:f>'Strom - Inst. Kapazitäten'!$D$9:$I$9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2-4A3B-BB49-0019031390C7}"/>
            </c:ext>
          </c:extLst>
        </c:ser>
        <c:ser>
          <c:idx val="4"/>
          <c:order val="5"/>
          <c:tx>
            <c:strRef>
              <c:f>'Strom - Inst. Kapazitäten'!$A$10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Kapazitäten'!$D$10:$K$10</c15:sqref>
                  </c15:fullRef>
                </c:ext>
              </c:extLst>
              <c:f>'Strom - Inst. Kapazitäten'!$D$10:$I$10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BC-40E2-8E44-88A2B6C2E267}"/>
            </c:ext>
          </c:extLst>
        </c:ser>
        <c:ser>
          <c:idx val="5"/>
          <c:order val="6"/>
          <c:tx>
            <c:strRef>
              <c:f>'Strom - Inst. Kapazitäten'!$A$11</c:f>
              <c:strCache>
                <c:ptCount val="1"/>
                <c:pt idx="0">
                  <c:v>Dachflächen-PV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Kapazitäten'!$D$11:$K$11</c15:sqref>
                  </c15:fullRef>
                </c:ext>
              </c:extLst>
              <c:f>'Strom - Inst. Kapazitäten'!$D$11:$I$11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BC-40E2-8E44-88A2B6C2E267}"/>
            </c:ext>
          </c:extLst>
        </c:ser>
        <c:ser>
          <c:idx val="12"/>
          <c:order val="7"/>
          <c:tx>
            <c:strRef>
              <c:f>'Strom - Inst. Kapazitäten'!$A$12</c:f>
              <c:strCache>
                <c:ptCount val="1"/>
                <c:pt idx="0">
                  <c:v>Freiflächen-PV</c:v>
                </c:pt>
              </c:strCache>
            </c:strRef>
          </c:tx>
          <c:spPr>
            <a:solidFill>
              <a:srgbClr val="FFFF00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Kapazitäten'!$D$12:$K$12</c15:sqref>
                  </c15:fullRef>
                </c:ext>
              </c:extLst>
              <c:f>'Strom - Inst. Kapazitäten'!$D$12:$I$12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BC-40E2-8E44-88A2B6C2E267}"/>
            </c:ext>
          </c:extLst>
        </c:ser>
        <c:ser>
          <c:idx val="6"/>
          <c:order val="8"/>
          <c:tx>
            <c:strRef>
              <c:f>'Strom - Inst. Kapazitäten'!$A$13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Kapazitäten'!$D$13:$K$13</c15:sqref>
                  </c15:fullRef>
                </c:ext>
              </c:extLst>
              <c:f>'Strom - Inst. Kapazitäten'!$D$13:$I$13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BC-40E2-8E44-88A2B6C2E267}"/>
            </c:ext>
          </c:extLst>
        </c:ser>
        <c:ser>
          <c:idx val="7"/>
          <c:order val="9"/>
          <c:tx>
            <c:strRef>
              <c:f>'Strom - Inst. Kapazitäten'!$A$14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Kapazitäten'!$D$14:$K$14</c15:sqref>
                  </c15:fullRef>
                </c:ext>
              </c:extLst>
              <c:f>'Strom - Inst. Kapazitäten'!$D$14:$I$14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BC-40E2-8E44-88A2B6C2E267}"/>
            </c:ext>
          </c:extLst>
        </c:ser>
        <c:ser>
          <c:idx val="8"/>
          <c:order val="10"/>
          <c:tx>
            <c:strRef>
              <c:f>'Strom - Inst. Kapazitäten'!$A$15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Kapazitäten'!$D$15:$K$15</c15:sqref>
                  </c15:fullRef>
                </c:ext>
              </c:extLst>
              <c:f>'Strom - Inst. Kapazitäten'!$D$15:$I$15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7BC-40E2-8E44-88A2B6C2E267}"/>
            </c:ext>
          </c:extLst>
        </c:ser>
        <c:ser>
          <c:idx val="9"/>
          <c:order val="11"/>
          <c:tx>
            <c:strRef>
              <c:f>'Strom - Inst. Kapazitäten'!$A$16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Kapazitäten'!$D$16:$K$16</c15:sqref>
                  </c15:fullRef>
                </c:ext>
              </c:extLst>
              <c:f>'Strom - Inst. Kapazitäten'!$D$16:$I$16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BC-40E2-8E44-88A2B6C2E267}"/>
            </c:ext>
          </c:extLst>
        </c:ser>
        <c:ser>
          <c:idx val="10"/>
          <c:order val="12"/>
          <c:tx>
            <c:strRef>
              <c:f>'Strom - Inst. Kapazitäten'!$A$17</c:f>
              <c:strCache>
                <c:ptCount val="1"/>
                <c:pt idx="0">
                  <c:v>Wasserstoff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2">
                  <a:lumMod val="75000"/>
                </a:schemeClr>
              </a:bgClr>
            </a:patt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Kapazitäten'!$D$17:$K$17</c15:sqref>
                  </c15:fullRef>
                </c:ext>
              </c:extLst>
              <c:f>'Strom - Inst. Kapazitäten'!$D$17:$I$17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7BC-40E2-8E44-88A2B6C2E267}"/>
            </c:ext>
          </c:extLst>
        </c:ser>
        <c:ser>
          <c:idx val="11"/>
          <c:order val="13"/>
          <c:tx>
            <c:strRef>
              <c:f>'Strom - Inst. Kapazitäten'!$A$18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Inst. Kapazitäten'!$D$4:$K$4</c15:sqref>
                  </c15:fullRef>
                </c:ext>
              </c:extLst>
              <c:f>'Strom - Inst. Kapazitäten'!$D$4:$I$4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Inst. Kapazitäten'!$D$18:$K$18</c15:sqref>
                  </c15:fullRef>
                </c:ext>
              </c:extLst>
              <c:f>'Strom - Inst. Kapazitäten'!$D$18:$I$18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7BC-40E2-8E44-88A2B6C2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554944"/>
        <c:axId val="328528384"/>
      </c:barChart>
      <c:catAx>
        <c:axId val="32955494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8528384"/>
        <c:crosses val="autoZero"/>
        <c:auto val="1"/>
        <c:lblAlgn val="ctr"/>
        <c:lblOffset val="100"/>
        <c:noMultiLvlLbl val="0"/>
      </c:catAx>
      <c:valAx>
        <c:axId val="32852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Installierte Kapazitäten in GW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955494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Installierte Kapazitäten in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603755459873668"/>
          <c:y val="0.1884727201849882"/>
          <c:w val="0.4370669894909654"/>
          <c:h val="0.7424285245594300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6C-4E3A-9829-57DE09D42F17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6C-4E3A-9829-57DE09D42F17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6C-4E3A-9829-57DE09D42F17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46C-4E3A-9829-57DE09D42F17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46C-4E3A-9829-57DE09D42F17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46C-4E3A-9829-57DE09D42F17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46C-4E3A-9829-57DE09D42F17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46C-4E3A-9829-57DE09D42F17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46C-4E3A-9829-57DE09D42F17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46C-4E3A-9829-57DE09D42F17}"/>
              </c:ext>
            </c:extLst>
          </c:dPt>
          <c:dPt>
            <c:idx val="10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5-546C-4E3A-9829-57DE09D42F17}"/>
              </c:ext>
            </c:extLst>
          </c:dPt>
          <c:dPt>
            <c:idx val="11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17-546C-4E3A-9829-57DE09D42F17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('Strom - Inst. Kapazitäten'!$A$27:$A$37,'Strom - Inst. Kapazitäten'!$A$39)</c:f>
              <c:strCache>
                <c:ptCount val="12"/>
                <c:pt idx="0">
                  <c:v>Steinkohle</c:v>
                </c:pt>
                <c:pt idx="1">
                  <c:v>Braunkohle</c:v>
                </c:pt>
                <c:pt idx="2">
                  <c:v>Kernenergie</c:v>
                </c:pt>
                <c:pt idx="3">
                  <c:v>Erdgas</c:v>
                </c:pt>
                <c:pt idx="4">
                  <c:v>Erdöl</c:v>
                </c:pt>
                <c:pt idx="5">
                  <c:v>Aufdach-PV</c:v>
                </c:pt>
                <c:pt idx="6">
                  <c:v>Freifeld-PV</c:v>
                </c:pt>
                <c:pt idx="7">
                  <c:v>Wind (Onshore)</c:v>
                </c:pt>
                <c:pt idx="8">
                  <c:v>Wind (Offshore)</c:v>
                </c:pt>
                <c:pt idx="9">
                  <c:v>Wasserkraft</c:v>
                </c:pt>
                <c:pt idx="10">
                  <c:v>Biomasse</c:v>
                </c:pt>
                <c:pt idx="11">
                  <c:v>Müll</c:v>
                </c:pt>
              </c:strCache>
            </c:strRef>
          </c:cat>
          <c:val>
            <c:numRef>
              <c:f>('Strom - Inst. Kapazitäten'!$C$27:$C$37,'Strom - Inst. Kapazitäten'!$C$39)</c:f>
              <c:numCache>
                <c:formatCode>0%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46C-4E3A-9829-57DE09D42F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072341887944372"/>
          <c:y val="0.28534776902887138"/>
          <c:w val="0.23299862870157914"/>
          <c:h val="0.56254241657292836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Installierte Kapazitäten in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845730683138985"/>
          <c:y val="0.2113320209973753"/>
          <c:w val="0.4370669894909654"/>
          <c:h val="0.7424285245594300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7B-4013-A45E-0961A87DD66D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7B-4013-A45E-0961A87DD66D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7B-4013-A45E-0961A87DD66D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7B-4013-A45E-0961A87DD66D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7B-4013-A45E-0961A87DD66D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C7B-4013-A45E-0961A87DD66D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C7B-4013-A45E-0961A87DD66D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C7B-4013-A45E-0961A87DD66D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C7B-4013-A45E-0961A87DD66D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C7B-4013-A45E-0961A87DD66D}"/>
              </c:ext>
            </c:extLst>
          </c:dPt>
          <c:dPt>
            <c:idx val="10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5-0C7B-4013-A45E-0961A87DD66D}"/>
              </c:ext>
            </c:extLst>
          </c:dPt>
          <c:dPt>
            <c:idx val="11"/>
            <c:bubble3D val="0"/>
            <c:spPr>
              <a:pattFill prst="ltDnDiag">
                <a:fgClr>
                  <a:schemeClr val="bg1"/>
                </a:fgClr>
                <a:bgClr>
                  <a:schemeClr val="accent2">
                    <a:lumMod val="75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7-0C7B-4013-A45E-0961A87DD66D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19-0C7B-4013-A45E-0961A87DD66D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'Strom - Inst. Kapazitäten'!$A$27:$A$39</c:f>
              <c:strCache>
                <c:ptCount val="13"/>
                <c:pt idx="0">
                  <c:v>Steinkohle</c:v>
                </c:pt>
                <c:pt idx="1">
                  <c:v>Braunkohle</c:v>
                </c:pt>
                <c:pt idx="2">
                  <c:v>Kernenergie</c:v>
                </c:pt>
                <c:pt idx="3">
                  <c:v>Erdgas</c:v>
                </c:pt>
                <c:pt idx="4">
                  <c:v>Erdöl</c:v>
                </c:pt>
                <c:pt idx="5">
                  <c:v>Aufdach-PV</c:v>
                </c:pt>
                <c:pt idx="6">
                  <c:v>Freifeld-PV</c:v>
                </c:pt>
                <c:pt idx="7">
                  <c:v>Wind (Onshore)</c:v>
                </c:pt>
                <c:pt idx="8">
                  <c:v>Wind (Offshore)</c:v>
                </c:pt>
                <c:pt idx="9">
                  <c:v>Wasserkraft</c:v>
                </c:pt>
                <c:pt idx="10">
                  <c:v>Biomasse</c:v>
                </c:pt>
                <c:pt idx="11">
                  <c:v>Wasserstoff</c:v>
                </c:pt>
                <c:pt idx="12">
                  <c:v>Müll</c:v>
                </c:pt>
              </c:strCache>
            </c:strRef>
          </c:cat>
          <c:val>
            <c:numRef>
              <c:f>'Strom - Inst. Kapazitäten'!$D$27:$D$39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2.3783074342026977E-7</c:v>
                </c:pt>
                <c:pt idx="4">
                  <c:v>3.2581481651468425E-7</c:v>
                </c:pt>
                <c:pt idx="5">
                  <c:v>0.23931291889235096</c:v>
                </c:pt>
                <c:pt idx="6">
                  <c:v>0.33510892785431912</c:v>
                </c:pt>
                <c:pt idx="7">
                  <c:v>0.17393984943228807</c:v>
                </c:pt>
                <c:pt idx="8">
                  <c:v>7.3605217069615453E-2</c:v>
                </c:pt>
                <c:pt idx="9">
                  <c:v>4.4566078639584747E-3</c:v>
                </c:pt>
                <c:pt idx="10">
                  <c:v>2.3518442496120454E-2</c:v>
                </c:pt>
                <c:pt idx="11">
                  <c:v>7.3155123428664287E-2</c:v>
                </c:pt>
                <c:pt idx="12">
                  <c:v>2.4278146482462968E-3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C7B-4013-A45E-0961A87DD6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731710437616466"/>
          <c:y val="0.12498406449193851"/>
          <c:w val="0.31055113414747543"/>
          <c:h val="0.8133687195350580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99718932771198"/>
          <c:y val="0.13797912138810703"/>
          <c:w val="0.5837270341207349"/>
          <c:h val="0.66586596358713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Inst. Kapazitäten'!$B$5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Kapazitäten'!$D$5:$K$5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1-4E87-90BF-F32A7A8B8750}"/>
            </c:ext>
          </c:extLst>
        </c:ser>
        <c:ser>
          <c:idx val="1"/>
          <c:order val="1"/>
          <c:tx>
            <c:strRef>
              <c:f>'Strom - Inst. Kapazitäten'!$B$6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Kapazitäten'!$D$6:$K$6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1-4E87-90BF-F32A7A8B8750}"/>
            </c:ext>
          </c:extLst>
        </c:ser>
        <c:ser>
          <c:idx val="2"/>
          <c:order val="2"/>
          <c:tx>
            <c:strRef>
              <c:f>'Strom - Inst. Kapazitäten'!$B$7</c:f>
              <c:strCache>
                <c:ptCount val="1"/>
                <c:pt idx="0">
                  <c:v>Nuclear energy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Kapazitäten'!$D$7:$K$7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C1-4E87-90BF-F32A7A8B8750}"/>
            </c:ext>
          </c:extLst>
        </c:ser>
        <c:ser>
          <c:idx val="3"/>
          <c:order val="3"/>
          <c:tx>
            <c:strRef>
              <c:f>'Strom - Inst. Kapazitäten'!$B$8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Kapazitäten'!$D$8:$K$8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1.7451811154900996E-4</c:v>
                </c:pt>
                <c:pt idx="7" formatCode="General">
                  <c:v>8.9082124668594736E-4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C1-4E87-90BF-F32A7A8B8750}"/>
            </c:ext>
          </c:extLst>
        </c:ser>
        <c:ser>
          <c:idx val="13"/>
          <c:order val="4"/>
          <c:tx>
            <c:strRef>
              <c:f>'Strom - Inst. Kapazitäten'!$A$9</c:f>
              <c:strCache>
                <c:ptCount val="1"/>
                <c:pt idx="0">
                  <c:v>Biomethan Anteil</c:v>
                </c:pt>
              </c:strCache>
            </c:strRef>
          </c:tx>
          <c:spPr>
            <a:pattFill prst="wdUpDiag">
              <a:fgClr>
                <a:srgbClr val="FFC000"/>
              </a:fgClr>
              <a:bgClr>
                <a:schemeClr val="bg1"/>
              </a:bgClr>
            </a:pattFill>
          </c:spPr>
          <c:invertIfNegative val="0"/>
          <c:val>
            <c:numRef>
              <c:f>'Strom - Inst. Kapazitäten'!$D$9:$K$9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54.648759710330779</c:v>
                </c:pt>
                <c:pt idx="7" formatCode="General">
                  <c:v>34.017144044142512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F1-4702-9C2A-B1C4E6C0695F}"/>
            </c:ext>
          </c:extLst>
        </c:ser>
        <c:ser>
          <c:idx val="4"/>
          <c:order val="5"/>
          <c:tx>
            <c:strRef>
              <c:f>'Strom - Inst. Kapazitäten'!$B$10</c:f>
              <c:strCache>
                <c:ptCount val="1"/>
                <c:pt idx="0">
                  <c:v>Mineral oil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Kapazitäten'!$D$10:$K$10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2.3908005195254239E-4</c:v>
                </c:pt>
                <c:pt idx="7" formatCode="General">
                  <c:v>6.2000427038179104E-3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C1-4E87-90BF-F32A7A8B8750}"/>
            </c:ext>
          </c:extLst>
        </c:ser>
        <c:ser>
          <c:idx val="5"/>
          <c:order val="6"/>
          <c:tx>
            <c:strRef>
              <c:f>'Strom - Inst. Kapazitäten'!$B$11</c:f>
              <c:strCache>
                <c:ptCount val="1"/>
                <c:pt idx="0">
                  <c:v>PV (rooftop)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Kapazitäten'!$D$11:$K$11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175.60571889805138</c:v>
                </c:pt>
                <c:pt idx="7" formatCode="General">
                  <c:v>145.97542852196273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C1-4E87-90BF-F32A7A8B8750}"/>
            </c:ext>
          </c:extLst>
        </c:ser>
        <c:ser>
          <c:idx val="12"/>
          <c:order val="7"/>
          <c:tx>
            <c:strRef>
              <c:f>'Strom - Inst. Kapazitäten'!$B$12</c:f>
              <c:strCache>
                <c:ptCount val="1"/>
                <c:pt idx="0">
                  <c:v>PV (open field)</c:v>
                </c:pt>
              </c:strCache>
            </c:strRef>
          </c:tx>
          <c:spPr>
            <a:solidFill>
              <a:srgbClr val="FFFF00"/>
            </a:solidFill>
            <a:ln w="25400">
              <a:noFill/>
            </a:ln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Kapazitäten'!$D$12:$K$12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245.89998925834772</c:v>
                </c:pt>
                <c:pt idx="7" formatCode="General">
                  <c:v>245.89897114375063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C1-4E87-90BF-F32A7A8B8750}"/>
            </c:ext>
          </c:extLst>
        </c:ser>
        <c:ser>
          <c:idx val="6"/>
          <c:order val="8"/>
          <c:tx>
            <c:strRef>
              <c:f>'Strom - Inst. Kapazitäten'!$B$13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Kapazitäten'!$D$13:$K$13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127.63553445401585</c:v>
                </c:pt>
                <c:pt idx="7" formatCode="General">
                  <c:v>91.538253207350692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C1-4E87-90BF-F32A7A8B8750}"/>
            </c:ext>
          </c:extLst>
        </c:ser>
        <c:ser>
          <c:idx val="7"/>
          <c:order val="9"/>
          <c:tx>
            <c:strRef>
              <c:f>'Strom - Inst. Kapazitäten'!$B$14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Kapazitäten'!$D$14:$K$14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54.010862087939188</c:v>
                </c:pt>
                <c:pt idx="7" formatCode="General">
                  <c:v>58.8252793406335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BC1-4E87-90BF-F32A7A8B8750}"/>
            </c:ext>
          </c:extLst>
        </c:ser>
        <c:ser>
          <c:idx val="8"/>
          <c:order val="10"/>
          <c:tx>
            <c:strRef>
              <c:f>'Strom - Inst. Kapazitäten'!$B$15</c:f>
              <c:strCache>
                <c:ptCount val="1"/>
                <c:pt idx="0">
                  <c:v>Hydro power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Kapazitäten'!$D$15:$K$15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3.270219724950048</c:v>
                </c:pt>
                <c:pt idx="7" formatCode="General">
                  <c:v>3.104210765134491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C1-4E87-90BF-F32A7A8B8750}"/>
            </c:ext>
          </c:extLst>
        </c:ser>
        <c:ser>
          <c:idx val="9"/>
          <c:order val="11"/>
          <c:tx>
            <c:strRef>
              <c:f>'Strom - Inst. Kapazitäten'!$B$16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Kapazitäten'!$D$16:$K$16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17.257626629640839</c:v>
                </c:pt>
                <c:pt idx="7" formatCode="General">
                  <c:v>14.530543146947515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BC1-4E87-90BF-F32A7A8B8750}"/>
            </c:ext>
          </c:extLst>
        </c:ser>
        <c:ser>
          <c:idx val="10"/>
          <c:order val="12"/>
          <c:tx>
            <c:strRef>
              <c:f>'Strom - Inst. Kapazitäten'!$B$17</c:f>
              <c:strCache>
                <c:ptCount val="1"/>
                <c:pt idx="0">
                  <c:v>Hydrogen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2">
                  <a:lumMod val="75000"/>
                </a:schemeClr>
              </a:bgClr>
            </a:pattFill>
            <a:ln w="25400">
              <a:noFill/>
            </a:ln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Kapazitäten'!$D$17:$K$17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53.680587325688577</c:v>
                </c:pt>
                <c:pt idx="7" formatCode="General">
                  <c:v>50.130414852513248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C1-4E87-90BF-F32A7A8B8750}"/>
            </c:ext>
          </c:extLst>
        </c:ser>
        <c:ser>
          <c:idx val="11"/>
          <c:order val="13"/>
          <c:tx>
            <c:strRef>
              <c:f>'Strom - Inst. Kapazitäten'!$B$18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strRef>
              <c:f>'Strom - Inst. Kapazitäten'!$D$4:$K$4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'Strom - Inst. Kapazitäten'!$D$18:$K$18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1.7815090745196605</c:v>
                </c:pt>
                <c:pt idx="7" formatCode="General">
                  <c:v>0.33754853086188003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BC1-4E87-90BF-F32A7A8B8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732224"/>
        <c:axId val="328112896"/>
      </c:barChart>
      <c:catAx>
        <c:axId val="32773222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8112896"/>
        <c:crosses val="autoZero"/>
        <c:auto val="1"/>
        <c:lblAlgn val="ctr"/>
        <c:lblOffset val="100"/>
        <c:noMultiLvlLbl val="0"/>
      </c:catAx>
      <c:valAx>
        <c:axId val="3281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Installed capacities in GW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773222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3411734212805535"/>
          <c:y val="1.3793897934703866E-2"/>
          <c:w val="0.23105772484765261"/>
          <c:h val="0.9004670015726301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70888742496618"/>
          <c:y val="7.981704289422982E-2"/>
          <c:w val="0.57734890808973094"/>
          <c:h val="0.745160447074802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Nachfrage'!$M$56</c:f>
              <c:strCache>
                <c:ptCount val="1"/>
                <c:pt idx="0">
                  <c:v>Building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'Strom - Nachfrage'!$N$55:$T$55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Nachfrage'!$N$56:$T$56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67448.428211467428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8-4E4B-83BB-5AED328DA54C}"/>
            </c:ext>
          </c:extLst>
        </c:ser>
        <c:ser>
          <c:idx val="3"/>
          <c:order val="1"/>
          <c:tx>
            <c:strRef>
              <c:f>'Strom - Nachfrage'!$M$57</c:f>
              <c:strCache>
                <c:ptCount val="1"/>
                <c:pt idx="0">
                  <c:v>GHD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'Strom - Nachfrage'!$N$55:$T$55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Nachfrage'!$N$57:$T$57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136551.56321179462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B-4709-9F5A-B310B6BE1196}"/>
            </c:ext>
          </c:extLst>
        </c:ser>
        <c:ser>
          <c:idx val="6"/>
          <c:order val="2"/>
          <c:tx>
            <c:strRef>
              <c:f>'Strom - Nachfrage'!$M$61</c:f>
              <c:strCache>
                <c:ptCount val="1"/>
                <c:pt idx="0">
                  <c:v>Heatpumps</c:v>
                </c:pt>
              </c:strCache>
            </c:strRef>
          </c:tx>
          <c:spPr>
            <a:pattFill prst="dkUpDiag">
              <a:fgClr>
                <a:srgbClr val="0070C0"/>
              </a:fgClr>
              <a:bgClr>
                <a:schemeClr val="bg1"/>
              </a:bgClr>
            </a:pattFill>
          </c:spPr>
          <c:invertIfNegative val="0"/>
          <c:val>
            <c:numRef>
              <c:f>'Strom - Nachfrage'!$N$61:$T$61</c:f>
              <c:numCache>
                <c:formatCode>General</c:formatCode>
                <c:ptCount val="7"/>
                <c:pt idx="0">
                  <c:v>11255.74357974178</c:v>
                </c:pt>
                <c:pt idx="1">
                  <c:v>23595.561665013891</c:v>
                </c:pt>
                <c:pt idx="2">
                  <c:v>53171.177409763957</c:v>
                </c:pt>
                <c:pt idx="3">
                  <c:v>120820.89994711414</c:v>
                </c:pt>
                <c:pt idx="4">
                  <c:v>152048.88552776614</c:v>
                </c:pt>
                <c:pt idx="5">
                  <c:v>212897.43861535739</c:v>
                </c:pt>
                <c:pt idx="6">
                  <c:v>167968.88451722293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A1-4009-A4F0-5605D830F0BB}"/>
            </c:ext>
          </c:extLst>
        </c:ser>
        <c:ser>
          <c:idx val="1"/>
          <c:order val="3"/>
          <c:tx>
            <c:strRef>
              <c:f>'Strom - Nachfrage'!$M$58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Nachfrage'!$N$55:$T$55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Nachfrage'!$N$58:$T$58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346030.2046735115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28-4E4B-83BB-5AED328DA54C}"/>
            </c:ext>
          </c:extLst>
        </c:ser>
        <c:ser>
          <c:idx val="2"/>
          <c:order val="4"/>
          <c:tx>
            <c:strRef>
              <c:f>'Strom - Nachfrage'!$M$59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'Strom - Nachfrage'!$N$55:$T$55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Nachfrage'!$N$59:$T$59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70135.635563166521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28-4E4B-83BB-5AED328DA54C}"/>
            </c:ext>
          </c:extLst>
        </c:ser>
        <c:ser>
          <c:idx val="4"/>
          <c:order val="5"/>
          <c:tx>
            <c:strRef>
              <c:f>'Strom - Nachfrage'!$M$60</c:f>
              <c:strCache>
                <c:ptCount val="1"/>
                <c:pt idx="0">
                  <c:v>PtX (electrolysis)</c:v>
                </c:pt>
              </c:strCache>
            </c:strRef>
          </c:tx>
          <c:spPr>
            <a:pattFill prst="ltDnDiag">
              <a:fgClr>
                <a:schemeClr val="tx1"/>
              </a:fgClr>
              <a:bgClr>
                <a:schemeClr val="accent4"/>
              </a:bgClr>
            </a:pattFill>
          </c:spPr>
          <c:invertIfNegative val="0"/>
          <c:cat>
            <c:strRef>
              <c:f>'Strom - Nachfrage'!$N$55:$T$55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Nachfrage'!$N$60:$T$60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152601.65638740096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F-47EF-8258-A0B3DE78D7EA}"/>
            </c:ext>
          </c:extLst>
        </c:ser>
        <c:ser>
          <c:idx val="5"/>
          <c:order val="6"/>
          <c:tx>
            <c:strRef>
              <c:f>'Strom - Nachfrage'!$M$62</c:f>
              <c:strCache>
                <c:ptCount val="1"/>
                <c:pt idx="0">
                  <c:v>PtX (others)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accent5"/>
              </a:bgClr>
            </a:pattFill>
          </c:spPr>
          <c:invertIfNegative val="0"/>
          <c:cat>
            <c:strRef>
              <c:f>'Strom - Nachfrage'!$N$55:$T$55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Nachfrage'!$N$62:$T$62</c:f>
              <c:numCache>
                <c:formatCode>General</c:formatCode>
                <c:ptCount val="7"/>
                <c:pt idx="0">
                  <c:v>0</c:v>
                </c:pt>
                <c:pt idx="1">
                  <c:v>2.0795236992889841</c:v>
                </c:pt>
                <c:pt idx="2">
                  <c:v>8.5035135271027684E-3</c:v>
                </c:pt>
                <c:pt idx="3">
                  <c:v>5.0274440582143143E-3</c:v>
                </c:pt>
                <c:pt idx="4">
                  <c:v>6038.7710199074063</c:v>
                </c:pt>
                <c:pt idx="5">
                  <c:v>34745.762364364287</c:v>
                </c:pt>
                <c:pt idx="6">
                  <c:v>71644.984431463323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A-47BC-8105-454AB0095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944064"/>
        <c:axId val="331340544"/>
      </c:barChart>
      <c:catAx>
        <c:axId val="32994406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31340544"/>
        <c:crosses val="autoZero"/>
        <c:auto val="1"/>
        <c:lblAlgn val="ctr"/>
        <c:lblOffset val="100"/>
        <c:noMultiLvlLbl val="0"/>
      </c:catAx>
      <c:valAx>
        <c:axId val="3313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Electricity consumption in TWh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9944064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70888742496618"/>
          <c:y val="7.981704289422982E-2"/>
          <c:w val="0.57380035638367966"/>
          <c:h val="0.745160447074802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Nachfrage'!$L$50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Nachfrage'!$N$55:$T$55</c15:sqref>
                  </c15:fullRef>
                </c:ext>
              </c:extLst>
              <c:f>'Strom - Nachfrage'!$N$55:$S$55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Nachfrage'!$N$56:$T$56</c15:sqref>
                  </c15:fullRef>
                </c:ext>
              </c:extLst>
              <c:f>'Strom - Nachfrage'!$N$56:$S$56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8-47B8-8899-E7E72F1C65CC}"/>
            </c:ext>
          </c:extLst>
        </c:ser>
        <c:ser>
          <c:idx val="3"/>
          <c:order val="1"/>
          <c:tx>
            <c:strRef>
              <c:f>'Strom - Nachfrage'!$L$51</c:f>
              <c:strCache>
                <c:ptCount val="1"/>
                <c:pt idx="0">
                  <c:v>GHD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Nachfrage'!$N$55:$T$55</c15:sqref>
                  </c15:fullRef>
                </c:ext>
              </c:extLst>
              <c:f>'Strom - Nachfrage'!$N$55:$S$55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Nachfrage'!$N$57:$T$57</c15:sqref>
                  </c15:fullRef>
                </c:ext>
              </c:extLst>
              <c:f>'Strom - Nachfrage'!$N$57:$S$57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08-47B8-8899-E7E72F1C65CC}"/>
            </c:ext>
          </c:extLst>
        </c:ser>
        <c:ser>
          <c:idx val="6"/>
          <c:order val="2"/>
          <c:tx>
            <c:strRef>
              <c:f>'Strom - Nachfrage'!$L$61</c:f>
              <c:strCache>
                <c:ptCount val="1"/>
                <c:pt idx="0">
                  <c:v>Wärmepumpen</c:v>
                </c:pt>
              </c:strCache>
            </c:strRef>
          </c:tx>
          <c:spPr>
            <a:pattFill prst="dkUpDiag">
              <a:fgClr>
                <a:srgbClr val="0070C0"/>
              </a:fgClr>
              <a:bgClr>
                <a:schemeClr val="bg1"/>
              </a:bgClr>
            </a:pattFill>
          </c:spPr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Nachfrage'!$N$61:$T$61</c15:sqref>
                  </c15:fullRef>
                </c:ext>
              </c:extLst>
              <c:f>'Strom - Nachfrage'!$N$61:$S$61</c:f>
              <c:numCache>
                <c:formatCode>General</c:formatCode>
                <c:ptCount val="6"/>
                <c:pt idx="0">
                  <c:v>11255.74357974178</c:v>
                </c:pt>
                <c:pt idx="1">
                  <c:v>23595.561665013891</c:v>
                </c:pt>
                <c:pt idx="2">
                  <c:v>53171.177409763957</c:v>
                </c:pt>
                <c:pt idx="3">
                  <c:v>120820.89994711414</c:v>
                </c:pt>
                <c:pt idx="4">
                  <c:v>152048.88552776614</c:v>
                </c:pt>
                <c:pt idx="5">
                  <c:v>212897.43861535739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AB-46DC-9066-F9D487CF733C}"/>
            </c:ext>
          </c:extLst>
        </c:ser>
        <c:ser>
          <c:idx val="1"/>
          <c:order val="3"/>
          <c:tx>
            <c:strRef>
              <c:f>'Strom - Nachfrage'!$L$52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Nachfrage'!$N$55:$T$55</c15:sqref>
                  </c15:fullRef>
                </c:ext>
              </c:extLst>
              <c:f>'Strom - Nachfrage'!$N$55:$S$55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Nachfrage'!$N$58:$T$58</c15:sqref>
                  </c15:fullRef>
                </c:ext>
              </c:extLst>
              <c:f>'Strom - Nachfrage'!$N$58:$S$58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08-47B8-8899-E7E72F1C65CC}"/>
            </c:ext>
          </c:extLst>
        </c:ser>
        <c:ser>
          <c:idx val="2"/>
          <c:order val="4"/>
          <c:tx>
            <c:strRef>
              <c:f>'Strom - Nachfrage'!$L$53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Nachfrage'!$N$55:$T$55</c15:sqref>
                  </c15:fullRef>
                </c:ext>
              </c:extLst>
              <c:f>'Strom - Nachfrage'!$N$55:$S$55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Nachfrage'!$N$59:$T$59</c15:sqref>
                  </c15:fullRef>
                </c:ext>
              </c:extLst>
              <c:f>'Strom - Nachfrage'!$N$59:$S$59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08-47B8-8899-E7E72F1C65CC}"/>
            </c:ext>
          </c:extLst>
        </c:ser>
        <c:ser>
          <c:idx val="4"/>
          <c:order val="5"/>
          <c:tx>
            <c:strRef>
              <c:f>'Strom - Nachfrage'!$L$54</c:f>
              <c:strCache>
                <c:ptCount val="1"/>
                <c:pt idx="0">
                  <c:v>PtX (Elektrolyse)</c:v>
                </c:pt>
              </c:strCache>
            </c:strRef>
          </c:tx>
          <c:spPr>
            <a:pattFill prst="ltDnDiag">
              <a:fgClr>
                <a:schemeClr val="tx1"/>
              </a:fgClr>
              <a:bgClr>
                <a:schemeClr val="accent4"/>
              </a:bgClr>
            </a:patt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Nachfrage'!$N$55:$T$55</c15:sqref>
                  </c15:fullRef>
                </c:ext>
              </c:extLst>
              <c:f>'Strom - Nachfrage'!$N$55:$S$55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Nachfrage'!$N$60:$T$60</c15:sqref>
                  </c15:fullRef>
                </c:ext>
              </c:extLst>
              <c:f>'Strom - Nachfrage'!$N$60:$S$60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A-4DAC-99D9-DD004B6EAE71}"/>
            </c:ext>
          </c:extLst>
        </c:ser>
        <c:ser>
          <c:idx val="5"/>
          <c:order val="6"/>
          <c:tx>
            <c:strRef>
              <c:f>'Strom - Nachfrage'!$L$55</c:f>
              <c:strCache>
                <c:ptCount val="1"/>
                <c:pt idx="0">
                  <c:v>PtX (sonstige)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accent5"/>
              </a:bgClr>
            </a:patt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Nachfrage'!$N$55:$T$55</c15:sqref>
                  </c15:fullRef>
                </c:ext>
              </c:extLst>
              <c:f>'Strom - Nachfrage'!$N$55:$S$55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Nachfrage'!$N$62:$T$62</c15:sqref>
                  </c15:fullRef>
                </c:ext>
              </c:extLst>
              <c:f>'Strom - Nachfrage'!$N$62:$S$62</c:f>
              <c:numCache>
                <c:formatCode>General</c:formatCode>
                <c:ptCount val="6"/>
                <c:pt idx="0">
                  <c:v>0</c:v>
                </c:pt>
                <c:pt idx="1">
                  <c:v>2.0795236992889841</c:v>
                </c:pt>
                <c:pt idx="2">
                  <c:v>8.5035135271027684E-3</c:v>
                </c:pt>
                <c:pt idx="3">
                  <c:v>5.0274440582143143E-3</c:v>
                </c:pt>
                <c:pt idx="4">
                  <c:v>6038.7710199074063</c:v>
                </c:pt>
                <c:pt idx="5">
                  <c:v>34745.762364364287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9-42FB-B6E0-56F3E6B9A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633856"/>
        <c:axId val="360809600"/>
      </c:barChart>
      <c:catAx>
        <c:axId val="36063385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60809600"/>
        <c:crosses val="autoZero"/>
        <c:auto val="1"/>
        <c:lblAlgn val="ctr"/>
        <c:lblOffset val="100"/>
        <c:noMultiLvlLbl val="0"/>
      </c:catAx>
      <c:valAx>
        <c:axId val="3608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Stromverbrauch in TWh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60633856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76087423034385"/>
          <c:y val="4.5076772245053444E-2"/>
          <c:w val="0.5373194011125968"/>
          <c:h val="0.83197233350274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Flows'!$B$5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Flows'!$D$5:$J$5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0-4C73-9768-43FC440C1C39}"/>
            </c:ext>
          </c:extLst>
        </c:ser>
        <c:ser>
          <c:idx val="1"/>
          <c:order val="1"/>
          <c:tx>
            <c:strRef>
              <c:f>'Strom - Flows'!$B$6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Flows'!$D$6:$J$6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B-4E8C-B829-B753EBA519E2}"/>
            </c:ext>
          </c:extLst>
        </c:ser>
        <c:ser>
          <c:idx val="2"/>
          <c:order val="2"/>
          <c:tx>
            <c:strRef>
              <c:f>'Strom - Flows'!$B$7</c:f>
              <c:strCache>
                <c:ptCount val="1"/>
                <c:pt idx="0">
                  <c:v>Nuclear energy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Flows'!$D$7:$J$7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B-4E8C-B829-B753EBA519E2}"/>
            </c:ext>
          </c:extLst>
        </c:ser>
        <c:ser>
          <c:idx val="3"/>
          <c:order val="3"/>
          <c:tx>
            <c:strRef>
              <c:f>'Strom - Flows'!$B$8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Flows'!$D$8:$J$8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9B-4E8C-B829-B753EBA519E2}"/>
            </c:ext>
          </c:extLst>
        </c:ser>
        <c:ser>
          <c:idx val="15"/>
          <c:order val="4"/>
          <c:tx>
            <c:strRef>
              <c:f>'Strom - Flows'!$B$9</c:f>
              <c:strCache>
                <c:ptCount val="1"/>
                <c:pt idx="0">
                  <c:v>Biomethane share</c:v>
                </c:pt>
              </c:strCache>
            </c:strRef>
          </c:tx>
          <c:spPr>
            <a:pattFill prst="wdUpDiag">
              <a:fgClr>
                <a:schemeClr val="accent5"/>
              </a:fgClr>
              <a:bgClr>
                <a:schemeClr val="bg1"/>
              </a:bgClr>
            </a:pattFill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Flows'!$D$9:$J$9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2D-4110-94E8-B18F09269FD2}"/>
            </c:ext>
          </c:extLst>
        </c:ser>
        <c:ser>
          <c:idx val="4"/>
          <c:order val="5"/>
          <c:tx>
            <c:strRef>
              <c:f>'Strom - Flows'!$B$10</c:f>
              <c:strCache>
                <c:ptCount val="1"/>
                <c:pt idx="0">
                  <c:v>Mineral oil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Flows'!$D$10:$J$10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9B-4E8C-B829-B753EBA519E2}"/>
            </c:ext>
          </c:extLst>
        </c:ser>
        <c:ser>
          <c:idx val="5"/>
          <c:order val="6"/>
          <c:tx>
            <c:strRef>
              <c:f>'Strom - Flows'!$B$11</c:f>
              <c:strCache>
                <c:ptCount val="1"/>
                <c:pt idx="0">
                  <c:v>PV (rooftop)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Flows'!$D$11:$J$11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9B-4E8C-B829-B753EBA519E2}"/>
            </c:ext>
          </c:extLst>
        </c:ser>
        <c:ser>
          <c:idx val="13"/>
          <c:order val="7"/>
          <c:tx>
            <c:strRef>
              <c:f>'Strom - Flows'!$B$12</c:f>
              <c:strCache>
                <c:ptCount val="1"/>
                <c:pt idx="0">
                  <c:v>PV (open field)</c:v>
                </c:pt>
              </c:strCache>
            </c:strRef>
          </c:tx>
          <c:spPr>
            <a:solidFill>
              <a:srgbClr val="FFFF00"/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Flows'!$D$12:$J$12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2-401F-AD05-A82F3DE2BB57}"/>
            </c:ext>
          </c:extLst>
        </c:ser>
        <c:ser>
          <c:idx val="6"/>
          <c:order val="8"/>
          <c:tx>
            <c:strRef>
              <c:f>'Strom - Flows'!$B$13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Flows'!$D$13:$J$13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9B-4E8C-B829-B753EBA519E2}"/>
            </c:ext>
          </c:extLst>
        </c:ser>
        <c:ser>
          <c:idx val="7"/>
          <c:order val="9"/>
          <c:tx>
            <c:strRef>
              <c:f>'Strom - Flows'!$B$14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Flows'!$D$14:$J$14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9B-4E8C-B829-B753EBA519E2}"/>
            </c:ext>
          </c:extLst>
        </c:ser>
        <c:ser>
          <c:idx val="8"/>
          <c:order val="10"/>
          <c:tx>
            <c:strRef>
              <c:f>'Strom - Flows'!$B$15</c:f>
              <c:strCache>
                <c:ptCount val="1"/>
                <c:pt idx="0">
                  <c:v>Hydro power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Flows'!$D$15:$J$15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9B-4E8C-B829-B753EBA519E2}"/>
            </c:ext>
          </c:extLst>
        </c:ser>
        <c:ser>
          <c:idx val="9"/>
          <c:order val="11"/>
          <c:tx>
            <c:strRef>
              <c:f>'Strom - Flows'!$B$16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Flows'!$D$16:$J$16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9B-4E8C-B829-B753EBA519E2}"/>
            </c:ext>
          </c:extLst>
        </c:ser>
        <c:ser>
          <c:idx val="10"/>
          <c:order val="12"/>
          <c:tx>
            <c:strRef>
              <c:f>'Strom - Flows'!$B$17</c:f>
              <c:strCache>
                <c:ptCount val="1"/>
                <c:pt idx="0">
                  <c:v>Hydrogen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2">
                  <a:lumMod val="75000"/>
                </a:schemeClr>
              </a:bgClr>
            </a:patt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Flows'!$D$17:$J$17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2-401F-AD05-A82F3DE2BB57}"/>
            </c:ext>
          </c:extLst>
        </c:ser>
        <c:ser>
          <c:idx val="11"/>
          <c:order val="13"/>
          <c:tx>
            <c:strRef>
              <c:f>'Strom - Flows'!$B$18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Flows'!$D$18:$J$18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C9B-4E8C-B829-B753EBA519E2}"/>
            </c:ext>
          </c:extLst>
        </c:ser>
        <c:ser>
          <c:idx val="12"/>
          <c:order val="14"/>
          <c:tx>
            <c:strRef>
              <c:f>'Strom - Flows'!$B$19</c:f>
              <c:strCache>
                <c:ptCount val="1"/>
                <c:pt idx="0">
                  <c:v>El.-Import</c:v>
                </c:pt>
              </c:strCache>
            </c:strRef>
          </c:tx>
          <c:spPr>
            <a:pattFill prst="ltDnDiag">
              <a:fgClr>
                <a:schemeClr val="tx1">
                  <a:lumMod val="50000"/>
                  <a:lumOff val="50000"/>
                </a:schemeClr>
              </a:fgClr>
              <a:bgClr>
                <a:schemeClr val="bg1">
                  <a:lumMod val="95000"/>
                </a:schemeClr>
              </a:bgClr>
            </a:pattFill>
            <a:ln w="25400">
              <a:noFill/>
            </a:ln>
          </c:spPr>
          <c:invertIfNegative val="0"/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Flows'!$D$19:$J$19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C9B-4E8C-B829-B753EBA51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942016"/>
        <c:axId val="330606848"/>
      </c:barChart>
      <c:lineChart>
        <c:grouping val="standard"/>
        <c:varyColors val="0"/>
        <c:ser>
          <c:idx val="14"/>
          <c:order val="15"/>
          <c:tx>
            <c:strRef>
              <c:f>'Strom - Flows'!$B$20</c:f>
              <c:strCache>
                <c:ptCount val="1"/>
                <c:pt idx="0">
                  <c:v>RE share</c:v>
                </c:pt>
              </c:strCache>
            </c:strRef>
          </c:tx>
          <c:spPr>
            <a:ln>
              <a:solidFill>
                <a:srgbClr val="00B050"/>
              </a:solidFill>
              <a:prstDash val="dash"/>
            </a:ln>
          </c:spPr>
          <c:marker>
            <c:symbol val="none"/>
          </c:marker>
          <c:cat>
            <c:numRef>
              <c:f>'Strom - Flows'!$D$4:$J$4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Flows'!$D$20:$J$20</c:f>
              <c:numCache>
                <c:formatCode>General</c:formatCode>
                <c:ptCount val="7"/>
                <c:pt idx="0" formatCode="0.0%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1-4236-8907-CE469ABA3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940992"/>
        <c:axId val="330607424"/>
      </c:lineChart>
      <c:catAx>
        <c:axId val="32994201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30606848"/>
        <c:crosses val="autoZero"/>
        <c:auto val="1"/>
        <c:lblAlgn val="ctr"/>
        <c:lblOffset val="100"/>
        <c:noMultiLvlLbl val="0"/>
      </c:catAx>
      <c:valAx>
        <c:axId val="330606848"/>
        <c:scaling>
          <c:orientation val="minMax"/>
          <c:max val="1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Electricity generation </a:t>
                </a:r>
                <a:r>
                  <a:rPr lang="en-US" baseline="0"/>
                  <a:t>in TWh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9942016"/>
        <c:crosses val="autoZero"/>
        <c:crossBetween val="between"/>
        <c:majorUnit val="200000"/>
        <c:dispUnits>
          <c:builtInUnit val="thousands"/>
        </c:dispUnits>
      </c:valAx>
      <c:valAx>
        <c:axId val="330607424"/>
        <c:scaling>
          <c:orientation val="minMax"/>
          <c:max val="1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crossAx val="329940992"/>
        <c:crosses val="max"/>
        <c:crossBetween val="between"/>
        <c:majorUnit val="0.2"/>
      </c:valAx>
      <c:catAx>
        <c:axId val="329940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0607424"/>
        <c:crosses val="autoZero"/>
        <c:auto val="1"/>
        <c:lblAlgn val="ctr"/>
        <c:lblOffset val="100"/>
        <c:noMultiLvlLbl val="0"/>
      </c:cat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080044519798935"/>
          <c:y val="8.0810218419345508E-4"/>
          <c:w val="0.28919955480201071"/>
          <c:h val="0.9456773673098321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Electricity Mix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118059761760548"/>
          <c:y val="0.23007231862580654"/>
          <c:w val="0.41861290066014478"/>
          <c:h val="0.7692376271991523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09-4A02-B6B8-7D04B0E13B74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09-4A02-B6B8-7D04B0E13B74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09-4A02-B6B8-7D04B0E13B74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09-4A02-B6B8-7D04B0E13B74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09-4A02-B6B8-7D04B0E13B74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009-4A02-B6B8-7D04B0E13B74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009-4A02-B6B8-7D04B0E13B74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009-4A02-B6B8-7D04B0E13B74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009-4A02-B6B8-7D04B0E13B74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009-4A02-B6B8-7D04B0E13B74}"/>
              </c:ext>
            </c:extLst>
          </c:dPt>
          <c:dPt>
            <c:idx val="10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5-29D5-45F3-AD78-1AEAD70ABA1D}"/>
              </c:ext>
            </c:extLst>
          </c:dPt>
          <c:dPt>
            <c:idx val="11"/>
            <c:bubble3D val="0"/>
            <c:spPr>
              <a:pattFill prst="ltDnDiag">
                <a:fgClr>
                  <a:schemeClr val="bg1"/>
                </a:fgClr>
                <a:bgClr>
                  <a:schemeClr val="accent2">
                    <a:lumMod val="75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6-3E4D-47F7-B269-B441E0D0B7A7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19-29D5-45F3-AD78-1AEAD70ABA1D}"/>
              </c:ext>
            </c:extLst>
          </c:dPt>
          <c:dPt>
            <c:idx val="13"/>
            <c:bubble3D val="0"/>
            <c:spPr>
              <a:pattFill prst="ltUpDiag">
                <a:fgClr>
                  <a:schemeClr val="bg1"/>
                </a:fgClr>
                <a:bgClr>
                  <a:schemeClr val="bg1">
                    <a:lumMod val="50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B-29D5-45F3-AD78-1AEAD70ABA1D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'Strom - Flows'!$AA$5:$AA$18</c:f>
              <c:strCache>
                <c:ptCount val="14"/>
                <c:pt idx="0">
                  <c:v>Coal</c:v>
                </c:pt>
                <c:pt idx="1">
                  <c:v>Lignite</c:v>
                </c:pt>
                <c:pt idx="2">
                  <c:v>Nuclear</c:v>
                </c:pt>
                <c:pt idx="3">
                  <c:v>Natural Gas</c:v>
                </c:pt>
                <c:pt idx="4">
                  <c:v>Oil</c:v>
                </c:pt>
                <c:pt idx="5">
                  <c:v>RTPV</c:v>
                </c:pt>
                <c:pt idx="6">
                  <c:v>OFPV</c:v>
                </c:pt>
                <c:pt idx="7">
                  <c:v>Onshore</c:v>
                </c:pt>
                <c:pt idx="8">
                  <c:v>Offshore</c:v>
                </c:pt>
                <c:pt idx="9">
                  <c:v>Hydro Energy</c:v>
                </c:pt>
                <c:pt idx="10">
                  <c:v>Biomass</c:v>
                </c:pt>
                <c:pt idx="11">
                  <c:v>Fuel Cell</c:v>
                </c:pt>
                <c:pt idx="12">
                  <c:v>Waste</c:v>
                </c:pt>
                <c:pt idx="13">
                  <c:v>Import/Export</c:v>
                </c:pt>
              </c:strCache>
            </c:strRef>
          </c:cat>
          <c:val>
            <c:numRef>
              <c:f>'Strom - Flows'!$AB$5:$AB$18</c:f>
              <c:numCache>
                <c:formatCode>0%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009-4A02-B6B8-7D04B0E13B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428537341923173"/>
          <c:y val="0.17930783806285711"/>
          <c:w val="0.23196797370025721"/>
          <c:h val="0.7728290604249804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Electricity Mix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487134874269745"/>
          <c:y val="0.21628135768551629"/>
          <c:w val="0.43586789262523895"/>
          <c:h val="0.77084950897991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75-4F82-A320-66A3B9470927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75-4F82-A320-66A3B9470927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75-4F82-A320-66A3B9470927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75-4F82-A320-66A3B9470927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75-4F82-A320-66A3B9470927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C75-4F82-A320-66A3B9470927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C75-4F82-A320-66A3B9470927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C75-4F82-A320-66A3B9470927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C75-4F82-A320-66A3B9470927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C75-4F82-A320-66A3B9470927}"/>
              </c:ext>
            </c:extLst>
          </c:dPt>
          <c:dPt>
            <c:idx val="10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6-A1D1-4CD0-8107-F6A1A60BFAA3}"/>
              </c:ext>
            </c:extLst>
          </c:dPt>
          <c:dPt>
            <c:idx val="11"/>
            <c:bubble3D val="0"/>
            <c:spPr>
              <a:pattFill prst="ltDnDiag">
                <a:fgClr>
                  <a:schemeClr val="bg1"/>
                </a:fgClr>
                <a:bgClr>
                  <a:schemeClr val="accent2">
                    <a:lumMod val="75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6-BDC2-472D-9B2D-7E6BBFEE8716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19-1012-4E7B-B270-C53FE5C4139A}"/>
              </c:ext>
            </c:extLst>
          </c:dPt>
          <c:dPt>
            <c:idx val="13"/>
            <c:bubble3D val="0"/>
            <c:spPr>
              <a:pattFill prst="ltUpDiag">
                <a:fgClr>
                  <a:schemeClr val="bg1"/>
                </a:fgClr>
                <a:bgClr>
                  <a:schemeClr val="bg1">
                    <a:lumMod val="50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B-1012-4E7B-B270-C53FE5C413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'Strom - Flows'!$AA$5:$AA$18</c:f>
              <c:strCache>
                <c:ptCount val="14"/>
                <c:pt idx="0">
                  <c:v>Coal</c:v>
                </c:pt>
                <c:pt idx="1">
                  <c:v>Lignite</c:v>
                </c:pt>
                <c:pt idx="2">
                  <c:v>Nuclear</c:v>
                </c:pt>
                <c:pt idx="3">
                  <c:v>Natural Gas</c:v>
                </c:pt>
                <c:pt idx="4">
                  <c:v>Oil</c:v>
                </c:pt>
                <c:pt idx="5">
                  <c:v>RTPV</c:v>
                </c:pt>
                <c:pt idx="6">
                  <c:v>OFPV</c:v>
                </c:pt>
                <c:pt idx="7">
                  <c:v>Onshore</c:v>
                </c:pt>
                <c:pt idx="8">
                  <c:v>Offshore</c:v>
                </c:pt>
                <c:pt idx="9">
                  <c:v>Hydro Energy</c:v>
                </c:pt>
                <c:pt idx="10">
                  <c:v>Biomass</c:v>
                </c:pt>
                <c:pt idx="11">
                  <c:v>Fuel Cell</c:v>
                </c:pt>
                <c:pt idx="12">
                  <c:v>Waste</c:v>
                </c:pt>
                <c:pt idx="13">
                  <c:v>Import/Export</c:v>
                </c:pt>
              </c:strCache>
            </c:strRef>
          </c:cat>
          <c:val>
            <c:numRef>
              <c:f>'Strom - Flows'!$AC$5:$AC$18</c:f>
              <c:numCache>
                <c:formatCode>0%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C75-4F82-A320-66A3B9470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753150773561183"/>
          <c:y val="0.19497525730631984"/>
          <c:w val="0.21988814295290596"/>
          <c:h val="0.787371140405202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475471252657702"/>
          <c:y val="4.5076772245053444E-2"/>
          <c:w val="0.45422448636152157"/>
          <c:h val="0.819665107128524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Flows'!$A$5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Flows'!$D$5:$J$5</c15:sqref>
                  </c15:fullRef>
                </c:ext>
              </c:extLst>
              <c:f>'Strom - Flows'!$D$5:$I$5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4-4531-80E4-E65B8E3009E1}"/>
            </c:ext>
          </c:extLst>
        </c:ser>
        <c:ser>
          <c:idx val="1"/>
          <c:order val="1"/>
          <c:tx>
            <c:strRef>
              <c:f>'Strom - Flows'!$A$6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Flows'!$D$6:$J$6</c15:sqref>
                  </c15:fullRef>
                </c:ext>
              </c:extLst>
              <c:f>'Strom - Flows'!$D$6:$I$6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4-4531-80E4-E65B8E3009E1}"/>
            </c:ext>
          </c:extLst>
        </c:ser>
        <c:ser>
          <c:idx val="2"/>
          <c:order val="2"/>
          <c:tx>
            <c:strRef>
              <c:f>'Strom - Flows'!$A$7</c:f>
              <c:strCache>
                <c:ptCount val="1"/>
                <c:pt idx="0">
                  <c:v>Kernenergie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Flows'!$D$7:$J$7</c15:sqref>
                  </c15:fullRef>
                </c:ext>
              </c:extLst>
              <c:f>'Strom - Flows'!$D$7:$I$7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64-4531-80E4-E65B8E3009E1}"/>
            </c:ext>
          </c:extLst>
        </c:ser>
        <c:ser>
          <c:idx val="3"/>
          <c:order val="3"/>
          <c:tx>
            <c:strRef>
              <c:f>'Strom - Flows'!$A$8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Flows'!$D$8:$J$8</c15:sqref>
                  </c15:fullRef>
                </c:ext>
              </c:extLst>
              <c:f>'Strom - Flows'!$D$8:$I$8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64-4531-80E4-E65B8E3009E1}"/>
            </c:ext>
          </c:extLst>
        </c:ser>
        <c:ser>
          <c:idx val="15"/>
          <c:order val="4"/>
          <c:tx>
            <c:strRef>
              <c:f>'Strom - Flows'!$A$9</c:f>
              <c:strCache>
                <c:ptCount val="1"/>
                <c:pt idx="0">
                  <c:v>Biomethan Anteil</c:v>
                </c:pt>
              </c:strCache>
            </c:strRef>
          </c:tx>
          <c:spPr>
            <a:pattFill prst="wdUpDiag">
              <a:fgClr>
                <a:srgbClr val="FFC000"/>
              </a:fgClr>
              <a:bgClr>
                <a:schemeClr val="bg1"/>
              </a:bgClr>
            </a:pattFill>
          </c:spPr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Flows'!$D$9:$J$9</c15:sqref>
                  </c15:fullRef>
                </c:ext>
              </c:extLst>
              <c:f>'Strom - Flows'!$D$9:$I$9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9-48C9-AA5D-7338F892D484}"/>
            </c:ext>
          </c:extLst>
        </c:ser>
        <c:ser>
          <c:idx val="4"/>
          <c:order val="5"/>
          <c:tx>
            <c:strRef>
              <c:f>'Strom - Flows'!$A$10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Flows'!$D$10:$J$10</c15:sqref>
                  </c15:fullRef>
                </c:ext>
              </c:extLst>
              <c:f>'Strom - Flows'!$D$10:$I$10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64-4531-80E4-E65B8E3009E1}"/>
            </c:ext>
          </c:extLst>
        </c:ser>
        <c:ser>
          <c:idx val="5"/>
          <c:order val="6"/>
          <c:tx>
            <c:strRef>
              <c:f>'Strom - Flows'!$A$11</c:f>
              <c:strCache>
                <c:ptCount val="1"/>
                <c:pt idx="0">
                  <c:v>Dachflächen-PV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Flows'!$D$11:$J$11</c15:sqref>
                  </c15:fullRef>
                </c:ext>
              </c:extLst>
              <c:f>'Strom - Flows'!$D$11:$I$11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64-4531-80E4-E65B8E3009E1}"/>
            </c:ext>
          </c:extLst>
        </c:ser>
        <c:ser>
          <c:idx val="13"/>
          <c:order val="7"/>
          <c:tx>
            <c:strRef>
              <c:f>'Strom - Flows'!$A$12</c:f>
              <c:strCache>
                <c:ptCount val="1"/>
                <c:pt idx="0">
                  <c:v>Freiflächen-PV</c:v>
                </c:pt>
              </c:strCache>
            </c:strRef>
          </c:tx>
          <c:spPr>
            <a:solidFill>
              <a:srgbClr val="FFFF00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Flows'!$D$12:$J$12</c15:sqref>
                  </c15:fullRef>
                </c:ext>
              </c:extLst>
              <c:f>'Strom - Flows'!$D$12:$I$12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64-4531-80E4-E65B8E3009E1}"/>
            </c:ext>
          </c:extLst>
        </c:ser>
        <c:ser>
          <c:idx val="6"/>
          <c:order val="8"/>
          <c:tx>
            <c:strRef>
              <c:f>'Strom - Flows'!$A$13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Flows'!$D$13:$J$13</c15:sqref>
                  </c15:fullRef>
                </c:ext>
              </c:extLst>
              <c:f>'Strom - Flows'!$D$13:$I$13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64-4531-80E4-E65B8E3009E1}"/>
            </c:ext>
          </c:extLst>
        </c:ser>
        <c:ser>
          <c:idx val="7"/>
          <c:order val="9"/>
          <c:tx>
            <c:strRef>
              <c:f>'Strom - Flows'!$A$14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Flows'!$D$14:$J$14</c15:sqref>
                  </c15:fullRef>
                </c:ext>
              </c:extLst>
              <c:f>'Strom - Flows'!$D$14:$I$14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64-4531-80E4-E65B8E3009E1}"/>
            </c:ext>
          </c:extLst>
        </c:ser>
        <c:ser>
          <c:idx val="8"/>
          <c:order val="10"/>
          <c:tx>
            <c:strRef>
              <c:f>'Strom - Flows'!$A$15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Flows'!$D$15:$J$15</c15:sqref>
                  </c15:fullRef>
                </c:ext>
              </c:extLst>
              <c:f>'Strom - Flows'!$D$15:$I$15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64-4531-80E4-E65B8E3009E1}"/>
            </c:ext>
          </c:extLst>
        </c:ser>
        <c:ser>
          <c:idx val="9"/>
          <c:order val="11"/>
          <c:tx>
            <c:strRef>
              <c:f>'Strom - Flows'!$A$16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Flows'!$D$16:$J$16</c15:sqref>
                  </c15:fullRef>
                </c:ext>
              </c:extLst>
              <c:f>'Strom - Flows'!$D$16:$I$16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64-4531-80E4-E65B8E3009E1}"/>
            </c:ext>
          </c:extLst>
        </c:ser>
        <c:ser>
          <c:idx val="10"/>
          <c:order val="12"/>
          <c:tx>
            <c:strRef>
              <c:f>'Strom - Flows'!$A$17</c:f>
              <c:strCache>
                <c:ptCount val="1"/>
                <c:pt idx="0">
                  <c:v>Wasserstoff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2">
                  <a:lumMod val="75000"/>
                </a:schemeClr>
              </a:bgClr>
            </a:patt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Flows'!$D$17:$J$17</c15:sqref>
                  </c15:fullRef>
                </c:ext>
              </c:extLst>
              <c:f>'Strom - Flows'!$D$17:$I$17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64-4531-80E4-E65B8E3009E1}"/>
            </c:ext>
          </c:extLst>
        </c:ser>
        <c:ser>
          <c:idx val="11"/>
          <c:order val="13"/>
          <c:tx>
            <c:strRef>
              <c:f>'Strom - Flows'!$A$18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Flows'!$D$18:$J$18</c15:sqref>
                  </c15:fullRef>
                </c:ext>
              </c:extLst>
              <c:f>'Strom - Flows'!$D$18:$I$18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64-4531-80E4-E65B8E3009E1}"/>
            </c:ext>
          </c:extLst>
        </c:ser>
        <c:ser>
          <c:idx val="12"/>
          <c:order val="14"/>
          <c:tx>
            <c:strRef>
              <c:f>'Strom - Flows'!$A$19</c:f>
              <c:strCache>
                <c:ptCount val="1"/>
                <c:pt idx="0">
                  <c:v>El.-Import</c:v>
                </c:pt>
              </c:strCache>
            </c:strRef>
          </c:tx>
          <c:spPr>
            <a:pattFill prst="ltDnDiag">
              <a:fgClr>
                <a:schemeClr val="tx1">
                  <a:lumMod val="50000"/>
                  <a:lumOff val="50000"/>
                </a:schemeClr>
              </a:fgClr>
              <a:bgClr>
                <a:schemeClr val="bg1">
                  <a:lumMod val="95000"/>
                </a:schemeClr>
              </a:bgClr>
            </a:patt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Flows'!$D$19:$J$19</c15:sqref>
                  </c15:fullRef>
                </c:ext>
              </c:extLst>
              <c:f>'Strom - Flows'!$D$19:$I$19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F64-4531-80E4-E65B8E300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671232"/>
        <c:axId val="331334208"/>
      </c:barChart>
      <c:lineChart>
        <c:grouping val="standard"/>
        <c:varyColors val="0"/>
        <c:ser>
          <c:idx val="14"/>
          <c:order val="15"/>
          <c:tx>
            <c:strRef>
              <c:f>'Strom - Flows'!$A$20</c:f>
              <c:strCache>
                <c:ptCount val="1"/>
                <c:pt idx="0">
                  <c:v>EE-Anteil</c:v>
                </c:pt>
              </c:strCache>
            </c:strRef>
          </c:tx>
          <c:spPr>
            <a:ln>
              <a:solidFill>
                <a:srgbClr val="00B050"/>
              </a:solidFill>
              <a:prstDash val="dash"/>
            </a:ln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'Strom - Flows'!$D$4:$J$4</c15:sqref>
                  </c15:fullRef>
                </c:ext>
              </c:extLst>
              <c:f>'Strom - Flows'!$D$4:$I$4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Flows'!$D$20:$J$20</c15:sqref>
                  </c15:fullRef>
                </c:ext>
              </c:extLst>
              <c:f>'Strom - Flows'!$D$20:$I$20</c:f>
              <c:numCache>
                <c:formatCode>General</c:formatCode>
                <c:ptCount val="6"/>
                <c:pt idx="0" formatCode="0.0%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5-44C2-9C57-61F99AE37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944576"/>
        <c:axId val="331334784"/>
      </c:lineChart>
      <c:catAx>
        <c:axId val="33667123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31334208"/>
        <c:crosses val="autoZero"/>
        <c:auto val="1"/>
        <c:lblAlgn val="ctr"/>
        <c:lblOffset val="100"/>
        <c:noMultiLvlLbl val="0"/>
      </c:catAx>
      <c:valAx>
        <c:axId val="331334208"/>
        <c:scaling>
          <c:orientation val="minMax"/>
          <c:max val="1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Umwandlung zu elektr. Energoe </a:t>
                </a:r>
                <a:r>
                  <a:rPr lang="en-US" baseline="0"/>
                  <a:t>in TWh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36671232"/>
        <c:crosses val="autoZero"/>
        <c:crossBetween val="between"/>
        <c:majorUnit val="200000"/>
        <c:dispUnits>
          <c:builtInUnit val="thousands"/>
        </c:dispUnits>
      </c:valAx>
      <c:valAx>
        <c:axId val="331334784"/>
        <c:scaling>
          <c:orientation val="minMax"/>
          <c:max val="1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crossAx val="329944576"/>
        <c:crosses val="max"/>
        <c:crossBetween val="between"/>
        <c:majorUnit val="0.2"/>
      </c:valAx>
      <c:catAx>
        <c:axId val="329944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1334784"/>
        <c:crosses val="autoZero"/>
        <c:auto val="1"/>
        <c:lblAlgn val="ctr"/>
        <c:lblOffset val="100"/>
        <c:noMultiLvlLbl val="0"/>
      </c:cat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3889716047073908"/>
          <c:y val="5.7640853302386968E-2"/>
          <c:w val="0.25673590315183875"/>
          <c:h val="0.88367672536141806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Strommix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118059761760548"/>
          <c:y val="0.23007231862580654"/>
          <c:w val="0.41861290066014478"/>
          <c:h val="0.7692376271991523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D2-4C0A-BC17-2EE0D4E13863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D2-4C0A-BC17-2EE0D4E13863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D2-4C0A-BC17-2EE0D4E13863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D2-4C0A-BC17-2EE0D4E13863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FD2-4C0A-BC17-2EE0D4E13863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FD2-4C0A-BC17-2EE0D4E13863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FD2-4C0A-BC17-2EE0D4E13863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FD2-4C0A-BC17-2EE0D4E13863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FD2-4C0A-BC17-2EE0D4E13863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FD2-4C0A-BC17-2EE0D4E13863}"/>
              </c:ext>
            </c:extLst>
          </c:dPt>
          <c:dPt>
            <c:idx val="10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5-7FD2-4C0A-BC17-2EE0D4E13863}"/>
              </c:ext>
            </c:extLst>
          </c:dPt>
          <c:dPt>
            <c:idx val="11"/>
            <c:bubble3D val="0"/>
            <c:spPr>
              <a:pattFill prst="ltDnDiag">
                <a:fgClr>
                  <a:schemeClr val="bg1"/>
                </a:fgClr>
                <a:bgClr>
                  <a:schemeClr val="accent2">
                    <a:lumMod val="75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7-7FD2-4C0A-BC17-2EE0D4E13863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19-7FD2-4C0A-BC17-2EE0D4E13863}"/>
              </c:ext>
            </c:extLst>
          </c:dPt>
          <c:dPt>
            <c:idx val="13"/>
            <c:bubble3D val="0"/>
            <c:spPr>
              <a:pattFill prst="ltUpDiag">
                <a:fgClr>
                  <a:schemeClr val="bg1"/>
                </a:fgClr>
                <a:bgClr>
                  <a:schemeClr val="bg1">
                    <a:lumMod val="50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B-7FD2-4C0A-BC17-2EE0D4E13863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'Strom - Flows'!$Z$5:$Z$18</c:f>
              <c:strCache>
                <c:ptCount val="14"/>
                <c:pt idx="0">
                  <c:v>Steinkohle</c:v>
                </c:pt>
                <c:pt idx="1">
                  <c:v>Braunkohle</c:v>
                </c:pt>
                <c:pt idx="2">
                  <c:v>Kernenergie</c:v>
                </c:pt>
                <c:pt idx="3">
                  <c:v>Erdgas</c:v>
                </c:pt>
                <c:pt idx="4">
                  <c:v>Erdöl</c:v>
                </c:pt>
                <c:pt idx="5">
                  <c:v>Aufdach-PV</c:v>
                </c:pt>
                <c:pt idx="6">
                  <c:v>Freifeld-PV</c:v>
                </c:pt>
                <c:pt idx="7">
                  <c:v>Wind (Onshore)</c:v>
                </c:pt>
                <c:pt idx="8">
                  <c:v>Wind (Offshore)</c:v>
                </c:pt>
                <c:pt idx="9">
                  <c:v>Wasserkraft</c:v>
                </c:pt>
                <c:pt idx="10">
                  <c:v>Biomasse</c:v>
                </c:pt>
                <c:pt idx="11">
                  <c:v>Wasserstoff</c:v>
                </c:pt>
                <c:pt idx="12">
                  <c:v>Müll</c:v>
                </c:pt>
                <c:pt idx="13">
                  <c:v>Import</c:v>
                </c:pt>
              </c:strCache>
            </c:strRef>
          </c:cat>
          <c:val>
            <c:numRef>
              <c:f>'Strom - Flows'!$AB$5:$AB$18</c:f>
              <c:numCache>
                <c:formatCode>0%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FD2-4C0A-BC17-2EE0D4E138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428537341923173"/>
          <c:y val="0.17930783806285711"/>
          <c:w val="0.23196797370025721"/>
          <c:h val="0.7728290604249804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Strommix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487134874269745"/>
          <c:y val="0.21628135768551629"/>
          <c:w val="0.43586789262523895"/>
          <c:h val="0.77084950897991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4F-49D8-905C-D6D6105A7249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4F-49D8-905C-D6D6105A7249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4F-49D8-905C-D6D6105A7249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4F-49D8-905C-D6D6105A7249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C4F-49D8-905C-D6D6105A7249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C4F-49D8-905C-D6D6105A7249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C4F-49D8-905C-D6D6105A7249}"/>
              </c:ext>
            </c:extLst>
          </c:dPt>
          <c:dPt>
            <c:idx val="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C4F-49D8-905C-D6D6105A7249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C4F-49D8-905C-D6D6105A7249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C4F-49D8-905C-D6D6105A7249}"/>
              </c:ext>
            </c:extLst>
          </c:dPt>
          <c:dPt>
            <c:idx val="10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5-CC4F-49D8-905C-D6D6105A7249}"/>
              </c:ext>
            </c:extLst>
          </c:dPt>
          <c:dPt>
            <c:idx val="11"/>
            <c:bubble3D val="0"/>
            <c:spPr>
              <a:pattFill prst="ltDnDiag">
                <a:fgClr>
                  <a:schemeClr val="bg1"/>
                </a:fgClr>
                <a:bgClr>
                  <a:schemeClr val="accent2">
                    <a:lumMod val="75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7-CC4F-49D8-905C-D6D6105A7249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19-CC4F-49D8-905C-D6D6105A7249}"/>
              </c:ext>
            </c:extLst>
          </c:dPt>
          <c:dPt>
            <c:idx val="13"/>
            <c:bubble3D val="0"/>
            <c:spPr>
              <a:pattFill prst="ltUpDiag">
                <a:fgClr>
                  <a:schemeClr val="bg1"/>
                </a:fgClr>
                <a:bgClr>
                  <a:schemeClr val="bg1">
                    <a:lumMod val="50000"/>
                  </a:schemeClr>
                </a:bgClr>
              </a:pattFill>
            </c:spPr>
            <c:extLst>
              <c:ext xmlns:c16="http://schemas.microsoft.com/office/drawing/2014/chart" uri="{C3380CC4-5D6E-409C-BE32-E72D297353CC}">
                <c16:uniqueId val="{0000001B-CC4F-49D8-905C-D6D6105A724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'Strom - Flows'!$Z$5:$Z$18</c:f>
              <c:strCache>
                <c:ptCount val="14"/>
                <c:pt idx="0">
                  <c:v>Steinkohle</c:v>
                </c:pt>
                <c:pt idx="1">
                  <c:v>Braunkohle</c:v>
                </c:pt>
                <c:pt idx="2">
                  <c:v>Kernenergie</c:v>
                </c:pt>
                <c:pt idx="3">
                  <c:v>Erdgas</c:v>
                </c:pt>
                <c:pt idx="4">
                  <c:v>Erdöl</c:v>
                </c:pt>
                <c:pt idx="5">
                  <c:v>Aufdach-PV</c:v>
                </c:pt>
                <c:pt idx="6">
                  <c:v>Freifeld-PV</c:v>
                </c:pt>
                <c:pt idx="7">
                  <c:v>Wind (Onshore)</c:v>
                </c:pt>
                <c:pt idx="8">
                  <c:v>Wind (Offshore)</c:v>
                </c:pt>
                <c:pt idx="9">
                  <c:v>Wasserkraft</c:v>
                </c:pt>
                <c:pt idx="10">
                  <c:v>Biomasse</c:v>
                </c:pt>
                <c:pt idx="11">
                  <c:v>Wasserstoff</c:v>
                </c:pt>
                <c:pt idx="12">
                  <c:v>Müll</c:v>
                </c:pt>
                <c:pt idx="13">
                  <c:v>Import</c:v>
                </c:pt>
              </c:strCache>
            </c:strRef>
          </c:cat>
          <c:val>
            <c:numRef>
              <c:f>'Strom - Flows'!$AC$5:$AC$18</c:f>
              <c:numCache>
                <c:formatCode>0%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C4F-49D8-905C-D6D6105A7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753150773561183"/>
          <c:y val="0.19497525730631984"/>
          <c:w val="0.21988814295290596"/>
          <c:h val="0.787371140405202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Inst. Capacities connected to</a:t>
            </a:r>
            <a:r>
              <a:rPr lang="en-US" sz="1800" baseline="0"/>
              <a:t> Transmission Grid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14734901516882"/>
          <c:y val="0.13345026620031358"/>
          <c:w val="0.64877110411639904"/>
          <c:h val="0.6753979513192292"/>
        </c:manualLayout>
      </c:layout>
      <c:areaChart>
        <c:grouping val="stacked"/>
        <c:varyColors val="0"/>
        <c:ser>
          <c:idx val="0"/>
          <c:order val="0"/>
          <c:tx>
            <c:strRef>
              <c:f>Übertragungsnetz!$B$8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Übertragungsnetz!$D$8:$J$8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A-45F8-9D4D-0CE83174E173}"/>
            </c:ext>
          </c:extLst>
        </c:ser>
        <c:ser>
          <c:idx val="1"/>
          <c:order val="1"/>
          <c:tx>
            <c:strRef>
              <c:f>Übertragungsnetz!$B$13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Übertragungsnetz!$D$13:$J$13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EA-45F8-9D4D-0CE83174E173}"/>
            </c:ext>
          </c:extLst>
        </c:ser>
        <c:ser>
          <c:idx val="2"/>
          <c:order val="2"/>
          <c:tx>
            <c:strRef>
              <c:f>Übertragungsnetz!$B$15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Übertragungsnetz!$D$15:$J$15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EA-45F8-9D4D-0CE83174E173}"/>
            </c:ext>
          </c:extLst>
        </c:ser>
        <c:ser>
          <c:idx val="3"/>
          <c:order val="3"/>
          <c:tx>
            <c:strRef>
              <c:f>Übertragungsnetz!$B$22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Übertragungsnetz!$D$22:$J$22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EA-45F8-9D4D-0CE83174E173}"/>
            </c:ext>
          </c:extLst>
        </c:ser>
        <c:ser>
          <c:idx val="4"/>
          <c:order val="4"/>
          <c:tx>
            <c:strRef>
              <c:f>Übertragungsnetz!$B$31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Übertragungsnetz!$D$31:$J$31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EA-45F8-9D4D-0CE83174E173}"/>
            </c:ext>
          </c:extLst>
        </c:ser>
        <c:ser>
          <c:idx val="5"/>
          <c:order val="5"/>
          <c:tx>
            <c:strRef>
              <c:f>Übertragungsnetz!$B$40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Übertragungsnetz!$D$40:$J$40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EA-45F8-9D4D-0CE83174E173}"/>
            </c:ext>
          </c:extLst>
        </c:ser>
        <c:ser>
          <c:idx val="6"/>
          <c:order val="6"/>
          <c:tx>
            <c:strRef>
              <c:f>Übertragungsnetz!$B$44</c:f>
              <c:strCache>
                <c:ptCount val="1"/>
                <c:pt idx="0">
                  <c:v>Offshore-Wind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Übertragungsnetz!$D$44:$J$44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EA-45F8-9D4D-0CE83174E173}"/>
            </c:ext>
          </c:extLst>
        </c:ser>
        <c:ser>
          <c:idx val="7"/>
          <c:order val="7"/>
          <c:tx>
            <c:strRef>
              <c:f>Übertragungsnetz!$B$53</c:f>
              <c:strCache>
                <c:ptCount val="1"/>
                <c:pt idx="0">
                  <c:v>Onshore-Wind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Übertragungsnetz!$D$53:$J$53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EA-45F8-9D4D-0CE83174E173}"/>
            </c:ext>
          </c:extLst>
        </c:ser>
        <c:ser>
          <c:idx val="8"/>
          <c:order val="8"/>
          <c:tx>
            <c:strRef>
              <c:f>Übertragungsnetz!$B$55</c:f>
              <c:strCache>
                <c:ptCount val="1"/>
                <c:pt idx="0">
                  <c:v>Hydro Energy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Übertragungsnetz!$D$55:$J$55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EA-45F8-9D4D-0CE83174E173}"/>
            </c:ext>
          </c:extLst>
        </c:ser>
        <c:ser>
          <c:idx val="9"/>
          <c:order val="9"/>
          <c:tx>
            <c:strRef>
              <c:f>Übertragungsnetz!$B$66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Übertragungsnetz!$D$66:$J$66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EA-45F8-9D4D-0CE83174E173}"/>
            </c:ext>
          </c:extLst>
        </c:ser>
        <c:ser>
          <c:idx val="10"/>
          <c:order val="10"/>
          <c:tx>
            <c:strRef>
              <c:f>Übertragungsnetz!$B$70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Übertragungsnetz!$D$70:$J$70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EA-45F8-9D4D-0CE83174E173}"/>
            </c:ext>
          </c:extLst>
        </c:ser>
        <c:ser>
          <c:idx val="12"/>
          <c:order val="11"/>
          <c:tx>
            <c:strRef>
              <c:f>Übertragungsnetz!$B$26</c:f>
              <c:strCache>
                <c:ptCount val="1"/>
                <c:pt idx="0">
                  <c:v>Hydrogen</c:v>
                </c:pt>
              </c:strCache>
            </c:strRef>
          </c:tx>
          <c:spPr>
            <a:ln w="25400">
              <a:noFill/>
            </a:ln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Übertragungsnetz!$D$26:$J$26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1-4943-8428-9EFBC79CC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635392"/>
        <c:axId val="360811904"/>
      </c:areaChart>
      <c:catAx>
        <c:axId val="36063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11904"/>
        <c:crosses val="autoZero"/>
        <c:auto val="1"/>
        <c:lblAlgn val="ctr"/>
        <c:lblOffset val="100"/>
        <c:noMultiLvlLbl val="0"/>
      </c:catAx>
      <c:valAx>
        <c:axId val="36081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Capacitiy [GW]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3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274011135212606"/>
          <c:y val="9.1731180516659485E-3"/>
          <c:w val="0.21645533508153467"/>
          <c:h val="0.99082688194833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Energy Supply to Transmission Grid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220322956319201"/>
          <c:y val="0.13829199921438393"/>
          <c:w val="0.58366640593766839"/>
          <c:h val="0.68728408948881392"/>
        </c:manualLayout>
      </c:layout>
      <c:areaChart>
        <c:grouping val="stacked"/>
        <c:varyColors val="0"/>
        <c:ser>
          <c:idx val="0"/>
          <c:order val="0"/>
          <c:tx>
            <c:strRef>
              <c:f>Übertragungsnetz!$L$8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Übertragungsnetz!$N$8:$T$8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3-45D5-890A-C44154801102}"/>
            </c:ext>
          </c:extLst>
        </c:ser>
        <c:ser>
          <c:idx val="1"/>
          <c:order val="1"/>
          <c:tx>
            <c:strRef>
              <c:f>Übertragungsnetz!$L$13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Übertragungsnetz!$N$13:$T$13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73-45D5-890A-C44154801102}"/>
            </c:ext>
          </c:extLst>
        </c:ser>
        <c:ser>
          <c:idx val="2"/>
          <c:order val="2"/>
          <c:tx>
            <c:strRef>
              <c:f>Übertragungsnetz!$L$16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Übertragungsnetz!$N$16:$T$16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73-45D5-890A-C44154801102}"/>
            </c:ext>
          </c:extLst>
        </c:ser>
        <c:ser>
          <c:idx val="3"/>
          <c:order val="3"/>
          <c:tx>
            <c:strRef>
              <c:f>Übertragungsnetz!$L$23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Übertragungsnetz!$N$23:$T$23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73-45D5-890A-C44154801102}"/>
            </c:ext>
          </c:extLst>
        </c:ser>
        <c:ser>
          <c:idx val="4"/>
          <c:order val="4"/>
          <c:tx>
            <c:strRef>
              <c:f>Übertragungsnetz!$L$30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Übertragungsnetz!$N$30:$T$30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73-45D5-890A-C44154801102}"/>
            </c:ext>
          </c:extLst>
        </c:ser>
        <c:ser>
          <c:idx val="5"/>
          <c:order val="5"/>
          <c:tx>
            <c:strRef>
              <c:f>Übertragungsnetz!$L$40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Übertragungsnetz!$N$40:$T$40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73-45D5-890A-C44154801102}"/>
            </c:ext>
          </c:extLst>
        </c:ser>
        <c:ser>
          <c:idx val="6"/>
          <c:order val="6"/>
          <c:tx>
            <c:strRef>
              <c:f>Übertragungsnetz!$L$45</c:f>
              <c:strCache>
                <c:ptCount val="1"/>
                <c:pt idx="0">
                  <c:v>Offshore-Wind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Übertragungsnetz!$N$45:$T$45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73-45D5-890A-C44154801102}"/>
            </c:ext>
          </c:extLst>
        </c:ser>
        <c:ser>
          <c:idx val="7"/>
          <c:order val="7"/>
          <c:tx>
            <c:strRef>
              <c:f>Übertragungsnetz!$L$59</c:f>
              <c:strCache>
                <c:ptCount val="1"/>
                <c:pt idx="0">
                  <c:v>Onshore-Wind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Übertragungsnetz!$N$59:$T$59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73-45D5-890A-C44154801102}"/>
            </c:ext>
          </c:extLst>
        </c:ser>
        <c:ser>
          <c:idx val="8"/>
          <c:order val="8"/>
          <c:tx>
            <c:strRef>
              <c:f>Übertragungsnetz!$L$62</c:f>
              <c:strCache>
                <c:ptCount val="1"/>
                <c:pt idx="0">
                  <c:v>Hydro Energy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Übertragungsnetz!$N$62:$T$62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73-45D5-890A-C44154801102}"/>
            </c:ext>
          </c:extLst>
        </c:ser>
        <c:ser>
          <c:idx val="9"/>
          <c:order val="9"/>
          <c:tx>
            <c:strRef>
              <c:f>Übertragungsnetz!$L$68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Übertragungsnetz!$N$68:$T$68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73-45D5-890A-C44154801102}"/>
            </c:ext>
          </c:extLst>
        </c:ser>
        <c:ser>
          <c:idx val="10"/>
          <c:order val="10"/>
          <c:tx>
            <c:strRef>
              <c:f>Übertragungsnetz!$L$72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Übertragungsnetz!$N$72:$T$72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73-45D5-890A-C44154801102}"/>
            </c:ext>
          </c:extLst>
        </c:ser>
        <c:ser>
          <c:idx val="11"/>
          <c:order val="11"/>
          <c:tx>
            <c:strRef>
              <c:f>Übertragungsnetz!$L$27</c:f>
              <c:strCache>
                <c:ptCount val="1"/>
                <c:pt idx="0">
                  <c:v>Hydrogen</c:v>
                </c:pt>
              </c:strCache>
            </c:strRef>
          </c:tx>
          <c:spPr>
            <a:ln w="25400">
              <a:noFill/>
            </a:ln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Übertragungsnetz!$N$27:$T$27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6-4358-AEE0-C19FDE29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54208"/>
        <c:axId val="360814208"/>
      </c:areaChart>
      <c:catAx>
        <c:axId val="36105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14208"/>
        <c:crosses val="autoZero"/>
        <c:auto val="1"/>
        <c:lblAlgn val="ctr"/>
        <c:lblOffset val="100"/>
        <c:noMultiLvlLbl val="0"/>
      </c:catAx>
      <c:valAx>
        <c:axId val="3608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Energy Supply [GWh/a]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5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01842229570144"/>
          <c:y val="6.6191726034245729E-3"/>
          <c:w val="0.15904281908027501"/>
          <c:h val="0.992733051225739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Inst. Kapazitäten</a:t>
            </a:r>
            <a:r>
              <a:rPr lang="en-US" sz="1800" baseline="0"/>
              <a:t> am Transmission Grid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14734901516882"/>
          <c:y val="0.13345026620031358"/>
          <c:w val="0.64877110411639904"/>
          <c:h val="0.6753979513192292"/>
        </c:manualLayout>
      </c:layout>
      <c:areaChart>
        <c:grouping val="stacked"/>
        <c:varyColors val="0"/>
        <c:ser>
          <c:idx val="0"/>
          <c:order val="0"/>
          <c:tx>
            <c:strRef>
              <c:f>Übertragungsnetz!$V$3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Übertragungsnetz!$D$4:$J$4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Übertragungsnetz!$D$8:$J$8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A5-4768-9C76-8AD71CAA6761}"/>
            </c:ext>
          </c:extLst>
        </c:ser>
        <c:ser>
          <c:idx val="1"/>
          <c:order val="1"/>
          <c:tx>
            <c:strRef>
              <c:f>Übertragungsnetz!$V$4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Übertragungsnetz!$D$13:$J$13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A5-4768-9C76-8AD71CAA6761}"/>
            </c:ext>
          </c:extLst>
        </c:ser>
        <c:ser>
          <c:idx val="2"/>
          <c:order val="2"/>
          <c:tx>
            <c:strRef>
              <c:f>Übertragungsnetz!$V$5</c:f>
              <c:strCache>
                <c:ptCount val="1"/>
                <c:pt idx="0">
                  <c:v>Kernenergie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Übertragungsnetz!$D$15:$J$15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A5-4768-9C76-8AD71CAA6761}"/>
            </c:ext>
          </c:extLst>
        </c:ser>
        <c:ser>
          <c:idx val="3"/>
          <c:order val="3"/>
          <c:tx>
            <c:strRef>
              <c:f>Übertragungsnetz!$V$6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Übertragungsnetz!$D$22:$J$22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A5-4768-9C76-8AD71CAA6761}"/>
            </c:ext>
          </c:extLst>
        </c:ser>
        <c:ser>
          <c:idx val="4"/>
          <c:order val="4"/>
          <c:tx>
            <c:strRef>
              <c:f>Übertragungsnetz!$V$7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Übertragungsnetz!$D$31:$J$31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A5-4768-9C76-8AD71CAA6761}"/>
            </c:ext>
          </c:extLst>
        </c:ser>
        <c:ser>
          <c:idx val="5"/>
          <c:order val="5"/>
          <c:tx>
            <c:strRef>
              <c:f>Übertragungsnetz!$V$8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Übertragungsnetz!$D$40:$J$40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A5-4768-9C76-8AD71CAA6761}"/>
            </c:ext>
          </c:extLst>
        </c:ser>
        <c:ser>
          <c:idx val="6"/>
          <c:order val="6"/>
          <c:tx>
            <c:strRef>
              <c:f>Übertragungsnetz!$V$9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Übertragungsnetz!$D$44:$J$44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A5-4768-9C76-8AD71CAA6761}"/>
            </c:ext>
          </c:extLst>
        </c:ser>
        <c:ser>
          <c:idx val="7"/>
          <c:order val="7"/>
          <c:tx>
            <c:strRef>
              <c:f>Übertragungsnetz!$V$10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Übertragungsnetz!$D$53:$J$53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A5-4768-9C76-8AD71CAA6761}"/>
            </c:ext>
          </c:extLst>
        </c:ser>
        <c:ser>
          <c:idx val="8"/>
          <c:order val="8"/>
          <c:tx>
            <c:strRef>
              <c:f>Übertragungsnetz!$V$11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Übertragungsnetz!$D$55:$J$55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A5-4768-9C76-8AD71CAA6761}"/>
            </c:ext>
          </c:extLst>
        </c:ser>
        <c:ser>
          <c:idx val="9"/>
          <c:order val="9"/>
          <c:tx>
            <c:strRef>
              <c:f>Übertragungsnetz!$V$12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Übertragungsnetz!$D$66:$J$66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3A5-4768-9C76-8AD71CAA6761}"/>
            </c:ext>
          </c:extLst>
        </c:ser>
        <c:ser>
          <c:idx val="10"/>
          <c:order val="10"/>
          <c:tx>
            <c:strRef>
              <c:f>Übertragungsnetz!$V$13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Übertragungsnetz!$D$70:$J$70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A5-4768-9C76-8AD71CAA6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56256"/>
        <c:axId val="361275392"/>
      </c:areaChart>
      <c:catAx>
        <c:axId val="361056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75392"/>
        <c:crosses val="autoZero"/>
        <c:auto val="1"/>
        <c:lblAlgn val="ctr"/>
        <c:lblOffset val="100"/>
        <c:noMultiLvlLbl val="0"/>
      </c:catAx>
      <c:valAx>
        <c:axId val="36127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Kapazität [GW]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5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590977600669274"/>
          <c:y val="0.16921152195370057"/>
          <c:w val="0.21790072134314289"/>
          <c:h val="0.62394513791520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Energiefluss in</a:t>
            </a:r>
            <a:r>
              <a:rPr lang="en-US" sz="1800" baseline="0"/>
              <a:t> das </a:t>
            </a:r>
            <a:r>
              <a:rPr lang="en-US" sz="1800"/>
              <a:t>Transmission Grid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220322956319201"/>
          <c:y val="0.13829199921438393"/>
          <c:w val="0.58366640593766839"/>
          <c:h val="0.68728408948881392"/>
        </c:manualLayout>
      </c:layout>
      <c:areaChart>
        <c:grouping val="stacked"/>
        <c:varyColors val="0"/>
        <c:ser>
          <c:idx val="0"/>
          <c:order val="0"/>
          <c:tx>
            <c:strRef>
              <c:f>Übertragungsnetz!$V$3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Übertragungsnetz!$N$8:$T$8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1-4CA7-B6DE-A181B8C761AB}"/>
            </c:ext>
          </c:extLst>
        </c:ser>
        <c:ser>
          <c:idx val="1"/>
          <c:order val="1"/>
          <c:tx>
            <c:strRef>
              <c:f>Übertragungsnetz!$V$4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Übertragungsnetz!$N$13:$T$13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1-4CA7-B6DE-A181B8C761AB}"/>
            </c:ext>
          </c:extLst>
        </c:ser>
        <c:ser>
          <c:idx val="2"/>
          <c:order val="2"/>
          <c:tx>
            <c:strRef>
              <c:f>Übertragungsnetz!$V$5</c:f>
              <c:strCache>
                <c:ptCount val="1"/>
                <c:pt idx="0">
                  <c:v>Kernenergie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Übertragungsnetz!$N$16:$T$16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1-4CA7-B6DE-A181B8C761AB}"/>
            </c:ext>
          </c:extLst>
        </c:ser>
        <c:ser>
          <c:idx val="3"/>
          <c:order val="3"/>
          <c:tx>
            <c:strRef>
              <c:f>Übertragungsnetz!$V$6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Übertragungsnetz!$N$23:$T$23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1-4CA7-B6DE-A181B8C761AB}"/>
            </c:ext>
          </c:extLst>
        </c:ser>
        <c:ser>
          <c:idx val="4"/>
          <c:order val="4"/>
          <c:tx>
            <c:strRef>
              <c:f>Übertragungsnetz!$V$7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Übertragungsnetz!$N$4:$T$4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Übertragungsnetz!$N$30:$T$30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1-4CA7-B6DE-A181B8C761AB}"/>
            </c:ext>
          </c:extLst>
        </c:ser>
        <c:ser>
          <c:idx val="5"/>
          <c:order val="5"/>
          <c:tx>
            <c:strRef>
              <c:f>Übertragungsnetz!$V$8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Übertragungsnetz!$N$40:$T$40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11-4CA7-B6DE-A181B8C761AB}"/>
            </c:ext>
          </c:extLst>
        </c:ser>
        <c:ser>
          <c:idx val="6"/>
          <c:order val="6"/>
          <c:tx>
            <c:strRef>
              <c:f>Übertragungsnetz!$V$9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Übertragungsnetz!$N$45:$T$45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11-4CA7-B6DE-A181B8C761AB}"/>
            </c:ext>
          </c:extLst>
        </c:ser>
        <c:ser>
          <c:idx val="7"/>
          <c:order val="7"/>
          <c:tx>
            <c:strRef>
              <c:f>Übertragungsnetz!$V$10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Übertragungsnetz!$N$59:$T$59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11-4CA7-B6DE-A181B8C761AB}"/>
            </c:ext>
          </c:extLst>
        </c:ser>
        <c:ser>
          <c:idx val="8"/>
          <c:order val="8"/>
          <c:tx>
            <c:strRef>
              <c:f>Übertragungsnetz!$V$11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Übertragungsnetz!$N$62:$T$62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11-4CA7-B6DE-A181B8C761AB}"/>
            </c:ext>
          </c:extLst>
        </c:ser>
        <c:ser>
          <c:idx val="9"/>
          <c:order val="9"/>
          <c:tx>
            <c:strRef>
              <c:f>Übertragungsnetz!$V$12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Übertragungsnetz!$N$68:$T$68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11-4CA7-B6DE-A181B8C761AB}"/>
            </c:ext>
          </c:extLst>
        </c:ser>
        <c:ser>
          <c:idx val="10"/>
          <c:order val="10"/>
          <c:tx>
            <c:strRef>
              <c:f>Übertragungsnetz!$V$13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val>
            <c:numRef>
              <c:f>Übertragungsnetz!$N$72:$T$72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11-4CA7-B6DE-A181B8C76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46688"/>
        <c:axId val="361277696"/>
      </c:areaChart>
      <c:catAx>
        <c:axId val="360946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77696"/>
        <c:crosses val="autoZero"/>
        <c:auto val="1"/>
        <c:lblAlgn val="ctr"/>
        <c:lblOffset val="100"/>
        <c:noMultiLvlLbl val="0"/>
      </c:catAx>
      <c:valAx>
        <c:axId val="36127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Energiefluss [GWh/a]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94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99225113417114"/>
          <c:y val="0.14284523958314735"/>
          <c:w val="0.24066301646069077"/>
          <c:h val="0.70190952790913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Inst.</a:t>
            </a:r>
            <a:r>
              <a:rPr lang="en-US" sz="1800" baseline="0"/>
              <a:t> </a:t>
            </a:r>
            <a:r>
              <a:rPr lang="en-US" sz="1800"/>
              <a:t>Capacity connected to Distribution Grid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640099376890867"/>
          <c:y val="0.13955782987080848"/>
          <c:w val="0.80742428188842807"/>
          <c:h val="0.60704349027309801"/>
        </c:manualLayout>
      </c:layout>
      <c:areaChart>
        <c:grouping val="stacked"/>
        <c:varyColors val="0"/>
        <c:ser>
          <c:idx val="0"/>
          <c:order val="0"/>
          <c:tx>
            <c:strRef>
              <c:f>Verteilnetz!$A$12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Verteilnetz!$C$4:$I$4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Verteilnetz!$C$12:$I$12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5-4073-811D-D6F97707CC7B}"/>
            </c:ext>
          </c:extLst>
        </c:ser>
        <c:ser>
          <c:idx val="1"/>
          <c:order val="1"/>
          <c:tx>
            <c:strRef>
              <c:f>Verteilnetz!$A$21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Verteilnetz!$C$4:$I$4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Verteilnetz!$C$21:$I$21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5-4073-811D-D6F97707CC7B}"/>
            </c:ext>
          </c:extLst>
        </c:ser>
        <c:ser>
          <c:idx val="2"/>
          <c:order val="2"/>
          <c:tx>
            <c:strRef>
              <c:f>Verteilnetz!$A$26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Verteilnetz!$C$4:$I$4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Verteilnetz!$C$26:$I$26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F5-4073-811D-D6F97707CC7B}"/>
            </c:ext>
          </c:extLst>
        </c:ser>
        <c:ser>
          <c:idx val="3"/>
          <c:order val="3"/>
          <c:tx>
            <c:strRef>
              <c:f>Verteilnetz!$A$9</c:f>
              <c:strCache>
                <c:ptCount val="1"/>
                <c:pt idx="0">
                  <c:v>Hydrogen</c:v>
                </c:pt>
              </c:strCache>
            </c:strRef>
          </c:tx>
          <c:spPr>
            <a:ln w="25400">
              <a:noFill/>
            </a:ln>
          </c:spPr>
          <c:cat>
            <c:numRef>
              <c:f>Verteilnetz!$C$4:$I$4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Verteilnetz!$C$9:$I$9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5-462B-B3D3-519FAAB97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56160"/>
        <c:axId val="361280000"/>
      </c:areaChart>
      <c:catAx>
        <c:axId val="361756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80000"/>
        <c:crosses val="autoZero"/>
        <c:auto val="1"/>
        <c:lblAlgn val="ctr"/>
        <c:lblOffset val="100"/>
        <c:noMultiLvlLbl val="0"/>
      </c:catAx>
      <c:valAx>
        <c:axId val="3612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Capacity [GW]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756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16982228366492"/>
          <c:y val="0.90744577980384045"/>
          <c:w val="0.72440598873161377"/>
          <c:h val="7.709114677363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Flow to Distribution Grid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80456289117706"/>
          <c:y val="0.14249245713444697"/>
          <c:w val="0.79675765529308851"/>
          <c:h val="0.61124144528662894"/>
        </c:manualLayout>
      </c:layout>
      <c:areaChart>
        <c:grouping val="stacked"/>
        <c:varyColors val="0"/>
        <c:ser>
          <c:idx val="0"/>
          <c:order val="0"/>
          <c:tx>
            <c:strRef>
              <c:f>Verteilnetz!$N$14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Verteilnetz!$P$4:$V$4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Verteilnetz!$P$14:$V$14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1-46FA-8632-D0508869CAD3}"/>
            </c:ext>
          </c:extLst>
        </c:ser>
        <c:ser>
          <c:idx val="1"/>
          <c:order val="1"/>
          <c:tx>
            <c:strRef>
              <c:f>Verteilnetz!$N$32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Verteilnetz!$P$4:$V$4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Verteilnetz!$P$32:$V$32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1-46FA-8632-D0508869CAD3}"/>
            </c:ext>
          </c:extLst>
        </c:ser>
        <c:ser>
          <c:idx val="2"/>
          <c:order val="2"/>
          <c:tx>
            <c:strRef>
              <c:f>Verteilnetz!$N$37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Verteilnetz!$P$4:$V$4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Verteilnetz!$P$37:$V$37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61-46FA-8632-D0508869CAD3}"/>
            </c:ext>
          </c:extLst>
        </c:ser>
        <c:ser>
          <c:idx val="3"/>
          <c:order val="3"/>
          <c:tx>
            <c:strRef>
              <c:f>Verteilnetz!$N$11</c:f>
              <c:strCache>
                <c:ptCount val="1"/>
                <c:pt idx="0">
                  <c:v>Hydrogen</c:v>
                </c:pt>
              </c:strCache>
            </c:strRef>
          </c:tx>
          <c:spPr>
            <a:ln w="25400">
              <a:noFill/>
            </a:ln>
          </c:spPr>
          <c:cat>
            <c:numRef>
              <c:f>Verteilnetz!$P$4:$V$4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Verteilnetz!$P$11:$V$11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4-4ECC-8DD1-2DB1A2707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524672"/>
        <c:axId val="361282304"/>
      </c:areaChart>
      <c:catAx>
        <c:axId val="36252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82304"/>
        <c:crosses val="autoZero"/>
        <c:auto val="1"/>
        <c:lblAlgn val="ctr"/>
        <c:lblOffset val="100"/>
        <c:noMultiLvlLbl val="0"/>
      </c:catAx>
      <c:valAx>
        <c:axId val="36128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Energy Supply [GWh/a]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24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09027525405478"/>
          <c:y val="0.91796060539161584"/>
          <c:w val="0.71019878109576984"/>
          <c:h val="7.8924129810876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Inst.</a:t>
            </a:r>
            <a:r>
              <a:rPr lang="en-US" sz="1800" baseline="0"/>
              <a:t> </a:t>
            </a:r>
            <a:r>
              <a:rPr lang="en-US" sz="1800"/>
              <a:t>Capacity connected to HH-Grid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640099376890867"/>
          <c:y val="0.13955782987080848"/>
          <c:w val="0.80742428188842807"/>
          <c:h val="0.60704349027309801"/>
        </c:manualLayout>
      </c:layout>
      <c:areaChart>
        <c:grouping val="stacked"/>
        <c:varyColors val="0"/>
        <c:ser>
          <c:idx val="0"/>
          <c:order val="0"/>
          <c:tx>
            <c:strRef>
              <c:f>'HH-Netz'!$A$10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'HH-Netz'!$C$4:$I$4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'HH-Netz'!$C$10:$I$10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5-4073-811D-D6F97707CC7B}"/>
            </c:ext>
          </c:extLst>
        </c:ser>
        <c:ser>
          <c:idx val="1"/>
          <c:order val="1"/>
          <c:tx>
            <c:strRef>
              <c:f>'HH-Netz'!$A$19</c:f>
              <c:strCache>
                <c:ptCount val="1"/>
                <c:pt idx="0">
                  <c:v>Photovoltaics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'HH-Netz'!$C$4:$I$4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'HH-Netz'!$C$19:$I$19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5-4073-811D-D6F97707CC7B}"/>
            </c:ext>
          </c:extLst>
        </c:ser>
        <c:ser>
          <c:idx val="2"/>
          <c:order val="2"/>
          <c:tx>
            <c:strRef>
              <c:f>'HH-Netz'!$A$25</c:f>
              <c:strCache>
                <c:ptCount val="1"/>
                <c:pt idx="0">
                  <c:v>FuelCells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'HH-Netz'!$C$4:$I$4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'HH-Netz'!$C$25:$I$25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F5-4073-811D-D6F97707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71712"/>
        <c:axId val="362231424"/>
      </c:areaChart>
      <c:catAx>
        <c:axId val="36197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31424"/>
        <c:crosses val="autoZero"/>
        <c:auto val="1"/>
        <c:lblAlgn val="ctr"/>
        <c:lblOffset val="100"/>
        <c:noMultiLvlLbl val="0"/>
      </c:catAx>
      <c:valAx>
        <c:axId val="36223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Capacity [GW]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71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160829034301745"/>
          <c:y val="0.90744577980384045"/>
          <c:w val="0.86299561692719429"/>
          <c:h val="7.729869006648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Flow to HH Grid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80456289117706"/>
          <c:y val="0.14249245713444697"/>
          <c:w val="0.79675765529308851"/>
          <c:h val="0.61124144528662894"/>
        </c:manualLayout>
      </c:layout>
      <c:areaChart>
        <c:grouping val="stacked"/>
        <c:varyColors val="0"/>
        <c:ser>
          <c:idx val="0"/>
          <c:order val="0"/>
          <c:tx>
            <c:strRef>
              <c:f>'HH-Netz'!$N$9</c:f>
              <c:strCache>
                <c:ptCount val="1"/>
                <c:pt idx="0">
                  <c:v>PelletMiniCHP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'HH-Netz'!$P$4:$V$4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'HH-Netz'!$P$9:$V$9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1-46FA-8632-D0508869CAD3}"/>
            </c:ext>
          </c:extLst>
        </c:ser>
        <c:ser>
          <c:idx val="1"/>
          <c:order val="1"/>
          <c:tx>
            <c:strRef>
              <c:f>'HH-Netz'!$N$27</c:f>
              <c:strCache>
                <c:ptCount val="1"/>
                <c:pt idx="0">
                  <c:v>Photovoltaics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'HH-Netz'!$P$4:$V$4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'HH-Netz'!$P$27:$V$27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1-46FA-8632-D0508869CAD3}"/>
            </c:ext>
          </c:extLst>
        </c:ser>
        <c:ser>
          <c:idx val="2"/>
          <c:order val="2"/>
          <c:tx>
            <c:strRef>
              <c:f>'HH-Netz'!$N$32</c:f>
              <c:strCache>
                <c:ptCount val="1"/>
                <c:pt idx="0">
                  <c:v>FuelCells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'HH-Netz'!$P$4:$V$4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'HH-Netz'!$P$32:$V$32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61-46FA-8632-D0508869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74272"/>
        <c:axId val="362905600"/>
      </c:areaChart>
      <c:catAx>
        <c:axId val="361974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905600"/>
        <c:crosses val="autoZero"/>
        <c:auto val="1"/>
        <c:lblAlgn val="ctr"/>
        <c:lblOffset val="100"/>
        <c:noMultiLvlLbl val="0"/>
      </c:catAx>
      <c:valAx>
        <c:axId val="36290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Energy Supply [GWh/a]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7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782582946362471"/>
          <c:y val="0.91796060539161584"/>
          <c:w val="0.82058765731206684"/>
          <c:h val="7.8924129810876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Inst.</a:t>
            </a:r>
            <a:r>
              <a:rPr lang="en-US" sz="1800" baseline="0"/>
              <a:t> </a:t>
            </a:r>
            <a:r>
              <a:rPr lang="en-US" sz="1800"/>
              <a:t>Kapazitäten am HH-Grid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640099376890867"/>
          <c:y val="0.13955782987080848"/>
          <c:w val="0.80742428188842807"/>
          <c:h val="0.60704349027309801"/>
        </c:manualLayout>
      </c:layout>
      <c:areaChart>
        <c:grouping val="stacked"/>
        <c:varyColors val="0"/>
        <c:ser>
          <c:idx val="0"/>
          <c:order val="0"/>
          <c:tx>
            <c:strRef>
              <c:f>'HH-Netz'!$X$4</c:f>
              <c:strCache>
                <c:ptCount val="1"/>
                <c:pt idx="0">
                  <c:v>PelletMini-BHKW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'HH-Netz'!$C$4:$I$4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'HH-Netz'!$C$10:$I$10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8-4E69-95D4-ABBFB28DE3AF}"/>
            </c:ext>
          </c:extLst>
        </c:ser>
        <c:ser>
          <c:idx val="1"/>
          <c:order val="1"/>
          <c:tx>
            <c:strRef>
              <c:f>'HH-Netz'!$X$5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'HH-Netz'!$C$4:$I$4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'HH-Netz'!$C$19:$I$19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78-4E69-95D4-ABBFB28DE3AF}"/>
            </c:ext>
          </c:extLst>
        </c:ser>
        <c:ser>
          <c:idx val="2"/>
          <c:order val="2"/>
          <c:tx>
            <c:strRef>
              <c:f>'HH-Netz'!$X$6</c:f>
              <c:strCache>
                <c:ptCount val="1"/>
                <c:pt idx="0">
                  <c:v>Brennstoffzellen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'HH-Netz'!$C$4:$I$4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'HH-Netz'!$C$25:$I$25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78-4E69-95D4-ABBFB28DE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713088"/>
        <c:axId val="362907904"/>
      </c:areaChart>
      <c:catAx>
        <c:axId val="36271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907904"/>
        <c:crosses val="autoZero"/>
        <c:auto val="1"/>
        <c:lblAlgn val="ctr"/>
        <c:lblOffset val="100"/>
        <c:noMultiLvlLbl val="0"/>
      </c:catAx>
      <c:valAx>
        <c:axId val="36290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Kapazität [GW]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13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160829034301745"/>
          <c:y val="0.90744577980384045"/>
          <c:w val="0.86299561692719429"/>
          <c:h val="7.729869006648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Energiefluss in das HH Grid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80456289117706"/>
          <c:y val="0.14249245713444697"/>
          <c:w val="0.79675765529308851"/>
          <c:h val="0.61124144528662894"/>
        </c:manualLayout>
      </c:layout>
      <c:areaChart>
        <c:grouping val="stacked"/>
        <c:varyColors val="0"/>
        <c:ser>
          <c:idx val="0"/>
          <c:order val="0"/>
          <c:tx>
            <c:strRef>
              <c:f>'HH-Netz'!$X$4</c:f>
              <c:strCache>
                <c:ptCount val="1"/>
                <c:pt idx="0">
                  <c:v>PelletMini-BHKW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'HH-Netz'!$P$4:$V$4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'HH-Netz'!$P$9:$V$9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9-43F8-BD62-CF46E48EAFCC}"/>
            </c:ext>
          </c:extLst>
        </c:ser>
        <c:ser>
          <c:idx val="1"/>
          <c:order val="1"/>
          <c:tx>
            <c:strRef>
              <c:f>'HH-Netz'!$X$5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'HH-Netz'!$P$4:$V$4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'HH-Netz'!$P$27:$V$27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9-43F8-BD62-CF46E48EAFCC}"/>
            </c:ext>
          </c:extLst>
        </c:ser>
        <c:ser>
          <c:idx val="2"/>
          <c:order val="2"/>
          <c:tx>
            <c:strRef>
              <c:f>'HH-Netz'!$X$6</c:f>
              <c:strCache>
                <c:ptCount val="1"/>
                <c:pt idx="0">
                  <c:v>Brennstoffzellen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'HH-Netz'!$P$4:$V$4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'HH-Netz'!$P$32:$V$32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9-43F8-BD62-CF46E48EA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714624"/>
        <c:axId val="362910208"/>
      </c:areaChart>
      <c:catAx>
        <c:axId val="36271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910208"/>
        <c:crosses val="autoZero"/>
        <c:auto val="1"/>
        <c:lblAlgn val="ctr"/>
        <c:lblOffset val="100"/>
        <c:noMultiLvlLbl val="0"/>
      </c:catAx>
      <c:valAx>
        <c:axId val="3629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Energiefluss [GWh/a]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1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782582946362471"/>
          <c:y val="0.91796060539161584"/>
          <c:w val="0.82058765731206684"/>
          <c:h val="7.8924129810876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RTPV capacities by region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1-C81D-4511-A850-CBFCA667F3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C81D-4511-A850-CBFCA667F3E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C81D-4511-A850-CBFCA667F3E7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C81D-4511-A850-CBFCA667F3E7}"/>
              </c:ext>
            </c:extLst>
          </c:dPt>
          <c:dPt>
            <c:idx val="4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9-C81D-4511-A850-CBFCA667F3E7}"/>
              </c:ext>
            </c:extLst>
          </c:dPt>
          <c:dPt>
            <c:idx val="5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C81D-4511-A850-CBFCA667F3E7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D-C81D-4511-A850-CBFCA667F3E7}"/>
              </c:ext>
            </c:extLst>
          </c:dPt>
          <c:cat>
            <c:strRef>
              <c:f>'Strom - Regionale Aufteilung'!$O$4:$O$10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'Strom - Regionale Aufteilung'!$P$4:$P$10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372742698626884"/>
          <c:y val="0.1561700833384026"/>
          <c:w val="0.12445280964597824"/>
          <c:h val="0.8438299166615972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'Strom - Regionale Aufteilung'!$AA$4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Aufteilung'!$AC$4:$AI$4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'Strom - Regionale Aufteilung'!$AA$5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Aufteilung'!$AC$5:$AI$5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E-46F3-A3F4-7B61371C482C}"/>
            </c:ext>
          </c:extLst>
        </c:ser>
        <c:ser>
          <c:idx val="2"/>
          <c:order val="2"/>
          <c:tx>
            <c:strRef>
              <c:f>'Strom - Regionale Aufteilung'!$AA$6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Aufteilung'!$AC$6:$AI$6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E-46F3-A3F4-7B61371C482C}"/>
            </c:ext>
          </c:extLst>
        </c:ser>
        <c:ser>
          <c:idx val="3"/>
          <c:order val="3"/>
          <c:tx>
            <c:strRef>
              <c:f>'Strom - Regionale Aufteilung'!$AA$7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Aufteilung'!$AC$7:$AI$7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4E-46F3-A3F4-7B61371C482C}"/>
            </c:ext>
          </c:extLst>
        </c:ser>
        <c:ser>
          <c:idx val="4"/>
          <c:order val="4"/>
          <c:tx>
            <c:strRef>
              <c:f>'Strom - Regionale Aufteilung'!$AA$8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Aufteilung'!$AC$8:$AI$8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8-43DC-9F45-A338BB9EEE2D}"/>
            </c:ext>
          </c:extLst>
        </c:ser>
        <c:ser>
          <c:idx val="5"/>
          <c:order val="5"/>
          <c:tx>
            <c:strRef>
              <c:f>'Strom - Regionale Aufteilung'!$AA$9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Aufteilung'!$AC$9:$AI$9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E8-43DC-9F45-A338BB9EEE2D}"/>
            </c:ext>
          </c:extLst>
        </c:ser>
        <c:ser>
          <c:idx val="6"/>
          <c:order val="6"/>
          <c:tx>
            <c:strRef>
              <c:f>'Strom - Regionale Aufteilung'!$AA$10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Aufteilung'!$AC$10:$AI$10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E8-43DC-9F45-A338BB9EE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120064"/>
        <c:axId val="362790912"/>
      </c:barChart>
      <c:catAx>
        <c:axId val="36412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2790912"/>
        <c:crosses val="autoZero"/>
        <c:auto val="1"/>
        <c:lblAlgn val="ctr"/>
        <c:lblOffset val="100"/>
        <c:noMultiLvlLbl val="0"/>
      </c:catAx>
      <c:valAx>
        <c:axId val="362790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OFPV capacities by region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412006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2397170138888887"/>
          <c:y val="5.726326012122053E-2"/>
          <c:w val="6.8323090277777776E-2"/>
          <c:h val="0.7306507582786337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OFPV by region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6ABE-4CB4-B43D-05D60CE0826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6ABE-4CB4-B43D-05D60CE0826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6ABE-4CB4-B43D-05D60CE08264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6ABE-4CB4-B43D-05D60CE08264}"/>
              </c:ext>
            </c:extLst>
          </c:dPt>
          <c:dPt>
            <c:idx val="4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9-6ABE-4CB4-B43D-05D60CE08264}"/>
              </c:ext>
            </c:extLst>
          </c:dPt>
          <c:dPt>
            <c:idx val="5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6ABE-4CB4-B43D-05D60CE08264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D-6ABE-4CB4-B43D-05D60CE08264}"/>
              </c:ext>
            </c:extLst>
          </c:dPt>
          <c:cat>
            <c:strRef>
              <c:f>'Strom - Regionale Aufteilung'!$AA$4:$AA$10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'Strom - Regionale Aufteilung'!$AB$4:$AB$10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4637719796460078"/>
          <c:y val="0.22987703457805045"/>
          <c:w val="0.1189512361920879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977165364577"/>
          <c:y val="6.1460416666666663E-2"/>
          <c:w val="0.610629383976714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'Strom - Regionale Aufteilung'!$AM$4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Aufteilung'!$AO$4:$AU$4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'Strom - Regionale Aufteilung'!$AM$5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Aufteilung'!$AO$5:$AU$5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F-4F78-A594-1D75FB524A52}"/>
            </c:ext>
          </c:extLst>
        </c:ser>
        <c:ser>
          <c:idx val="1"/>
          <c:order val="2"/>
          <c:tx>
            <c:strRef>
              <c:f>'Strom - Regionale Aufteilung'!$AM$6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Aufteilung'!$AO$6:$AU$6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CF-4F78-A594-1D75FB524A52}"/>
            </c:ext>
          </c:extLst>
        </c:ser>
        <c:ser>
          <c:idx val="3"/>
          <c:order val="3"/>
          <c:tx>
            <c:strRef>
              <c:f>'Strom - Regionale Aufteilung'!$AM$7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Aufteilung'!$AO$7:$AU$7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CF-4F78-A594-1D75FB524A52}"/>
            </c:ext>
          </c:extLst>
        </c:ser>
        <c:ser>
          <c:idx val="4"/>
          <c:order val="4"/>
          <c:tx>
            <c:strRef>
              <c:f>'Strom - Regionale Aufteilung'!$AM$8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Aufteilung'!$AO$8:$AU$8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3-46DD-A213-374E7C6BAFBD}"/>
            </c:ext>
          </c:extLst>
        </c:ser>
        <c:ser>
          <c:idx val="5"/>
          <c:order val="5"/>
          <c:tx>
            <c:strRef>
              <c:f>'Strom - Regionale Aufteilung'!$AM$9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Aufteilung'!$AO$9:$AU$9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3-46DD-A213-374E7C6BAFBD}"/>
            </c:ext>
          </c:extLst>
        </c:ser>
        <c:ser>
          <c:idx val="6"/>
          <c:order val="6"/>
          <c:tx>
            <c:strRef>
              <c:f>'Strom - Regionale Aufteilung'!$AM$10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Aufteilung'!$AO$10:$AU$10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3-46DD-A213-374E7C6BA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425152"/>
        <c:axId val="362794368"/>
      </c:barChart>
      <c:catAx>
        <c:axId val="36542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2794368"/>
        <c:crosses val="autoZero"/>
        <c:auto val="1"/>
        <c:lblAlgn val="ctr"/>
        <c:lblOffset val="100"/>
        <c:noMultiLvlLbl val="0"/>
      </c:catAx>
      <c:valAx>
        <c:axId val="362794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Onshore energy by region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542515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458710693324426"/>
          <c:y val="0.18362430058724688"/>
          <c:w val="6.8285450294325617E-2"/>
          <c:h val="0.7298470386474267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Onshore energy by region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1-4AD2-460F-A1DF-C44BF54AFB9B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AD2-460F-A1DF-C44BF54AFB9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4AD2-460F-A1DF-C44BF54AFB9B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4AD2-460F-A1DF-C44BF54AFB9B}"/>
              </c:ext>
            </c:extLst>
          </c:dPt>
          <c:dPt>
            <c:idx val="4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9-4AD2-460F-A1DF-C44BF54AFB9B}"/>
              </c:ext>
            </c:extLst>
          </c:dPt>
          <c:dPt>
            <c:idx val="5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4AD2-460F-A1DF-C44BF54AFB9B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D-4AD2-460F-A1DF-C44BF54AFB9B}"/>
              </c:ext>
            </c:extLst>
          </c:dPt>
          <c:cat>
            <c:strRef>
              <c:f>'Strom - Regionale Aufteilung'!$AM$4:$AM$10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'Strom - Regionale Aufteilung'!$AN$4:$AN$10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5369165995841858"/>
          <c:y val="0.16828560611275556"/>
          <c:w val="9.9209488455056657E-2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'Strom - Regionale Aufteilung'!$AY$4</c:f>
              <c:strCache>
                <c:ptCount val="1"/>
                <c:pt idx="0">
                  <c:v>North sea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numRef>
              <c:f>'Strom - Regionale Aufteilung'!$BB$3:$BH$3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Aufteilung'!$BB$4:$BH$4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'Strom - Regionale Aufteilung'!$AY$5</c:f>
              <c:strCache>
                <c:ptCount val="1"/>
                <c:pt idx="0">
                  <c:v>Baltic sea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Aufteilung'!$BB$3:$BH$3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Aufteilung'!$BB$5:$BH$5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F-4642-B308-3FBED084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426688"/>
        <c:axId val="362797824"/>
      </c:barChart>
      <c:catAx>
        <c:axId val="36542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2797824"/>
        <c:crosses val="autoZero"/>
        <c:auto val="1"/>
        <c:lblAlgn val="ctr"/>
        <c:lblOffset val="100"/>
        <c:noMultiLvlLbl val="0"/>
      </c:catAx>
      <c:valAx>
        <c:axId val="362797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Offshore energy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542668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919423611111111"/>
          <c:h val="0.6928504166413761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28303752540789"/>
          <c:y val="6.1460416666666663E-2"/>
          <c:w val="0.5924208244699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'Strom - Regionale Aufteilung'!$O$4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Aufteilung'!$Q$4:$W$4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'Strom - Regionale Aufteilung'!$O$5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Aufteilung'!$Q$5:$W$5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B-4C42-876B-760261E9AF09}"/>
            </c:ext>
          </c:extLst>
        </c:ser>
        <c:ser>
          <c:idx val="2"/>
          <c:order val="2"/>
          <c:tx>
            <c:strRef>
              <c:f>'Strom - Regionale Aufteilung'!$O$6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Aufteilung'!$Q$6:$W$6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B-4C42-876B-760261E9AF09}"/>
            </c:ext>
          </c:extLst>
        </c:ser>
        <c:ser>
          <c:idx val="3"/>
          <c:order val="3"/>
          <c:tx>
            <c:strRef>
              <c:f>'Strom - Regionale Aufteilung'!$O$7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Aufteilung'!$Q$7:$W$7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B-4C42-876B-760261E9AF09}"/>
            </c:ext>
          </c:extLst>
        </c:ser>
        <c:ser>
          <c:idx val="4"/>
          <c:order val="4"/>
          <c:tx>
            <c:strRef>
              <c:f>'Strom - Regionale Aufteilung'!$O$8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Aufteilung'!$Q$8:$W$8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6-4D54-9573-80542D031943}"/>
            </c:ext>
          </c:extLst>
        </c:ser>
        <c:ser>
          <c:idx val="5"/>
          <c:order val="5"/>
          <c:tx>
            <c:strRef>
              <c:f>'Strom - Regionale Aufteilung'!$O$9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Aufteilung'!$Q$9:$W$9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6-4D54-9573-80542D031943}"/>
            </c:ext>
          </c:extLst>
        </c:ser>
        <c:ser>
          <c:idx val="6"/>
          <c:order val="6"/>
          <c:tx>
            <c:strRef>
              <c:f>'Strom - Regionale Aufteilung'!$O$10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Aufteilung'!$Q$10:$W$10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6-4D54-9573-80542D031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121088"/>
        <c:axId val="366863488"/>
      </c:barChart>
      <c:catAx>
        <c:axId val="36412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6863488"/>
        <c:crosses val="autoZero"/>
        <c:auto val="1"/>
        <c:lblAlgn val="ctr"/>
        <c:lblOffset val="100"/>
        <c:noMultiLvlLbl val="0"/>
      </c:catAx>
      <c:valAx>
        <c:axId val="366863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RTPV capacities by region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412108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5.726326012122053E-2"/>
          <c:w val="6.8323090277777776E-2"/>
          <c:h val="0.7262458921154629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Offshore</a:t>
            </a:r>
            <a:r>
              <a:rPr lang="de-DE" sz="1600" baseline="0"/>
              <a:t> energy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2060"/>
              </a:solidFill>
            </c:spPr>
            <c:extLst>
              <c:ext xmlns:c16="http://schemas.microsoft.com/office/drawing/2014/chart" uri="{C3380CC4-5D6E-409C-BE32-E72D297353CC}">
                <c16:uniqueId val="{00000001-B8EF-4B36-AD7B-A90EF8C606A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B8EF-4B36-AD7B-A90EF8C606A3}"/>
              </c:ext>
            </c:extLst>
          </c:dPt>
          <c:cat>
            <c:strRef>
              <c:f>'Strom - Regionale Aufteilung'!$AY$4:$AY$5</c:f>
              <c:strCache>
                <c:ptCount val="2"/>
                <c:pt idx="0">
                  <c:v>North sea</c:v>
                </c:pt>
                <c:pt idx="1">
                  <c:v>Baltic sea</c:v>
                </c:pt>
              </c:strCache>
            </c:strRef>
          </c:cat>
          <c:val>
            <c:numRef>
              <c:f>'Strom - Regionale Aufteilung'!$BA$4:$BA$5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'Strom - Regionale Aufteilung'!$B$4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Aufteilung'!$D$3:$J$3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Aufteilung'!$D$4:$J$4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'Strom - Regionale Aufteilung'!$B$5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Aufteilung'!$D$3:$J$3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Aufteilung'!$D$5:$J$5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1-4F28-BE36-7906C596F439}"/>
            </c:ext>
          </c:extLst>
        </c:ser>
        <c:ser>
          <c:idx val="2"/>
          <c:order val="2"/>
          <c:tx>
            <c:strRef>
              <c:f>'Strom - Regionale Aufteilung'!$B$6</c:f>
              <c:strCache>
                <c:ptCount val="1"/>
                <c:pt idx="0">
                  <c:v>RTPV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'Strom - Regionale Aufteilung'!$D$3:$J$3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Aufteilung'!$D$6:$J$6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1-4F28-BE36-7906C596F439}"/>
            </c:ext>
          </c:extLst>
        </c:ser>
        <c:ser>
          <c:idx val="3"/>
          <c:order val="3"/>
          <c:tx>
            <c:strRef>
              <c:f>'Strom - Regionale Aufteilung'!$B$7</c:f>
              <c:strCache>
                <c:ptCount val="1"/>
                <c:pt idx="0">
                  <c:v>OFPV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'Strom - Regionale Aufteilung'!$D$3:$J$3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Aufteilung'!$D$7:$J$7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1-4F28-BE36-7906C596F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406656"/>
        <c:axId val="366866944"/>
      </c:barChart>
      <c:catAx>
        <c:axId val="38240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6866944"/>
        <c:crosses val="autoZero"/>
        <c:auto val="1"/>
        <c:lblAlgn val="ctr"/>
        <c:lblOffset val="100"/>
        <c:noMultiLvlLbl val="0"/>
      </c:catAx>
      <c:valAx>
        <c:axId val="366866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Capacities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240665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5.726326012122053E-2"/>
          <c:w val="0.1840232638888889"/>
          <c:h val="0.6333531610117317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Capacities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6-171C-4F09-A42B-155F50D683B3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E75-4D3D-A215-E985DB4B69D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3-4E75-4D3D-A215-E985DB4B69D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5-4E75-4D3D-A215-E985DB4B69D8}"/>
              </c:ext>
            </c:extLst>
          </c:dPt>
          <c:cat>
            <c:strRef>
              <c:f>'Strom - Regionale Aufteilung'!$B$4:$B$7</c:f>
              <c:strCache>
                <c:ptCount val="4"/>
                <c:pt idx="0">
                  <c:v>Onshore</c:v>
                </c:pt>
                <c:pt idx="1">
                  <c:v>Offshore</c:v>
                </c:pt>
                <c:pt idx="2">
                  <c:v>RTPV</c:v>
                </c:pt>
                <c:pt idx="3">
                  <c:v>OFPV</c:v>
                </c:pt>
              </c:strCache>
            </c:strRef>
          </c:cat>
          <c:val>
            <c:numRef>
              <c:f>'Strom - Regionale Aufteilung'!$C$4:$C$7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4313100484731256"/>
          <c:y val="0.1561700833384026"/>
          <c:w val="0.3156813167084605"/>
          <c:h val="0.8438299166615972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'Strom - Regionale Aufteilung'!$B$4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Aufteilung'!$D$3:$J$3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Aufteilung'!$D$4:$J$4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'Strom - Regionale Aufteilung'!$B$5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Aufteilung'!$D$3:$J$3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Aufteilung'!$D$5:$J$5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1-4F28-BE36-7906C596F439}"/>
            </c:ext>
          </c:extLst>
        </c:ser>
        <c:ser>
          <c:idx val="2"/>
          <c:order val="2"/>
          <c:tx>
            <c:strRef>
              <c:f>'Strom - Regionale Aufteilung'!$B$6</c:f>
              <c:strCache>
                <c:ptCount val="1"/>
                <c:pt idx="0">
                  <c:v>RTPV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'Strom - Regionale Aufteilung'!$D$3:$J$3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Aufteilung'!$D$6:$J$6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1-4F28-BE36-7906C596F439}"/>
            </c:ext>
          </c:extLst>
        </c:ser>
        <c:ser>
          <c:idx val="3"/>
          <c:order val="3"/>
          <c:tx>
            <c:strRef>
              <c:f>'Strom - Regionale Aufteilung'!$B$7</c:f>
              <c:strCache>
                <c:ptCount val="1"/>
                <c:pt idx="0">
                  <c:v>OFPV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'Strom - Regionale Aufteilung'!$D$3:$J$3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Aufteilung'!$D$7:$J$7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1-4F28-BE36-7906C596F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408704"/>
        <c:axId val="382468096"/>
      </c:barChart>
      <c:catAx>
        <c:axId val="38240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2468096"/>
        <c:crosses val="autoZero"/>
        <c:auto val="1"/>
        <c:lblAlgn val="ctr"/>
        <c:lblOffset val="100"/>
        <c:noMultiLvlLbl val="0"/>
      </c:catAx>
      <c:valAx>
        <c:axId val="382468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Kapazität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240870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5.726326012122053E-2"/>
          <c:w val="0.1840232638888889"/>
          <c:h val="0.6333531610117317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Inst. Kapazitäten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6-171C-4F09-A42B-155F50D683B3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E75-4D3D-A215-E985DB4B69D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3-4E75-4D3D-A215-E985DB4B69D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5-4E75-4D3D-A215-E985DB4B69D8}"/>
              </c:ext>
            </c:extLst>
          </c:dPt>
          <c:cat>
            <c:strRef>
              <c:f>'Strom - Regionale Aufteilung'!$B$4:$B$7</c:f>
              <c:strCache>
                <c:ptCount val="4"/>
                <c:pt idx="0">
                  <c:v>Onshore</c:v>
                </c:pt>
                <c:pt idx="1">
                  <c:v>Offshore</c:v>
                </c:pt>
                <c:pt idx="2">
                  <c:v>RTPV</c:v>
                </c:pt>
                <c:pt idx="3">
                  <c:v>OFPV</c:v>
                </c:pt>
              </c:strCache>
            </c:strRef>
          </c:cat>
          <c:val>
            <c:numRef>
              <c:f>'Strom - Regionale Aufteilung'!$C$4:$C$7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4313100484731256"/>
          <c:y val="0.1561700833384026"/>
          <c:w val="0.3156813167084605"/>
          <c:h val="0.8438299166615972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28303752540789"/>
          <c:y val="6.1460416666666663E-2"/>
          <c:w val="0.5924208244699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'Strom - Regionale Aufteilung'!$O$4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Aufteilung'!$Q$4:$W$4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'Strom - Regionale Aufteilung'!$O$5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Aufteilung'!$Q$5:$W$5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B-4C42-876B-760261E9AF09}"/>
            </c:ext>
          </c:extLst>
        </c:ser>
        <c:ser>
          <c:idx val="2"/>
          <c:order val="2"/>
          <c:tx>
            <c:strRef>
              <c:f>'Strom - Regionale Aufteilung'!$O$6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Aufteilung'!$Q$6:$W$6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B-4C42-876B-760261E9AF09}"/>
            </c:ext>
          </c:extLst>
        </c:ser>
        <c:ser>
          <c:idx val="3"/>
          <c:order val="3"/>
          <c:tx>
            <c:strRef>
              <c:f>'Strom - Regionale Aufteilung'!$O$7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Aufteilung'!$Q$7:$W$7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B-4C42-876B-760261E9AF09}"/>
            </c:ext>
          </c:extLst>
        </c:ser>
        <c:ser>
          <c:idx val="4"/>
          <c:order val="4"/>
          <c:tx>
            <c:strRef>
              <c:f>'Strom - Regionale Aufteilung'!$O$8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Aufteilung'!$Q$8:$W$8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6-4D54-9573-80542D031943}"/>
            </c:ext>
          </c:extLst>
        </c:ser>
        <c:ser>
          <c:idx val="5"/>
          <c:order val="5"/>
          <c:tx>
            <c:strRef>
              <c:f>'Strom - Regionale Aufteilung'!$O$9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Aufteilung'!$Q$9:$W$9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6-4D54-9573-80542D031943}"/>
            </c:ext>
          </c:extLst>
        </c:ser>
        <c:ser>
          <c:idx val="6"/>
          <c:order val="6"/>
          <c:tx>
            <c:strRef>
              <c:f>'Strom - Regionale Aufteilung'!$O$10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Aufteilung'!$Q$10:$W$10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6-4D54-9573-80542D031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628352"/>
        <c:axId val="382471552"/>
      </c:barChart>
      <c:catAx>
        <c:axId val="38262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2471552"/>
        <c:crosses val="autoZero"/>
        <c:auto val="1"/>
        <c:lblAlgn val="ctr"/>
        <c:lblOffset val="100"/>
        <c:noMultiLvlLbl val="0"/>
      </c:catAx>
      <c:valAx>
        <c:axId val="382471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RTPV Kapazität nach Region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262835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5.726326012122053E-2"/>
          <c:w val="6.8323090277777776E-2"/>
          <c:h val="0.7262458921154629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RTPV Kapazität nach Region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1-C81D-4511-A850-CBFCA667F3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C81D-4511-A850-CBFCA667F3E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C81D-4511-A850-CBFCA667F3E7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C81D-4511-A850-CBFCA667F3E7}"/>
              </c:ext>
            </c:extLst>
          </c:dPt>
          <c:dPt>
            <c:idx val="4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9-C81D-4511-A850-CBFCA667F3E7}"/>
              </c:ext>
            </c:extLst>
          </c:dPt>
          <c:dPt>
            <c:idx val="5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C81D-4511-A850-CBFCA667F3E7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D-C81D-4511-A850-CBFCA667F3E7}"/>
              </c:ext>
            </c:extLst>
          </c:dPt>
          <c:cat>
            <c:strRef>
              <c:f>'Strom - Regionale Aufteilung'!$O$4:$O$10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'Strom - Regionale Aufteilung'!$P$4:$P$10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372742698626884"/>
          <c:y val="0.1561700833384026"/>
          <c:w val="0.12445280964597824"/>
          <c:h val="0.8438299166615972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'Strom - Regionale Aufteilung'!$AA$4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Aufteilung'!$AC$4:$AI$4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'Strom - Regionale Aufteilung'!$AA$5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Aufteilung'!$AC$5:$AI$5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E-46F3-A3F4-7B61371C482C}"/>
            </c:ext>
          </c:extLst>
        </c:ser>
        <c:ser>
          <c:idx val="2"/>
          <c:order val="2"/>
          <c:tx>
            <c:strRef>
              <c:f>'Strom - Regionale Aufteilung'!$AA$6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Aufteilung'!$AC$6:$AI$6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E-46F3-A3F4-7B61371C482C}"/>
            </c:ext>
          </c:extLst>
        </c:ser>
        <c:ser>
          <c:idx val="3"/>
          <c:order val="3"/>
          <c:tx>
            <c:strRef>
              <c:f>'Strom - Regionale Aufteilung'!$AA$7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Aufteilung'!$AC$7:$AI$7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4E-46F3-A3F4-7B61371C482C}"/>
            </c:ext>
          </c:extLst>
        </c:ser>
        <c:ser>
          <c:idx val="4"/>
          <c:order val="4"/>
          <c:tx>
            <c:strRef>
              <c:f>'Strom - Regionale Aufteilung'!$AA$8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Aufteilung'!$AC$8:$AI$8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8-43DC-9F45-A338BB9EEE2D}"/>
            </c:ext>
          </c:extLst>
        </c:ser>
        <c:ser>
          <c:idx val="5"/>
          <c:order val="5"/>
          <c:tx>
            <c:strRef>
              <c:f>'Strom - Regionale Aufteilung'!$AA$9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Aufteilung'!$AC$9:$AI$9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E8-43DC-9F45-A338BB9EEE2D}"/>
            </c:ext>
          </c:extLst>
        </c:ser>
        <c:ser>
          <c:idx val="6"/>
          <c:order val="6"/>
          <c:tx>
            <c:strRef>
              <c:f>'Strom - Regionale Aufteilung'!$AA$10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Aufteilung'!$AC$10:$AI$10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E8-43DC-9F45-A338BB9EE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630912"/>
        <c:axId val="382475008"/>
      </c:barChart>
      <c:catAx>
        <c:axId val="38263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2475008"/>
        <c:crosses val="autoZero"/>
        <c:auto val="1"/>
        <c:lblAlgn val="ctr"/>
        <c:lblOffset val="100"/>
        <c:noMultiLvlLbl val="0"/>
      </c:catAx>
      <c:valAx>
        <c:axId val="38247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OFPV Kapazität nach Region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263091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2397170138888887"/>
          <c:y val="5.726326012122053E-2"/>
          <c:w val="6.8323090277777776E-2"/>
          <c:h val="0.7306507582786337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OFPV Kapazität nach Region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6ABE-4CB4-B43D-05D60CE0826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6ABE-4CB4-B43D-05D60CE0826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6ABE-4CB4-B43D-05D60CE08264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6ABE-4CB4-B43D-05D60CE08264}"/>
              </c:ext>
            </c:extLst>
          </c:dPt>
          <c:dPt>
            <c:idx val="4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9-6ABE-4CB4-B43D-05D60CE08264}"/>
              </c:ext>
            </c:extLst>
          </c:dPt>
          <c:dPt>
            <c:idx val="5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6ABE-4CB4-B43D-05D60CE08264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D-6ABE-4CB4-B43D-05D60CE08264}"/>
              </c:ext>
            </c:extLst>
          </c:dPt>
          <c:cat>
            <c:strRef>
              <c:f>'Strom - Regionale Aufteilung'!$AA$4:$AA$10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'Strom - Regionale Aufteilung'!$AB$4:$AB$10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4637719796460078"/>
          <c:y val="0.22987703457805045"/>
          <c:w val="0.1189512361920879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977165364577"/>
          <c:y val="6.1460416666666663E-2"/>
          <c:w val="0.610629383976714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'Strom - Regionale Aufteilung'!$AM$4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Aufteilung'!$AO$4:$AU$4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'Strom - Regionale Aufteilung'!$AM$5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Aufteilung'!$AO$5:$AU$5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F-4F78-A594-1D75FB524A52}"/>
            </c:ext>
          </c:extLst>
        </c:ser>
        <c:ser>
          <c:idx val="1"/>
          <c:order val="2"/>
          <c:tx>
            <c:strRef>
              <c:f>'Strom - Regionale Aufteilung'!$AM$6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Aufteilung'!$AO$6:$AU$6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CF-4F78-A594-1D75FB524A52}"/>
            </c:ext>
          </c:extLst>
        </c:ser>
        <c:ser>
          <c:idx val="3"/>
          <c:order val="3"/>
          <c:tx>
            <c:strRef>
              <c:f>'Strom - Regionale Aufteilung'!$AM$7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Aufteilung'!$AO$7:$AU$7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CF-4F78-A594-1D75FB524A52}"/>
            </c:ext>
          </c:extLst>
        </c:ser>
        <c:ser>
          <c:idx val="4"/>
          <c:order val="4"/>
          <c:tx>
            <c:strRef>
              <c:f>'Strom - Regionale Aufteilung'!$AM$8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Aufteilung'!$AO$8:$AU$8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3-46DD-A213-374E7C6BAFBD}"/>
            </c:ext>
          </c:extLst>
        </c:ser>
        <c:ser>
          <c:idx val="5"/>
          <c:order val="5"/>
          <c:tx>
            <c:strRef>
              <c:f>'Strom - Regionale Aufteilung'!$AM$9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Aufteilung'!$AO$9:$AU$9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3-46DD-A213-374E7C6BAFBD}"/>
            </c:ext>
          </c:extLst>
        </c:ser>
        <c:ser>
          <c:idx val="6"/>
          <c:order val="6"/>
          <c:tx>
            <c:strRef>
              <c:f>'Strom - Regionale Aufteilung'!$AM$10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Aufteilung'!$AO$10:$AU$10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3-46DD-A213-374E7C6BA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017472"/>
        <c:axId val="383077184"/>
      </c:barChart>
      <c:catAx>
        <c:axId val="38301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077184"/>
        <c:crosses val="autoZero"/>
        <c:auto val="1"/>
        <c:lblAlgn val="ctr"/>
        <c:lblOffset val="100"/>
        <c:noMultiLvlLbl val="0"/>
      </c:catAx>
      <c:valAx>
        <c:axId val="383077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Onshore Kapazität</a:t>
                </a:r>
                <a:r>
                  <a:rPr lang="de-DE" baseline="0"/>
                  <a:t> nach Region 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01747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458710693324426"/>
          <c:y val="0.18362430058724688"/>
          <c:w val="6.8285450294325617E-2"/>
          <c:h val="0.7298470386474267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Onshore Kapazität nach Region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1-4AD2-460F-A1DF-C44BF54AFB9B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AD2-460F-A1DF-C44BF54AFB9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4AD2-460F-A1DF-C44BF54AFB9B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4AD2-460F-A1DF-C44BF54AFB9B}"/>
              </c:ext>
            </c:extLst>
          </c:dPt>
          <c:dPt>
            <c:idx val="4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9-4AD2-460F-A1DF-C44BF54AFB9B}"/>
              </c:ext>
            </c:extLst>
          </c:dPt>
          <c:dPt>
            <c:idx val="5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4AD2-460F-A1DF-C44BF54AFB9B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D-4AD2-460F-A1DF-C44BF54AFB9B}"/>
              </c:ext>
            </c:extLst>
          </c:dPt>
          <c:cat>
            <c:strRef>
              <c:f>'Strom - Regionale Aufteilung'!$AM$4:$AM$10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'Strom - Regionale Aufteilung'!$AN$4:$AN$10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5369165995841858"/>
          <c:y val="0.16828560611275556"/>
          <c:w val="9.9209488455056657E-2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'Strom - Regionale Aufteilung'!$AZ$4</c:f>
              <c:strCache>
                <c:ptCount val="1"/>
                <c:pt idx="0">
                  <c:v>Nordsee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numRef>
              <c:f>'Strom - Regionale Aufteilung'!$BB$3:$BH$3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Aufteilung'!$BB$4:$BH$4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'Strom - Regionale Aufteilung'!$AZ$5</c:f>
              <c:strCache>
                <c:ptCount val="1"/>
                <c:pt idx="0">
                  <c:v>Ostsee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Aufteilung'!$BB$3:$BH$3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Aufteilung'!$BB$5:$BH$5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F-4642-B308-3FBED084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019008"/>
        <c:axId val="383080064"/>
      </c:barChart>
      <c:catAx>
        <c:axId val="38301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080064"/>
        <c:crosses val="autoZero"/>
        <c:auto val="1"/>
        <c:lblAlgn val="ctr"/>
        <c:lblOffset val="100"/>
        <c:noMultiLvlLbl val="0"/>
      </c:catAx>
      <c:valAx>
        <c:axId val="383080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Offshore Kapazität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01900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919423611111111"/>
          <c:h val="0.6928504166413761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Offshore</a:t>
            </a:r>
            <a:r>
              <a:rPr lang="de-DE" sz="1600" baseline="0"/>
              <a:t> Kapazität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2060"/>
              </a:solidFill>
            </c:spPr>
            <c:extLst>
              <c:ext xmlns:c16="http://schemas.microsoft.com/office/drawing/2014/chart" uri="{C3380CC4-5D6E-409C-BE32-E72D297353CC}">
                <c16:uniqueId val="{00000001-B8EF-4B36-AD7B-A90EF8C606A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B8EF-4B36-AD7B-A90EF8C606A3}"/>
              </c:ext>
            </c:extLst>
          </c:dPt>
          <c:cat>
            <c:strRef>
              <c:f>'Strom - Regionale Aufteilung'!$AZ$4:$AZ$5</c:f>
              <c:strCache>
                <c:ptCount val="2"/>
                <c:pt idx="0">
                  <c:v>Nordsee</c:v>
                </c:pt>
                <c:pt idx="1">
                  <c:v>Ostsee</c:v>
                </c:pt>
              </c:strCache>
            </c:strRef>
          </c:cat>
          <c:val>
            <c:numRef>
              <c:f>'Strom - Regionale Aufteilung'!$BA$4:$BA$5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Installed capacities region 1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4-C059-482B-A394-2F6A9B05A507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C059-482B-A394-2F6A9B05A50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EF4E-4101-BBFC-23C0D589914C}"/>
              </c:ext>
            </c:extLst>
          </c:dPt>
          <c:cat>
            <c:strRef>
              <c:f>'Strom - Regionale Aufteilung 2'!$C$4:$C$6</c:f>
              <c:strCache>
                <c:ptCount val="3"/>
                <c:pt idx="0">
                  <c:v>Onshore</c:v>
                </c:pt>
                <c:pt idx="1">
                  <c:v>OFPV</c:v>
                </c:pt>
                <c:pt idx="2">
                  <c:v>RTPV</c:v>
                </c:pt>
              </c:strCache>
            </c:strRef>
          </c:cat>
          <c:val>
            <c:numRef>
              <c:f>'Strom - Regionale Aufteilung 2'!$D$4:$D$6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6666682110115649"/>
          <c:y val="0.1561700833384026"/>
          <c:w val="0.27743561529596411"/>
          <c:h val="0.8438299166615972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'Strom - Regionale Aufteilung 2'!$O$4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 2'!$Q$3:$W$3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2'!$Q$4:$W$4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'Strom - Regionale Aufteilung 2'!$O$5</c:f>
              <c:strCache>
                <c:ptCount val="1"/>
                <c:pt idx="0">
                  <c:v>OFPV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'Strom - Regionale Aufteilung 2'!$Q$3:$W$3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2'!$Q$5:$W$5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E-46F3-A3F4-7B61371C482C}"/>
            </c:ext>
          </c:extLst>
        </c:ser>
        <c:ser>
          <c:idx val="2"/>
          <c:order val="2"/>
          <c:tx>
            <c:strRef>
              <c:f>'Strom - Regionale Aufteilung 2'!$O$6</c:f>
              <c:strCache>
                <c:ptCount val="1"/>
                <c:pt idx="0">
                  <c:v>RTPV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'Strom - Regionale Aufteilung 2'!$Q$3:$W$3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2'!$Q$6:$W$6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E-46F3-A3F4-7B61371C4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408640"/>
        <c:axId val="383297792"/>
      </c:barChart>
      <c:catAx>
        <c:axId val="38340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297792"/>
        <c:crosses val="autoZero"/>
        <c:auto val="1"/>
        <c:lblAlgn val="ctr"/>
        <c:lblOffset val="100"/>
        <c:noMultiLvlLbl val="0"/>
      </c:catAx>
      <c:valAx>
        <c:axId val="38329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capacities region 2</a:t>
                </a:r>
                <a:r>
                  <a:rPr lang="de-DE" baseline="0"/>
                  <a:t> 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40864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8207934027777781"/>
          <c:y val="5.726326012122053E-2"/>
          <c:w val="0.21792065972222222"/>
          <c:h val="0.7306507582786337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Installed</a:t>
            </a:r>
            <a:r>
              <a:rPr lang="de-DE" sz="1600" baseline="0"/>
              <a:t> capacities region 2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6181-48B5-9509-8112B3D6969F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6181-48B5-9509-8112B3D6969F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B8CF-412F-AE12-AE5CE0546FB7}"/>
              </c:ext>
            </c:extLst>
          </c:dPt>
          <c:cat>
            <c:strRef>
              <c:f>'Strom - Regionale Aufteilung 2'!$O$4:$O$6</c:f>
              <c:strCache>
                <c:ptCount val="3"/>
                <c:pt idx="0">
                  <c:v>Onshore</c:v>
                </c:pt>
                <c:pt idx="1">
                  <c:v>OFPV</c:v>
                </c:pt>
                <c:pt idx="2">
                  <c:v>RTPV</c:v>
                </c:pt>
              </c:strCache>
            </c:strRef>
          </c:cat>
          <c:val>
            <c:numRef>
              <c:f>'Strom - Regionale Aufteilung 2'!$P$4:$P$6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4627635529076299"/>
          <c:y val="0.22987703457805045"/>
          <c:w val="0.34565020342401448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587601452324456"/>
          <c:y val="6.1460416666666663E-2"/>
          <c:w val="0.59300021255644664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'Strom - Regionale Aufteilung 2'!$AA$4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 2'!$AC$3:$AI$3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2'!$AC$4:$AI$4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'Strom - Regionale Aufteilung 2'!$AA$5</c:f>
              <c:strCache>
                <c:ptCount val="1"/>
                <c:pt idx="0">
                  <c:v>OFPV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'Strom - Regionale Aufteilung 2'!$AC$3:$AI$3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2'!$AC$5:$AI$5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F-4F78-A594-1D75FB524A52}"/>
            </c:ext>
          </c:extLst>
        </c:ser>
        <c:ser>
          <c:idx val="1"/>
          <c:order val="2"/>
          <c:tx>
            <c:strRef>
              <c:f>'Strom - Regionale Aufteilung 2'!$AA$6</c:f>
              <c:strCache>
                <c:ptCount val="1"/>
                <c:pt idx="0">
                  <c:v>RTPV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'Strom - Regionale Aufteilung 2'!$AC$3:$AI$3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2'!$AC$6:$AI$6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CF-4F78-A594-1D75FB524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732800"/>
        <c:axId val="383301248"/>
      </c:barChart>
      <c:catAx>
        <c:axId val="36673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301248"/>
        <c:crosses val="autoZero"/>
        <c:auto val="1"/>
        <c:lblAlgn val="ctr"/>
        <c:lblOffset val="100"/>
        <c:noMultiLvlLbl val="0"/>
      </c:catAx>
      <c:valAx>
        <c:axId val="383301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capacities region 3</a:t>
                </a:r>
                <a:r>
                  <a:rPr lang="de-DE" baseline="0"/>
                  <a:t> 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673280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9518720149917366"/>
          <c:y val="6.0423718537252924E-2"/>
          <c:w val="0.20270788237386514"/>
          <c:h val="0.6374466021099310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Installed capacity region 3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A46D-4412-91B2-4276C6483B9E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A46D-4412-91B2-4276C6483B9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69E8-4FEC-9426-2A89F326F8B8}"/>
              </c:ext>
            </c:extLst>
          </c:dPt>
          <c:cat>
            <c:strRef>
              <c:f>'Strom - Regionale Aufteilung 2'!$AA$4:$AA$6</c:f>
              <c:strCache>
                <c:ptCount val="3"/>
                <c:pt idx="0">
                  <c:v>Onshore</c:v>
                </c:pt>
                <c:pt idx="1">
                  <c:v>OFPV</c:v>
                </c:pt>
                <c:pt idx="2">
                  <c:v>RTPV</c:v>
                </c:pt>
              </c:strCache>
            </c:strRef>
          </c:cat>
          <c:val>
            <c:numRef>
              <c:f>'Strom - Regionale Aufteilung 2'!$AB$4:$AB$6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5660641791131225"/>
          <c:y val="0.16828560611275556"/>
          <c:w val="0.34045160505695737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'Strom - Regionale Aufteilung 2'!$AM$4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 2'!$AO$3:$AU$3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2'!$AO$4:$AU$4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'Strom - Regionale Aufteilung 2'!$AM$5</c:f>
              <c:strCache>
                <c:ptCount val="1"/>
                <c:pt idx="0">
                  <c:v>OFPV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'Strom - Regionale Aufteilung 2'!$AO$3:$AU$3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2'!$AO$5:$AU$5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F-4642-B308-3FBED084E8E1}"/>
            </c:ext>
          </c:extLst>
        </c:ser>
        <c:ser>
          <c:idx val="1"/>
          <c:order val="2"/>
          <c:tx>
            <c:strRef>
              <c:f>'Strom - Regionale Aufteilung 2'!$AM$6</c:f>
              <c:strCache>
                <c:ptCount val="1"/>
                <c:pt idx="0">
                  <c:v>RTPV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'Strom - Regionale Aufteilung 2'!$AO$3:$AU$3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2'!$AO$6:$AU$6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B-4E20-9FB4-AABF3BC9D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734848"/>
        <c:axId val="383804544"/>
      </c:barChart>
      <c:catAx>
        <c:axId val="36673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804544"/>
        <c:crosses val="autoZero"/>
        <c:auto val="1"/>
        <c:lblAlgn val="ctr"/>
        <c:lblOffset val="100"/>
        <c:noMultiLvlLbl val="0"/>
      </c:catAx>
      <c:valAx>
        <c:axId val="383804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capacities region 4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673484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24799270833333334"/>
          <c:h val="0.6884455504782053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'Strom - Regionale Aufteilung 2'!$C$4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 2'!$E$3:$K$3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'Strom - Regionale Aufteilung 2'!$C$5</c:f>
              <c:strCache>
                <c:ptCount val="1"/>
                <c:pt idx="0">
                  <c:v>OFPV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 2'!$E$3:$K$3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B-4C42-876B-760261E9AF09}"/>
            </c:ext>
          </c:extLst>
        </c:ser>
        <c:ser>
          <c:idx val="2"/>
          <c:order val="2"/>
          <c:tx>
            <c:strRef>
              <c:f>'Strom - Regionale Aufteilung 2'!$C$6</c:f>
              <c:strCache>
                <c:ptCount val="1"/>
                <c:pt idx="0">
                  <c:v>RTPV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'Strom - Regionale Aufteilung 2'!$E$3:$K$3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B-4C42-876B-760261E9A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918592"/>
        <c:axId val="383806848"/>
      </c:barChart>
      <c:catAx>
        <c:axId val="38391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806848"/>
        <c:crosses val="autoZero"/>
        <c:auto val="1"/>
        <c:lblAlgn val="ctr"/>
        <c:lblOffset val="100"/>
        <c:noMultiLvlLbl val="0"/>
      </c:catAx>
      <c:valAx>
        <c:axId val="383806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capacities region 1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91859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987447916666663"/>
          <c:y val="5.726326012122053E-2"/>
          <c:w val="0.19840989583333332"/>
          <c:h val="0.7262458921154629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Installed capacities region 4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524F-49A5-83BA-3727A91ABE34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524F-49A5-83BA-3727A91ABE3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EE80-44D9-B39F-8D659B59B7F3}"/>
              </c:ext>
            </c:extLst>
          </c:dPt>
          <c:cat>
            <c:strRef>
              <c:f>'Strom - Regionale Aufteilung 2'!$AM$4:$AM$6</c:f>
              <c:strCache>
                <c:ptCount val="3"/>
                <c:pt idx="0">
                  <c:v>Onshore</c:v>
                </c:pt>
                <c:pt idx="1">
                  <c:v>OFPV</c:v>
                </c:pt>
                <c:pt idx="2">
                  <c:v>RTPV</c:v>
                </c:pt>
              </c:strCache>
            </c:strRef>
          </c:cat>
          <c:val>
            <c:numRef>
              <c:f>'Strom - Regionale Aufteilung 2'!$AN$4:$AN$6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'Strom - Regionale Aufteilung 2'!$AY$4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 2'!$BA$3:$BG$3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2'!$BA$4:$BG$4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'Strom - Regionale Aufteilung 2'!$AY$5</c:f>
              <c:strCache>
                <c:ptCount val="1"/>
                <c:pt idx="0">
                  <c:v>OFPV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 2'!$BA$3:$BG$3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2'!$BA$5:$BG$5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8-4D62-89B6-EA39B6D266E0}"/>
            </c:ext>
          </c:extLst>
        </c:ser>
        <c:ser>
          <c:idx val="1"/>
          <c:order val="2"/>
          <c:tx>
            <c:strRef>
              <c:f>'Strom - Regionale Aufteilung 2'!$AY$6</c:f>
              <c:strCache>
                <c:ptCount val="1"/>
                <c:pt idx="0">
                  <c:v>RTPV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'Strom - Regionale Aufteilung 2'!$BA$3:$BG$3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2'!$BA$6:$BG$6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8-4D62-89B6-EA39B6D26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920128"/>
        <c:axId val="383810304"/>
      </c:barChart>
      <c:catAx>
        <c:axId val="38392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810304"/>
        <c:crosses val="autoZero"/>
        <c:auto val="1"/>
        <c:lblAlgn val="ctr"/>
        <c:lblOffset val="100"/>
        <c:noMultiLvlLbl val="0"/>
      </c:catAx>
      <c:valAx>
        <c:axId val="38381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capacities region 5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92012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840232638888889"/>
          <c:h val="0.6963593954581321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'Strom - Regionale Aufteilung 2'!$BK$4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 2'!$BM$3:$BS$3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2'!$BM$4:$BS$4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'Strom - Regionale Aufteilung 2'!$BK$5</c:f>
              <c:strCache>
                <c:ptCount val="1"/>
                <c:pt idx="0">
                  <c:v>OFPV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 2'!$BM$3:$BS$3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2'!$BM$5:$BS$5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0-422A-9255-3C27A245867B}"/>
            </c:ext>
          </c:extLst>
        </c:ser>
        <c:ser>
          <c:idx val="1"/>
          <c:order val="2"/>
          <c:tx>
            <c:strRef>
              <c:f>'Strom - Regionale Aufteilung 2'!$BK$6</c:f>
              <c:strCache>
                <c:ptCount val="1"/>
                <c:pt idx="0">
                  <c:v>RTPV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'Strom - Regionale Aufteilung 2'!$BM$3:$BS$3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2'!$BM$6:$BS$6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0-422A-9255-3C27A2458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921152"/>
        <c:axId val="384083072"/>
      </c:barChart>
      <c:catAx>
        <c:axId val="38392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083072"/>
        <c:crosses val="autoZero"/>
        <c:auto val="1"/>
        <c:lblAlgn val="ctr"/>
        <c:lblOffset val="100"/>
        <c:noMultiLvlLbl val="0"/>
      </c:catAx>
      <c:valAx>
        <c:axId val="384083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capacities region 6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392115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840232638888889"/>
          <c:h val="0.6831447969686196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Installed capacities region 6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4-23F8-421B-9EE0-68861227C414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0344-4D68-9D63-907F0EDE218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3-0344-4D68-9D63-907F0EDE2187}"/>
              </c:ext>
            </c:extLst>
          </c:dPt>
          <c:cat>
            <c:strRef>
              <c:f>'Strom - Regionale Aufteilung 2'!$BK$4:$BK$6</c:f>
              <c:strCache>
                <c:ptCount val="3"/>
                <c:pt idx="0">
                  <c:v>Onshore</c:v>
                </c:pt>
                <c:pt idx="1">
                  <c:v>OFPV</c:v>
                </c:pt>
                <c:pt idx="2">
                  <c:v>RTPV</c:v>
                </c:pt>
              </c:strCache>
            </c:strRef>
          </c:cat>
          <c:val>
            <c:numRef>
              <c:f>'Strom - Regionale Aufteilung 2'!$BL$4:$BL$6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'Strom - Regionale Aufteilung 2'!$BW$4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'Strom - Regionale Aufteilung 2'!$BY$3:$CE$3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2'!$BY$4:$CE$4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'Strom - Regionale Aufteilung 2'!$BW$5</c:f>
              <c:strCache>
                <c:ptCount val="1"/>
                <c:pt idx="0">
                  <c:v>OFPV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'Strom - Regionale Aufteilung 2'!$BY$3:$CE$3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2'!$BY$5:$CE$5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4-4A67-958F-A065FDEAFC6F}"/>
            </c:ext>
          </c:extLst>
        </c:ser>
        <c:ser>
          <c:idx val="1"/>
          <c:order val="2"/>
          <c:tx>
            <c:strRef>
              <c:f>'Strom - Regionale Aufteilung 2'!$BW$6</c:f>
              <c:strCache>
                <c:ptCount val="1"/>
                <c:pt idx="0">
                  <c:v>RTPV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'Strom - Regionale Aufteilung 2'!$BY$3:$CE$3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Regionale Aufteilung 2'!$BY$6:$CE$6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E4-4A67-958F-A065FDEAF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499712"/>
        <c:axId val="384086528"/>
      </c:barChart>
      <c:catAx>
        <c:axId val="38449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086528"/>
        <c:crosses val="autoZero"/>
        <c:auto val="1"/>
        <c:lblAlgn val="ctr"/>
        <c:lblOffset val="100"/>
        <c:noMultiLvlLbl val="0"/>
      </c:catAx>
      <c:valAx>
        <c:axId val="384086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capacities region 7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49971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840232638888889"/>
          <c:h val="0.6655253323159364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Installed capacities region 7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DF6E-400E-9526-0E10B805215A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DF6E-400E-9526-0E10B805215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CBEF-435E-AB9E-621950D9FAF4}"/>
              </c:ext>
            </c:extLst>
          </c:dPt>
          <c:cat>
            <c:strRef>
              <c:f>'Strom - Regionale Aufteilung 2'!$BW$4:$BW$6</c:f>
              <c:strCache>
                <c:ptCount val="3"/>
                <c:pt idx="0">
                  <c:v>Onshore</c:v>
                </c:pt>
                <c:pt idx="1">
                  <c:v>OFPV</c:v>
                </c:pt>
                <c:pt idx="2">
                  <c:v>RTPV</c:v>
                </c:pt>
              </c:strCache>
            </c:strRef>
          </c:cat>
          <c:val>
            <c:numRef>
              <c:f>'Strom - Regionale Aufteilung 2'!$BX$4:$BX$6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Installed capacities region 5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7DA9-460C-B03C-6B0477D94FFF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7DA9-460C-B03C-6B0477D94FFF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8F3A-4C66-B516-618F9942315B}"/>
              </c:ext>
            </c:extLst>
          </c:dPt>
          <c:cat>
            <c:strRef>
              <c:f>'Strom - Regionale Aufteilung 2'!$AY$4:$AY$6</c:f>
              <c:strCache>
                <c:ptCount val="3"/>
                <c:pt idx="0">
                  <c:v>Onshore</c:v>
                </c:pt>
                <c:pt idx="1">
                  <c:v>OFPV</c:v>
                </c:pt>
                <c:pt idx="2">
                  <c:v>RTPV</c:v>
                </c:pt>
              </c:strCache>
            </c:strRef>
          </c:cat>
          <c:val>
            <c:numRef>
              <c:f>'Strom - Regionale Aufteilung 2'!$AZ$4:$AZ$6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99947916666665"/>
          <c:y val="6.1460416666666663E-2"/>
          <c:w val="0.41926341328713357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Speicher'!$C$4</c:f>
              <c:strCache>
                <c:ptCount val="1"/>
                <c:pt idx="0">
                  <c:v>Pumped storage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strRef>
              <c:f>'Strom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Speicher'!$F$4:$L$4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59.766948695905739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9-4690-AEFD-37E9D31038B2}"/>
            </c:ext>
          </c:extLst>
        </c:ser>
        <c:ser>
          <c:idx val="1"/>
          <c:order val="1"/>
          <c:tx>
            <c:strRef>
              <c:f>'Strom - Speicher'!$C$6</c:f>
              <c:strCache>
                <c:ptCount val="1"/>
                <c:pt idx="0">
                  <c:v>BEV share</c:v>
                </c:pt>
              </c:strCache>
            </c:strRef>
          </c:tx>
          <c:spPr>
            <a:pattFill prst="wdUpDiag">
              <a:fgClr>
                <a:schemeClr val="accent4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strRef>
              <c:f>'Strom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Speicher'!$F$6:$L$6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200.69748532008009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9-4690-AEFD-37E9D31038B2}"/>
            </c:ext>
          </c:extLst>
        </c:ser>
        <c:ser>
          <c:idx val="6"/>
          <c:order val="4"/>
          <c:tx>
            <c:strRef>
              <c:f>'Strom - Speicher'!$C$10</c:f>
              <c:strCache>
                <c:ptCount val="1"/>
                <c:pt idx="0">
                  <c:v>Battery storage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val>
            <c:numRef>
              <c:f>'Strom - Speicher'!$F$10:$L$10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51.375789749864595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9-4690-AEFD-37E9D31038B2}"/>
            </c:ext>
          </c:extLst>
        </c:ser>
        <c:ser>
          <c:idx val="4"/>
          <c:order val="5"/>
          <c:tx>
            <c:strRef>
              <c:f>'Strom - Speicher'!$C$11</c:f>
              <c:strCache>
                <c:ptCount val="1"/>
                <c:pt idx="0">
                  <c:v>Compressed Air Storage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invertIfNegative val="0"/>
          <c:cat>
            <c:strRef>
              <c:f>'Strom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Speicher'!$F$11:$L$11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3.7317887374731018E-2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69-4690-AEFD-37E9D31038B2}"/>
            </c:ext>
          </c:extLst>
        </c:ser>
        <c:ser>
          <c:idx val="5"/>
          <c:order val="6"/>
          <c:tx>
            <c:strRef>
              <c:f>'Strom - Speicher'!$C$12</c:f>
              <c:strCache>
                <c:ptCount val="1"/>
                <c:pt idx="0">
                  <c:v>Ad. Compressed Air Storage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6"/>
              </a:bgClr>
            </a:pattFill>
          </c:spPr>
          <c:invertIfNegative val="0"/>
          <c:cat>
            <c:strRef>
              <c:f>'Strom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'Strom - Speicher'!$F$12:$L$12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182.72141789407021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69-4690-AEFD-37E9D3103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500736"/>
        <c:axId val="3849104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'Strom - Speicher'!$C$7</c15:sqref>
                        </c15:formulaRef>
                      </c:ext>
                    </c:extLst>
                    <c:strCache>
                      <c:ptCount val="1"/>
                      <c:pt idx="0">
                        <c:v>Small Batteries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'Strom - Speicher'!$F$3:$L$3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2045 48 Tage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'Strom - Speicher'!$F$7:$L$7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0.14613115579829369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D69-4690-AEFD-37E9D31038B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'Strom - Speicher'!$C$8</c15:sqref>
                        </c15:formulaRef>
                      </c:ext>
                    </c:extLst>
                    <c:strCache>
                      <c:ptCount val="1"/>
                      <c:pt idx="0">
                        <c:v>Large Batteries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'Strom - Speicher'!$F$3:$L$3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2045 48 Tage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'Strom - Speicher'!$F$8:$L$8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165.1596709922494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D69-4690-AEFD-37E9D31038B2}"/>
                  </c:ext>
                </c:extLst>
              </c15:ser>
            </c15:filteredBarSeries>
          </c:ext>
        </c:extLst>
      </c:barChart>
      <c:catAx>
        <c:axId val="38450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910464"/>
        <c:crosses val="autoZero"/>
        <c:auto val="1"/>
        <c:lblAlgn val="ctr"/>
        <c:lblOffset val="100"/>
        <c:noMultiLvlLbl val="0"/>
      </c:catAx>
      <c:valAx>
        <c:axId val="38491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electricity storage capacities in GWh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50073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Electricity storage in 2045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'Strom - Speicher'!$K$3</c:f>
              <c:strCache>
                <c:ptCount val="1"/>
                <c:pt idx="0">
                  <c:v>2045</c:v>
                </c:pt>
              </c:strCache>
            </c:strRef>
          </c:tx>
          <c:dPt>
            <c:idx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B08F-4B62-8B8D-B27585C607E4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3-B08F-4B62-8B8D-B27585C607E4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5-B08F-4B62-8B8D-B27585C607E4}"/>
              </c:ext>
            </c:extLst>
          </c:dPt>
          <c:dPt>
            <c:idx val="3"/>
            <c:bubble3D val="0"/>
            <c:spPr>
              <a:pattFill prst="dkDnDiag">
                <a:fgClr>
                  <a:schemeClr val="accent6"/>
                </a:fgClr>
                <a:bgClr>
                  <a:schemeClr val="bg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7-B08F-4B62-8B8D-B27585C607E4}"/>
              </c:ext>
            </c:extLst>
          </c:dPt>
          <c:dPt>
            <c:idx val="4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9-B08F-4B62-8B8D-B27585C607E4}"/>
              </c:ext>
            </c:extLst>
          </c:dPt>
          <c:dPt>
            <c:idx val="5"/>
            <c:bubble3D val="0"/>
            <c:spPr>
              <a:pattFill prst="ltDnDiag">
                <a:fgClr>
                  <a:schemeClr val="bg1"/>
                </a:fgClr>
                <a:bgClr>
                  <a:schemeClr val="accent6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B-B08F-4B62-8B8D-B27585C607E4}"/>
              </c:ext>
            </c:extLst>
          </c:dPt>
          <c:cat>
            <c:strRef>
              <c:f>('Strom - Speicher'!$C$4,'Strom - Speicher'!$C$9,'Strom - Speicher'!$C$11,'Strom - Speicher'!$C$12)</c:f>
              <c:strCache>
                <c:ptCount val="4"/>
                <c:pt idx="0">
                  <c:v>Pumped storage</c:v>
                </c:pt>
                <c:pt idx="1">
                  <c:v>Battery storage</c:v>
                </c:pt>
                <c:pt idx="2">
                  <c:v>Compressed Air Storage</c:v>
                </c:pt>
                <c:pt idx="3">
                  <c:v>Ad. Compressed Air Storage</c:v>
                </c:pt>
              </c:strCache>
            </c:strRef>
          </c:cat>
          <c:val>
            <c:numRef>
              <c:f>('Strom - Speicher'!$K$4,'Strom - Speicher'!$K$9,'Strom - Speicher'!$K$11,'Strom - Speicher'!$K$12)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08F-4B62-8B8D-B27585C60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8870419810856356"/>
          <c:y val="0.14723664016232105"/>
          <c:w val="0.39364393970105338"/>
          <c:h val="0.83943430419589515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99947916666665"/>
          <c:y val="6.1460416666666663E-2"/>
          <c:w val="0.46912517361111106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Speicher'!$D$4</c:f>
              <c:strCache>
                <c:ptCount val="1"/>
                <c:pt idx="0">
                  <c:v>Pumpspeicher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Speicher'!$F$3:$L$3</c15:sqref>
                  </c15:fullRef>
                </c:ext>
              </c:extLst>
              <c:f>'Strom - Speicher'!$F$3:$K$3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Speicher'!$F$4:$L$4</c15:sqref>
                  </c15:fullRef>
                </c:ext>
              </c:extLst>
              <c:f>'Strom - Speicher'!$F$4:$K$4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1-4BA3-85AD-90215195DCD3}"/>
            </c:ext>
          </c:extLst>
        </c:ser>
        <c:ser>
          <c:idx val="1"/>
          <c:order val="1"/>
          <c:tx>
            <c:strRef>
              <c:f>'Strom - Speicher'!$D$6</c:f>
              <c:strCache>
                <c:ptCount val="1"/>
                <c:pt idx="0">
                  <c:v>BEV Anteil</c:v>
                </c:pt>
              </c:strCache>
            </c:strRef>
          </c:tx>
          <c:spPr>
            <a:pattFill prst="wdUpDiag">
              <a:fgClr>
                <a:schemeClr val="accent4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Speicher'!$F$3:$L$3</c15:sqref>
                  </c15:fullRef>
                </c:ext>
              </c:extLst>
              <c:f>'Strom - Speicher'!$F$3:$K$3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Speicher'!$F$6:$L$6</c15:sqref>
                  </c15:fullRef>
                </c:ext>
              </c:extLst>
              <c:f>'Strom - Speicher'!$F$6:$K$6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1-4BA3-85AD-90215195DCD3}"/>
            </c:ext>
          </c:extLst>
        </c:ser>
        <c:ser>
          <c:idx val="6"/>
          <c:order val="3"/>
          <c:tx>
            <c:strRef>
              <c:f>'Strom - Speicher'!$D$10</c:f>
              <c:strCache>
                <c:ptCount val="1"/>
                <c:pt idx="0">
                  <c:v>Batteriespeicher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Speicher'!$F$10:$L$10</c15:sqref>
                  </c15:fullRef>
                </c:ext>
              </c:extLst>
              <c:f>'Strom - Speicher'!$F$10:$K$10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1-4BA3-85AD-90215195DCD3}"/>
            </c:ext>
          </c:extLst>
        </c:ser>
        <c:ser>
          <c:idx val="4"/>
          <c:order val="5"/>
          <c:tx>
            <c:strRef>
              <c:f>'Strom - Speicher'!$D$11</c:f>
              <c:strCache>
                <c:ptCount val="1"/>
                <c:pt idx="0">
                  <c:v>Druckluftspeicher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Speicher'!$F$3:$L$3</c15:sqref>
                  </c15:fullRef>
                </c:ext>
              </c:extLst>
              <c:f>'Strom - Speicher'!$F$3:$K$3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Speicher'!$F$11:$L$11</c15:sqref>
                  </c15:fullRef>
                </c:ext>
              </c:extLst>
              <c:f>'Strom - Speicher'!$F$11:$K$11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31-4BA3-85AD-90215195DCD3}"/>
            </c:ext>
          </c:extLst>
        </c:ser>
        <c:ser>
          <c:idx val="5"/>
          <c:order val="6"/>
          <c:tx>
            <c:strRef>
              <c:f>'Strom - Speicher'!$D$12</c:f>
              <c:strCache>
                <c:ptCount val="1"/>
                <c:pt idx="0">
                  <c:v>Ad. Druckluftspeicher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6"/>
              </a:bgClr>
            </a:patt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'Strom - Speicher'!$F$3:$L$3</c15:sqref>
                  </c15:fullRef>
                </c:ext>
              </c:extLst>
              <c:f>'Strom - Speicher'!$F$3:$K$3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Speicher'!$F$12:$L$12</c15:sqref>
                  </c15:fullRef>
                </c:ext>
              </c:extLst>
              <c:f>'Strom - Speicher'!$F$12:$K$12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31-4BA3-85AD-90215195D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706560"/>
        <c:axId val="38491392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'Strom - Speicher'!$D$7</c15:sqref>
                        </c15:formulaRef>
                      </c:ext>
                    </c:extLst>
                    <c:strCache>
                      <c:ptCount val="1"/>
                      <c:pt idx="0">
                        <c:v>Kleine Batterien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'Strom - Speicher'!$F$3:$L$3</c15:sqref>
                        </c15:fullRef>
                        <c15:formulaRef>
                          <c15:sqref>'Strom - Speicher'!$F$3:$K$3</c15:sqref>
                        </c15:formulaRef>
                      </c:ext>
                    </c:extLst>
                    <c:strCach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'Strom - Speicher'!$F$7:$L$7</c15:sqref>
                        </c15:fullRef>
                        <c15:formulaRef>
                          <c15:sqref>'Strom - Speicher'!$F$7:$K$7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5631-4BA3-85AD-90215195DCD3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'Strom - Speicher'!$D$8</c15:sqref>
                        </c15:formulaRef>
                      </c:ext>
                    </c:extLst>
                    <c:strCache>
                      <c:ptCount val="1"/>
                      <c:pt idx="0">
                        <c:v>Große Batterien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'Strom - Speicher'!$F$3:$L$3</c15:sqref>
                        </c15:fullRef>
                        <c15:formulaRef>
                          <c15:sqref>'Strom - Speicher'!$F$3:$K$3</c15:sqref>
                        </c15:formulaRef>
                      </c:ext>
                    </c:extLst>
                    <c:strCach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'Strom - Speicher'!$F$8:$L$8</c15:sqref>
                        </c15:fullRef>
                        <c15:formulaRef>
                          <c15:sqref>'Strom - Speicher'!$F$8:$K$8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631-4BA3-85AD-90215195DCD3}"/>
                  </c:ext>
                </c:extLst>
              </c15:ser>
            </c15:filteredBarSeries>
          </c:ext>
        </c:extLst>
      </c:barChart>
      <c:catAx>
        <c:axId val="38470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913920"/>
        <c:crosses val="autoZero"/>
        <c:auto val="1"/>
        <c:lblAlgn val="ctr"/>
        <c:lblOffset val="100"/>
        <c:noMultiLvlLbl val="0"/>
      </c:catAx>
      <c:valAx>
        <c:axId val="384913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Installierte Stromspeicherkapazität in GWh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70656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Stromspeicher in 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4881886571728069E-2"/>
          <c:y val="0.17795659299210073"/>
          <c:w val="0.49019707771336563"/>
          <c:h val="0.73394608374448289"/>
        </c:manualLayout>
      </c:layout>
      <c:pieChart>
        <c:varyColors val="1"/>
        <c:ser>
          <c:idx val="0"/>
          <c:order val="0"/>
          <c:tx>
            <c:strRef>
              <c:f>'Strom - Speicher'!$L$3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5117-4ABB-B71A-41DE50DB6A47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3-5117-4ABB-B71A-41DE50DB6A47}"/>
              </c:ext>
            </c:extLst>
          </c:dPt>
          <c:dPt>
            <c:idx val="3"/>
            <c:bubble3D val="0"/>
            <c:spPr>
              <a:pattFill prst="dkDnDiag">
                <a:fgClr>
                  <a:srgbClr val="FF0000"/>
                </a:fgClr>
                <a:bgClr>
                  <a:schemeClr val="bg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5-5117-4ABB-B71A-41DE50DB6A4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'Strom - Speicher'!$D$4:$D$12</c15:sqref>
                  </c15:fullRef>
                </c:ext>
              </c:extLst>
              <c:f>('Strom - Speicher'!$D$4,'Strom - Speicher'!$D$9,'Strom - Speicher'!$D$11:$D$12)</c:f>
              <c:strCache>
                <c:ptCount val="4"/>
                <c:pt idx="0">
                  <c:v>Pumpspeicher</c:v>
                </c:pt>
                <c:pt idx="1">
                  <c:v>Batteriespeicher</c:v>
                </c:pt>
                <c:pt idx="2">
                  <c:v>Druckluftspeicher</c:v>
                </c:pt>
                <c:pt idx="3">
                  <c:v>Ad. Druckluftspeicher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Speicher'!$L$4:$L$12</c15:sqref>
                  </c15:fullRef>
                </c:ext>
              </c:extLst>
              <c:f>('Strom - Speicher'!$L$4,'Strom - Speicher'!$L$9,'Strom - Speicher'!$L$11:$L$12)</c:f>
              <c:numCache>
                <c:formatCode>General</c:formatCode>
                <c:ptCount val="4"/>
                <c:pt idx="0">
                  <c:v>59.766948695905739</c:v>
                </c:pt>
                <c:pt idx="1">
                  <c:v>252.07327506994469</c:v>
                </c:pt>
                <c:pt idx="2">
                  <c:v>3.7317887374731018E-2</c:v>
                </c:pt>
                <c:pt idx="3">
                  <c:v>182.72141789407021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'Strom - Speicher'!$L$8</c15:sqref>
                  <c15:spPr xmlns:c15="http://schemas.microsoft.com/office/drawing/2012/chart">
                    <a:solidFill>
                      <a:schemeClr val="accent6"/>
                    </a:solidFill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5117-4ABB-B71A-41DE50DB6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2103872637876214"/>
          <c:y val="0.14723664016232105"/>
          <c:w val="0.4613094114308548"/>
          <c:h val="0.7513369809324789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99947916666665"/>
          <c:y val="6.1460416666666663E-2"/>
          <c:w val="0.41926341328713357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Speicher'!$O$16</c:f>
              <c:strCache>
                <c:ptCount val="1"/>
                <c:pt idx="0">
                  <c:v>Pumped Storage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'Strom - Speicher'!$R$15:$X$15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Speicher'!$R$16:$X$16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F-4640-94B6-4444A6B40FBD}"/>
            </c:ext>
          </c:extLst>
        </c:ser>
        <c:ser>
          <c:idx val="1"/>
          <c:order val="1"/>
          <c:tx>
            <c:strRef>
              <c:f>'Strom - Speicher'!$O$19</c:f>
              <c:strCache>
                <c:ptCount val="1"/>
                <c:pt idx="0">
                  <c:v>Battery storage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val>
            <c:numRef>
              <c:f>'Strom - Speicher'!$R$19:$X$19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AF-4640-94B6-4444A6B40FBD}"/>
            </c:ext>
          </c:extLst>
        </c:ser>
        <c:ser>
          <c:idx val="3"/>
          <c:order val="3"/>
          <c:tx>
            <c:strRef>
              <c:f>'Strom - Speicher'!$O$21</c:f>
              <c:strCache>
                <c:ptCount val="1"/>
                <c:pt idx="0">
                  <c:v>Ad. Compressed Air Storage</c:v>
                </c:pt>
              </c:strCache>
            </c:strRef>
          </c:tx>
          <c:spPr>
            <a:pattFill prst="dkDnDiag">
              <a:fgClr>
                <a:srgbClr val="FF0000"/>
              </a:fgClr>
              <a:bgClr>
                <a:schemeClr val="bg1"/>
              </a:bgClr>
            </a:pattFill>
          </c:spPr>
          <c:invertIfNegative val="0"/>
          <c:val>
            <c:numRef>
              <c:f>'Strom - Speicher'!$R$21:$X$21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AF-4640-94B6-4444A6B40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500736"/>
        <c:axId val="3849104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'Strom - Speicher'!$O$20</c15:sqref>
                        </c15:formulaRef>
                      </c:ext>
                    </c:extLst>
                    <c:strCache>
                      <c:ptCount val="1"/>
                      <c:pt idx="0">
                        <c:v>Compressed Air Storage</c:v>
                      </c:pt>
                    </c:strCache>
                  </c:strRef>
                </c:tx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'Strom - Speicher'!$R$20:$X$20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CAF-4640-94B6-4444A6B40FBD}"/>
                  </c:ext>
                </c:extLst>
              </c15:ser>
            </c15:filteredBarSeries>
          </c:ext>
        </c:extLst>
      </c:barChart>
      <c:catAx>
        <c:axId val="38450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910464"/>
        <c:crosses val="autoZero"/>
        <c:auto val="1"/>
        <c:lblAlgn val="ctr"/>
        <c:lblOffset val="100"/>
        <c:noMultiLvlLbl val="0"/>
      </c:catAx>
      <c:valAx>
        <c:axId val="38491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charging capacities of electricity storage  in 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50073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99947916666665"/>
          <c:y val="6.1460416666666663E-2"/>
          <c:w val="0.41926341328713357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Speicher'!$O$26</c:f>
              <c:strCache>
                <c:ptCount val="1"/>
                <c:pt idx="0">
                  <c:v>Pumped Storage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'Strom - Speicher'!$R$15:$X$15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'Strom - Speicher'!$R$26:$X$26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9-4648-A7E2-F90B0A03081B}"/>
            </c:ext>
          </c:extLst>
        </c:ser>
        <c:ser>
          <c:idx val="1"/>
          <c:order val="1"/>
          <c:tx>
            <c:strRef>
              <c:f>'Strom - Speicher'!$O$29</c:f>
              <c:strCache>
                <c:ptCount val="1"/>
                <c:pt idx="0">
                  <c:v>Battery storage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val>
            <c:numRef>
              <c:f>'Strom - Speicher'!$R$29:$X$29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9-4648-A7E2-F90B0A03081B}"/>
            </c:ext>
          </c:extLst>
        </c:ser>
        <c:ser>
          <c:idx val="3"/>
          <c:order val="3"/>
          <c:tx>
            <c:strRef>
              <c:f>'Strom - Speicher'!$O$31</c:f>
              <c:strCache>
                <c:ptCount val="1"/>
                <c:pt idx="0">
                  <c:v>Ad. Compressed Air Storage</c:v>
                </c:pt>
              </c:strCache>
            </c:strRef>
          </c:tx>
          <c:spPr>
            <a:pattFill prst="dkDnDiag">
              <a:fgClr>
                <a:srgbClr val="FF0000"/>
              </a:fgClr>
              <a:bgClr>
                <a:schemeClr val="bg1"/>
              </a:bgClr>
            </a:pattFill>
          </c:spPr>
          <c:invertIfNegative val="0"/>
          <c:val>
            <c:numRef>
              <c:f>'Strom - Speicher'!$R$31:$X$31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49-4648-A7E2-F90B0A030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500736"/>
        <c:axId val="3849104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'Strom - Speicher'!$O$30</c15:sqref>
                        </c15:formulaRef>
                      </c:ext>
                    </c:extLst>
                    <c:strCache>
                      <c:ptCount val="1"/>
                      <c:pt idx="0">
                        <c:v>Compressed Air Storage</c:v>
                      </c:pt>
                    </c:strCache>
                  </c:strRef>
                </c:tx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'Strom - Speicher'!$R$30:$X$30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E49-4648-A7E2-F90B0A03081B}"/>
                  </c:ext>
                </c:extLst>
              </c15:ser>
            </c15:filteredBarSeries>
          </c:ext>
        </c:extLst>
      </c:barChart>
      <c:catAx>
        <c:axId val="38450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910464"/>
        <c:crosses val="autoZero"/>
        <c:auto val="1"/>
        <c:lblAlgn val="ctr"/>
        <c:lblOffset val="100"/>
        <c:noMultiLvlLbl val="0"/>
      </c:catAx>
      <c:valAx>
        <c:axId val="38491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discharging capacities of electricity storage  in 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50073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99947916666665"/>
          <c:y val="6.1460416666666663E-2"/>
          <c:w val="0.41926341328713357"/>
          <c:h val="0.778271364283593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Speicher'!$AA$4</c:f>
              <c:strCache>
                <c:ptCount val="1"/>
                <c:pt idx="0">
                  <c:v>Pumped Storage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Speicher'!$R$15:$X$15</c15:sqref>
                  </c15:fullRef>
                </c:ext>
              </c:extLst>
              <c:f>'Strom - Speicher'!$R$15:$W$15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Speicher'!$AD$4:$AJ$4</c15:sqref>
                  </c15:fullRef>
                </c:ext>
              </c:extLst>
              <c:f>'Strom - Speicher'!$AD$4:$AI$4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6-41EC-BA9C-77CC877DF03E}"/>
            </c:ext>
          </c:extLst>
        </c:ser>
        <c:ser>
          <c:idx val="1"/>
          <c:order val="1"/>
          <c:tx>
            <c:strRef>
              <c:f>'Strom - Speicher'!$AA$7</c:f>
              <c:strCache>
                <c:ptCount val="1"/>
                <c:pt idx="0">
                  <c:v>Battery storage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Speicher'!$AD$7:$AJ$7</c15:sqref>
                  </c15:fullRef>
                </c:ext>
              </c:extLst>
              <c:f>'Strom - Speicher'!$AD$7:$AI$7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6-41EC-BA9C-77CC877DF03E}"/>
            </c:ext>
          </c:extLst>
        </c:ser>
        <c:ser>
          <c:idx val="3"/>
          <c:order val="3"/>
          <c:tx>
            <c:strRef>
              <c:f>'Strom - Speicher'!$AA$9</c:f>
              <c:strCache>
                <c:ptCount val="1"/>
                <c:pt idx="0">
                  <c:v>Ad. Compressed Air Storage</c:v>
                </c:pt>
              </c:strCache>
            </c:strRef>
          </c:tx>
          <c:spPr>
            <a:pattFill prst="dkDnDiag">
              <a:fgClr>
                <a:srgbClr val="FF0000"/>
              </a:fgClr>
              <a:bgClr>
                <a:schemeClr val="bg1"/>
              </a:bgClr>
            </a:pattFill>
          </c:spPr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Speicher'!$AD$9:$AJ$9</c15:sqref>
                  </c15:fullRef>
                </c:ext>
              </c:extLst>
              <c:f>'Strom - Speicher'!$AD$9:$AI$9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56-41EC-BA9C-77CC877D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500736"/>
        <c:axId val="3849104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'Strom - Speicher'!$AA$8</c15:sqref>
                        </c15:formulaRef>
                      </c:ext>
                    </c:extLst>
                    <c:strCache>
                      <c:ptCount val="1"/>
                      <c:pt idx="0">
                        <c:v>Compressed Air Storage</c:v>
                      </c:pt>
                    </c:strCache>
                  </c:strRef>
                </c:tx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'Strom - Speicher'!$AD$8:$AK$8</c15:sqref>
                        </c15:fullRef>
                        <c15:formulaRef>
                          <c15:sqref>('Strom - Speicher'!$AD$8:$AI$8,'Strom - Speicher'!$AK$8)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356-41EC-BA9C-77CC877DF03E}"/>
                  </c:ext>
                </c:extLst>
              </c15:ser>
            </c15:filteredBarSeries>
          </c:ext>
        </c:extLst>
      </c:barChart>
      <c:catAx>
        <c:axId val="38450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910464"/>
        <c:crosses val="autoZero"/>
        <c:auto val="1"/>
        <c:lblAlgn val="ctr"/>
        <c:lblOffset val="100"/>
        <c:noMultiLvlLbl val="0"/>
      </c:catAx>
      <c:valAx>
        <c:axId val="38491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Stored electricity in</a:t>
                </a:r>
                <a:r>
                  <a:rPr lang="de-DE" baseline="0"/>
                  <a:t> course of a year </a:t>
                </a:r>
                <a:r>
                  <a:rPr lang="de-DE"/>
                  <a:t>in TWh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50073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99947916666665"/>
          <c:y val="6.1460416666666663E-2"/>
          <c:w val="0.41926341328713357"/>
          <c:h val="0.778271364283593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'Strom - Speicher'!$AB$4</c:f>
              <c:strCache>
                <c:ptCount val="1"/>
                <c:pt idx="0">
                  <c:v>Pumpspeicher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'Strom - Speicher'!$R$15:$X$15</c15:sqref>
                  </c15:fullRef>
                </c:ext>
              </c:extLst>
              <c:f>'Strom - Speicher'!$R$15:$W$15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Speicher'!$AD$4:$AJ$4</c15:sqref>
                  </c15:fullRef>
                </c:ext>
              </c:extLst>
              <c:f>'Strom - Speicher'!$AD$4:$AI$4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1-4B7D-A250-DCB42C3909E1}"/>
            </c:ext>
          </c:extLst>
        </c:ser>
        <c:ser>
          <c:idx val="1"/>
          <c:order val="1"/>
          <c:tx>
            <c:strRef>
              <c:f>'Strom - Speicher'!$AB$7</c:f>
              <c:strCache>
                <c:ptCount val="1"/>
                <c:pt idx="0">
                  <c:v>Batteriespeicher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Speicher'!$AD$7:$AJ$7</c15:sqref>
                  </c15:fullRef>
                </c:ext>
              </c:extLst>
              <c:f>'Strom - Speicher'!$AD$7:$AI$7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1-4B7D-A250-DCB42C3909E1}"/>
            </c:ext>
          </c:extLst>
        </c:ser>
        <c:ser>
          <c:idx val="3"/>
          <c:order val="3"/>
          <c:tx>
            <c:strRef>
              <c:f>'Strom - Speicher'!$AB$9</c:f>
              <c:strCache>
                <c:ptCount val="1"/>
                <c:pt idx="0">
                  <c:v>Ad. Druckluftspeicher</c:v>
                </c:pt>
              </c:strCache>
            </c:strRef>
          </c:tx>
          <c:spPr>
            <a:pattFill prst="dkDnDiag">
              <a:fgClr>
                <a:srgbClr val="FF0000"/>
              </a:fgClr>
              <a:bgClr>
                <a:schemeClr val="bg1"/>
              </a:bgClr>
            </a:pattFill>
          </c:spPr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'Strom - Speicher'!$AD$9:$AJ$9</c15:sqref>
                  </c15:fullRef>
                </c:ext>
              </c:extLst>
              <c:f>'Strom - Speicher'!$AD$9:$AI$9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1-4B7D-A250-DCB42C390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500736"/>
        <c:axId val="3849104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'Strom - Speicher'!$AA$8</c15:sqref>
                        </c15:formulaRef>
                      </c:ext>
                    </c:extLst>
                    <c:strCache>
                      <c:ptCount val="1"/>
                      <c:pt idx="0">
                        <c:v>Compressed Air Storage</c:v>
                      </c:pt>
                    </c:strCache>
                  </c:strRef>
                </c:tx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'Strom - Speicher'!$AD$8:$AK$8</c15:sqref>
                        </c15:fullRef>
                        <c15:formulaRef>
                          <c15:sqref>('Strom - Speicher'!$AD$8:$AI$8,'Strom - Speicher'!$AK$8)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A451-4B7D-A250-DCB42C3909E1}"/>
                  </c:ext>
                </c:extLst>
              </c15:ser>
            </c15:filteredBarSeries>
          </c:ext>
        </c:extLst>
      </c:barChart>
      <c:catAx>
        <c:axId val="38450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910464"/>
        <c:crosses val="autoZero"/>
        <c:auto val="1"/>
        <c:lblAlgn val="ctr"/>
        <c:lblOffset val="100"/>
        <c:noMultiLvlLbl val="0"/>
      </c:catAx>
      <c:valAx>
        <c:axId val="38491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Gespeicherte Energiemenge im Jahresverlauf in TWh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450073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819453432226591"/>
          <c:y val="6.1460416666666663E-2"/>
          <c:w val="0.43161956093617199"/>
          <c:h val="0.6235454861111111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'Wärme - Gesamtverbrauch'!$B$5</c:f>
              <c:strCache>
                <c:ptCount val="1"/>
                <c:pt idx="0">
                  <c:v>Room heat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'Wärme - Gesamtverbrauch'!$E$3:$K$3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45-4FF9-B6FA-45AA695D9964}"/>
            </c:ext>
          </c:extLst>
        </c:ser>
        <c:ser>
          <c:idx val="0"/>
          <c:order val="1"/>
          <c:tx>
            <c:strRef>
              <c:f>'Wärme - Gesamtverbrauch'!$B$4</c:f>
              <c:strCache>
                <c:ptCount val="1"/>
                <c:pt idx="0">
                  <c:v>Process heat</c:v>
                </c:pt>
              </c:strCache>
            </c:strRef>
          </c:tx>
          <c:invertIfNegative val="0"/>
          <c:cat>
            <c:numRef>
              <c:f>'Wärme - Gesamtverbrauch'!$E$3:$K$3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5-4FF9-B6FA-45AA695D9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924800"/>
        <c:axId val="391258112"/>
      </c:barChart>
      <c:catAx>
        <c:axId val="39092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258112"/>
        <c:crosses val="autoZero"/>
        <c:auto val="1"/>
        <c:lblAlgn val="ctr"/>
        <c:lblOffset val="100"/>
        <c:noMultiLvlLbl val="0"/>
      </c:catAx>
      <c:valAx>
        <c:axId val="391258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Heat consumption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0924800"/>
        <c:crosses val="autoZero"/>
        <c:crossBetween val="between"/>
        <c:majorUnit val="200000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7640954414477916"/>
          <c:y val="0.25621170054947334"/>
          <c:w val="0.24365972819645298"/>
          <c:h val="0.2001609577652145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609088368272944"/>
          <c:y val="6.1460455325250081E-2"/>
          <c:w val="0.43161956093617199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'Wärme - Gesamtverbrauch'!$O$4</c:f>
              <c:strCache>
                <c:ptCount val="1"/>
                <c:pt idx="0">
                  <c:v>Decentral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Gesamtverbrauch'!$R$4:$X$4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5-4FF9-B6FA-45AA695D9964}"/>
            </c:ext>
          </c:extLst>
        </c:ser>
        <c:ser>
          <c:idx val="4"/>
          <c:order val="1"/>
          <c:tx>
            <c:strRef>
              <c:f>'Wärme - Gesamtverbrauch'!$O$8</c:f>
              <c:strCache>
                <c:ptCount val="1"/>
                <c:pt idx="0">
                  <c:v>Local heating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Gesamtverbrauch'!$R$8:$X$8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45-4FF9-B6FA-45AA695D9964}"/>
            </c:ext>
          </c:extLst>
        </c:ser>
        <c:ser>
          <c:idx val="2"/>
          <c:order val="2"/>
          <c:tx>
            <c:strRef>
              <c:f>'Wärme - Gesamtverbrauch'!$O$6</c:f>
              <c:strCache>
                <c:ptCount val="1"/>
                <c:pt idx="0">
                  <c:v>District heating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Gesamtverbrauch'!$R$6:$X$6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45-4FF9-B6FA-45AA695D9964}"/>
            </c:ext>
          </c:extLst>
        </c:ser>
        <c:ser>
          <c:idx val="1"/>
          <c:order val="3"/>
          <c:tx>
            <c:strRef>
              <c:f>'Wärme - Gesamtverbrauch'!$O$5</c:f>
              <c:strCache>
                <c:ptCount val="1"/>
                <c:pt idx="0">
                  <c:v>Decentral - industry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Gesamtverbrauch'!$R$5:$X$5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45-4FF9-B6FA-45AA695D9964}"/>
            </c:ext>
          </c:extLst>
        </c:ser>
        <c:ser>
          <c:idx val="5"/>
          <c:order val="4"/>
          <c:tx>
            <c:strRef>
              <c:f>'Wärme - Gesamtverbrauch'!$O$9</c:f>
              <c:strCache>
                <c:ptCount val="1"/>
                <c:pt idx="0">
                  <c:v>Local heating - industry</c:v>
                </c:pt>
              </c:strCache>
            </c:strRef>
          </c:tx>
          <c:spPr>
            <a:pattFill prst="dkUpDiag"/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Gesamtverbrauch'!$R$9:$X$9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45-4FF9-B6FA-45AA695D9964}"/>
            </c:ext>
          </c:extLst>
        </c:ser>
        <c:ser>
          <c:idx val="3"/>
          <c:order val="5"/>
          <c:tx>
            <c:strRef>
              <c:f>'Wärme - Gesamtverbrauch'!$O$7</c:f>
              <c:strCache>
                <c:ptCount val="1"/>
                <c:pt idx="0">
                  <c:v>District heating - industry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Gesamtverbrauch'!$R$7:$X$7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45-4FF9-B6FA-45AA695D9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314304"/>
        <c:axId val="391260416"/>
      </c:barChart>
      <c:catAx>
        <c:axId val="32931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260416"/>
        <c:crosses val="autoZero"/>
        <c:auto val="1"/>
        <c:lblAlgn val="ctr"/>
        <c:lblOffset val="100"/>
        <c:noMultiLvlLbl val="0"/>
      </c:catAx>
      <c:valAx>
        <c:axId val="391260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Heat consumption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9314304"/>
        <c:crosses val="autoZero"/>
        <c:crossBetween val="between"/>
        <c:majorUnit val="200000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3430588830173729"/>
          <c:y val="1.2023384893776207E-2"/>
          <c:w val="0.36569411169826266"/>
          <c:h val="0.8713403668128061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819453432226591"/>
          <c:y val="6.1460416666666663E-2"/>
          <c:w val="0.31728583107439434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'Wärme - Gesamtverbrauch'!$O$4</c:f>
              <c:strCache>
                <c:ptCount val="1"/>
                <c:pt idx="0">
                  <c:v>Decentral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Gesamtverbrauch'!$R$4:$X$4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5-4FF9-B6FA-45AA695D9964}"/>
            </c:ext>
          </c:extLst>
        </c:ser>
        <c:ser>
          <c:idx val="4"/>
          <c:order val="1"/>
          <c:tx>
            <c:strRef>
              <c:f>'Wärme - Gesamtverbrauch'!$O$8</c:f>
              <c:strCache>
                <c:ptCount val="1"/>
                <c:pt idx="0">
                  <c:v>Local heating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Gesamtverbrauch'!$R$8:$X$8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45-4FF9-B6FA-45AA695D9964}"/>
            </c:ext>
          </c:extLst>
        </c:ser>
        <c:ser>
          <c:idx val="2"/>
          <c:order val="2"/>
          <c:tx>
            <c:strRef>
              <c:f>'Wärme - Gesamtverbrauch'!$O$6</c:f>
              <c:strCache>
                <c:ptCount val="1"/>
                <c:pt idx="0">
                  <c:v>District heating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Gesamtverbrauch'!$R$6:$X$6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45-4FF9-B6FA-45AA695D9964}"/>
            </c:ext>
          </c:extLst>
        </c:ser>
        <c:ser>
          <c:idx val="1"/>
          <c:order val="3"/>
          <c:tx>
            <c:strRef>
              <c:f>'Wärme - Gesamtverbrauch'!$O$10</c:f>
              <c:strCache>
                <c:ptCount val="1"/>
                <c:pt idx="0">
                  <c:v>High temperature (&gt;500°C)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 w="25400">
              <a:noFill/>
            </a:ln>
          </c:spPr>
          <c:invertIfNegative val="0"/>
          <c:val>
            <c:numRef>
              <c:f>'Wärme - Gesamtverbrauch'!$R$10:$X$10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A-408D-A928-5E1831B6F355}"/>
            </c:ext>
          </c:extLst>
        </c:ser>
        <c:ser>
          <c:idx val="3"/>
          <c:order val="4"/>
          <c:tx>
            <c:strRef>
              <c:f>'Wärme - Gesamtverbrauch'!$O$11</c:f>
              <c:strCache>
                <c:ptCount val="1"/>
                <c:pt idx="0">
                  <c:v>Medium temperature (100-500°C)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4"/>
              </a:bgClr>
            </a:pattFill>
            <a:ln w="25400">
              <a:noFill/>
            </a:ln>
          </c:spPr>
          <c:invertIfNegative val="0"/>
          <c:val>
            <c:numRef>
              <c:f>'Wärme - Gesamtverbrauch'!$R$11:$X$11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A-408D-A928-5E1831B6F355}"/>
            </c:ext>
          </c:extLst>
        </c:ser>
        <c:ser>
          <c:idx val="5"/>
          <c:order val="5"/>
          <c:tx>
            <c:strRef>
              <c:f>'Wärme - Gesamtverbrauch'!$O$12</c:f>
              <c:strCache>
                <c:ptCount val="1"/>
                <c:pt idx="0">
                  <c:v>Low temperature (&lt;100°C)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val>
            <c:numRef>
              <c:f>'Wärme - Gesamtverbrauch'!$R$12:$X$12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DA-408D-A928-5E1831B6F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315840"/>
        <c:axId val="391262720"/>
      </c:barChart>
      <c:catAx>
        <c:axId val="32931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262720"/>
        <c:crosses val="autoZero"/>
        <c:auto val="1"/>
        <c:lblAlgn val="ctr"/>
        <c:lblOffset val="100"/>
        <c:noMultiLvlLbl val="0"/>
      </c:catAx>
      <c:valAx>
        <c:axId val="391262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Heat consumption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9315840"/>
        <c:crosses val="autoZero"/>
        <c:crossBetween val="between"/>
        <c:majorUnit val="200000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55418670250717628"/>
          <c:y val="1.2023384893776207E-2"/>
          <c:w val="0.44581335029563118"/>
          <c:h val="0.8713403668128061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59451968503933"/>
          <c:y val="6.1460416666666663E-2"/>
          <c:w val="0.40688579527559054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'Wärme - Gesamtverbrauch'!$P$4</c:f>
              <c:strCache>
                <c:ptCount val="1"/>
                <c:pt idx="0">
                  <c:v>Dezentral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Gesamtverbrauch'!$R$4:$X$4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5-4FF9-B6FA-45AA695D9964}"/>
            </c:ext>
          </c:extLst>
        </c:ser>
        <c:ser>
          <c:idx val="4"/>
          <c:order val="1"/>
          <c:tx>
            <c:strRef>
              <c:f>'Wärme - Gesamtverbrauch'!$P$8</c:f>
              <c:strCache>
                <c:ptCount val="1"/>
                <c:pt idx="0">
                  <c:v>Nahwärme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Gesamtverbrauch'!$R$8:$X$8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45-4FF9-B6FA-45AA695D9964}"/>
            </c:ext>
          </c:extLst>
        </c:ser>
        <c:ser>
          <c:idx val="2"/>
          <c:order val="2"/>
          <c:tx>
            <c:strRef>
              <c:f>'Wärme - Gesamtverbrauch'!$P$6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Gesamtverbrauch'!$R$6:$X$6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45-4FF9-B6FA-45AA695D9964}"/>
            </c:ext>
          </c:extLst>
        </c:ser>
        <c:ser>
          <c:idx val="1"/>
          <c:order val="3"/>
          <c:tx>
            <c:strRef>
              <c:f>'Wärme - Gesamtverbrauch'!$P$10</c:f>
              <c:strCache>
                <c:ptCount val="1"/>
                <c:pt idx="0">
                  <c:v>HT-Prozesswärme (&gt;500°C)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 w="25400">
              <a:noFill/>
            </a:ln>
          </c:spPr>
          <c:invertIfNegative val="0"/>
          <c:val>
            <c:numRef>
              <c:f>'Wärme - Gesamtverbrauch'!$R$10:$X$10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A-408D-A928-5E1831B6F355}"/>
            </c:ext>
          </c:extLst>
        </c:ser>
        <c:ser>
          <c:idx val="3"/>
          <c:order val="4"/>
          <c:tx>
            <c:strRef>
              <c:f>'Wärme - Gesamtverbrauch'!$P$11</c:f>
              <c:strCache>
                <c:ptCount val="1"/>
                <c:pt idx="0">
                  <c:v>MT-Prozesswärme (100-500°C)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4"/>
              </a:bgClr>
            </a:pattFill>
            <a:ln w="25400">
              <a:noFill/>
            </a:ln>
          </c:spPr>
          <c:invertIfNegative val="0"/>
          <c:val>
            <c:numRef>
              <c:f>'Wärme - Gesamtverbrauch'!$R$11:$X$11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A-408D-A928-5E1831B6F355}"/>
            </c:ext>
          </c:extLst>
        </c:ser>
        <c:ser>
          <c:idx val="5"/>
          <c:order val="5"/>
          <c:tx>
            <c:strRef>
              <c:f>'Wärme - Gesamtverbrauch'!$P$12</c:f>
              <c:strCache>
                <c:ptCount val="1"/>
                <c:pt idx="0">
                  <c:v>NT-Prozesswärme (&lt;100°C)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val>
            <c:numRef>
              <c:f>'Wärme - Gesamtverbrauch'!$R$12:$X$12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DA-408D-A928-5E1831B6F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317376"/>
        <c:axId val="391265024"/>
      </c:barChart>
      <c:catAx>
        <c:axId val="32931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265024"/>
        <c:crosses val="autoZero"/>
        <c:auto val="1"/>
        <c:lblAlgn val="ctr"/>
        <c:lblOffset val="100"/>
        <c:noMultiLvlLbl val="0"/>
      </c:catAx>
      <c:valAx>
        <c:axId val="391265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Wärmebedarf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9317376"/>
        <c:crosses val="autoZero"/>
        <c:crossBetween val="between"/>
        <c:majorUnit val="200000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55418670250717628"/>
          <c:y val="1.2023384893776207E-2"/>
          <c:w val="0.44581333386290145"/>
          <c:h val="0.8713403668128061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819453432226591"/>
          <c:y val="6.1460416666666663E-2"/>
          <c:w val="0.43161956093617199"/>
          <c:h val="0.6235454861111111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'Wärme - Gesamtverbrauch'!$C$5</c:f>
              <c:strCache>
                <c:ptCount val="1"/>
                <c:pt idx="0">
                  <c:v>Gebäudeheizung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'Wärme - Gesamtverbrauch'!$E$3:$K$3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45-4FF9-B6FA-45AA695D9964}"/>
            </c:ext>
          </c:extLst>
        </c:ser>
        <c:ser>
          <c:idx val="0"/>
          <c:order val="1"/>
          <c:tx>
            <c:strRef>
              <c:f>'Wärme - Gesamtverbrauch'!$C$4</c:f>
              <c:strCache>
                <c:ptCount val="1"/>
                <c:pt idx="0">
                  <c:v>Prozesswärme</c:v>
                </c:pt>
              </c:strCache>
            </c:strRef>
          </c:tx>
          <c:invertIfNegative val="0"/>
          <c:cat>
            <c:numRef>
              <c:f>'Wärme - Gesamtverbrauch'!$E$3:$K$3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5-4FF9-B6FA-45AA695D9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716864"/>
        <c:axId val="388121728"/>
      </c:barChart>
      <c:catAx>
        <c:axId val="39171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8121728"/>
        <c:crosses val="autoZero"/>
        <c:auto val="1"/>
        <c:lblAlgn val="ctr"/>
        <c:lblOffset val="100"/>
        <c:noMultiLvlLbl val="0"/>
      </c:catAx>
      <c:valAx>
        <c:axId val="388121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Wärmebedarf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716864"/>
        <c:crosses val="autoZero"/>
        <c:crossBetween val="between"/>
        <c:majorUnit val="200000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7640954414477916"/>
          <c:y val="0.25621170054947334"/>
          <c:w val="0.30381634137499408"/>
          <c:h val="0.2001609577652145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497585743441684"/>
          <c:y val="6.988074025575787E-2"/>
          <c:w val="0.43161956093617199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'Wärme - Gesamtverbrauch'!$P$4</c:f>
              <c:strCache>
                <c:ptCount val="1"/>
                <c:pt idx="0">
                  <c:v>Dezentral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Gesamtverbrauch'!$R$4:$X$4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5-4FF9-B6FA-45AA695D9964}"/>
            </c:ext>
          </c:extLst>
        </c:ser>
        <c:ser>
          <c:idx val="4"/>
          <c:order val="1"/>
          <c:tx>
            <c:strRef>
              <c:f>'Wärme - Gesamtverbrauch'!$P$8</c:f>
              <c:strCache>
                <c:ptCount val="1"/>
                <c:pt idx="0">
                  <c:v>Nahwärme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Gesamtverbrauch'!$R$8:$X$8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45-4FF9-B6FA-45AA695D9964}"/>
            </c:ext>
          </c:extLst>
        </c:ser>
        <c:ser>
          <c:idx val="2"/>
          <c:order val="2"/>
          <c:tx>
            <c:strRef>
              <c:f>'Wärme - Gesamtverbrauch'!$P$6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Gesamtverbrauch'!$R$6:$X$6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45-4FF9-B6FA-45AA695D9964}"/>
            </c:ext>
          </c:extLst>
        </c:ser>
        <c:ser>
          <c:idx val="1"/>
          <c:order val="3"/>
          <c:tx>
            <c:strRef>
              <c:f>'Wärme - Gesamtverbrauch'!$P$5</c:f>
              <c:strCache>
                <c:ptCount val="1"/>
                <c:pt idx="0">
                  <c:v>Dezentral - Industrie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Gesamtverbrauch'!$R$5:$X$5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45-4FF9-B6FA-45AA695D9964}"/>
            </c:ext>
          </c:extLst>
        </c:ser>
        <c:ser>
          <c:idx val="5"/>
          <c:order val="4"/>
          <c:tx>
            <c:strRef>
              <c:f>'Wärme - Gesamtverbrauch'!$P$9</c:f>
              <c:strCache>
                <c:ptCount val="1"/>
                <c:pt idx="0">
                  <c:v>Nahwärme - Industrie</c:v>
                </c:pt>
              </c:strCache>
            </c:strRef>
          </c:tx>
          <c:spPr>
            <a:pattFill prst="dkUpDiag"/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Gesamtverbrauch'!$R$9:$X$9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45-4FF9-B6FA-45AA695D9964}"/>
            </c:ext>
          </c:extLst>
        </c:ser>
        <c:ser>
          <c:idx val="3"/>
          <c:order val="5"/>
          <c:tx>
            <c:strRef>
              <c:f>'Wärme - Gesamtverbrauch'!$P$7</c:f>
              <c:strCache>
                <c:ptCount val="1"/>
                <c:pt idx="0">
                  <c:v>Fernwärme - Industrie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numRef>
              <c:f>'Wärme - Gesamtverbrauch'!$R$3:$X$3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Gesamtverbrauch'!$R$7:$X$7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45-4FF9-B6FA-45AA695D9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718400"/>
        <c:axId val="388124032"/>
      </c:barChart>
      <c:catAx>
        <c:axId val="39171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8124032"/>
        <c:crosses val="autoZero"/>
        <c:auto val="1"/>
        <c:lblAlgn val="ctr"/>
        <c:lblOffset val="100"/>
        <c:noMultiLvlLbl val="0"/>
      </c:catAx>
      <c:valAx>
        <c:axId val="388124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Wärmebedarf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718400"/>
        <c:crosses val="autoZero"/>
        <c:crossBetween val="between"/>
        <c:majorUnit val="200000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2372724708381033"/>
          <c:y val="1.2023384893776207E-2"/>
          <c:w val="0.37627275291618961"/>
          <c:h val="0.8713403668128061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819453432226591"/>
          <c:y val="6.1460416666666663E-2"/>
          <c:w val="0.53482237377005659"/>
          <c:h val="0.62354548611111116"/>
        </c:manualLayout>
      </c:layout>
      <c:areaChart>
        <c:grouping val="stacked"/>
        <c:varyColors val="0"/>
        <c:ser>
          <c:idx val="0"/>
          <c:order val="0"/>
          <c:tx>
            <c:strRef>
              <c:f>'Wärme - Erzeugung'!$N$4</c:f>
              <c:strCache>
                <c:ptCount val="1"/>
                <c:pt idx="0">
                  <c:v>Heating Plants</c:v>
                </c:pt>
              </c:strCache>
            </c:strRef>
          </c:tx>
          <c:cat>
            <c:numRef>
              <c:f>'Wärme - Erzeugung'!$Q$3:$W$3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Erzeugung'!$Q$4:$W$4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C-479F-A04A-486F12593BB8}"/>
            </c:ext>
          </c:extLst>
        </c:ser>
        <c:ser>
          <c:idx val="1"/>
          <c:order val="1"/>
          <c:tx>
            <c:strRef>
              <c:f>'Wärme - Erzeugung'!$N$5</c:f>
              <c:strCache>
                <c:ptCount val="1"/>
                <c:pt idx="0">
                  <c:v>Furnaces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Erzeugung'!$Q$5:$W$5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5-427C-A0B7-652CD93B6E44}"/>
            </c:ext>
          </c:extLst>
        </c:ser>
        <c:ser>
          <c:idx val="2"/>
          <c:order val="2"/>
          <c:tx>
            <c:strRef>
              <c:f>'Wärme - Erzeugung'!$N$6</c:f>
              <c:strCache>
                <c:ptCount val="1"/>
                <c:pt idx="0">
                  <c:v>Stoves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Erzeugung'!$Q$6:$W$6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5-427C-A0B7-652CD93B6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388544"/>
        <c:axId val="387250944"/>
      </c:areaChart>
      <c:catAx>
        <c:axId val="38538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7250944"/>
        <c:crosses val="autoZero"/>
        <c:auto val="1"/>
        <c:lblAlgn val="ctr"/>
        <c:lblOffset val="100"/>
        <c:noMultiLvlLbl val="0"/>
      </c:catAx>
      <c:valAx>
        <c:axId val="387250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Produced heat by HPs, furnaces and stoves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5388544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809089607724913"/>
          <c:y val="1.2023384893776207E-2"/>
          <c:w val="0.22190910392275093"/>
          <c:h val="0.6714089317216027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Produced</a:t>
            </a:r>
            <a:r>
              <a:rPr lang="de-DE" sz="1600" baseline="0"/>
              <a:t> heat by </a:t>
            </a:r>
            <a:r>
              <a:rPr lang="de-DE" sz="1600"/>
              <a:t>HPs, furnaces and</a:t>
            </a:r>
            <a:r>
              <a:rPr lang="de-DE" sz="1600" baseline="0"/>
              <a:t> stoves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'Wärme - Erzeugung'!$N$4:$N$6</c:f>
              <c:strCache>
                <c:ptCount val="3"/>
                <c:pt idx="0">
                  <c:v>Heating Plants</c:v>
                </c:pt>
                <c:pt idx="1">
                  <c:v>Furnaces</c:v>
                </c:pt>
                <c:pt idx="2">
                  <c:v>Stoves</c:v>
                </c:pt>
              </c:strCache>
            </c:strRef>
          </c:cat>
          <c:val>
            <c:numRef>
              <c:f>'Wärme - Erzeugung'!$W$4:$W$6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819453432226591"/>
          <c:y val="6.1460416666666663E-2"/>
          <c:w val="0.39506093120357333"/>
          <c:h val="0.62354548611111116"/>
        </c:manualLayout>
      </c:layout>
      <c:areaChart>
        <c:grouping val="stacked"/>
        <c:varyColors val="0"/>
        <c:ser>
          <c:idx val="0"/>
          <c:order val="0"/>
          <c:tx>
            <c:strRef>
              <c:f>'Wärme - Erzeugung'!$AA$4</c:f>
              <c:strCache>
                <c:ptCount val="1"/>
                <c:pt idx="0">
                  <c:v>Coal HP</c:v>
                </c:pt>
              </c:strCache>
            </c:strRef>
          </c:tx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Erzeugung'!$AD$4:$AI$4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C-479F-A04A-486F12593BB8}"/>
            </c:ext>
          </c:extLst>
        </c:ser>
        <c:ser>
          <c:idx val="2"/>
          <c:order val="1"/>
          <c:tx>
            <c:strRef>
              <c:f>'Wärme - Erzeugung'!$AA$5</c:f>
              <c:strCache>
                <c:ptCount val="1"/>
                <c:pt idx="0">
                  <c:v>Gas 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Erzeugung'!$AD$5:$AI$5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AC-479F-A04A-486F12593BB8}"/>
            </c:ext>
          </c:extLst>
        </c:ser>
        <c:ser>
          <c:idx val="6"/>
          <c:order val="2"/>
          <c:tx>
            <c:strRef>
              <c:f>'Wärme - Erzeugung'!$AA$6</c:f>
              <c:strCache>
                <c:ptCount val="1"/>
                <c:pt idx="0">
                  <c:v>Oil 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Erzeugung'!$AD$6:$AI$6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AC-479F-A04A-486F12593BB8}"/>
            </c:ext>
          </c:extLst>
        </c:ser>
        <c:ser>
          <c:idx val="8"/>
          <c:order val="3"/>
          <c:tx>
            <c:strRef>
              <c:f>'Wärme - Erzeugung'!$AA$7</c:f>
              <c:strCache>
                <c:ptCount val="1"/>
                <c:pt idx="0">
                  <c:v>Pellet 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Erzeugung'!$AD$7:$AI$7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AC-479F-A04A-486F12593BB8}"/>
            </c:ext>
          </c:extLst>
        </c:ser>
        <c:ser>
          <c:idx val="9"/>
          <c:order val="4"/>
          <c:tx>
            <c:strRef>
              <c:f>'Wärme - Erzeugung'!$AA$8</c:f>
              <c:strCache>
                <c:ptCount val="1"/>
                <c:pt idx="0">
                  <c:v>Straw 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Erzeugung'!$AD$8:$AI$8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AC-479F-A04A-486F12593BB8}"/>
            </c:ext>
          </c:extLst>
        </c:ser>
        <c:ser>
          <c:idx val="1"/>
          <c:order val="5"/>
          <c:tx>
            <c:strRef>
              <c:f>'Wärme - Erzeugung'!$AA$9</c:f>
              <c:strCache>
                <c:ptCount val="1"/>
                <c:pt idx="0">
                  <c:v>Wood 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Erzeugung'!$AD$9:$AI$9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0-418A-BE92-58D76E49D933}"/>
            </c:ext>
          </c:extLst>
        </c:ser>
        <c:ser>
          <c:idx val="3"/>
          <c:order val="6"/>
          <c:tx>
            <c:strRef>
              <c:f>'Wärme - Erzeugung'!$AA$10</c:f>
              <c:strCache>
                <c:ptCount val="1"/>
                <c:pt idx="0">
                  <c:v>Waste 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Erzeugung'!$AD$10:$AI$10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0-418A-BE92-58D76E49D933}"/>
            </c:ext>
          </c:extLst>
        </c:ser>
        <c:ser>
          <c:idx val="4"/>
          <c:order val="7"/>
          <c:tx>
            <c:strRef>
              <c:f>'Wärme - Erzeugung'!$AA$11</c:f>
              <c:strCache>
                <c:ptCount val="1"/>
                <c:pt idx="0">
                  <c:v>BioCoalFurnace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Erzeugung'!$AD$11:$AI$11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D0-418A-BE92-58D76E49D933}"/>
            </c:ext>
          </c:extLst>
        </c:ser>
        <c:ser>
          <c:idx val="5"/>
          <c:order val="8"/>
          <c:tx>
            <c:strRef>
              <c:f>'Wärme - Erzeugung'!$AA$12</c:f>
              <c:strCache>
                <c:ptCount val="1"/>
                <c:pt idx="0">
                  <c:v>BioCrudeOilFurnace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Erzeugung'!$AD$12:$AI$12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D0-418A-BE92-58D76E49D933}"/>
            </c:ext>
          </c:extLst>
        </c:ser>
        <c:ser>
          <c:idx val="7"/>
          <c:order val="9"/>
          <c:tx>
            <c:strRef>
              <c:f>'Wärme - Erzeugung'!$AA$13</c:f>
              <c:strCache>
                <c:ptCount val="1"/>
                <c:pt idx="0">
                  <c:v>CoalIndustrialFurnace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Erzeugung'!$AD$13:$AI$13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D0-418A-BE92-58D76E49D933}"/>
            </c:ext>
          </c:extLst>
        </c:ser>
        <c:ser>
          <c:idx val="10"/>
          <c:order val="10"/>
          <c:tx>
            <c:strRef>
              <c:f>'Wärme - Erzeugung'!$AA$14</c:f>
              <c:strCache>
                <c:ptCount val="1"/>
                <c:pt idx="0">
                  <c:v>GasIndustrialFurnace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Erzeugung'!$AD$14:$AI$14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D0-418A-BE92-58D76E49D933}"/>
            </c:ext>
          </c:extLst>
        </c:ser>
        <c:ser>
          <c:idx val="11"/>
          <c:order val="11"/>
          <c:tx>
            <c:strRef>
              <c:f>'Wärme - Erzeugung'!$AA$15</c:f>
              <c:strCache>
                <c:ptCount val="1"/>
                <c:pt idx="0">
                  <c:v>H2IndustrialFurnace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Erzeugung'!$AD$15:$AI$15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D0-418A-BE92-58D76E49D933}"/>
            </c:ext>
          </c:extLst>
        </c:ser>
        <c:ser>
          <c:idx val="12"/>
          <c:order val="12"/>
          <c:tx>
            <c:strRef>
              <c:f>'Wärme - Erzeugung'!$AA$16</c:f>
              <c:strCache>
                <c:ptCount val="1"/>
                <c:pt idx="0">
                  <c:v>OilIndustrialFurnace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Erzeugung'!$AD$16:$AI$16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D0-418A-BE92-58D76E49D933}"/>
            </c:ext>
          </c:extLst>
        </c:ser>
        <c:ser>
          <c:idx val="13"/>
          <c:order val="13"/>
          <c:tx>
            <c:strRef>
              <c:f>'Wärme - Erzeugung'!$AA$17</c:f>
              <c:strCache>
                <c:ptCount val="1"/>
                <c:pt idx="0">
                  <c:v>E-Industrial 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Erzeugung'!$AD$17:$AI$17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D0-418A-BE92-58D76E49D933}"/>
            </c:ext>
          </c:extLst>
        </c:ser>
        <c:ser>
          <c:idx val="14"/>
          <c:order val="14"/>
          <c:tx>
            <c:strRef>
              <c:f>'Wärme - Erzeugung'!$AA$18</c:f>
              <c:strCache>
                <c:ptCount val="1"/>
                <c:pt idx="0">
                  <c:v>E-Stove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Erzeugung'!$AD$18:$AI$18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D0-418A-BE92-58D76E49D933}"/>
            </c:ext>
          </c:extLst>
        </c:ser>
        <c:ser>
          <c:idx val="15"/>
          <c:order val="15"/>
          <c:tx>
            <c:strRef>
              <c:f>'Wärme - Erzeugung'!$AA$19</c:f>
              <c:strCache>
                <c:ptCount val="1"/>
                <c:pt idx="0">
                  <c:v>Gas-Stove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Erzeugung'!$AD$19:$AI$19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D0-418A-BE92-58D76E49D933}"/>
            </c:ext>
          </c:extLst>
        </c:ser>
        <c:ser>
          <c:idx val="16"/>
          <c:order val="16"/>
          <c:tx>
            <c:strRef>
              <c:f>'Wärme - Erzeugung'!$AA$20</c:f>
              <c:strCache>
                <c:ptCount val="1"/>
                <c:pt idx="0">
                  <c:v>E-Boiler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Erzeugung'!$AD$20:$AI$20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F-42BB-B562-2CD27D761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391616"/>
        <c:axId val="387737856"/>
      </c:areaChart>
      <c:catAx>
        <c:axId val="38539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7737856"/>
        <c:crosses val="autoZero"/>
        <c:auto val="1"/>
        <c:lblAlgn val="ctr"/>
        <c:lblOffset val="100"/>
        <c:noMultiLvlLbl val="0"/>
      </c:catAx>
      <c:valAx>
        <c:axId val="387737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Produced heat by heat plants and industrial furnaces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5391616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030020553154987"/>
          <c:y val="1.2023384893776207E-2"/>
          <c:w val="0.26648132534238772"/>
          <c:h val="0.8562012403796605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Installed capacities HP</a:t>
            </a:r>
            <a:r>
              <a:rPr lang="de-DE" sz="1600" baseline="0"/>
              <a:t> and industry heating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'Wärme - Erzeugung'!$AJ$3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'Wärme - Erzeugung'!$AA$4:$AA$20</c:f>
              <c:strCache>
                <c:ptCount val="17"/>
                <c:pt idx="0">
                  <c:v>Coal HP</c:v>
                </c:pt>
                <c:pt idx="1">
                  <c:v>Gas HP</c:v>
                </c:pt>
                <c:pt idx="2">
                  <c:v>Oil HP</c:v>
                </c:pt>
                <c:pt idx="3">
                  <c:v>Pellet HP</c:v>
                </c:pt>
                <c:pt idx="4">
                  <c:v>Straw HP</c:v>
                </c:pt>
                <c:pt idx="5">
                  <c:v>Wood HP</c:v>
                </c:pt>
                <c:pt idx="6">
                  <c:v>Waste HP</c:v>
                </c:pt>
                <c:pt idx="7">
                  <c:v>BioCoalFurnace</c:v>
                </c:pt>
                <c:pt idx="8">
                  <c:v>BioCrudeOilFurnace</c:v>
                </c:pt>
                <c:pt idx="9">
                  <c:v>CoalIndustrialFurnace</c:v>
                </c:pt>
                <c:pt idx="10">
                  <c:v>GasIndustrialFurnace</c:v>
                </c:pt>
                <c:pt idx="11">
                  <c:v>H2IndustrialFurnace</c:v>
                </c:pt>
                <c:pt idx="12">
                  <c:v>OilIndustrialFurnace</c:v>
                </c:pt>
                <c:pt idx="13">
                  <c:v>E-Industrial Furnace</c:v>
                </c:pt>
                <c:pt idx="14">
                  <c:v>E-Stove</c:v>
                </c:pt>
                <c:pt idx="15">
                  <c:v>Gas-Stove</c:v>
                </c:pt>
                <c:pt idx="16">
                  <c:v>E-Boiler (LS)</c:v>
                </c:pt>
              </c:strCache>
            </c:strRef>
          </c:cat>
          <c:val>
            <c:numRef>
              <c:f>'Wärme - Erzeugung'!$AJ$4:$AJ$20</c:f>
              <c:numCache>
                <c:formatCode>General</c:formatCode>
                <c:ptCount val="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5781367092712819"/>
          <c:y val="0.23563268533887186"/>
          <c:w val="0.4421863290728718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28338066709508"/>
          <c:y val="6.1460416666666663E-2"/>
          <c:w val="0.48881631944444437"/>
          <c:h val="0.62354548611111116"/>
        </c:manualLayout>
      </c:layout>
      <c:areaChart>
        <c:grouping val="stacked"/>
        <c:varyColors val="0"/>
        <c:ser>
          <c:idx val="1"/>
          <c:order val="0"/>
          <c:tx>
            <c:strRef>
              <c:f>'Wärme - Erzeugung'!$AN$4</c:f>
              <c:strCache>
                <c:ptCount val="1"/>
                <c:pt idx="0">
                  <c:v>Coal CHP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Erzeugung'!$AQ$4:$AV$4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'Wärme - Erzeugung'!$AN$5</c:f>
              <c:strCache>
                <c:ptCount val="1"/>
                <c:pt idx="0">
                  <c:v>Lignite CHP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Erzeugung'!$AQ$5:$AV$5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B-40C6-AF40-5813D2DB61DB}"/>
            </c:ext>
          </c:extLst>
        </c:ser>
        <c:ser>
          <c:idx val="2"/>
          <c:order val="2"/>
          <c:tx>
            <c:strRef>
              <c:f>'Wärme - Erzeugung'!$AN$6</c:f>
              <c:strCache>
                <c:ptCount val="1"/>
                <c:pt idx="0">
                  <c:v>Gas CHP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Erzeugung'!$AQ$6:$AV$6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FB-40C6-AF40-5813D2DB61DB}"/>
            </c:ext>
          </c:extLst>
        </c:ser>
        <c:ser>
          <c:idx val="3"/>
          <c:order val="3"/>
          <c:tx>
            <c:strRef>
              <c:f>'Wärme - Erzeugung'!$AN$7</c:f>
              <c:strCache>
                <c:ptCount val="1"/>
                <c:pt idx="0">
                  <c:v>CC CHP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Erzeugung'!$AQ$7:$AV$7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FB-40C6-AF40-5813D2DB61DB}"/>
            </c:ext>
          </c:extLst>
        </c:ser>
        <c:ser>
          <c:idx val="4"/>
          <c:order val="4"/>
          <c:tx>
            <c:strRef>
              <c:f>'Wärme - Erzeugung'!$AN$8</c:f>
              <c:strCache>
                <c:ptCount val="1"/>
                <c:pt idx="0">
                  <c:v>Straw CHP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Erzeugung'!$AQ$8:$AV$8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FB-40C6-AF40-5813D2DB61DB}"/>
            </c:ext>
          </c:extLst>
        </c:ser>
        <c:ser>
          <c:idx val="6"/>
          <c:order val="5"/>
          <c:tx>
            <c:strRef>
              <c:f>'Wärme - Erzeugung'!$AN$9</c:f>
              <c:strCache>
                <c:ptCount val="1"/>
                <c:pt idx="0">
                  <c:v>Wood CHP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Erzeugung'!$AQ$9:$AV$9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FB-40C6-AF40-5813D2DB61DB}"/>
            </c:ext>
          </c:extLst>
        </c:ser>
        <c:ser>
          <c:idx val="8"/>
          <c:order val="6"/>
          <c:tx>
            <c:strRef>
              <c:f>'Wärme - Erzeugung'!$AN$10</c:f>
              <c:strCache>
                <c:ptCount val="1"/>
                <c:pt idx="0">
                  <c:v>WasteCHP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Erzeugung'!$AQ$10:$AV$10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FB-40C6-AF40-5813D2DB61DB}"/>
            </c:ext>
          </c:extLst>
        </c:ser>
        <c:ser>
          <c:idx val="9"/>
          <c:order val="7"/>
          <c:tx>
            <c:strRef>
              <c:f>'Wärme - Erzeugung'!$AN$11</c:f>
              <c:strCache>
                <c:ptCount val="1"/>
                <c:pt idx="0">
                  <c:v>H2GT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Erzeugung'!$AQ$11:$AV$11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FB-40C6-AF40-5813D2DB6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475072"/>
        <c:axId val="387742464"/>
      </c:areaChart>
      <c:catAx>
        <c:axId val="38547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7742464"/>
        <c:crosses val="autoZero"/>
        <c:auto val="1"/>
        <c:lblAlgn val="ctr"/>
        <c:lblOffset val="100"/>
        <c:noMultiLvlLbl val="0"/>
      </c:catAx>
      <c:valAx>
        <c:axId val="387742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District heating technologies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5475072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8065572916666661"/>
          <c:y val="0"/>
          <c:w val="0.31934427083333333"/>
          <c:h val="0.9847948875805319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District</a:t>
            </a:r>
            <a:r>
              <a:rPr lang="de-DE" sz="1600" baseline="0"/>
              <a:t> heating technologies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'Wärme - Erzeugung'!$AW$3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'Wärme - Erzeugung'!$AN$4:$AN$11</c:f>
              <c:strCache>
                <c:ptCount val="8"/>
                <c:pt idx="0">
                  <c:v>Coal CHP</c:v>
                </c:pt>
                <c:pt idx="1">
                  <c:v>Lignite CHP</c:v>
                </c:pt>
                <c:pt idx="2">
                  <c:v>Gas CHP</c:v>
                </c:pt>
                <c:pt idx="3">
                  <c:v>CC CHP</c:v>
                </c:pt>
                <c:pt idx="4">
                  <c:v>Straw CHP (LS)</c:v>
                </c:pt>
                <c:pt idx="5">
                  <c:v>Wood CHP (LS)</c:v>
                </c:pt>
                <c:pt idx="6">
                  <c:v>WasteCHP</c:v>
                </c:pt>
                <c:pt idx="7">
                  <c:v>H2GT</c:v>
                </c:pt>
              </c:strCache>
            </c:strRef>
          </c:cat>
          <c:val>
            <c:numRef>
              <c:f>'Wärme - Erzeugung'!$AW$4:$AW$11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7267279450117636"/>
          <c:y val="0.22987703457805045"/>
          <c:w val="0.41042133691885063"/>
          <c:h val="0.7468483484396860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28338066709508"/>
          <c:y val="6.1460416666666663E-2"/>
          <c:w val="0.46739243698873345"/>
          <c:h val="0.62354548611111116"/>
        </c:manualLayout>
      </c:layout>
      <c:areaChart>
        <c:grouping val="stacked"/>
        <c:varyColors val="0"/>
        <c:ser>
          <c:idx val="2"/>
          <c:order val="0"/>
          <c:tx>
            <c:strRef>
              <c:f>'Wärme - Erzeugung'!$BA$4</c:f>
              <c:strCache>
                <c:ptCount val="1"/>
                <c:pt idx="0">
                  <c:v>Heatpump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Erzeugung'!$BD$4:$BJ$4</c:f>
              <c:numCache>
                <c:formatCode>General</c:formatCode>
                <c:ptCount val="7"/>
                <c:pt idx="0">
                  <c:v>0</c:v>
                </c:pt>
                <c:pt idx="1">
                  <c:v>317.03828484666099</c:v>
                </c:pt>
                <c:pt idx="2">
                  <c:v>21033.57982259446</c:v>
                </c:pt>
                <c:pt idx="3">
                  <c:v>87942.444709228192</c:v>
                </c:pt>
                <c:pt idx="4">
                  <c:v>140611.58027442271</c:v>
                </c:pt>
                <c:pt idx="5">
                  <c:v>229926.566691382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11"/>
          <c:order val="1"/>
          <c:tx>
            <c:strRef>
              <c:f>'Wärme - Erzeugung'!$BA$5</c:f>
              <c:strCache>
                <c:ptCount val="1"/>
                <c:pt idx="0">
                  <c:v>Geothermal heatpump (LS)</c:v>
                </c:pt>
              </c:strCache>
            </c:strRef>
          </c:tx>
          <c:spPr>
            <a:ln w="25400">
              <a:noFill/>
            </a:ln>
          </c:spPr>
          <c:val>
            <c:numRef>
              <c:f>'Wärme - Erzeugung'!$BD$5:$BJ$5</c:f>
              <c:numCache>
                <c:formatCode>General</c:formatCode>
                <c:ptCount val="7"/>
                <c:pt idx="0">
                  <c:v>0</c:v>
                </c:pt>
                <c:pt idx="1">
                  <c:v>5.1623413669181879</c:v>
                </c:pt>
                <c:pt idx="2">
                  <c:v>5553.201371029395</c:v>
                </c:pt>
                <c:pt idx="3">
                  <c:v>5553.201371029395</c:v>
                </c:pt>
                <c:pt idx="4">
                  <c:v>22222.61797379105</c:v>
                </c:pt>
                <c:pt idx="5">
                  <c:v>28748.003667855312</c:v>
                </c:pt>
                <c:pt idx="6">
                  <c:v>31141.373324814449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0-4E74-A844-345CA743023A}"/>
            </c:ext>
          </c:extLst>
        </c:ser>
        <c:ser>
          <c:idx val="0"/>
          <c:order val="2"/>
          <c:tx>
            <c:strRef>
              <c:f>'Wärme - Erzeugung'!$BA$6</c:f>
              <c:strCache>
                <c:ptCount val="1"/>
                <c:pt idx="0">
                  <c:v>H2 MiniCHP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Erzeugung'!$BD$6:$BJ$6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D-4BCC-BB52-510135275F51}"/>
            </c:ext>
          </c:extLst>
        </c:ser>
        <c:ser>
          <c:idx val="1"/>
          <c:order val="3"/>
          <c:tx>
            <c:strRef>
              <c:f>'Wärme - Erzeugung'!$BA$7</c:f>
              <c:strCache>
                <c:ptCount val="1"/>
                <c:pt idx="0">
                  <c:v>MiniCHP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Erzeugung'!$BD$7:$BJ$7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0D-4BCC-BB52-510135275F51}"/>
            </c:ext>
          </c:extLst>
        </c:ser>
        <c:ser>
          <c:idx val="3"/>
          <c:order val="4"/>
          <c:tx>
            <c:strRef>
              <c:f>'Wärme - Erzeugung'!$BA$8</c:f>
              <c:strCache>
                <c:ptCount val="1"/>
                <c:pt idx="0">
                  <c:v>Biogas CHP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Erzeugung'!$BD$8:$BJ$8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0D-4BCC-BB52-510135275F51}"/>
            </c:ext>
          </c:extLst>
        </c:ser>
        <c:ser>
          <c:idx val="4"/>
          <c:order val="5"/>
          <c:tx>
            <c:strRef>
              <c:f>'Wärme - Erzeugung'!$BA$10</c:f>
              <c:strCache>
                <c:ptCount val="1"/>
                <c:pt idx="0">
                  <c:v>Wood CHP (SS)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cat>
            <c:numRef>
              <c:f>'Wärme - Erzeugung'!$BD$3:$BJ$3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Erzeugung'!$BD$10:$BJ$10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0D-4BCC-BB52-510135275F51}"/>
            </c:ext>
          </c:extLst>
        </c:ser>
        <c:ser>
          <c:idx val="5"/>
          <c:order val="6"/>
          <c:tx>
            <c:strRef>
              <c:f>'Wärme - Erzeugung'!$BA$12</c:f>
              <c:strCache>
                <c:ptCount val="1"/>
                <c:pt idx="0">
                  <c:v>Straw CHP (SS)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Erzeugung'!$BD$12:$BJ$12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0D-4BCC-BB52-510135275F51}"/>
            </c:ext>
          </c:extLst>
        </c:ser>
        <c:ser>
          <c:idx val="6"/>
          <c:order val="7"/>
          <c:tx>
            <c:strRef>
              <c:f>'Wärme - Erzeugung'!$BA$13</c:f>
              <c:strCache>
                <c:ptCount val="1"/>
                <c:pt idx="0">
                  <c:v>Electro vessel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Erzeugung'!$BD$13:$BJ$13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0D-4BCC-BB52-510135275F51}"/>
            </c:ext>
          </c:extLst>
        </c:ser>
        <c:ser>
          <c:idx val="7"/>
          <c:order val="8"/>
          <c:tx>
            <c:strRef>
              <c:f>'Wärme - Erzeugung'!$BA$15</c:f>
              <c:strCache>
                <c:ptCount val="1"/>
                <c:pt idx="0">
                  <c:v>SOFC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Erzeugung'!$BD$15:$BJ$15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0D-4BCC-BB52-510135275F51}"/>
            </c:ext>
          </c:extLst>
        </c:ser>
        <c:ser>
          <c:idx val="12"/>
          <c:order val="9"/>
          <c:tx>
            <c:strRef>
              <c:f>'Wärme - Erzeugung'!$BA$14</c:f>
              <c:strCache>
                <c:ptCount val="1"/>
                <c:pt idx="0">
                  <c:v>FuelCell (LS)</c:v>
                </c:pt>
              </c:strCache>
            </c:strRef>
          </c:tx>
          <c:spPr>
            <a:ln w="25400">
              <a:noFill/>
            </a:ln>
          </c:spPr>
          <c:val>
            <c:numRef>
              <c:f>'Wärme - Erzeugung'!$BD$14:$BJ$14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D7-4ED6-99EA-FFAD823307FF}"/>
            </c:ext>
          </c:extLst>
        </c:ser>
        <c:ser>
          <c:idx val="8"/>
          <c:order val="10"/>
          <c:tx>
            <c:strRef>
              <c:f>'Wärme - Erzeugung'!$BA$16</c:f>
              <c:strCache>
                <c:ptCount val="1"/>
                <c:pt idx="0">
                  <c:v>Pellet boiler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Erzeugung'!$BD$16:$BJ$16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0D-4BCC-BB52-510135275F51}"/>
            </c:ext>
          </c:extLst>
        </c:ser>
        <c:ser>
          <c:idx val="9"/>
          <c:order val="11"/>
          <c:tx>
            <c:strRef>
              <c:f>'Wärme - Erzeugung'!$BA$9</c:f>
              <c:strCache>
                <c:ptCount val="1"/>
                <c:pt idx="0">
                  <c:v>Wood CHP (MS)</c:v>
                </c:pt>
              </c:strCache>
            </c:strRef>
          </c:tx>
          <c:spPr>
            <a:ln w="25400">
              <a:noFill/>
            </a:ln>
          </c:spPr>
          <c:val>
            <c:numRef>
              <c:f>'Wärme - Erzeugung'!$BD$9:$BJ$9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7-457D-9BAC-3C3EDF0D6137}"/>
            </c:ext>
          </c:extLst>
        </c:ser>
        <c:ser>
          <c:idx val="10"/>
          <c:order val="12"/>
          <c:tx>
            <c:strRef>
              <c:f>'Wärme - Erzeugung'!$BA$11</c:f>
              <c:strCache>
                <c:ptCount val="1"/>
                <c:pt idx="0">
                  <c:v>Straw CHP (MS)</c:v>
                </c:pt>
              </c:strCache>
            </c:strRef>
          </c:tx>
          <c:spPr>
            <a:ln w="25400">
              <a:noFill/>
            </a:ln>
          </c:spPr>
          <c:val>
            <c:numRef>
              <c:f>'Wärme - Erzeugung'!$BD$11:$BJ$11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7-457D-9BAC-3C3EDF0D6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477120"/>
        <c:axId val="388548864"/>
      </c:areaChart>
      <c:catAx>
        <c:axId val="38547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8548864"/>
        <c:crosses val="autoZero"/>
        <c:auto val="1"/>
        <c:lblAlgn val="ctr"/>
        <c:lblOffset val="100"/>
        <c:noMultiLvlLbl val="0"/>
      </c:catAx>
      <c:valAx>
        <c:axId val="388548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Local heating technologies </a:t>
                </a:r>
                <a:r>
                  <a:rPr lang="de-DE" baseline="0"/>
                  <a:t>in </a:t>
                </a:r>
                <a:r>
                  <a:rPr lang="de-DE"/>
                  <a:t>TWh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5477120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8059750775714745"/>
          <c:y val="1.2023384893776207E-2"/>
          <c:w val="0.30247204755019774"/>
          <c:h val="0.8838537517803526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Local</a:t>
            </a:r>
            <a:r>
              <a:rPr lang="de-DE" sz="1600" baseline="0"/>
              <a:t> heating technologies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'Wärme - Erzeugung'!$BJ$3</c:f>
              <c:strCache>
                <c:ptCount val="1"/>
                <c:pt idx="0">
                  <c:v>2050</c:v>
                </c:pt>
              </c:strCache>
            </c:strRef>
          </c:tx>
          <c:dPt>
            <c:idx val="4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9518-40EC-9BA7-849FEE361AB2}"/>
              </c:ext>
            </c:extLst>
          </c:dPt>
          <c:dPt>
            <c:idx val="5"/>
            <c:bubble3D val="0"/>
            <c:spPr>
              <a:solidFill>
                <a:schemeClr val="accent5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EBEE-44CB-A607-F0E02E0A6F07}"/>
              </c:ext>
            </c:extLst>
          </c:dPt>
          <c:cat>
            <c:strRef>
              <c:f>'Wärme - Erzeugung'!$BA$4:$BA$16</c:f>
              <c:strCache>
                <c:ptCount val="13"/>
                <c:pt idx="0">
                  <c:v>Heatpump (LS)</c:v>
                </c:pt>
                <c:pt idx="1">
                  <c:v>Geothermal heatpump (LS)</c:v>
                </c:pt>
                <c:pt idx="2">
                  <c:v>H2 MiniCHP</c:v>
                </c:pt>
                <c:pt idx="3">
                  <c:v>MiniCHP</c:v>
                </c:pt>
                <c:pt idx="4">
                  <c:v>Biogas CHP</c:v>
                </c:pt>
                <c:pt idx="5">
                  <c:v>Wood CHP (MS)</c:v>
                </c:pt>
                <c:pt idx="6">
                  <c:v>Wood CHP (SS)</c:v>
                </c:pt>
                <c:pt idx="7">
                  <c:v>Straw CHP (MS)</c:v>
                </c:pt>
                <c:pt idx="8">
                  <c:v>Straw CHP (SS)</c:v>
                </c:pt>
                <c:pt idx="9">
                  <c:v>Electro vessel</c:v>
                </c:pt>
                <c:pt idx="10">
                  <c:v>FuelCell (LS)</c:v>
                </c:pt>
                <c:pt idx="11">
                  <c:v>SOFC (LS)</c:v>
                </c:pt>
                <c:pt idx="12">
                  <c:v>Pellet boiler (LS)</c:v>
                </c:pt>
              </c:strCache>
            </c:strRef>
          </c:cat>
          <c:val>
            <c:numRef>
              <c:f>'Wärme - Erzeugung'!$BJ$4:$BJ$16</c:f>
              <c:numCache>
                <c:formatCode>General</c:formatCode>
                <c:ptCount val="13"/>
                <c:pt idx="0">
                  <c:v>0</c:v>
                </c:pt>
                <c:pt idx="1">
                  <c:v>31141.373324814449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8599896914978022"/>
          <c:y val="0.22073982565726516"/>
          <c:w val="0.41400103085021978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669776034942474"/>
          <c:y val="5.4722835337847865E-2"/>
          <c:w val="0.47357847222222216"/>
          <c:h val="0.62354548611111116"/>
        </c:manualLayout>
      </c:layout>
      <c:areaChart>
        <c:grouping val="stacked"/>
        <c:varyColors val="0"/>
        <c:ser>
          <c:idx val="2"/>
          <c:order val="0"/>
          <c:tx>
            <c:strRef>
              <c:f>'Wärme - Erzeugung'!$BN$4</c:f>
              <c:strCache>
                <c:ptCount val="1"/>
                <c:pt idx="0">
                  <c:v>E-Heating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Erzeugung'!$BQ$4:$BW$4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'Wärme - Erzeugung'!$BN$5</c:f>
              <c:strCache>
                <c:ptCount val="1"/>
                <c:pt idx="0">
                  <c:v>Heatpump (SS)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Erzeugung'!$BQ$5:$BW$5</c:f>
              <c:numCache>
                <c:formatCode>General</c:formatCode>
                <c:ptCount val="7"/>
                <c:pt idx="0">
                  <c:v>39003.377792890147</c:v>
                </c:pt>
                <c:pt idx="1">
                  <c:v>79228.571543350743</c:v>
                </c:pt>
                <c:pt idx="2">
                  <c:v>140469.37658452301</c:v>
                </c:pt>
                <c:pt idx="3">
                  <c:v>265058.20570794918</c:v>
                </c:pt>
                <c:pt idx="4">
                  <c:v>313719.62739979458</c:v>
                </c:pt>
                <c:pt idx="5">
                  <c:v>391306.87304293481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0-49CA-A1EF-C97632E939C4}"/>
            </c:ext>
          </c:extLst>
        </c:ser>
        <c:ser>
          <c:idx val="12"/>
          <c:order val="2"/>
          <c:tx>
            <c:strRef>
              <c:f>'Wärme - Erzeugung'!$BN$6</c:f>
              <c:strCache>
                <c:ptCount val="1"/>
                <c:pt idx="0">
                  <c:v>Geothermal heatpump (SS)</c:v>
                </c:pt>
              </c:strCache>
            </c:strRef>
          </c:tx>
          <c:spPr>
            <a:ln w="25400">
              <a:noFill/>
            </a:ln>
          </c:spPr>
          <c:val>
            <c:numRef>
              <c:f>'Wärme - Erzeugung'!$BQ$6:$BW$6</c:f>
              <c:numCache>
                <c:formatCode>General</c:formatCode>
                <c:ptCount val="7"/>
                <c:pt idx="0">
                  <c:v>0</c:v>
                </c:pt>
                <c:pt idx="1">
                  <c:v>2381.1242053759761</c:v>
                </c:pt>
                <c:pt idx="2">
                  <c:v>18921.824312740031</c:v>
                </c:pt>
                <c:pt idx="3">
                  <c:v>48437.704258238147</c:v>
                </c:pt>
                <c:pt idx="4">
                  <c:v>49316.033358648987</c:v>
                </c:pt>
                <c:pt idx="5">
                  <c:v>94214.187724593954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2-42C9-9CBE-3E33FB2ABB70}"/>
            </c:ext>
          </c:extLst>
        </c:ser>
        <c:ser>
          <c:idx val="1"/>
          <c:order val="3"/>
          <c:tx>
            <c:strRef>
              <c:f>'Wärme - Erzeugung'!$BN$7</c:f>
              <c:strCache>
                <c:ptCount val="1"/>
                <c:pt idx="0">
                  <c:v>H2 condensing boiler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Erzeugung'!$BQ$7:$BW$7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0-49CA-A1EF-C97632E939C4}"/>
            </c:ext>
          </c:extLst>
        </c:ser>
        <c:ser>
          <c:idx val="3"/>
          <c:order val="4"/>
          <c:tx>
            <c:strRef>
              <c:f>'Wärme - Erzeugung'!$BN$8</c:f>
              <c:strCache>
                <c:ptCount val="1"/>
                <c:pt idx="0">
                  <c:v>Gas boiler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Erzeugung'!$BQ$8:$BW$8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90-49CA-A1EF-C97632E939C4}"/>
            </c:ext>
          </c:extLst>
        </c:ser>
        <c:ser>
          <c:idx val="4"/>
          <c:order val="5"/>
          <c:tx>
            <c:strRef>
              <c:f>'Wärme - Erzeugung'!$BN$9</c:f>
              <c:strCache>
                <c:ptCount val="1"/>
                <c:pt idx="0">
                  <c:v>Gas condensing boiler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Erzeugung'!$BQ$9:$BW$9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90-49CA-A1EF-C97632E939C4}"/>
            </c:ext>
          </c:extLst>
        </c:ser>
        <c:ser>
          <c:idx val="5"/>
          <c:order val="6"/>
          <c:tx>
            <c:strRef>
              <c:f>'Wärme - Erzeugung'!$BN$10</c:f>
              <c:strCache>
                <c:ptCount val="1"/>
                <c:pt idx="0">
                  <c:v>Pellet boiler (SS)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Erzeugung'!$BQ$10:$BW$10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90-49CA-A1EF-C97632E939C4}"/>
            </c:ext>
          </c:extLst>
        </c:ser>
        <c:ser>
          <c:idx val="6"/>
          <c:order val="7"/>
          <c:tx>
            <c:strRef>
              <c:f>'Wärme - Erzeugung'!$BN$11</c:f>
              <c:strCache>
                <c:ptCount val="1"/>
                <c:pt idx="0">
                  <c:v>Pellet MiniCHP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Erzeugung'!$BQ$11:$BW$11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90-49CA-A1EF-C97632E939C4}"/>
            </c:ext>
          </c:extLst>
        </c:ser>
        <c:ser>
          <c:idx val="7"/>
          <c:order val="8"/>
          <c:tx>
            <c:strRef>
              <c:f>'Wärme - Erzeugung'!$BN$12</c:f>
              <c:strCache>
                <c:ptCount val="1"/>
                <c:pt idx="0">
                  <c:v>Wood Stove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Erzeugung'!$BQ$12:$BW$12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90-49CA-A1EF-C97632E939C4}"/>
            </c:ext>
          </c:extLst>
        </c:ser>
        <c:ser>
          <c:idx val="8"/>
          <c:order val="9"/>
          <c:tx>
            <c:strRef>
              <c:f>'Wärme - Erzeugung'!$BN$13</c:f>
              <c:strCache>
                <c:ptCount val="1"/>
                <c:pt idx="0">
                  <c:v>Oil boiler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Erzeugung'!$BQ$13:$BW$13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90-49CA-A1EF-C97632E939C4}"/>
            </c:ext>
          </c:extLst>
        </c:ser>
        <c:ser>
          <c:idx val="9"/>
          <c:order val="10"/>
          <c:tx>
            <c:strRef>
              <c:f>'Wärme - Erzeugung'!$BN$14</c:f>
              <c:strCache>
                <c:ptCount val="1"/>
                <c:pt idx="0">
                  <c:v>Oil condensing boiler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Erzeugung'!$BQ$14:$BW$14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90-49CA-A1EF-C97632E939C4}"/>
            </c:ext>
          </c:extLst>
        </c:ser>
        <c:ser>
          <c:idx val="10"/>
          <c:order val="11"/>
          <c:tx>
            <c:strRef>
              <c:f>'Wärme - Erzeugung'!$BN$15</c:f>
              <c:strCache>
                <c:ptCount val="1"/>
                <c:pt idx="0">
                  <c:v>Solarthermics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Erzeugung'!$BQ$15:$BW$15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90-49CA-A1EF-C97632E939C4}"/>
            </c:ext>
          </c:extLst>
        </c:ser>
        <c:ser>
          <c:idx val="11"/>
          <c:order val="12"/>
          <c:tx>
            <c:strRef>
              <c:f>'Wärme - Erzeugung'!$BN$17</c:f>
              <c:strCache>
                <c:ptCount val="1"/>
                <c:pt idx="0">
                  <c:v>SOFC (SS)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Erzeugung'!$BQ$3:$BW$3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Erzeugung'!$BQ$17:$BW$17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90-49CA-A1EF-C97632E939C4}"/>
            </c:ext>
          </c:extLst>
        </c:ser>
        <c:ser>
          <c:idx val="13"/>
          <c:order val="13"/>
          <c:tx>
            <c:strRef>
              <c:f>'Wärme - Erzeugung'!$BN$16</c:f>
              <c:strCache>
                <c:ptCount val="1"/>
                <c:pt idx="0">
                  <c:v>FuelCell (SS)</c:v>
                </c:pt>
              </c:strCache>
            </c:strRef>
          </c:tx>
          <c:spPr>
            <a:ln w="25400">
              <a:noFill/>
            </a:ln>
          </c:spPr>
          <c:val>
            <c:numRef>
              <c:f>'Wärme - Erzeugung'!$BQ$16:$BW$16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D5-459F-8FDB-875935E55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85152"/>
        <c:axId val="388552320"/>
      </c:areaChart>
      <c:catAx>
        <c:axId val="38878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8552320"/>
        <c:crosses val="autoZero"/>
        <c:auto val="1"/>
        <c:lblAlgn val="ctr"/>
        <c:lblOffset val="100"/>
        <c:noMultiLvlLbl val="0"/>
      </c:catAx>
      <c:valAx>
        <c:axId val="388552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Decentral heating technologies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8785152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2412541666666665"/>
          <c:y val="1.2023384893776207E-2"/>
          <c:w val="0.30461686500468738"/>
          <c:h val="0.8781017674971821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Decentral</a:t>
            </a:r>
            <a:r>
              <a:rPr lang="de-DE" sz="1600" baseline="0"/>
              <a:t> heating technologies in </a:t>
            </a:r>
            <a:r>
              <a:rPr lang="de-DE" sz="1600"/>
              <a:t>2050</a:t>
            </a:r>
          </a:p>
        </c:rich>
      </c:tx>
      <c:layout>
        <c:manualLayout>
          <c:xMode val="edge"/>
          <c:yMode val="edge"/>
          <c:x val="2.3071454153771189E-4"/>
          <c:y val="2.65167991926643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1.9142678448289686E-2"/>
          <c:y val="0.25102569902388949"/>
          <c:w val="0.46656311940004402"/>
          <c:h val="0.70036016912289245"/>
        </c:manualLayout>
      </c:layout>
      <c:pieChart>
        <c:varyColors val="1"/>
        <c:ser>
          <c:idx val="0"/>
          <c:order val="0"/>
          <c:tx>
            <c:strRef>
              <c:f>'Wärme - Erzeugung'!$BW$3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'Wärme - Erzeugung'!$BN$4:$BN$17</c:f>
              <c:strCache>
                <c:ptCount val="14"/>
                <c:pt idx="0">
                  <c:v>E-Heating</c:v>
                </c:pt>
                <c:pt idx="1">
                  <c:v>Heatpump (SS)</c:v>
                </c:pt>
                <c:pt idx="2">
                  <c:v>Geothermal heatpump (SS)</c:v>
                </c:pt>
                <c:pt idx="3">
                  <c:v>H2 condensing boiler</c:v>
                </c:pt>
                <c:pt idx="4">
                  <c:v>Gas boiler</c:v>
                </c:pt>
                <c:pt idx="5">
                  <c:v>Gas condensing boiler</c:v>
                </c:pt>
                <c:pt idx="6">
                  <c:v>Pellet boiler (SS)</c:v>
                </c:pt>
                <c:pt idx="7">
                  <c:v>Pellet MiniCHP</c:v>
                </c:pt>
                <c:pt idx="8">
                  <c:v>Wood Stove</c:v>
                </c:pt>
                <c:pt idx="9">
                  <c:v>Oil boiler</c:v>
                </c:pt>
                <c:pt idx="10">
                  <c:v>Oil condensing boiler</c:v>
                </c:pt>
                <c:pt idx="11">
                  <c:v>Solarthermics</c:v>
                </c:pt>
                <c:pt idx="12">
                  <c:v>FuelCell (SS)</c:v>
                </c:pt>
                <c:pt idx="13">
                  <c:v>SOFC (SS)</c:v>
                </c:pt>
              </c:strCache>
            </c:strRef>
          </c:cat>
          <c:val>
            <c:numRef>
              <c:f>'Wärme - Erzeugung'!$BW$4:$BW$17</c:f>
              <c:numCache>
                <c:formatCode>General</c:formatCode>
                <c:ptCount val="14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0-4C47-8CA5-EA2FE07E8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5802096530194431"/>
          <c:y val="0.13235049501505053"/>
          <c:w val="0.52506117997979374"/>
          <c:h val="0.8676495049849494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60710213727482"/>
          <c:y val="6.1460416666666663E-2"/>
          <c:w val="0.50748531271377928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'Wärme - Erzeugung'!$B$4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'Wärme - Erzeugung'!$E$3:$K$3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Erzeugung'!$E$4:$K$4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7.3688246823173001E-2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9-4172-8C69-8A4B2D192EBC}"/>
            </c:ext>
          </c:extLst>
        </c:ser>
        <c:ser>
          <c:idx val="1"/>
          <c:order val="1"/>
          <c:tx>
            <c:strRef>
              <c:f>'Wärme - Erzeugung'!$B$5</c:f>
              <c:strCache>
                <c:ptCount val="1"/>
                <c:pt idx="0">
                  <c:v>Coal/Coke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'Wärme - Erzeugung'!$E$3:$K$3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Erzeugung'!$E$5:$K$5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0.5291368719064744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F-4DAA-B119-F521EC2A8D88}"/>
            </c:ext>
          </c:extLst>
        </c:ser>
        <c:ser>
          <c:idx val="2"/>
          <c:order val="2"/>
          <c:tx>
            <c:strRef>
              <c:f>'Wärme - Erzeugung'!$B$6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'Wärme - Erzeugung'!$E$3:$K$3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Erzeugung'!$E$6:$K$6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0.1080824506555622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F-4DAA-B119-F521EC2A8D88}"/>
            </c:ext>
          </c:extLst>
        </c:ser>
        <c:ser>
          <c:idx val="3"/>
          <c:order val="3"/>
          <c:tx>
            <c:strRef>
              <c:f>'Wärme - Erzeugung'!$B$7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strRef>
              <c:f>'Wärme - Erzeugung'!$E$3:$K$3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Erzeugung'!$E$7:$K$7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37.275539930317422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AF-4DAA-B119-F521EC2A8D88}"/>
            </c:ext>
          </c:extLst>
        </c:ser>
        <c:ser>
          <c:idx val="4"/>
          <c:order val="4"/>
          <c:tx>
            <c:strRef>
              <c:f>'Wärme - Erzeugung'!$B$8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'Wärme - Erzeugung'!$E$3:$K$3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Erzeugung'!$E$8:$K$8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172768.53609381252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AF-4DAA-B119-F521EC2A8D88}"/>
            </c:ext>
          </c:extLst>
        </c:ser>
        <c:ser>
          <c:idx val="5"/>
          <c:order val="5"/>
          <c:tx>
            <c:strRef>
              <c:f>'Wärme - Erzeugung'!$B$9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'Wärme - Erzeugung'!$E$3:$K$3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Erzeugung'!$E$9:$K$9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263944.40827896097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AF-4DAA-B119-F521EC2A8D88}"/>
            </c:ext>
          </c:extLst>
        </c:ser>
        <c:ser>
          <c:idx val="6"/>
          <c:order val="6"/>
          <c:tx>
            <c:strRef>
              <c:f>'Wärme - Erzeugung'!$B$10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strRef>
              <c:f>'Wärme - Erzeugung'!$E$3:$K$3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Erzeugung'!$E$10:$K$10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42004.998299711136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AF-4DAA-B119-F521EC2A8D88}"/>
            </c:ext>
          </c:extLst>
        </c:ser>
        <c:ser>
          <c:idx val="7"/>
          <c:order val="7"/>
          <c:tx>
            <c:strRef>
              <c:f>'Wärme - Erzeugung'!$B$11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'Wärme - Erzeugung'!$E$3:$K$3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Erzeugung'!$E$11:$K$11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270847.71559387312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AF-4DAA-B119-F521EC2A8D88}"/>
            </c:ext>
          </c:extLst>
        </c:ser>
        <c:ser>
          <c:idx val="8"/>
          <c:order val="8"/>
          <c:tx>
            <c:strRef>
              <c:f>'Wärme - Erzeugung'!$B$12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'Wärme - Erzeugung'!$E$3:$K$3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Erzeugung'!$E$12:$K$12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2235.3808780035779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AF-4DAA-B119-F521EC2A8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177344"/>
        <c:axId val="389073152"/>
      </c:barChart>
      <c:catAx>
        <c:axId val="38917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9073152"/>
        <c:crosses val="autoZero"/>
        <c:auto val="1"/>
        <c:lblAlgn val="ctr"/>
        <c:lblOffset val="100"/>
        <c:noMultiLvlLbl val="0"/>
      </c:catAx>
      <c:valAx>
        <c:axId val="389073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 carriers for</a:t>
                </a:r>
                <a:r>
                  <a:rPr lang="de-DE" baseline="0"/>
                  <a:t> heating</a:t>
                </a:r>
                <a:r>
                  <a:rPr lang="de-DE"/>
                  <a:t> in </a:t>
                </a:r>
                <a:r>
                  <a:rPr lang="de-DE" baseline="0"/>
                  <a:t>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917734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540065092559966"/>
          <c:y val="0"/>
          <c:w val="0.13890129730376038"/>
          <c:h val="0.861605363405730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Energy carrier for heating 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7366206720468904E-2"/>
          <c:y val="0.19114046792252676"/>
          <c:w val="0.50505533785508916"/>
          <c:h val="0.75412768002917263"/>
        </c:manualLayout>
      </c:layout>
      <c:pieChart>
        <c:varyColors val="1"/>
        <c:ser>
          <c:idx val="0"/>
          <c:order val="0"/>
          <c:tx>
            <c:strRef>
              <c:f>'Wärme - Erzeugung'!$K$3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0-3DF4-4DAD-8733-882C9BE0E4DA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3DF4-4DAD-8733-882C9BE0E4DA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3DF4-4DAD-8733-882C9BE0E4DA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7-3DF4-4DAD-8733-882C9BE0E4DA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3DF4-4DAD-8733-882C9BE0E4DA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3-3DF4-4DAD-8733-882C9BE0E4DA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2-3DF4-4DAD-8733-882C9BE0E4DA}"/>
              </c:ext>
            </c:extLst>
          </c:dPt>
          <c:dPt>
            <c:idx val="7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3DF4-4DAD-8733-882C9BE0E4DA}"/>
              </c:ext>
            </c:extLst>
          </c:dPt>
          <c:dPt>
            <c:idx val="8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8-3DF4-4DAD-8733-882C9BE0E4DA}"/>
              </c:ext>
            </c:extLst>
          </c:dPt>
          <c:cat>
            <c:strRef>
              <c:f>'Wärme - Erzeugung'!$B$4:$B$12</c:f>
              <c:strCache>
                <c:ptCount val="9"/>
                <c:pt idx="0">
                  <c:v>Natural Gas</c:v>
                </c:pt>
                <c:pt idx="1">
                  <c:v>Coal/Coke</c:v>
                </c:pt>
                <c:pt idx="2">
                  <c:v>Lignite</c:v>
                </c:pt>
                <c:pt idx="3">
                  <c:v>Oil</c:v>
                </c:pt>
                <c:pt idx="4">
                  <c:v>Hydrogen</c:v>
                </c:pt>
                <c:pt idx="5">
                  <c:v>Electricity</c:v>
                </c:pt>
                <c:pt idx="6">
                  <c:v>Waste</c:v>
                </c:pt>
                <c:pt idx="7">
                  <c:v>Biomass</c:v>
                </c:pt>
                <c:pt idx="8">
                  <c:v>Solar</c:v>
                </c:pt>
              </c:strCache>
            </c:strRef>
          </c:cat>
          <c:val>
            <c:numRef>
              <c:f>'Wärme - Erzeugung'!$K$4:$K$12</c:f>
              <c:numCache>
                <c:formatCode>General</c:formatCode>
                <c:ptCount val="9"/>
                <c:pt idx="0">
                  <c:v>7.3688246823173001E-2</c:v>
                </c:pt>
                <c:pt idx="1">
                  <c:v>0.5291368719064744</c:v>
                </c:pt>
                <c:pt idx="2">
                  <c:v>0.1080824506555622</c:v>
                </c:pt>
                <c:pt idx="3">
                  <c:v>37.275539930317422</c:v>
                </c:pt>
                <c:pt idx="4">
                  <c:v>172768.53609381252</c:v>
                </c:pt>
                <c:pt idx="5">
                  <c:v>263944.40827896097</c:v>
                </c:pt>
                <c:pt idx="6">
                  <c:v>42004.998299711136</c:v>
                </c:pt>
                <c:pt idx="7">
                  <c:v>270847.71559387312</c:v>
                </c:pt>
                <c:pt idx="8">
                  <c:v>2235.3808780035779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7-4094-A375-DB57A8DE3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0392060655173552"/>
          <c:y val="0.15926040725669438"/>
          <c:w val="0.37916166202280127"/>
          <c:h val="0.7968367575272872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60710213727482"/>
          <c:y val="6.1460416666666663E-2"/>
          <c:w val="0.50748531271377928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'Wärme - Erzeugung'!$C$4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'Wärme - Erzeugung'!$E$3:$L$3</c15:sqref>
                  </c15:fullRef>
                </c:ext>
              </c:extLst>
              <c:f>'Wärme - Erzeugung'!$E$3:$J$3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Erzeugung'!$E$4:$L$4</c15:sqref>
                  </c15:fullRef>
                </c:ext>
              </c:extLst>
              <c:f>'Wärme - Erzeugung'!$E$4:$J$4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9-4172-8C69-8A4B2D192EBC}"/>
            </c:ext>
          </c:extLst>
        </c:ser>
        <c:ser>
          <c:idx val="1"/>
          <c:order val="1"/>
          <c:tx>
            <c:strRef>
              <c:f>'Wärme - Erzeugung'!$C$5</c:f>
              <c:strCache>
                <c:ptCount val="1"/>
                <c:pt idx="0">
                  <c:v>Steinkohle/Koks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'Wärme - Erzeugung'!$E$3:$L$3</c15:sqref>
                  </c15:fullRef>
                </c:ext>
              </c:extLst>
              <c:f>'Wärme - Erzeugung'!$E$3:$J$3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Erzeugung'!$E$5:$L$5</c15:sqref>
                  </c15:fullRef>
                </c:ext>
              </c:extLst>
              <c:f>'Wärme - Erzeugung'!$E$5:$J$5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F-4DAA-B119-F521EC2A8D88}"/>
            </c:ext>
          </c:extLst>
        </c:ser>
        <c:ser>
          <c:idx val="2"/>
          <c:order val="2"/>
          <c:tx>
            <c:strRef>
              <c:f>'Wärme - Erzeugung'!$C$6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'Wärme - Erzeugung'!$E$3:$L$3</c15:sqref>
                  </c15:fullRef>
                </c:ext>
              </c:extLst>
              <c:f>'Wärme - Erzeugung'!$E$3:$J$3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Erzeugung'!$E$6:$L$6</c15:sqref>
                  </c15:fullRef>
                </c:ext>
              </c:extLst>
              <c:f>'Wärme - Erzeugung'!$E$6:$J$6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F-4DAA-B119-F521EC2A8D88}"/>
            </c:ext>
          </c:extLst>
        </c:ser>
        <c:ser>
          <c:idx val="3"/>
          <c:order val="3"/>
          <c:tx>
            <c:strRef>
              <c:f>'Wärme - Erzeugung'!$C$7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'Wärme - Erzeugung'!$E$3:$L$3</c15:sqref>
                  </c15:fullRef>
                </c:ext>
              </c:extLst>
              <c:f>'Wärme - Erzeugung'!$E$3:$J$3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Erzeugung'!$E$7:$L$7</c15:sqref>
                  </c15:fullRef>
                </c:ext>
              </c:extLst>
              <c:f>'Wärme - Erzeugung'!$E$7:$J$7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AF-4DAA-B119-F521EC2A8D88}"/>
            </c:ext>
          </c:extLst>
        </c:ser>
        <c:ser>
          <c:idx val="4"/>
          <c:order val="4"/>
          <c:tx>
            <c:strRef>
              <c:f>'Wärme - Erzeugung'!$C$8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'Wärme - Erzeugung'!$E$3:$L$3</c15:sqref>
                  </c15:fullRef>
                </c:ext>
              </c:extLst>
              <c:f>'Wärme - Erzeugung'!$E$3:$J$3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Erzeugung'!$E$8:$L$8</c15:sqref>
                  </c15:fullRef>
                </c:ext>
              </c:extLst>
              <c:f>'Wärme - Erzeugung'!$E$8:$J$8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AF-4DAA-B119-F521EC2A8D88}"/>
            </c:ext>
          </c:extLst>
        </c:ser>
        <c:ser>
          <c:idx val="5"/>
          <c:order val="5"/>
          <c:tx>
            <c:strRef>
              <c:f>'Wärme - Erzeugung'!$C$9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'Wärme - Erzeugung'!$E$3:$L$3</c15:sqref>
                  </c15:fullRef>
                </c:ext>
              </c:extLst>
              <c:f>'Wärme - Erzeugung'!$E$3:$J$3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Erzeugung'!$E$9:$L$9</c15:sqref>
                  </c15:fullRef>
                </c:ext>
              </c:extLst>
              <c:f>'Wärme - Erzeugung'!$E$9:$J$9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AF-4DAA-B119-F521EC2A8D88}"/>
            </c:ext>
          </c:extLst>
        </c:ser>
        <c:ser>
          <c:idx val="6"/>
          <c:order val="6"/>
          <c:tx>
            <c:strRef>
              <c:f>'Wärme - Erzeugung'!$C$10</c:f>
              <c:strCache>
                <c:ptCount val="1"/>
                <c:pt idx="0">
                  <c:v>Abfall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'Wärme - Erzeugung'!$E$3:$L$3</c15:sqref>
                  </c15:fullRef>
                </c:ext>
              </c:extLst>
              <c:f>'Wärme - Erzeugung'!$E$3:$J$3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Erzeugung'!$E$10:$L$10</c15:sqref>
                  </c15:fullRef>
                </c:ext>
              </c:extLst>
              <c:f>'Wärme - Erzeugung'!$E$10:$J$10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AF-4DAA-B119-F521EC2A8D88}"/>
            </c:ext>
          </c:extLst>
        </c:ser>
        <c:ser>
          <c:idx val="7"/>
          <c:order val="7"/>
          <c:tx>
            <c:strRef>
              <c:f>'Wärme - Erzeugung'!$C$11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'Wärme - Erzeugung'!$E$3:$L$3</c15:sqref>
                  </c15:fullRef>
                </c:ext>
              </c:extLst>
              <c:f>'Wärme - Erzeugung'!$E$3:$J$3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Erzeugung'!$E$11:$L$11</c15:sqref>
                  </c15:fullRef>
                </c:ext>
              </c:extLst>
              <c:f>'Wärme - Erzeugung'!$E$11:$J$11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AF-4DAA-B119-F521EC2A8D88}"/>
            </c:ext>
          </c:extLst>
        </c:ser>
        <c:ser>
          <c:idx val="8"/>
          <c:order val="8"/>
          <c:tx>
            <c:strRef>
              <c:f>'Wärme - Erzeugung'!$C$12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'Wärme - Erzeugung'!$E$3:$L$3</c15:sqref>
                  </c15:fullRef>
                </c:ext>
              </c:extLst>
              <c:f>'Wärme - Erzeugung'!$E$3:$J$3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Erzeugung'!$E$12:$L$12</c15:sqref>
                  </c15:fullRef>
                </c:ext>
              </c:extLst>
              <c:f>'Wärme - Erzeugung'!$E$12:$J$12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AF-4DAA-B119-F521EC2A8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545984"/>
        <c:axId val="389441792"/>
      </c:barChart>
      <c:catAx>
        <c:axId val="38954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9441792"/>
        <c:crosses val="autoZero"/>
        <c:auto val="1"/>
        <c:lblAlgn val="ctr"/>
        <c:lblOffset val="100"/>
        <c:noMultiLvlLbl val="0"/>
      </c:catAx>
      <c:valAx>
        <c:axId val="389441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Energieträger</a:t>
                </a:r>
                <a:r>
                  <a:rPr lang="de-DE" baseline="0"/>
                  <a:t> Wärmeerzeugung </a:t>
                </a:r>
                <a:r>
                  <a:rPr lang="de-DE"/>
                  <a:t>in </a:t>
                </a:r>
                <a:r>
                  <a:rPr lang="de-DE" baseline="0"/>
                  <a:t>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954598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540065092559966"/>
          <c:y val="0"/>
          <c:w val="0.16180044239851737"/>
          <c:h val="0.8265429715811558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Energieträger Wärmeerzeugung 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7366206720468904E-2"/>
          <c:y val="0.19114046792252676"/>
          <c:w val="0.50505533785508916"/>
          <c:h val="0.75412768002917263"/>
        </c:manualLayout>
      </c:layout>
      <c:pieChart>
        <c:varyColors val="1"/>
        <c:ser>
          <c:idx val="0"/>
          <c:order val="0"/>
          <c:tx>
            <c:strRef>
              <c:f>'Wärme - Erzeugung'!$K$3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0-3DF4-4DAD-8733-882C9BE0E4DA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3DF4-4DAD-8733-882C9BE0E4DA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3DF4-4DAD-8733-882C9BE0E4DA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7-3DF4-4DAD-8733-882C9BE0E4DA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3DF4-4DAD-8733-882C9BE0E4DA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3-3DF4-4DAD-8733-882C9BE0E4DA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2-3DF4-4DAD-8733-882C9BE0E4DA}"/>
              </c:ext>
            </c:extLst>
          </c:dPt>
          <c:dPt>
            <c:idx val="7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3DF4-4DAD-8733-882C9BE0E4DA}"/>
              </c:ext>
            </c:extLst>
          </c:dPt>
          <c:dPt>
            <c:idx val="8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8-3DF4-4DAD-8733-882C9BE0E4DA}"/>
              </c:ext>
            </c:extLst>
          </c:dPt>
          <c:cat>
            <c:strRef>
              <c:f>'Wärme - Erzeugung'!$C$4:$C$12</c:f>
              <c:strCache>
                <c:ptCount val="9"/>
                <c:pt idx="0">
                  <c:v>Erdgas</c:v>
                </c:pt>
                <c:pt idx="1">
                  <c:v>Steinkohle/Koks</c:v>
                </c:pt>
                <c:pt idx="2">
                  <c:v>Braunkohle</c:v>
                </c:pt>
                <c:pt idx="3">
                  <c:v>Erdöl</c:v>
                </c:pt>
                <c:pt idx="4">
                  <c:v>Wasserstoff</c:v>
                </c:pt>
                <c:pt idx="5">
                  <c:v>Elektrizität</c:v>
                </c:pt>
                <c:pt idx="6">
                  <c:v>Abfall</c:v>
                </c:pt>
                <c:pt idx="7">
                  <c:v>Biomasse</c:v>
                </c:pt>
                <c:pt idx="8">
                  <c:v>Solar</c:v>
                </c:pt>
              </c:strCache>
            </c:strRef>
          </c:cat>
          <c:val>
            <c:numRef>
              <c:f>'Wärme - Erzeugung'!$K$4:$K$12</c:f>
              <c:numCache>
                <c:formatCode>General</c:formatCode>
                <c:ptCount val="9"/>
                <c:pt idx="0">
                  <c:v>7.3688246823173001E-2</c:v>
                </c:pt>
                <c:pt idx="1">
                  <c:v>0.5291368719064744</c:v>
                </c:pt>
                <c:pt idx="2">
                  <c:v>0.1080824506555622</c:v>
                </c:pt>
                <c:pt idx="3">
                  <c:v>37.275539930317422</c:v>
                </c:pt>
                <c:pt idx="4">
                  <c:v>172768.53609381252</c:v>
                </c:pt>
                <c:pt idx="5">
                  <c:v>263944.40827896097</c:v>
                </c:pt>
                <c:pt idx="6">
                  <c:v>42004.998299711136</c:v>
                </c:pt>
                <c:pt idx="7">
                  <c:v>270847.71559387312</c:v>
                </c:pt>
                <c:pt idx="8">
                  <c:v>2235.3808780035779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7-4094-A375-DB57A8DE3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0392060655173552"/>
          <c:y val="0.15926040725669438"/>
          <c:w val="0.37916166202280127"/>
          <c:h val="0.7968367575272872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819453432226591"/>
          <c:y val="6.1460416666666663E-2"/>
          <c:w val="0.53482237377005659"/>
          <c:h val="0.62354548611111116"/>
        </c:manualLayout>
      </c:layout>
      <c:areaChart>
        <c:grouping val="stacked"/>
        <c:varyColors val="0"/>
        <c:ser>
          <c:idx val="0"/>
          <c:order val="0"/>
          <c:tx>
            <c:strRef>
              <c:f>'Wärme - Erzeugung'!$O$4</c:f>
              <c:strCache>
                <c:ptCount val="1"/>
                <c:pt idx="0">
                  <c:v>HKW</c:v>
                </c:pt>
              </c:strCache>
            </c:strRef>
          </c:tx>
          <c:cat>
            <c:numRef>
              <c:f>'Wärme - Erzeugung'!$Q$3:$W$3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Erzeugung'!$Q$4:$W$4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C-479F-A04A-486F12593BB8}"/>
            </c:ext>
          </c:extLst>
        </c:ser>
        <c:ser>
          <c:idx val="1"/>
          <c:order val="1"/>
          <c:tx>
            <c:strRef>
              <c:f>'Wärme - Erzeugung'!$O$5</c:f>
              <c:strCache>
                <c:ptCount val="1"/>
                <c:pt idx="0">
                  <c:v>Industrieöfen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Erzeugung'!$Q$5:$W$5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5-427C-A0B7-652CD93B6E44}"/>
            </c:ext>
          </c:extLst>
        </c:ser>
        <c:ser>
          <c:idx val="2"/>
          <c:order val="2"/>
          <c:tx>
            <c:strRef>
              <c:f>'Wärme - Erzeugung'!$O$6</c:f>
              <c:strCache>
                <c:ptCount val="1"/>
                <c:pt idx="0">
                  <c:v>Herd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Erzeugung'!$Q$3:$W$3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Erzeugung'!$Q$6:$W$6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5-427C-A0B7-652CD93B6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549056"/>
        <c:axId val="389445824"/>
      </c:areaChart>
      <c:catAx>
        <c:axId val="38954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9445824"/>
        <c:crosses val="autoZero"/>
        <c:auto val="1"/>
        <c:lblAlgn val="ctr"/>
        <c:lblOffset val="100"/>
        <c:noMultiLvlLbl val="0"/>
      </c:catAx>
      <c:valAx>
        <c:axId val="389445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baseline="0"/>
                  <a:t>Wärmeerzeugung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9549056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809089607724913"/>
          <c:y val="1.2023384893776207E-2"/>
          <c:w val="0.22190910392275093"/>
          <c:h val="0.6714089317216027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Wärmeerzeugung 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'Wärme - Erzeugung'!$O$4:$O$6</c:f>
              <c:strCache>
                <c:ptCount val="3"/>
                <c:pt idx="0">
                  <c:v>HKW</c:v>
                </c:pt>
                <c:pt idx="1">
                  <c:v>Industrieöfen</c:v>
                </c:pt>
                <c:pt idx="2">
                  <c:v>Herd</c:v>
                </c:pt>
              </c:strCache>
            </c:strRef>
          </c:cat>
          <c:val>
            <c:numRef>
              <c:f>'Wärme - Erzeugung'!$W$4:$W$6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819453432226591"/>
          <c:y val="6.1460416666666663E-2"/>
          <c:w val="0.39506093120357333"/>
          <c:h val="0.62354548611111116"/>
        </c:manualLayout>
      </c:layout>
      <c:areaChart>
        <c:grouping val="stacked"/>
        <c:varyColors val="0"/>
        <c:ser>
          <c:idx val="0"/>
          <c:order val="0"/>
          <c:tx>
            <c:strRef>
              <c:f>'Wärme - Erzeugung'!$AB$4</c:f>
              <c:strCache>
                <c:ptCount val="1"/>
                <c:pt idx="0">
                  <c:v>Steinkohle-HKW</c:v>
                </c:pt>
              </c:strCache>
            </c:strRef>
          </c:tx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Erzeugung'!$AD$4:$AJ$4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C-479F-A04A-486F12593BB8}"/>
            </c:ext>
          </c:extLst>
        </c:ser>
        <c:ser>
          <c:idx val="2"/>
          <c:order val="1"/>
          <c:tx>
            <c:strRef>
              <c:f>'Wärme - Erzeugung'!$AB$5</c:f>
              <c:strCache>
                <c:ptCount val="1"/>
                <c:pt idx="0">
                  <c:v>Gas-HKW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Erzeugung'!$AD$5:$AJ$5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AC-479F-A04A-486F12593BB8}"/>
            </c:ext>
          </c:extLst>
        </c:ser>
        <c:ser>
          <c:idx val="6"/>
          <c:order val="2"/>
          <c:tx>
            <c:strRef>
              <c:f>'Wärme - Erzeugung'!$AB$6</c:f>
              <c:strCache>
                <c:ptCount val="1"/>
                <c:pt idx="0">
                  <c:v>Öl-HKW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Erzeugung'!$AD$6:$AJ$6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AC-479F-A04A-486F12593BB8}"/>
            </c:ext>
          </c:extLst>
        </c:ser>
        <c:ser>
          <c:idx val="8"/>
          <c:order val="3"/>
          <c:tx>
            <c:strRef>
              <c:f>'Wärme - Erzeugung'!$AB$7</c:f>
              <c:strCache>
                <c:ptCount val="1"/>
                <c:pt idx="0">
                  <c:v>Pellet-HKW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Erzeugung'!$AD$7:$AJ$7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AC-479F-A04A-486F12593BB8}"/>
            </c:ext>
          </c:extLst>
        </c:ser>
        <c:ser>
          <c:idx val="9"/>
          <c:order val="4"/>
          <c:tx>
            <c:strRef>
              <c:f>'Wärme - Erzeugung'!$AB$8</c:f>
              <c:strCache>
                <c:ptCount val="1"/>
                <c:pt idx="0">
                  <c:v>Stroh-HKW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Erzeugung'!$AD$8:$AJ$8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AC-479F-A04A-486F12593BB8}"/>
            </c:ext>
          </c:extLst>
        </c:ser>
        <c:ser>
          <c:idx val="1"/>
          <c:order val="5"/>
          <c:tx>
            <c:strRef>
              <c:f>'Wärme - Erzeugung'!$AB$9</c:f>
              <c:strCache>
                <c:ptCount val="1"/>
                <c:pt idx="0">
                  <c:v>Holz-HKW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Erzeugung'!$AD$9:$AJ$9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0-418A-BE92-58D76E49D933}"/>
            </c:ext>
          </c:extLst>
        </c:ser>
        <c:ser>
          <c:idx val="3"/>
          <c:order val="6"/>
          <c:tx>
            <c:strRef>
              <c:f>'Wärme - Erzeugung'!$AB$10</c:f>
              <c:strCache>
                <c:ptCount val="1"/>
                <c:pt idx="0">
                  <c:v>Abfall-HKW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Erzeugung'!$AD$10:$AJ$10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0-418A-BE92-58D76E49D933}"/>
            </c:ext>
          </c:extLst>
        </c:ser>
        <c:ser>
          <c:idx val="4"/>
          <c:order val="7"/>
          <c:tx>
            <c:strRef>
              <c:f>'Wärme - Erzeugung'!$AB$11</c:f>
              <c:strCache>
                <c:ptCount val="1"/>
                <c:pt idx="0">
                  <c:v>Biokohle-Industrieofen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Erzeugung'!$AD$11:$AJ$11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D0-418A-BE92-58D76E49D933}"/>
            </c:ext>
          </c:extLst>
        </c:ser>
        <c:ser>
          <c:idx val="5"/>
          <c:order val="8"/>
          <c:tx>
            <c:strRef>
              <c:f>'Wärme - Erzeugung'!$AB$12</c:f>
              <c:strCache>
                <c:ptCount val="1"/>
                <c:pt idx="0">
                  <c:v>Bioöl-Industrieofen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Erzeugung'!$AD$12:$AJ$12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D0-418A-BE92-58D76E49D933}"/>
            </c:ext>
          </c:extLst>
        </c:ser>
        <c:ser>
          <c:idx val="7"/>
          <c:order val="9"/>
          <c:tx>
            <c:strRef>
              <c:f>'Wärme - Erzeugung'!$AB$13</c:f>
              <c:strCache>
                <c:ptCount val="1"/>
                <c:pt idx="0">
                  <c:v>Steinkohle-Industrieofen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Erzeugung'!$AD$13:$AJ$13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D0-418A-BE92-58D76E49D933}"/>
            </c:ext>
          </c:extLst>
        </c:ser>
        <c:ser>
          <c:idx val="10"/>
          <c:order val="10"/>
          <c:tx>
            <c:strRef>
              <c:f>'Wärme - Erzeugung'!$AB$14</c:f>
              <c:strCache>
                <c:ptCount val="1"/>
                <c:pt idx="0">
                  <c:v>Gas-Industrieofen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Erzeugung'!$AD$14:$AJ$14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D0-418A-BE92-58D76E49D933}"/>
            </c:ext>
          </c:extLst>
        </c:ser>
        <c:ser>
          <c:idx val="11"/>
          <c:order val="11"/>
          <c:tx>
            <c:strRef>
              <c:f>'Wärme - Erzeugung'!$AB$15</c:f>
              <c:strCache>
                <c:ptCount val="1"/>
                <c:pt idx="0">
                  <c:v>H2-Industrieofen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Erzeugung'!$AD$15:$AJ$15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D0-418A-BE92-58D76E49D933}"/>
            </c:ext>
          </c:extLst>
        </c:ser>
        <c:ser>
          <c:idx val="12"/>
          <c:order val="12"/>
          <c:tx>
            <c:strRef>
              <c:f>'Wärme - Erzeugung'!$AB$16</c:f>
              <c:strCache>
                <c:ptCount val="1"/>
                <c:pt idx="0">
                  <c:v>Öl-Industrieofen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Erzeugung'!$AD$16:$AJ$16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D0-418A-BE92-58D76E49D933}"/>
            </c:ext>
          </c:extLst>
        </c:ser>
        <c:ser>
          <c:idx val="13"/>
          <c:order val="13"/>
          <c:tx>
            <c:strRef>
              <c:f>'Wärme - Erzeugung'!$AB$17</c:f>
              <c:strCache>
                <c:ptCount val="1"/>
                <c:pt idx="0">
                  <c:v>Elektro-Industrieofen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Erzeugung'!$AD$17:$AJ$17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D0-418A-BE92-58D76E49D933}"/>
            </c:ext>
          </c:extLst>
        </c:ser>
        <c:ser>
          <c:idx val="14"/>
          <c:order val="14"/>
          <c:tx>
            <c:strRef>
              <c:f>'Wärme - Erzeugung'!$AB$18</c:f>
              <c:strCache>
                <c:ptCount val="1"/>
                <c:pt idx="0">
                  <c:v>E-Herd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Erzeugung'!$AD$18:$AJ$18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D0-418A-BE92-58D76E49D933}"/>
            </c:ext>
          </c:extLst>
        </c:ser>
        <c:ser>
          <c:idx val="15"/>
          <c:order val="15"/>
          <c:tx>
            <c:strRef>
              <c:f>'Wärme - Erzeugung'!$AB$19</c:f>
              <c:strCache>
                <c:ptCount val="1"/>
                <c:pt idx="0">
                  <c:v>Gasherd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Erzeugung'!$AD$19:$AJ$19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D0-418A-BE92-58D76E49D933}"/>
            </c:ext>
          </c:extLst>
        </c:ser>
        <c:ser>
          <c:idx val="16"/>
          <c:order val="16"/>
          <c:tx>
            <c:strRef>
              <c:f>'Wärme - Erzeugung'!$AB$20</c:f>
              <c:strCache>
                <c:ptCount val="1"/>
                <c:pt idx="0">
                  <c:v>Elektrokessel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Erzeugung'!$AD$3:$AJ$3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Erzeugung'!$AD$20:$AJ$20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7-476B-82CF-9DC6F3222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954048"/>
        <c:axId val="389792896"/>
      </c:areaChart>
      <c:catAx>
        <c:axId val="38995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9792896"/>
        <c:crosses val="autoZero"/>
        <c:auto val="1"/>
        <c:lblAlgn val="ctr"/>
        <c:lblOffset val="100"/>
        <c:noMultiLvlLbl val="0"/>
      </c:catAx>
      <c:valAx>
        <c:axId val="389792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Wärmeerzeugung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9954048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030020553154987"/>
          <c:y val="1.2023384893776207E-2"/>
          <c:w val="0.29039460834350761"/>
          <c:h val="0.8409222447590283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Wärmeerzeugung 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'Wärme - Erzeugung'!$AJ$3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'Wärme - Erzeugung'!$AB$4:$AB$20</c:f>
              <c:strCache>
                <c:ptCount val="17"/>
                <c:pt idx="0">
                  <c:v>Steinkohle-HKW</c:v>
                </c:pt>
                <c:pt idx="1">
                  <c:v>Gas-HKW</c:v>
                </c:pt>
                <c:pt idx="2">
                  <c:v>Öl-HKW</c:v>
                </c:pt>
                <c:pt idx="3">
                  <c:v>Pellet-HKW</c:v>
                </c:pt>
                <c:pt idx="4">
                  <c:v>Stroh-HKW</c:v>
                </c:pt>
                <c:pt idx="5">
                  <c:v>Holz-HKW</c:v>
                </c:pt>
                <c:pt idx="6">
                  <c:v>Abfall-HKW</c:v>
                </c:pt>
                <c:pt idx="7">
                  <c:v>Biokohle-Industrieofen</c:v>
                </c:pt>
                <c:pt idx="8">
                  <c:v>Bioöl-Industrieofen</c:v>
                </c:pt>
                <c:pt idx="9">
                  <c:v>Steinkohle-Industrieofen</c:v>
                </c:pt>
                <c:pt idx="10">
                  <c:v>Gas-Industrieofen</c:v>
                </c:pt>
                <c:pt idx="11">
                  <c:v>H2-Industrieofen</c:v>
                </c:pt>
                <c:pt idx="12">
                  <c:v>Öl-Industrieofen</c:v>
                </c:pt>
                <c:pt idx="13">
                  <c:v>Elektro-Industrieofen</c:v>
                </c:pt>
                <c:pt idx="14">
                  <c:v>E-Herd</c:v>
                </c:pt>
                <c:pt idx="15">
                  <c:v>Gasherd</c:v>
                </c:pt>
                <c:pt idx="16">
                  <c:v>Elektrokessel (LS)</c:v>
                </c:pt>
              </c:strCache>
            </c:strRef>
          </c:cat>
          <c:val>
            <c:numRef>
              <c:f>'Wärme - Erzeugung'!$AJ$4:$AJ$20</c:f>
              <c:numCache>
                <c:formatCode>General</c:formatCode>
                <c:ptCount val="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9900134937135507"/>
          <c:y val="0.13542441057660148"/>
          <c:w val="0.40099865062864481"/>
          <c:h val="0.8645755894233985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28338066709508"/>
          <c:y val="6.1460416666666663E-2"/>
          <c:w val="0.48881631944444437"/>
          <c:h val="0.62354548611111116"/>
        </c:manualLayout>
      </c:layout>
      <c:areaChart>
        <c:grouping val="stacked"/>
        <c:varyColors val="0"/>
        <c:ser>
          <c:idx val="1"/>
          <c:order val="0"/>
          <c:tx>
            <c:strRef>
              <c:f>'Wärme - Erzeugung'!$AO$4</c:f>
              <c:strCache>
                <c:ptCount val="1"/>
                <c:pt idx="0">
                  <c:v>Steinkohle-KWK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Erzeugung'!$AQ$4:$AW$4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'Wärme - Erzeugung'!$AO$5</c:f>
              <c:strCache>
                <c:ptCount val="1"/>
                <c:pt idx="0">
                  <c:v>Braunkohle-KWK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Erzeugung'!$AQ$5:$AW$5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B-40C6-AF40-5813D2DB61DB}"/>
            </c:ext>
          </c:extLst>
        </c:ser>
        <c:ser>
          <c:idx val="2"/>
          <c:order val="2"/>
          <c:tx>
            <c:strRef>
              <c:f>'Wärme - Erzeugung'!$AO$6</c:f>
              <c:strCache>
                <c:ptCount val="1"/>
                <c:pt idx="0">
                  <c:v>Gas-KWK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Erzeugung'!$AQ$6:$AW$6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FB-40C6-AF40-5813D2DB61DB}"/>
            </c:ext>
          </c:extLst>
        </c:ser>
        <c:ser>
          <c:idx val="3"/>
          <c:order val="3"/>
          <c:tx>
            <c:strRef>
              <c:f>'Wärme - Erzeugung'!$AO$7</c:f>
              <c:strCache>
                <c:ptCount val="1"/>
                <c:pt idx="0">
                  <c:v>GuD-KWK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Erzeugung'!$AQ$7:$AW$7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FB-40C6-AF40-5813D2DB61DB}"/>
            </c:ext>
          </c:extLst>
        </c:ser>
        <c:ser>
          <c:idx val="4"/>
          <c:order val="4"/>
          <c:tx>
            <c:strRef>
              <c:f>'Wärme - Erzeugung'!$AO$8</c:f>
              <c:strCache>
                <c:ptCount val="1"/>
                <c:pt idx="0">
                  <c:v>Stroh-KWK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Erzeugung'!$AQ$8:$AW$8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FB-40C6-AF40-5813D2DB61DB}"/>
            </c:ext>
          </c:extLst>
        </c:ser>
        <c:ser>
          <c:idx val="6"/>
          <c:order val="5"/>
          <c:tx>
            <c:strRef>
              <c:f>'Wärme - Erzeugung'!$AO$9</c:f>
              <c:strCache>
                <c:ptCount val="1"/>
                <c:pt idx="0">
                  <c:v>Holz-KWK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Erzeugung'!$AQ$9:$AW$9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FB-40C6-AF40-5813D2DB61DB}"/>
            </c:ext>
          </c:extLst>
        </c:ser>
        <c:ser>
          <c:idx val="8"/>
          <c:order val="6"/>
          <c:tx>
            <c:strRef>
              <c:f>'Wärme - Erzeugung'!$AO$10</c:f>
              <c:strCache>
                <c:ptCount val="1"/>
                <c:pt idx="0">
                  <c:v>Abfall-KWK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Erzeugung'!$AQ$10:$AW$10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FB-40C6-AF40-5813D2DB61DB}"/>
            </c:ext>
          </c:extLst>
        </c:ser>
        <c:ser>
          <c:idx val="9"/>
          <c:order val="7"/>
          <c:tx>
            <c:strRef>
              <c:f>'Wärme - Erzeugung'!$AO$11</c:f>
              <c:strCache>
                <c:ptCount val="1"/>
                <c:pt idx="0">
                  <c:v>H2-KWK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'Wärme - Erzeugung'!$AQ$11:$AW$11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FB-40C6-AF40-5813D2DB6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24032"/>
        <c:axId val="389797504"/>
      </c:areaChart>
      <c:catAx>
        <c:axId val="39012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9797504"/>
        <c:crosses val="autoZero"/>
        <c:auto val="1"/>
        <c:lblAlgn val="ctr"/>
        <c:lblOffset val="100"/>
        <c:noMultiLvlLbl val="0"/>
      </c:catAx>
      <c:valAx>
        <c:axId val="389797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Fernwärmeerzeugung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0124032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8065572916666661"/>
          <c:y val="0"/>
          <c:w val="0.31934427083333333"/>
          <c:h val="0.9847948875805319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Fernwärmeerzeugung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'Wärme - Erzeugung'!$AW$3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'Wärme - Erzeugung'!$AO$4:$AO$11</c:f>
              <c:strCache>
                <c:ptCount val="8"/>
                <c:pt idx="0">
                  <c:v>Steinkohle-KWK</c:v>
                </c:pt>
                <c:pt idx="1">
                  <c:v>Braunkohle-KWK</c:v>
                </c:pt>
                <c:pt idx="2">
                  <c:v>Gas-KWK</c:v>
                </c:pt>
                <c:pt idx="3">
                  <c:v>GuD-KWK</c:v>
                </c:pt>
                <c:pt idx="4">
                  <c:v>Stroh-KWK (LS)</c:v>
                </c:pt>
                <c:pt idx="5">
                  <c:v>Holz-KWK (LS)</c:v>
                </c:pt>
                <c:pt idx="6">
                  <c:v>Abfall-KWK</c:v>
                </c:pt>
                <c:pt idx="7">
                  <c:v>H2-KWK</c:v>
                </c:pt>
              </c:strCache>
            </c:strRef>
          </c:cat>
          <c:val>
            <c:numRef>
              <c:f>'Wärme - Erzeugung'!$AW$4:$AW$11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3734308532217501"/>
          <c:y val="0.22987703457805045"/>
          <c:w val="0.44575104609785215"/>
          <c:h val="0.7468483484396860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28338066709508"/>
          <c:y val="6.1460416666666663E-2"/>
          <c:w val="0.46739243698873345"/>
          <c:h val="0.62354548611111116"/>
        </c:manualLayout>
      </c:layout>
      <c:areaChart>
        <c:grouping val="stacked"/>
        <c:varyColors val="0"/>
        <c:ser>
          <c:idx val="2"/>
          <c:order val="0"/>
          <c:tx>
            <c:strRef>
              <c:f>'Wärme - Erzeugung'!$BB$4</c:f>
              <c:strCache>
                <c:ptCount val="1"/>
                <c:pt idx="0">
                  <c:v>Wärmepumpe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Erzeugung'!$BD$4:$BI$4</c:f>
              <c:numCache>
                <c:formatCode>General</c:formatCode>
                <c:ptCount val="6"/>
                <c:pt idx="0">
                  <c:v>0</c:v>
                </c:pt>
                <c:pt idx="1">
                  <c:v>317.03828484666099</c:v>
                </c:pt>
                <c:pt idx="2">
                  <c:v>21033.57982259446</c:v>
                </c:pt>
                <c:pt idx="3">
                  <c:v>87942.444709228192</c:v>
                </c:pt>
                <c:pt idx="4">
                  <c:v>140611.58027442271</c:v>
                </c:pt>
                <c:pt idx="5">
                  <c:v>229926.566691382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11"/>
          <c:order val="1"/>
          <c:tx>
            <c:strRef>
              <c:f>'Wärme - Erzeugung'!$BB$5</c:f>
              <c:strCache>
                <c:ptCount val="1"/>
                <c:pt idx="0">
                  <c:v>Erdwärmepumpe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Erzeugung'!$BD$5:$BI$5</c:f>
              <c:numCache>
                <c:formatCode>General</c:formatCode>
                <c:ptCount val="6"/>
                <c:pt idx="0">
                  <c:v>0</c:v>
                </c:pt>
                <c:pt idx="1">
                  <c:v>5.1623413669181879</c:v>
                </c:pt>
                <c:pt idx="2">
                  <c:v>5553.201371029395</c:v>
                </c:pt>
                <c:pt idx="3">
                  <c:v>5553.201371029395</c:v>
                </c:pt>
                <c:pt idx="4">
                  <c:v>22222.61797379105</c:v>
                </c:pt>
                <c:pt idx="5">
                  <c:v>28748.003667855312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D9-4688-A27C-975E97A1DCCF}"/>
            </c:ext>
          </c:extLst>
        </c:ser>
        <c:ser>
          <c:idx val="0"/>
          <c:order val="2"/>
          <c:tx>
            <c:strRef>
              <c:f>'Wärme - Erzeugung'!$BB$6</c:f>
              <c:strCache>
                <c:ptCount val="1"/>
                <c:pt idx="0">
                  <c:v>H2-KWK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Erzeugung'!$BD$6:$BI$6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D-4BCC-BB52-510135275F51}"/>
            </c:ext>
          </c:extLst>
        </c:ser>
        <c:ser>
          <c:idx val="1"/>
          <c:order val="3"/>
          <c:tx>
            <c:strRef>
              <c:f>'Wärme - Erzeugung'!$BB$7</c:f>
              <c:strCache>
                <c:ptCount val="1"/>
                <c:pt idx="0">
                  <c:v>Gas-KWK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Erzeugung'!$BD$7:$BI$7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0D-4BCC-BB52-510135275F51}"/>
            </c:ext>
          </c:extLst>
        </c:ser>
        <c:ser>
          <c:idx val="3"/>
          <c:order val="4"/>
          <c:tx>
            <c:strRef>
              <c:f>'Wärme - Erzeugung'!$BB$8</c:f>
              <c:strCache>
                <c:ptCount val="1"/>
                <c:pt idx="0">
                  <c:v>Biogas-KWK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Erzeugung'!$BD$8:$BI$8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0D-4BCC-BB52-510135275F51}"/>
            </c:ext>
          </c:extLst>
        </c:ser>
        <c:ser>
          <c:idx val="9"/>
          <c:order val="5"/>
          <c:tx>
            <c:strRef>
              <c:f>'Wärme - Erzeugung'!$BB$9</c:f>
              <c:strCache>
                <c:ptCount val="1"/>
                <c:pt idx="0">
                  <c:v>Holz-KWK (MS)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Erzeugung'!$BD$9:$BI$9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6-48E2-8FB4-60C5F8DA5B40}"/>
            </c:ext>
          </c:extLst>
        </c:ser>
        <c:ser>
          <c:idx val="4"/>
          <c:order val="6"/>
          <c:tx>
            <c:strRef>
              <c:f>'Wärme - Erzeugung'!$BB$10</c:f>
              <c:strCache>
                <c:ptCount val="1"/>
                <c:pt idx="0">
                  <c:v>Holz-KWK (SS)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Erzeugung'!$BD$10:$BI$10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0D-4BCC-BB52-510135275F51}"/>
            </c:ext>
          </c:extLst>
        </c:ser>
        <c:ser>
          <c:idx val="10"/>
          <c:order val="7"/>
          <c:tx>
            <c:strRef>
              <c:f>'Wärme - Erzeugung'!$BB$11</c:f>
              <c:strCache>
                <c:ptCount val="1"/>
                <c:pt idx="0">
                  <c:v>Stroh-KWK (MS)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Erzeugung'!$BD$11:$BI$11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6-48E2-8FB4-60C5F8DA5B40}"/>
            </c:ext>
          </c:extLst>
        </c:ser>
        <c:ser>
          <c:idx val="5"/>
          <c:order val="8"/>
          <c:tx>
            <c:strRef>
              <c:f>'Wärme - Erzeugung'!$BB$12</c:f>
              <c:strCache>
                <c:ptCount val="1"/>
                <c:pt idx="0">
                  <c:v>Stroh-KWK (SS)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Erzeugung'!$BD$12:$BI$12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0D-4BCC-BB52-510135275F51}"/>
            </c:ext>
          </c:extLst>
        </c:ser>
        <c:ser>
          <c:idx val="6"/>
          <c:order val="9"/>
          <c:tx>
            <c:strRef>
              <c:f>'Wärme - Erzeugung'!$BB$13</c:f>
              <c:strCache>
                <c:ptCount val="1"/>
                <c:pt idx="0">
                  <c:v>Elektrokessel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Erzeugung'!$BD$13:$BI$13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0D-4BCC-BB52-510135275F51}"/>
            </c:ext>
          </c:extLst>
        </c:ser>
        <c:ser>
          <c:idx val="12"/>
          <c:order val="10"/>
          <c:tx>
            <c:strRef>
              <c:f>'Wärme - Erzeugung'!$BB$14</c:f>
              <c:strCache>
                <c:ptCount val="1"/>
                <c:pt idx="0">
                  <c:v>Brennstoffzelle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Erzeugung'!$BD$14:$BI$14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58-4C24-91CF-9F2F4745F074}"/>
            </c:ext>
          </c:extLst>
        </c:ser>
        <c:ser>
          <c:idx val="7"/>
          <c:order val="11"/>
          <c:tx>
            <c:strRef>
              <c:f>'Wärme - Erzeugung'!$BB$15</c:f>
              <c:strCache>
                <c:ptCount val="1"/>
                <c:pt idx="0">
                  <c:v>SOFC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Erzeugung'!$BD$15:$BI$15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0D-4BCC-BB52-510135275F51}"/>
            </c:ext>
          </c:extLst>
        </c:ser>
        <c:ser>
          <c:idx val="8"/>
          <c:order val="12"/>
          <c:tx>
            <c:strRef>
              <c:f>'Wärme - Erzeugung'!$BB$16</c:f>
              <c:strCache>
                <c:ptCount val="1"/>
                <c:pt idx="0">
                  <c:v>Pelletofen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'Wärme - Erzeugung'!$BD$3:$BI$3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f>'Wärme - Erzeugung'!$BD$16:$BI$16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0D-4BCC-BB52-510135275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26080"/>
        <c:axId val="390530176"/>
      </c:areaChart>
      <c:catAx>
        <c:axId val="39012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0530176"/>
        <c:crosses val="autoZero"/>
        <c:auto val="1"/>
        <c:lblAlgn val="ctr"/>
        <c:lblOffset val="100"/>
        <c:noMultiLvlLbl val="0"/>
      </c:catAx>
      <c:valAx>
        <c:axId val="390530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Nahwärmeerzeugung</a:t>
                </a:r>
                <a:r>
                  <a:rPr lang="de-DE" baseline="0"/>
                  <a:t> in </a:t>
                </a:r>
                <a:r>
                  <a:rPr lang="de-DE"/>
                  <a:t>TWh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0126080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8059750775714745"/>
          <c:y val="1.2023384893776207E-2"/>
          <c:w val="0.29795927642762443"/>
          <c:h val="0.8237552756331187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Nahwärmeerzeugung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'Wärme - Erzeugung'!$BJ$3</c:f>
              <c:strCache>
                <c:ptCount val="1"/>
                <c:pt idx="0">
                  <c:v>2050</c:v>
                </c:pt>
              </c:strCache>
            </c:strRef>
          </c:tx>
          <c:dPt>
            <c:idx val="4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9518-40EC-9BA7-849FEE361AB2}"/>
              </c:ext>
            </c:extLst>
          </c:dPt>
          <c:dPt>
            <c:idx val="5"/>
            <c:bubble3D val="0"/>
            <c:spPr>
              <a:solidFill>
                <a:schemeClr val="accent5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14CE-412F-BD74-C0CF07136D62}"/>
              </c:ext>
            </c:extLst>
          </c:dPt>
          <c:cat>
            <c:strRef>
              <c:f>'Wärme - Erzeugung'!$BB$4:$BB$16</c:f>
              <c:strCache>
                <c:ptCount val="13"/>
                <c:pt idx="0">
                  <c:v>Wärmepumpe (LS)</c:v>
                </c:pt>
                <c:pt idx="1">
                  <c:v>Erdwärmepumpe (LS)</c:v>
                </c:pt>
                <c:pt idx="2">
                  <c:v>H2-KWK</c:v>
                </c:pt>
                <c:pt idx="3">
                  <c:v>Gas-KWK</c:v>
                </c:pt>
                <c:pt idx="4">
                  <c:v>Biogas-KWK</c:v>
                </c:pt>
                <c:pt idx="5">
                  <c:v>Holz-KWK (MS)</c:v>
                </c:pt>
                <c:pt idx="6">
                  <c:v>Holz-KWK (SS)</c:v>
                </c:pt>
                <c:pt idx="7">
                  <c:v>Stroh-KWK (MS)</c:v>
                </c:pt>
                <c:pt idx="8">
                  <c:v>Stroh-KWK (SS)</c:v>
                </c:pt>
                <c:pt idx="9">
                  <c:v>Elektrokessel</c:v>
                </c:pt>
                <c:pt idx="10">
                  <c:v>Brennstoffzelle (LS)</c:v>
                </c:pt>
                <c:pt idx="11">
                  <c:v>SOFC (LS)</c:v>
                </c:pt>
                <c:pt idx="12">
                  <c:v>Pelletofen (LS)</c:v>
                </c:pt>
              </c:strCache>
            </c:strRef>
          </c:cat>
          <c:val>
            <c:numRef>
              <c:f>'Wärme - Erzeugung'!$BJ$4:$BJ$16</c:f>
              <c:numCache>
                <c:formatCode>General</c:formatCode>
                <c:ptCount val="13"/>
                <c:pt idx="0">
                  <c:v>0</c:v>
                </c:pt>
                <c:pt idx="1">
                  <c:v>31141.373324814449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8599896914978022"/>
          <c:y val="0.22073982565726516"/>
          <c:w val="0.41400103085021978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89444444444446"/>
          <c:y val="6.1460416666666663E-2"/>
          <c:w val="0.47357847222222216"/>
          <c:h val="0.62354548611111116"/>
        </c:manualLayout>
      </c:layout>
      <c:areaChart>
        <c:grouping val="stacked"/>
        <c:varyColors val="0"/>
        <c:ser>
          <c:idx val="2"/>
          <c:order val="0"/>
          <c:tx>
            <c:strRef>
              <c:f>'Wärme - Erzeugung'!$BO$4</c:f>
              <c:strCache>
                <c:ptCount val="1"/>
                <c:pt idx="0">
                  <c:v>Elektroheizung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Erzeugung'!$BQ$4:$BW$4</c15:sqref>
                  </c15:fullRef>
                </c:ext>
              </c:extLst>
              <c:f>'Wärme - Erzeugung'!$BQ$4:$BV$4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'Wärme - Erzeugung'!$BO$5</c:f>
              <c:strCache>
                <c:ptCount val="1"/>
                <c:pt idx="0">
                  <c:v>Wärmepumpe (SS)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Erzeugung'!$BQ$5:$BW$5</c15:sqref>
                  </c15:fullRef>
                </c:ext>
              </c:extLst>
              <c:f>'Wärme - Erzeugung'!$BQ$5:$BV$5</c:f>
              <c:numCache>
                <c:formatCode>General</c:formatCode>
                <c:ptCount val="6"/>
                <c:pt idx="0">
                  <c:v>39003.377792890147</c:v>
                </c:pt>
                <c:pt idx="1">
                  <c:v>79228.571543350743</c:v>
                </c:pt>
                <c:pt idx="2">
                  <c:v>140469.37658452301</c:v>
                </c:pt>
                <c:pt idx="3">
                  <c:v>265058.20570794918</c:v>
                </c:pt>
                <c:pt idx="4">
                  <c:v>313719.62739979458</c:v>
                </c:pt>
                <c:pt idx="5">
                  <c:v>391306.87304293481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0-49CA-A1EF-C97632E939C4}"/>
            </c:ext>
          </c:extLst>
        </c:ser>
        <c:ser>
          <c:idx val="12"/>
          <c:order val="2"/>
          <c:tx>
            <c:strRef>
              <c:f>'Wärme - Erzeugung'!$BO$6</c:f>
              <c:strCache>
                <c:ptCount val="1"/>
                <c:pt idx="0">
                  <c:v>Erdwärmepumpe (SS)</c:v>
                </c:pt>
              </c:strCache>
            </c:strRef>
          </c:tx>
          <c:spPr>
            <a:ln w="25400">
              <a:noFill/>
            </a:ln>
          </c:spPr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Erzeugung'!$BQ$6:$BW$6</c15:sqref>
                  </c15:fullRef>
                </c:ext>
              </c:extLst>
              <c:f>'Wärme - Erzeugung'!$BQ$6:$BV$6</c:f>
              <c:numCache>
                <c:formatCode>General</c:formatCode>
                <c:ptCount val="6"/>
                <c:pt idx="0">
                  <c:v>0</c:v>
                </c:pt>
                <c:pt idx="1">
                  <c:v>2381.1242053759761</c:v>
                </c:pt>
                <c:pt idx="2">
                  <c:v>18921.824312740031</c:v>
                </c:pt>
                <c:pt idx="3">
                  <c:v>48437.704258238147</c:v>
                </c:pt>
                <c:pt idx="4">
                  <c:v>49316.033358648987</c:v>
                </c:pt>
                <c:pt idx="5">
                  <c:v>94214.187724593954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DA-4A5A-BF89-52D11466EF6E}"/>
            </c:ext>
          </c:extLst>
        </c:ser>
        <c:ser>
          <c:idx val="1"/>
          <c:order val="3"/>
          <c:tx>
            <c:strRef>
              <c:f>'Wärme - Erzeugung'!$BO$7</c:f>
              <c:strCache>
                <c:ptCount val="1"/>
                <c:pt idx="0">
                  <c:v>H2-Brennwertkessel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Erzeugung'!$BQ$7:$BW$7</c15:sqref>
                  </c15:fullRef>
                </c:ext>
              </c:extLst>
              <c:f>'Wärme - Erzeugung'!$BQ$7:$BV$7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0-49CA-A1EF-C97632E939C4}"/>
            </c:ext>
          </c:extLst>
        </c:ser>
        <c:ser>
          <c:idx val="3"/>
          <c:order val="4"/>
          <c:tx>
            <c:strRef>
              <c:f>'Wärme - Erzeugung'!$BO$8</c:f>
              <c:strCache>
                <c:ptCount val="1"/>
                <c:pt idx="0">
                  <c:v>Erdgaskessel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Erzeugung'!$BQ$8:$BW$8</c15:sqref>
                  </c15:fullRef>
                </c:ext>
              </c:extLst>
              <c:f>'Wärme - Erzeugung'!$BQ$8:$BV$8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90-49CA-A1EF-C97632E939C4}"/>
            </c:ext>
          </c:extLst>
        </c:ser>
        <c:ser>
          <c:idx val="4"/>
          <c:order val="5"/>
          <c:tx>
            <c:strRef>
              <c:f>'Wärme - Erzeugung'!$BO$9</c:f>
              <c:strCache>
                <c:ptCount val="1"/>
                <c:pt idx="0">
                  <c:v>Erdgas-Brennwertkessel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Erzeugung'!$BQ$9:$BW$9</c15:sqref>
                  </c15:fullRef>
                </c:ext>
              </c:extLst>
              <c:f>'Wärme - Erzeugung'!$BQ$9:$BV$9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90-49CA-A1EF-C97632E939C4}"/>
            </c:ext>
          </c:extLst>
        </c:ser>
        <c:ser>
          <c:idx val="5"/>
          <c:order val="6"/>
          <c:tx>
            <c:strRef>
              <c:f>'Wärme - Erzeugung'!$BO$10</c:f>
              <c:strCache>
                <c:ptCount val="1"/>
                <c:pt idx="0">
                  <c:v>Pelletofen (SS)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Erzeugung'!$BQ$10:$BW$10</c15:sqref>
                  </c15:fullRef>
                </c:ext>
              </c:extLst>
              <c:f>'Wärme - Erzeugung'!$BQ$10:$BV$10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90-49CA-A1EF-C97632E939C4}"/>
            </c:ext>
          </c:extLst>
        </c:ser>
        <c:ser>
          <c:idx val="6"/>
          <c:order val="7"/>
          <c:tx>
            <c:strRef>
              <c:f>'Wärme - Erzeugung'!$BO$11</c:f>
              <c:strCache>
                <c:ptCount val="1"/>
                <c:pt idx="0">
                  <c:v>Pellet-KWK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Erzeugung'!$BQ$11:$BW$11</c15:sqref>
                  </c15:fullRef>
                </c:ext>
              </c:extLst>
              <c:f>'Wärme - Erzeugung'!$BQ$11:$BV$11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90-49CA-A1EF-C97632E939C4}"/>
            </c:ext>
          </c:extLst>
        </c:ser>
        <c:ser>
          <c:idx val="7"/>
          <c:order val="8"/>
          <c:tx>
            <c:strRef>
              <c:f>'Wärme - Erzeugung'!$BO$12</c:f>
              <c:strCache>
                <c:ptCount val="1"/>
                <c:pt idx="0">
                  <c:v>Holzofen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Erzeugung'!$BQ$12:$BW$12</c15:sqref>
                  </c15:fullRef>
                </c:ext>
              </c:extLst>
              <c:f>'Wärme - Erzeugung'!$BQ$12:$BV$12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90-49CA-A1EF-C97632E939C4}"/>
            </c:ext>
          </c:extLst>
        </c:ser>
        <c:ser>
          <c:idx val="8"/>
          <c:order val="9"/>
          <c:tx>
            <c:strRef>
              <c:f>'Wärme - Erzeugung'!$BO$13</c:f>
              <c:strCache>
                <c:ptCount val="1"/>
                <c:pt idx="0">
                  <c:v>Ölkessel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Erzeugung'!$BQ$13:$BW$13</c15:sqref>
                  </c15:fullRef>
                </c:ext>
              </c:extLst>
              <c:f>'Wärme - Erzeugung'!$BQ$13:$BV$13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90-49CA-A1EF-C97632E939C4}"/>
            </c:ext>
          </c:extLst>
        </c:ser>
        <c:ser>
          <c:idx val="9"/>
          <c:order val="10"/>
          <c:tx>
            <c:strRef>
              <c:f>'Wärme - Erzeugung'!$BO$14</c:f>
              <c:strCache>
                <c:ptCount val="1"/>
                <c:pt idx="0">
                  <c:v>Öl-Brennwertkessel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Erzeugung'!$BQ$14:$BW$14</c15:sqref>
                  </c15:fullRef>
                </c:ext>
              </c:extLst>
              <c:f>'Wärme - Erzeugung'!$BQ$14:$BV$14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90-49CA-A1EF-C97632E939C4}"/>
            </c:ext>
          </c:extLst>
        </c:ser>
        <c:ser>
          <c:idx val="10"/>
          <c:order val="11"/>
          <c:tx>
            <c:strRef>
              <c:f>'Wärme - Erzeugung'!$BO$15</c:f>
              <c:strCache>
                <c:ptCount val="1"/>
                <c:pt idx="0">
                  <c:v>Solarthermie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Erzeugung'!$BQ$15:$BW$15</c15:sqref>
                  </c15:fullRef>
                </c:ext>
              </c:extLst>
              <c:f>'Wärme - Erzeugung'!$BQ$15:$BV$15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90-49CA-A1EF-C97632E939C4}"/>
            </c:ext>
          </c:extLst>
        </c:ser>
        <c:ser>
          <c:idx val="11"/>
          <c:order val="12"/>
          <c:tx>
            <c:strRef>
              <c:f>'Wärme - Erzeugung'!$BO$17</c:f>
              <c:strCache>
                <c:ptCount val="1"/>
                <c:pt idx="0">
                  <c:v>SOFC (SS)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'Wärme - Erzeugung'!$BQ$3:$BW$3</c15:sqref>
                  </c15:fullRef>
                </c:ext>
              </c:extLst>
              <c:f>'Wärme - Erzeugung'!$BQ$3:$BV$3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Erzeugung'!$BQ$17:$BW$17</c15:sqref>
                  </c15:fullRef>
                </c:ext>
              </c:extLst>
              <c:f>'Wärme - Erzeugung'!$BQ$17:$BV$17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90-49CA-A1EF-C97632E939C4}"/>
            </c:ext>
          </c:extLst>
        </c:ser>
        <c:ser>
          <c:idx val="13"/>
          <c:order val="13"/>
          <c:tx>
            <c:strRef>
              <c:f>'Wärme - Erzeugung'!$BO$16</c:f>
              <c:strCache>
                <c:ptCount val="1"/>
                <c:pt idx="0">
                  <c:v>Brennstoffzelle (SS)</c:v>
                </c:pt>
              </c:strCache>
            </c:strRef>
          </c:tx>
          <c:spPr>
            <a:ln w="25400">
              <a:noFill/>
            </a:ln>
          </c:spPr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'Wärme - Erzeugung'!$BQ$16:$BW$16</c15:sqref>
                  </c15:fullRef>
                </c:ext>
              </c:extLst>
              <c:f>'Wärme - Erzeugung'!$BQ$16:$BV$16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65-4BC2-AC05-F460E8D79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734336"/>
        <c:axId val="390534784"/>
      </c:areaChart>
      <c:catAx>
        <c:axId val="39073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0534784"/>
        <c:crosses val="autoZero"/>
        <c:auto val="1"/>
        <c:lblAlgn val="ctr"/>
        <c:lblOffset val="100"/>
        <c:noMultiLvlLbl val="0"/>
      </c:catAx>
      <c:valAx>
        <c:axId val="390534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Dezentrale Wärmeerzeugung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0734336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2412541666666665"/>
          <c:y val="1.2023384893776207E-2"/>
          <c:w val="0.27474362223725374"/>
          <c:h val="0.8226060727408653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Dezentrale Wärmeerzeugung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layout>
        <c:manualLayout>
          <c:xMode val="edge"/>
          <c:yMode val="edge"/>
          <c:x val="2.3071454153771189E-4"/>
          <c:y val="2.65167991926643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1.9142678448289686E-2"/>
          <c:y val="0.25102569902388949"/>
          <c:w val="0.46656311940004402"/>
          <c:h val="0.70036016912289245"/>
        </c:manualLayout>
      </c:layout>
      <c:pieChart>
        <c:varyColors val="1"/>
        <c:ser>
          <c:idx val="0"/>
          <c:order val="0"/>
          <c:tx>
            <c:strRef>
              <c:f>'Wärme - Erzeugung'!$BW$3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'Wärme - Erzeugung'!$BO$4:$BO$17</c:f>
              <c:strCache>
                <c:ptCount val="14"/>
                <c:pt idx="0">
                  <c:v>Elektroheizung</c:v>
                </c:pt>
                <c:pt idx="1">
                  <c:v>Wärmepumpe (SS)</c:v>
                </c:pt>
                <c:pt idx="2">
                  <c:v>Erdwärmepumpe (SS)</c:v>
                </c:pt>
                <c:pt idx="3">
                  <c:v>H2-Brennwertkessel</c:v>
                </c:pt>
                <c:pt idx="4">
                  <c:v>Erdgaskessel</c:v>
                </c:pt>
                <c:pt idx="5">
                  <c:v>Erdgas-Brennwertkessel</c:v>
                </c:pt>
                <c:pt idx="6">
                  <c:v>Pelletofen (SS)</c:v>
                </c:pt>
                <c:pt idx="7">
                  <c:v>Pellet-KWK</c:v>
                </c:pt>
                <c:pt idx="8">
                  <c:v>Holzofen</c:v>
                </c:pt>
                <c:pt idx="9">
                  <c:v>Ölkessel</c:v>
                </c:pt>
                <c:pt idx="10">
                  <c:v>Öl-Brennwertkessel</c:v>
                </c:pt>
                <c:pt idx="11">
                  <c:v>Solarthermie</c:v>
                </c:pt>
                <c:pt idx="12">
                  <c:v>Brennstoffzelle (SS)</c:v>
                </c:pt>
                <c:pt idx="13">
                  <c:v>SOFC (SS)</c:v>
                </c:pt>
              </c:strCache>
            </c:strRef>
          </c:cat>
          <c:val>
            <c:numRef>
              <c:f>'Wärme - Erzeugung'!$BW$4:$BW$17</c:f>
              <c:numCache>
                <c:formatCode>General</c:formatCode>
                <c:ptCount val="14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0-4C47-8CA5-EA2FE07E8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5802096530194431"/>
          <c:y val="0.13235049501505053"/>
          <c:w val="0.52506117997979374"/>
          <c:h val="0.8676495049849494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de-DE"/>
              <a:t>ohne Nicht-CO2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28338066709508"/>
          <c:y val="0.18930212280294961"/>
          <c:w val="0.48881631944444437"/>
          <c:h val="0.49570378505665574"/>
        </c:manualLayout>
      </c:layout>
      <c:areaChart>
        <c:grouping val="stacked"/>
        <c:varyColors val="0"/>
        <c:ser>
          <c:idx val="1"/>
          <c:order val="0"/>
          <c:tx>
            <c:strRef>
              <c:f>'[1]Wärme - Erzeugung'!$AN$4</c:f>
              <c:strCache>
                <c:ptCount val="1"/>
                <c:pt idx="0">
                  <c:v>Coal CHP</c:v>
                </c:pt>
              </c:strCache>
            </c:strRef>
          </c:tx>
          <c:spPr>
            <a:ln w="25400">
              <a:noFill/>
            </a:ln>
          </c:spPr>
          <c:cat>
            <c:numRef>
              <c:f>'[1]Wärme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'[1]Wärme - Erzeugung'!$AQ$4:$AW$4</c:f>
              <c:numCache>
                <c:formatCode>General</c:formatCode>
                <c:ptCount val="7"/>
                <c:pt idx="0">
                  <c:v>53663.55498773171</c:v>
                </c:pt>
                <c:pt idx="1">
                  <c:v>1730.6795687777569</c:v>
                </c:pt>
                <c:pt idx="2">
                  <c:v>2447.2634478580799</c:v>
                </c:pt>
                <c:pt idx="3">
                  <c:v>40.250165005471949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0-4434-ACE4-A158C898E66C}"/>
            </c:ext>
          </c:extLst>
        </c:ser>
        <c:ser>
          <c:idx val="0"/>
          <c:order val="1"/>
          <c:tx>
            <c:strRef>
              <c:f>'[1]Wärme - Erzeugung'!$AN$5</c:f>
              <c:strCache>
                <c:ptCount val="1"/>
                <c:pt idx="0">
                  <c:v>Lignite CHP</c:v>
                </c:pt>
              </c:strCache>
            </c:strRef>
          </c:tx>
          <c:spPr>
            <a:ln w="25400">
              <a:noFill/>
            </a:ln>
          </c:spPr>
          <c:cat>
            <c:numRef>
              <c:f>'[1]Wärme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'[1]Wärme - Erzeugung'!$AQ$5:$AW$5</c:f>
              <c:numCache>
                <c:formatCode>General</c:formatCode>
                <c:ptCount val="7"/>
                <c:pt idx="0">
                  <c:v>160002.498785295</c:v>
                </c:pt>
                <c:pt idx="1">
                  <c:v>30109.532657216761</c:v>
                </c:pt>
                <c:pt idx="2">
                  <c:v>537.77262189892679</c:v>
                </c:pt>
                <c:pt idx="3">
                  <c:v>219.02263452104279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0-4434-ACE4-A158C898E66C}"/>
            </c:ext>
          </c:extLst>
        </c:ser>
        <c:ser>
          <c:idx val="2"/>
          <c:order val="2"/>
          <c:tx>
            <c:strRef>
              <c:f>'[1]Wärme - Erzeugung'!$AN$6</c:f>
              <c:strCache>
                <c:ptCount val="1"/>
                <c:pt idx="0">
                  <c:v>Gas CHP</c:v>
                </c:pt>
              </c:strCache>
            </c:strRef>
          </c:tx>
          <c:spPr>
            <a:ln w="25400">
              <a:noFill/>
            </a:ln>
          </c:spPr>
          <c:cat>
            <c:numRef>
              <c:f>'[1]Wärme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'[1]Wärme - Erzeugung'!$AQ$6:$AW$6</c:f>
              <c:numCache>
                <c:formatCode>General</c:formatCode>
                <c:ptCount val="7"/>
                <c:pt idx="0">
                  <c:v>153.50784878667909</c:v>
                </c:pt>
                <c:pt idx="1">
                  <c:v>508.45043268486199</c:v>
                </c:pt>
                <c:pt idx="2">
                  <c:v>1121.9396760562381</c:v>
                </c:pt>
                <c:pt idx="3">
                  <c:v>191.16452516159259</c:v>
                </c:pt>
                <c:pt idx="4">
                  <c:v>123.8470464300258</c:v>
                </c:pt>
                <c:pt idx="5">
                  <c:v>73.365840112087525</c:v>
                </c:pt>
                <c:pt idx="6">
                  <c:v>0.25819777447339759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0-4434-ACE4-A158C898E66C}"/>
            </c:ext>
          </c:extLst>
        </c:ser>
        <c:ser>
          <c:idx val="3"/>
          <c:order val="3"/>
          <c:tx>
            <c:strRef>
              <c:f>'[1]Wärme - Erzeugung'!$AN$7</c:f>
              <c:strCache>
                <c:ptCount val="1"/>
                <c:pt idx="0">
                  <c:v>CC CHP</c:v>
                </c:pt>
              </c:strCache>
            </c:strRef>
          </c:tx>
          <c:spPr>
            <a:ln w="25400">
              <a:noFill/>
            </a:ln>
          </c:spPr>
          <c:cat>
            <c:numRef>
              <c:f>'[1]Wärme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'[1]Wärme - Erzeugung'!$AQ$7:$AW$7</c:f>
              <c:numCache>
                <c:formatCode>General</c:formatCode>
                <c:ptCount val="7"/>
                <c:pt idx="0">
                  <c:v>4484.651152245423</c:v>
                </c:pt>
                <c:pt idx="1">
                  <c:v>39174.12044805372</c:v>
                </c:pt>
                <c:pt idx="2">
                  <c:v>29915.079362032899</c:v>
                </c:pt>
                <c:pt idx="3">
                  <c:v>17152.261328603181</c:v>
                </c:pt>
                <c:pt idx="4">
                  <c:v>9194.8489360522817</c:v>
                </c:pt>
                <c:pt idx="5">
                  <c:v>4790.6133249560999</c:v>
                </c:pt>
                <c:pt idx="6">
                  <c:v>1717.38994920859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0-4434-ACE4-A158C898E66C}"/>
            </c:ext>
          </c:extLst>
        </c:ser>
        <c:ser>
          <c:idx val="4"/>
          <c:order val="4"/>
          <c:tx>
            <c:strRef>
              <c:f>'[1]Wärme - Erzeugung'!$AN$8</c:f>
              <c:strCache>
                <c:ptCount val="1"/>
                <c:pt idx="0">
                  <c:v>Straw CHP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'[1]Wärme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'[1]Wärme - Erzeugung'!$AQ$8:$AW$8</c:f>
              <c:numCache>
                <c:formatCode>General</c:formatCode>
                <c:ptCount val="7"/>
                <c:pt idx="0">
                  <c:v>0</c:v>
                </c:pt>
                <c:pt idx="1">
                  <c:v>1.1028413824806309</c:v>
                </c:pt>
                <c:pt idx="2">
                  <c:v>1.389221858751847</c:v>
                </c:pt>
                <c:pt idx="3">
                  <c:v>1.542612784502553</c:v>
                </c:pt>
                <c:pt idx="4">
                  <c:v>0.29441925967879901</c:v>
                </c:pt>
                <c:pt idx="5">
                  <c:v>2.123574995807175</c:v>
                </c:pt>
                <c:pt idx="6">
                  <c:v>2.3962278060069102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20-4434-ACE4-A158C898E66C}"/>
            </c:ext>
          </c:extLst>
        </c:ser>
        <c:ser>
          <c:idx val="6"/>
          <c:order val="5"/>
          <c:tx>
            <c:strRef>
              <c:f>'[1]Wärme - Erzeugung'!$AN$9</c:f>
              <c:strCache>
                <c:ptCount val="1"/>
                <c:pt idx="0">
                  <c:v>Wood CHP (LS)</c:v>
                </c:pt>
              </c:strCache>
            </c:strRef>
          </c:tx>
          <c:spPr>
            <a:ln w="25400">
              <a:noFill/>
            </a:ln>
          </c:spPr>
          <c:cat>
            <c:numRef>
              <c:f>'[1]Wärme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'[1]Wärme - Erzeugung'!$AQ$9:$AW$9</c:f>
              <c:numCache>
                <c:formatCode>General</c:formatCode>
                <c:ptCount val="7"/>
                <c:pt idx="0">
                  <c:v>0</c:v>
                </c:pt>
                <c:pt idx="1">
                  <c:v>130.59986706083279</c:v>
                </c:pt>
                <c:pt idx="2">
                  <c:v>59741.729941994032</c:v>
                </c:pt>
                <c:pt idx="3">
                  <c:v>74368.750693766488</c:v>
                </c:pt>
                <c:pt idx="4">
                  <c:v>66856.398031898163</c:v>
                </c:pt>
                <c:pt idx="5">
                  <c:v>47324.311196792572</c:v>
                </c:pt>
                <c:pt idx="6">
                  <c:v>20411.458848671951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20-4434-ACE4-A158C898E66C}"/>
            </c:ext>
          </c:extLst>
        </c:ser>
        <c:ser>
          <c:idx val="8"/>
          <c:order val="6"/>
          <c:tx>
            <c:strRef>
              <c:f>'[1]Wärme - Erzeugung'!$AN$10</c:f>
              <c:strCache>
                <c:ptCount val="1"/>
                <c:pt idx="0">
                  <c:v>WasteCHP</c:v>
                </c:pt>
              </c:strCache>
            </c:strRef>
          </c:tx>
          <c:spPr>
            <a:ln w="25400">
              <a:noFill/>
            </a:ln>
          </c:spPr>
          <c:cat>
            <c:numRef>
              <c:f>'[1]Wärme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'[1]Wärme - Erzeugung'!$AQ$10:$AW$10</c:f>
              <c:numCache>
                <c:formatCode>General</c:formatCode>
                <c:ptCount val="7"/>
                <c:pt idx="0">
                  <c:v>310.29336957306077</c:v>
                </c:pt>
                <c:pt idx="1">
                  <c:v>16.590111529622408</c:v>
                </c:pt>
                <c:pt idx="2">
                  <c:v>1.036205066429067</c:v>
                </c:pt>
                <c:pt idx="3">
                  <c:v>1.0397072791293001</c:v>
                </c:pt>
                <c:pt idx="4">
                  <c:v>26.15089777573597</c:v>
                </c:pt>
                <c:pt idx="5">
                  <c:v>479.6069948843151</c:v>
                </c:pt>
                <c:pt idx="6">
                  <c:v>1635.3455922613371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20-4434-ACE4-A158C898E66C}"/>
            </c:ext>
          </c:extLst>
        </c:ser>
        <c:ser>
          <c:idx val="9"/>
          <c:order val="7"/>
          <c:tx>
            <c:strRef>
              <c:f>'[1]Wärme - Erzeugung'!$AN$11</c:f>
              <c:strCache>
                <c:ptCount val="1"/>
                <c:pt idx="0">
                  <c:v>H2GT</c:v>
                </c:pt>
              </c:strCache>
            </c:strRef>
          </c:tx>
          <c:spPr>
            <a:ln w="25400">
              <a:noFill/>
            </a:ln>
          </c:spPr>
          <c:cat>
            <c:numRef>
              <c:f>'[1]Wärme - Erzeugung'!$AQ$3:$AW$3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'[1]Wärme - Erzeugung'!$AQ$11:$AW$11</c:f>
              <c:numCache>
                <c:formatCode>General</c:formatCode>
                <c:ptCount val="7"/>
                <c:pt idx="0">
                  <c:v>0</c:v>
                </c:pt>
                <c:pt idx="1">
                  <c:v>0.57111946229549171</c:v>
                </c:pt>
                <c:pt idx="2">
                  <c:v>94.519906301534107</c:v>
                </c:pt>
                <c:pt idx="3">
                  <c:v>415.02237033915702</c:v>
                </c:pt>
                <c:pt idx="4">
                  <c:v>984.2819474055043</c:v>
                </c:pt>
                <c:pt idx="5">
                  <c:v>1035.7988327800231</c:v>
                </c:pt>
                <c:pt idx="6">
                  <c:v>1640.546671388006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20-4434-ACE4-A158C898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475072"/>
        <c:axId val="387742464"/>
      </c:areaChart>
      <c:catAx>
        <c:axId val="38547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7742464"/>
        <c:crosses val="autoZero"/>
        <c:auto val="1"/>
        <c:lblAlgn val="ctr"/>
        <c:lblOffset val="100"/>
        <c:noMultiLvlLbl val="0"/>
      </c:catAx>
      <c:valAx>
        <c:axId val="387742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District heating technologies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5475072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8065572916666661"/>
          <c:y val="0"/>
          <c:w val="0.31934427083333333"/>
          <c:h val="0.9847948875805319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26336805555555"/>
          <c:y val="6.1460416666666663E-2"/>
          <c:w val="0.57275364583333332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'Wärme - Speicher'!$C$4</c:f>
              <c:strCache>
                <c:ptCount val="1"/>
                <c:pt idx="0">
                  <c:v>large</c:v>
                </c:pt>
              </c:strCache>
            </c:strRef>
          </c:tx>
          <c:invertIfNegative val="0"/>
          <c:cat>
            <c:strRef>
              <c:f>'Wärme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Speicher'!$F$4:$L$4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4953.4753436627916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6-4157-AEAA-9497CCEF3568}"/>
            </c:ext>
          </c:extLst>
        </c:ser>
        <c:ser>
          <c:idx val="1"/>
          <c:order val="1"/>
          <c:tx>
            <c:strRef>
              <c:f>'Wärme - Speicher'!$C$5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'Wärme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Speicher'!$F$5:$L$5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299.49986528517093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6-4157-AEAA-9497CCEF3568}"/>
            </c:ext>
          </c:extLst>
        </c:ser>
        <c:ser>
          <c:idx val="2"/>
          <c:order val="2"/>
          <c:tx>
            <c:strRef>
              <c:f>'Wärme - Speicher'!$C$6</c:f>
              <c:strCache>
                <c:ptCount val="1"/>
                <c:pt idx="0">
                  <c:v>small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'Wärme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Speicher'!$F$6:$L$6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198.6012058651018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C6-4157-AEAA-9497CCEF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487488"/>
        <c:axId val="388126336"/>
      </c:barChart>
      <c:catAx>
        <c:axId val="39148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8126336"/>
        <c:crosses val="autoZero"/>
        <c:auto val="1"/>
        <c:lblAlgn val="ctr"/>
        <c:lblOffset val="100"/>
        <c:noMultiLvlLbl val="0"/>
      </c:catAx>
      <c:valAx>
        <c:axId val="388126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heat storage capacities in GWh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48748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6015533007641234"/>
          <c:y val="0.24183576388888889"/>
          <c:w val="0.18625599701791995"/>
          <c:h val="0.3134812499999999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Installed heating storage capacities</a:t>
            </a:r>
            <a:r>
              <a:rPr lang="de-DE" sz="1600" baseline="0"/>
              <a:t> </a:t>
            </a:r>
            <a:r>
              <a:rPr lang="de-DE" sz="1600"/>
              <a:t>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DBA0-4DA4-978E-15C6107E9C2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DBA0-4DA4-978E-15C6107E9C29}"/>
              </c:ext>
            </c:extLst>
          </c:dPt>
          <c:cat>
            <c:strRef>
              <c:f>'Wärme - Speicher'!$C$4:$C$6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'Wärme - Speicher'!$L$4:$L$6</c:f>
              <c:numCache>
                <c:formatCode>General</c:formatCode>
                <c:ptCount val="3"/>
                <c:pt idx="0">
                  <c:v>4953.4753436627916</c:v>
                </c:pt>
                <c:pt idx="1">
                  <c:v>299.49986528517093</c:v>
                </c:pt>
                <c:pt idx="2">
                  <c:v>198.6012058651018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4-477F-97EB-0CDA9A682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211430771871709"/>
          <c:y val="6.1460416666666663E-2"/>
          <c:w val="0.52090265889088394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'Wärme - Speicher'!$D$4</c:f>
              <c:strCache>
                <c:ptCount val="1"/>
                <c:pt idx="0">
                  <c:v>groß</c:v>
                </c:pt>
              </c:strCache>
            </c:strRef>
          </c:tx>
          <c:invertIfNegative val="0"/>
          <c:cat>
            <c:strRef>
              <c:f>'Wärme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Speicher'!$F$4:$L$4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4953.4753436627916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6-4157-AEAA-9497CCEF3568}"/>
            </c:ext>
          </c:extLst>
        </c:ser>
        <c:ser>
          <c:idx val="1"/>
          <c:order val="1"/>
          <c:tx>
            <c:strRef>
              <c:f>'Wärme - Speicher'!$D$5</c:f>
              <c:strCache>
                <c:ptCount val="1"/>
                <c:pt idx="0">
                  <c:v>mittel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'Wärme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Speicher'!$F$5:$L$5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299.49986528517093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6-4157-AEAA-9497CCEF3568}"/>
            </c:ext>
          </c:extLst>
        </c:ser>
        <c:ser>
          <c:idx val="2"/>
          <c:order val="2"/>
          <c:tx>
            <c:strRef>
              <c:f>'Wärme - Speicher'!$D$6</c:f>
              <c:strCache>
                <c:ptCount val="1"/>
                <c:pt idx="0">
                  <c:v>klein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'Wärme - Speicher'!$F$3:$L$3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'Wärme - Speicher'!$F$6:$L$6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198.6012058651018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C6-4157-AEAA-9497CCEF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489536"/>
        <c:axId val="391832704"/>
      </c:barChart>
      <c:catAx>
        <c:axId val="39148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832704"/>
        <c:crosses val="autoZero"/>
        <c:auto val="1"/>
        <c:lblAlgn val="ctr"/>
        <c:lblOffset val="100"/>
        <c:noMultiLvlLbl val="0"/>
      </c:catAx>
      <c:valAx>
        <c:axId val="391832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Installierte Wärmespeicherkapazität</a:t>
                </a:r>
                <a:r>
                  <a:rPr lang="de-DE" baseline="0"/>
                  <a:t> </a:t>
                </a:r>
                <a:r>
                  <a:rPr lang="de-DE"/>
                  <a:t>in GWh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48953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6486909722222218"/>
          <c:y val="0.24183576388888889"/>
          <c:w val="0.1422046006901258"/>
          <c:h val="0.3134812499999999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Installierte Wärmespeicherkapazität</a:t>
            </a:r>
            <a:r>
              <a:rPr lang="de-DE" sz="1600" baseline="0"/>
              <a:t> </a:t>
            </a:r>
            <a:r>
              <a:rPr lang="de-DE" sz="1600"/>
              <a:t>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DBA0-4DA4-978E-15C6107E9C2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DBA0-4DA4-978E-15C6107E9C29}"/>
              </c:ext>
            </c:extLst>
          </c:dPt>
          <c:cat>
            <c:strRef>
              <c:f>'Wärme - Speicher'!$D$4:$D$6</c:f>
              <c:strCache>
                <c:ptCount val="3"/>
                <c:pt idx="0">
                  <c:v>groß</c:v>
                </c:pt>
                <c:pt idx="1">
                  <c:v>mittel</c:v>
                </c:pt>
                <c:pt idx="2">
                  <c:v>klein</c:v>
                </c:pt>
              </c:strCache>
            </c:strRef>
          </c:cat>
          <c:val>
            <c:numRef>
              <c:f>'Wärme - Speicher'!$L$4:$L$6</c:f>
              <c:numCache>
                <c:formatCode>General</c:formatCode>
                <c:ptCount val="3"/>
                <c:pt idx="0">
                  <c:v>4953.4753436627916</c:v>
                </c:pt>
                <c:pt idx="1">
                  <c:v>299.49986528517093</c:v>
                </c:pt>
                <c:pt idx="2">
                  <c:v>198.6012058651018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4-477F-97EB-0CDA9A682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197916666666"/>
          <c:y val="6.1460416666666663E-2"/>
          <c:w val="0.57275364583333332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'Prozesswärme - Energieträger'!$B$4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4109.833456740821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A-4CCA-BB79-790E88D205B0}"/>
            </c:ext>
          </c:extLst>
        </c:ser>
        <c:ser>
          <c:idx val="1"/>
          <c:order val="1"/>
          <c:tx>
            <c:strRef>
              <c:f>'Prozesswärme - Energieträger'!$B$5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5.7688479513029342E-2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2-48D8-A40F-D74783938194}"/>
            </c:ext>
          </c:extLst>
        </c:ser>
        <c:ser>
          <c:idx val="2"/>
          <c:order val="2"/>
          <c:tx>
            <c:strRef>
              <c:f>'Prozesswärme - Energieträger'!$B$6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2-48D8-A40F-D74783938194}"/>
            </c:ext>
          </c:extLst>
        </c:ser>
        <c:ser>
          <c:idx val="3"/>
          <c:order val="3"/>
          <c:tx>
            <c:strRef>
              <c:f>'Prozesswärme - Energieträger'!$B$7</c:f>
              <c:strCache>
                <c:ptCount val="1"/>
                <c:pt idx="0">
                  <c:v>Mineral oil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7.1628765503316594E-2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F2-48D8-A40F-D74783938194}"/>
            </c:ext>
          </c:extLst>
        </c:ser>
        <c:ser>
          <c:idx val="4"/>
          <c:order val="4"/>
          <c:tx>
            <c:strRef>
              <c:f>'Prozesswärme - Energieträger'!$B$8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Energieträger'!$E$8:$K$8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52016.816744138632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F2-48D8-A40F-D74783938194}"/>
            </c:ext>
          </c:extLst>
        </c:ser>
        <c:ser>
          <c:idx val="5"/>
          <c:order val="5"/>
          <c:tx>
            <c:strRef>
              <c:f>'Prozesswärme - Energieträger'!$B$9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Energieträger'!$E$9:$K$9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67641.198903670112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F2-48D8-A40F-D74783938194}"/>
            </c:ext>
          </c:extLst>
        </c:ser>
        <c:ser>
          <c:idx val="6"/>
          <c:order val="6"/>
          <c:tx>
            <c:strRef>
              <c:f>'Prozesswärme - Energieträger'!$B$10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Energieträger'!$E$10:$K$10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42004.809956538964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F2-48D8-A40F-D74783938194}"/>
            </c:ext>
          </c:extLst>
        </c:ser>
        <c:ser>
          <c:idx val="7"/>
          <c:order val="7"/>
          <c:tx>
            <c:strRef>
              <c:f>'Prozesswärme - Energieträger'!$B$11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195288.47184591831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F2-48D8-A40F-D74783938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439808"/>
        <c:axId val="396146304"/>
      </c:barChart>
      <c:catAx>
        <c:axId val="39243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6146304"/>
        <c:crosses val="autoZero"/>
        <c:auto val="1"/>
        <c:lblAlgn val="ctr"/>
        <c:lblOffset val="100"/>
        <c:noMultiLvlLbl val="0"/>
      </c:catAx>
      <c:valAx>
        <c:axId val="396146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 carrier for</a:t>
                </a:r>
                <a:r>
                  <a:rPr lang="de-DE" baseline="0"/>
                  <a:t> process</a:t>
                </a:r>
                <a:r>
                  <a:rPr lang="de-DE"/>
                  <a:t> heat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43980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935322916666665"/>
          <c:y val="1.1190187627005785E-3"/>
          <c:w val="0.18293553456047149"/>
          <c:h val="0.8350294380327243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Energy carrier for industrial</a:t>
            </a:r>
            <a:r>
              <a:rPr lang="de-DE" sz="1600" baseline="0"/>
              <a:t> </a:t>
            </a:r>
            <a:r>
              <a:rPr lang="de-DE" sz="1600"/>
              <a:t>process heating 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Energieträger'!$K$3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C585-4F80-8687-13AF2521F31F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C585-4F80-8687-13AF2521F31F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C585-4F80-8687-13AF2521F31F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3-C585-4F80-8687-13AF2521F31F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C585-4F80-8687-13AF2521F31F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C585-4F80-8687-13AF2521F31F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6-C585-4F80-8687-13AF2521F31F}"/>
              </c:ext>
            </c:extLst>
          </c:dPt>
          <c:dPt>
            <c:idx val="7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C585-4F80-8687-13AF2521F31F}"/>
              </c:ext>
            </c:extLst>
          </c:dPt>
          <c:cat>
            <c:strRef>
              <c:f>'Prozesswärme - Energieträger'!$B$4:$B$11</c:f>
              <c:strCache>
                <c:ptCount val="8"/>
                <c:pt idx="0">
                  <c:v>Natural gas</c:v>
                </c:pt>
                <c:pt idx="1">
                  <c:v>Coal</c:v>
                </c:pt>
                <c:pt idx="2">
                  <c:v>Lignite</c:v>
                </c:pt>
                <c:pt idx="3">
                  <c:v>Mineral oil</c:v>
                </c:pt>
                <c:pt idx="4">
                  <c:v>Hydrogen</c:v>
                </c:pt>
                <c:pt idx="5">
                  <c:v>Electricity</c:v>
                </c:pt>
                <c:pt idx="6">
                  <c:v>Waste</c:v>
                </c:pt>
                <c:pt idx="7">
                  <c:v>Biomass</c:v>
                </c:pt>
              </c:strCache>
            </c:strRef>
          </c:cat>
          <c:val>
            <c:numRef>
              <c:f>'Prozesswärme - Energieträger'!$K$4:$K$11</c:f>
              <c:numCache>
                <c:formatCode>General</c:formatCode>
                <c:ptCount val="8"/>
                <c:pt idx="0">
                  <c:v>4109.833456740821</c:v>
                </c:pt>
                <c:pt idx="1">
                  <c:v>5.7688479513029342E-2</c:v>
                </c:pt>
                <c:pt idx="2">
                  <c:v>0</c:v>
                </c:pt>
                <c:pt idx="3">
                  <c:v>7.1628765503316594E-2</c:v>
                </c:pt>
                <c:pt idx="4">
                  <c:v>52016.816744138632</c:v>
                </c:pt>
                <c:pt idx="5">
                  <c:v>67641.198903670112</c:v>
                </c:pt>
                <c:pt idx="6">
                  <c:v>42004.809956538964</c:v>
                </c:pt>
                <c:pt idx="7">
                  <c:v>195288.47184591831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8-4769-B478-4B8E56F2B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1614756128508863"/>
          <c:y val="0.16903057905009758"/>
          <c:w val="0.36753581978651612"/>
          <c:h val="0.8055334830525375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197916666666"/>
          <c:y val="6.1460416666666663E-2"/>
          <c:w val="0.57275364583333332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'Prozesswärme - Energieträger'!$C$4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4109.833456740821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A-4CCA-BB79-790E88D205B0}"/>
            </c:ext>
          </c:extLst>
        </c:ser>
        <c:ser>
          <c:idx val="1"/>
          <c:order val="1"/>
          <c:tx>
            <c:strRef>
              <c:f>'Prozesswärme - Energieträger'!$C$5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5.7688479513029342E-2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2-48D8-A40F-D74783938194}"/>
            </c:ext>
          </c:extLst>
        </c:ser>
        <c:ser>
          <c:idx val="2"/>
          <c:order val="2"/>
          <c:tx>
            <c:strRef>
              <c:f>'Prozesswärme - Energieträger'!$C$6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2-48D8-A40F-D74783938194}"/>
            </c:ext>
          </c:extLst>
        </c:ser>
        <c:ser>
          <c:idx val="3"/>
          <c:order val="3"/>
          <c:tx>
            <c:strRef>
              <c:f>'Prozesswärme - Energieträger'!$C$7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7.1628765503316594E-2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F2-48D8-A40F-D74783938194}"/>
            </c:ext>
          </c:extLst>
        </c:ser>
        <c:ser>
          <c:idx val="4"/>
          <c:order val="4"/>
          <c:tx>
            <c:strRef>
              <c:f>'Prozesswärme - Energieträger'!$C$8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Energieträger'!$E$8:$K$8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52016.816744138632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F2-48D8-A40F-D74783938194}"/>
            </c:ext>
          </c:extLst>
        </c:ser>
        <c:ser>
          <c:idx val="5"/>
          <c:order val="5"/>
          <c:tx>
            <c:strRef>
              <c:f>'Prozesswärme - Energieträger'!$C$9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Energieträger'!$E$9:$K$9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67641.198903670112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F2-48D8-A40F-D74783938194}"/>
            </c:ext>
          </c:extLst>
        </c:ser>
        <c:ser>
          <c:idx val="6"/>
          <c:order val="6"/>
          <c:tx>
            <c:strRef>
              <c:f>'Prozesswärme - Energieträger'!$C$10</c:f>
              <c:strCache>
                <c:ptCount val="1"/>
                <c:pt idx="0">
                  <c:v>Abfall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Energieträger'!$E$10:$K$10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42004.809956538964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F2-48D8-A40F-D74783938194}"/>
            </c:ext>
          </c:extLst>
        </c:ser>
        <c:ser>
          <c:idx val="7"/>
          <c:order val="7"/>
          <c:tx>
            <c:strRef>
              <c:f>'Prozesswärme - Energieträger'!$C$11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'Prozesswärme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'Prozesswärme - Energieträger'!$E$11:$K$11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195288.47184591831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F2-48D8-A40F-D74783938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524288"/>
        <c:axId val="392578176"/>
      </c:barChart>
      <c:catAx>
        <c:axId val="392524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578176"/>
        <c:crosses val="autoZero"/>
        <c:auto val="1"/>
        <c:lblAlgn val="ctr"/>
        <c:lblOffset val="100"/>
        <c:noMultiLvlLbl val="0"/>
      </c:catAx>
      <c:valAx>
        <c:axId val="392578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Energieträger zur Prozesswärmeerzeugung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52428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935322916666665"/>
          <c:y val="1.1190187627005785E-3"/>
          <c:w val="0.16735498299882981"/>
          <c:h val="0.8350294380327243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Energieträger zur industriellen  Prozesswärmeerzeugung in 2050</a:t>
            </a:r>
          </a:p>
        </c:rich>
      </c:tx>
      <c:layout>
        <c:manualLayout>
          <c:xMode val="edge"/>
          <c:yMode val="edge"/>
          <c:x val="2.9596796180620763E-2"/>
          <c:y val="0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Energieträger'!$K$3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C585-4F80-8687-13AF2521F31F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C585-4F80-8687-13AF2521F31F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C585-4F80-8687-13AF2521F31F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3-C585-4F80-8687-13AF2521F31F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C585-4F80-8687-13AF2521F31F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C585-4F80-8687-13AF2521F31F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6-C585-4F80-8687-13AF2521F31F}"/>
              </c:ext>
            </c:extLst>
          </c:dPt>
          <c:dPt>
            <c:idx val="7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C585-4F80-8687-13AF2521F31F}"/>
              </c:ext>
            </c:extLst>
          </c:dPt>
          <c:cat>
            <c:strRef>
              <c:f>'Prozesswärme - Energieträger'!$C$4:$C$11</c:f>
              <c:strCache>
                <c:ptCount val="8"/>
                <c:pt idx="0">
                  <c:v>Erdgas</c:v>
                </c:pt>
                <c:pt idx="1">
                  <c:v>Steinkohle</c:v>
                </c:pt>
                <c:pt idx="2">
                  <c:v>Braunkohle</c:v>
                </c:pt>
                <c:pt idx="3">
                  <c:v>Erdöl</c:v>
                </c:pt>
                <c:pt idx="4">
                  <c:v>Wasserstoff</c:v>
                </c:pt>
                <c:pt idx="5">
                  <c:v>Elektrizität</c:v>
                </c:pt>
                <c:pt idx="6">
                  <c:v>Abfall</c:v>
                </c:pt>
                <c:pt idx="7">
                  <c:v>Biomasse</c:v>
                </c:pt>
              </c:strCache>
            </c:strRef>
          </c:cat>
          <c:val>
            <c:numRef>
              <c:f>'Prozesswärme - Energieträger'!$K$4:$K$11</c:f>
              <c:numCache>
                <c:formatCode>General</c:formatCode>
                <c:ptCount val="8"/>
                <c:pt idx="0">
                  <c:v>4109.833456740821</c:v>
                </c:pt>
                <c:pt idx="1">
                  <c:v>5.7688479513029342E-2</c:v>
                </c:pt>
                <c:pt idx="2">
                  <c:v>0</c:v>
                </c:pt>
                <c:pt idx="3">
                  <c:v>7.1628765503316594E-2</c:v>
                </c:pt>
                <c:pt idx="4">
                  <c:v>52016.816744138632</c:v>
                </c:pt>
                <c:pt idx="5">
                  <c:v>67641.198903670112</c:v>
                </c:pt>
                <c:pt idx="6">
                  <c:v>42004.809956538964</c:v>
                </c:pt>
                <c:pt idx="7">
                  <c:v>195288.47184591831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8-4769-B478-4B8E56F2B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1285322994756375"/>
          <c:y val="9.3723594376683164E-2"/>
          <c:w val="0.36868005878350174"/>
          <c:h val="0.8724729252283339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197916666666"/>
          <c:y val="6.1460416666666663E-2"/>
          <c:w val="0.57275364583333332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'Prozesswärme - Energieträger'!$Q$4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'Prozesswärme - Energieträger'!$T$3:$Z$3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Energieträger'!$T$4:$Z$4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5-469C-9E99-E10133110277}"/>
            </c:ext>
          </c:extLst>
        </c:ser>
        <c:ser>
          <c:idx val="1"/>
          <c:order val="1"/>
          <c:tx>
            <c:strRef>
              <c:f>'Prozesswärme - Energieträger'!$Q$6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'Prozesswärme - Energieträger'!$T$3:$Z$3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Energieträger'!$T$6:$Z$6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45-469C-9E99-E10133110277}"/>
            </c:ext>
          </c:extLst>
        </c:ser>
        <c:ser>
          <c:idx val="2"/>
          <c:order val="2"/>
          <c:tx>
            <c:strRef>
              <c:f>'Prozesswärme - Energieträger'!$Q$5</c:f>
              <c:strCache>
                <c:ptCount val="1"/>
                <c:pt idx="0">
                  <c:v>Biogas</c:v>
                </c:pt>
              </c:strCache>
            </c:strRef>
          </c:tx>
          <c:invertIfNegative val="0"/>
          <c:val>
            <c:numRef>
              <c:f>'Prozesswärme - Energieträger'!$T$5:$Z$5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4-4913-B162-39C39989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439808"/>
        <c:axId val="396146304"/>
      </c:barChart>
      <c:catAx>
        <c:axId val="39243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6146304"/>
        <c:crosses val="autoZero"/>
        <c:auto val="1"/>
        <c:lblAlgn val="ctr"/>
        <c:lblOffset val="100"/>
        <c:noMultiLvlLbl val="0"/>
      </c:catAx>
      <c:valAx>
        <c:axId val="396146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 carrier for</a:t>
                </a:r>
                <a:r>
                  <a:rPr lang="de-DE" baseline="0"/>
                  <a:t> process</a:t>
                </a:r>
                <a:r>
                  <a:rPr lang="de-DE"/>
                  <a:t> heat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43980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935322916666665"/>
          <c:y val="1.1190187627005785E-3"/>
          <c:w val="0.16376760519686798"/>
          <c:h val="0.3131360392622716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Energy carrier for TSC</a:t>
            </a:r>
            <a:r>
              <a:rPr lang="de-DE" sz="1600" baseline="0"/>
              <a:t> </a:t>
            </a:r>
            <a:r>
              <a:rPr lang="de-DE" sz="1600"/>
              <a:t>process heating 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Energieträger'!$Z$3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C5F-4968-B242-94BFCA2C893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3-FC5F-4968-B242-94BFCA2C893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FC5F-4968-B242-94BFCA2C8933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7-FC5F-4968-B242-94BFCA2C8933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FC5F-4968-B242-94BFCA2C8933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B-FC5F-4968-B242-94BFCA2C8933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D-FC5F-4968-B242-94BFCA2C8933}"/>
              </c:ext>
            </c:extLst>
          </c:dPt>
          <c:dPt>
            <c:idx val="7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F-FC5F-4968-B242-94BFCA2C8933}"/>
              </c:ext>
            </c:extLst>
          </c:dPt>
          <c:cat>
            <c:strRef>
              <c:f>'Prozesswärme - Energieträger'!$Q$4:$Q$6</c:f>
              <c:strCache>
                <c:ptCount val="3"/>
                <c:pt idx="0">
                  <c:v>Natural gas</c:v>
                </c:pt>
                <c:pt idx="1">
                  <c:v>Biogas</c:v>
                </c:pt>
                <c:pt idx="2">
                  <c:v>Electricity</c:v>
                </c:pt>
              </c:strCache>
            </c:strRef>
          </c:cat>
          <c:val>
            <c:numRef>
              <c:f>'Prozesswärme - Energieträger'!$Z$4:$Z$6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C5F-4968-B242-94BFCA2C8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1614756128508863"/>
          <c:y val="0.16903057905009758"/>
          <c:w val="0.36753581978651612"/>
          <c:h val="0.8055334830525375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High temperature process heat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Erzeugung'!$X$3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2-64A6-4FF7-9E9B-51C42BB5C0A6}"/>
              </c:ext>
            </c:extLst>
          </c:dPt>
          <c:dPt>
            <c:idx val="1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64A6-4FF7-9E9B-51C42BB5C0A6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64A6-4FF7-9E9B-51C42BB5C0A6}"/>
              </c:ext>
            </c:extLst>
          </c:dPt>
          <c:dPt>
            <c:idx val="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64A6-4FF7-9E9B-51C42BB5C0A6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64A6-4FF7-9E9B-51C42BB5C0A6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0-64A6-4FF7-9E9B-51C42BB5C0A6}"/>
              </c:ext>
            </c:extLst>
          </c:dPt>
          <c:cat>
            <c:strRef>
              <c:f>'Prozesswärme - Erzeugung'!$O$4:$O$10</c:f>
              <c:strCache>
                <c:ptCount val="7"/>
                <c:pt idx="0">
                  <c:v>Bio coal</c:v>
                </c:pt>
                <c:pt idx="1">
                  <c:v>Bio oil</c:v>
                </c:pt>
                <c:pt idx="2">
                  <c:v>Coal</c:v>
                </c:pt>
                <c:pt idx="3">
                  <c:v>Natural gas</c:v>
                </c:pt>
                <c:pt idx="4">
                  <c:v>Hydrogen</c:v>
                </c:pt>
                <c:pt idx="5">
                  <c:v>Electricity</c:v>
                </c:pt>
                <c:pt idx="6">
                  <c:v>Mineral oil</c:v>
                </c:pt>
              </c:strCache>
            </c:strRef>
          </c:cat>
          <c:val>
            <c:numRef>
              <c:f>'Prozesswärme - Erzeugung'!$X$4:$X$10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444991896001828"/>
          <c:y val="0.14792178529805328"/>
          <c:w val="0.31555008103998183"/>
          <c:h val="0.8520782147019467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Low temperature process heat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5934569967510848E-2"/>
          <c:y val="0.25516324420150682"/>
          <c:w val="0.46695545916269482"/>
          <c:h val="0.70069086579823248"/>
        </c:manualLayout>
      </c:layout>
      <c:pieChart>
        <c:varyColors val="1"/>
        <c:ser>
          <c:idx val="0"/>
          <c:order val="0"/>
          <c:tx>
            <c:strRef>
              <c:f>'Prozesswärme - Erzeugung'!$AV$3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'Prozesswärme - Erzeugung'!$AN$39:$AN$62</c:f>
              <c:strCache>
                <c:ptCount val="24"/>
                <c:pt idx="0">
                  <c:v>CC CHP</c:v>
                </c:pt>
                <c:pt idx="1">
                  <c:v>Coal CHP</c:v>
                </c:pt>
                <c:pt idx="2">
                  <c:v>Gas CHP</c:v>
                </c:pt>
                <c:pt idx="3">
                  <c:v>H2 GT</c:v>
                </c:pt>
                <c:pt idx="4">
                  <c:v>HTGrid</c:v>
                </c:pt>
                <c:pt idx="5">
                  <c:v>Lignite CHP</c:v>
                </c:pt>
                <c:pt idx="6">
                  <c:v>Straw CHP (LS)</c:v>
                </c:pt>
                <c:pt idx="7">
                  <c:v>Straw CHP (MS)</c:v>
                </c:pt>
                <c:pt idx="8">
                  <c:v>Straw HP</c:v>
                </c:pt>
                <c:pt idx="9">
                  <c:v>Waste CHP</c:v>
                </c:pt>
                <c:pt idx="10">
                  <c:v>Wood CHP (LS)</c:v>
                </c:pt>
                <c:pt idx="11">
                  <c:v>Wood CHP (MS)</c:v>
                </c:pt>
                <c:pt idx="12">
                  <c:v>Wood HP</c:v>
                </c:pt>
                <c:pt idx="13">
                  <c:v>Biogas CHP</c:v>
                </c:pt>
                <c:pt idx="14">
                  <c:v>Electro vessel</c:v>
                </c:pt>
                <c:pt idx="15">
                  <c:v>H2 Mini CHP</c:v>
                </c:pt>
                <c:pt idx="16">
                  <c:v>Heatpump (LS)</c:v>
                </c:pt>
                <c:pt idx="17">
                  <c:v>Geothermal heatpump (LS)</c:v>
                </c:pt>
                <c:pt idx="18">
                  <c:v>FuelCell (LS)</c:v>
                </c:pt>
                <c:pt idx="19">
                  <c:v>SOFC (LS)</c:v>
                </c:pt>
                <c:pt idx="20">
                  <c:v>Mini CHP</c:v>
                </c:pt>
                <c:pt idx="21">
                  <c:v>Pellet boiler (LS)</c:v>
                </c:pt>
                <c:pt idx="22">
                  <c:v>Straw CHP (SS)</c:v>
                </c:pt>
                <c:pt idx="23">
                  <c:v>Wood CHP (SS)</c:v>
                </c:pt>
              </c:strCache>
            </c:strRef>
          </c:cat>
          <c:val>
            <c:numRef>
              <c:f>'Prozesswärme - Erzeugung'!$AV$39:$AV$62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25640239613696136"/>
          <c:y val="0.1147897124534298"/>
          <c:w val="0.52364322916666672"/>
          <c:h val="0.88521025783633001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485778238557739"/>
          <c:y val="6.1460416666666663E-2"/>
          <c:w val="0.33376680555555555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'Prozesswärme - Erzeugung'!$AN$39</c:f>
              <c:strCache>
                <c:ptCount val="1"/>
                <c:pt idx="0">
                  <c:v>CC CHP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Erzeugung'!$AP$39:$AV$39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'Prozesswärme - Erzeugung'!$AN$40</c:f>
              <c:strCache>
                <c:ptCount val="1"/>
                <c:pt idx="0">
                  <c:v>Coal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Erzeugung'!$AP$40:$AV$40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F-4799-8758-B153A52221FE}"/>
            </c:ext>
          </c:extLst>
        </c:ser>
        <c:ser>
          <c:idx val="1"/>
          <c:order val="2"/>
          <c:tx>
            <c:strRef>
              <c:f>'Prozesswärme - Erzeugung'!$AN$41</c:f>
              <c:strCache>
                <c:ptCount val="1"/>
                <c:pt idx="0">
                  <c:v>Gas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Erzeugung'!$AP$41:$AV$41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F-4799-8758-B153A52221FE}"/>
            </c:ext>
          </c:extLst>
        </c:ser>
        <c:ser>
          <c:idx val="3"/>
          <c:order val="3"/>
          <c:tx>
            <c:strRef>
              <c:f>'Prozesswärme - Erzeugung'!$AN$42</c:f>
              <c:strCache>
                <c:ptCount val="1"/>
                <c:pt idx="0">
                  <c:v>H2 GT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Erzeugung'!$AP$42:$AV$42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F-4799-8758-B153A52221FE}"/>
            </c:ext>
          </c:extLst>
        </c:ser>
        <c:ser>
          <c:idx val="4"/>
          <c:order val="4"/>
          <c:tx>
            <c:strRef>
              <c:f>'Prozesswärme - Erzeugung'!$AN$43</c:f>
              <c:strCache>
                <c:ptCount val="1"/>
                <c:pt idx="0">
                  <c:v>HTGrid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Erzeugung'!$AP$43:$AV$43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AF-4799-8758-B153A52221FE}"/>
            </c:ext>
          </c:extLst>
        </c:ser>
        <c:ser>
          <c:idx val="5"/>
          <c:order val="5"/>
          <c:tx>
            <c:strRef>
              <c:f>'Prozesswärme - Erzeugung'!$AN$44</c:f>
              <c:strCache>
                <c:ptCount val="1"/>
                <c:pt idx="0">
                  <c:v>Lignite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Erzeugung'!$AP$44:$AV$44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F-4799-8758-B153A52221FE}"/>
            </c:ext>
          </c:extLst>
        </c:ser>
        <c:ser>
          <c:idx val="6"/>
          <c:order val="6"/>
          <c:tx>
            <c:strRef>
              <c:f>'Prozesswärme - Erzeugung'!$AN$45</c:f>
              <c:strCache>
                <c:ptCount val="1"/>
                <c:pt idx="0">
                  <c:v>Straw CHP (LS)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Erzeugung'!$AP$45:$AV$45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F-4799-8758-B153A52221FE}"/>
            </c:ext>
          </c:extLst>
        </c:ser>
        <c:ser>
          <c:idx val="7"/>
          <c:order val="7"/>
          <c:tx>
            <c:strRef>
              <c:f>'Prozesswärme - Erzeugung'!$AN$46</c:f>
              <c:strCache>
                <c:ptCount val="1"/>
                <c:pt idx="0">
                  <c:v>Straw CHP (MS)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Erzeugung'!$AP$46:$AV$46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AF-4799-8758-B153A52221FE}"/>
            </c:ext>
          </c:extLst>
        </c:ser>
        <c:ser>
          <c:idx val="8"/>
          <c:order val="8"/>
          <c:tx>
            <c:strRef>
              <c:f>'Prozesswärme - Erzeugung'!$AN$47</c:f>
              <c:strCache>
                <c:ptCount val="1"/>
                <c:pt idx="0">
                  <c:v>Straw 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Erzeugung'!$AP$47:$AV$47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AF-4799-8758-B153A52221FE}"/>
            </c:ext>
          </c:extLst>
        </c:ser>
        <c:ser>
          <c:idx val="9"/>
          <c:order val="9"/>
          <c:tx>
            <c:strRef>
              <c:f>'Prozesswärme - Erzeugung'!$AN$48</c:f>
              <c:strCache>
                <c:ptCount val="1"/>
                <c:pt idx="0">
                  <c:v>Waste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Erzeugung'!$AP$48:$AV$48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AF-4799-8758-B153A52221FE}"/>
            </c:ext>
          </c:extLst>
        </c:ser>
        <c:ser>
          <c:idx val="10"/>
          <c:order val="10"/>
          <c:tx>
            <c:strRef>
              <c:f>'Prozesswärme - Erzeugung'!$AN$49</c:f>
              <c:strCache>
                <c:ptCount val="1"/>
                <c:pt idx="0">
                  <c:v>Wood CHP (LS)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Erzeugung'!$AP$49:$AV$49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AF-4799-8758-B153A52221FE}"/>
            </c:ext>
          </c:extLst>
        </c:ser>
        <c:ser>
          <c:idx val="11"/>
          <c:order val="11"/>
          <c:tx>
            <c:strRef>
              <c:f>'Prozesswärme - Erzeugung'!$AN$50</c:f>
              <c:strCache>
                <c:ptCount val="1"/>
                <c:pt idx="0">
                  <c:v>Wood CHP (MS)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Erzeugung'!$AP$50:$AV$50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AF-4799-8758-B153A52221FE}"/>
            </c:ext>
          </c:extLst>
        </c:ser>
        <c:ser>
          <c:idx val="12"/>
          <c:order val="12"/>
          <c:tx>
            <c:strRef>
              <c:f>'Prozesswärme - Erzeugung'!$AN$51</c:f>
              <c:strCache>
                <c:ptCount val="1"/>
                <c:pt idx="0">
                  <c:v>Wood 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Erzeugung'!$AP$51:$AV$51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AF-4799-8758-B153A52221FE}"/>
            </c:ext>
          </c:extLst>
        </c:ser>
        <c:ser>
          <c:idx val="13"/>
          <c:order val="13"/>
          <c:tx>
            <c:strRef>
              <c:f>'Prozesswärme - Erzeugung'!$AN$52</c:f>
              <c:strCache>
                <c:ptCount val="1"/>
                <c:pt idx="0">
                  <c:v>Biogas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Erzeugung'!$AP$52:$AV$52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AF-4799-8758-B153A52221FE}"/>
            </c:ext>
          </c:extLst>
        </c:ser>
        <c:ser>
          <c:idx val="14"/>
          <c:order val="14"/>
          <c:tx>
            <c:strRef>
              <c:f>'Prozesswärme - Erzeugung'!$AN$53</c:f>
              <c:strCache>
                <c:ptCount val="1"/>
                <c:pt idx="0">
                  <c:v>Electro vessel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Erzeugung'!$AP$53:$AV$53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AF-4799-8758-B153A52221FE}"/>
            </c:ext>
          </c:extLst>
        </c:ser>
        <c:ser>
          <c:idx val="15"/>
          <c:order val="15"/>
          <c:tx>
            <c:strRef>
              <c:f>'Prozesswärme - Erzeugung'!$AN$54</c:f>
              <c:strCache>
                <c:ptCount val="1"/>
                <c:pt idx="0">
                  <c:v>H2 Mini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Erzeugung'!$AP$54:$AV$54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AF-4799-8758-B153A52221FE}"/>
            </c:ext>
          </c:extLst>
        </c:ser>
        <c:ser>
          <c:idx val="16"/>
          <c:order val="16"/>
          <c:tx>
            <c:strRef>
              <c:f>'Prozesswärme - Erzeugung'!$AN$55</c:f>
              <c:strCache>
                <c:ptCount val="1"/>
                <c:pt idx="0">
                  <c:v>Heatpump (LS)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Erzeugung'!$AP$55:$AV$55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FAF-4799-8758-B153A52221FE}"/>
            </c:ext>
          </c:extLst>
        </c:ser>
        <c:ser>
          <c:idx val="17"/>
          <c:order val="17"/>
          <c:tx>
            <c:strRef>
              <c:f>'Prozesswärme - Erzeugung'!$AN$58</c:f>
              <c:strCache>
                <c:ptCount val="1"/>
                <c:pt idx="0">
                  <c:v>SOFC (LS)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Erzeugung'!$AP$58:$AV$58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AF-4799-8758-B153A52221FE}"/>
            </c:ext>
          </c:extLst>
        </c:ser>
        <c:ser>
          <c:idx val="23"/>
          <c:order val="18"/>
          <c:tx>
            <c:strRef>
              <c:f>'Prozesswärme - Erzeugung'!$AN$57</c:f>
              <c:strCache>
                <c:ptCount val="1"/>
                <c:pt idx="0">
                  <c:v>FuelCell (LS)</c:v>
                </c:pt>
              </c:strCache>
            </c:strRef>
          </c:tx>
          <c:invertIfNegative val="0"/>
          <c:val>
            <c:numRef>
              <c:f>'Prozesswärme - Erzeugung'!$AP$57:$AV$57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B1-4D7A-9323-346B4F3A5E5A}"/>
            </c:ext>
          </c:extLst>
        </c:ser>
        <c:ser>
          <c:idx val="18"/>
          <c:order val="19"/>
          <c:tx>
            <c:strRef>
              <c:f>'Prozesswärme - Erzeugung'!$AN$59</c:f>
              <c:strCache>
                <c:ptCount val="1"/>
                <c:pt idx="0">
                  <c:v>Mini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Erzeugung'!$AP$59:$AV$59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FAF-4799-8758-B153A52221FE}"/>
            </c:ext>
          </c:extLst>
        </c:ser>
        <c:ser>
          <c:idx val="19"/>
          <c:order val="20"/>
          <c:tx>
            <c:strRef>
              <c:f>'Prozesswärme - Erzeugung'!$AN$60</c:f>
              <c:strCache>
                <c:ptCount val="1"/>
                <c:pt idx="0">
                  <c:v>Pellet boiler (LS)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Erzeugung'!$AP$60:$AV$60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AF-4799-8758-B153A52221FE}"/>
            </c:ext>
          </c:extLst>
        </c:ser>
        <c:ser>
          <c:idx val="20"/>
          <c:order val="21"/>
          <c:tx>
            <c:strRef>
              <c:f>'Prozesswärme - Erzeugung'!$AN$61</c:f>
              <c:strCache>
                <c:ptCount val="1"/>
                <c:pt idx="0">
                  <c:v>Straw CHP (SS)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Erzeugung'!$AP$61:$AV$61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AF-4799-8758-B153A52221FE}"/>
            </c:ext>
          </c:extLst>
        </c:ser>
        <c:ser>
          <c:idx val="21"/>
          <c:order val="22"/>
          <c:tx>
            <c:strRef>
              <c:f>'Prozesswärme - Erzeugung'!$AN$62</c:f>
              <c:strCache>
                <c:ptCount val="1"/>
                <c:pt idx="0">
                  <c:v>Wood CHP (SS)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Erzeugung'!$AP$62:$AV$62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AF-4799-8758-B153A52221FE}"/>
            </c:ext>
          </c:extLst>
        </c:ser>
        <c:ser>
          <c:idx val="22"/>
          <c:order val="23"/>
          <c:tx>
            <c:strRef>
              <c:f>'Prozesswärme - Erzeugung'!$AN$56</c:f>
              <c:strCache>
                <c:ptCount val="1"/>
                <c:pt idx="0">
                  <c:v>Geothermal heatpump (LS)</c:v>
                </c:pt>
              </c:strCache>
            </c:strRef>
          </c:tx>
          <c:invertIfNegative val="0"/>
          <c:val>
            <c:numRef>
              <c:f>'Prozesswärme - Erzeugung'!$AP$56:$AV$56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64-423A-A092-57A835999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142336"/>
        <c:axId val="391839040"/>
      </c:barChart>
      <c:catAx>
        <c:axId val="39214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839040"/>
        <c:crosses val="autoZero"/>
        <c:auto val="1"/>
        <c:lblAlgn val="ctr"/>
        <c:lblOffset val="100"/>
        <c:noMultiLvlLbl val="0"/>
      </c:catAx>
      <c:valAx>
        <c:axId val="391839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Low temperature</a:t>
                </a:r>
                <a:r>
                  <a:rPr lang="de-DE" baseline="0"/>
                  <a:t> process heat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14233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5052388888888889"/>
          <c:y val="0"/>
          <c:w val="0.30607234334978445"/>
          <c:h val="0.8506580650729265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27291666666667"/>
          <c:y val="6.1460416666666663E-2"/>
          <c:w val="0.5165976388888888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Erzeugung'!$O$4</c:f>
              <c:strCache>
                <c:ptCount val="1"/>
                <c:pt idx="0">
                  <c:v>Bio coal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</c:spPr>
          <c:invertIfNegative val="0"/>
          <c:cat>
            <c:numRef>
              <c:f>'Prozesswärme - Erzeugung'!$R$3:$X$3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Erzeugung'!$R$4:$X$4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Erzeugung'!$O$5</c:f>
              <c:strCache>
                <c:ptCount val="1"/>
                <c:pt idx="0">
                  <c:v>Bio oil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Erzeugung'!$R$3:$X$3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Erzeugung'!$R$5:$X$5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B-4487-8108-A79AE5222750}"/>
            </c:ext>
          </c:extLst>
        </c:ser>
        <c:ser>
          <c:idx val="2"/>
          <c:order val="2"/>
          <c:tx>
            <c:strRef>
              <c:f>'Prozesswärme - Erzeugung'!$O$6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'Prozesswärme - Erzeugung'!$R$3:$X$3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Erzeugung'!$R$6:$X$6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5B-4487-8108-A79AE5222750}"/>
            </c:ext>
          </c:extLst>
        </c:ser>
        <c:ser>
          <c:idx val="3"/>
          <c:order val="3"/>
          <c:tx>
            <c:strRef>
              <c:f>'Prozesswärme - Erzeugung'!$O$7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'Prozesswärme - Erzeugung'!$R$3:$X$3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Erzeugung'!$R$7:$X$7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5B-4487-8108-A79AE5222750}"/>
            </c:ext>
          </c:extLst>
        </c:ser>
        <c:ser>
          <c:idx val="4"/>
          <c:order val="4"/>
          <c:tx>
            <c:strRef>
              <c:f>'Prozesswärme - Erzeugung'!$O$8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'Prozesswärme - Erzeugung'!$R$3:$X$3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Erzeugung'!$R$8:$X$8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5B-4487-8108-A79AE5222750}"/>
            </c:ext>
          </c:extLst>
        </c:ser>
        <c:ser>
          <c:idx val="5"/>
          <c:order val="5"/>
          <c:tx>
            <c:strRef>
              <c:f>'Prozesswärme - Erzeugung'!$O$9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'Prozesswärme - Erzeugung'!$R$3:$X$3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Erzeugung'!$R$9:$X$9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5B-4487-8108-A79AE5222750}"/>
            </c:ext>
          </c:extLst>
        </c:ser>
        <c:ser>
          <c:idx val="6"/>
          <c:order val="6"/>
          <c:tx>
            <c:strRef>
              <c:f>'Prozesswärme - Erzeugung'!$O$10</c:f>
              <c:strCache>
                <c:ptCount val="1"/>
                <c:pt idx="0">
                  <c:v>Mineral 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'Prozesswärme - Erzeugung'!$R$3:$X$3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Erzeugung'!$R$10:$X$10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5B-4487-8108-A79AE5222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669184"/>
        <c:axId val="392062656"/>
      </c:barChart>
      <c:catAx>
        <c:axId val="39266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062656"/>
        <c:crosses val="autoZero"/>
        <c:auto val="1"/>
        <c:lblAlgn val="ctr"/>
        <c:lblOffset val="100"/>
        <c:noMultiLvlLbl val="0"/>
      </c:catAx>
      <c:valAx>
        <c:axId val="392062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High temperature process heat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66918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7977374999999995"/>
          <c:y val="0"/>
          <c:w val="0.32022624999999999"/>
          <c:h val="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Medium temperature process heat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layout>
        <c:manualLayout>
          <c:xMode val="edge"/>
          <c:yMode val="edge"/>
          <c:x val="3.0854437956369607E-2"/>
          <c:y val="0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Erzeugung'!$AK$3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0510-45FD-ACCE-67EF7B74751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2-0510-45FD-ACCE-67EF7B747517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0510-45FD-ACCE-67EF7B747517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4-0510-45FD-ACCE-67EF7B747517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0510-45FD-ACCE-67EF7B747517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0510-45FD-ACCE-67EF7B747517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0-0510-45FD-ACCE-67EF7B747517}"/>
              </c:ext>
            </c:extLst>
          </c:dPt>
          <c:cat>
            <c:strRef>
              <c:f>'Prozesswärme - Erzeugung'!$AB$4:$AB$10</c:f>
              <c:strCache>
                <c:ptCount val="7"/>
                <c:pt idx="0">
                  <c:v>Coal HP</c:v>
                </c:pt>
                <c:pt idx="1">
                  <c:v>El. HP</c:v>
                </c:pt>
                <c:pt idx="2">
                  <c:v>Gas HP</c:v>
                </c:pt>
                <c:pt idx="3">
                  <c:v>Oil HP</c:v>
                </c:pt>
                <c:pt idx="4">
                  <c:v>Other heating</c:v>
                </c:pt>
                <c:pt idx="5">
                  <c:v>Pellet HP</c:v>
                </c:pt>
                <c:pt idx="6">
                  <c:v>Waste HP</c:v>
                </c:pt>
              </c:strCache>
            </c:strRef>
          </c:cat>
          <c:val>
            <c:numRef>
              <c:f>'Prozesswärme - Erzeugung'!$AK$4:$AK$10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2650052083333332"/>
          <c:y val="9.7292989751709497E-2"/>
          <c:w val="0.45659357638888887"/>
          <c:h val="0.9027070102482904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160559722222221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Erzeugung'!$AB$4</c:f>
              <c:strCache>
                <c:ptCount val="1"/>
                <c:pt idx="0">
                  <c:v>Coal HP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Erzeugung'!$AE$4:$AK$4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Erzeugung'!$AB$5</c:f>
              <c:strCache>
                <c:ptCount val="1"/>
                <c:pt idx="0">
                  <c:v>El. HP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Erzeugung'!$AE$5:$AK$5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0-4CB6-965E-85D93A605FF7}"/>
            </c:ext>
          </c:extLst>
        </c:ser>
        <c:ser>
          <c:idx val="2"/>
          <c:order val="2"/>
          <c:tx>
            <c:strRef>
              <c:f>'Prozesswärme - Erzeugung'!$AB$6</c:f>
              <c:strCache>
                <c:ptCount val="1"/>
                <c:pt idx="0">
                  <c:v>Gas 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Erzeugung'!$AE$6:$AK$6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0-4CB6-965E-85D93A605FF7}"/>
            </c:ext>
          </c:extLst>
        </c:ser>
        <c:ser>
          <c:idx val="3"/>
          <c:order val="3"/>
          <c:tx>
            <c:strRef>
              <c:f>'Prozesswärme - Erzeugung'!$AB$7</c:f>
              <c:strCache>
                <c:ptCount val="1"/>
                <c:pt idx="0">
                  <c:v>Oil HP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Erzeugung'!$AE$7:$AK$7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0-4CB6-965E-85D93A605FF7}"/>
            </c:ext>
          </c:extLst>
        </c:ser>
        <c:ser>
          <c:idx val="4"/>
          <c:order val="4"/>
          <c:tx>
            <c:strRef>
              <c:f>'Prozesswärme - Erzeugung'!$AB$8</c:f>
              <c:strCache>
                <c:ptCount val="1"/>
                <c:pt idx="0">
                  <c:v>Other heating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Erzeugung'!$AE$8:$AK$8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0-4CB6-965E-85D93A605FF7}"/>
            </c:ext>
          </c:extLst>
        </c:ser>
        <c:ser>
          <c:idx val="5"/>
          <c:order val="5"/>
          <c:tx>
            <c:strRef>
              <c:f>'Prozesswärme - Erzeugung'!$AB$9</c:f>
              <c:strCache>
                <c:ptCount val="1"/>
                <c:pt idx="0">
                  <c:v>Pellet HP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Erzeugung'!$AE$9:$AK$9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0-4CB6-965E-85D93A605FF7}"/>
            </c:ext>
          </c:extLst>
        </c:ser>
        <c:ser>
          <c:idx val="6"/>
          <c:order val="6"/>
          <c:tx>
            <c:strRef>
              <c:f>'Prozesswärme - Erzeugung'!$AB$10</c:f>
              <c:strCache>
                <c:ptCount val="1"/>
                <c:pt idx="0">
                  <c:v>Waste HP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Erzeugung'!$AE$10:$AK$10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0-4CB6-965E-85D93A605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933888"/>
        <c:axId val="392066112"/>
      </c:barChart>
      <c:catAx>
        <c:axId val="39293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066112"/>
        <c:crosses val="autoZero"/>
        <c:auto val="1"/>
        <c:lblAlgn val="ctr"/>
        <c:lblOffset val="100"/>
        <c:noMultiLvlLbl val="0"/>
      </c:catAx>
      <c:valAx>
        <c:axId val="392066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Medium</a:t>
                </a:r>
                <a:r>
                  <a:rPr lang="de-DE" baseline="0"/>
                  <a:t> temperature process heat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93388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530877123395107"/>
          <c:y val="6.6902493566561402E-2"/>
          <c:w val="0.28594441128250919"/>
          <c:h val="0.8494693894752368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52291666666667"/>
          <c:y val="6.1460416666666663E-2"/>
          <c:w val="0.5765698611111110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Erzeugung'!$B$4</c:f>
              <c:strCache>
                <c:ptCount val="1"/>
                <c:pt idx="0">
                  <c:v>High temperature (&gt;500°C)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'Prozesswärme - Erzeugung'!$E$3:$K$3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Erzeugung'!$B$5</c:f>
              <c:strCache>
                <c:ptCount val="1"/>
                <c:pt idx="0">
                  <c:v>Medium temperature (100-500°C)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'Prozesswärme - Erzeugung'!$E$3:$K$3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C-4ED2-8F12-87BD0EBC9118}"/>
            </c:ext>
          </c:extLst>
        </c:ser>
        <c:ser>
          <c:idx val="2"/>
          <c:order val="2"/>
          <c:tx>
            <c:strRef>
              <c:f>'Prozesswärme - Erzeugung'!$B$6</c:f>
              <c:strCache>
                <c:ptCount val="1"/>
                <c:pt idx="0">
                  <c:v>Low temperature (&lt;100°C)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'Prozesswärme - Erzeugung'!$E$3:$K$3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C-4ED2-8F12-87BD0EBC9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934912"/>
        <c:axId val="392068416"/>
      </c:barChart>
      <c:catAx>
        <c:axId val="39293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068416"/>
        <c:crosses val="autoZero"/>
        <c:auto val="1"/>
        <c:lblAlgn val="ctr"/>
        <c:lblOffset val="100"/>
        <c:noMultiLvlLbl val="0"/>
      </c:catAx>
      <c:valAx>
        <c:axId val="392068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Process heat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93491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917652777777772"/>
          <c:y val="0"/>
          <c:w val="0.29938069444444443"/>
          <c:h val="0.6940664431154285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Process heat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Erzeugung'!$K$3</c:f>
              <c:strCache>
                <c:ptCount val="1"/>
                <c:pt idx="0">
                  <c:v>2050</c:v>
                </c:pt>
              </c:strCache>
            </c:strRef>
          </c:tx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407B-4FAE-A7F6-AE54C11517E1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07B-4FAE-A7F6-AE54C11517E1}"/>
              </c:ext>
            </c:extLst>
          </c:dPt>
          <c:cat>
            <c:strRef>
              <c:f>'Prozesswärme - Erzeugung'!$B$4:$B$6</c:f>
              <c:strCache>
                <c:ptCount val="3"/>
                <c:pt idx="0">
                  <c:v>High temperature (&gt;500°C)</c:v>
                </c:pt>
                <c:pt idx="1">
                  <c:v>Medium temperature (100-500°C)</c:v>
                </c:pt>
                <c:pt idx="2">
                  <c:v>Low temperature (&lt;100°C)</c:v>
                </c:pt>
              </c:strCache>
            </c:strRef>
          </c:cat>
          <c:val>
            <c:numRef>
              <c:f>'Prozesswärme - Erzeugung'!$K$4:$K$6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978315972222225"/>
          <c:y val="0.14792178529805328"/>
          <c:w val="0.4502168402777777"/>
          <c:h val="0.8520782147019467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485778238557739"/>
          <c:y val="6.1460416666666663E-2"/>
          <c:w val="0.45900291666666665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'Prozesswärme - Erzeugung'!$AN$85</c:f>
              <c:strCache>
                <c:ptCount val="1"/>
                <c:pt idx="0">
                  <c:v>CC CHP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Erzeugung'!$AP$85:$AV$85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'Prozesswärme - Erzeugung'!$AN$86</c:f>
              <c:strCache>
                <c:ptCount val="1"/>
                <c:pt idx="0">
                  <c:v>Coal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Erzeugung'!$AP$86:$AV$86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A-4D10-BBCD-EFEDEB92C7FC}"/>
            </c:ext>
          </c:extLst>
        </c:ser>
        <c:ser>
          <c:idx val="1"/>
          <c:order val="2"/>
          <c:tx>
            <c:strRef>
              <c:f>'Prozesswärme - Erzeugung'!$AN$87</c:f>
              <c:strCache>
                <c:ptCount val="1"/>
                <c:pt idx="0">
                  <c:v>Gas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Erzeugung'!$AP$87:$AV$87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A-4D10-BBCD-EFEDEB92C7FC}"/>
            </c:ext>
          </c:extLst>
        </c:ser>
        <c:ser>
          <c:idx val="3"/>
          <c:order val="3"/>
          <c:tx>
            <c:strRef>
              <c:f>'Prozesswärme - Erzeugung'!$AN$88</c:f>
              <c:strCache>
                <c:ptCount val="1"/>
                <c:pt idx="0">
                  <c:v>HTGrid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Erzeugung'!$AP$88:$AV$88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A-4D10-BBCD-EFEDEB92C7FC}"/>
            </c:ext>
          </c:extLst>
        </c:ser>
        <c:ser>
          <c:idx val="4"/>
          <c:order val="4"/>
          <c:tx>
            <c:strRef>
              <c:f>'Prozesswärme - Erzeugung'!$AN$89</c:f>
              <c:strCache>
                <c:ptCount val="1"/>
                <c:pt idx="0">
                  <c:v>Lignite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Erzeugung'!$AP$89:$AV$89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A-4D10-BBCD-EFEDEB92C7FC}"/>
            </c:ext>
          </c:extLst>
        </c:ser>
        <c:ser>
          <c:idx val="5"/>
          <c:order val="5"/>
          <c:tx>
            <c:strRef>
              <c:f>'Prozesswärme - Erzeugung'!$AN$90</c:f>
              <c:strCache>
                <c:ptCount val="1"/>
                <c:pt idx="0">
                  <c:v>Straw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Erzeugung'!$AP$90:$AV$90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BA-4D10-BBCD-EFEDEB92C7FC}"/>
            </c:ext>
          </c:extLst>
        </c:ser>
        <c:ser>
          <c:idx val="6"/>
          <c:order val="6"/>
          <c:tx>
            <c:strRef>
              <c:f>'Prozesswärme - Erzeugung'!$AN$91</c:f>
              <c:strCache>
                <c:ptCount val="1"/>
                <c:pt idx="0">
                  <c:v>Straw 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Erzeugung'!$AP$91:$AV$91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BA-4D10-BBCD-EFEDEB92C7FC}"/>
            </c:ext>
          </c:extLst>
        </c:ser>
        <c:ser>
          <c:idx val="7"/>
          <c:order val="7"/>
          <c:tx>
            <c:strRef>
              <c:f>'Prozesswärme - Erzeugung'!$AN$92</c:f>
              <c:strCache>
                <c:ptCount val="1"/>
                <c:pt idx="0">
                  <c:v>Waste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Erzeugung'!$AP$92:$AV$92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BA-4D10-BBCD-EFEDEB92C7FC}"/>
            </c:ext>
          </c:extLst>
        </c:ser>
        <c:ser>
          <c:idx val="8"/>
          <c:order val="8"/>
          <c:tx>
            <c:strRef>
              <c:f>'Prozesswärme - Erzeugung'!$AN$93</c:f>
              <c:strCache>
                <c:ptCount val="1"/>
                <c:pt idx="0">
                  <c:v>Wood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Erzeugung'!$AP$93:$AV$93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BA-4D10-BBCD-EFEDEB92C7FC}"/>
            </c:ext>
          </c:extLst>
        </c:ser>
        <c:ser>
          <c:idx val="9"/>
          <c:order val="9"/>
          <c:tx>
            <c:strRef>
              <c:f>'Prozesswärme - Erzeugung'!$AN$94</c:f>
              <c:strCache>
                <c:ptCount val="1"/>
                <c:pt idx="0">
                  <c:v>Wood 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Erzeugung'!$AP$94:$AV$94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BA-4D10-BBCD-EFEDEB92C7FC}"/>
            </c:ext>
          </c:extLst>
        </c:ser>
        <c:ser>
          <c:idx val="10"/>
          <c:order val="10"/>
          <c:tx>
            <c:strRef>
              <c:f>'Prozesswärme - Erzeugung'!$AN$95</c:f>
              <c:strCache>
                <c:ptCount val="1"/>
                <c:pt idx="0">
                  <c:v>Biogas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Erzeugung'!$AP$95:$AV$95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BA-4D10-BBCD-EFEDEB92C7FC}"/>
            </c:ext>
          </c:extLst>
        </c:ser>
        <c:ser>
          <c:idx val="11"/>
          <c:order val="11"/>
          <c:tx>
            <c:strRef>
              <c:f>'Prozesswärme - Erzeugung'!$AN$96</c:f>
              <c:strCache>
                <c:ptCount val="1"/>
                <c:pt idx="0">
                  <c:v>Electro vessel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Erzeugung'!$AP$96:$AV$96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BA-4D10-BBCD-EFEDEB92C7FC}"/>
            </c:ext>
          </c:extLst>
        </c:ser>
        <c:ser>
          <c:idx val="12"/>
          <c:order val="12"/>
          <c:tx>
            <c:strRef>
              <c:f>'Prozesswärme - Erzeugung'!$AN$97</c:f>
              <c:strCache>
                <c:ptCount val="1"/>
                <c:pt idx="0">
                  <c:v>Heatpump (LS)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Erzeugung'!$AP$97:$AV$97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BA-4D10-BBCD-EFEDEB92C7FC}"/>
            </c:ext>
          </c:extLst>
        </c:ser>
        <c:ser>
          <c:idx val="13"/>
          <c:order val="13"/>
          <c:tx>
            <c:strRef>
              <c:f>'Prozesswärme - Erzeugung'!$AN$100</c:f>
              <c:strCache>
                <c:ptCount val="1"/>
                <c:pt idx="0">
                  <c:v>SOFC (LS)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Erzeugung'!$AP$100:$AV$100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4BA-4D10-BBCD-EFEDEB92C7FC}"/>
            </c:ext>
          </c:extLst>
        </c:ser>
        <c:ser>
          <c:idx val="14"/>
          <c:order val="14"/>
          <c:tx>
            <c:strRef>
              <c:f>'Prozesswärme - Erzeugung'!$AN$101</c:f>
              <c:strCache>
                <c:ptCount val="1"/>
                <c:pt idx="0">
                  <c:v>Mini CHP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Erzeugung'!$AP$101:$AV$101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4BA-4D10-BBCD-EFEDEB92C7FC}"/>
            </c:ext>
          </c:extLst>
        </c:ser>
        <c:ser>
          <c:idx val="15"/>
          <c:order val="15"/>
          <c:tx>
            <c:strRef>
              <c:f>'Prozesswärme - Erzeugung'!$AN$102</c:f>
              <c:strCache>
                <c:ptCount val="1"/>
                <c:pt idx="0">
                  <c:v>Pellet boiler (LS)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Erzeugung'!$AP$102:$AV$102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4BA-4D10-BBCD-EFEDEB92C7FC}"/>
            </c:ext>
          </c:extLst>
        </c:ser>
        <c:ser>
          <c:idx val="16"/>
          <c:order val="16"/>
          <c:tx>
            <c:strRef>
              <c:f>'Prozesswärme - Erzeugung'!$AN$98</c:f>
              <c:strCache>
                <c:ptCount val="1"/>
                <c:pt idx="0">
                  <c:v>Geothermal heatpump (LS)</c:v>
                </c:pt>
              </c:strCache>
            </c:strRef>
          </c:tx>
          <c:invertIfNegative val="0"/>
          <c:val>
            <c:numRef>
              <c:f>'Prozesswärme - Erzeugung'!$AP$98:$AV$98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E-4AEE-A738-327D225041C4}"/>
            </c:ext>
          </c:extLst>
        </c:ser>
        <c:ser>
          <c:idx val="17"/>
          <c:order val="17"/>
          <c:tx>
            <c:strRef>
              <c:f>'Prozesswärme - Erzeugung'!$AN$99</c:f>
              <c:strCache>
                <c:ptCount val="1"/>
                <c:pt idx="0">
                  <c:v>FuelCell (LS)</c:v>
                </c:pt>
              </c:strCache>
            </c:strRef>
          </c:tx>
          <c:invertIfNegative val="0"/>
          <c:val>
            <c:numRef>
              <c:f>'Prozesswärme - Erzeugung'!$AP$99:$AV$99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EA-4B3F-A414-06E714278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359872"/>
        <c:axId val="393227072"/>
      </c:barChart>
      <c:catAx>
        <c:axId val="39335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3227072"/>
        <c:crosses val="autoZero"/>
        <c:auto val="1"/>
        <c:lblAlgn val="ctr"/>
        <c:lblOffset val="100"/>
        <c:noMultiLvlLbl val="0"/>
      </c:catAx>
      <c:valAx>
        <c:axId val="393227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Low temperature</a:t>
                </a:r>
                <a:r>
                  <a:rPr lang="de-DE" baseline="0"/>
                  <a:t> process heat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335987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813259611251764"/>
          <c:y val="9.280106684691021E-2"/>
          <c:w val="0.30594322832830551"/>
          <c:h val="0.89275250131808725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Low temperature process heat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"/>
          <c:y val="0.15362769720090724"/>
          <c:w val="0.37200781250000009"/>
          <c:h val="0.74483675579849329"/>
        </c:manualLayout>
      </c:layout>
      <c:pieChart>
        <c:varyColors val="1"/>
        <c:ser>
          <c:idx val="0"/>
          <c:order val="0"/>
          <c:tx>
            <c:strRef>
              <c:f>'Prozesswärme - Erzeugung'!$AV$3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'Prozesswärme - Erzeugung'!$AN$85:$AN$102</c:f>
              <c:strCache>
                <c:ptCount val="18"/>
                <c:pt idx="0">
                  <c:v>CC CHP</c:v>
                </c:pt>
                <c:pt idx="1">
                  <c:v>Coal CHP</c:v>
                </c:pt>
                <c:pt idx="2">
                  <c:v>Gas CHP</c:v>
                </c:pt>
                <c:pt idx="3">
                  <c:v>HTGrid</c:v>
                </c:pt>
                <c:pt idx="4">
                  <c:v>Lignite CHP</c:v>
                </c:pt>
                <c:pt idx="5">
                  <c:v>Straw CHP</c:v>
                </c:pt>
                <c:pt idx="6">
                  <c:v>Straw HP</c:v>
                </c:pt>
                <c:pt idx="7">
                  <c:v>Waste CHP</c:v>
                </c:pt>
                <c:pt idx="8">
                  <c:v>Wood CHP</c:v>
                </c:pt>
                <c:pt idx="9">
                  <c:v>Wood HP</c:v>
                </c:pt>
                <c:pt idx="10">
                  <c:v>Biogas CHP</c:v>
                </c:pt>
                <c:pt idx="11">
                  <c:v>Electro vessel</c:v>
                </c:pt>
                <c:pt idx="12">
                  <c:v>Heatpump (LS)</c:v>
                </c:pt>
                <c:pt idx="13">
                  <c:v>Geothermal heatpump (LS)</c:v>
                </c:pt>
                <c:pt idx="14">
                  <c:v>FuelCell (LS)</c:v>
                </c:pt>
                <c:pt idx="15">
                  <c:v>SOFC (LS)</c:v>
                </c:pt>
                <c:pt idx="16">
                  <c:v>Mini CHP</c:v>
                </c:pt>
                <c:pt idx="17">
                  <c:v>Pellet boiler (LS)</c:v>
                </c:pt>
              </c:strCache>
            </c:strRef>
          </c:cat>
          <c:val>
            <c:numRef>
              <c:f>'Prozesswärme - Erzeugung'!$AV$85:$AV$102</c:f>
              <c:numCache>
                <c:formatCode>General</c:formatCode>
                <c:ptCount val="1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33390904001071714"/>
          <c:y val="0.11478977880238618"/>
          <c:w val="0.62947656249999995"/>
          <c:h val="0.88521025783633001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485778238557739"/>
          <c:y val="6.1460416666666663E-2"/>
          <c:w val="0.45900291666666665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'Prozesswärme - Erzeugung'!$AM$125</c:f>
              <c:strCache>
                <c:ptCount val="1"/>
                <c:pt idx="0">
                  <c:v>CC CHP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Erzeugung'!$AP$125:$AV$125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'Prozesswärme - Erzeugung'!$AM$126</c:f>
              <c:strCache>
                <c:ptCount val="1"/>
                <c:pt idx="0">
                  <c:v>Coal CHP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Erzeugung'!$AP$126:$AV$126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7-42CF-9399-65940C61733B}"/>
            </c:ext>
          </c:extLst>
        </c:ser>
        <c:ser>
          <c:idx val="1"/>
          <c:order val="2"/>
          <c:tx>
            <c:strRef>
              <c:f>'Prozesswärme - Erzeugung'!$AM$127</c:f>
              <c:strCache>
                <c:ptCount val="1"/>
                <c:pt idx="0">
                  <c:v>Gas CHP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Erzeugung'!$AP$127:$AV$127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67-42CF-9399-65940C61733B}"/>
            </c:ext>
          </c:extLst>
        </c:ser>
        <c:ser>
          <c:idx val="3"/>
          <c:order val="3"/>
          <c:tx>
            <c:strRef>
              <c:f>'Prozesswärme - Erzeugung'!$AM$128</c:f>
              <c:strCache>
                <c:ptCount val="1"/>
                <c:pt idx="0">
                  <c:v>HTGrid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Erzeugung'!$AP$128:$AV$128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67-42CF-9399-65940C61733B}"/>
            </c:ext>
          </c:extLst>
        </c:ser>
        <c:ser>
          <c:idx val="4"/>
          <c:order val="4"/>
          <c:tx>
            <c:strRef>
              <c:f>'Prozesswärme - Erzeugung'!$AM$129</c:f>
              <c:strCache>
                <c:ptCount val="1"/>
                <c:pt idx="0">
                  <c:v>Lignite CHP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Erzeugung'!$AP$129:$AV$129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67-42CF-9399-65940C61733B}"/>
            </c:ext>
          </c:extLst>
        </c:ser>
        <c:ser>
          <c:idx val="5"/>
          <c:order val="5"/>
          <c:tx>
            <c:strRef>
              <c:f>'Prozesswärme - Erzeugung'!$AM$130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Erzeugung'!$AP$130:$AV$130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67-42CF-9399-65940C61733B}"/>
            </c:ext>
          </c:extLst>
        </c:ser>
        <c:ser>
          <c:idx val="6"/>
          <c:order val="6"/>
          <c:tx>
            <c:strRef>
              <c:f>'Prozesswärme - Erzeugung'!$AM$131</c:f>
              <c:strCache>
                <c:ptCount val="1"/>
                <c:pt idx="0">
                  <c:v>Waste CHP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Erzeugung'!$AP$131:$AV$131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67-42CF-9399-65940C61733B}"/>
            </c:ext>
          </c:extLst>
        </c:ser>
        <c:ser>
          <c:idx val="7"/>
          <c:order val="7"/>
          <c:tx>
            <c:strRef>
              <c:f>'Prozesswärme - Erzeugung'!$AM$132</c:f>
              <c:strCache>
                <c:ptCount val="1"/>
                <c:pt idx="0">
                  <c:v>Electro vessel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Erzeugung'!$AP$132:$AV$132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67-42CF-9399-65940C61733B}"/>
            </c:ext>
          </c:extLst>
        </c:ser>
        <c:ser>
          <c:idx val="8"/>
          <c:order val="8"/>
          <c:tx>
            <c:strRef>
              <c:f>'Prozesswärme - Erzeugung'!$AM$133</c:f>
              <c:strCache>
                <c:ptCount val="1"/>
                <c:pt idx="0">
                  <c:v>Heatpump (LS)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Erzeugung'!$AP$133:$AV$133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67-42CF-9399-65940C61733B}"/>
            </c:ext>
          </c:extLst>
        </c:ser>
        <c:ser>
          <c:idx val="9"/>
          <c:order val="9"/>
          <c:tx>
            <c:strRef>
              <c:f>'Prozesswärme - Erzeugung'!$AM$136</c:f>
              <c:strCache>
                <c:ptCount val="1"/>
                <c:pt idx="0">
                  <c:v>SOFC (LS)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Erzeugung'!$AP$136:$AV$136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67-42CF-9399-65940C61733B}"/>
            </c:ext>
          </c:extLst>
        </c:ser>
        <c:ser>
          <c:idx val="12"/>
          <c:order val="10"/>
          <c:tx>
            <c:strRef>
              <c:f>'Prozesswärme - Erzeugung'!$AM$135</c:f>
              <c:strCache>
                <c:ptCount val="1"/>
                <c:pt idx="0">
                  <c:v>FuelCell (LS)</c:v>
                </c:pt>
              </c:strCache>
            </c:strRef>
          </c:tx>
          <c:invertIfNegative val="0"/>
          <c:val>
            <c:numRef>
              <c:f>'Prozesswärme - Erzeugung'!$AP$135:$AV$135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C-4E15-9E3B-F1FCAEE49F4B}"/>
            </c:ext>
          </c:extLst>
        </c:ser>
        <c:ser>
          <c:idx val="10"/>
          <c:order val="11"/>
          <c:tx>
            <c:strRef>
              <c:f>'Prozesswärme - Erzeugung'!$AM$137</c:f>
              <c:strCache>
                <c:ptCount val="1"/>
                <c:pt idx="0">
                  <c:v>Mini CHP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Erzeugung'!$AP$137:$AV$137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67-42CF-9399-65940C61733B}"/>
            </c:ext>
          </c:extLst>
        </c:ser>
        <c:ser>
          <c:idx val="11"/>
          <c:order val="12"/>
          <c:tx>
            <c:strRef>
              <c:f>'Prozesswärme - Erzeugung'!$AM$134</c:f>
              <c:strCache>
                <c:ptCount val="1"/>
                <c:pt idx="0">
                  <c:v>Geothermal heatpump (LS)</c:v>
                </c:pt>
              </c:strCache>
            </c:strRef>
          </c:tx>
          <c:invertIfNegative val="0"/>
          <c:val>
            <c:numRef>
              <c:f>'Prozesswärme - Erzeugung'!$AP$134:$AV$134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A3-4970-8A3E-CAA52C7E7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670208"/>
        <c:axId val="393231680"/>
      </c:barChart>
      <c:catAx>
        <c:axId val="39267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3231680"/>
        <c:crosses val="autoZero"/>
        <c:auto val="1"/>
        <c:lblAlgn val="ctr"/>
        <c:lblOffset val="100"/>
        <c:noMultiLvlLbl val="0"/>
      </c:catAx>
      <c:valAx>
        <c:axId val="393231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Low temperature</a:t>
                </a:r>
                <a:r>
                  <a:rPr lang="de-DE" baseline="0"/>
                  <a:t> process heat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67020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796385819903501"/>
          <c:y val="0.10440123198934127"/>
          <c:w val="0.30594322832830551"/>
          <c:h val="0.8918897688619443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Low temperature process heat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819444444444445E-2"/>
          <c:y val="0.18011523120106368"/>
          <c:w val="0.37200781250000009"/>
          <c:h val="0.74483675579849329"/>
        </c:manualLayout>
      </c:layout>
      <c:pieChart>
        <c:varyColors val="1"/>
        <c:ser>
          <c:idx val="0"/>
          <c:order val="0"/>
          <c:tx>
            <c:strRef>
              <c:f>'Prozesswärme - Erzeugung'!$AV$3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1-1F51-4323-8E8B-ABBE8A12D726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4-1F51-4323-8E8B-ABBE8A12D726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1F51-4323-8E8B-ABBE8A12D726}"/>
              </c:ext>
            </c:extLst>
          </c:dPt>
          <c:dPt>
            <c:idx val="4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1F51-4323-8E8B-ABBE8A12D726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1F51-4323-8E8B-ABBE8A12D726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7-1F51-4323-8E8B-ABBE8A12D726}"/>
              </c:ext>
            </c:extLst>
          </c:dPt>
          <c:dPt>
            <c:idx val="7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3-1F51-4323-8E8B-ABBE8A12D726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1F51-4323-8E8B-ABBE8A12D726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1F51-4323-8E8B-ABBE8A12D726}"/>
              </c:ext>
            </c:extLst>
          </c:dPt>
          <c:dPt>
            <c:idx val="1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9-1F51-4323-8E8B-ABBE8A12D726}"/>
              </c:ext>
            </c:extLst>
          </c:dPt>
          <c:cat>
            <c:strRef>
              <c:f>'Prozesswärme - Erzeugung'!$AM$125:$AM$137</c:f>
              <c:strCache>
                <c:ptCount val="13"/>
                <c:pt idx="0">
                  <c:v>CC CHP</c:v>
                </c:pt>
                <c:pt idx="1">
                  <c:v>Coal CHP</c:v>
                </c:pt>
                <c:pt idx="2">
                  <c:v>Gas CHP</c:v>
                </c:pt>
                <c:pt idx="3">
                  <c:v>HTGrid</c:v>
                </c:pt>
                <c:pt idx="4">
                  <c:v>Lignite CHP</c:v>
                </c:pt>
                <c:pt idx="5">
                  <c:v>Biomass</c:v>
                </c:pt>
                <c:pt idx="6">
                  <c:v>Waste CHP</c:v>
                </c:pt>
                <c:pt idx="7">
                  <c:v>Electro vessel</c:v>
                </c:pt>
                <c:pt idx="8">
                  <c:v>Heatpump (LS)</c:v>
                </c:pt>
                <c:pt idx="9">
                  <c:v>Geothermal heatpump (LS)</c:v>
                </c:pt>
                <c:pt idx="10">
                  <c:v>FuelCell (LS)</c:v>
                </c:pt>
                <c:pt idx="11">
                  <c:v>SOFC (LS)</c:v>
                </c:pt>
                <c:pt idx="12">
                  <c:v>Mini CHP</c:v>
                </c:pt>
              </c:strCache>
            </c:strRef>
          </c:cat>
          <c:val>
            <c:numRef>
              <c:f>'Prozesswärme - Erzeugung'!$AV$125:$AV$137</c:f>
              <c:numCache>
                <c:formatCode>General</c:formatCode>
                <c:ptCount val="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6753731250051656"/>
          <c:y val="0.11478961971073962"/>
          <c:w val="0.5324626736111111"/>
          <c:h val="0.88521025783633001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52291666666667"/>
          <c:y val="6.1460416666666663E-2"/>
          <c:w val="0.5765698611111110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Erzeugung'!$C$4</c:f>
              <c:strCache>
                <c:ptCount val="1"/>
                <c:pt idx="0">
                  <c:v>Hochtemperatur (&gt;500°C)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'Prozesswärme - Erzeugung'!$E$3:$K$3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Erzeugung'!$C$5</c:f>
              <c:strCache>
                <c:ptCount val="1"/>
                <c:pt idx="0">
                  <c:v>Mitteltemperatur (100-500°C)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'Prozesswärme - Erzeugung'!$E$3:$K$3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C-4ED2-8F12-87BD0EBC9118}"/>
            </c:ext>
          </c:extLst>
        </c:ser>
        <c:ser>
          <c:idx val="2"/>
          <c:order val="2"/>
          <c:tx>
            <c:strRef>
              <c:f>'Prozesswärme - Erzeugung'!$C$6</c:f>
              <c:strCache>
                <c:ptCount val="1"/>
                <c:pt idx="0">
                  <c:v>Niedertemperatur (&lt;100°C)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'Prozesswärme - Erzeugung'!$E$3:$K$3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C-4ED2-8F12-87BD0EBC9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362944"/>
        <c:axId val="393531328"/>
      </c:barChart>
      <c:catAx>
        <c:axId val="39336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3531328"/>
        <c:crosses val="autoZero"/>
        <c:auto val="1"/>
        <c:lblAlgn val="ctr"/>
        <c:lblOffset val="100"/>
        <c:noMultiLvlLbl val="0"/>
      </c:catAx>
      <c:valAx>
        <c:axId val="393531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Prozesswärme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336294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917652777777772"/>
          <c:y val="0"/>
          <c:w val="0.29938069444444443"/>
          <c:h val="0.6940664431154285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Prozesswärme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407B-4FAE-A7F6-AE54C11517E1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07B-4FAE-A7F6-AE54C11517E1}"/>
              </c:ext>
            </c:extLst>
          </c:dPt>
          <c:cat>
            <c:strRef>
              <c:f>'Prozesswärme - Erzeugung'!$C$4:$C$6</c:f>
              <c:strCache>
                <c:ptCount val="3"/>
                <c:pt idx="0">
                  <c:v>Hochtemperatur (&gt;500°C)</c:v>
                </c:pt>
                <c:pt idx="1">
                  <c:v>Mitteltemperatur (100-500°C)</c:v>
                </c:pt>
                <c:pt idx="2">
                  <c:v>Niedertemperatur (&lt;100°C)</c:v>
                </c:pt>
              </c:strCache>
            </c:strRef>
          </c:cat>
          <c:val>
            <c:numRef>
              <c:f>'Prozesswärme - Erzeugung'!#REF!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978315972222225"/>
          <c:y val="0.14792178529805328"/>
          <c:w val="0.37522975451173257"/>
          <c:h val="0.8009903781699908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HT-Prozesswärme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Erzeugung'!$X$3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2-64A6-4FF7-9E9B-51C42BB5C0A6}"/>
              </c:ext>
            </c:extLst>
          </c:dPt>
          <c:dPt>
            <c:idx val="1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64A6-4FF7-9E9B-51C42BB5C0A6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64A6-4FF7-9E9B-51C42BB5C0A6}"/>
              </c:ext>
            </c:extLst>
          </c:dPt>
          <c:dPt>
            <c:idx val="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64A6-4FF7-9E9B-51C42BB5C0A6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64A6-4FF7-9E9B-51C42BB5C0A6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0-64A6-4FF7-9E9B-51C42BB5C0A6}"/>
              </c:ext>
            </c:extLst>
          </c:dPt>
          <c:cat>
            <c:strRef>
              <c:f>'Prozesswärme - Erzeugung'!$P$4:$P$10</c:f>
              <c:strCache>
                <c:ptCount val="7"/>
                <c:pt idx="0">
                  <c:v>Biokohle</c:v>
                </c:pt>
                <c:pt idx="1">
                  <c:v>Bioöl</c:v>
                </c:pt>
                <c:pt idx="2">
                  <c:v>Steinkohle</c:v>
                </c:pt>
                <c:pt idx="3">
                  <c:v>Erdgas</c:v>
                </c:pt>
                <c:pt idx="4">
                  <c:v>Wasserstoff</c:v>
                </c:pt>
                <c:pt idx="5">
                  <c:v>Elektrizität</c:v>
                </c:pt>
                <c:pt idx="6">
                  <c:v>Erdöl</c:v>
                </c:pt>
              </c:strCache>
            </c:strRef>
          </c:cat>
          <c:val>
            <c:numRef>
              <c:f>'Prozesswärme - Erzeugung'!$X$4:$X$10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978315972222225"/>
          <c:y val="0.14792178529805328"/>
          <c:w val="0.4502168402777777"/>
          <c:h val="0.8520782147019467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27291666666667"/>
          <c:y val="6.1460416666666663E-2"/>
          <c:w val="0.5165976388888888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Erzeugung'!$P$4</c:f>
              <c:strCache>
                <c:ptCount val="1"/>
                <c:pt idx="0">
                  <c:v>Biokohle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Erzeugung'!$R$3:$X$3</c15:sqref>
                  </c15:fullRef>
                </c:ext>
              </c:extLst>
              <c:f>'Prozesswärme - Erzeugung'!$R$3:$W$3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Erzeugung'!$R$4:$X$4</c15:sqref>
                  </c15:fullRef>
                </c:ext>
              </c:extLst>
              <c:f>'Prozesswärme - Erzeugung'!$R$4:$W$4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Erzeugung'!$P$5</c:f>
              <c:strCache>
                <c:ptCount val="1"/>
                <c:pt idx="0">
                  <c:v>Bioöl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Erzeugung'!$R$3:$X$3</c15:sqref>
                  </c15:fullRef>
                </c:ext>
              </c:extLst>
              <c:f>'Prozesswärme - Erzeugung'!$R$3:$W$3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Erzeugung'!$R$5:$X$5</c15:sqref>
                  </c15:fullRef>
                </c:ext>
              </c:extLst>
              <c:f>'Prozesswärme - Erzeugung'!$R$5:$W$5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B-4487-8108-A79AE5222750}"/>
            </c:ext>
          </c:extLst>
        </c:ser>
        <c:ser>
          <c:idx val="2"/>
          <c:order val="2"/>
          <c:tx>
            <c:strRef>
              <c:f>'Prozesswärme - Erzeugung'!$P$6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Erzeugung'!$R$3:$X$3</c15:sqref>
                  </c15:fullRef>
                </c:ext>
              </c:extLst>
              <c:f>'Prozesswärme - Erzeugung'!$R$3:$W$3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Erzeugung'!$R$6:$X$6</c15:sqref>
                  </c15:fullRef>
                </c:ext>
              </c:extLst>
              <c:f>'Prozesswärme - Erzeugung'!$R$6:$W$6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5B-4487-8108-A79AE5222750}"/>
            </c:ext>
          </c:extLst>
        </c:ser>
        <c:ser>
          <c:idx val="3"/>
          <c:order val="3"/>
          <c:tx>
            <c:strRef>
              <c:f>'Prozesswärme - Erzeugung'!$P$7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Erzeugung'!$R$3:$X$3</c15:sqref>
                  </c15:fullRef>
                </c:ext>
              </c:extLst>
              <c:f>'Prozesswärme - Erzeugung'!$R$3:$W$3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Erzeugung'!$R$7:$X$7</c15:sqref>
                  </c15:fullRef>
                </c:ext>
              </c:extLst>
              <c:f>'Prozesswärme - Erzeugung'!$R$7:$W$7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5B-4487-8108-A79AE5222750}"/>
            </c:ext>
          </c:extLst>
        </c:ser>
        <c:ser>
          <c:idx val="4"/>
          <c:order val="4"/>
          <c:tx>
            <c:strRef>
              <c:f>'Prozesswärme - Erzeugung'!$P$8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Erzeugung'!$R$3:$X$3</c15:sqref>
                  </c15:fullRef>
                </c:ext>
              </c:extLst>
              <c:f>'Prozesswärme - Erzeugung'!$R$3:$W$3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Erzeugung'!$R$8:$X$8</c15:sqref>
                  </c15:fullRef>
                </c:ext>
              </c:extLst>
              <c:f>'Prozesswärme - Erzeugung'!$R$8:$W$8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5B-4487-8108-A79AE5222750}"/>
            </c:ext>
          </c:extLst>
        </c:ser>
        <c:ser>
          <c:idx val="5"/>
          <c:order val="5"/>
          <c:tx>
            <c:strRef>
              <c:f>'Prozesswärme - Erzeugung'!$P$9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Erzeugung'!$R$3:$X$3</c15:sqref>
                  </c15:fullRef>
                </c:ext>
              </c:extLst>
              <c:f>'Prozesswärme - Erzeugung'!$R$3:$W$3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Erzeugung'!$R$9:$X$9</c15:sqref>
                  </c15:fullRef>
                </c:ext>
              </c:extLst>
              <c:f>'Prozesswärme - Erzeugung'!$R$9:$W$9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5B-4487-8108-A79AE5222750}"/>
            </c:ext>
          </c:extLst>
        </c:ser>
        <c:ser>
          <c:idx val="6"/>
          <c:order val="6"/>
          <c:tx>
            <c:strRef>
              <c:f>'Prozesswärme - Erzeugung'!$P$10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Erzeugung'!$R$3:$X$3</c15:sqref>
                  </c15:fullRef>
                </c:ext>
              </c:extLst>
              <c:f>'Prozesswärme - Erzeugung'!$R$3:$W$3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Erzeugung'!$R$10:$X$10</c15:sqref>
                  </c15:fullRef>
                </c:ext>
              </c:extLst>
              <c:f>'Prozesswärme - Erzeugung'!$R$10:$W$10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5B-4487-8108-A79AE5222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181120"/>
        <c:axId val="393962048"/>
      </c:barChart>
      <c:catAx>
        <c:axId val="39418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3962048"/>
        <c:crosses val="autoZero"/>
        <c:auto val="1"/>
        <c:lblAlgn val="ctr"/>
        <c:lblOffset val="100"/>
        <c:noMultiLvlLbl val="0"/>
      </c:catAx>
      <c:valAx>
        <c:axId val="393962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HT-Prozesswärme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418112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7977374999999995"/>
          <c:y val="0"/>
          <c:w val="0.32022624999999999"/>
          <c:h val="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MT-Prozesswärme</a:t>
            </a:r>
            <a:r>
              <a:rPr lang="de-DE" sz="1600" baseline="0"/>
              <a:t> in </a:t>
            </a:r>
            <a:r>
              <a:rPr lang="de-DE" sz="1600"/>
              <a:t>2050</a:t>
            </a:r>
          </a:p>
        </c:rich>
      </c:tx>
      <c:layout>
        <c:manualLayout>
          <c:xMode val="edge"/>
          <c:yMode val="edge"/>
          <c:x val="0.1027243529748747"/>
          <c:y val="0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Erzeugung'!$AK$3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0510-45FD-ACCE-67EF7B74751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2-0510-45FD-ACCE-67EF7B747517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0510-45FD-ACCE-67EF7B747517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4-0510-45FD-ACCE-67EF7B747517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0510-45FD-ACCE-67EF7B747517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0510-45FD-ACCE-67EF7B747517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0-0510-45FD-ACCE-67EF7B747517}"/>
              </c:ext>
            </c:extLst>
          </c:dPt>
          <c:cat>
            <c:strRef>
              <c:f>'Prozesswärme - Erzeugung'!$AC$4:$AC$10</c:f>
              <c:strCache>
                <c:ptCount val="7"/>
                <c:pt idx="0">
                  <c:v>Steinkohle</c:v>
                </c:pt>
                <c:pt idx="1">
                  <c:v>Elektrizität</c:v>
                </c:pt>
                <c:pt idx="2">
                  <c:v>Erdgas</c:v>
                </c:pt>
                <c:pt idx="3">
                  <c:v>Erdöl</c:v>
                </c:pt>
                <c:pt idx="4">
                  <c:v>Andere</c:v>
                </c:pt>
                <c:pt idx="5">
                  <c:v>Holzpellets</c:v>
                </c:pt>
                <c:pt idx="6">
                  <c:v>Müll</c:v>
                </c:pt>
              </c:strCache>
            </c:strRef>
          </c:cat>
          <c:val>
            <c:numRef>
              <c:f>'Prozesswärme - Erzeugung'!$AK$4:$AK$10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2650052083333332"/>
          <c:y val="9.7292989751709497E-2"/>
          <c:w val="0.45659357638888887"/>
          <c:h val="0.9027070102482904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160559722222221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Erzeugung'!$AC$4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Erzeugung'!$AE$4:$AK$4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Erzeugung'!$AC$5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Erzeugung'!$AE$5:$AK$5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0-4CB6-965E-85D93A605FF7}"/>
            </c:ext>
          </c:extLst>
        </c:ser>
        <c:ser>
          <c:idx val="2"/>
          <c:order val="2"/>
          <c:tx>
            <c:strRef>
              <c:f>'Prozesswärme - Erzeugung'!$AC$6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Erzeugung'!$AE$6:$AK$6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0-4CB6-965E-85D93A605FF7}"/>
            </c:ext>
          </c:extLst>
        </c:ser>
        <c:ser>
          <c:idx val="3"/>
          <c:order val="3"/>
          <c:tx>
            <c:strRef>
              <c:f>'Prozesswärme - Erzeugung'!$AC$7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Erzeugung'!$AE$7:$AK$7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0-4CB6-965E-85D93A605FF7}"/>
            </c:ext>
          </c:extLst>
        </c:ser>
        <c:ser>
          <c:idx val="4"/>
          <c:order val="4"/>
          <c:tx>
            <c:strRef>
              <c:f>'Prozesswärme - Erzeugung'!$AC$8</c:f>
              <c:strCache>
                <c:ptCount val="1"/>
                <c:pt idx="0">
                  <c:v>Andere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Erzeugung'!$AE$8:$AK$8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0-4CB6-965E-85D93A605FF7}"/>
            </c:ext>
          </c:extLst>
        </c:ser>
        <c:ser>
          <c:idx val="5"/>
          <c:order val="5"/>
          <c:tx>
            <c:strRef>
              <c:f>'Prozesswärme - Erzeugung'!$AC$9</c:f>
              <c:strCache>
                <c:ptCount val="1"/>
                <c:pt idx="0">
                  <c:v>Holzpellets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Erzeugung'!$AE$9:$AK$9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0-4CB6-965E-85D93A605FF7}"/>
            </c:ext>
          </c:extLst>
        </c:ser>
        <c:ser>
          <c:idx val="6"/>
          <c:order val="6"/>
          <c:tx>
            <c:strRef>
              <c:f>'Prozesswärme - Erzeugung'!$AC$10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'Prozesswärme - Erzeugung'!$AE$3:$AK$3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Erzeugung'!$AE$10:$AK$10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0-4CB6-965E-85D93A605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224128"/>
        <c:axId val="393966080"/>
      </c:barChart>
      <c:catAx>
        <c:axId val="39422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3966080"/>
        <c:crosses val="autoZero"/>
        <c:auto val="1"/>
        <c:lblAlgn val="ctr"/>
        <c:lblOffset val="100"/>
        <c:noMultiLvlLbl val="0"/>
      </c:catAx>
      <c:valAx>
        <c:axId val="393966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MT-Prozesswärme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422412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510177132670499"/>
          <c:y val="0"/>
          <c:w val="0.22787232706991059"/>
          <c:h val="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485778238557739"/>
          <c:y val="6.1460416666666663E-2"/>
          <c:w val="0.45900291666666665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'Prozesswärme - Erzeugung'!$AN$125</c:f>
              <c:strCache>
                <c:ptCount val="1"/>
                <c:pt idx="0">
                  <c:v>GuD-KWK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Erzeugung'!$AP$125:$AV$125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'Prozesswärme - Erzeugung'!$AN$126</c:f>
              <c:strCache>
                <c:ptCount val="1"/>
                <c:pt idx="0">
                  <c:v>Steinkohle-KWK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Erzeugung'!$AP$126:$AV$126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7-42CF-9399-65940C61733B}"/>
            </c:ext>
          </c:extLst>
        </c:ser>
        <c:ser>
          <c:idx val="1"/>
          <c:order val="2"/>
          <c:tx>
            <c:strRef>
              <c:f>'Prozesswärme - Erzeugung'!$AN$127</c:f>
              <c:strCache>
                <c:ptCount val="1"/>
                <c:pt idx="0">
                  <c:v>Erdgas-KWK (LS)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Erzeugung'!$AP$127:$AV$127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67-42CF-9399-65940C61733B}"/>
            </c:ext>
          </c:extLst>
        </c:ser>
        <c:ser>
          <c:idx val="3"/>
          <c:order val="3"/>
          <c:tx>
            <c:strRef>
              <c:f>'Prozesswärme - Erzeugung'!$AN$128</c:f>
              <c:strCache>
                <c:ptCount val="1"/>
                <c:pt idx="0">
                  <c:v>HKW</c:v>
                </c:pt>
              </c:strCache>
            </c:strRef>
          </c:tx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Erzeugung'!$AP$128:$AV$128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67-42CF-9399-65940C61733B}"/>
            </c:ext>
          </c:extLst>
        </c:ser>
        <c:ser>
          <c:idx val="4"/>
          <c:order val="4"/>
          <c:tx>
            <c:strRef>
              <c:f>'Prozesswärme - Erzeugung'!$AN$129</c:f>
              <c:strCache>
                <c:ptCount val="1"/>
                <c:pt idx="0">
                  <c:v>Braunkohle-KWK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Erzeugung'!$AP$129:$AV$129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67-42CF-9399-65940C61733B}"/>
            </c:ext>
          </c:extLst>
        </c:ser>
        <c:ser>
          <c:idx val="5"/>
          <c:order val="5"/>
          <c:tx>
            <c:strRef>
              <c:f>'Prozesswärme - Erzeugung'!$AN$130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Erzeugung'!$AP$130:$AV$130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67-42CF-9399-65940C61733B}"/>
            </c:ext>
          </c:extLst>
        </c:ser>
        <c:ser>
          <c:idx val="6"/>
          <c:order val="6"/>
          <c:tx>
            <c:strRef>
              <c:f>'Prozesswärme - Erzeugung'!$AN$131</c:f>
              <c:strCache>
                <c:ptCount val="1"/>
                <c:pt idx="0">
                  <c:v>Abfall-KWK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Erzeugung'!$AP$131:$AV$131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67-42CF-9399-65940C61733B}"/>
            </c:ext>
          </c:extLst>
        </c:ser>
        <c:ser>
          <c:idx val="7"/>
          <c:order val="7"/>
          <c:tx>
            <c:strRef>
              <c:f>'Prozesswärme - Erzeugung'!$AN$132</c:f>
              <c:strCache>
                <c:ptCount val="1"/>
                <c:pt idx="0">
                  <c:v>Elektrokessel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Erzeugung'!$AP$132:$AV$132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67-42CF-9399-65940C61733B}"/>
            </c:ext>
          </c:extLst>
        </c:ser>
        <c:ser>
          <c:idx val="8"/>
          <c:order val="8"/>
          <c:tx>
            <c:strRef>
              <c:f>'Prozesswärme - Erzeugung'!$AN$133</c:f>
              <c:strCache>
                <c:ptCount val="1"/>
                <c:pt idx="0">
                  <c:v>Wärmepumpe (LS)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Erzeugung'!$AP$133:$AV$133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67-42CF-9399-65940C61733B}"/>
            </c:ext>
          </c:extLst>
        </c:ser>
        <c:ser>
          <c:idx val="12"/>
          <c:order val="9"/>
          <c:tx>
            <c:strRef>
              <c:f>'Prozesswärme - Erzeugung'!$AN$135</c:f>
              <c:strCache>
                <c:ptCount val="1"/>
                <c:pt idx="0">
                  <c:v>Brennstoffzelle (LS)</c:v>
                </c:pt>
              </c:strCache>
            </c:strRef>
          </c:tx>
          <c:invertIfNegative val="0"/>
          <c:val>
            <c:numRef>
              <c:f>'Prozesswärme - Erzeugung'!$AP$135:$AV$135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F-45C2-8D2E-4A53DDD137A0}"/>
            </c:ext>
          </c:extLst>
        </c:ser>
        <c:ser>
          <c:idx val="9"/>
          <c:order val="10"/>
          <c:tx>
            <c:strRef>
              <c:f>'Prozesswärme - Erzeugung'!$AN$136</c:f>
              <c:strCache>
                <c:ptCount val="1"/>
                <c:pt idx="0">
                  <c:v>SOFC (LS)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Erzeugung'!$AP$136:$AV$136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67-42CF-9399-65940C61733B}"/>
            </c:ext>
          </c:extLst>
        </c:ser>
        <c:ser>
          <c:idx val="10"/>
          <c:order val="11"/>
          <c:tx>
            <c:strRef>
              <c:f>'Prozesswärme - Erzeugung'!$AN$137</c:f>
              <c:strCache>
                <c:ptCount val="1"/>
                <c:pt idx="0">
                  <c:v>Erdgas-KWK (SS)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Erzeugung'!$AP$137:$AV$137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67-42CF-9399-65940C61733B}"/>
            </c:ext>
          </c:extLst>
        </c:ser>
        <c:ser>
          <c:idx val="11"/>
          <c:order val="12"/>
          <c:tx>
            <c:strRef>
              <c:f>'Prozesswärme - Erzeugung'!$AN$134</c:f>
              <c:strCache>
                <c:ptCount val="1"/>
                <c:pt idx="0">
                  <c:v>Erdwärmepumpe (LS)</c:v>
                </c:pt>
              </c:strCache>
            </c:strRef>
          </c:tx>
          <c:invertIfNegative val="0"/>
          <c:val>
            <c:numRef>
              <c:f>'Prozesswärme - Erzeugung'!$AP$134:$AV$134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2-47B1-9354-2EDC80FDE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225664"/>
        <c:axId val="393967808"/>
      </c:barChart>
      <c:catAx>
        <c:axId val="39422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3967808"/>
        <c:crosses val="autoZero"/>
        <c:auto val="1"/>
        <c:lblAlgn val="ctr"/>
        <c:lblOffset val="100"/>
        <c:noMultiLvlLbl val="0"/>
      </c:catAx>
      <c:valAx>
        <c:axId val="393967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NT-Prozesswärme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422566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357666666666667"/>
          <c:y val="0"/>
          <c:w val="0.30137866847185235"/>
          <c:h val="0.8246382036046283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NT-Prozesswärme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819444444444445E-2"/>
          <c:y val="0.18011523120106368"/>
          <c:w val="0.37200781250000009"/>
          <c:h val="0.74483675579849329"/>
        </c:manualLayout>
      </c:layout>
      <c:pieChart>
        <c:varyColors val="1"/>
        <c:ser>
          <c:idx val="0"/>
          <c:order val="0"/>
          <c:tx>
            <c:strRef>
              <c:f>'Prozesswärme - Erzeugung'!$AV$3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1-1F51-4323-8E8B-ABBE8A12D726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4-1F51-4323-8E8B-ABBE8A12D726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1F51-4323-8E8B-ABBE8A12D726}"/>
              </c:ext>
            </c:extLst>
          </c:dPt>
          <c:dPt>
            <c:idx val="4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1F51-4323-8E8B-ABBE8A12D726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1F51-4323-8E8B-ABBE8A12D726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7-1F51-4323-8E8B-ABBE8A12D726}"/>
              </c:ext>
            </c:extLst>
          </c:dPt>
          <c:dPt>
            <c:idx val="7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3-1F51-4323-8E8B-ABBE8A12D726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1F51-4323-8E8B-ABBE8A12D726}"/>
              </c:ext>
            </c:extLst>
          </c:dPt>
          <c:dPt>
            <c:idx val="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1F51-4323-8E8B-ABBE8A12D726}"/>
              </c:ext>
            </c:extLst>
          </c:dPt>
          <c:dPt>
            <c:idx val="1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9-1F51-4323-8E8B-ABBE8A12D726}"/>
              </c:ext>
            </c:extLst>
          </c:dPt>
          <c:cat>
            <c:strRef>
              <c:f>'Prozesswärme - Erzeugung'!$AN$125:$AN$137</c:f>
              <c:strCache>
                <c:ptCount val="13"/>
                <c:pt idx="0">
                  <c:v>GuD-KWK</c:v>
                </c:pt>
                <c:pt idx="1">
                  <c:v>Steinkohle-KWK</c:v>
                </c:pt>
                <c:pt idx="2">
                  <c:v>Erdgas-KWK (LS)</c:v>
                </c:pt>
                <c:pt idx="3">
                  <c:v>HKW</c:v>
                </c:pt>
                <c:pt idx="4">
                  <c:v>Braunkohle-KWK</c:v>
                </c:pt>
                <c:pt idx="5">
                  <c:v>Biomasse</c:v>
                </c:pt>
                <c:pt idx="6">
                  <c:v>Abfall-KWK</c:v>
                </c:pt>
                <c:pt idx="7">
                  <c:v>Elektrokessel</c:v>
                </c:pt>
                <c:pt idx="8">
                  <c:v>Wärmepumpe (LS)</c:v>
                </c:pt>
                <c:pt idx="9">
                  <c:v>Erdwärmepumpe (LS)</c:v>
                </c:pt>
                <c:pt idx="10">
                  <c:v>Brennstoffzelle (LS)</c:v>
                </c:pt>
                <c:pt idx="11">
                  <c:v>SOFC (LS)</c:v>
                </c:pt>
                <c:pt idx="12">
                  <c:v>Erdgas-KWK (SS)</c:v>
                </c:pt>
              </c:strCache>
            </c:strRef>
          </c:cat>
          <c:val>
            <c:numRef>
              <c:f>'Prozesswärme - Erzeugung'!$AV$125:$AV$137</c:f>
              <c:numCache>
                <c:formatCode>General</c:formatCode>
                <c:ptCount val="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675373263888889"/>
          <c:y val="0.11478974216366999"/>
          <c:w val="0.5324626736111111"/>
          <c:h val="0.88521025783633001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de-DE"/>
              <a:t>ohne Nicht-CO2</a:t>
            </a:r>
          </a:p>
        </c:rich>
      </c:tx>
      <c:layout>
        <c:manualLayout>
          <c:xMode val="edge"/>
          <c:yMode val="edge"/>
          <c:x val="0.25791091020175116"/>
          <c:y val="3.67002904457873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485778238557739"/>
          <c:y val="0.16309200058151399"/>
          <c:w val="0.33376680555555555"/>
          <c:h val="0.52191391903529138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'[1]Prozesswärme - Erzeugung'!$AN$38</c:f>
              <c:strCache>
                <c:ptCount val="1"/>
                <c:pt idx="0">
                  <c:v>CC CHP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Erzeugung'!$AP$38:$AV$38</c:f>
              <c:numCache>
                <c:formatCode>General</c:formatCode>
                <c:ptCount val="7"/>
                <c:pt idx="0">
                  <c:v>722.07343573599996</c:v>
                </c:pt>
                <c:pt idx="1">
                  <c:v>3023.2129324102862</c:v>
                </c:pt>
                <c:pt idx="2">
                  <c:v>5261.6317071164267</c:v>
                </c:pt>
                <c:pt idx="3">
                  <c:v>4381.9542281145195</c:v>
                </c:pt>
                <c:pt idx="4">
                  <c:v>3430.2773183868658</c:v>
                </c:pt>
                <c:pt idx="5">
                  <c:v>1583.4760428408961</c:v>
                </c:pt>
                <c:pt idx="6">
                  <c:v>945.96086788858406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7-4C70-A042-EB10F4E4539B}"/>
            </c:ext>
          </c:extLst>
        </c:ser>
        <c:ser>
          <c:idx val="0"/>
          <c:order val="1"/>
          <c:tx>
            <c:strRef>
              <c:f>'[1]Prozesswärme - Erzeugung'!$AN$39</c:f>
              <c:strCache>
                <c:ptCount val="1"/>
                <c:pt idx="0">
                  <c:v>Coal CHP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Erzeugung'!$AP$39:$AV$39</c:f>
              <c:numCache>
                <c:formatCode>General</c:formatCode>
                <c:ptCount val="7"/>
                <c:pt idx="0">
                  <c:v>8640.3660414919705</c:v>
                </c:pt>
                <c:pt idx="1">
                  <c:v>133.56299501670429</c:v>
                </c:pt>
                <c:pt idx="2">
                  <c:v>430.43840188703092</c:v>
                </c:pt>
                <c:pt idx="3">
                  <c:v>10.282864594297676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7-4C70-A042-EB10F4E4539B}"/>
            </c:ext>
          </c:extLst>
        </c:ser>
        <c:ser>
          <c:idx val="1"/>
          <c:order val="2"/>
          <c:tx>
            <c:strRef>
              <c:f>'[1]Prozesswärme - Erzeugung'!$AN$40</c:f>
              <c:strCache>
                <c:ptCount val="1"/>
                <c:pt idx="0">
                  <c:v>Gas CHP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Erzeugung'!$AP$40:$AV$40</c:f>
              <c:numCache>
                <c:formatCode>General</c:formatCode>
                <c:ptCount val="7"/>
                <c:pt idx="0">
                  <c:v>24.716290302834636</c:v>
                </c:pt>
                <c:pt idx="1">
                  <c:v>39.239015605233597</c:v>
                </c:pt>
                <c:pt idx="2">
                  <c:v>197.3330340049707</c:v>
                </c:pt>
                <c:pt idx="3">
                  <c:v>48.837537118236192</c:v>
                </c:pt>
                <c:pt idx="4">
                  <c:v>46.203011846382658</c:v>
                </c:pt>
                <c:pt idx="5">
                  <c:v>24.250141328501154</c:v>
                </c:pt>
                <c:pt idx="6">
                  <c:v>0.14221871447443221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67-4C70-A042-EB10F4E4539B}"/>
            </c:ext>
          </c:extLst>
        </c:ser>
        <c:ser>
          <c:idx val="3"/>
          <c:order val="3"/>
          <c:tx>
            <c:strRef>
              <c:f>'[1]Prozesswärme - Erzeugung'!$AN$41</c:f>
              <c:strCache>
                <c:ptCount val="1"/>
                <c:pt idx="0">
                  <c:v>H2 GT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Erzeugung'!$AP$41:$AV$41</c:f>
              <c:numCache>
                <c:formatCode>General</c:formatCode>
                <c:ptCount val="7"/>
                <c:pt idx="0">
                  <c:v>0</c:v>
                </c:pt>
                <c:pt idx="1">
                  <c:v>4.4075418276525016E-2</c:v>
                </c:pt>
                <c:pt idx="2">
                  <c:v>16.624690509128882</c:v>
                </c:pt>
                <c:pt idx="3">
                  <c:v>106.02736255172717</c:v>
                </c:pt>
                <c:pt idx="4">
                  <c:v>367.20125176220267</c:v>
                </c:pt>
                <c:pt idx="5">
                  <c:v>342.37007365330624</c:v>
                </c:pt>
                <c:pt idx="6">
                  <c:v>903.63458444197329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67-4C70-A042-EB10F4E4539B}"/>
            </c:ext>
          </c:extLst>
        </c:ser>
        <c:ser>
          <c:idx val="4"/>
          <c:order val="4"/>
          <c:tx>
            <c:strRef>
              <c:f>'[1]Prozesswärme - Erzeugung'!$AN$42</c:f>
              <c:strCache>
                <c:ptCount val="1"/>
                <c:pt idx="0">
                  <c:v>HTGrid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Erzeugung'!$AP$42:$AV$42</c:f>
              <c:numCache>
                <c:formatCode>General</c:formatCode>
                <c:ptCount val="7"/>
                <c:pt idx="0">
                  <c:v>0.40720157023757453</c:v>
                </c:pt>
                <c:pt idx="1">
                  <c:v>25.068285373324343</c:v>
                </c:pt>
                <c:pt idx="2">
                  <c:v>287.97392512898477</c:v>
                </c:pt>
                <c:pt idx="3">
                  <c:v>328.81943160087235</c:v>
                </c:pt>
                <c:pt idx="4">
                  <c:v>69.804796971979172</c:v>
                </c:pt>
                <c:pt idx="5">
                  <c:v>33.460369683983458</c:v>
                </c:pt>
                <c:pt idx="6">
                  <c:v>450.58200366815328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67-4C70-A042-EB10F4E4539B}"/>
            </c:ext>
          </c:extLst>
        </c:ser>
        <c:ser>
          <c:idx val="5"/>
          <c:order val="5"/>
          <c:tx>
            <c:strRef>
              <c:f>'[1]Prozesswärme - Erzeugung'!$AN$43</c:f>
              <c:strCache>
                <c:ptCount val="1"/>
                <c:pt idx="0">
                  <c:v>Lignite CHP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Erzeugung'!$AP$43:$AV$43</c:f>
              <c:numCache>
                <c:formatCode>General</c:formatCode>
                <c:ptCount val="7"/>
                <c:pt idx="0">
                  <c:v>25761.993542440094</c:v>
                </c:pt>
                <c:pt idx="1">
                  <c:v>2323.6648960334237</c:v>
                </c:pt>
                <c:pt idx="2">
                  <c:v>94.586460706291845</c:v>
                </c:pt>
                <c:pt idx="3">
                  <c:v>55.954555554245559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67-4C70-A042-EB10F4E4539B}"/>
            </c:ext>
          </c:extLst>
        </c:ser>
        <c:ser>
          <c:idx val="6"/>
          <c:order val="6"/>
          <c:tx>
            <c:strRef>
              <c:f>'[1]Prozesswärme - Erzeugung'!$AN$44</c:f>
              <c:strCache>
                <c:ptCount val="1"/>
                <c:pt idx="0">
                  <c:v>Straw CHP (LS)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Erzeugung'!$AP$44:$AV$44</c:f>
              <c:numCache>
                <c:formatCode>General</c:formatCode>
                <c:ptCount val="7"/>
                <c:pt idx="0">
                  <c:v>0</c:v>
                </c:pt>
                <c:pt idx="1">
                  <c:v>8.5110381337951152E-2</c:v>
                </c:pt>
                <c:pt idx="2">
                  <c:v>0.2443441212963979</c:v>
                </c:pt>
                <c:pt idx="3">
                  <c:v>0.39409722624281851</c:v>
                </c:pt>
                <c:pt idx="4">
                  <c:v>0.10983755313396638</c:v>
                </c:pt>
                <c:pt idx="5">
                  <c:v>0.70192058990013195</c:v>
                </c:pt>
                <c:pt idx="6">
                  <c:v>1.3198736466773988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67-4C70-A042-EB10F4E4539B}"/>
            </c:ext>
          </c:extLst>
        </c:ser>
        <c:ser>
          <c:idx val="7"/>
          <c:order val="7"/>
          <c:tx>
            <c:strRef>
              <c:f>'[1]Prozesswärme - Erzeugung'!$AN$45</c:f>
              <c:strCache>
                <c:ptCount val="1"/>
                <c:pt idx="0">
                  <c:v>Straw CHP (MS)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Erzeugung'!$AP$45:$AV$45</c:f>
              <c:numCache>
                <c:formatCode>General</c:formatCode>
                <c:ptCount val="7"/>
                <c:pt idx="0">
                  <c:v>0</c:v>
                </c:pt>
                <c:pt idx="1">
                  <c:v>0.24332450831722857</c:v>
                </c:pt>
                <c:pt idx="2">
                  <c:v>0.41731244775354354</c:v>
                </c:pt>
                <c:pt idx="3">
                  <c:v>0.95528577911484991</c:v>
                </c:pt>
                <c:pt idx="4">
                  <c:v>7.9876646289011907E-2</c:v>
                </c:pt>
                <c:pt idx="5">
                  <c:v>1.430481794727064</c:v>
                </c:pt>
                <c:pt idx="6">
                  <c:v>2.5298963675260637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67-4C70-A042-EB10F4E4539B}"/>
            </c:ext>
          </c:extLst>
        </c:ser>
        <c:ser>
          <c:idx val="8"/>
          <c:order val="8"/>
          <c:tx>
            <c:strRef>
              <c:f>'[1]Prozesswärme - Erzeugung'!$AN$46</c:f>
              <c:strCache>
                <c:ptCount val="1"/>
                <c:pt idx="0">
                  <c:v>Straw HP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Erzeugung'!$AP$46:$AV$46</c:f>
              <c:numCache>
                <c:formatCode>General</c:formatCode>
                <c:ptCount val="7"/>
                <c:pt idx="0">
                  <c:v>0</c:v>
                </c:pt>
                <c:pt idx="1">
                  <c:v>4.4116031090418444E-2</c:v>
                </c:pt>
                <c:pt idx="2">
                  <c:v>0.10142710591385587</c:v>
                </c:pt>
                <c:pt idx="3">
                  <c:v>0.14862597834736638</c:v>
                </c:pt>
                <c:pt idx="4">
                  <c:v>5.2154295815322466E-2</c:v>
                </c:pt>
                <c:pt idx="5">
                  <c:v>0.32218344374412178</c:v>
                </c:pt>
                <c:pt idx="6">
                  <c:v>0.45688844725196259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67-4C70-A042-EB10F4E4539B}"/>
            </c:ext>
          </c:extLst>
        </c:ser>
        <c:ser>
          <c:idx val="9"/>
          <c:order val="9"/>
          <c:tx>
            <c:strRef>
              <c:f>'[1]Prozesswärme - Erzeugung'!$AN$47</c:f>
              <c:strCache>
                <c:ptCount val="1"/>
                <c:pt idx="0">
                  <c:v>Waste CHP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Erzeugung'!$AP$47:$AV$47</c:f>
              <c:numCache>
                <c:formatCode>General</c:formatCode>
                <c:ptCount val="7"/>
                <c:pt idx="0">
                  <c:v>49.960318394338948</c:v>
                </c:pt>
                <c:pt idx="1">
                  <c:v>1.2803207615852246</c:v>
                </c:pt>
                <c:pt idx="2">
                  <c:v>0.18225355067977858</c:v>
                </c:pt>
                <c:pt idx="3">
                  <c:v>0.26561802088361136</c:v>
                </c:pt>
                <c:pt idx="4">
                  <c:v>9.7559875229526636</c:v>
                </c:pt>
                <c:pt idx="5">
                  <c:v>158.52796601679151</c:v>
                </c:pt>
                <c:pt idx="6">
                  <c:v>900.76976196709609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167-4C70-A042-EB10F4E4539B}"/>
            </c:ext>
          </c:extLst>
        </c:ser>
        <c:ser>
          <c:idx val="10"/>
          <c:order val="10"/>
          <c:tx>
            <c:strRef>
              <c:f>'[1]Prozesswärme - Erzeugung'!$AN$48</c:f>
              <c:strCache>
                <c:ptCount val="1"/>
                <c:pt idx="0">
                  <c:v>Wood CHP (LS)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Erzeugung'!$AP$48:$AV$48</c:f>
              <c:numCache>
                <c:formatCode>General</c:formatCode>
                <c:ptCount val="7"/>
                <c:pt idx="0">
                  <c:v>0</c:v>
                </c:pt>
                <c:pt idx="1">
                  <c:v>10.078878671773476</c:v>
                </c:pt>
                <c:pt idx="2">
                  <c:v>10507.710064768535</c:v>
                </c:pt>
                <c:pt idx="3">
                  <c:v>18999.271017326741</c:v>
                </c:pt>
                <c:pt idx="4">
                  <c:v>24941.789403266444</c:v>
                </c:pt>
                <c:pt idx="5">
                  <c:v>15642.446580627529</c:v>
                </c:pt>
                <c:pt idx="6">
                  <c:v>11242.8987582346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67-4C70-A042-EB10F4E4539B}"/>
            </c:ext>
          </c:extLst>
        </c:ser>
        <c:ser>
          <c:idx val="11"/>
          <c:order val="11"/>
          <c:tx>
            <c:strRef>
              <c:f>'[1]Prozesswärme - Erzeugung'!$AN$49</c:f>
              <c:strCache>
                <c:ptCount val="1"/>
                <c:pt idx="0">
                  <c:v>Wood CHP (MS)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Erzeugung'!$AP$49:$AV$49</c:f>
              <c:numCache>
                <c:formatCode>General</c:formatCode>
                <c:ptCount val="7"/>
                <c:pt idx="0">
                  <c:v>21.202136032502882</c:v>
                </c:pt>
                <c:pt idx="1">
                  <c:v>25693.001484616376</c:v>
                </c:pt>
                <c:pt idx="2">
                  <c:v>16854.291242280782</c:v>
                </c:pt>
                <c:pt idx="3">
                  <c:v>14166.732336063529</c:v>
                </c:pt>
                <c:pt idx="4">
                  <c:v>14083.810991645205</c:v>
                </c:pt>
                <c:pt idx="5">
                  <c:v>15256.333896511289</c:v>
                </c:pt>
                <c:pt idx="6">
                  <c:v>18231.19571650798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167-4C70-A042-EB10F4E4539B}"/>
            </c:ext>
          </c:extLst>
        </c:ser>
        <c:ser>
          <c:idx val="12"/>
          <c:order val="12"/>
          <c:tx>
            <c:strRef>
              <c:f>'[1]Prozesswärme - Erzeugung'!$AN$50</c:f>
              <c:strCache>
                <c:ptCount val="1"/>
                <c:pt idx="0">
                  <c:v>Wood HP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Erzeugung'!$AP$50:$AV$50</c:f>
              <c:numCache>
                <c:formatCode>General</c:formatCode>
                <c:ptCount val="7"/>
                <c:pt idx="0">
                  <c:v>0</c:v>
                </c:pt>
                <c:pt idx="1">
                  <c:v>0.13880588989028775</c:v>
                </c:pt>
                <c:pt idx="2">
                  <c:v>0.51825178901501301</c:v>
                </c:pt>
                <c:pt idx="3">
                  <c:v>0.44280434294072452</c:v>
                </c:pt>
                <c:pt idx="4">
                  <c:v>0.14004341430497674</c:v>
                </c:pt>
                <c:pt idx="5">
                  <c:v>0.60769371247708159</c:v>
                </c:pt>
                <c:pt idx="6">
                  <c:v>0.44899228570571803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167-4C70-A042-EB10F4E4539B}"/>
            </c:ext>
          </c:extLst>
        </c:ser>
        <c:ser>
          <c:idx val="13"/>
          <c:order val="13"/>
          <c:tx>
            <c:strRef>
              <c:f>'[1]Prozesswärme - Erzeugung'!$AN$51</c:f>
              <c:strCache>
                <c:ptCount val="1"/>
                <c:pt idx="0">
                  <c:v>Biogas CHP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Erzeugung'!$AP$51:$AV$51</c:f>
              <c:numCache>
                <c:formatCode>General</c:formatCode>
                <c:ptCount val="7"/>
                <c:pt idx="0">
                  <c:v>12.124877071644349</c:v>
                </c:pt>
                <c:pt idx="1">
                  <c:v>2669.9911814471839</c:v>
                </c:pt>
                <c:pt idx="2">
                  <c:v>1561.9266211083034</c:v>
                </c:pt>
                <c:pt idx="3">
                  <c:v>1463.5016063689495</c:v>
                </c:pt>
                <c:pt idx="4">
                  <c:v>1059.4420866360686</c:v>
                </c:pt>
                <c:pt idx="5">
                  <c:v>1194.9921073726739</c:v>
                </c:pt>
                <c:pt idx="6">
                  <c:v>2981.8804411452379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167-4C70-A042-EB10F4E4539B}"/>
            </c:ext>
          </c:extLst>
        </c:ser>
        <c:ser>
          <c:idx val="14"/>
          <c:order val="14"/>
          <c:tx>
            <c:strRef>
              <c:f>'[1]Prozesswärme - Erzeugung'!$AN$52</c:f>
              <c:strCache>
                <c:ptCount val="1"/>
                <c:pt idx="0">
                  <c:v>Electro vessel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Erzeugung'!$AP$52:$AV$52</c:f>
              <c:numCache>
                <c:formatCode>General</c:formatCode>
                <c:ptCount val="7"/>
                <c:pt idx="0">
                  <c:v>0</c:v>
                </c:pt>
                <c:pt idx="1">
                  <c:v>182.67833522788504</c:v>
                </c:pt>
                <c:pt idx="2">
                  <c:v>130.96437045068217</c:v>
                </c:pt>
                <c:pt idx="3">
                  <c:v>87.575099177791543</c:v>
                </c:pt>
                <c:pt idx="4">
                  <c:v>117.40629483270506</c:v>
                </c:pt>
                <c:pt idx="5">
                  <c:v>449.1112603073629</c:v>
                </c:pt>
                <c:pt idx="6">
                  <c:v>249.08434660211958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67-4C70-A042-EB10F4E4539B}"/>
            </c:ext>
          </c:extLst>
        </c:ser>
        <c:ser>
          <c:idx val="15"/>
          <c:order val="15"/>
          <c:tx>
            <c:strRef>
              <c:f>'[1]Prozesswärme - Erzeugung'!$AN$53</c:f>
              <c:strCache>
                <c:ptCount val="1"/>
                <c:pt idx="0">
                  <c:v>H2 Mini CHP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Erzeugung'!$AP$53:$AV$53</c:f>
              <c:numCache>
                <c:formatCode>General</c:formatCode>
                <c:ptCount val="7"/>
                <c:pt idx="0">
                  <c:v>0</c:v>
                </c:pt>
                <c:pt idx="1">
                  <c:v>2.1888799667942532E-4</c:v>
                </c:pt>
                <c:pt idx="2">
                  <c:v>3.1954369907655352E-4</c:v>
                </c:pt>
                <c:pt idx="3">
                  <c:v>3.223164929210672E-4</c:v>
                </c:pt>
                <c:pt idx="4">
                  <c:v>3.539760827113735E-5</c:v>
                </c:pt>
                <c:pt idx="5">
                  <c:v>1.4142244909461461E-3</c:v>
                </c:pt>
                <c:pt idx="6">
                  <c:v>6.2846738096373643E-3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167-4C70-A042-EB10F4E4539B}"/>
            </c:ext>
          </c:extLst>
        </c:ser>
        <c:ser>
          <c:idx val="16"/>
          <c:order val="16"/>
          <c:tx>
            <c:strRef>
              <c:f>'[1]Prozesswärme - Erzeugung'!$AN$54</c:f>
              <c:strCache>
                <c:ptCount val="1"/>
                <c:pt idx="0">
                  <c:v>Heatpump (LS)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Erzeugung'!$AP$54:$AV$54</c:f>
              <c:numCache>
                <c:formatCode>General</c:formatCode>
                <c:ptCount val="7"/>
                <c:pt idx="0">
                  <c:v>0</c:v>
                </c:pt>
                <c:pt idx="1">
                  <c:v>101.21583431371228</c:v>
                </c:pt>
                <c:pt idx="2">
                  <c:v>412.92999620357153</c:v>
                </c:pt>
                <c:pt idx="3">
                  <c:v>1272.2359477518876</c:v>
                </c:pt>
                <c:pt idx="4">
                  <c:v>4912.1431936893878</c:v>
                </c:pt>
                <c:pt idx="5">
                  <c:v>27967.192538810483</c:v>
                </c:pt>
                <c:pt idx="6">
                  <c:v>87267.170930644817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167-4C70-A042-EB10F4E4539B}"/>
            </c:ext>
          </c:extLst>
        </c:ser>
        <c:ser>
          <c:idx val="17"/>
          <c:order val="17"/>
          <c:tx>
            <c:strRef>
              <c:f>'[1]Prozesswärme - Erzeugung'!$AN$56</c:f>
              <c:strCache>
                <c:ptCount val="1"/>
                <c:pt idx="0">
                  <c:v>SOFC (LS)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Erzeugung'!$AP$56:$AV$56</c:f>
              <c:numCache>
                <c:formatCode>General</c:formatCode>
                <c:ptCount val="7"/>
                <c:pt idx="0">
                  <c:v>0</c:v>
                </c:pt>
                <c:pt idx="1">
                  <c:v>2.5608698238290126E-2</c:v>
                </c:pt>
                <c:pt idx="2">
                  <c:v>2.381019805950349E-2</c:v>
                </c:pt>
                <c:pt idx="3">
                  <c:v>5.1299113785713356E-2</c:v>
                </c:pt>
                <c:pt idx="4">
                  <c:v>1.2589965869220041E-2</c:v>
                </c:pt>
                <c:pt idx="5">
                  <c:v>9.5674262352764217E-2</c:v>
                </c:pt>
                <c:pt idx="6">
                  <c:v>0.17546614540790337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167-4C70-A042-EB10F4E4539B}"/>
            </c:ext>
          </c:extLst>
        </c:ser>
        <c:ser>
          <c:idx val="18"/>
          <c:order val="18"/>
          <c:tx>
            <c:strRef>
              <c:f>'[1]Prozesswärme - Erzeugung'!$AN$57</c:f>
              <c:strCache>
                <c:ptCount val="1"/>
                <c:pt idx="0">
                  <c:v>Mini CHP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Erzeugung'!$AP$57:$AV$57</c:f>
              <c:numCache>
                <c:formatCode>General</c:formatCode>
                <c:ptCount val="7"/>
                <c:pt idx="0">
                  <c:v>7.719935795590243</c:v>
                </c:pt>
                <c:pt idx="1">
                  <c:v>2406.8593375549262</c:v>
                </c:pt>
                <c:pt idx="2">
                  <c:v>1099.9565238266339</c:v>
                </c:pt>
                <c:pt idx="3">
                  <c:v>729.77217029941824</c:v>
                </c:pt>
                <c:pt idx="4">
                  <c:v>0.22397474098034015</c:v>
                </c:pt>
                <c:pt idx="5">
                  <c:v>2.5756134631041742E-4</c:v>
                </c:pt>
                <c:pt idx="6">
                  <c:v>1.6523557721772019E-4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167-4C70-A042-EB10F4E4539B}"/>
            </c:ext>
          </c:extLst>
        </c:ser>
        <c:ser>
          <c:idx val="19"/>
          <c:order val="19"/>
          <c:tx>
            <c:strRef>
              <c:f>'[1]Prozesswärme - Erzeugung'!$AN$58</c:f>
              <c:strCache>
                <c:ptCount val="1"/>
                <c:pt idx="0">
                  <c:v>Pellet boiler (LS)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Erzeugung'!$AP$58:$AV$58</c:f>
              <c:numCache>
                <c:formatCode>General</c:formatCode>
                <c:ptCount val="7"/>
                <c:pt idx="0">
                  <c:v>2.1832036474419558</c:v>
                </c:pt>
                <c:pt idx="1">
                  <c:v>0.2453815940815163</c:v>
                </c:pt>
                <c:pt idx="2">
                  <c:v>0.13417530360502014</c:v>
                </c:pt>
                <c:pt idx="3">
                  <c:v>0.14052676599904532</c:v>
                </c:pt>
                <c:pt idx="4">
                  <c:v>4.5290578977641709E-2</c:v>
                </c:pt>
                <c:pt idx="5">
                  <c:v>1.6003187297648341E-4</c:v>
                </c:pt>
                <c:pt idx="6">
                  <c:v>1.3185064059514383E-4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167-4C70-A042-EB10F4E4539B}"/>
            </c:ext>
          </c:extLst>
        </c:ser>
        <c:ser>
          <c:idx val="20"/>
          <c:order val="20"/>
          <c:tx>
            <c:strRef>
              <c:f>'[1]Prozesswärme - Erzeugung'!$AN$59</c:f>
              <c:strCache>
                <c:ptCount val="1"/>
                <c:pt idx="0">
                  <c:v>Straw CHP (SS)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Erzeugung'!$AP$59:$AV$59</c:f>
              <c:numCache>
                <c:formatCode>General</c:formatCode>
                <c:ptCount val="7"/>
                <c:pt idx="0">
                  <c:v>0</c:v>
                </c:pt>
                <c:pt idx="1">
                  <c:v>0.17671240291858403</c:v>
                </c:pt>
                <c:pt idx="2">
                  <c:v>0.18695890256023445</c:v>
                </c:pt>
                <c:pt idx="3">
                  <c:v>0.24056318620990771</c:v>
                </c:pt>
                <c:pt idx="4">
                  <c:v>4.7085778681222462E-2</c:v>
                </c:pt>
                <c:pt idx="5">
                  <c:v>0.63417534573888179</c:v>
                </c:pt>
                <c:pt idx="6">
                  <c:v>0.70091574728790773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167-4C70-A042-EB10F4E4539B}"/>
            </c:ext>
          </c:extLst>
        </c:ser>
        <c:ser>
          <c:idx val="21"/>
          <c:order val="21"/>
          <c:tx>
            <c:strRef>
              <c:f>'[1]Prozesswärme - Erzeugung'!$AN$60</c:f>
              <c:strCache>
                <c:ptCount val="1"/>
                <c:pt idx="0">
                  <c:v>Wood CHP (SS)</c:v>
                </c:pt>
              </c:strCache>
            </c:strRef>
          </c:tx>
          <c:invertIfNegative val="0"/>
          <c:cat>
            <c:numRef>
              <c:f>'[1]Prozesswärme - Erzeugung'!$AP$3:$AV$3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'[1]Prozesswärme - Erzeugung'!$AP$60:$AV$60</c:f>
              <c:numCache>
                <c:formatCode>General</c:formatCode>
                <c:ptCount val="7"/>
                <c:pt idx="0">
                  <c:v>0</c:v>
                </c:pt>
                <c:pt idx="1">
                  <c:v>0.45216447309803026</c:v>
                </c:pt>
                <c:pt idx="2">
                  <c:v>140.14180225551323</c:v>
                </c:pt>
                <c:pt idx="3">
                  <c:v>813.23329933084221</c:v>
                </c:pt>
                <c:pt idx="4">
                  <c:v>1026.6043233090156</c:v>
                </c:pt>
                <c:pt idx="5">
                  <c:v>1611.6844795070851</c:v>
                </c:pt>
                <c:pt idx="6">
                  <c:v>759.64352898086213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167-4C70-A042-EB10F4E4539B}"/>
            </c:ext>
          </c:extLst>
        </c:ser>
        <c:ser>
          <c:idx val="22"/>
          <c:order val="22"/>
          <c:tx>
            <c:strRef>
              <c:f>'[1]Prozesswärme - Erzeugung'!$AN$55</c:f>
              <c:strCache>
                <c:ptCount val="1"/>
                <c:pt idx="0">
                  <c:v>Geothermal heatpump (LS)</c:v>
                </c:pt>
              </c:strCache>
            </c:strRef>
          </c:tx>
          <c:invertIfNegative val="0"/>
          <c:val>
            <c:numRef>
              <c:f>'[1]Prozesswärme - Erzeugung'!$AP$55:$AV$55</c:f>
              <c:numCache>
                <c:formatCode>General</c:formatCode>
                <c:ptCount val="7"/>
                <c:pt idx="0">
                  <c:v>0</c:v>
                </c:pt>
                <c:pt idx="1">
                  <c:v>0.67583066607629416</c:v>
                </c:pt>
                <c:pt idx="2">
                  <c:v>1.9332154700239939</c:v>
                </c:pt>
                <c:pt idx="3">
                  <c:v>10.847689642347591</c:v>
                </c:pt>
                <c:pt idx="4">
                  <c:v>41.410820082992394</c:v>
                </c:pt>
                <c:pt idx="5">
                  <c:v>168.56393654080117</c:v>
                </c:pt>
                <c:pt idx="6">
                  <c:v>514.41019147513236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167-4C70-A042-EB10F4E45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142336"/>
        <c:axId val="391839040"/>
      </c:barChart>
      <c:catAx>
        <c:axId val="39214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1839040"/>
        <c:crosses val="autoZero"/>
        <c:auto val="1"/>
        <c:lblAlgn val="ctr"/>
        <c:lblOffset val="100"/>
        <c:noMultiLvlLbl val="0"/>
      </c:catAx>
      <c:valAx>
        <c:axId val="391839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Low temperature</a:t>
                </a:r>
                <a:r>
                  <a:rPr lang="de-DE" baseline="0"/>
                  <a:t> process heat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214233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5052388888888889"/>
          <c:y val="0"/>
          <c:w val="0.30622441171377984"/>
          <c:h val="0.85138710247755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High temperature process heat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519973541958219E-2"/>
          <c:y val="0.19973395474490754"/>
          <c:w val="0.51542307754322736"/>
          <c:h val="0.76198950340502303"/>
        </c:manualLayout>
      </c:layout>
      <c:pieChart>
        <c:varyColors val="1"/>
        <c:ser>
          <c:idx val="0"/>
          <c:order val="0"/>
          <c:tx>
            <c:strRef>
              <c:f>'Prozesswärme - Bedarf'!$Y$3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0-0A59-4C5A-9335-21C75531625B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0A59-4C5A-9335-21C75531625B}"/>
              </c:ext>
            </c:extLst>
          </c:dPt>
          <c:dPt>
            <c:idx val="2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0A59-4C5A-9335-21C75531625B}"/>
              </c:ext>
            </c:extLst>
          </c:dPt>
          <c:dPt>
            <c:idx val="3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5-0A59-4C5A-9335-21C75531625B}"/>
              </c:ext>
            </c:extLst>
          </c:dPt>
          <c:dPt>
            <c:idx val="4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0A59-4C5A-9335-21C75531625B}"/>
              </c:ext>
            </c:extLst>
          </c:dPt>
          <c:dPt>
            <c:idx val="5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3-0A59-4C5A-9335-21C75531625B}"/>
              </c:ext>
            </c:extLst>
          </c:dPt>
          <c:dPt>
            <c:idx val="6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2-0A59-4C5A-9335-21C75531625B}"/>
              </c:ext>
            </c:extLst>
          </c:dPt>
          <c:dPt>
            <c:idx val="7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1-0A59-4C5A-9335-21C75531625B}"/>
              </c:ext>
            </c:extLst>
          </c:dPt>
          <c:dPt>
            <c:idx val="8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1-5A47-49E9-9196-FE7F81A84228}"/>
              </c:ext>
            </c:extLst>
          </c:dPt>
          <c:cat>
            <c:strRef>
              <c:f>('Prozesswärme - Bedarf'!$P$4:$P$16,'Prozesswärme - Bedarf'!$P$19:$P$20,'Prozesswärme - Bedarf'!$P$23,'Prozesswärme - Bedarf'!$P$23:$P$24)</c:f>
              <c:strCache>
                <c:ptCount val="17"/>
                <c:pt idx="0">
                  <c:v>Basic chemicals</c:v>
                </c:pt>
                <c:pt idx="1">
                  <c:v>Ceramics</c:v>
                </c:pt>
                <c:pt idx="2">
                  <c:v>Machinery</c:v>
                </c:pt>
                <c:pt idx="3">
                  <c:v>Metal processing</c:v>
                </c:pt>
                <c:pt idx="4">
                  <c:v>Non-ferrous metals</c:v>
                </c:pt>
                <c:pt idx="5">
                  <c:v>Other industries</c:v>
                </c:pt>
                <c:pt idx="6">
                  <c:v>Processing stones</c:v>
                </c:pt>
                <c:pt idx="7">
                  <c:v>Vehicle construction</c:v>
                </c:pt>
                <c:pt idx="8">
                  <c:v>Other chemicals</c:v>
                </c:pt>
                <c:pt idx="9">
                  <c:v>Mining stones</c:v>
                </c:pt>
                <c:pt idx="10">
                  <c:v>High temperature DAC of CO2</c:v>
                </c:pt>
                <c:pt idx="11">
                  <c:v>Ammonia</c:v>
                </c:pt>
                <c:pt idx="12">
                  <c:v>Methanol</c:v>
                </c:pt>
                <c:pt idx="13">
                  <c:v>Aluminum</c:v>
                </c:pt>
                <c:pt idx="14">
                  <c:v>Urea</c:v>
                </c:pt>
                <c:pt idx="15">
                  <c:v>Chlorine</c:v>
                </c:pt>
                <c:pt idx="16">
                  <c:v>Chlorine</c:v>
                </c:pt>
              </c:strCache>
            </c:strRef>
          </c:cat>
          <c:val>
            <c:numRef>
              <c:f>('Prozesswärme - Bedarf'!$Y$4:$Y$16,'Prozesswärme - Bedarf'!$Y$19:$Y$20,'Prozesswärme - Bedarf'!$Y$23)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#N/A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8273521960860408"/>
          <c:y val="9.8717859143969938E-2"/>
          <c:w val="0.41726478039139592"/>
          <c:h val="0.90128214085603009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Low temperatur process heat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layout>
        <c:manualLayout>
          <c:xMode val="edge"/>
          <c:yMode val="edge"/>
          <c:x val="0.14899269069566068"/>
          <c:y val="2.0537898892085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5934569967510848E-2"/>
          <c:y val="0.25516324420150682"/>
          <c:w val="0.46695545916269482"/>
          <c:h val="0.70069086579823248"/>
        </c:manualLayout>
      </c:layout>
      <c:pieChart>
        <c:varyColors val="1"/>
        <c:ser>
          <c:idx val="0"/>
          <c:order val="0"/>
          <c:tx>
            <c:strRef>
              <c:f>'Prozesswärme - Bedarf'!$AX$3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0-6A0F-4FE5-8CF0-380BC0A14043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6A0F-4FE5-8CF0-380BC0A14043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A-6A0F-4FE5-8CF0-380BC0A14043}"/>
              </c:ext>
            </c:extLst>
          </c:dPt>
          <c:dPt>
            <c:idx val="3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6A0F-4FE5-8CF0-380BC0A14043}"/>
              </c:ext>
            </c:extLst>
          </c:dPt>
          <c:dPt>
            <c:idx val="4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6A0F-4FE5-8CF0-380BC0A14043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6A0F-4FE5-8CF0-380BC0A14043}"/>
              </c:ext>
            </c:extLst>
          </c:dPt>
          <c:dPt>
            <c:idx val="6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6-6A0F-4FE5-8CF0-380BC0A14043}"/>
              </c:ext>
            </c:extLst>
          </c:dPt>
          <c:dPt>
            <c:idx val="7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5-6A0F-4FE5-8CF0-380BC0A14043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4-6A0F-4FE5-8CF0-380BC0A14043}"/>
              </c:ext>
            </c:extLst>
          </c:dPt>
          <c:dPt>
            <c:idx val="9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6A0F-4FE5-8CF0-380BC0A14043}"/>
              </c:ext>
            </c:extLst>
          </c:dPt>
          <c:dPt>
            <c:idx val="10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2-6A0F-4FE5-8CF0-380BC0A14043}"/>
              </c:ext>
            </c:extLst>
          </c:dPt>
          <c:cat>
            <c:strRef>
              <c:f>'Prozesswärme - Bedarf'!$AO$4:$AO$20</c:f>
              <c:strCache>
                <c:ptCount val="17"/>
                <c:pt idx="0">
                  <c:v>Basic chemicals</c:v>
                </c:pt>
                <c:pt idx="1">
                  <c:v>Food and tobacco</c:v>
                </c:pt>
                <c:pt idx="2">
                  <c:v>Glas and ceramics</c:v>
                </c:pt>
                <c:pt idx="3">
                  <c:v>Machinery</c:v>
                </c:pt>
                <c:pt idx="4">
                  <c:v>Mining, stones and earth</c:v>
                </c:pt>
                <c:pt idx="5">
                  <c:v>Non-ferrous metals</c:v>
                </c:pt>
                <c:pt idx="6">
                  <c:v>Low temperature DAC of CO2</c:v>
                </c:pt>
                <c:pt idx="7">
                  <c:v>Other chemicals</c:v>
                </c:pt>
                <c:pt idx="8">
                  <c:v>Cement CC</c:v>
                </c:pt>
                <c:pt idx="9">
                  <c:v>Methanol Conv. CC</c:v>
                </c:pt>
                <c:pt idx="10">
                  <c:v>Methanol Gasification CC</c:v>
                </c:pt>
                <c:pt idx="11">
                  <c:v>NH3 CC</c:v>
                </c:pt>
                <c:pt idx="12">
                  <c:v>SteamCracker CC</c:v>
                </c:pt>
                <c:pt idx="13">
                  <c:v>Steel CC</c:v>
                </c:pt>
                <c:pt idx="14">
                  <c:v>Other industries</c:v>
                </c:pt>
                <c:pt idx="15">
                  <c:v>Rubber and plastic</c:v>
                </c:pt>
                <c:pt idx="16">
                  <c:v>Vehicle construction</c:v>
                </c:pt>
              </c:strCache>
            </c:strRef>
          </c:cat>
          <c:val>
            <c:numRef>
              <c:f>'Prozesswärme - Bedarf'!$AX$4:$AX$20</c:f>
              <c:numCache>
                <c:formatCode>General</c:formatCode>
                <c:ptCount val="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7635677083333333"/>
          <c:y val="0.22073982565726516"/>
          <c:w val="0.52364322916666672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485778238557739"/>
          <c:y val="6.1460416666666663E-2"/>
          <c:w val="0.45900291666666665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'Prozesswärme - Bedarf'!$AO$4</c:f>
              <c:strCache>
                <c:ptCount val="1"/>
                <c:pt idx="0">
                  <c:v>Basic chemicals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Bedarf'!$AR$4:$AX$4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'Prozesswärme - Bedarf'!$AO$5</c:f>
              <c:strCache>
                <c:ptCount val="1"/>
                <c:pt idx="0">
                  <c:v>Food and tobacco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Bedarf'!$AR$5:$AX$5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E-4D6B-BAF9-5EC3DA83D9DA}"/>
            </c:ext>
          </c:extLst>
        </c:ser>
        <c:ser>
          <c:idx val="1"/>
          <c:order val="2"/>
          <c:tx>
            <c:strRef>
              <c:f>'Prozesswärme - Bedarf'!$AO$6</c:f>
              <c:strCache>
                <c:ptCount val="1"/>
                <c:pt idx="0">
                  <c:v>Glas and ceramics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Bedarf'!$AR$6:$AX$6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4E-4D6B-BAF9-5EC3DA83D9DA}"/>
            </c:ext>
          </c:extLst>
        </c:ser>
        <c:ser>
          <c:idx val="3"/>
          <c:order val="3"/>
          <c:tx>
            <c:strRef>
              <c:f>'Prozesswärme - Bedarf'!$AO$7</c:f>
              <c:strCache>
                <c:ptCount val="1"/>
                <c:pt idx="0">
                  <c:v>Machinery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Bedarf'!$AR$7:$AX$7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4E-4D6B-BAF9-5EC3DA83D9DA}"/>
            </c:ext>
          </c:extLst>
        </c:ser>
        <c:ser>
          <c:idx val="4"/>
          <c:order val="4"/>
          <c:tx>
            <c:strRef>
              <c:f>'Prozesswärme - Bedarf'!$AO$8</c:f>
              <c:strCache>
                <c:ptCount val="1"/>
                <c:pt idx="0">
                  <c:v>Mining, stones and earth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Bedarf'!$AR$8:$AX$8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4E-4D6B-BAF9-5EC3DA83D9DA}"/>
            </c:ext>
          </c:extLst>
        </c:ser>
        <c:ser>
          <c:idx val="5"/>
          <c:order val="5"/>
          <c:tx>
            <c:strRef>
              <c:f>'Prozesswärme - Bedarf'!$AO$9</c:f>
              <c:strCache>
                <c:ptCount val="1"/>
                <c:pt idx="0">
                  <c:v>Non-ferrous metals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Bedarf'!$AR$9:$AX$9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4E-4D6B-BAF9-5EC3DA83D9DA}"/>
            </c:ext>
          </c:extLst>
        </c:ser>
        <c:ser>
          <c:idx val="6"/>
          <c:order val="6"/>
          <c:tx>
            <c:strRef>
              <c:f>'Prozesswärme - Bedarf'!$AO$11</c:f>
              <c:strCache>
                <c:ptCount val="1"/>
                <c:pt idx="0">
                  <c:v>Other chemicals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Bedarf'!$AR$11:$AX$11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4E-4D6B-BAF9-5EC3DA83D9DA}"/>
            </c:ext>
          </c:extLst>
        </c:ser>
        <c:ser>
          <c:idx val="7"/>
          <c:order val="7"/>
          <c:tx>
            <c:strRef>
              <c:f>'Prozesswärme - Bedarf'!$AO$18</c:f>
              <c:strCache>
                <c:ptCount val="1"/>
                <c:pt idx="0">
                  <c:v>Other industries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Bedarf'!$AR$18:$AX$18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4E-4D6B-BAF9-5EC3DA83D9DA}"/>
            </c:ext>
          </c:extLst>
        </c:ser>
        <c:ser>
          <c:idx val="9"/>
          <c:order val="8"/>
          <c:tx>
            <c:strRef>
              <c:f>'Prozesswärme - Bedarf'!$AO$19</c:f>
              <c:strCache>
                <c:ptCount val="1"/>
                <c:pt idx="0">
                  <c:v>Rubber and plastic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Bedarf'!$AR$19:$AX$19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4E-4D6B-BAF9-5EC3DA83D9DA}"/>
            </c:ext>
          </c:extLst>
        </c:ser>
        <c:ser>
          <c:idx val="10"/>
          <c:order val="9"/>
          <c:tx>
            <c:strRef>
              <c:f>'Prozesswärme - Bedarf'!$AO$20</c:f>
              <c:strCache>
                <c:ptCount val="1"/>
                <c:pt idx="0">
                  <c:v>Vehicle construction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Bedarf'!$AR$20:$AX$20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4E-4D6B-BAF9-5EC3DA83D9DA}"/>
            </c:ext>
          </c:extLst>
        </c:ser>
        <c:ser>
          <c:idx val="8"/>
          <c:order val="10"/>
          <c:tx>
            <c:strRef>
              <c:f>'Prozesswärme - Bedarf'!$AO$10</c:f>
              <c:strCache>
                <c:ptCount val="1"/>
                <c:pt idx="0">
                  <c:v>Low temperature DAC of CO2</c:v>
                </c:pt>
              </c:strCache>
            </c:strRef>
          </c:tx>
          <c:invertIfNegative val="0"/>
          <c:val>
            <c:numRef>
              <c:f>'Prozesswärme - Bedarf'!$AR$10:$AX$10</c:f>
              <c:numCache>
                <c:formatCode>General</c:formatCode>
                <c:ptCount val="7"/>
                <c:pt idx="0">
                  <c:v>0</c:v>
                </c:pt>
                <c:pt idx="1">
                  <c:v>2.6883388830195472</c:v>
                </c:pt>
                <c:pt idx="2">
                  <c:v>1.38316617623162E-2</c:v>
                </c:pt>
                <c:pt idx="3">
                  <c:v>4.2145774126187644E-3</c:v>
                </c:pt>
                <c:pt idx="4">
                  <c:v>20314.433606030441</c:v>
                </c:pt>
                <c:pt idx="5">
                  <c:v>142370.26970544751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3-4438-8A1B-2C7B698C1F28}"/>
            </c:ext>
          </c:extLst>
        </c:ser>
        <c:ser>
          <c:idx val="11"/>
          <c:order val="11"/>
          <c:tx>
            <c:strRef>
              <c:f>'Prozesswärme - Bedarf'!$AO$12</c:f>
              <c:strCache>
                <c:ptCount val="1"/>
                <c:pt idx="0">
                  <c:v>Cement CC</c:v>
                </c:pt>
              </c:strCache>
            </c:strRef>
          </c:tx>
          <c:invertIfNegative val="0"/>
          <c:val>
            <c:numRef>
              <c:f>'Prozesswärme - Bedarf'!$AR$12:$AX$12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78-41B0-963F-6F524BAF8BEF}"/>
            </c:ext>
          </c:extLst>
        </c:ser>
        <c:ser>
          <c:idx val="12"/>
          <c:order val="12"/>
          <c:tx>
            <c:strRef>
              <c:f>'Prozesswärme - Bedarf'!$AO$13</c:f>
              <c:strCache>
                <c:ptCount val="1"/>
                <c:pt idx="0">
                  <c:v>Methanol Conv. CC</c:v>
                </c:pt>
              </c:strCache>
            </c:strRef>
          </c:tx>
          <c:invertIfNegative val="0"/>
          <c:val>
            <c:numRef>
              <c:f>'Prozesswärme - Bedarf'!$AR$13:$AX$13</c:f>
              <c:numCache>
                <c:formatCode>General</c:formatCode>
                <c:ptCount val="7"/>
                <c:pt idx="0">
                  <c:v>0</c:v>
                </c:pt>
                <c:pt idx="1">
                  <c:v>1.365124789293325E-2</c:v>
                </c:pt>
                <c:pt idx="2">
                  <c:v>1.7389131483840911E-4</c:v>
                </c:pt>
                <c:pt idx="3">
                  <c:v>0.14453165847629121</c:v>
                </c:pt>
                <c:pt idx="4">
                  <c:v>13.32239689245378</c:v>
                </c:pt>
                <c:pt idx="5">
                  <c:v>1.708548660031683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78-41B0-963F-6F524BAF8BEF}"/>
            </c:ext>
          </c:extLst>
        </c:ser>
        <c:ser>
          <c:idx val="13"/>
          <c:order val="13"/>
          <c:tx>
            <c:strRef>
              <c:f>'Prozesswärme - Bedarf'!$AO$14</c:f>
              <c:strCache>
                <c:ptCount val="1"/>
                <c:pt idx="0">
                  <c:v>Methanol Gasification CC</c:v>
                </c:pt>
              </c:strCache>
            </c:strRef>
          </c:tx>
          <c:invertIfNegative val="0"/>
          <c:val>
            <c:numRef>
              <c:f>'Prozesswärme - Bedarf'!$AR$14:$AX$14</c:f>
              <c:numCache>
                <c:formatCode>General</c:formatCode>
                <c:ptCount val="7"/>
                <c:pt idx="0">
                  <c:v>0</c:v>
                </c:pt>
                <c:pt idx="1">
                  <c:v>1.347030530896875E-2</c:v>
                </c:pt>
                <c:pt idx="2">
                  <c:v>1.159570570802647E-5</c:v>
                </c:pt>
                <c:pt idx="3">
                  <c:v>3.8863300734498377E-6</c:v>
                </c:pt>
                <c:pt idx="4">
                  <c:v>1.431778996538453E-6</c:v>
                </c:pt>
                <c:pt idx="5">
                  <c:v>6.5395163002583934E-8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78-41B0-963F-6F524BAF8BEF}"/>
            </c:ext>
          </c:extLst>
        </c:ser>
        <c:ser>
          <c:idx val="14"/>
          <c:order val="14"/>
          <c:tx>
            <c:strRef>
              <c:f>'Prozesswärme - Bedarf'!$AO$15</c:f>
              <c:strCache>
                <c:ptCount val="1"/>
                <c:pt idx="0">
                  <c:v>NH3 CC</c:v>
                </c:pt>
              </c:strCache>
            </c:strRef>
          </c:tx>
          <c:invertIfNegative val="0"/>
          <c:val>
            <c:numRef>
              <c:f>'Prozesswärme - Bedarf'!$AR$15:$AX$15</c:f>
              <c:numCache>
                <c:formatCode>General</c:formatCode>
                <c:ptCount val="7"/>
                <c:pt idx="0">
                  <c:v>0</c:v>
                </c:pt>
                <c:pt idx="1">
                  <c:v>1.3467191694433471E-2</c:v>
                </c:pt>
                <c:pt idx="2">
                  <c:v>1.6863779079926951E-4</c:v>
                </c:pt>
                <c:pt idx="3">
                  <c:v>0.206053421327834</c:v>
                </c:pt>
                <c:pt idx="4">
                  <c:v>2.559354394060799</c:v>
                </c:pt>
                <c:pt idx="5">
                  <c:v>0.65998756937382008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78-41B0-963F-6F524BAF8BEF}"/>
            </c:ext>
          </c:extLst>
        </c:ser>
        <c:ser>
          <c:idx val="15"/>
          <c:order val="15"/>
          <c:tx>
            <c:strRef>
              <c:f>'Prozesswärme - Bedarf'!$AO$16</c:f>
              <c:strCache>
                <c:ptCount val="1"/>
                <c:pt idx="0">
                  <c:v>SteamCracker CC</c:v>
                </c:pt>
              </c:strCache>
            </c:strRef>
          </c:tx>
          <c:invertIfNegative val="0"/>
          <c:val>
            <c:numRef>
              <c:f>'Prozesswärme - Bedarf'!$AR$16:$AX$16</c:f>
              <c:numCache>
                <c:formatCode>General</c:formatCode>
                <c:ptCount val="7"/>
                <c:pt idx="0">
                  <c:v>0</c:v>
                </c:pt>
                <c:pt idx="1">
                  <c:v>2.4239554121518871</c:v>
                </c:pt>
                <c:pt idx="2">
                  <c:v>8.965846313928591E-3</c:v>
                </c:pt>
                <c:pt idx="3">
                  <c:v>4.4168382265629587E-3</c:v>
                </c:pt>
                <c:pt idx="4">
                  <c:v>4461.546448189988</c:v>
                </c:pt>
                <c:pt idx="5">
                  <c:v>140.920005709262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78-41B0-963F-6F524BAF8BEF}"/>
            </c:ext>
          </c:extLst>
        </c:ser>
        <c:ser>
          <c:idx val="16"/>
          <c:order val="16"/>
          <c:tx>
            <c:strRef>
              <c:f>'Prozesswärme - Bedarf'!$AO$17</c:f>
              <c:strCache>
                <c:ptCount val="1"/>
                <c:pt idx="0">
                  <c:v>Steel CC</c:v>
                </c:pt>
              </c:strCache>
            </c:strRef>
          </c:tx>
          <c:invertIfNegative val="0"/>
          <c:val>
            <c:numRef>
              <c:f>'Prozesswärme - Bedarf'!$AR$17:$AX$17</c:f>
              <c:numCache>
                <c:formatCode>General</c:formatCode>
                <c:ptCount val="7"/>
                <c:pt idx="0">
                  <c:v>0</c:v>
                </c:pt>
                <c:pt idx="1">
                  <c:v>0.78834134590257232</c:v>
                </c:pt>
                <c:pt idx="2">
                  <c:v>3.8780791202612801E-3</c:v>
                </c:pt>
                <c:pt idx="3">
                  <c:v>2.6262803157351979E-3</c:v>
                </c:pt>
                <c:pt idx="4">
                  <c:v>3719.2101309839959</c:v>
                </c:pt>
                <c:pt idx="5">
                  <c:v>0.1014221822483925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78-41B0-963F-6F524BAF8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560512"/>
        <c:axId val="394474560"/>
      </c:barChart>
      <c:catAx>
        <c:axId val="39456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4474560"/>
        <c:crosses val="autoZero"/>
        <c:auto val="1"/>
        <c:lblAlgn val="ctr"/>
        <c:lblOffset val="100"/>
        <c:noMultiLvlLbl val="0"/>
      </c:catAx>
      <c:valAx>
        <c:axId val="394474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Low temperature</a:t>
                </a:r>
                <a:r>
                  <a:rPr lang="de-DE" baseline="0"/>
                  <a:t> process heat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456051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3047500000000001"/>
          <c:y val="0"/>
          <c:w val="0.32560941174216634"/>
          <c:h val="0.8462938262918521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27291666666667"/>
          <c:y val="6.1460416666666663E-2"/>
          <c:w val="0.479681348545723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Bedarf'!$P$4</c:f>
              <c:strCache>
                <c:ptCount val="1"/>
                <c:pt idx="0">
                  <c:v>Basic chemicals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Bedarf'!$S$4:$Y$4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Bedarf'!$P$5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Bedarf'!$S$5:$Y$5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A-4712-8D67-515D644B79FE}"/>
            </c:ext>
          </c:extLst>
        </c:ser>
        <c:ser>
          <c:idx val="2"/>
          <c:order val="2"/>
          <c:tx>
            <c:strRef>
              <c:f>'Prozesswärme - Bedarf'!$P$6</c:f>
              <c:strCache>
                <c:ptCount val="1"/>
                <c:pt idx="0">
                  <c:v>Machinery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Bedarf'!$S$6:$Y$6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A-4712-8D67-515D644B79FE}"/>
            </c:ext>
          </c:extLst>
        </c:ser>
        <c:ser>
          <c:idx val="3"/>
          <c:order val="3"/>
          <c:tx>
            <c:strRef>
              <c:f>'Prozesswärme - Bedarf'!$P$7</c:f>
              <c:strCache>
                <c:ptCount val="1"/>
                <c:pt idx="0">
                  <c:v>Metal processing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Bedarf'!$S$7:$Y$7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A-4712-8D67-515D644B79FE}"/>
            </c:ext>
          </c:extLst>
        </c:ser>
        <c:ser>
          <c:idx val="4"/>
          <c:order val="4"/>
          <c:tx>
            <c:strRef>
              <c:f>'Prozesswärme - Bedarf'!$P$8</c:f>
              <c:strCache>
                <c:ptCount val="1"/>
                <c:pt idx="0">
                  <c:v>Non-ferrous metals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Bedarf'!$S$8:$Y$8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7A-4712-8D67-515D644B79FE}"/>
            </c:ext>
          </c:extLst>
        </c:ser>
        <c:ser>
          <c:idx val="5"/>
          <c:order val="5"/>
          <c:tx>
            <c:strRef>
              <c:f>'Prozesswärme - Bedarf'!$P$9</c:f>
              <c:strCache>
                <c:ptCount val="1"/>
                <c:pt idx="0">
                  <c:v>Other industries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Bedarf'!$S$9:$Y$9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7A-4712-8D67-515D644B79FE}"/>
            </c:ext>
          </c:extLst>
        </c:ser>
        <c:ser>
          <c:idx val="6"/>
          <c:order val="6"/>
          <c:tx>
            <c:strRef>
              <c:f>'Prozesswärme - Bedarf'!$P$10</c:f>
              <c:strCache>
                <c:ptCount val="1"/>
                <c:pt idx="0">
                  <c:v>Processing stones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Bedarf'!$S$10:$Y$10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7A-4712-8D67-515D644B79FE}"/>
            </c:ext>
          </c:extLst>
        </c:ser>
        <c:ser>
          <c:idx val="7"/>
          <c:order val="7"/>
          <c:tx>
            <c:strRef>
              <c:f>'Prozesswärme - Bedarf'!$P$11</c:f>
              <c:strCache>
                <c:ptCount val="1"/>
                <c:pt idx="0">
                  <c:v>Vehicle construction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Bedarf'!$S$11:$Y$11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7A-4712-8D67-515D644B79FE}"/>
            </c:ext>
          </c:extLst>
        </c:ser>
        <c:ser>
          <c:idx val="13"/>
          <c:order val="8"/>
          <c:tx>
            <c:strRef>
              <c:f>'Prozesswärme - Bedarf'!$P$12</c:f>
              <c:strCache>
                <c:ptCount val="1"/>
                <c:pt idx="0">
                  <c:v>Other chemicals</c:v>
                </c:pt>
              </c:strCache>
            </c:strRef>
          </c:tx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Bedarf'!$S$12:$Y$12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6-4263-AF49-88A7DDAFFCB2}"/>
            </c:ext>
          </c:extLst>
        </c:ser>
        <c:ser>
          <c:idx val="14"/>
          <c:order val="9"/>
          <c:tx>
            <c:strRef>
              <c:f>'Prozesswärme - Bedarf'!$P$13</c:f>
              <c:strCache>
                <c:ptCount val="1"/>
                <c:pt idx="0">
                  <c:v>Mining stones</c:v>
                </c:pt>
              </c:strCache>
            </c:strRef>
          </c:tx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Bedarf'!$S$13:$Y$13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6-4263-AF49-88A7DDAFFCB2}"/>
            </c:ext>
          </c:extLst>
        </c:ser>
        <c:ser>
          <c:idx val="8"/>
          <c:order val="10"/>
          <c:tx>
            <c:strRef>
              <c:f>'Prozesswärme - Bedarf'!$P$16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Bedarf'!$S$16:$Y$16</c:f>
              <c:numCache>
                <c:formatCode>General</c:formatCode>
                <c:ptCount val="7"/>
                <c:pt idx="0">
                  <c:v>0</c:v>
                </c:pt>
                <c:pt idx="1">
                  <c:v>5.646721062172726</c:v>
                </c:pt>
                <c:pt idx="2">
                  <c:v>2.0219741828214149E-3</c:v>
                </c:pt>
                <c:pt idx="3">
                  <c:v>5.6478493776237115E-4</c:v>
                </c:pt>
                <c:pt idx="4">
                  <c:v>7.9785681430715507E-5</c:v>
                </c:pt>
                <c:pt idx="5">
                  <c:v>9.3260269722811467E-5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C-48F4-8B04-2BBC123D41FE}"/>
            </c:ext>
          </c:extLst>
        </c:ser>
        <c:ser>
          <c:idx val="9"/>
          <c:order val="11"/>
          <c:tx>
            <c:strRef>
              <c:f>'Prozesswärme - Bedarf'!$P$19</c:f>
              <c:strCache>
                <c:ptCount val="1"/>
                <c:pt idx="0">
                  <c:v>Aluminum</c:v>
                </c:pt>
              </c:strCache>
            </c:strRef>
          </c:tx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Bedarf'!$S$19:$Y$19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4C-48F4-8B04-2BBC123D41FE}"/>
            </c:ext>
          </c:extLst>
        </c:ser>
        <c:ser>
          <c:idx val="10"/>
          <c:order val="12"/>
          <c:tx>
            <c:strRef>
              <c:f>'Prozesswärme - Bedarf'!$P$15</c:f>
              <c:strCache>
                <c:ptCount val="1"/>
                <c:pt idx="0">
                  <c:v>Ammonia</c:v>
                </c:pt>
              </c:strCache>
            </c:strRef>
          </c:tx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Bedarf'!$S$15:$Y$15</c:f>
              <c:numCache>
                <c:formatCode>General</c:formatCode>
                <c:ptCount val="7"/>
                <c:pt idx="0">
                  <c:v>4728.8099335259121</c:v>
                </c:pt>
                <c:pt idx="1">
                  <c:v>5098.9748693461806</c:v>
                </c:pt>
                <c:pt idx="2">
                  <c:v>4840.9832237626997</c:v>
                </c:pt>
                <c:pt idx="3">
                  <c:v>3913.3668586420372</c:v>
                </c:pt>
                <c:pt idx="4">
                  <c:v>1617.6887541839869</c:v>
                </c:pt>
                <c:pt idx="5">
                  <c:v>417.15776904645571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4C-48F4-8B04-2BBC123D41FE}"/>
            </c:ext>
          </c:extLst>
        </c:ser>
        <c:ser>
          <c:idx val="11"/>
          <c:order val="13"/>
          <c:tx>
            <c:strRef>
              <c:f>'Prozesswärme - Bedarf'!$P$20</c:f>
              <c:strCache>
                <c:ptCount val="1"/>
                <c:pt idx="0">
                  <c:v>Urea</c:v>
                </c:pt>
              </c:strCache>
            </c:strRef>
          </c:tx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Bedarf'!$S$20:$Y$20</c:f>
              <c:numCache>
                <c:formatCode>General</c:formatCode>
                <c:ptCount val="7"/>
                <c:pt idx="0">
                  <c:v>0</c:v>
                </c:pt>
                <c:pt idx="1">
                  <c:v>1.1064900928395971</c:v>
                </c:pt>
                <c:pt idx="2">
                  <c:v>2.6151789080306781E-3</c:v>
                </c:pt>
                <c:pt idx="3">
                  <c:v>1.027805919068736E-3</c:v>
                </c:pt>
                <c:pt idx="4">
                  <c:v>1.147993470945732E-4</c:v>
                </c:pt>
                <c:pt idx="5">
                  <c:v>295.83632464343179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E-4C98-B2BE-8BE774AC05B2}"/>
            </c:ext>
          </c:extLst>
        </c:ser>
        <c:ser>
          <c:idx val="12"/>
          <c:order val="14"/>
          <c:tx>
            <c:strRef>
              <c:f>'Prozesswärme - Bedarf'!$P$23</c:f>
              <c:strCache>
                <c:ptCount val="1"/>
                <c:pt idx="0">
                  <c:v>Chlorine</c:v>
                </c:pt>
              </c:strCache>
            </c:strRef>
          </c:tx>
          <c:invertIfNegative val="0"/>
          <c:cat>
            <c:numRef>
              <c:f>'Prozesswärme - Bedarf'!$S$3:$Y$3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Bedarf'!$S$23:$Y$23</c:f>
              <c:numCache>
                <c:formatCode>General</c:formatCode>
                <c:ptCount val="7"/>
                <c:pt idx="0">
                  <c:v>1739.2103991761796</c:v>
                </c:pt>
                <c:pt idx="1">
                  <c:v>1839.0743660101516</c:v>
                </c:pt>
                <c:pt idx="2">
                  <c:v>1524.3258315006269</c:v>
                </c:pt>
                <c:pt idx="3">
                  <c:v>1433.8817186347071</c:v>
                </c:pt>
                <c:pt idx="4">
                  <c:v>1525.3502455946502</c:v>
                </c:pt>
                <c:pt idx="5">
                  <c:v>1616.8051661316458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E-4C98-B2BE-8BE774AC05B2}"/>
            </c:ext>
          </c:extLst>
        </c:ser>
        <c:ser>
          <c:idx val="15"/>
          <c:order val="15"/>
          <c:tx>
            <c:strRef>
              <c:f>'Prozesswärme - Bedarf'!$P$14</c:f>
              <c:strCache>
                <c:ptCount val="1"/>
                <c:pt idx="0">
                  <c:v>High temperature DAC of CO2</c:v>
                </c:pt>
              </c:strCache>
            </c:strRef>
          </c:tx>
          <c:invertIfNegative val="0"/>
          <c:val>
            <c:numRef>
              <c:f>'Prozesswärme - Bedarf'!$S$14:$Y$14</c:f>
              <c:numCache>
                <c:formatCode>General</c:formatCode>
                <c:ptCount val="7"/>
                <c:pt idx="0">
                  <c:v>0</c:v>
                </c:pt>
                <c:pt idx="1">
                  <c:v>0.79454948076285326</c:v>
                </c:pt>
                <c:pt idx="2">
                  <c:v>1.0440982050192991E-3</c:v>
                </c:pt>
                <c:pt idx="3">
                  <c:v>5.3281342535825039E-4</c:v>
                </c:pt>
                <c:pt idx="4">
                  <c:v>6.8710159534877724E-5</c:v>
                </c:pt>
                <c:pt idx="5">
                  <c:v>1.045403577385211E-4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DF-423F-9D22-AB294EC5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941440"/>
        <c:axId val="394838592"/>
      </c:barChart>
      <c:catAx>
        <c:axId val="39494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4838592"/>
        <c:crosses val="autoZero"/>
        <c:auto val="1"/>
        <c:lblAlgn val="ctr"/>
        <c:lblOffset val="100"/>
        <c:noMultiLvlLbl val="0"/>
      </c:catAx>
      <c:valAx>
        <c:axId val="394838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High temperature process heat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494144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82964432217323"/>
          <c:y val="0"/>
          <c:w val="0.29722613452554497"/>
          <c:h val="0.8484115154732441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MT-Prozesswärme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layout>
        <c:manualLayout>
          <c:xMode val="edge"/>
          <c:yMode val="edge"/>
          <c:x val="5.9796012881129568E-2"/>
          <c:y val="0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Bedarf'!$AL$3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0-7CE1-4E8E-B89A-EDD8A77675E9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C-7CE1-4E8E-B89A-EDD8A77675E9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7CE1-4E8E-B89A-EDD8A77675E9}"/>
              </c:ext>
            </c:extLst>
          </c:dPt>
          <c:dPt>
            <c:idx val="3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A-7CE1-4E8E-B89A-EDD8A77675E9}"/>
              </c:ext>
            </c:extLst>
          </c:dPt>
          <c:dPt>
            <c:idx val="4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9-7CE1-4E8E-B89A-EDD8A77675E9}"/>
              </c:ext>
            </c:extLst>
          </c:dPt>
          <c:dPt>
            <c:idx val="5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7CE1-4E8E-B89A-EDD8A77675E9}"/>
              </c:ext>
            </c:extLst>
          </c:dPt>
          <c:dPt>
            <c:idx val="6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7CE1-4E8E-B89A-EDD8A77675E9}"/>
              </c:ext>
            </c:extLst>
          </c:dPt>
          <c:dPt>
            <c:idx val="7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6-7CE1-4E8E-B89A-EDD8A77675E9}"/>
              </c:ext>
            </c:extLst>
          </c:dPt>
          <c:dPt>
            <c:idx val="8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5-7CE1-4E8E-B89A-EDD8A77675E9}"/>
              </c:ext>
            </c:extLst>
          </c:dPt>
          <c:dPt>
            <c:idx val="9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4-7CE1-4E8E-B89A-EDD8A77675E9}"/>
              </c:ext>
            </c:extLst>
          </c:dPt>
          <c:dPt>
            <c:idx val="1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3-7CE1-4E8E-B89A-EDD8A77675E9}"/>
              </c:ext>
            </c:extLst>
          </c:dPt>
          <c:dPt>
            <c:idx val="1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2-7CE1-4E8E-B89A-EDD8A77675E9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1-7CE1-4E8E-B89A-EDD8A77675E9}"/>
              </c:ext>
            </c:extLst>
          </c:dPt>
          <c:cat>
            <c:strRef>
              <c:f>'Prozesswärme - Bedarf'!$AD$4:$AD$15</c:f>
              <c:strCache>
                <c:ptCount val="12"/>
                <c:pt idx="0">
                  <c:v>Grundstoffchemie</c:v>
                </c:pt>
                <c:pt idx="1">
                  <c:v>Nahrungsmittel und Tabak</c:v>
                </c:pt>
                <c:pt idx="2">
                  <c:v>Glas und Keramik</c:v>
                </c:pt>
                <c:pt idx="3">
                  <c:v>Maschinenbau</c:v>
                </c:pt>
                <c:pt idx="4">
                  <c:v>Metallverarbeitung</c:v>
                </c:pt>
                <c:pt idx="5">
                  <c:v>Bergbau, Steine und Erden</c:v>
                </c:pt>
                <c:pt idx="6">
                  <c:v>Nichteisenmetallverarbeitung</c:v>
                </c:pt>
                <c:pt idx="7">
                  <c:v>Andere Chemikalien</c:v>
                </c:pt>
                <c:pt idx="8">
                  <c:v>Andere Industrien</c:v>
                </c:pt>
                <c:pt idx="9">
                  <c:v>Papier</c:v>
                </c:pt>
                <c:pt idx="10">
                  <c:v>Steinverarbeitung</c:v>
                </c:pt>
                <c:pt idx="11">
                  <c:v>Automobilbau</c:v>
                </c:pt>
              </c:strCache>
            </c:strRef>
          </c:cat>
          <c:val>
            <c:numRef>
              <c:f>'Prozesswärme - Bedarf'!$AL$4:$AL$15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2650052083333332"/>
          <c:y val="6.162432239154314E-2"/>
          <c:w val="0.45659357638888887"/>
          <c:h val="0.9383756776084568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160559722222221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Bedarf'!$AD$4</c:f>
              <c:strCache>
                <c:ptCount val="1"/>
                <c:pt idx="0">
                  <c:v>Grundstoffchemie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Bedarf'!$AF$4:$AL$4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Bedarf'!$AD$5</c:f>
              <c:strCache>
                <c:ptCount val="1"/>
                <c:pt idx="0">
                  <c:v>Nahrungsmittel und Tabak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Bedarf'!$AF$5:$AL$5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D-439B-8CD0-5C2B75B04D4B}"/>
            </c:ext>
          </c:extLst>
        </c:ser>
        <c:ser>
          <c:idx val="2"/>
          <c:order val="2"/>
          <c:tx>
            <c:strRef>
              <c:f>'Prozesswärme - Bedarf'!$AD$6</c:f>
              <c:strCache>
                <c:ptCount val="1"/>
                <c:pt idx="0">
                  <c:v>Glas und Keramik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Bedarf'!$AF$6:$AL$6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D-439B-8CD0-5C2B75B04D4B}"/>
            </c:ext>
          </c:extLst>
        </c:ser>
        <c:ser>
          <c:idx val="3"/>
          <c:order val="3"/>
          <c:tx>
            <c:strRef>
              <c:f>'Prozesswärme - Bedarf'!$AD$7</c:f>
              <c:strCache>
                <c:ptCount val="1"/>
                <c:pt idx="0">
                  <c:v>Maschinenbau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Bedarf'!$AF$7:$AL$7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D-439B-8CD0-5C2B75B04D4B}"/>
            </c:ext>
          </c:extLst>
        </c:ser>
        <c:ser>
          <c:idx val="4"/>
          <c:order val="4"/>
          <c:tx>
            <c:strRef>
              <c:f>'Prozesswärme - Bedarf'!$AD$8</c:f>
              <c:strCache>
                <c:ptCount val="1"/>
                <c:pt idx="0">
                  <c:v>Metallverarbeitung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Bedarf'!$AF$8:$AL$8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FD-439B-8CD0-5C2B75B04D4B}"/>
            </c:ext>
          </c:extLst>
        </c:ser>
        <c:ser>
          <c:idx val="5"/>
          <c:order val="5"/>
          <c:tx>
            <c:strRef>
              <c:f>'Prozesswärme - Bedarf'!$AD$9</c:f>
              <c:strCache>
                <c:ptCount val="1"/>
                <c:pt idx="0">
                  <c:v>Bergbau, Steine und Erden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Bedarf'!$AF$9:$AL$9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FD-439B-8CD0-5C2B75B04D4B}"/>
            </c:ext>
          </c:extLst>
        </c:ser>
        <c:ser>
          <c:idx val="6"/>
          <c:order val="6"/>
          <c:tx>
            <c:strRef>
              <c:f>'Prozesswärme - Bedarf'!$AD$10</c:f>
              <c:strCache>
                <c:ptCount val="1"/>
                <c:pt idx="0">
                  <c:v>Nichteisenmetallverarbeitung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Bedarf'!$AF$10:$AL$10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FD-439B-8CD0-5C2B75B04D4B}"/>
            </c:ext>
          </c:extLst>
        </c:ser>
        <c:ser>
          <c:idx val="7"/>
          <c:order val="7"/>
          <c:tx>
            <c:strRef>
              <c:f>'Prozesswärme - Bedarf'!$AD$11</c:f>
              <c:strCache>
                <c:ptCount val="1"/>
                <c:pt idx="0">
                  <c:v>Andere Chemikalien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Bedarf'!$AF$11:$AL$11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FD-439B-8CD0-5C2B75B04D4B}"/>
            </c:ext>
          </c:extLst>
        </c:ser>
        <c:ser>
          <c:idx val="8"/>
          <c:order val="8"/>
          <c:tx>
            <c:strRef>
              <c:f>'Prozesswärme - Bedarf'!$AD$12</c:f>
              <c:strCache>
                <c:ptCount val="1"/>
                <c:pt idx="0">
                  <c:v>Andere Industrien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Bedarf'!$AF$12:$AL$12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FD-439B-8CD0-5C2B75B04D4B}"/>
            </c:ext>
          </c:extLst>
        </c:ser>
        <c:ser>
          <c:idx val="9"/>
          <c:order val="9"/>
          <c:tx>
            <c:strRef>
              <c:f>'Prozesswärme - Bedarf'!$AD$13</c:f>
              <c:strCache>
                <c:ptCount val="1"/>
                <c:pt idx="0">
                  <c:v>Papier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Bedarf'!$AF$13:$AL$13</c:f>
              <c:numCache>
                <c:formatCode>General</c:formatCode>
                <c:ptCount val="7"/>
                <c:pt idx="0">
                  <c:v>6966.9450982945946</c:v>
                </c:pt>
                <c:pt idx="1">
                  <c:v>7681.248078055829</c:v>
                </c:pt>
                <c:pt idx="2">
                  <c:v>1609.6046241139411</c:v>
                </c:pt>
                <c:pt idx="3">
                  <c:v>8737.8983172903372</c:v>
                </c:pt>
                <c:pt idx="4">
                  <c:v>10085.008691862629</c:v>
                </c:pt>
                <c:pt idx="5">
                  <c:v>5780.6744494661634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FD-439B-8CD0-5C2B75B04D4B}"/>
            </c:ext>
          </c:extLst>
        </c:ser>
        <c:ser>
          <c:idx val="10"/>
          <c:order val="10"/>
          <c:tx>
            <c:strRef>
              <c:f>'Prozesswärme - Bedarf'!$AD$14</c:f>
              <c:strCache>
                <c:ptCount val="1"/>
                <c:pt idx="0">
                  <c:v>Steinverarbeitung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Bedarf'!$AF$14:$AL$14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1FD-439B-8CD0-5C2B75B04D4B}"/>
            </c:ext>
          </c:extLst>
        </c:ser>
        <c:ser>
          <c:idx val="11"/>
          <c:order val="11"/>
          <c:tx>
            <c:strRef>
              <c:f>'Prozesswärme - Bedarf'!$AD$15</c:f>
              <c:strCache>
                <c:ptCount val="1"/>
                <c:pt idx="0">
                  <c:v>Automobilbau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Bedarf'!$AF$15:$AL$15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FD-439B-8CD0-5C2B75B04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943488"/>
        <c:axId val="394843200"/>
      </c:barChart>
      <c:catAx>
        <c:axId val="39494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4843200"/>
        <c:crosses val="autoZero"/>
        <c:auto val="1"/>
        <c:lblAlgn val="ctr"/>
        <c:lblOffset val="100"/>
        <c:noMultiLvlLbl val="0"/>
      </c:catAx>
      <c:valAx>
        <c:axId val="394843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MT-Prozesswärme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494348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58231888888888894"/>
          <c:y val="0"/>
          <c:w val="0.41768111111111111"/>
          <c:h val="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52291666666667"/>
          <c:y val="6.1460416666666663E-2"/>
          <c:w val="0.5765698611111110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Bedarf'!$B$4</c:f>
              <c:strCache>
                <c:ptCount val="1"/>
                <c:pt idx="0">
                  <c:v>High temp. (&gt;500°C)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'Prozesswärme - Bedarf'!$E$3:$K$3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Bedarf'!$B$5</c:f>
              <c:strCache>
                <c:ptCount val="1"/>
                <c:pt idx="0">
                  <c:v>Mid-temp. (100-500°C)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'Prozesswärme - Bedarf'!$E$3:$K$3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9-48B7-804C-909558CAE51A}"/>
            </c:ext>
          </c:extLst>
        </c:ser>
        <c:ser>
          <c:idx val="2"/>
          <c:order val="2"/>
          <c:tx>
            <c:strRef>
              <c:f>'Prozesswärme - Bedarf'!$B$6</c:f>
              <c:strCache>
                <c:ptCount val="1"/>
                <c:pt idx="0">
                  <c:v>Low temp. (&lt;100°C)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'Prozesswärme - Bedarf'!$E$3:$K$3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9-48B7-804C-909558CAE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432448"/>
        <c:axId val="395477568"/>
      </c:barChart>
      <c:catAx>
        <c:axId val="39543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5477568"/>
        <c:crosses val="autoZero"/>
        <c:auto val="1"/>
        <c:lblAlgn val="ctr"/>
        <c:lblOffset val="100"/>
        <c:noMultiLvlLbl val="0"/>
      </c:catAx>
      <c:valAx>
        <c:axId val="395477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Process heat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543244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917652777777772"/>
          <c:y val="0"/>
          <c:w val="0.29938069444444443"/>
          <c:h val="0.6940664431154285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Process heat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3064773532627623E-2"/>
          <c:y val="0.21045682394628182"/>
          <c:w val="0.47954156363768685"/>
          <c:h val="0.7426803205191210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8F4-41E4-AE83-D3FE47CB02F6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28F4-41E4-AE83-D3FE47CB02F6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5-28F4-41E4-AE83-D3FE47CB02F6}"/>
              </c:ext>
            </c:extLst>
          </c:dPt>
          <c:cat>
            <c:strRef>
              <c:f>'Prozesswärme - Bedarf'!$B$4:$B$6</c:f>
              <c:strCache>
                <c:ptCount val="3"/>
                <c:pt idx="0">
                  <c:v>High temp. (&gt;500°C)</c:v>
                </c:pt>
                <c:pt idx="1">
                  <c:v>Mid-temp. (100-500°C)</c:v>
                </c:pt>
                <c:pt idx="2">
                  <c:v>Low temp. (&lt;100°C)</c:v>
                </c:pt>
              </c:strCache>
            </c:strRef>
          </c:cat>
          <c:val>
            <c:numRef>
              <c:f>'Prozesswärme - Bedarf'!$K$4:$K$6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2777667071562617"/>
          <c:y val="0.14792178529805328"/>
          <c:w val="0.47222332928437383"/>
          <c:h val="0.8520782147019467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52291666666667"/>
          <c:y val="6.1460416666666663E-2"/>
          <c:w val="0.5765698611111110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Bedarf'!$C$4</c:f>
              <c:strCache>
                <c:ptCount val="1"/>
                <c:pt idx="0">
                  <c:v>Hochtemperatur (&gt;500°C)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Bedarf'!$E$3:$K$3</c15:sqref>
                  </c15:fullRef>
                </c:ext>
              </c:extLst>
              <c:f>'Prozesswärme - Bedarf'!$E$3:$J$3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Bedarf'!$E$4:$K$4</c15:sqref>
                  </c15:fullRef>
                </c:ext>
              </c:extLst>
              <c:f>'Prozesswärme - Bedarf'!$E$4:$J$4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Bedarf'!$C$5</c:f>
              <c:strCache>
                <c:ptCount val="1"/>
                <c:pt idx="0">
                  <c:v>Mitteltemperatur (100-500°C)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Bedarf'!$E$3:$K$3</c15:sqref>
                  </c15:fullRef>
                </c:ext>
              </c:extLst>
              <c:f>'Prozesswärme - Bedarf'!$E$3:$J$3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Bedarf'!$E$5:$K$5</c15:sqref>
                  </c15:fullRef>
                </c:ext>
              </c:extLst>
              <c:f>'Prozesswärme - Bedarf'!$E$5:$J$5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9-48B7-804C-909558CAE51A}"/>
            </c:ext>
          </c:extLst>
        </c:ser>
        <c:ser>
          <c:idx val="2"/>
          <c:order val="2"/>
          <c:tx>
            <c:strRef>
              <c:f>'Prozesswärme - Bedarf'!$C$6</c:f>
              <c:strCache>
                <c:ptCount val="1"/>
                <c:pt idx="0">
                  <c:v>Niedertemperatur (&lt;100°C)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'Prozesswärme - Bedarf'!$E$3:$K$3</c15:sqref>
                  </c15:fullRef>
                </c:ext>
              </c:extLst>
              <c:f>'Prozesswärme - Bedarf'!$E$3:$J$3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'Prozesswärme - Bedarf'!$E$6:$K$6</c15:sqref>
                  </c15:fullRef>
                </c:ext>
              </c:extLst>
              <c:f>'Prozesswärme - Bedarf'!$E$6:$J$6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9-48B7-804C-909558CAE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434496"/>
        <c:axId val="395481024"/>
      </c:barChart>
      <c:catAx>
        <c:axId val="39543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5481024"/>
        <c:crosses val="autoZero"/>
        <c:auto val="1"/>
        <c:lblAlgn val="ctr"/>
        <c:lblOffset val="100"/>
        <c:noMultiLvlLbl val="0"/>
      </c:catAx>
      <c:valAx>
        <c:axId val="395481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Prozesswärme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543449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917652777777772"/>
          <c:y val="0"/>
          <c:w val="0.29938069444444443"/>
          <c:h val="0.6940664431154285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Prozesswärme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8F4-41E4-AE83-D3FE47CB02F6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28F4-41E4-AE83-D3FE47CB02F6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5-28F4-41E4-AE83-D3FE47CB02F6}"/>
              </c:ext>
            </c:extLst>
          </c:dPt>
          <c:cat>
            <c:strRef>
              <c:f>'Prozesswärme - Bedarf'!$C$4:$C$6</c:f>
              <c:strCache>
                <c:ptCount val="3"/>
                <c:pt idx="0">
                  <c:v>Hochtemperatur (&gt;500°C)</c:v>
                </c:pt>
                <c:pt idx="1">
                  <c:v>Mitteltemperatur (100-500°C)</c:v>
                </c:pt>
                <c:pt idx="2">
                  <c:v>Niedertemperatur (&lt;100°C)</c:v>
                </c:pt>
              </c:strCache>
            </c:strRef>
          </c:cat>
          <c:val>
            <c:numRef>
              <c:f>'Prozesswärme - Bedarf'!$K$4:$K$6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978315972222225"/>
          <c:y val="0.14792178529805328"/>
          <c:w val="0.4502168402777777"/>
          <c:h val="0.8520782147019467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MT-Process heat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layout>
        <c:manualLayout>
          <c:xMode val="edge"/>
          <c:yMode val="edge"/>
          <c:x val="5.9796012881129568E-2"/>
          <c:y val="0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'Prozesswärme - Bedarf'!$AL$3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0-7CE1-4E8E-B89A-EDD8A77675E9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C-7CE1-4E8E-B89A-EDD8A77675E9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7CE1-4E8E-B89A-EDD8A77675E9}"/>
              </c:ext>
            </c:extLst>
          </c:dPt>
          <c:dPt>
            <c:idx val="3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A-7CE1-4E8E-B89A-EDD8A77675E9}"/>
              </c:ext>
            </c:extLst>
          </c:dPt>
          <c:dPt>
            <c:idx val="4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9-7CE1-4E8E-B89A-EDD8A77675E9}"/>
              </c:ext>
            </c:extLst>
          </c:dPt>
          <c:dPt>
            <c:idx val="5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7CE1-4E8E-B89A-EDD8A77675E9}"/>
              </c:ext>
            </c:extLst>
          </c:dPt>
          <c:dPt>
            <c:idx val="6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7CE1-4E8E-B89A-EDD8A77675E9}"/>
              </c:ext>
            </c:extLst>
          </c:dPt>
          <c:dPt>
            <c:idx val="7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6-7CE1-4E8E-B89A-EDD8A77675E9}"/>
              </c:ext>
            </c:extLst>
          </c:dPt>
          <c:dPt>
            <c:idx val="8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5-7CE1-4E8E-B89A-EDD8A77675E9}"/>
              </c:ext>
            </c:extLst>
          </c:dPt>
          <c:dPt>
            <c:idx val="9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4-7CE1-4E8E-B89A-EDD8A77675E9}"/>
              </c:ext>
            </c:extLst>
          </c:dPt>
          <c:dPt>
            <c:idx val="1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3-7CE1-4E8E-B89A-EDD8A77675E9}"/>
              </c:ext>
            </c:extLst>
          </c:dPt>
          <c:dPt>
            <c:idx val="1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2-7CE1-4E8E-B89A-EDD8A77675E9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1-7CE1-4E8E-B89A-EDD8A77675E9}"/>
              </c:ext>
            </c:extLst>
          </c:dPt>
          <c:cat>
            <c:strRef>
              <c:f>'Prozesswärme - Bedarf'!$AC$4:$AC$15</c:f>
              <c:strCache>
                <c:ptCount val="12"/>
                <c:pt idx="0">
                  <c:v>Basic chemicals</c:v>
                </c:pt>
                <c:pt idx="1">
                  <c:v>Food and tobacco</c:v>
                </c:pt>
                <c:pt idx="2">
                  <c:v>Glas and ceramics</c:v>
                </c:pt>
                <c:pt idx="3">
                  <c:v>Machinery</c:v>
                </c:pt>
                <c:pt idx="4">
                  <c:v>Metal processing</c:v>
                </c:pt>
                <c:pt idx="5">
                  <c:v>Mining, stones and earth</c:v>
                </c:pt>
                <c:pt idx="6">
                  <c:v>Non-ferrous metals</c:v>
                </c:pt>
                <c:pt idx="7">
                  <c:v>Other chemicals</c:v>
                </c:pt>
                <c:pt idx="8">
                  <c:v>Other industries</c:v>
                </c:pt>
                <c:pt idx="9">
                  <c:v>Paper</c:v>
                </c:pt>
                <c:pt idx="10">
                  <c:v>Processing stones</c:v>
                </c:pt>
                <c:pt idx="11">
                  <c:v>Vehicle construction</c:v>
                </c:pt>
              </c:strCache>
            </c:strRef>
          </c:cat>
          <c:val>
            <c:numRef>
              <c:f>'Prozesswärme - Bedarf'!$AL$4:$AL$15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2650052083333332"/>
          <c:y val="6.162432239154314E-2"/>
          <c:w val="0.45659357638888887"/>
          <c:h val="0.9383756776084568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160559722222221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'Prozesswärme - Bedarf'!$AC$4</c:f>
              <c:strCache>
                <c:ptCount val="1"/>
                <c:pt idx="0">
                  <c:v>Basic chemicals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Bedarf'!$AF$4:$AL$4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'Prozesswärme - Bedarf'!$AC$5</c:f>
              <c:strCache>
                <c:ptCount val="1"/>
                <c:pt idx="0">
                  <c:v>Food and tobacco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Bedarf'!$AF$5:$AL$5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D-439B-8CD0-5C2B75B04D4B}"/>
            </c:ext>
          </c:extLst>
        </c:ser>
        <c:ser>
          <c:idx val="2"/>
          <c:order val="2"/>
          <c:tx>
            <c:strRef>
              <c:f>'Prozesswärme - Bedarf'!$AC$6</c:f>
              <c:strCache>
                <c:ptCount val="1"/>
                <c:pt idx="0">
                  <c:v>Glas and ceramics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Bedarf'!$AF$6:$AL$6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D-439B-8CD0-5C2B75B04D4B}"/>
            </c:ext>
          </c:extLst>
        </c:ser>
        <c:ser>
          <c:idx val="3"/>
          <c:order val="3"/>
          <c:tx>
            <c:strRef>
              <c:f>'Prozesswärme - Bedarf'!$AC$7</c:f>
              <c:strCache>
                <c:ptCount val="1"/>
                <c:pt idx="0">
                  <c:v>Machinery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Bedarf'!$AF$7:$AL$7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D-439B-8CD0-5C2B75B04D4B}"/>
            </c:ext>
          </c:extLst>
        </c:ser>
        <c:ser>
          <c:idx val="4"/>
          <c:order val="4"/>
          <c:tx>
            <c:strRef>
              <c:f>'Prozesswärme - Bedarf'!$AC$8</c:f>
              <c:strCache>
                <c:ptCount val="1"/>
                <c:pt idx="0">
                  <c:v>Metal processing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Bedarf'!$AF$8:$AL$8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FD-439B-8CD0-5C2B75B04D4B}"/>
            </c:ext>
          </c:extLst>
        </c:ser>
        <c:ser>
          <c:idx val="5"/>
          <c:order val="5"/>
          <c:tx>
            <c:strRef>
              <c:f>'Prozesswärme - Bedarf'!$AC$9</c:f>
              <c:strCache>
                <c:ptCount val="1"/>
                <c:pt idx="0">
                  <c:v>Mining, stones and earth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Bedarf'!$AF$9:$AL$9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FD-439B-8CD0-5C2B75B04D4B}"/>
            </c:ext>
          </c:extLst>
        </c:ser>
        <c:ser>
          <c:idx val="6"/>
          <c:order val="6"/>
          <c:tx>
            <c:strRef>
              <c:f>'Prozesswärme - Bedarf'!$AC$10</c:f>
              <c:strCache>
                <c:ptCount val="1"/>
                <c:pt idx="0">
                  <c:v>Non-ferrous metals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Bedarf'!$AF$10:$AL$10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FD-439B-8CD0-5C2B75B04D4B}"/>
            </c:ext>
          </c:extLst>
        </c:ser>
        <c:ser>
          <c:idx val="7"/>
          <c:order val="7"/>
          <c:tx>
            <c:strRef>
              <c:f>'Prozesswärme - Bedarf'!$AC$11</c:f>
              <c:strCache>
                <c:ptCount val="1"/>
                <c:pt idx="0">
                  <c:v>Other chemicals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Bedarf'!$AF$11:$AL$11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FD-439B-8CD0-5C2B75B04D4B}"/>
            </c:ext>
          </c:extLst>
        </c:ser>
        <c:ser>
          <c:idx val="8"/>
          <c:order val="8"/>
          <c:tx>
            <c:strRef>
              <c:f>'Prozesswärme - Bedarf'!$AC$12</c:f>
              <c:strCache>
                <c:ptCount val="1"/>
                <c:pt idx="0">
                  <c:v>Other industries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Bedarf'!$AF$12:$AL$12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FD-439B-8CD0-5C2B75B04D4B}"/>
            </c:ext>
          </c:extLst>
        </c:ser>
        <c:ser>
          <c:idx val="9"/>
          <c:order val="9"/>
          <c:tx>
            <c:strRef>
              <c:f>'Prozesswärme - Bedarf'!$AC$13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Bedarf'!$AF$13:$AL$13</c:f>
              <c:numCache>
                <c:formatCode>General</c:formatCode>
                <c:ptCount val="7"/>
                <c:pt idx="0">
                  <c:v>6966.9450982945946</c:v>
                </c:pt>
                <c:pt idx="1">
                  <c:v>7681.248078055829</c:v>
                </c:pt>
                <c:pt idx="2">
                  <c:v>1609.6046241139411</c:v>
                </c:pt>
                <c:pt idx="3">
                  <c:v>8737.8983172903372</c:v>
                </c:pt>
                <c:pt idx="4">
                  <c:v>10085.008691862629</c:v>
                </c:pt>
                <c:pt idx="5">
                  <c:v>5780.6744494661634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FD-439B-8CD0-5C2B75B04D4B}"/>
            </c:ext>
          </c:extLst>
        </c:ser>
        <c:ser>
          <c:idx val="10"/>
          <c:order val="10"/>
          <c:tx>
            <c:strRef>
              <c:f>'Prozesswärme - Bedarf'!$AC$14</c:f>
              <c:strCache>
                <c:ptCount val="1"/>
                <c:pt idx="0">
                  <c:v>Processing stones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Bedarf'!$AF$14:$AL$14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1FD-439B-8CD0-5C2B75B04D4B}"/>
            </c:ext>
          </c:extLst>
        </c:ser>
        <c:ser>
          <c:idx val="11"/>
          <c:order val="11"/>
          <c:tx>
            <c:strRef>
              <c:f>'Prozesswärme - Bedarf'!$AC$15</c:f>
              <c:strCache>
                <c:ptCount val="1"/>
                <c:pt idx="0">
                  <c:v>Vehicle construction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'Prozesswärme - Bedarf'!$AF$3:$AL$3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Bedarf'!$AF$15:$AL$15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FD-439B-8CD0-5C2B75B04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052992"/>
        <c:axId val="395916352"/>
      </c:barChart>
      <c:catAx>
        <c:axId val="39605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5916352"/>
        <c:crosses val="autoZero"/>
        <c:auto val="1"/>
        <c:lblAlgn val="ctr"/>
        <c:lblOffset val="100"/>
        <c:noMultiLvlLbl val="0"/>
      </c:catAx>
      <c:valAx>
        <c:axId val="395916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MT-Process</a:t>
                </a:r>
                <a:r>
                  <a:rPr lang="de-DE" baseline="0"/>
                  <a:t> heat</a:t>
                </a:r>
                <a:r>
                  <a:rPr lang="de-DE"/>
                  <a:t>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605299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58231888888888894"/>
          <c:y val="0"/>
          <c:w val="0.41768111111111111"/>
          <c:h val="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NT-Prozesswärme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5934569967510848E-2"/>
          <c:y val="0.25516324420150682"/>
          <c:w val="0.46695545916269482"/>
          <c:h val="0.70069086579823248"/>
        </c:manualLayout>
      </c:layout>
      <c:pieChart>
        <c:varyColors val="1"/>
        <c:ser>
          <c:idx val="0"/>
          <c:order val="0"/>
          <c:tx>
            <c:strRef>
              <c:f>'Prozesswärme - Bedarf'!$AX$3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0-6A0F-4FE5-8CF0-380BC0A14043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6A0F-4FE5-8CF0-380BC0A14043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A-6A0F-4FE5-8CF0-380BC0A14043}"/>
              </c:ext>
            </c:extLst>
          </c:dPt>
          <c:dPt>
            <c:idx val="3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6A0F-4FE5-8CF0-380BC0A14043}"/>
              </c:ext>
            </c:extLst>
          </c:dPt>
          <c:dPt>
            <c:idx val="4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6A0F-4FE5-8CF0-380BC0A14043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6A0F-4FE5-8CF0-380BC0A14043}"/>
              </c:ext>
            </c:extLst>
          </c:dPt>
          <c:dPt>
            <c:idx val="6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6-6A0F-4FE5-8CF0-380BC0A14043}"/>
              </c:ext>
            </c:extLst>
          </c:dPt>
          <c:dPt>
            <c:idx val="7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5-6A0F-4FE5-8CF0-380BC0A14043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4-6A0F-4FE5-8CF0-380BC0A14043}"/>
              </c:ext>
            </c:extLst>
          </c:dPt>
          <c:dPt>
            <c:idx val="9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6A0F-4FE5-8CF0-380BC0A14043}"/>
              </c:ext>
            </c:extLst>
          </c:dPt>
          <c:dPt>
            <c:idx val="10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2-6A0F-4FE5-8CF0-380BC0A14043}"/>
              </c:ext>
            </c:extLst>
          </c:dPt>
          <c:cat>
            <c:strRef>
              <c:f>'Prozesswärme - Bedarf'!$AP$4:$AP$20</c:f>
              <c:strCache>
                <c:ptCount val="17"/>
                <c:pt idx="0">
                  <c:v>Grundstoffchemie</c:v>
                </c:pt>
                <c:pt idx="1">
                  <c:v>Nahrungsmittel und Tabak</c:v>
                </c:pt>
                <c:pt idx="2">
                  <c:v>Glas und Keramik</c:v>
                </c:pt>
                <c:pt idx="3">
                  <c:v>Maschinenabu</c:v>
                </c:pt>
                <c:pt idx="4">
                  <c:v>Bergbau, Steine und Erden</c:v>
                </c:pt>
                <c:pt idx="5">
                  <c:v>Nichteisenmetallverarbeitung</c:v>
                </c:pt>
                <c:pt idx="6">
                  <c:v>Niedertemperatur DAC von CO2</c:v>
                </c:pt>
                <c:pt idx="7">
                  <c:v>Andere Chemikalien</c:v>
                </c:pt>
                <c:pt idx="8">
                  <c:v>Zement CC</c:v>
                </c:pt>
                <c:pt idx="9">
                  <c:v>Methanol konv. CC</c:v>
                </c:pt>
                <c:pt idx="10">
                  <c:v>Methanol Gasifizierung CC</c:v>
                </c:pt>
                <c:pt idx="11">
                  <c:v>Ammoniak CC</c:v>
                </c:pt>
                <c:pt idx="12">
                  <c:v>Steamcracker CC</c:v>
                </c:pt>
                <c:pt idx="13">
                  <c:v>Stahl CC</c:v>
                </c:pt>
                <c:pt idx="14">
                  <c:v>Andere Industrien</c:v>
                </c:pt>
                <c:pt idx="15">
                  <c:v>Gummi und Kunststoff</c:v>
                </c:pt>
                <c:pt idx="16">
                  <c:v>Automobilbau</c:v>
                </c:pt>
              </c:strCache>
            </c:strRef>
          </c:cat>
          <c:val>
            <c:numRef>
              <c:f>'Prozesswärme - Bedarf'!$AX$4:$AX$20</c:f>
              <c:numCache>
                <c:formatCode>General</c:formatCode>
                <c:ptCount val="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7635677083333333"/>
          <c:y val="0.22073982565726516"/>
          <c:w val="0.52364322916666672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485778238557739"/>
          <c:y val="6.1460416666666663E-2"/>
          <c:w val="0.45900291666666665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'Prozesswärme - Bedarf'!$AP$4</c:f>
              <c:strCache>
                <c:ptCount val="1"/>
                <c:pt idx="0">
                  <c:v>Grundstoffchemie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Bedarf'!$AR$4:$AX$4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'Prozesswärme - Bedarf'!$AP$5</c:f>
              <c:strCache>
                <c:ptCount val="1"/>
                <c:pt idx="0">
                  <c:v>Nahrungsmittel und Tabak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Bedarf'!$AR$5:$AX$5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E-4D6B-BAF9-5EC3DA83D9DA}"/>
            </c:ext>
          </c:extLst>
        </c:ser>
        <c:ser>
          <c:idx val="1"/>
          <c:order val="2"/>
          <c:tx>
            <c:strRef>
              <c:f>'Prozesswärme - Bedarf'!$AP$6</c:f>
              <c:strCache>
                <c:ptCount val="1"/>
                <c:pt idx="0">
                  <c:v>Glas und Keramik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Bedarf'!$AR$6:$AX$6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4E-4D6B-BAF9-5EC3DA83D9DA}"/>
            </c:ext>
          </c:extLst>
        </c:ser>
        <c:ser>
          <c:idx val="3"/>
          <c:order val="3"/>
          <c:tx>
            <c:strRef>
              <c:f>'Prozesswärme - Bedarf'!$AP$7</c:f>
              <c:strCache>
                <c:ptCount val="1"/>
                <c:pt idx="0">
                  <c:v>Maschinenabu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Bedarf'!$AR$7:$AX$7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4E-4D6B-BAF9-5EC3DA83D9DA}"/>
            </c:ext>
          </c:extLst>
        </c:ser>
        <c:ser>
          <c:idx val="4"/>
          <c:order val="4"/>
          <c:tx>
            <c:strRef>
              <c:f>'Prozesswärme - Bedarf'!$AP$8</c:f>
              <c:strCache>
                <c:ptCount val="1"/>
                <c:pt idx="0">
                  <c:v>Bergbau, Steine und Erden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Bedarf'!$AR$8:$AX$8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4E-4D6B-BAF9-5EC3DA83D9DA}"/>
            </c:ext>
          </c:extLst>
        </c:ser>
        <c:ser>
          <c:idx val="5"/>
          <c:order val="5"/>
          <c:tx>
            <c:strRef>
              <c:f>'Prozesswärme - Bedarf'!$AP$9</c:f>
              <c:strCache>
                <c:ptCount val="1"/>
                <c:pt idx="0">
                  <c:v>Nichteisenmetallverarbeitung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Bedarf'!$AR$9:$AX$9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4E-4D6B-BAF9-5EC3DA83D9DA}"/>
            </c:ext>
          </c:extLst>
        </c:ser>
        <c:ser>
          <c:idx val="6"/>
          <c:order val="6"/>
          <c:tx>
            <c:strRef>
              <c:f>'Prozesswärme - Bedarf'!$AP$11</c:f>
              <c:strCache>
                <c:ptCount val="1"/>
                <c:pt idx="0">
                  <c:v>Andere Chemikalien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Bedarf'!$AR$11:$AX$11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4E-4D6B-BAF9-5EC3DA83D9DA}"/>
            </c:ext>
          </c:extLst>
        </c:ser>
        <c:ser>
          <c:idx val="7"/>
          <c:order val="7"/>
          <c:tx>
            <c:strRef>
              <c:f>'Prozesswärme - Bedarf'!$AP$18</c:f>
              <c:strCache>
                <c:ptCount val="1"/>
                <c:pt idx="0">
                  <c:v>Andere Industrien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Bedarf'!$AR$18:$AX$18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4E-4D6B-BAF9-5EC3DA83D9DA}"/>
            </c:ext>
          </c:extLst>
        </c:ser>
        <c:ser>
          <c:idx val="9"/>
          <c:order val="8"/>
          <c:tx>
            <c:strRef>
              <c:f>'Prozesswärme - Bedarf'!$AP$19</c:f>
              <c:strCache>
                <c:ptCount val="1"/>
                <c:pt idx="0">
                  <c:v>Gummi und Kunststoff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Bedarf'!$AR$19:$AX$19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4E-4D6B-BAF9-5EC3DA83D9DA}"/>
            </c:ext>
          </c:extLst>
        </c:ser>
        <c:ser>
          <c:idx val="10"/>
          <c:order val="9"/>
          <c:tx>
            <c:strRef>
              <c:f>'Prozesswärme - Bedarf'!$AP$20</c:f>
              <c:strCache>
                <c:ptCount val="1"/>
                <c:pt idx="0">
                  <c:v>Automobilbau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'Prozesswärme - Bedarf'!$AR$3:$AX$3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'Prozesswärme - Bedarf'!$AR$20:$AX$20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4E-4D6B-BAF9-5EC3DA83D9DA}"/>
            </c:ext>
          </c:extLst>
        </c:ser>
        <c:ser>
          <c:idx val="8"/>
          <c:order val="10"/>
          <c:tx>
            <c:strRef>
              <c:f>'Prozesswärme - Bedarf'!$AP$10</c:f>
              <c:strCache>
                <c:ptCount val="1"/>
                <c:pt idx="0">
                  <c:v>Niedertemperatur DAC von CO2</c:v>
                </c:pt>
              </c:strCache>
            </c:strRef>
          </c:tx>
          <c:invertIfNegative val="0"/>
          <c:val>
            <c:numRef>
              <c:f>'Prozesswärme - Bedarf'!$AR$10:$AX$10</c:f>
              <c:numCache>
                <c:formatCode>General</c:formatCode>
                <c:ptCount val="7"/>
                <c:pt idx="0">
                  <c:v>0</c:v>
                </c:pt>
                <c:pt idx="1">
                  <c:v>2.6883388830195472</c:v>
                </c:pt>
                <c:pt idx="2">
                  <c:v>1.38316617623162E-2</c:v>
                </c:pt>
                <c:pt idx="3">
                  <c:v>4.2145774126187644E-3</c:v>
                </c:pt>
                <c:pt idx="4">
                  <c:v>20314.433606030441</c:v>
                </c:pt>
                <c:pt idx="5">
                  <c:v>142370.26970544751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F-44BE-BD91-2A70A26D4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29824"/>
        <c:axId val="396142272"/>
      </c:barChart>
      <c:catAx>
        <c:axId val="39642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6142272"/>
        <c:crosses val="autoZero"/>
        <c:auto val="1"/>
        <c:lblAlgn val="ctr"/>
        <c:lblOffset val="100"/>
        <c:noMultiLvlLbl val="0"/>
      </c:catAx>
      <c:valAx>
        <c:axId val="396142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NT-Prozesswärme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642982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3047500000000001"/>
          <c:y val="0"/>
          <c:w val="0.31860900841618522"/>
          <c:h val="0.87628517124336935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der Stahlproduktion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Industrieprozesse!$D$4</c:f>
              <c:strCache>
                <c:ptCount val="1"/>
                <c:pt idx="0">
                  <c:v>Konv. Stahlwerk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Industrieprozesse!$F$4:$L$4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8-4CA1-810F-517E457637E5}"/>
            </c:ext>
          </c:extLst>
        </c:ser>
        <c:ser>
          <c:idx val="2"/>
          <c:order val="1"/>
          <c:tx>
            <c:strRef>
              <c:f>Industrieprozesse!$D$21</c:f>
              <c:strCache>
                <c:ptCount val="1"/>
                <c:pt idx="0">
                  <c:v>H2 Stahl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Industrieprozesse!$F$21:$L$21</c:f>
              <c:numCache>
                <c:formatCode>General</c:formatCode>
                <c:ptCount val="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58-4CA1-810F-517E457637E5}"/>
            </c:ext>
          </c:extLst>
        </c:ser>
        <c:ser>
          <c:idx val="4"/>
          <c:order val="2"/>
          <c:tx>
            <c:strRef>
              <c:f>Industrieprozesse!$C$23</c:f>
              <c:strCache>
                <c:ptCount val="1"/>
                <c:pt idx="0">
                  <c:v>Biogas steel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val>
            <c:numRef>
              <c:f>Industrieprozesse!$F$23:$L$23</c:f>
              <c:numCache>
                <c:formatCode>General</c:formatCode>
                <c:ptCount val="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4-4427-AA55-01E4B47D7ACC}"/>
            </c:ext>
          </c:extLst>
        </c:ser>
        <c:ser>
          <c:idx val="3"/>
          <c:order val="3"/>
          <c:tx>
            <c:strRef>
              <c:f>Industrieprozesse!$D$22</c:f>
              <c:strCache>
                <c:ptCount val="1"/>
                <c:pt idx="0">
                  <c:v>CH4 Stahl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</c:spPr>
          <c:invertIfNegative val="0"/>
          <c:val>
            <c:numRef>
              <c:f>Industrieprozesse!$F$22:$L$22</c:f>
              <c:numCache>
                <c:formatCode>General</c:formatCode>
                <c:ptCount val="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58-4CA1-810F-517E457637E5}"/>
            </c:ext>
          </c:extLst>
        </c:ser>
        <c:ser>
          <c:idx val="1"/>
          <c:order val="4"/>
          <c:tx>
            <c:strRef>
              <c:f>Industrieprozesse!$D$24</c:f>
              <c:strCache>
                <c:ptCount val="1"/>
                <c:pt idx="0">
                  <c:v>Recycelter Stahl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</c:spPr>
          <c:invertIfNegative val="0"/>
          <c:val>
            <c:numRef>
              <c:f>Industrieprozesse!$F$24:$L$24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58-4CA1-810F-517E45763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Stahlproduktion</a:t>
                </a:r>
                <a:r>
                  <a:rPr lang="de-DE" baseline="0"/>
                  <a:t> in Mt/a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8981222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</a:t>
            </a:r>
            <a:r>
              <a:rPr lang="de-DE" sz="1600" baseline="0"/>
              <a:t> of Steel Production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Industrieprozesse!$C$4</c:f>
              <c:strCache>
                <c:ptCount val="1"/>
                <c:pt idx="0">
                  <c:v>Conv. Steelworks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Industrieprozesse!$F$4:$L$4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1-4DE1-93F1-921409C8EE41}"/>
            </c:ext>
          </c:extLst>
        </c:ser>
        <c:ser>
          <c:idx val="1"/>
          <c:order val="1"/>
          <c:tx>
            <c:strRef>
              <c:f>Industrieprozesse!$C$21</c:f>
              <c:strCache>
                <c:ptCount val="1"/>
                <c:pt idx="0">
                  <c:v>H2 steel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Industrieprozesse!$F$21:$L$21</c:f>
              <c:numCache>
                <c:formatCode>General</c:formatCode>
                <c:ptCount val="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9-41BE-BE9E-F0C5F64C3FE3}"/>
            </c:ext>
          </c:extLst>
        </c:ser>
        <c:ser>
          <c:idx val="2"/>
          <c:order val="2"/>
          <c:tx>
            <c:strRef>
              <c:f>Industrieprozesse!$C$22</c:f>
              <c:strCache>
                <c:ptCount val="1"/>
                <c:pt idx="0">
                  <c:v>CH4 steel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Industrieprozesse!$F$22:$L$22</c:f>
              <c:numCache>
                <c:formatCode>General</c:formatCode>
                <c:ptCount val="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09-41BE-BE9E-F0C5F64C3FE3}"/>
            </c:ext>
          </c:extLst>
        </c:ser>
        <c:ser>
          <c:idx val="3"/>
          <c:order val="3"/>
          <c:tx>
            <c:strRef>
              <c:f>Industrieprozesse!$C$24</c:f>
              <c:strCache>
                <c:ptCount val="1"/>
                <c:pt idx="0">
                  <c:v>Recycled steel</c:v>
                </c:pt>
              </c:strCache>
            </c:strRef>
          </c:tx>
          <c:spPr>
            <a:ln>
              <a:noFill/>
            </a:ln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Industrieprozesse!$F$24:$L$24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09-41BE-BE9E-F0C5F64C3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6096"/>
        <c:axId val="190037312"/>
        <c:extLst/>
      </c:barChart>
      <c:catAx>
        <c:axId val="19091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7312"/>
        <c:crosses val="autoZero"/>
        <c:auto val="1"/>
        <c:lblAlgn val="ctr"/>
        <c:lblOffset val="100"/>
        <c:noMultiLvlLbl val="0"/>
      </c:catAx>
      <c:valAx>
        <c:axId val="190037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Steel production</a:t>
                </a:r>
                <a:r>
                  <a:rPr lang="de-DE" baseline="0"/>
                  <a:t> in Mt/a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609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des Energiebedarfs in der Stahlproduktion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Industrieprozesse!$D$47</c:f>
              <c:strCache>
                <c:ptCount val="1"/>
                <c:pt idx="0">
                  <c:v>Kohle/Koks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Industrieprozesse!$F$3:$L$3</c15:sqref>
                  </c15:fullRef>
                </c:ext>
              </c:extLst>
              <c:f>Industrieprozesse!$F$3:$K$3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Industrieprozesse!$F$47:$L$47</c15:sqref>
                  </c15:fullRef>
                </c:ext>
              </c:extLst>
              <c:f>Industrieprozesse!$F$47:$K$47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E-4C05-AD77-2D75E7D41F06}"/>
            </c:ext>
          </c:extLst>
        </c:ser>
        <c:ser>
          <c:idx val="1"/>
          <c:order val="2"/>
          <c:tx>
            <c:strRef>
              <c:f>Industrieprozesse!$D$48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Industrieprozesse!$F$3:$L$3</c15:sqref>
                  </c15:fullRef>
                </c:ext>
              </c:extLst>
              <c:f>Industrieprozesse!$F$3:$K$3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Industrieprozesse!$F$48:$L$48</c15:sqref>
                  </c15:fullRef>
                </c:ext>
              </c:extLst>
              <c:f>Industrieprozesse!$F$48:$K$48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9E-4C05-AD77-2D75E7D41F06}"/>
            </c:ext>
          </c:extLst>
        </c:ser>
        <c:ser>
          <c:idx val="4"/>
          <c:order val="3"/>
          <c:tx>
            <c:strRef>
              <c:f>Industrieprozesse!$D$49</c:f>
              <c:strCache>
                <c:ptCount val="1"/>
                <c:pt idx="0">
                  <c:v>Biogas</c:v>
                </c:pt>
              </c:strCache>
            </c:strRef>
          </c:tx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Industrieprozesse!$F$49:$L$49</c15:sqref>
                  </c15:fullRef>
                </c:ext>
              </c:extLst>
              <c:f>Industrieprozesse!$F$49:$K$49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9C-4626-873D-22762EF74C69}"/>
            </c:ext>
          </c:extLst>
        </c:ser>
        <c:ser>
          <c:idx val="2"/>
          <c:order val="4"/>
          <c:tx>
            <c:strRef>
              <c:f>Industrieprozesse!$Q$18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Industrieprozesse!$F$3:$L$3</c15:sqref>
                  </c15:fullRef>
                </c:ext>
              </c:extLst>
              <c:f>Industrieprozesse!$F$3:$K$3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Industrieprozesse!$F$51:$L$51</c15:sqref>
                  </c15:fullRef>
                </c:ext>
              </c:extLst>
              <c:f>Industrieprozesse!$F$51:$K$51</c:f>
              <c:numCache>
                <c:formatCode>General</c:formatCode>
                <c:ptCount val="6"/>
                <c:pt idx="0">
                  <c:v>0</c:v>
                </c:pt>
                <c:pt idx="1">
                  <c:v>0.72771572971397591</c:v>
                </c:pt>
                <c:pt idx="2">
                  <c:v>3.5798441773447812E-3</c:v>
                </c:pt>
                <c:pt idx="3">
                  <c:v>2.4243121413485848E-3</c:v>
                </c:pt>
                <c:pt idx="4">
                  <c:v>3433.1926499807341</c:v>
                </c:pt>
                <c:pt idx="5">
                  <c:v>9.3622537683307305E-2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9E-4C05-AD77-2D75E7D41F06}"/>
            </c:ext>
          </c:extLst>
        </c:ser>
        <c:ser>
          <c:idx val="3"/>
          <c:order val="5"/>
          <c:tx>
            <c:strRef>
              <c:f>Industrieprozesse!$D$52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Industrieprozesse!$F$3:$L$3</c15:sqref>
                  </c15:fullRef>
                </c:ext>
              </c:extLst>
              <c:f>Industrieprozesse!$F$3:$K$3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Industrieprozesse!$F$52:$L$52</c15:sqref>
                  </c15:fullRef>
                </c:ext>
              </c:extLst>
              <c:f>Industrieprozesse!$F$52:$K$52</c:f>
              <c:numCache>
                <c:formatCode>General</c:formatCode>
                <c:ptCount val="6"/>
                <c:pt idx="0">
                  <c:v>0</c:v>
                </c:pt>
                <c:pt idx="1">
                  <c:v>1.651125082986914</c:v>
                </c:pt>
                <c:pt idx="2">
                  <c:v>9.1672203015324312E-3</c:v>
                </c:pt>
                <c:pt idx="3">
                  <c:v>4712.9720061677363</c:v>
                </c:pt>
                <c:pt idx="4">
                  <c:v>4.9331093052695459E-2</c:v>
                </c:pt>
                <c:pt idx="5">
                  <c:v>4056.4651695948169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9E-4C05-AD77-2D75E7D41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>
          <c:ext xmlns:c15="http://schemas.microsoft.com/office/drawing/2012/chart" uri="{02D57815-91ED-43cb-92C2-25804820EDAC}">
            <c15:filteredBarSeries>
              <c15:ser>
                <c:idx val="5"/>
                <c:order val="1"/>
                <c:tx>
                  <c:strRef>
                    <c:extLst>
                      <c:ext uri="{02D57815-91ED-43cb-92C2-25804820EDAC}">
                        <c15:formulaRef>
                          <c15:sqref>Industrieprozesse!$D$50</c15:sqref>
                        </c15:formulaRef>
                      </c:ext>
                    </c:extLst>
                    <c:strCache>
                      <c:ptCount val="1"/>
                      <c:pt idx="0">
                        <c:v>Biokohle</c:v>
                      </c:pt>
                    </c:strCache>
                  </c:strRef>
                </c:tx>
                <c:spPr>
                  <a:solidFill>
                    <a:srgbClr val="00B050"/>
                  </a:solidFill>
                </c:spPr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Industrieprozesse!$F$50:$L$50</c15:sqref>
                        </c15:fullRef>
                        <c15:formulaRef>
                          <c15:sqref>Industrieprozesse!$F$50:$K$50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359C-4626-873D-22762EF74C69}"/>
                  </c:ext>
                </c:extLst>
              </c15:ser>
            </c15:filteredBarSeries>
          </c:ext>
        </c:extLst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15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Energiebedarf </a:t>
                </a:r>
                <a:r>
                  <a:rPr lang="de-DE" baseline="0"/>
                  <a:t>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</a:t>
            </a:r>
            <a:r>
              <a:rPr lang="de-DE" sz="1600" baseline="0"/>
              <a:t> of the Energy Demand in Steel Production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Industrieprozesse!$C$47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Industrieprozesse!$F$47:$L$47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A-42D0-967A-AEC0DE3D9856}"/>
            </c:ext>
          </c:extLst>
        </c:ser>
        <c:ser>
          <c:idx val="5"/>
          <c:order val="1"/>
          <c:tx>
            <c:strRef>
              <c:f>Industrieprozesse!$C$50</c:f>
              <c:strCache>
                <c:ptCount val="1"/>
                <c:pt idx="0">
                  <c:v>Biocoal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val>
            <c:numRef>
              <c:f>Industrieprozesse!$F$50:$L$50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9-4243-AA7E-17F3583F6A33}"/>
            </c:ext>
          </c:extLst>
        </c:ser>
        <c:ser>
          <c:idx val="1"/>
          <c:order val="2"/>
          <c:tx>
            <c:strRef>
              <c:f>Industrieprozesse!$C$48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Industrieprozesse!$F$48:$L$48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A-42D0-967A-AEC0DE3D9856}"/>
            </c:ext>
          </c:extLst>
        </c:ser>
        <c:ser>
          <c:idx val="4"/>
          <c:order val="3"/>
          <c:tx>
            <c:strRef>
              <c:f>Industrieprozesse!$C$49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Industrieprozesse!$F$49:$L$49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7-4ADF-BCD0-089597AE26A5}"/>
            </c:ext>
          </c:extLst>
        </c:ser>
        <c:ser>
          <c:idx val="2"/>
          <c:order val="4"/>
          <c:tx>
            <c:strRef>
              <c:f>Industrieprozesse!$P$18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Industrieprozesse!$F$51:$L$51</c:f>
              <c:numCache>
                <c:formatCode>General</c:formatCode>
                <c:ptCount val="7"/>
                <c:pt idx="0">
                  <c:v>0</c:v>
                </c:pt>
                <c:pt idx="1">
                  <c:v>0.72771572971397591</c:v>
                </c:pt>
                <c:pt idx="2">
                  <c:v>3.5798441773447812E-3</c:v>
                </c:pt>
                <c:pt idx="3">
                  <c:v>2.4243121413485848E-3</c:v>
                </c:pt>
                <c:pt idx="4">
                  <c:v>3433.1926499807341</c:v>
                </c:pt>
                <c:pt idx="5">
                  <c:v>9.3622537683307305E-2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5A-42D0-967A-AEC0DE3D9856}"/>
            </c:ext>
          </c:extLst>
        </c:ser>
        <c:ser>
          <c:idx val="3"/>
          <c:order val="5"/>
          <c:tx>
            <c:strRef>
              <c:f>Industrieprozesse!$C$52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Industrieprozesse!$F$52:$L$52</c:f>
              <c:numCache>
                <c:formatCode>General</c:formatCode>
                <c:ptCount val="7"/>
                <c:pt idx="0">
                  <c:v>0</c:v>
                </c:pt>
                <c:pt idx="1">
                  <c:v>1.651125082986914</c:v>
                </c:pt>
                <c:pt idx="2">
                  <c:v>9.1672203015324312E-3</c:v>
                </c:pt>
                <c:pt idx="3">
                  <c:v>4712.9720061677363</c:v>
                </c:pt>
                <c:pt idx="4">
                  <c:v>4.9331093052695459E-2</c:v>
                </c:pt>
                <c:pt idx="5">
                  <c:v>4056.4651695948169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5A-42D0-967A-AEC0DE3D9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63744"/>
        <c:axId val="190672832"/>
        <c:extLst/>
      </c:barChart>
      <c:catAx>
        <c:axId val="19126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2832"/>
        <c:crosses val="autoZero"/>
        <c:auto val="1"/>
        <c:lblAlgn val="ctr"/>
        <c:lblOffset val="100"/>
        <c:noMultiLvlLbl val="0"/>
      </c:catAx>
      <c:valAx>
        <c:axId val="190672832"/>
        <c:scaling>
          <c:orientation val="minMax"/>
          <c:max val="16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de-DE" sz="1600" b="1" i="0" baseline="0">
                    <a:effectLst/>
                  </a:rPr>
                  <a:t>Energy demand in TWh/a</a:t>
                </a:r>
                <a:endParaRPr lang="de-DE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126374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der Zementproduktion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Industrieprozesse!$Q$4</c:f>
              <c:strCache>
                <c:ptCount val="1"/>
                <c:pt idx="0">
                  <c:v>Zementwerk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Industrieprozesse!$S$4:$Y$4</c:f>
              <c:numCache>
                <c:formatCode>General</c:formatCode>
                <c:ptCount val="7"/>
                <c:pt idx="0">
                  <c:v>34200.000033679498</c:v>
                </c:pt>
                <c:pt idx="1">
                  <c:v>34624.385294380707</c:v>
                </c:pt>
                <c:pt idx="2">
                  <c:v>35063.58224994177</c:v>
                </c:pt>
                <c:pt idx="3">
                  <c:v>35506.292121483493</c:v>
                </c:pt>
                <c:pt idx="4">
                  <c:v>17524.998208283982</c:v>
                </c:pt>
                <c:pt idx="5">
                  <c:v>1028.394293453314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F4-49A8-BBEA-E76CD46D486E}"/>
            </c:ext>
          </c:extLst>
        </c:ser>
        <c:ser>
          <c:idx val="1"/>
          <c:order val="1"/>
          <c:tx>
            <c:strRef>
              <c:f>Industrieprozesse!$Q$5</c:f>
              <c:strCache>
                <c:ptCount val="1"/>
                <c:pt idx="0">
                  <c:v>Zementwerk (CC)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6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Industrieprozesse!$S$5:$Y$5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F4-49A8-BBEA-E76CD46D4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64768"/>
        <c:axId val="190675136"/>
      </c:barChart>
      <c:catAx>
        <c:axId val="19126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5136"/>
        <c:crosses val="autoZero"/>
        <c:auto val="1"/>
        <c:lblAlgn val="ctr"/>
        <c:lblOffset val="100"/>
        <c:noMultiLvlLbl val="0"/>
      </c:catAx>
      <c:valAx>
        <c:axId val="19067513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Zementproduktion</a:t>
                </a:r>
                <a:r>
                  <a:rPr lang="de-DE" baseline="0"/>
                  <a:t> in Mt/a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126476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</a:t>
            </a:r>
            <a:r>
              <a:rPr lang="de-DE" sz="1600" baseline="0"/>
              <a:t> of Cement Production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Industrieprozesse!$P$4</c:f>
              <c:strCache>
                <c:ptCount val="1"/>
                <c:pt idx="0">
                  <c:v>Cement Prod.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Industrieprozesse!$S$6:$Y$6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A260-4AF9-BAFC-A06ED6BB8CE1}"/>
            </c:ext>
          </c:extLst>
        </c:ser>
        <c:ser>
          <c:idx val="1"/>
          <c:order val="1"/>
          <c:tx>
            <c:strRef>
              <c:f>Industrieprozesse!$P$5</c:f>
              <c:strCache>
                <c:ptCount val="1"/>
                <c:pt idx="0">
                  <c:v>Cement Prod. (CC)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6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Industrieprozesse!$S$5:$Y$5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60-4AF9-BAFC-A06ED6BB8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66304"/>
        <c:axId val="191414848"/>
      </c:barChart>
      <c:catAx>
        <c:axId val="19126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1414848"/>
        <c:crosses val="autoZero"/>
        <c:auto val="1"/>
        <c:lblAlgn val="ctr"/>
        <c:lblOffset val="100"/>
        <c:noMultiLvlLbl val="0"/>
      </c:catAx>
      <c:valAx>
        <c:axId val="191414848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Cement production</a:t>
                </a:r>
                <a:r>
                  <a:rPr lang="de-DE" baseline="0"/>
                  <a:t> in Mt/a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126630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des Energiebedarfs in der Zementproduktion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6"/>
          <c:order val="0"/>
          <c:tx>
            <c:strRef>
              <c:f>Industrieprozesse!$Q$16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val>
            <c:numRef>
              <c:f>Industrieprozesse!$S$16:$Y$16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6-4F17-89CA-CC9D267EBD7B}"/>
            </c:ext>
          </c:extLst>
        </c:ser>
        <c:ser>
          <c:idx val="0"/>
          <c:order val="1"/>
          <c:tx>
            <c:strRef>
              <c:f>Industrieprozesse!$Q$14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Industrieprozesse!$S$14:$Y$14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6-4F17-89CA-CC9D267EBD7B}"/>
            </c:ext>
          </c:extLst>
        </c:ser>
        <c:ser>
          <c:idx val="5"/>
          <c:order val="2"/>
          <c:tx>
            <c:strRef>
              <c:f>Industrieprozesse!$Q$13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val>
            <c:numRef>
              <c:f>Industrieprozesse!$S$13:$Y$13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16-4F17-89CA-CC9D267EBD7B}"/>
            </c:ext>
          </c:extLst>
        </c:ser>
        <c:ser>
          <c:idx val="4"/>
          <c:order val="3"/>
          <c:tx>
            <c:strRef>
              <c:f>Industrieprozesse!$Q$12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val>
            <c:numRef>
              <c:f>Industrieprozesse!$S$12:$Y$12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16-4F17-89CA-CC9D267EBD7B}"/>
            </c:ext>
          </c:extLst>
        </c:ser>
        <c:ser>
          <c:idx val="1"/>
          <c:order val="4"/>
          <c:tx>
            <c:strRef>
              <c:f>Industrieprozesse!$D$48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Industrieprozesse!$S$9:$Y$9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16-4F17-89CA-CC9D267EBD7B}"/>
            </c:ext>
          </c:extLst>
        </c:ser>
        <c:ser>
          <c:idx val="2"/>
          <c:order val="5"/>
          <c:tx>
            <c:strRef>
              <c:f>Industrieprozesse!$Q$19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Industrieprozesse!$S$19:$Y$19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16-4F17-89CA-CC9D267EBD7B}"/>
            </c:ext>
          </c:extLst>
        </c:ser>
        <c:ser>
          <c:idx val="3"/>
          <c:order val="6"/>
          <c:tx>
            <c:strRef>
              <c:f>Industrieprozesse!$D$52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Industrieprozesse!$F$3:$L$3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Industrieprozesse!$S$11:$Y$11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16-4F17-89CA-CC9D267EBD7B}"/>
            </c:ext>
          </c:extLst>
        </c:ser>
        <c:ser>
          <c:idx val="7"/>
          <c:order val="7"/>
          <c:tx>
            <c:strRef>
              <c:f>Industrieprozesse!$Q$15</c:f>
              <c:strCache>
                <c:ptCount val="1"/>
                <c:pt idx="0">
                  <c:v>Niedertemperatur Prozesswärme</c:v>
                </c:pt>
              </c:strCache>
            </c:strRef>
          </c:tx>
          <c:invertIfNegative val="0"/>
          <c:val>
            <c:numRef>
              <c:f>Industrieprozesse!$S$15:$Y$15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FD-434B-962A-619FA94B3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529984"/>
        <c:axId val="191417152"/>
      </c:barChart>
      <c:catAx>
        <c:axId val="19152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417152"/>
        <c:crosses val="autoZero"/>
        <c:auto val="1"/>
        <c:lblAlgn val="ctr"/>
        <c:lblOffset val="100"/>
        <c:noMultiLvlLbl val="0"/>
      </c:catAx>
      <c:valAx>
        <c:axId val="191417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de-DE" sz="1600" b="1" i="0" baseline="0">
                    <a:effectLst/>
                  </a:rPr>
                  <a:t>Energy demand in TWh/a</a:t>
                </a:r>
                <a:endParaRPr lang="de-DE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15299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2073237218318387"/>
          <c:y val="0.15552858753992121"/>
          <c:w val="0.27926762781681608"/>
          <c:h val="0.8052746850986828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the Energy Demand in Cement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6"/>
          <c:order val="0"/>
          <c:tx>
            <c:strRef>
              <c:f>Industrieprozesse!$P$16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Industrieprozesse!$S$16:$Y$16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7-4476-BA28-AAE859EB9C48}"/>
            </c:ext>
          </c:extLst>
        </c:ser>
        <c:ser>
          <c:idx val="0"/>
          <c:order val="1"/>
          <c:tx>
            <c:strRef>
              <c:f>Industrieprozesse!$P$14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Industrieprozesse!$S$14:$Y$14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7-4476-BA28-AAE859EB9C48}"/>
            </c:ext>
          </c:extLst>
        </c:ser>
        <c:ser>
          <c:idx val="5"/>
          <c:order val="2"/>
          <c:tx>
            <c:strRef>
              <c:f>Industrieprozesse!$P$13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Industrieprozesse!$S$13:$Y$13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7-4476-BA28-AAE859EB9C48}"/>
            </c:ext>
          </c:extLst>
        </c:ser>
        <c:ser>
          <c:idx val="4"/>
          <c:order val="3"/>
          <c:tx>
            <c:strRef>
              <c:f>Industrieprozesse!$P$12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Industrieprozesse!$S$12:$Y$12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7-4476-BA28-AAE859EB9C48}"/>
            </c:ext>
          </c:extLst>
        </c:ser>
        <c:ser>
          <c:idx val="1"/>
          <c:order val="4"/>
          <c:tx>
            <c:strRef>
              <c:f>Industrieprozesse!$P$9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Industrieprozesse!$S$9:$Y$9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D7-4476-BA28-AAE859EB9C48}"/>
            </c:ext>
          </c:extLst>
        </c:ser>
        <c:ser>
          <c:idx val="2"/>
          <c:order val="5"/>
          <c:tx>
            <c:strRef>
              <c:f>Industrieprozesse!$P$19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Industrieprozesse!$S$19:$Y$19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D7-4476-BA28-AAE859EB9C48}"/>
            </c:ext>
          </c:extLst>
        </c:ser>
        <c:ser>
          <c:idx val="3"/>
          <c:order val="6"/>
          <c:tx>
            <c:strRef>
              <c:f>Industrieprozesse!$P$11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Industrieprozesse!$S$11:$Y$11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D7-4476-BA28-AAE859EB9C48}"/>
            </c:ext>
          </c:extLst>
        </c:ser>
        <c:ser>
          <c:idx val="7"/>
          <c:order val="7"/>
          <c:tx>
            <c:strRef>
              <c:f>Industrieprozesse!$P$10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Industrieprozesse!$S$3:$Y$3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Industrieprozesse!$S$10:$Y$10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7-45FF-93A1-94F211FDF60A}"/>
            </c:ext>
          </c:extLst>
        </c:ser>
        <c:ser>
          <c:idx val="8"/>
          <c:order val="8"/>
          <c:tx>
            <c:strRef>
              <c:f>Industrieprozesse!$P$15</c:f>
              <c:strCache>
                <c:ptCount val="1"/>
                <c:pt idx="0">
                  <c:v>Low temperature process heat</c:v>
                </c:pt>
              </c:strCache>
            </c:strRef>
          </c:tx>
          <c:invertIfNegative val="0"/>
          <c:val>
            <c:numRef>
              <c:f>Industrieprozesse!$S$15:$Y$15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4-4EE7-8A15-4F2661BCD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531008"/>
        <c:axId val="191419456"/>
      </c:barChart>
      <c:catAx>
        <c:axId val="19153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19456"/>
        <c:crosses val="autoZero"/>
        <c:auto val="1"/>
        <c:lblAlgn val="ctr"/>
        <c:lblOffset val="100"/>
        <c:noMultiLvlLbl val="0"/>
      </c:catAx>
      <c:valAx>
        <c:axId val="191419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de-DE" sz="1600" b="1" i="0" baseline="0">
                    <a:effectLst/>
                  </a:rPr>
                  <a:t>Energy demand in TWh/a</a:t>
                </a:r>
                <a:endParaRPr lang="de-DE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15310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6297397517300403"/>
          <c:y val="0.22691125473595711"/>
          <c:w val="0.23702599678074543"/>
          <c:h val="0.6581887489118801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Energy Carriers for Heat Supply and Carbon Capture in Cement Production 2050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Industrieprozesse!$Y$3</c:f>
              <c:strCache>
                <c:ptCount val="1"/>
                <c:pt idx="0">
                  <c:v>2050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000"/>
              </a:solid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843-4629-8A2F-6FEB1193DD6B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843-4629-8A2F-6FEB1193DD6B}"/>
              </c:ext>
            </c:extLst>
          </c:dPt>
          <c:dPt>
            <c:idx val="2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843-4629-8A2F-6FEB1193DD6B}"/>
              </c:ext>
            </c:extLst>
          </c:dPt>
          <c:dPt>
            <c:idx val="3"/>
            <c:bubble3D val="0"/>
            <c:spPr>
              <a:pattFill prst="ltDnDiag">
                <a:fgClr>
                  <a:schemeClr val="bg1"/>
                </a:fgClr>
                <a:bgClr>
                  <a:schemeClr val="tx2">
                    <a:lumMod val="40000"/>
                    <a:lumOff val="60000"/>
                  </a:schemeClr>
                </a:bgClr>
              </a:patt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843-4629-8A2F-6FEB1193DD6B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843-4629-8A2F-6FEB1193DD6B}"/>
              </c:ext>
            </c:extLst>
          </c:dPt>
          <c:dPt>
            <c:idx val="5"/>
            <c:bubble3D val="0"/>
            <c:spPr>
              <a:pattFill prst="ltDnDiag">
                <a:fgClr>
                  <a:schemeClr val="bg1"/>
                </a:fgClr>
                <a:bgClr>
                  <a:schemeClr val="tx1"/>
                </a:bgClr>
              </a:patt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843-4629-8A2F-6FEB1193DD6B}"/>
              </c:ext>
            </c:extLst>
          </c:dPt>
          <c:dPt>
            <c:idx val="6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843-4629-8A2F-6FEB1193DD6B}"/>
              </c:ext>
            </c:extLst>
          </c:dPt>
          <c:dPt>
            <c:idx val="7"/>
            <c:bubble3D val="0"/>
            <c:spPr>
              <a:pattFill prst="ltDnDiag">
                <a:fgClr>
                  <a:schemeClr val="bg1"/>
                </a:fgClr>
                <a:bgClr>
                  <a:schemeClr val="tx1">
                    <a:lumMod val="50000"/>
                    <a:lumOff val="50000"/>
                  </a:schemeClr>
                </a:bgClr>
              </a:patt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843-4629-8A2F-6FEB1193DD6B}"/>
              </c:ext>
            </c:extLst>
          </c:dPt>
          <c:dPt>
            <c:idx val="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843-4629-8A2F-6FEB1193DD6B}"/>
              </c:ext>
            </c:extLst>
          </c:dPt>
          <c:dPt>
            <c:idx val="9"/>
            <c:bubble3D val="0"/>
            <c:spPr>
              <a:pattFill prst="ltDnDiag">
                <a:fgClr>
                  <a:schemeClr val="bg1"/>
                </a:fgClr>
                <a:bgClr>
                  <a:schemeClr val="accent5">
                    <a:lumMod val="50000"/>
                  </a:schemeClr>
                </a:bgClr>
              </a:patt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A843-4629-8A2F-6FEB1193DD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5-A843-4629-8A2F-6FEB1193DD6B}"/>
              </c:ext>
            </c:extLst>
          </c:dPt>
          <c:dPt>
            <c:idx val="11"/>
            <c:bubble3D val="0"/>
            <c:spPr>
              <a:pattFill prst="ltDnDiag">
                <a:fgClr>
                  <a:schemeClr val="bg1"/>
                </a:fgClr>
                <a:bgClr>
                  <a:schemeClr val="accent5">
                    <a:lumMod val="60000"/>
                    <a:lumOff val="40000"/>
                  </a:schemeClr>
                </a:bgClr>
              </a:pattFill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7-A843-4629-8A2F-6FEB1193DD6B}"/>
              </c:ext>
            </c:extLst>
          </c:dPt>
          <c:dPt>
            <c:idx val="12"/>
            <c:bubble3D val="0"/>
            <c:spPr>
              <a:pattFill prst="ltDnDiag">
                <a:fgClr>
                  <a:schemeClr val="tx1"/>
                </a:fgClr>
                <a:bgClr>
                  <a:schemeClr val="bg1"/>
                </a:bgClr>
              </a:patt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9-A843-4629-8A2F-6FEB1193DD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(Industrieprozesse!$P$9:$P$16,Industrieprozesse!$P$19)</c:f>
              <c:strCache>
                <c:ptCount val="9"/>
                <c:pt idx="0">
                  <c:v>Natural gas</c:v>
                </c:pt>
                <c:pt idx="1">
                  <c:v>Biogas</c:v>
                </c:pt>
                <c:pt idx="2">
                  <c:v>Hydrogen</c:v>
                </c:pt>
                <c:pt idx="3">
                  <c:v>Waste</c:v>
                </c:pt>
                <c:pt idx="4">
                  <c:v>Oil</c:v>
                </c:pt>
                <c:pt idx="5">
                  <c:v>Hard coal</c:v>
                </c:pt>
                <c:pt idx="6">
                  <c:v>Low temperature process heat</c:v>
                </c:pt>
                <c:pt idx="7">
                  <c:v>Lignite</c:v>
                </c:pt>
                <c:pt idx="8">
                  <c:v>Electricity</c:v>
                </c:pt>
              </c:strCache>
            </c:strRef>
          </c:cat>
          <c:val>
            <c:numRef>
              <c:f>(Industrieprozesse!$Y$9:$Y$16,Industrieprozesse!$Y$19)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843-4629-8A2F-6FEB1193DD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1580135143524073"/>
          <c:y val="0.23402997161596556"/>
          <c:w val="0.37102218090598416"/>
          <c:h val="0.73178089770522303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des Energiebedarfs in der Aluminiumproduktion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Industrieprozesse!$AF$16</c:f>
              <c:strCache>
                <c:ptCount val="1"/>
                <c:pt idx="0">
                  <c:v>Koks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Industrieprozesse!$AH$16:$AN$16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1-45DA-9968-B4EFD4EB1747}"/>
            </c:ext>
          </c:extLst>
        </c:ser>
        <c:ser>
          <c:idx val="2"/>
          <c:order val="1"/>
          <c:tx>
            <c:strRef>
              <c:f>Industrieprozesse!$AF$17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Industrieprozesse!$AH$17:$AN$17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1-45DA-9968-B4EFD4EB1747}"/>
            </c:ext>
          </c:extLst>
        </c:ser>
        <c:ser>
          <c:idx val="3"/>
          <c:order val="2"/>
          <c:tx>
            <c:strRef>
              <c:f>Industrieprozesse!$AF$18</c:f>
              <c:strCache>
                <c:ptCount val="1"/>
                <c:pt idx="0">
                  <c:v>Prozesswärme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Industrieprozesse!$AH$18:$AN$18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1-45DA-9968-B4EFD4EB1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532544"/>
        <c:axId val="191421760"/>
      </c:barChart>
      <c:catAx>
        <c:axId val="19153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1421760"/>
        <c:crosses val="autoZero"/>
        <c:auto val="1"/>
        <c:lblAlgn val="ctr"/>
        <c:lblOffset val="100"/>
        <c:noMultiLvlLbl val="0"/>
      </c:catAx>
      <c:valAx>
        <c:axId val="191421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de-DE" sz="1600" b="1" i="0" baseline="0">
                    <a:effectLst/>
                  </a:rPr>
                  <a:t>Energiebedarf in TWh/a</a:t>
                </a:r>
                <a:endParaRPr lang="de-DE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91532544"/>
        <c:crosses val="autoZero"/>
        <c:crossBetween val="between"/>
        <c:dispUnits>
          <c:builtInUnit val="thousands"/>
        </c:dispUnits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der Aluminiumproduktion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Industrieprozesse!$AF$6</c:f>
              <c:strCache>
                <c:ptCount val="1"/>
                <c:pt idx="0">
                  <c:v>Aluminium Schmelzofen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Industrieprozesse!$AH$6:$AN$6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B-43B7-83B5-9B2FA9B6E5A0}"/>
            </c:ext>
          </c:extLst>
        </c:ser>
        <c:ser>
          <c:idx val="0"/>
          <c:order val="1"/>
          <c:tx>
            <c:strRef>
              <c:f>Industrieprozesse!$AF$5</c:f>
              <c:strCache>
                <c:ptCount val="1"/>
                <c:pt idx="0">
                  <c:v>Hall Heroult Prozess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Industrieprozesse!$AH$5:$AN$5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B-43B7-83B5-9B2FA9B6E5A0}"/>
            </c:ext>
          </c:extLst>
        </c:ser>
        <c:ser>
          <c:idx val="1"/>
          <c:order val="2"/>
          <c:tx>
            <c:strRef>
              <c:f>Industrieprozesse!$AF$14</c:f>
              <c:strCache>
                <c:ptCount val="1"/>
                <c:pt idx="0">
                  <c:v>Elektrolyse mit inerter Anode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6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Industrieprozesse!$AH$14:$AN$14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5B-43B7-83B5-9B2FA9B6E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64768"/>
        <c:axId val="190675136"/>
      </c:barChart>
      <c:catAx>
        <c:axId val="19126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5136"/>
        <c:crosses val="autoZero"/>
        <c:auto val="1"/>
        <c:lblAlgn val="ctr"/>
        <c:lblOffset val="100"/>
        <c:noMultiLvlLbl val="0"/>
      </c:catAx>
      <c:valAx>
        <c:axId val="190675136"/>
        <c:scaling>
          <c:orientation val="minMax"/>
          <c:max val="1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Aluminiumproduktion</a:t>
                </a:r>
                <a:r>
                  <a:rPr lang="de-DE" baseline="0"/>
                  <a:t>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9126476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Development of energy demand in aluminum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Industrieprozesse!$AE$16</c:f>
              <c:strCache>
                <c:ptCount val="1"/>
                <c:pt idx="0">
                  <c:v>Coke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Industrieprozesse!$AH$16:$AN$16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5-44D5-8D19-DFF204C31E32}"/>
            </c:ext>
          </c:extLst>
        </c:ser>
        <c:ser>
          <c:idx val="2"/>
          <c:order val="1"/>
          <c:tx>
            <c:strRef>
              <c:f>Industrieprozesse!$AE$17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Industrieprozesse!$AH$17:$AN$17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5-44D5-8D19-DFF204C31E32}"/>
            </c:ext>
          </c:extLst>
        </c:ser>
        <c:ser>
          <c:idx val="3"/>
          <c:order val="2"/>
          <c:tx>
            <c:strRef>
              <c:f>Industrieprozesse!$AE$18</c:f>
              <c:strCache>
                <c:ptCount val="1"/>
                <c:pt idx="0">
                  <c:v>Process heat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Industrieprozesse!$AH$18:$AN$18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A5-44D5-8D19-DFF204C31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532544"/>
        <c:axId val="191421760"/>
      </c:barChart>
      <c:catAx>
        <c:axId val="19153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1421760"/>
        <c:crosses val="autoZero"/>
        <c:auto val="1"/>
        <c:lblAlgn val="ctr"/>
        <c:lblOffset val="100"/>
        <c:noMultiLvlLbl val="0"/>
      </c:catAx>
      <c:valAx>
        <c:axId val="191421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de-DE" sz="1600" b="1" i="0" baseline="0">
                    <a:effectLst/>
                  </a:rPr>
                  <a:t>Energy demand in TWh/a</a:t>
                </a:r>
                <a:endParaRPr lang="de-DE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153254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aluminum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Industrieprozesse!$AE$6</c:f>
              <c:strCache>
                <c:ptCount val="1"/>
                <c:pt idx="0">
                  <c:v>Aluminum smelter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Industrieprozesse!$AH$6:$AN$6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E-4E9C-A42C-6774A9F5BE17}"/>
            </c:ext>
          </c:extLst>
        </c:ser>
        <c:ser>
          <c:idx val="0"/>
          <c:order val="1"/>
          <c:tx>
            <c:strRef>
              <c:f>Industrieprozesse!$AE$5</c:f>
              <c:strCache>
                <c:ptCount val="1"/>
                <c:pt idx="0">
                  <c:v>Hall Heroult process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Industrieprozesse!$AH$5:$AN$5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E-4E9C-A42C-6774A9F5BE17}"/>
            </c:ext>
          </c:extLst>
        </c:ser>
        <c:ser>
          <c:idx val="1"/>
          <c:order val="2"/>
          <c:tx>
            <c:strRef>
              <c:f>Industrieprozesse!$AE$14</c:f>
              <c:strCache>
                <c:ptCount val="1"/>
                <c:pt idx="0">
                  <c:v>Inert anode electrolysis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accent6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f>Industrieprozesse!$AH$3:$AN$3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Industrieprozesse!$AH$14:$AN$14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6E-4E9C-A42C-6774A9F5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64768"/>
        <c:axId val="190675136"/>
      </c:barChart>
      <c:catAx>
        <c:axId val="19126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5136"/>
        <c:crosses val="autoZero"/>
        <c:auto val="1"/>
        <c:lblAlgn val="ctr"/>
        <c:lblOffset val="100"/>
        <c:noMultiLvlLbl val="0"/>
      </c:catAx>
      <c:valAx>
        <c:axId val="190675136"/>
        <c:scaling>
          <c:orientation val="minMax"/>
          <c:max val="1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baseline="0"/>
                  <a:t>Aluminum production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91264768"/>
        <c:crosses val="autoZero"/>
        <c:crossBetween val="between"/>
        <c:majorUnit val="200"/>
        <c:minorUnit val="1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600" b="1"/>
              <a:t>Energy carriers for steel production in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D3-4454-8697-F0C211D9AB7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ED3-4454-8697-F0C211D9AB7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D3-4454-8697-F0C211D9AB7B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ED3-4454-8697-F0C211D9AB7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9AE-44B2-B4D7-130628DDF30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700-494A-97E5-1566237EB9A4}"/>
              </c:ext>
            </c:extLst>
          </c:dPt>
          <c:dLbls>
            <c:dLbl>
              <c:idx val="0"/>
              <c:layout>
                <c:manualLayout>
                  <c:x val="1.1111111111111112E-2"/>
                  <c:y val="-0.1157407407407407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D3-4454-8697-F0C211D9AB7B}"/>
                </c:ext>
              </c:extLst>
            </c:dLbl>
            <c:dLbl>
              <c:idx val="3"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DED3-4454-8697-F0C211D9AB7B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Industrieprozesse!$C$47:$C$52</c:f>
              <c:strCache>
                <c:ptCount val="6"/>
                <c:pt idx="0">
                  <c:v>Coal</c:v>
                </c:pt>
                <c:pt idx="1">
                  <c:v>Natural gas</c:v>
                </c:pt>
                <c:pt idx="2">
                  <c:v>Biogas</c:v>
                </c:pt>
                <c:pt idx="3">
                  <c:v>Biocoal</c:v>
                </c:pt>
                <c:pt idx="4">
                  <c:v>Electricity</c:v>
                </c:pt>
                <c:pt idx="5">
                  <c:v>Hydrogen</c:v>
                </c:pt>
              </c:strCache>
            </c:strRef>
          </c:cat>
          <c:val>
            <c:numRef>
              <c:f>Industrieprozesse!$L$47:$L$52</c:f>
              <c:numCache>
                <c:formatCode>General</c:formatCode>
                <c:ptCount val="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3-4454-8697-F0C211D9AB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der Methanolproduktion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'Chemische Industrie'!$D$6</c:f>
              <c:strCache>
                <c:ptCount val="1"/>
                <c:pt idx="0">
                  <c:v>Biomasse-basiertes Methanol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Industrie'!$F$6:$L$6</c:f>
              <c:numCache>
                <c:formatCode>General</c:formatCode>
                <c:ptCount val="7"/>
                <c:pt idx="0">
                  <c:v>0</c:v>
                </c:pt>
                <c:pt idx="1">
                  <c:v>1.69418573722554</c:v>
                </c:pt>
                <c:pt idx="2">
                  <c:v>6.0665292013843827E-4</c:v>
                </c:pt>
                <c:pt idx="3">
                  <c:v>1.6945242657136851E-4</c:v>
                </c:pt>
                <c:pt idx="4">
                  <c:v>2.3938098239038551E-5</c:v>
                </c:pt>
                <c:pt idx="5">
                  <c:v>2.7980879004743911E-5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C-482F-90A2-39C1D284E047}"/>
            </c:ext>
          </c:extLst>
        </c:ser>
        <c:ser>
          <c:idx val="0"/>
          <c:order val="1"/>
          <c:tx>
            <c:strRef>
              <c:f>'Chemische Industrie'!$D$4</c:f>
              <c:strCache>
                <c:ptCount val="1"/>
                <c:pt idx="0">
                  <c:v>Dampfreformierung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Industrie'!$F$4:$L$4</c:f>
              <c:numCache>
                <c:formatCode>General</c:formatCode>
                <c:ptCount val="7"/>
                <c:pt idx="0">
                  <c:v>451.99945937109078</c:v>
                </c:pt>
                <c:pt idx="1">
                  <c:v>495.97167683205629</c:v>
                </c:pt>
                <c:pt idx="2">
                  <c:v>2579.6539084760889</c:v>
                </c:pt>
                <c:pt idx="3">
                  <c:v>6029.2311943884952</c:v>
                </c:pt>
                <c:pt idx="4">
                  <c:v>3.8397968620422588E-4</c:v>
                </c:pt>
                <c:pt idx="5">
                  <c:v>1.539891721432136E-4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FC-482F-90A2-39C1D284E047}"/>
            </c:ext>
          </c:extLst>
        </c:ser>
        <c:ser>
          <c:idx val="4"/>
          <c:order val="2"/>
          <c:tx>
            <c:strRef>
              <c:f>'Chemische Industrie'!$D$5</c:f>
              <c:strCache>
                <c:ptCount val="1"/>
                <c:pt idx="0">
                  <c:v>Dampfreformierung CCU</c:v>
                </c:pt>
              </c:strCache>
            </c:strRef>
          </c:tx>
          <c:spPr>
            <a:pattFill prst="dkUpDiag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</c:spPr>
          <c:invertIfNegative val="0"/>
          <c:val>
            <c:numRef>
              <c:f>'Chemische Industrie'!$F$5:$L$5</c:f>
              <c:numCache>
                <c:formatCode>General</c:formatCode>
                <c:ptCount val="7"/>
                <c:pt idx="0">
                  <c:v>0</c:v>
                </c:pt>
                <c:pt idx="1">
                  <c:v>12.410225357212051</c:v>
                </c:pt>
                <c:pt idx="2">
                  <c:v>0.15808301348946269</c:v>
                </c:pt>
                <c:pt idx="3">
                  <c:v>131.39241679662831</c:v>
                </c:pt>
                <c:pt idx="4">
                  <c:v>12111.26990223071</c:v>
                </c:pt>
                <c:pt idx="5">
                  <c:v>1553.226054574257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8-43A6-9DE6-EF6011ACF6DA}"/>
            </c:ext>
          </c:extLst>
        </c:ser>
        <c:ser>
          <c:idx val="3"/>
          <c:order val="3"/>
          <c:tx>
            <c:strRef>
              <c:f>'Chemische Industrie'!$D$7</c:f>
              <c:strCache>
                <c:ptCount val="1"/>
                <c:pt idx="0">
                  <c:v>Wasserstoff-basiertes Methanol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Industrie'!$F$7:$L$7</c:f>
              <c:numCache>
                <c:formatCode>General</c:formatCode>
                <c:ptCount val="7"/>
                <c:pt idx="0">
                  <c:v>0</c:v>
                </c:pt>
                <c:pt idx="1">
                  <c:v>0.49107680590368391</c:v>
                </c:pt>
                <c:pt idx="2">
                  <c:v>2.7122418447224732E-3</c:v>
                </c:pt>
                <c:pt idx="3">
                  <c:v>2.9735059541241E-3</c:v>
                </c:pt>
                <c:pt idx="4">
                  <c:v>2.1482145293314129E-4</c:v>
                </c:pt>
                <c:pt idx="5">
                  <c:v>16476.364785163289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FC-482F-90A2-39C1D284E047}"/>
            </c:ext>
          </c:extLst>
        </c:ser>
        <c:ser>
          <c:idx val="1"/>
          <c:order val="4"/>
          <c:tx>
            <c:strRef>
              <c:f>'Chemische Industrie'!$D$9</c:f>
              <c:strCache>
                <c:ptCount val="1"/>
                <c:pt idx="0">
                  <c:v>Part. Oxidation</c:v>
                </c:pt>
              </c:strCache>
            </c:strRef>
          </c:tx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Industrie'!$F$9:$L$9</c:f>
              <c:numCache>
                <c:formatCode>General</c:formatCode>
                <c:ptCount val="7"/>
                <c:pt idx="0">
                  <c:v>678.00067328703642</c:v>
                </c:pt>
                <c:pt idx="1">
                  <c:v>705.59289172396723</c:v>
                </c:pt>
                <c:pt idx="2">
                  <c:v>1.491050105277504E-3</c:v>
                </c:pt>
                <c:pt idx="3">
                  <c:v>4.6641420022896471E-4</c:v>
                </c:pt>
                <c:pt idx="4">
                  <c:v>5.7867286992472769E-5</c:v>
                </c:pt>
                <c:pt idx="5">
                  <c:v>6.0167928021240697E-6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FC-482F-90A2-39C1D284E047}"/>
            </c:ext>
          </c:extLst>
        </c:ser>
        <c:ser>
          <c:idx val="5"/>
          <c:order val="5"/>
          <c:tx>
            <c:strRef>
              <c:f>'Chemische Industrie'!$D$10</c:f>
              <c:strCache>
                <c:ptCount val="1"/>
                <c:pt idx="0">
                  <c:v>Part. Oxidation CCU</c:v>
                </c:pt>
              </c:strCache>
            </c:strRef>
          </c:tx>
          <c:invertIfNegative val="0"/>
          <c:val>
            <c:numRef>
              <c:f>'Chemische Industrie'!$F$10:$L$10</c:f>
              <c:numCache>
                <c:formatCode>General</c:formatCode>
                <c:ptCount val="7"/>
                <c:pt idx="0">
                  <c:v>0</c:v>
                </c:pt>
                <c:pt idx="1">
                  <c:v>2.9934011797708342</c:v>
                </c:pt>
                <c:pt idx="2">
                  <c:v>2.5768234906725501E-3</c:v>
                </c:pt>
                <c:pt idx="3">
                  <c:v>8.6362890521107533E-4</c:v>
                </c:pt>
                <c:pt idx="4">
                  <c:v>3.1817311034187842E-4</c:v>
                </c:pt>
                <c:pt idx="5">
                  <c:v>1.4532258445018651E-5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8-43A6-9DE6-EF6011ACF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Methanolproduktion</a:t>
                </a:r>
                <a:r>
                  <a:rPr lang="de-DE" baseline="0"/>
                  <a:t>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942263775454637"/>
          <c:y val="8.0361945199474621E-2"/>
          <c:w val="0.30994519314767344"/>
          <c:h val="0.908490129858079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des Energiebedarfs in der Methanolproduktion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'Chemische Industrie'!$D$35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Industrie'!$F$3:$L$3</c15:sqref>
                  </c15:fullRef>
                </c:ext>
              </c:extLst>
              <c:f>'Chemische Industrie'!$F$3:$K$3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Industrie'!$F$35:$L$35</c15:sqref>
                  </c15:fullRef>
                </c:ext>
              </c:extLst>
              <c:f>'Chemische Industrie'!$F$35:$K$35</c:f>
              <c:numCache>
                <c:formatCode>General</c:formatCode>
                <c:ptCount val="6"/>
                <c:pt idx="0">
                  <c:v>4557.5414327415228</c:v>
                </c:pt>
                <c:pt idx="1">
                  <c:v>5127.0050497940692</c:v>
                </c:pt>
                <c:pt idx="2">
                  <c:v>26012.246016510489</c:v>
                </c:pt>
                <c:pt idx="3">
                  <c:v>62117.568804889161</c:v>
                </c:pt>
                <c:pt idx="4">
                  <c:v>122117.9383480804</c:v>
                </c:pt>
                <c:pt idx="5">
                  <c:v>15661.179898431221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2-445D-8821-2580039A7803}"/>
            </c:ext>
          </c:extLst>
        </c:ser>
        <c:ser>
          <c:idx val="2"/>
          <c:order val="1"/>
          <c:tx>
            <c:strRef>
              <c:f>'Chemische Industrie'!$D$32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Industrie'!$F$3:$L$3</c15:sqref>
                  </c15:fullRef>
                </c:ext>
              </c:extLst>
              <c:f>'Chemische Industrie'!$F$3:$K$3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Industrie'!$F$32:$L$32</c15:sqref>
                  </c15:fullRef>
                </c:ext>
              </c:extLst>
              <c:f>'Chemische Industrie'!$F$32:$K$32</c:f>
              <c:numCache>
                <c:formatCode>General</c:formatCode>
                <c:ptCount val="6"/>
                <c:pt idx="0">
                  <c:v>198.88110116796253</c:v>
                </c:pt>
                <c:pt idx="1">
                  <c:v>216.10587725586893</c:v>
                </c:pt>
                <c:pt idx="2">
                  <c:v>438.58033668599228</c:v>
                </c:pt>
                <c:pt idx="3">
                  <c:v>1053.0264968186341</c:v>
                </c:pt>
                <c:pt idx="4">
                  <c:v>2585.7566421481665</c:v>
                </c:pt>
                <c:pt idx="5">
                  <c:v>25046.160978676275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12-445D-8821-2580039A7803}"/>
            </c:ext>
          </c:extLst>
        </c:ser>
        <c:ser>
          <c:idx val="3"/>
          <c:order val="2"/>
          <c:tx>
            <c:strRef>
              <c:f>'Chemische Industrie'!$D$34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Industrie'!$F$3:$L$3</c15:sqref>
                  </c15:fullRef>
                </c:ext>
              </c:extLst>
              <c:f>'Chemische Industrie'!$F$3:$K$3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Industrie'!$F$34:$L$34</c15:sqref>
                  </c15:fullRef>
                </c:ext>
              </c:extLst>
              <c:f>'Chemische Industrie'!$F$34:$K$34</c:f>
              <c:numCache>
                <c:formatCode>General</c:formatCode>
                <c:ptCount val="6"/>
                <c:pt idx="0">
                  <c:v>0</c:v>
                </c:pt>
                <c:pt idx="1">
                  <c:v>3.10998941178803</c:v>
                </c:pt>
                <c:pt idx="2">
                  <c:v>1.717662760262742E-2</c:v>
                </c:pt>
                <c:pt idx="3">
                  <c:v>1.8831213207467921E-2</c:v>
                </c:pt>
                <c:pt idx="4">
                  <c:v>1.3604642614255839E-3</c:v>
                </c:pt>
                <c:pt idx="5">
                  <c:v>104344.81818443909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12-445D-8821-2580039A7803}"/>
            </c:ext>
          </c:extLst>
        </c:ser>
        <c:ser>
          <c:idx val="4"/>
          <c:order val="3"/>
          <c:tx>
            <c:strRef>
              <c:f>'Chemische Industrie'!$D$33</c:f>
              <c:strCache>
                <c:ptCount val="1"/>
                <c:pt idx="0">
                  <c:v>Prozesswärme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Industrie'!$F$3:$L$3</c15:sqref>
                  </c15:fullRef>
                </c:ext>
              </c:extLst>
              <c:f>'Chemische Industrie'!$F$3:$K$3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Industrie'!$F$33:$L$33</c15:sqref>
                  </c15:fullRef>
                </c:ext>
              </c:extLst>
              <c:f>'Chemische Industrie'!$F$33:$K$33</c:f>
              <c:numCache>
                <c:formatCode>General</c:formatCode>
                <c:ptCount val="6"/>
                <c:pt idx="0">
                  <c:v>0</c:v>
                </c:pt>
                <c:pt idx="1">
                  <c:v>5.6738426153746282</c:v>
                </c:pt>
                <c:pt idx="2">
                  <c:v>2.2074612033678503E-3</c:v>
                </c:pt>
                <c:pt idx="3">
                  <c:v>0.14510032974412704</c:v>
                </c:pt>
                <c:pt idx="4">
                  <c:v>13.322478109914206</c:v>
                </c:pt>
                <c:pt idx="5">
                  <c:v>1.7086419856965689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12-445D-8821-2580039A7803}"/>
            </c:ext>
          </c:extLst>
        </c:ser>
        <c:ser>
          <c:idx val="5"/>
          <c:order val="4"/>
          <c:tx>
            <c:strRef>
              <c:f>'Chemische Industrie'!$D$36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Industrie'!$F$3:$L$3</c15:sqref>
                  </c15:fullRef>
                </c:ext>
              </c:extLst>
              <c:f>'Chemische Industrie'!$F$3:$K$3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Industrie'!$F$36:$L$36</c15:sqref>
                  </c15:fullRef>
                </c:ext>
              </c:extLst>
              <c:f>'Chemische Industrie'!$F$36:$K$36</c:f>
              <c:numCache>
                <c:formatCode>General</c:formatCode>
                <c:ptCount val="6"/>
                <c:pt idx="0">
                  <c:v>0</c:v>
                </c:pt>
                <c:pt idx="1">
                  <c:v>1.69418573722554</c:v>
                </c:pt>
                <c:pt idx="2">
                  <c:v>6.0665292013843827E-4</c:v>
                </c:pt>
                <c:pt idx="3">
                  <c:v>1.6945242657136851E-4</c:v>
                </c:pt>
                <c:pt idx="4">
                  <c:v>2.3938098239038551E-5</c:v>
                </c:pt>
                <c:pt idx="5">
                  <c:v>2.7980879004743911E-5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12-445D-8821-2580039A7803}"/>
            </c:ext>
          </c:extLst>
        </c:ser>
        <c:ser>
          <c:idx val="0"/>
          <c:order val="5"/>
          <c:tx>
            <c:strRef>
              <c:f>'Chemische Industrie'!$D$37</c:f>
              <c:strCache>
                <c:ptCount val="1"/>
                <c:pt idx="0">
                  <c:v>Schweröl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Industrie'!$F$3:$L$3</c15:sqref>
                  </c15:fullRef>
                </c:ext>
              </c:extLst>
              <c:f>'Chemische Industrie'!$F$3:$K$3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Industrie'!$F$37:$L$37</c15:sqref>
                  </c15:fullRef>
                </c:ext>
              </c:extLst>
              <c:f>'Chemische Industrie'!$F$37:$K$37</c:f>
              <c:numCache>
                <c:formatCode>General</c:formatCode>
                <c:ptCount val="6"/>
                <c:pt idx="0">
                  <c:v>5966.4328714406338</c:v>
                </c:pt>
                <c:pt idx="1">
                  <c:v>6236.4313136903056</c:v>
                </c:pt>
                <c:pt idx="2">
                  <c:v>3.7130742779879683E-2</c:v>
                </c:pt>
                <c:pt idx="3">
                  <c:v>1.237977689196699E-2</c:v>
                </c:pt>
                <c:pt idx="4">
                  <c:v>3.3511689463335149E-3</c:v>
                </c:pt>
                <c:pt idx="5">
                  <c:v>2.0086599066787691E-4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12-445D-8821-2580039A7803}"/>
            </c:ext>
          </c:extLst>
        </c:ser>
        <c:ser>
          <c:idx val="6"/>
          <c:order val="6"/>
          <c:tx>
            <c:strRef>
              <c:f>'Chemische Industrie'!$D$38</c:f>
              <c:strCache>
                <c:ptCount val="1"/>
                <c:pt idx="0">
                  <c:v>Heizöl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Industrie'!$F$3:$L$3</c15:sqref>
                  </c15:fullRef>
                </c:ext>
              </c:extLst>
              <c:f>'Chemische Industrie'!$F$3:$K$3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Industrie'!$F$38:$L$38</c15:sqref>
                  </c15:fullRef>
                </c:ext>
              </c:extLst>
              <c:f>'Chemische Industrie'!$F$38:$K$38</c:f>
              <c:numCache>
                <c:formatCode>General</c:formatCode>
                <c:ptCount val="6"/>
                <c:pt idx="0">
                  <c:v>285.98197558791588</c:v>
                </c:pt>
                <c:pt idx="1">
                  <c:v>298.92349183120132</c:v>
                </c:pt>
                <c:pt idx="2">
                  <c:v>1.779744011881051E-3</c:v>
                </c:pt>
                <c:pt idx="3">
                  <c:v>5.9338521511723575E-4</c:v>
                </c:pt>
                <c:pt idx="4">
                  <c:v>1.6062762063221331E-4</c:v>
                </c:pt>
                <c:pt idx="5">
                  <c:v>9.6278721436034653E-6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12-445D-8821-2580039A7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Energiebedarf </a:t>
                </a:r>
                <a:r>
                  <a:rPr lang="de-DE" baseline="0"/>
                  <a:t>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20000"/>
      </c:valAx>
    </c:plotArea>
    <c:legend>
      <c:legendPos val="r"/>
      <c:layout>
        <c:manualLayout>
          <c:xMode val="edge"/>
          <c:yMode val="edge"/>
          <c:x val="0.73771655196958552"/>
          <c:y val="0.3306552887837747"/>
          <c:w val="0.24684394338321489"/>
          <c:h val="0.6682192727218514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="1" i="0" baseline="0">
                <a:effectLst/>
              </a:rPr>
              <a:t>Development of methanol production</a:t>
            </a:r>
            <a:endParaRPr lang="en-US" sz="1600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'Chemische Industrie'!$C$6</c:f>
              <c:strCache>
                <c:ptCount val="1"/>
                <c:pt idx="0">
                  <c:v>biomass based methanol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Industrie'!$F$6:$L$6</c:f>
              <c:numCache>
                <c:formatCode>General</c:formatCode>
                <c:ptCount val="7"/>
                <c:pt idx="0">
                  <c:v>0</c:v>
                </c:pt>
                <c:pt idx="1">
                  <c:v>1.69418573722554</c:v>
                </c:pt>
                <c:pt idx="2">
                  <c:v>6.0665292013843827E-4</c:v>
                </c:pt>
                <c:pt idx="3">
                  <c:v>1.6945242657136851E-4</c:v>
                </c:pt>
                <c:pt idx="4">
                  <c:v>2.3938098239038551E-5</c:v>
                </c:pt>
                <c:pt idx="5">
                  <c:v>2.7980879004743911E-5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A-46D1-BB6D-F03FF8802355}"/>
            </c:ext>
          </c:extLst>
        </c:ser>
        <c:ser>
          <c:idx val="0"/>
          <c:order val="1"/>
          <c:tx>
            <c:strRef>
              <c:f>'Chemische Industrie'!$C$4</c:f>
              <c:strCache>
                <c:ptCount val="1"/>
                <c:pt idx="0">
                  <c:v>conventional methanol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Industrie'!$F$4:$L$4</c:f>
              <c:numCache>
                <c:formatCode>General</c:formatCode>
                <c:ptCount val="7"/>
                <c:pt idx="0">
                  <c:v>451.99945937109078</c:v>
                </c:pt>
                <c:pt idx="1">
                  <c:v>495.97167683205629</c:v>
                </c:pt>
                <c:pt idx="2">
                  <c:v>2579.6539084760889</c:v>
                </c:pt>
                <c:pt idx="3">
                  <c:v>6029.2311943884952</c:v>
                </c:pt>
                <c:pt idx="4">
                  <c:v>3.8397968620422588E-4</c:v>
                </c:pt>
                <c:pt idx="5">
                  <c:v>1.539891721432136E-4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A-46D1-BB6D-F03FF8802355}"/>
            </c:ext>
          </c:extLst>
        </c:ser>
        <c:ser>
          <c:idx val="4"/>
          <c:order val="2"/>
          <c:tx>
            <c:strRef>
              <c:f>'Chemische Industrie'!$C$5</c:f>
              <c:strCache>
                <c:ptCount val="1"/>
                <c:pt idx="0">
                  <c:v>conventional methanol CCU</c:v>
                </c:pt>
              </c:strCache>
            </c:strRef>
          </c:tx>
          <c:spPr>
            <a:pattFill prst="dkUpDiag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</c:spPr>
          <c:invertIfNegative val="0"/>
          <c:val>
            <c:numRef>
              <c:f>'Chemische Industrie'!$F$5:$L$5</c:f>
              <c:numCache>
                <c:formatCode>General</c:formatCode>
                <c:ptCount val="7"/>
                <c:pt idx="0">
                  <c:v>0</c:v>
                </c:pt>
                <c:pt idx="1">
                  <c:v>12.410225357212051</c:v>
                </c:pt>
                <c:pt idx="2">
                  <c:v>0.15808301348946269</c:v>
                </c:pt>
                <c:pt idx="3">
                  <c:v>131.39241679662831</c:v>
                </c:pt>
                <c:pt idx="4">
                  <c:v>12111.26990223071</c:v>
                </c:pt>
                <c:pt idx="5">
                  <c:v>1553.226054574257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8-449B-8999-8AC5B92379C7}"/>
            </c:ext>
          </c:extLst>
        </c:ser>
        <c:ser>
          <c:idx val="3"/>
          <c:order val="3"/>
          <c:tx>
            <c:strRef>
              <c:f>'Chemische Industrie'!$C$7</c:f>
              <c:strCache>
                <c:ptCount val="1"/>
                <c:pt idx="0">
                  <c:v>hydrogen based methanol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Industrie'!$F$7:$L$7</c:f>
              <c:numCache>
                <c:formatCode>General</c:formatCode>
                <c:ptCount val="7"/>
                <c:pt idx="0">
                  <c:v>0</c:v>
                </c:pt>
                <c:pt idx="1">
                  <c:v>0.49107680590368391</c:v>
                </c:pt>
                <c:pt idx="2">
                  <c:v>2.7122418447224732E-3</c:v>
                </c:pt>
                <c:pt idx="3">
                  <c:v>2.9735059541241E-3</c:v>
                </c:pt>
                <c:pt idx="4">
                  <c:v>2.1482145293314129E-4</c:v>
                </c:pt>
                <c:pt idx="5">
                  <c:v>16476.364785163289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A-46D1-BB6D-F03FF8802355}"/>
            </c:ext>
          </c:extLst>
        </c:ser>
        <c:ser>
          <c:idx val="1"/>
          <c:order val="4"/>
          <c:tx>
            <c:strRef>
              <c:f>'Chemische Industrie'!$C$9</c:f>
              <c:strCache>
                <c:ptCount val="1"/>
                <c:pt idx="0">
                  <c:v>Refinery methanol</c:v>
                </c:pt>
              </c:strCache>
            </c:strRef>
          </c:tx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Industrie'!$F$9:$L$9</c:f>
              <c:numCache>
                <c:formatCode>General</c:formatCode>
                <c:ptCount val="7"/>
                <c:pt idx="0">
                  <c:v>678.00067328703642</c:v>
                </c:pt>
                <c:pt idx="1">
                  <c:v>705.59289172396723</c:v>
                </c:pt>
                <c:pt idx="2">
                  <c:v>1.491050105277504E-3</c:v>
                </c:pt>
                <c:pt idx="3">
                  <c:v>4.6641420022896471E-4</c:v>
                </c:pt>
                <c:pt idx="4">
                  <c:v>5.7867286992472769E-5</c:v>
                </c:pt>
                <c:pt idx="5">
                  <c:v>6.0167928021240697E-6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A-46D1-BB6D-F03FF8802355}"/>
            </c:ext>
          </c:extLst>
        </c:ser>
        <c:ser>
          <c:idx val="5"/>
          <c:order val="5"/>
          <c:tx>
            <c:strRef>
              <c:f>'Chemische Industrie'!$C$10</c:f>
              <c:strCache>
                <c:ptCount val="1"/>
                <c:pt idx="0">
                  <c:v>Refinery methanol CCU</c:v>
                </c:pt>
              </c:strCache>
            </c:strRef>
          </c:tx>
          <c:invertIfNegative val="0"/>
          <c:val>
            <c:numRef>
              <c:f>'Chemische Industrie'!$F$10:$L$10</c:f>
              <c:numCache>
                <c:formatCode>General</c:formatCode>
                <c:ptCount val="7"/>
                <c:pt idx="0">
                  <c:v>0</c:v>
                </c:pt>
                <c:pt idx="1">
                  <c:v>2.9934011797708342</c:v>
                </c:pt>
                <c:pt idx="2">
                  <c:v>2.5768234906725501E-3</c:v>
                </c:pt>
                <c:pt idx="3">
                  <c:v>8.6362890521107533E-4</c:v>
                </c:pt>
                <c:pt idx="4">
                  <c:v>3.1817311034187842E-4</c:v>
                </c:pt>
                <c:pt idx="5">
                  <c:v>1.4532258445018651E-5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28-449B-8999-8AC5B9237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Methanol production</a:t>
                </a:r>
                <a:r>
                  <a:rPr lang="de-DE" baseline="0"/>
                  <a:t>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332803537339377"/>
          <c:y val="0.23071376494604842"/>
          <c:w val="0.33141254740981035"/>
          <c:h val="0.6728033954760049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energy demand in methanol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'Chemische Industrie'!$C$35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Industrie'!$F$35:$L$35</c:f>
              <c:numCache>
                <c:formatCode>General</c:formatCode>
                <c:ptCount val="7"/>
                <c:pt idx="0">
                  <c:v>4557.5414327415228</c:v>
                </c:pt>
                <c:pt idx="1">
                  <c:v>5127.0050497940692</c:v>
                </c:pt>
                <c:pt idx="2">
                  <c:v>26012.246016510489</c:v>
                </c:pt>
                <c:pt idx="3">
                  <c:v>62117.568804889161</c:v>
                </c:pt>
                <c:pt idx="4">
                  <c:v>122117.9383480804</c:v>
                </c:pt>
                <c:pt idx="5">
                  <c:v>15661.179898431221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2-412B-86FE-1966BDCD5261}"/>
            </c:ext>
          </c:extLst>
        </c:ser>
        <c:ser>
          <c:idx val="2"/>
          <c:order val="1"/>
          <c:tx>
            <c:strRef>
              <c:f>'Chemische Industrie'!$C$32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Industrie'!$F$32:$L$32</c:f>
              <c:numCache>
                <c:formatCode>General</c:formatCode>
                <c:ptCount val="7"/>
                <c:pt idx="0">
                  <c:v>198.88110116796253</c:v>
                </c:pt>
                <c:pt idx="1">
                  <c:v>216.10587725586893</c:v>
                </c:pt>
                <c:pt idx="2">
                  <c:v>438.58033668599228</c:v>
                </c:pt>
                <c:pt idx="3">
                  <c:v>1053.0264968186341</c:v>
                </c:pt>
                <c:pt idx="4">
                  <c:v>2585.7566421481665</c:v>
                </c:pt>
                <c:pt idx="5">
                  <c:v>25046.160978676275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2-412B-86FE-1966BDCD5261}"/>
            </c:ext>
          </c:extLst>
        </c:ser>
        <c:ser>
          <c:idx val="3"/>
          <c:order val="2"/>
          <c:tx>
            <c:strRef>
              <c:f>'Chemische Industrie'!$C$34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Industrie'!$F$34:$L$34</c:f>
              <c:numCache>
                <c:formatCode>General</c:formatCode>
                <c:ptCount val="7"/>
                <c:pt idx="0">
                  <c:v>0</c:v>
                </c:pt>
                <c:pt idx="1">
                  <c:v>3.10998941178803</c:v>
                </c:pt>
                <c:pt idx="2">
                  <c:v>1.717662760262742E-2</c:v>
                </c:pt>
                <c:pt idx="3">
                  <c:v>1.8831213207467921E-2</c:v>
                </c:pt>
                <c:pt idx="4">
                  <c:v>1.3604642614255839E-3</c:v>
                </c:pt>
                <c:pt idx="5">
                  <c:v>104344.81818443909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52-412B-86FE-1966BDCD5261}"/>
            </c:ext>
          </c:extLst>
        </c:ser>
        <c:ser>
          <c:idx val="4"/>
          <c:order val="3"/>
          <c:tx>
            <c:strRef>
              <c:f>'Chemische Industrie'!$C$33</c:f>
              <c:strCache>
                <c:ptCount val="1"/>
                <c:pt idx="0">
                  <c:v>Process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Industrie'!$F$33:$L$33</c:f>
              <c:numCache>
                <c:formatCode>General</c:formatCode>
                <c:ptCount val="7"/>
                <c:pt idx="0">
                  <c:v>0</c:v>
                </c:pt>
                <c:pt idx="1">
                  <c:v>5.6738426153746282</c:v>
                </c:pt>
                <c:pt idx="2">
                  <c:v>2.2074612033678503E-3</c:v>
                </c:pt>
                <c:pt idx="3">
                  <c:v>0.14510032974412704</c:v>
                </c:pt>
                <c:pt idx="4">
                  <c:v>13.322478109914206</c:v>
                </c:pt>
                <c:pt idx="5">
                  <c:v>1.7086419856965689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52-412B-86FE-1966BDCD5261}"/>
            </c:ext>
          </c:extLst>
        </c:ser>
        <c:ser>
          <c:idx val="5"/>
          <c:order val="4"/>
          <c:tx>
            <c:strRef>
              <c:f>'Chemische Industrie'!$C$36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Industrie'!$F$36:$L$36</c:f>
              <c:numCache>
                <c:formatCode>General</c:formatCode>
                <c:ptCount val="7"/>
                <c:pt idx="0">
                  <c:v>0</c:v>
                </c:pt>
                <c:pt idx="1">
                  <c:v>1.69418573722554</c:v>
                </c:pt>
                <c:pt idx="2">
                  <c:v>6.0665292013843827E-4</c:v>
                </c:pt>
                <c:pt idx="3">
                  <c:v>1.6945242657136851E-4</c:v>
                </c:pt>
                <c:pt idx="4">
                  <c:v>2.3938098239038551E-5</c:v>
                </c:pt>
                <c:pt idx="5">
                  <c:v>2.7980879004743911E-5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52-412B-86FE-1966BDCD5261}"/>
            </c:ext>
          </c:extLst>
        </c:ser>
        <c:ser>
          <c:idx val="0"/>
          <c:order val="5"/>
          <c:tx>
            <c:strRef>
              <c:f>'Chemische Industrie'!$C$37</c:f>
              <c:strCache>
                <c:ptCount val="1"/>
                <c:pt idx="0">
                  <c:v>Heavy 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Industrie'!$F$37:$L$37</c:f>
              <c:numCache>
                <c:formatCode>General</c:formatCode>
                <c:ptCount val="7"/>
                <c:pt idx="0">
                  <c:v>5966.4328714406338</c:v>
                </c:pt>
                <c:pt idx="1">
                  <c:v>6236.4313136903056</c:v>
                </c:pt>
                <c:pt idx="2">
                  <c:v>3.7130742779879683E-2</c:v>
                </c:pt>
                <c:pt idx="3">
                  <c:v>1.237977689196699E-2</c:v>
                </c:pt>
                <c:pt idx="4">
                  <c:v>3.3511689463335149E-3</c:v>
                </c:pt>
                <c:pt idx="5">
                  <c:v>2.0086599066787691E-4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52-412B-86FE-1966BDCD5261}"/>
            </c:ext>
          </c:extLst>
        </c:ser>
        <c:ser>
          <c:idx val="6"/>
          <c:order val="6"/>
          <c:tx>
            <c:strRef>
              <c:f>'Chemische Industrie'!$C$38</c:f>
              <c:strCache>
                <c:ptCount val="1"/>
                <c:pt idx="0">
                  <c:v>Fuel oil</c:v>
                </c:pt>
              </c:strCache>
            </c:strRef>
          </c:tx>
          <c:invertIfNegative val="0"/>
          <c:cat>
            <c:strRef>
              <c:f>'Chemische Industrie'!$F$3:$L$3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Industrie'!$F$38:$L$38</c:f>
              <c:numCache>
                <c:formatCode>General</c:formatCode>
                <c:ptCount val="7"/>
                <c:pt idx="0">
                  <c:v>285.98197558791588</c:v>
                </c:pt>
                <c:pt idx="1">
                  <c:v>298.92349183120132</c:v>
                </c:pt>
                <c:pt idx="2">
                  <c:v>1.779744011881051E-3</c:v>
                </c:pt>
                <c:pt idx="3">
                  <c:v>5.9338521511723575E-4</c:v>
                </c:pt>
                <c:pt idx="4">
                  <c:v>1.6062762063221331E-4</c:v>
                </c:pt>
                <c:pt idx="5">
                  <c:v>9.6278721436034653E-6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52-412B-86FE-1966BDCD5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</a:t>
                </a:r>
                <a:r>
                  <a:rPr lang="de-DE" baseline="0"/>
                  <a:t> demand 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300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der Harnstoffproduktion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Industrie'!$AU$4</c:f>
              <c:strCache>
                <c:ptCount val="1"/>
                <c:pt idx="0">
                  <c:v>konventioneller Harnstoff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Industrie'!$AW$4:$BC$4</c:f>
              <c:numCache>
                <c:formatCode>General</c:formatCode>
                <c:ptCount val="7"/>
                <c:pt idx="0">
                  <c:v>519.99999921213987</c:v>
                </c:pt>
                <c:pt idx="1">
                  <c:v>559.79264982477866</c:v>
                </c:pt>
                <c:pt idx="2">
                  <c:v>601.99714413574225</c:v>
                </c:pt>
                <c:pt idx="3">
                  <c:v>642.99887858741522</c:v>
                </c:pt>
                <c:pt idx="4">
                  <c:v>683.99987455658834</c:v>
                </c:pt>
                <c:pt idx="5">
                  <c:v>401.37896808487938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C-40D4-99A6-AA419F359123}"/>
            </c:ext>
          </c:extLst>
        </c:ser>
        <c:ser>
          <c:idx val="3"/>
          <c:order val="1"/>
          <c:tx>
            <c:strRef>
              <c:f>'Chemische Industrie'!$AU$5</c:f>
              <c:strCache>
                <c:ptCount val="1"/>
                <c:pt idx="0">
                  <c:v>Wasserstoff-basierter Harnstoff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Industrie'!$AW$5:$BC$5</c:f>
              <c:numCache>
                <c:formatCode>General</c:formatCode>
                <c:ptCount val="7"/>
                <c:pt idx="0">
                  <c:v>0</c:v>
                </c:pt>
                <c:pt idx="1">
                  <c:v>1.210601852122098</c:v>
                </c:pt>
                <c:pt idx="2">
                  <c:v>2.8612460700554458E-3</c:v>
                </c:pt>
                <c:pt idx="3">
                  <c:v>1.1245141346485079E-3</c:v>
                </c:pt>
                <c:pt idx="4">
                  <c:v>1.256010362085046E-4</c:v>
                </c:pt>
                <c:pt idx="5">
                  <c:v>323.67212761863442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1C-40D4-99A6-AA419F35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Harnstoffproduktion</a:t>
                </a:r>
                <a:r>
                  <a:rPr lang="de-DE" baseline="0"/>
                  <a:t>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332803537339377"/>
          <c:y val="0.23071376494604842"/>
          <c:w val="0.32156110405766081"/>
          <c:h val="0.4721890706056575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des Energiebedarfs in der Harnstoffproduktion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'Chemische Industrie'!$AU$24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'Chemische Industrie'!$AW$3:$BC$3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Industrie'!$AW$24:$BC$24</c:f>
              <c:numCache>
                <c:formatCode>General</c:formatCode>
                <c:ptCount val="7"/>
                <c:pt idx="0">
                  <c:v>29.11999995587983</c:v>
                </c:pt>
                <c:pt idx="1">
                  <c:v>31.416182093906446</c:v>
                </c:pt>
                <c:pt idx="2">
                  <c:v>33.71200030138148</c:v>
                </c:pt>
                <c:pt idx="3">
                  <c:v>36.008000173686789</c:v>
                </c:pt>
                <c:pt idx="4">
                  <c:v>38.304000008826982</c:v>
                </c:pt>
                <c:pt idx="5">
                  <c:v>40.602861359396769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C-42AE-88F0-D0252CEA562C}"/>
            </c:ext>
          </c:extLst>
        </c:ser>
        <c:ser>
          <c:idx val="4"/>
          <c:order val="1"/>
          <c:tx>
            <c:strRef>
              <c:f>'Chemische Industrie'!$AU$25</c:f>
              <c:strCache>
                <c:ptCount val="1"/>
                <c:pt idx="0">
                  <c:v>Prozesswärme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Industrie'!$AW$3:$BC$3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Industrie'!$AW$25:$BC$25</c:f>
              <c:numCache>
                <c:formatCode>General</c:formatCode>
                <c:ptCount val="7"/>
                <c:pt idx="0">
                  <c:v>0</c:v>
                </c:pt>
                <c:pt idx="1">
                  <c:v>1.1064900928395971</c:v>
                </c:pt>
                <c:pt idx="2">
                  <c:v>2.6151789080306781E-3</c:v>
                </c:pt>
                <c:pt idx="3">
                  <c:v>1.027805919068736E-3</c:v>
                </c:pt>
                <c:pt idx="4">
                  <c:v>1.147993470945732E-4</c:v>
                </c:pt>
                <c:pt idx="5">
                  <c:v>295.83632464343179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C-42AE-88F0-D0252CEA5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1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Energiebedarf </a:t>
                </a:r>
                <a:r>
                  <a:rPr lang="de-DE" baseline="0"/>
                  <a:t>in GWh/a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90918144"/>
        <c:crosses val="autoZero"/>
        <c:crossBetween val="between"/>
        <c:majorUnit val="25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der Ammoniakproduktion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Industrie'!$BI$6</c:f>
              <c:strCache>
                <c:ptCount val="1"/>
                <c:pt idx="0">
                  <c:v>konventionelles Ammoniak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Industrie'!$BK$6:$BQ$6</c:f>
              <c:numCache>
                <c:formatCode>General</c:formatCode>
                <c:ptCount val="7"/>
                <c:pt idx="0">
                  <c:v>2580.040135741408</c:v>
                </c:pt>
                <c:pt idx="1">
                  <c:v>2777.0319899521919</c:v>
                </c:pt>
                <c:pt idx="2">
                  <c:v>2640.958216092592</c:v>
                </c:pt>
                <c:pt idx="3">
                  <c:v>2063.898947769454</c:v>
                </c:pt>
                <c:pt idx="4">
                  <c:v>1.4283202619460201E-4</c:v>
                </c:pt>
                <c:pt idx="5">
                  <c:v>5.7247298497962468E-5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B-415B-9799-BEB9B452FE71}"/>
            </c:ext>
          </c:extLst>
        </c:ser>
        <c:ser>
          <c:idx val="3"/>
          <c:order val="1"/>
          <c:tx>
            <c:strRef>
              <c:f>'Chemische Industrie'!$BI$8</c:f>
              <c:strCache>
                <c:ptCount val="1"/>
                <c:pt idx="0">
                  <c:v>Wasserstoff-basiertes Ammoniak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Industrie'!$BK$8:$BQ$8</c:f>
              <c:numCache>
                <c:formatCode>General</c:formatCode>
                <c:ptCount val="7"/>
                <c:pt idx="0">
                  <c:v>0</c:v>
                </c:pt>
                <c:pt idx="1">
                  <c:v>1.8726297521572719</c:v>
                </c:pt>
                <c:pt idx="2">
                  <c:v>346.01765200402019</c:v>
                </c:pt>
                <c:pt idx="3">
                  <c:v>1055.5791591478501</c:v>
                </c:pt>
                <c:pt idx="4">
                  <c:v>2511.491859776791</c:v>
                </c:pt>
                <c:pt idx="5">
                  <c:v>3369.971994018797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B-415B-9799-BEB9B452F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Ammoniakproduktion</a:t>
                </a:r>
                <a:r>
                  <a:rPr lang="de-DE" baseline="0"/>
                  <a:t>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332803537339377"/>
          <c:y val="0.23071376494604842"/>
          <c:w val="0.32156110405766081"/>
          <c:h val="0.4721890706056575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des Energiebedarfs in der Ammoniakproduktion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'Chemische Industrie'!$BI$28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'Chemische Industrie'!$BK$3:$BQ$3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Industrie'!$BK$28:$BQ$28</c:f>
              <c:numCache>
                <c:formatCode>General</c:formatCode>
                <c:ptCount val="7"/>
                <c:pt idx="0">
                  <c:v>5340.2272571732883</c:v>
                </c:pt>
                <c:pt idx="1">
                  <c:v>5762.0173804762489</c:v>
                </c:pt>
                <c:pt idx="2">
                  <c:v>6062.0612966909539</c:v>
                </c:pt>
                <c:pt idx="3">
                  <c:v>6243.2598057875657</c:v>
                </c:pt>
                <c:pt idx="4">
                  <c:v>6249.8725311770377</c:v>
                </c:pt>
                <c:pt idx="5">
                  <c:v>6294.0736126762586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4-491E-9E8E-DAD986F82473}"/>
            </c:ext>
          </c:extLst>
        </c:ser>
        <c:ser>
          <c:idx val="2"/>
          <c:order val="1"/>
          <c:tx>
            <c:strRef>
              <c:f>'Chemische Industrie'!$BI$29</c:f>
              <c:strCache>
                <c:ptCount val="1"/>
                <c:pt idx="0">
                  <c:v>Prozesswärme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Industrie'!$BK$3:$BQ$3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Industrie'!$BK$29:$BQ$29</c:f>
              <c:numCache>
                <c:formatCode>General</c:formatCode>
                <c:ptCount val="7"/>
                <c:pt idx="0">
                  <c:v>4728.8099335259121</c:v>
                </c:pt>
                <c:pt idx="1">
                  <c:v>5098.9883365378755</c:v>
                </c:pt>
                <c:pt idx="2">
                  <c:v>4840.9833924004906</c:v>
                </c:pt>
                <c:pt idx="3">
                  <c:v>3913.572912063365</c:v>
                </c:pt>
                <c:pt idx="4">
                  <c:v>1620.2481085780478</c:v>
                </c:pt>
                <c:pt idx="5">
                  <c:v>417.81775661582952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4-491E-9E8E-DAD986F82473}"/>
            </c:ext>
          </c:extLst>
        </c:ser>
        <c:ser>
          <c:idx val="3"/>
          <c:order val="2"/>
          <c:tx>
            <c:strRef>
              <c:f>'Chemische Industrie'!$BI$30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'Chemische Industrie'!$BK$3:$BQ$3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Industrie'!$BK$30:$BQ$30</c:f>
              <c:numCache>
                <c:formatCode>General</c:formatCode>
                <c:ptCount val="7"/>
                <c:pt idx="0">
                  <c:v>0</c:v>
                </c:pt>
                <c:pt idx="1">
                  <c:v>11.1103123195491</c:v>
                </c:pt>
                <c:pt idx="2">
                  <c:v>2052.9227293398508</c:v>
                </c:pt>
                <c:pt idx="3">
                  <c:v>6262.7511512241936</c:v>
                </c:pt>
                <c:pt idx="4">
                  <c:v>14900.681204055691</c:v>
                </c:pt>
                <c:pt idx="5">
                  <c:v>19994.04384051351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4-491E-9E8E-DAD986F82473}"/>
            </c:ext>
          </c:extLst>
        </c:ser>
        <c:ser>
          <c:idx val="4"/>
          <c:order val="3"/>
          <c:tx>
            <c:strRef>
              <c:f>'Chemische Industrie'!$BI$31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'Chemische Industrie'!$BK$3:$BQ$3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Industrie'!$BK$31:$BQ$31</c:f>
              <c:numCache>
                <c:formatCode>General</c:formatCode>
                <c:ptCount val="7"/>
                <c:pt idx="0">
                  <c:v>15048.089657532269</c:v>
                </c:pt>
                <c:pt idx="1">
                  <c:v>16226.034049588799</c:v>
                </c:pt>
                <c:pt idx="2">
                  <c:v>15405.04917850946</c:v>
                </c:pt>
                <c:pt idx="3">
                  <c:v>12453.17451525314</c:v>
                </c:pt>
                <c:pt idx="4">
                  <c:v>5147.8333350546627</c:v>
                </c:pt>
                <c:pt idx="5">
                  <c:v>1327.485688405879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4-491E-9E8E-DAD986F82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3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Energiebedarf </a:t>
                </a:r>
                <a:r>
                  <a:rPr lang="de-DE" baseline="0"/>
                  <a:t>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500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="1" i="0" baseline="0">
                <a:effectLst/>
              </a:rPr>
              <a:t>Development of ammonia production</a:t>
            </a:r>
            <a:endParaRPr lang="en-US" sz="1600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Industrie'!$BH$6</c:f>
              <c:strCache>
                <c:ptCount val="1"/>
                <c:pt idx="0">
                  <c:v>conventional ammonia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Industrie'!$BK$6:$BQ$6</c:f>
              <c:numCache>
                <c:formatCode>General</c:formatCode>
                <c:ptCount val="7"/>
                <c:pt idx="0">
                  <c:v>2580.040135741408</c:v>
                </c:pt>
                <c:pt idx="1">
                  <c:v>2777.0319899521919</c:v>
                </c:pt>
                <c:pt idx="2">
                  <c:v>2640.958216092592</c:v>
                </c:pt>
                <c:pt idx="3">
                  <c:v>2063.898947769454</c:v>
                </c:pt>
                <c:pt idx="4">
                  <c:v>1.4283202619460201E-4</c:v>
                </c:pt>
                <c:pt idx="5">
                  <c:v>5.7247298497962468E-5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4-4663-82CF-0371BC146C0E}"/>
            </c:ext>
          </c:extLst>
        </c:ser>
        <c:ser>
          <c:idx val="3"/>
          <c:order val="1"/>
          <c:tx>
            <c:strRef>
              <c:f>'Chemische Industrie'!$BH$8</c:f>
              <c:strCache>
                <c:ptCount val="1"/>
                <c:pt idx="0">
                  <c:v>hydrogen based 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Industrie'!$BK$8:$BQ$8</c:f>
              <c:numCache>
                <c:formatCode>General</c:formatCode>
                <c:ptCount val="7"/>
                <c:pt idx="0">
                  <c:v>0</c:v>
                </c:pt>
                <c:pt idx="1">
                  <c:v>1.8726297521572719</c:v>
                </c:pt>
                <c:pt idx="2">
                  <c:v>346.01765200402019</c:v>
                </c:pt>
                <c:pt idx="3">
                  <c:v>1055.5791591478501</c:v>
                </c:pt>
                <c:pt idx="4">
                  <c:v>2511.491859776791</c:v>
                </c:pt>
                <c:pt idx="5">
                  <c:v>3369.971994018797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4-4663-82CF-0371BC146C0E}"/>
            </c:ext>
          </c:extLst>
        </c:ser>
        <c:ser>
          <c:idx val="1"/>
          <c:order val="2"/>
          <c:tx>
            <c:strRef>
              <c:f>'Chemische Industrie'!$BH$7</c:f>
              <c:strCache>
                <c:ptCount val="1"/>
                <c:pt idx="0">
                  <c:v>conventional ammonia CCU</c:v>
                </c:pt>
              </c:strCache>
            </c:strRef>
          </c:tx>
          <c:invertIfNegative val="0"/>
          <c:val>
            <c:numRef>
              <c:f>'Chemische Industrie'!$BK$7:$BQ$7</c:f>
              <c:numCache>
                <c:formatCode>General</c:formatCode>
                <c:ptCount val="7"/>
                <c:pt idx="0">
                  <c:v>0</c:v>
                </c:pt>
                <c:pt idx="1">
                  <c:v>4.6438592049770619</c:v>
                </c:pt>
                <c:pt idx="2">
                  <c:v>5.8150962344575688E-2</c:v>
                </c:pt>
                <c:pt idx="3">
                  <c:v>71.05290390614968</c:v>
                </c:pt>
                <c:pt idx="4">
                  <c:v>882.53599795200012</c:v>
                </c:pt>
                <c:pt idx="5">
                  <c:v>227.58192047373109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2C-4156-A486-2F7C1C39E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baseline="0"/>
                  <a:t>Ammonia production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332803537339377"/>
          <c:y val="0.23071376494604842"/>
          <c:w val="0.31493762967165001"/>
          <c:h val="0.5061451115440286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energy demand in ammonia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'Chemische Industrie'!$BH$28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'Chemische Industrie'!$BK$3:$BQ$3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Industrie'!$BK$28:$BQ$28</c:f>
              <c:numCache>
                <c:formatCode>General</c:formatCode>
                <c:ptCount val="7"/>
                <c:pt idx="0">
                  <c:v>5340.2272571732883</c:v>
                </c:pt>
                <c:pt idx="1">
                  <c:v>5762.0173804762489</c:v>
                </c:pt>
                <c:pt idx="2">
                  <c:v>6062.0612966909539</c:v>
                </c:pt>
                <c:pt idx="3">
                  <c:v>6243.2598057875657</c:v>
                </c:pt>
                <c:pt idx="4">
                  <c:v>6249.8725311770377</c:v>
                </c:pt>
                <c:pt idx="5">
                  <c:v>6294.0736126762586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9-4CF1-8C12-C08098C9EF55}"/>
            </c:ext>
          </c:extLst>
        </c:ser>
        <c:ser>
          <c:idx val="2"/>
          <c:order val="1"/>
          <c:tx>
            <c:strRef>
              <c:f>'Chemische Industrie'!$BH$29</c:f>
              <c:strCache>
                <c:ptCount val="1"/>
                <c:pt idx="0">
                  <c:v>Process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Industrie'!$BK$3:$BQ$3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Industrie'!$BK$29:$BQ$29</c:f>
              <c:numCache>
                <c:formatCode>General</c:formatCode>
                <c:ptCount val="7"/>
                <c:pt idx="0">
                  <c:v>4728.8099335259121</c:v>
                </c:pt>
                <c:pt idx="1">
                  <c:v>5098.9883365378755</c:v>
                </c:pt>
                <c:pt idx="2">
                  <c:v>4840.9833924004906</c:v>
                </c:pt>
                <c:pt idx="3">
                  <c:v>3913.572912063365</c:v>
                </c:pt>
                <c:pt idx="4">
                  <c:v>1620.2481085780478</c:v>
                </c:pt>
                <c:pt idx="5">
                  <c:v>417.81775661582952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A9-4CF1-8C12-C08098C9EF55}"/>
            </c:ext>
          </c:extLst>
        </c:ser>
        <c:ser>
          <c:idx val="3"/>
          <c:order val="2"/>
          <c:tx>
            <c:strRef>
              <c:f>'Chemische Industrie'!$BH$30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'Chemische Industrie'!$BK$3:$BQ$3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Industrie'!$BK$30:$BQ$30</c:f>
              <c:numCache>
                <c:formatCode>General</c:formatCode>
                <c:ptCount val="7"/>
                <c:pt idx="0">
                  <c:v>0</c:v>
                </c:pt>
                <c:pt idx="1">
                  <c:v>11.1103123195491</c:v>
                </c:pt>
                <c:pt idx="2">
                  <c:v>2052.9227293398508</c:v>
                </c:pt>
                <c:pt idx="3">
                  <c:v>6262.7511512241936</c:v>
                </c:pt>
                <c:pt idx="4">
                  <c:v>14900.681204055691</c:v>
                </c:pt>
                <c:pt idx="5">
                  <c:v>19994.04384051351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A9-4CF1-8C12-C08098C9EF55}"/>
            </c:ext>
          </c:extLst>
        </c:ser>
        <c:ser>
          <c:idx val="4"/>
          <c:order val="3"/>
          <c:tx>
            <c:strRef>
              <c:f>'Chemische Industrie'!$BH$31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'Chemische Industrie'!$BK$3:$BQ$3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Industrie'!$BK$31:$BQ$31</c:f>
              <c:numCache>
                <c:formatCode>General</c:formatCode>
                <c:ptCount val="7"/>
                <c:pt idx="0">
                  <c:v>15048.089657532269</c:v>
                </c:pt>
                <c:pt idx="1">
                  <c:v>16226.034049588799</c:v>
                </c:pt>
                <c:pt idx="2">
                  <c:v>15405.04917850946</c:v>
                </c:pt>
                <c:pt idx="3">
                  <c:v>12453.17451525314</c:v>
                </c:pt>
                <c:pt idx="4">
                  <c:v>5147.8333350546627</c:v>
                </c:pt>
                <c:pt idx="5">
                  <c:v>1327.485688405879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A9-4CF1-8C12-C08098C9EF55}"/>
            </c:ext>
          </c:extLst>
        </c:ser>
        <c:ser>
          <c:idx val="0"/>
          <c:order val="4"/>
          <c:tx>
            <c:strRef>
              <c:f>'Chemische Industrie'!$BH$32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'Chemische Industrie'!$BK$3:$BQ$3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Industrie'!$BK$32:$BQ$32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6-41D1-A38E-18C14DCA2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3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</a:t>
                </a:r>
                <a:r>
                  <a:rPr lang="de-DE" baseline="0"/>
                  <a:t> demand 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500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Development of urea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Industrie'!$AT$4</c:f>
              <c:strCache>
                <c:ptCount val="1"/>
                <c:pt idx="0">
                  <c:v>conventional urea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Industrie'!$AW$4:$BC$4</c:f>
              <c:numCache>
                <c:formatCode>General</c:formatCode>
                <c:ptCount val="7"/>
                <c:pt idx="0">
                  <c:v>519.99999921213987</c:v>
                </c:pt>
                <c:pt idx="1">
                  <c:v>559.79264982477866</c:v>
                </c:pt>
                <c:pt idx="2">
                  <c:v>601.99714413574225</c:v>
                </c:pt>
                <c:pt idx="3">
                  <c:v>642.99887858741522</c:v>
                </c:pt>
                <c:pt idx="4">
                  <c:v>683.99987455658834</c:v>
                </c:pt>
                <c:pt idx="5">
                  <c:v>401.37896808487938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1-49D0-B162-7C0555C497F8}"/>
            </c:ext>
          </c:extLst>
        </c:ser>
        <c:ser>
          <c:idx val="3"/>
          <c:order val="1"/>
          <c:tx>
            <c:strRef>
              <c:f>'Chemische Industrie'!$AT$5</c:f>
              <c:strCache>
                <c:ptCount val="1"/>
                <c:pt idx="0">
                  <c:v>hydrogen based urea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Industrie'!$AW$5:$BC$5</c:f>
              <c:numCache>
                <c:formatCode>General</c:formatCode>
                <c:ptCount val="7"/>
                <c:pt idx="0">
                  <c:v>0</c:v>
                </c:pt>
                <c:pt idx="1">
                  <c:v>1.210601852122098</c:v>
                </c:pt>
                <c:pt idx="2">
                  <c:v>2.8612460700554458E-3</c:v>
                </c:pt>
                <c:pt idx="3">
                  <c:v>1.1245141346485079E-3</c:v>
                </c:pt>
                <c:pt idx="4">
                  <c:v>1.256010362085046E-4</c:v>
                </c:pt>
                <c:pt idx="5">
                  <c:v>323.67212761863442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C1-49D0-B162-7C0555C4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Urea production</a:t>
                </a:r>
                <a:r>
                  <a:rPr lang="de-DE" baseline="0"/>
                  <a:t>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332803537339377"/>
          <c:y val="0.23071376494604842"/>
          <c:w val="0.32156110405766081"/>
          <c:h val="0.4721890706056575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Development of energy demand in urea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'Chemische Industrie'!$AT$24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'Chemische Industrie'!$AW$3:$BC$3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Industrie'!$AW$24:$BC$24</c:f>
              <c:numCache>
                <c:formatCode>General</c:formatCode>
                <c:ptCount val="7"/>
                <c:pt idx="0">
                  <c:v>29.11999995587983</c:v>
                </c:pt>
                <c:pt idx="1">
                  <c:v>31.416182093906446</c:v>
                </c:pt>
                <c:pt idx="2">
                  <c:v>33.71200030138148</c:v>
                </c:pt>
                <c:pt idx="3">
                  <c:v>36.008000173686789</c:v>
                </c:pt>
                <c:pt idx="4">
                  <c:v>38.304000008826982</c:v>
                </c:pt>
                <c:pt idx="5">
                  <c:v>40.602861359396769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9-4A30-BCC4-827D2DEB0DE5}"/>
            </c:ext>
          </c:extLst>
        </c:ser>
        <c:ser>
          <c:idx val="4"/>
          <c:order val="1"/>
          <c:tx>
            <c:strRef>
              <c:f>'Chemische Industrie'!$AT$25</c:f>
              <c:strCache>
                <c:ptCount val="1"/>
                <c:pt idx="0">
                  <c:v>Process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Industrie'!$AW$3:$BC$3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Industrie'!$AW$25:$BC$25</c:f>
              <c:numCache>
                <c:formatCode>General</c:formatCode>
                <c:ptCount val="7"/>
                <c:pt idx="0">
                  <c:v>0</c:v>
                </c:pt>
                <c:pt idx="1">
                  <c:v>1.1064900928395971</c:v>
                </c:pt>
                <c:pt idx="2">
                  <c:v>2.6151789080306781E-3</c:v>
                </c:pt>
                <c:pt idx="3">
                  <c:v>1.027805919068736E-3</c:v>
                </c:pt>
                <c:pt idx="4">
                  <c:v>1.147993470945732E-4</c:v>
                </c:pt>
                <c:pt idx="5">
                  <c:v>295.83632464343179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29-4A30-BCC4-827D2DEB0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1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 demand </a:t>
                </a:r>
                <a:r>
                  <a:rPr lang="de-DE" baseline="0"/>
                  <a:t>in GWh/a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90918144"/>
        <c:crosses val="autoZero"/>
        <c:crossBetween val="between"/>
        <c:majorUnit val="25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der Chlorproduktion</a:t>
            </a:r>
            <a:endParaRPr lang="de-DE" sz="16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143176072236381"/>
          <c:y val="0.15718736694857352"/>
          <c:w val="0.5395012447758436"/>
          <c:h val="0.60921609617608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'Chemische Industrie'!$BW$6</c:f>
              <c:strCache>
                <c:ptCount val="1"/>
                <c:pt idx="0">
                  <c:v>Membran Chlor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Industrie'!$BY$6:$CE$6</c:f>
              <c:numCache>
                <c:formatCode>General</c:formatCode>
                <c:ptCount val="7"/>
                <c:pt idx="0">
                  <c:v>2898.6839993141111</c:v>
                </c:pt>
                <c:pt idx="1">
                  <c:v>3065.9999714949081</c:v>
                </c:pt>
                <c:pt idx="2">
                  <c:v>4171.5069556026201</c:v>
                </c:pt>
                <c:pt idx="3">
                  <c:v>4779.5971402908672</c:v>
                </c:pt>
                <c:pt idx="4">
                  <c:v>5084.4995909125737</c:v>
                </c:pt>
                <c:pt idx="5">
                  <c:v>5389.3497233575827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7-4AD0-8768-A6B256E82518}"/>
            </c:ext>
          </c:extLst>
        </c:ser>
        <c:ser>
          <c:idx val="3"/>
          <c:order val="1"/>
          <c:tx>
            <c:strRef>
              <c:f>'Chemische Industrie'!$BW$7</c:f>
              <c:strCache>
                <c:ptCount val="1"/>
                <c:pt idx="0">
                  <c:v>Diaphragma Chlor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strLit>
              <c:ptCount val="7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pt idx="6">
                <c:v>2050</c:v>
              </c:pt>
            </c:strLit>
          </c:cat>
          <c:val>
            <c:numRef>
              <c:f>'Chemische Industrie'!$BY$7:$CE$7</c:f>
              <c:numCache>
                <c:formatCode>General</c:formatCode>
                <c:ptCount val="7"/>
                <c:pt idx="0">
                  <c:v>966.22799931327381</c:v>
                </c:pt>
                <c:pt idx="1">
                  <c:v>1021.415971735199</c:v>
                </c:pt>
                <c:pt idx="2">
                  <c:v>303.19304979982331</c:v>
                </c:pt>
                <c:pt idx="3">
                  <c:v>2.8628304966692541E-3</c:v>
                </c:pt>
                <c:pt idx="4">
                  <c:v>4.0924542019660622E-4</c:v>
                </c:pt>
                <c:pt idx="5">
                  <c:v>2.768048563776382E-4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87-4AD0-8768-A6B256E82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  <c:max val="6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Chlorproduktion</a:t>
                </a:r>
                <a:r>
                  <a:rPr lang="de-DE" baseline="0"/>
                  <a:t>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  <c:majorUnit val="1000"/>
      </c:valAx>
    </c:plotArea>
    <c:legend>
      <c:legendPos val="r"/>
      <c:layout>
        <c:manualLayout>
          <c:xMode val="edge"/>
          <c:yMode val="edge"/>
          <c:x val="0.67697576392434111"/>
          <c:y val="0.26493664132239719"/>
          <c:w val="0.32156110405766081"/>
          <c:h val="0.4721890706056575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Entwicklung</a:t>
            </a:r>
            <a:r>
              <a:rPr lang="de-DE" sz="1600" baseline="0"/>
              <a:t> des Energiebedarfs in der Chlorproduktion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'Chemische Industrie'!$BW$24</c:f>
              <c:strCache>
                <c:ptCount val="1"/>
                <c:pt idx="0">
                  <c:v>Elektrizität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'Chemische Industrie'!$BY$3:$CE$3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Industrie'!$BY$24:$CE$24</c:f>
              <c:numCache>
                <c:formatCode>General</c:formatCode>
                <c:ptCount val="7"/>
                <c:pt idx="0">
                  <c:v>9324.1001966026724</c:v>
                </c:pt>
                <c:pt idx="1">
                  <c:v>9860.7814595245509</c:v>
                </c:pt>
                <c:pt idx="2">
                  <c:v>10591.3432751457</c:v>
                </c:pt>
                <c:pt idx="3">
                  <c:v>11232.06072304283</c:v>
                </c:pt>
                <c:pt idx="4">
                  <c:v>11948.575102682644</c:v>
                </c:pt>
                <c:pt idx="5">
                  <c:v>12664.972569582947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B-4C76-A0E6-0EEEA06D1F4E}"/>
            </c:ext>
          </c:extLst>
        </c:ser>
        <c:ser>
          <c:idx val="4"/>
          <c:order val="1"/>
          <c:tx>
            <c:strRef>
              <c:f>'Chemische Industrie'!$BW$25</c:f>
              <c:strCache>
                <c:ptCount val="1"/>
                <c:pt idx="0">
                  <c:v>Prozesswärme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Industrie'!$BY$3:$CE$3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Industrie'!$BY$25:$CE$25</c:f>
              <c:numCache>
                <c:formatCode>General</c:formatCode>
                <c:ptCount val="7"/>
                <c:pt idx="0">
                  <c:v>1739.2103995884668</c:v>
                </c:pt>
                <c:pt idx="1">
                  <c:v>1839.5999828969448</c:v>
                </c:pt>
                <c:pt idx="2">
                  <c:v>2502.9041733615718</c:v>
                </c:pt>
                <c:pt idx="3">
                  <c:v>2867.7582841745202</c:v>
                </c:pt>
                <c:pt idx="4">
                  <c:v>3050.6997545475442</c:v>
                </c:pt>
                <c:pt idx="5">
                  <c:v>3233.60983401455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5B-4C76-A0E6-0EEEA06D1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Energiebedarf </a:t>
                </a:r>
                <a:r>
                  <a:rPr lang="de-DE" baseline="0"/>
                  <a:t>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500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="1" i="0" baseline="0">
                <a:effectLst/>
              </a:rPr>
              <a:t>Development of chlorine production</a:t>
            </a:r>
            <a:endParaRPr lang="en-US" sz="1600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Industrie'!$BV$6</c:f>
              <c:strCache>
                <c:ptCount val="1"/>
                <c:pt idx="0">
                  <c:v>membrane chlorine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'Chemische Industrie'!$BY$3:$CE$3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Industrie'!$BY$6:$CE$6</c:f>
              <c:numCache>
                <c:formatCode>General</c:formatCode>
                <c:ptCount val="7"/>
                <c:pt idx="0">
                  <c:v>2898.6839993141111</c:v>
                </c:pt>
                <c:pt idx="1">
                  <c:v>3065.9999714949081</c:v>
                </c:pt>
                <c:pt idx="2">
                  <c:v>4171.5069556026201</c:v>
                </c:pt>
                <c:pt idx="3">
                  <c:v>4779.5971402908672</c:v>
                </c:pt>
                <c:pt idx="4">
                  <c:v>5084.4995909125737</c:v>
                </c:pt>
                <c:pt idx="5">
                  <c:v>5389.3497233575827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E-49BE-98F3-B0854345F27E}"/>
            </c:ext>
          </c:extLst>
        </c:ser>
        <c:ser>
          <c:idx val="3"/>
          <c:order val="1"/>
          <c:tx>
            <c:strRef>
              <c:f>'Chemische Industrie'!$BV$7</c:f>
              <c:strCache>
                <c:ptCount val="1"/>
                <c:pt idx="0">
                  <c:v>diaphragm chlorine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strRef>
              <c:f>'Chemische Industrie'!$BY$3:$CE$3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Industrie'!$BY$7:$CE$7</c:f>
              <c:numCache>
                <c:formatCode>General</c:formatCode>
                <c:ptCount val="7"/>
                <c:pt idx="0">
                  <c:v>966.22799931327381</c:v>
                </c:pt>
                <c:pt idx="1">
                  <c:v>1021.415971735199</c:v>
                </c:pt>
                <c:pt idx="2">
                  <c:v>303.19304979982331</c:v>
                </c:pt>
                <c:pt idx="3">
                  <c:v>2.8628304966692541E-3</c:v>
                </c:pt>
                <c:pt idx="4">
                  <c:v>4.0924542019660622E-4</c:v>
                </c:pt>
                <c:pt idx="5">
                  <c:v>2.768048563776382E-4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9E-49BE-98F3-B0854345F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</c:barChart>
      <c:lineChart>
        <c:grouping val="standard"/>
        <c:varyColors val="0"/>
        <c:ser>
          <c:idx val="1"/>
          <c:order val="2"/>
          <c:tx>
            <c:strRef>
              <c:f>'Chemische Industrie'!$BV$22</c:f>
              <c:strCache>
                <c:ptCount val="1"/>
                <c:pt idx="0">
                  <c:v>Hydrogen</c:v>
                </c:pt>
              </c:strCache>
            </c:strRef>
          </c:tx>
          <c:marker>
            <c:symbol val="none"/>
          </c:marker>
          <c:cat>
            <c:strRef>
              <c:f>'Chemische Industrie'!$BY$3:$CE$3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Industrie'!$BY$22:$CE$22</c:f>
              <c:numCache>
                <c:formatCode>General</c:formatCode>
                <c:ptCount val="7"/>
                <c:pt idx="0">
                  <c:v>3663.9365746987605</c:v>
                </c:pt>
                <c:pt idx="1">
                  <c:v>3874.870314182142</c:v>
                </c:pt>
                <c:pt idx="2">
                  <c:v>4242.0156051215163</c:v>
                </c:pt>
                <c:pt idx="3">
                  <c:v>4531.060802959053</c:v>
                </c:pt>
                <c:pt idx="4">
                  <c:v>4820.1060001497781</c:v>
                </c:pt>
                <c:pt idx="5">
                  <c:v>5109.1038001539919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F-44AE-8DC3-984D2BCE6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028896"/>
        <c:axId val="1471035136"/>
      </c:line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  <c:max val="6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baseline="0"/>
                  <a:t>Chlorine production 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  <c:majorUnit val="1000"/>
      </c:valAx>
      <c:valAx>
        <c:axId val="1471035136"/>
        <c:scaling>
          <c:orientation val="minMax"/>
          <c:max val="10000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Hydrogen production in TWh/a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028896"/>
        <c:crosses val="max"/>
        <c:crossBetween val="between"/>
        <c:majorUnit val="2000"/>
        <c:dispUnits>
          <c:builtInUnit val="thousands"/>
        </c:dispUnits>
      </c:valAx>
      <c:catAx>
        <c:axId val="1471028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1035136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72182433790791689"/>
          <c:y val="0.2611341026637532"/>
          <c:w val="0.26745056869303896"/>
          <c:h val="0.2703173832306248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energy demand in chlorine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'Chemische Industrie'!$BV$24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'Chemische Industrie'!$BY$3:$CE$3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Industrie'!$BY$24:$CE$24</c:f>
              <c:numCache>
                <c:formatCode>General</c:formatCode>
                <c:ptCount val="7"/>
                <c:pt idx="0">
                  <c:v>9324.1001966026724</c:v>
                </c:pt>
                <c:pt idx="1">
                  <c:v>9860.7814595245509</c:v>
                </c:pt>
                <c:pt idx="2">
                  <c:v>10591.3432751457</c:v>
                </c:pt>
                <c:pt idx="3">
                  <c:v>11232.06072304283</c:v>
                </c:pt>
                <c:pt idx="4">
                  <c:v>11948.575102682644</c:v>
                </c:pt>
                <c:pt idx="5">
                  <c:v>12664.972569582947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0-48C8-9605-0876FB1DD26A}"/>
            </c:ext>
          </c:extLst>
        </c:ser>
        <c:ser>
          <c:idx val="4"/>
          <c:order val="1"/>
          <c:tx>
            <c:strRef>
              <c:f>'Chemische Industrie'!$BV$25</c:f>
              <c:strCache>
                <c:ptCount val="1"/>
                <c:pt idx="0">
                  <c:v>Process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Industrie'!$BY$3:$CE$3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Industrie'!$BY$25:$CE$25</c:f>
              <c:numCache>
                <c:formatCode>General</c:formatCode>
                <c:ptCount val="7"/>
                <c:pt idx="0">
                  <c:v>1739.2103995884668</c:v>
                </c:pt>
                <c:pt idx="1">
                  <c:v>1839.5999828969448</c:v>
                </c:pt>
                <c:pt idx="2">
                  <c:v>2502.9041733615718</c:v>
                </c:pt>
                <c:pt idx="3">
                  <c:v>2867.7582841745202</c:v>
                </c:pt>
                <c:pt idx="4">
                  <c:v>3050.6997545475442</c:v>
                </c:pt>
                <c:pt idx="5">
                  <c:v>3233.60983401455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0-48C8-9605-0876FB1DD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</a:t>
                </a:r>
                <a:r>
                  <a:rPr lang="de-DE" baseline="0"/>
                  <a:t> demand 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500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energy demand in naphtha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'Chemische Industrie'!$CU$28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'Chemische Industrie'!$CX$3:$DD$3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Industrie'!$CX$28:$DD$28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93-4175-B364-66D195189684}"/>
            </c:ext>
          </c:extLst>
        </c:ser>
        <c:ser>
          <c:idx val="0"/>
          <c:order val="1"/>
          <c:tx>
            <c:strRef>
              <c:f>'Chemische Industrie'!$CU$30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'Chemische Industrie'!$CX$3:$DD$3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Industrie'!$CX$30:$DD$30</c:f>
              <c:numCache>
                <c:formatCode>0.00</c:formatCode>
                <c:ptCount val="7"/>
                <c:pt idx="0">
                  <c:v>91013.380386003788</c:v>
                </c:pt>
                <c:pt idx="1">
                  <c:v>100539.1631226145</c:v>
                </c:pt>
                <c:pt idx="2">
                  <c:v>102124.90635060036</c:v>
                </c:pt>
                <c:pt idx="3">
                  <c:v>89928.520028104555</c:v>
                </c:pt>
                <c:pt idx="4">
                  <c:v>29875.562534633085</c:v>
                </c:pt>
                <c:pt idx="5">
                  <c:v>5.1056187386604873E-4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93-4175-B364-66D195189684}"/>
            </c:ext>
          </c:extLst>
        </c:ser>
        <c:ser>
          <c:idx val="2"/>
          <c:order val="3"/>
          <c:tx>
            <c:strRef>
              <c:f>'Chemische Industrie'!$CU$31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'Chemische Industrie'!$CX$3:$DD$3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Industrie'!$CX$31:$DD$31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9-4094-B4BA-F0A03FBFC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</c:barChart>
      <c:lineChart>
        <c:grouping val="standard"/>
        <c:varyColors val="0"/>
        <c:ser>
          <c:idx val="1"/>
          <c:order val="2"/>
          <c:tx>
            <c:strRef>
              <c:f>'Chemische Industrie'!$CU$29</c:f>
              <c:strCache>
                <c:ptCount val="1"/>
                <c:pt idx="0">
                  <c:v>CO2</c:v>
                </c:pt>
              </c:strCache>
            </c:strRef>
          </c:tx>
          <c:marker>
            <c:symbol val="none"/>
          </c:marker>
          <c:cat>
            <c:strRef>
              <c:f>'Chemische Industrie'!$CX$3:$DD$3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Industrie'!$CX$29:$DD$29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93-4175-B364-66D195189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023904"/>
        <c:axId val="1471033888"/>
      </c:line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25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</a:t>
                </a:r>
                <a:r>
                  <a:rPr lang="de-DE" baseline="0"/>
                  <a:t> demand 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50000"/>
      </c:valAx>
      <c:valAx>
        <c:axId val="1471033888"/>
        <c:scaling>
          <c:orientation val="minMax"/>
          <c:max val="75000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CO2 demand in Mt/a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471023904"/>
        <c:crosses val="max"/>
        <c:crossBetween val="between"/>
        <c:dispUnits>
          <c:builtInUnit val="thousands"/>
        </c:dispUnits>
      </c:valAx>
      <c:catAx>
        <c:axId val="1471023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103388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Plastics Waste Processing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'Chemische Industrie'!$DH$81</c:f>
              <c:strCache>
                <c:ptCount val="1"/>
                <c:pt idx="0">
                  <c:v>Chem. Recycling pyrolisis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Industrie'!$DK$81:$DQ$81</c:f>
              <c:numCache>
                <c:formatCode>0%</c:formatCode>
                <c:ptCount val="7"/>
                <c:pt idx="0">
                  <c:v>0</c:v>
                </c:pt>
                <c:pt idx="1">
                  <c:v>5.8012645030893335E-9</c:v>
                </c:pt>
                <c:pt idx="2">
                  <c:v>8.4982070223219829E-12</c:v>
                </c:pt>
                <c:pt idx="3">
                  <c:v>1.7845225403719739E-11</c:v>
                </c:pt>
                <c:pt idx="4">
                  <c:v>0.6232617744625657</c:v>
                </c:pt>
                <c:pt idx="5">
                  <c:v>0.62648439627090513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EE-47F3-A353-63A8A0B8A559}"/>
            </c:ext>
          </c:extLst>
        </c:ser>
        <c:ser>
          <c:idx val="0"/>
          <c:order val="1"/>
          <c:tx>
            <c:strRef>
              <c:f>'Chemische Industrie'!$DH$80</c:f>
              <c:strCache>
                <c:ptCount val="1"/>
                <c:pt idx="0">
                  <c:v>Mech. recycling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Industrie'!$DK$80:$DQ$80</c:f>
              <c:numCache>
                <c:formatCode>0%</c:formatCode>
                <c:ptCount val="7"/>
                <c:pt idx="0">
                  <c:v>0.4697301516413353</c:v>
                </c:pt>
                <c:pt idx="1">
                  <c:v>0.45329404935106438</c:v>
                </c:pt>
                <c:pt idx="2">
                  <c:v>0.38200104803448959</c:v>
                </c:pt>
                <c:pt idx="3">
                  <c:v>0.38058337827453437</c:v>
                </c:pt>
                <c:pt idx="4">
                  <c:v>0.37673821114279876</c:v>
                </c:pt>
                <c:pt idx="5">
                  <c:v>0.37351560158108765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E-47F3-A353-63A8A0B8A559}"/>
            </c:ext>
          </c:extLst>
        </c:ser>
        <c:ser>
          <c:idx val="1"/>
          <c:order val="2"/>
          <c:tx>
            <c:strRef>
              <c:f>'Chemische Industrie'!$DH$83</c:f>
              <c:strCache>
                <c:ptCount val="1"/>
                <c:pt idx="0">
                  <c:v>Energetic recovery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Industrie'!$DK$83:$DQ$83</c:f>
              <c:numCache>
                <c:formatCode>0%</c:formatCode>
                <c:ptCount val="7"/>
                <c:pt idx="0">
                  <c:v>0.53026984835866464</c:v>
                </c:pt>
                <c:pt idx="1">
                  <c:v>0.54670593205686457</c:v>
                </c:pt>
                <c:pt idx="2">
                  <c:v>0.61799895193512999</c:v>
                </c:pt>
                <c:pt idx="3">
                  <c:v>0.6194166216766146</c:v>
                </c:pt>
                <c:pt idx="4">
                  <c:v>1.1841854277761884E-8</c:v>
                </c:pt>
                <c:pt idx="5">
                  <c:v>1.2408894429352202E-9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EE-47F3-A353-63A8A0B8A559}"/>
            </c:ext>
          </c:extLst>
        </c:ser>
        <c:ser>
          <c:idx val="2"/>
          <c:order val="3"/>
          <c:tx>
            <c:strRef>
              <c:f>'Chemische Industrie'!$DH$84</c:f>
              <c:strCache>
                <c:ptCount val="1"/>
                <c:pt idx="0">
                  <c:v>Landfill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Industrie'!$DK$84:$DQ$84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EE-47F3-A353-63A8A0B8A559}"/>
            </c:ext>
          </c:extLst>
        </c:ser>
        <c:ser>
          <c:idx val="4"/>
          <c:order val="4"/>
          <c:tx>
            <c:strRef>
              <c:f>'Chemische Industrie'!$DH$82</c:f>
              <c:strCache>
                <c:ptCount val="1"/>
                <c:pt idx="0">
                  <c:v>Chem. Recycling gasification</c:v>
                </c:pt>
              </c:strCache>
            </c:strRef>
          </c:tx>
          <c:invertIfNegative val="0"/>
          <c:val>
            <c:numRef>
              <c:f>'Chemische Industrie'!$DK$82:$DQ$82</c:f>
              <c:numCache>
                <c:formatCode>0%</c:formatCode>
                <c:ptCount val="7"/>
                <c:pt idx="0">
                  <c:v>0</c:v>
                </c:pt>
                <c:pt idx="1">
                  <c:v>1.2790806543738994E-8</c:v>
                </c:pt>
                <c:pt idx="2">
                  <c:v>2.1882343955568122E-11</c:v>
                </c:pt>
                <c:pt idx="3">
                  <c:v>3.1005796621971049E-11</c:v>
                </c:pt>
                <c:pt idx="4">
                  <c:v>2.5527812306476165E-9</c:v>
                </c:pt>
                <c:pt idx="5">
                  <c:v>9.0711790251399071E-10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9-4FF2-A48E-DAD3E2F63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  <c:max val="1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89812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239398534689111"/>
          <c:y val="0.2155651946245723"/>
          <c:w val="0.27606010692179445"/>
          <c:h val="0.7837883131622593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Primary Plastics Production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929212377216418"/>
          <c:y val="0.15654952076677317"/>
          <c:w val="0.6309064534735237"/>
          <c:h val="0.610801847154688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'Chemische Industrie'!$DH$10</c:f>
              <c:strCache>
                <c:ptCount val="1"/>
                <c:pt idx="0">
                  <c:v>fos Naphtha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Industrie'!$DK$10:$DQ$10</c:f>
              <c:numCache>
                <c:formatCode>General</c:formatCode>
                <c:ptCount val="7"/>
                <c:pt idx="0">
                  <c:v>12604.93066366337</c:v>
                </c:pt>
                <c:pt idx="1">
                  <c:v>13266.04968075352</c:v>
                </c:pt>
                <c:pt idx="2">
                  <c:v>13376.444911127301</c:v>
                </c:pt>
                <c:pt idx="3">
                  <c:v>12529.62029728744</c:v>
                </c:pt>
                <c:pt idx="4">
                  <c:v>8359.9971236877991</c:v>
                </c:pt>
                <c:pt idx="5">
                  <c:v>6285.6640099236511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D2-475B-866A-B3187F7FC624}"/>
            </c:ext>
          </c:extLst>
        </c:ser>
        <c:ser>
          <c:idx val="3"/>
          <c:order val="1"/>
          <c:tx>
            <c:strRef>
              <c:f>'Chemische Industrie'!$DH$9</c:f>
              <c:strCache>
                <c:ptCount val="1"/>
                <c:pt idx="0">
                  <c:v>green Naphtha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Industrie'!$DK$9:$DQ$9</c:f>
              <c:numCache>
                <c:formatCode>General</c:formatCode>
                <c:ptCount val="7"/>
                <c:pt idx="0">
                  <c:v>0</c:v>
                </c:pt>
                <c:pt idx="1">
                  <c:v>0.29791517172856119</c:v>
                </c:pt>
                <c:pt idx="2">
                  <c:v>3.5511824346520879E-4</c:v>
                </c:pt>
                <c:pt idx="3">
                  <c:v>2.2869046206334251E-4</c:v>
                </c:pt>
                <c:pt idx="4">
                  <c:v>2301.883477601481</c:v>
                </c:pt>
                <c:pt idx="5">
                  <c:v>2515.8861596017309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2-475B-866A-B3187F7FC624}"/>
            </c:ext>
          </c:extLst>
        </c:ser>
        <c:ser>
          <c:idx val="1"/>
          <c:order val="2"/>
          <c:tx>
            <c:strRef>
              <c:f>'Chemische Industrie'!$DI$14</c:f>
              <c:strCache>
                <c:ptCount val="1"/>
                <c:pt idx="0">
                  <c:v>fossiles MTO</c:v>
                </c:pt>
              </c:strCache>
            </c:strRef>
          </c:tx>
          <c:invertIfNegative val="0"/>
          <c:val>
            <c:numRef>
              <c:f>'Chemische Industrie'!$DK$14:$DQ$14</c:f>
              <c:numCache>
                <c:formatCode>General</c:formatCode>
                <c:ptCount val="7"/>
                <c:pt idx="0">
                  <c:v>0</c:v>
                </c:pt>
                <c:pt idx="1">
                  <c:v>4.1483589625149862E-5</c:v>
                </c:pt>
                <c:pt idx="2">
                  <c:v>543.68531682329933</c:v>
                </c:pt>
                <c:pt idx="3">
                  <c:v>2036.6979061625409</c:v>
                </c:pt>
                <c:pt idx="4">
                  <c:v>4543.0242069175556</c:v>
                </c:pt>
                <c:pt idx="5">
                  <c:v>1.7828569678311441E-5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D-431E-B2BE-EB605BA93B5C}"/>
            </c:ext>
          </c:extLst>
        </c:ser>
        <c:ser>
          <c:idx val="2"/>
          <c:order val="3"/>
          <c:tx>
            <c:strRef>
              <c:f>'Chemische Industrie'!$DI$13</c:f>
              <c:strCache>
                <c:ptCount val="1"/>
                <c:pt idx="0">
                  <c:v>grünes MTO</c:v>
                </c:pt>
              </c:strCache>
            </c:strRef>
          </c:tx>
          <c:invertIfNegative val="0"/>
          <c:val>
            <c:numRef>
              <c:f>'Chemische Industrie'!$DK$13:$DQ$13</c:f>
              <c:numCache>
                <c:formatCode>General</c:formatCode>
                <c:ptCount val="7"/>
                <c:pt idx="0">
                  <c:v>0</c:v>
                </c:pt>
                <c:pt idx="1">
                  <c:v>4.1498527158671548E-5</c:v>
                </c:pt>
                <c:pt idx="2">
                  <c:v>1.078512042044412E-3</c:v>
                </c:pt>
                <c:pt idx="3">
                  <c:v>1.14930693014929E-3</c:v>
                </c:pt>
                <c:pt idx="4">
                  <c:v>8.0442563765884494E-5</c:v>
                </c:pt>
                <c:pt idx="5">
                  <c:v>7035.5073333045402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D-431E-B2BE-EB605BA93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  <c:max val="180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Plastics in Mt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  <c:dispUnits>
          <c:builtInUnit val="thousands"/>
        </c:dispUnits>
      </c:valAx>
    </c:plotArea>
    <c:legend>
      <c:legendPos val="r"/>
      <c:layout>
        <c:manualLayout>
          <c:xMode val="edge"/>
          <c:yMode val="edge"/>
          <c:x val="0.76767280094352885"/>
          <c:y val="0.25722338751184592"/>
          <c:w val="0.22483386055700552"/>
          <c:h val="0.3855560299420817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Energy Demand for Primary Plastics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'Chemische Industrie'!$DH$105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Industrie'!$DK$105:$DQ$105</c:f>
              <c:numCache>
                <c:formatCode>General</c:formatCode>
                <c:ptCount val="7"/>
                <c:pt idx="0">
                  <c:v>1260.4936855359999</c:v>
                </c:pt>
                <c:pt idx="1">
                  <c:v>1328.7186894903452</c:v>
                </c:pt>
                <c:pt idx="2">
                  <c:v>1723.3547184581817</c:v>
                </c:pt>
                <c:pt idx="3">
                  <c:v>4753.7112219406908</c:v>
                </c:pt>
                <c:pt idx="4">
                  <c:v>2351.4049190789474</c:v>
                </c:pt>
                <c:pt idx="5">
                  <c:v>40235.66997360011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C-419A-9CFF-59E9B1261201}"/>
            </c:ext>
          </c:extLst>
        </c:ser>
        <c:ser>
          <c:idx val="0"/>
          <c:order val="1"/>
          <c:tx>
            <c:strRef>
              <c:f>'Chemische Industrie'!$DH$108</c:f>
              <c:strCache>
                <c:ptCount val="1"/>
                <c:pt idx="0">
                  <c:v>Chemical by-products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Industrie'!$DK$108:$DQ$108</c:f>
              <c:numCache>
                <c:formatCode>General</c:formatCode>
                <c:ptCount val="7"/>
                <c:pt idx="0">
                  <c:v>15179.701228822332</c:v>
                </c:pt>
                <c:pt idx="1">
                  <c:v>15975.865001864822</c:v>
                </c:pt>
                <c:pt idx="2">
                  <c:v>16108.810327696076</c:v>
                </c:pt>
                <c:pt idx="3">
                  <c:v>15089.007444657749</c:v>
                </c:pt>
                <c:pt idx="4">
                  <c:v>10067.668121112316</c:v>
                </c:pt>
                <c:pt idx="5">
                  <c:v>7569.6173379562279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4-4EC6-95A6-66FDE009A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  <c:max val="700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demand in TWh</a:t>
                </a:r>
              </a:p>
            </c:rich>
          </c:tx>
          <c:layout>
            <c:manualLayout>
              <c:xMode val="edge"/>
              <c:yMode val="edge"/>
              <c:x val="1.822204494388471E-2"/>
              <c:y val="0.12019327970151619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  <c:dispUnits>
          <c:builtInUnit val="thousands"/>
        </c:dispUnits>
      </c:valAx>
    </c:plotArea>
    <c:legend>
      <c:legendPos val="r"/>
      <c:layout>
        <c:manualLayout>
          <c:xMode val="edge"/>
          <c:yMode val="edge"/>
          <c:x val="0.75856174382986408"/>
          <c:y val="0.31781712262060746"/>
          <c:w val="0.24143825617013595"/>
          <c:h val="0.3574744101802246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Plastics Waste Processing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'Chemische Industrie'!$DH$74</c:f>
              <c:strCache>
                <c:ptCount val="1"/>
                <c:pt idx="0">
                  <c:v>Chem. Recycling pyrolysis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Industrie'!$DK$74:$DQ$74</c:f>
              <c:numCache>
                <c:formatCode>General</c:formatCode>
                <c:ptCount val="7"/>
                <c:pt idx="0">
                  <c:v>0</c:v>
                </c:pt>
                <c:pt idx="1">
                  <c:v>3.9015104027535343E-5</c:v>
                </c:pt>
                <c:pt idx="2">
                  <c:v>6.2767004532664673E-8</c:v>
                </c:pt>
                <c:pt idx="3">
                  <c:v>1.439797631364495E-7</c:v>
                </c:pt>
                <c:pt idx="4">
                  <c:v>5509.0181937550187</c:v>
                </c:pt>
                <c:pt idx="5">
                  <c:v>6034.6684489567579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3-4303-AD88-2D844BE0A7CD}"/>
            </c:ext>
          </c:extLst>
        </c:ser>
        <c:ser>
          <c:idx val="0"/>
          <c:order val="1"/>
          <c:tx>
            <c:strRef>
              <c:f>'Chemische Industrie'!$DH$73</c:f>
              <c:strCache>
                <c:ptCount val="1"/>
                <c:pt idx="0">
                  <c:v>Mech. recycling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Industrie'!$DK$73:$DQ$73</c:f>
              <c:numCache>
                <c:formatCode>General</c:formatCode>
                <c:ptCount val="7"/>
                <c:pt idx="0">
                  <c:v>2870.081205646241</c:v>
                </c:pt>
                <c:pt idx="1">
                  <c:v>3048.527520349503</c:v>
                </c:pt>
                <c:pt idx="2">
                  <c:v>2821.4259137820059</c:v>
                </c:pt>
                <c:pt idx="3">
                  <c:v>3070.6423381021141</c:v>
                </c:pt>
                <c:pt idx="4">
                  <c:v>3329.9935027429701</c:v>
                </c:pt>
                <c:pt idx="5">
                  <c:v>3597.9233153634632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3-4303-AD88-2D844BE0A7CD}"/>
            </c:ext>
          </c:extLst>
        </c:ser>
        <c:ser>
          <c:idx val="1"/>
          <c:order val="2"/>
          <c:tx>
            <c:strRef>
              <c:f>'Chemische Industrie'!$DH$76</c:f>
              <c:strCache>
                <c:ptCount val="1"/>
                <c:pt idx="0">
                  <c:v>Energetic recovery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Industrie'!$DK$76:$DQ$76</c:f>
              <c:numCache>
                <c:formatCode>General</c:formatCode>
                <c:ptCount val="7"/>
                <c:pt idx="0">
                  <c:v>3239.98261635364</c:v>
                </c:pt>
                <c:pt idx="1">
                  <c:v>3676.7481986574721</c:v>
                </c:pt>
                <c:pt idx="2">
                  <c:v>4564.485533878611</c:v>
                </c:pt>
                <c:pt idx="3">
                  <c:v>4997.6089656558179</c:v>
                </c:pt>
                <c:pt idx="4">
                  <c:v>1.046702899760527E-4</c:v>
                </c:pt>
                <c:pt idx="5">
                  <c:v>1.1952981454124801E-5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A3-4303-AD88-2D844BE0A7CD}"/>
            </c:ext>
          </c:extLst>
        </c:ser>
        <c:ser>
          <c:idx val="2"/>
          <c:order val="3"/>
          <c:tx>
            <c:strRef>
              <c:f>'Chemische Industrie'!$DH$77</c:f>
              <c:strCache>
                <c:ptCount val="1"/>
                <c:pt idx="0">
                  <c:v>Landfill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Industrie'!$DK$77:$DQ$77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A3-4303-AD88-2D844BE0A7CD}"/>
            </c:ext>
          </c:extLst>
        </c:ser>
        <c:ser>
          <c:idx val="4"/>
          <c:order val="4"/>
          <c:tx>
            <c:strRef>
              <c:f>'Chemische Industrie'!$DH$75</c:f>
              <c:strCache>
                <c:ptCount val="1"/>
                <c:pt idx="0">
                  <c:v>Chem. Recycling gasification</c:v>
                </c:pt>
              </c:strCache>
            </c:strRef>
          </c:tx>
          <c:invertIfNegative val="0"/>
          <c:val>
            <c:numRef>
              <c:f>'Chemische Industrie'!$DK$75:$DQ$75</c:f>
              <c:numCache>
                <c:formatCode>General</c:formatCode>
                <c:ptCount val="7"/>
                <c:pt idx="0">
                  <c:v>0</c:v>
                </c:pt>
                <c:pt idx="1">
                  <c:v>8.6021702274444986E-5</c:v>
                </c:pt>
                <c:pt idx="2">
                  <c:v>1.6162105472798781E-7</c:v>
                </c:pt>
                <c:pt idx="3">
                  <c:v>2.5016255903149192E-7</c:v>
                </c:pt>
                <c:pt idx="4">
                  <c:v>2.2564063481096281E-5</c:v>
                </c:pt>
                <c:pt idx="5">
                  <c:v>8.7378964557927646E-6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56-49EF-9F88-89C6479C9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  <c:max val="15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  <c:majorUnit val="3000"/>
        <c:dispUnits>
          <c:builtInUnit val="thousands"/>
        </c:dispUnits>
      </c:valAx>
    </c:plotArea>
    <c:legend>
      <c:legendPos val="r"/>
      <c:layout>
        <c:manualLayout>
          <c:xMode val="edge"/>
          <c:yMode val="edge"/>
          <c:x val="0.68349044406864112"/>
          <c:y val="0.16254567640440595"/>
          <c:w val="0.31650955593135888"/>
          <c:h val="0.8209878568007820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Secondary Plastics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Industrie'!$DH$88</c:f>
              <c:strCache>
                <c:ptCount val="1"/>
                <c:pt idx="0">
                  <c:v>Mechanical recycling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Industrie'!$DK$88:$DQ$88</c:f>
              <c:numCache>
                <c:formatCode>General</c:formatCode>
                <c:ptCount val="7"/>
                <c:pt idx="0">
                  <c:v>2075.5604447907431</c:v>
                </c:pt>
                <c:pt idx="1">
                  <c:v>2205.9260568127311</c:v>
                </c:pt>
                <c:pt idx="2">
                  <c:v>2116.0690721853789</c:v>
                </c:pt>
                <c:pt idx="3">
                  <c:v>2302.981078079169</c:v>
                </c:pt>
                <c:pt idx="4">
                  <c:v>2497.4951164443569</c:v>
                </c:pt>
                <c:pt idx="5">
                  <c:v>2698.442479892969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F-4CEF-85DC-7E18C2A9A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  <c:max val="30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Plastics in Mt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  <c:dispUnits>
          <c:builtInUnit val="thousands"/>
        </c:dispUnits>
      </c:valAx>
    </c:plotArea>
    <c:legend>
      <c:legendPos val="r"/>
      <c:layout>
        <c:manualLayout>
          <c:xMode val="edge"/>
          <c:yMode val="edge"/>
          <c:x val="0.6838513488404393"/>
          <c:y val="0.24207495373465546"/>
          <c:w val="0.3161486511595607"/>
          <c:h val="0.5672515910328428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Secondary Naphtha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Industrie'!$DH$89</c:f>
              <c:strCache>
                <c:ptCount val="1"/>
                <c:pt idx="0">
                  <c:v>Chemical recycling pyrolisis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cat>
            <c:strRef>
              <c:f>'Chemische Industrie'!$DK$3:$DQ$3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Industrie'!$DK$89:$DQ$89</c:f>
              <c:numCache>
                <c:formatCode>General</c:formatCode>
                <c:ptCount val="7"/>
                <c:pt idx="0">
                  <c:v>0</c:v>
                </c:pt>
                <c:pt idx="1">
                  <c:v>1.9605579913334339E-5</c:v>
                </c:pt>
                <c:pt idx="2">
                  <c:v>3.1541208307871692E-8</c:v>
                </c:pt>
                <c:pt idx="3">
                  <c:v>7.2351639767060053E-8</c:v>
                </c:pt>
                <c:pt idx="4">
                  <c:v>2768.3508511331752</c:v>
                </c:pt>
                <c:pt idx="5">
                  <c:v>3032.4967080184711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3-4709-A599-F3542E49CD1D}"/>
            </c:ext>
          </c:extLst>
        </c:ser>
        <c:ser>
          <c:idx val="1"/>
          <c:order val="1"/>
          <c:tx>
            <c:strRef>
              <c:f>'Chemische Industrie'!$DH$90</c:f>
              <c:strCache>
                <c:ptCount val="1"/>
                <c:pt idx="0">
                  <c:v>Chemical recycling gasification</c:v>
                </c:pt>
              </c:strCache>
            </c:strRef>
          </c:tx>
          <c:invertIfNegative val="0"/>
          <c:val>
            <c:numRef>
              <c:f>'Chemische Industrie'!$DK$90:$DQ$90</c:f>
              <c:numCache>
                <c:formatCode>General</c:formatCode>
                <c:ptCount val="7"/>
                <c:pt idx="0">
                  <c:v>0</c:v>
                </c:pt>
                <c:pt idx="1">
                  <c:v>4.3226986067560289E-5</c:v>
                </c:pt>
                <c:pt idx="2">
                  <c:v>8.121661041607425E-8</c:v>
                </c:pt>
                <c:pt idx="3">
                  <c:v>1.257098286590411E-7</c:v>
                </c:pt>
                <c:pt idx="4">
                  <c:v>1.1338725367385059E-5</c:v>
                </c:pt>
                <c:pt idx="5">
                  <c:v>4.390902741604404E-6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2-4F6C-8891-E19C928CF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12224"/>
        <c:axId val="190035008"/>
        <c:extLst/>
      </c:barChart>
      <c:catAx>
        <c:axId val="189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035008"/>
        <c:crosses val="autoZero"/>
        <c:auto val="1"/>
        <c:lblAlgn val="ctr"/>
        <c:lblOffset val="100"/>
        <c:noMultiLvlLbl val="0"/>
      </c:catAx>
      <c:valAx>
        <c:axId val="190035008"/>
        <c:scaling>
          <c:orientation val="minMax"/>
          <c:max val="40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89812224"/>
        <c:crosses val="autoZero"/>
        <c:crossBetween val="between"/>
        <c:dispUnits>
          <c:builtInUnit val="thousands"/>
        </c:dispUnits>
      </c:valAx>
    </c:plotArea>
    <c:legend>
      <c:legendPos val="r"/>
      <c:layout>
        <c:manualLayout>
          <c:xMode val="edge"/>
          <c:yMode val="edge"/>
          <c:x val="0.6838513488404393"/>
          <c:y val="0.24207495373465546"/>
          <c:w val="0.28493395584812858"/>
          <c:h val="0.3135153252649037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naphtha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'Chemische Industrie'!$CU$41</c:f>
              <c:strCache>
                <c:ptCount val="1"/>
                <c:pt idx="0">
                  <c:v>Fischer Tropsch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'Chemische Industrie'!$CX$3:$DD$3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Industrie'!$CX$41:$DD$41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F-432D-A6FD-8BEFBA3F7DAE}"/>
            </c:ext>
          </c:extLst>
        </c:ser>
        <c:ser>
          <c:idx val="0"/>
          <c:order val="1"/>
          <c:tx>
            <c:strRef>
              <c:f>'Chemische Industrie'!$CU$42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'Chemische Industrie'!$CX$3:$DD$3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Industrie'!$CX$42:$DD$42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F-432D-A6FD-8BEFBA3F7DAE}"/>
            </c:ext>
          </c:extLst>
        </c:ser>
        <c:ser>
          <c:idx val="1"/>
          <c:order val="2"/>
          <c:tx>
            <c:strRef>
              <c:f>'Chemische Industrie'!$CU$43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'Chemische Industrie'!$CX$3:$DD$3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Industrie'!$CX$43:$DD$43</c:f>
              <c:numCache>
                <c:formatCode>General</c:formatCode>
                <c:ptCount val="7"/>
                <c:pt idx="0">
                  <c:v>7680.4540410129785</c:v>
                </c:pt>
                <c:pt idx="1">
                  <c:v>8484.3175630898313</c:v>
                </c:pt>
                <c:pt idx="2">
                  <c:v>8618.1355570126889</c:v>
                </c:pt>
                <c:pt idx="3">
                  <c:v>7588.9046437219031</c:v>
                </c:pt>
                <c:pt idx="4">
                  <c:v>2521.1445176905559</c:v>
                </c:pt>
                <c:pt idx="5">
                  <c:v>4.3085390199666562E-5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0-4A27-B321-29FE987DCE41}"/>
            </c:ext>
          </c:extLst>
        </c:ser>
        <c:ser>
          <c:idx val="2"/>
          <c:order val="3"/>
          <c:tx>
            <c:strRef>
              <c:f>'Chemische Industrie'!$CU$44</c:f>
              <c:strCache>
                <c:ptCount val="1"/>
                <c:pt idx="0">
                  <c:v>Pyrolysis oil</c:v>
                </c:pt>
              </c:strCache>
            </c:strRef>
          </c:tx>
          <c:invertIfNegative val="0"/>
          <c:val>
            <c:numRef>
              <c:f>'Chemische Industrie'!$CX$44:$DD$44</c:f>
              <c:numCache>
                <c:formatCode>General</c:formatCode>
                <c:ptCount val="7"/>
                <c:pt idx="0">
                  <c:v>0</c:v>
                </c:pt>
                <c:pt idx="1">
                  <c:v>1.9605579913334339E-5</c:v>
                </c:pt>
                <c:pt idx="2">
                  <c:v>3.1541208307871692E-8</c:v>
                </c:pt>
                <c:pt idx="3">
                  <c:v>7.2351639767060053E-8</c:v>
                </c:pt>
                <c:pt idx="4">
                  <c:v>2768.3508511331752</c:v>
                </c:pt>
                <c:pt idx="5">
                  <c:v>3032.4967080184711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E-4603-91A2-B3BC1C321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Production</a:t>
                </a:r>
                <a:r>
                  <a:rPr lang="de-DE" baseline="0"/>
                  <a:t> in Mt/a</a:t>
                </a:r>
              </a:p>
            </c:rich>
          </c:tx>
          <c:layout>
            <c:manualLayout>
              <c:xMode val="edge"/>
              <c:yMode val="edge"/>
              <c:x val="2.1991727656864472E-2"/>
              <c:y val="0.18926797491108593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400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methanol to olefines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Industrie'!$O$7</c:f>
              <c:strCache>
                <c:ptCount val="1"/>
                <c:pt idx="0">
                  <c:v>fos Methanol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'Chemische Industrie'!$R$3:$X$3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Industrie'!$R$7:$X$7</c:f>
              <c:numCache>
                <c:formatCode>General</c:formatCode>
                <c:ptCount val="7"/>
                <c:pt idx="0">
                  <c:v>0</c:v>
                </c:pt>
                <c:pt idx="1">
                  <c:v>9.7017671056337976E-5</c:v>
                </c:pt>
                <c:pt idx="2">
                  <c:v>1271.51685045465</c:v>
                </c:pt>
                <c:pt idx="3">
                  <c:v>4763.2253931423338</c:v>
                </c:pt>
                <c:pt idx="4">
                  <c:v>10624.770712718089</c:v>
                </c:pt>
                <c:pt idx="5">
                  <c:v>4.1695675906666973E-5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B9-49F4-B0AB-A84CBA017433}"/>
            </c:ext>
          </c:extLst>
        </c:ser>
        <c:ser>
          <c:idx val="1"/>
          <c:order val="2"/>
          <c:tx>
            <c:strRef>
              <c:f>'Chemische Industrie'!$O$8</c:f>
              <c:strCache>
                <c:ptCount val="1"/>
                <c:pt idx="0">
                  <c:v>green Methanol</c:v>
                </c:pt>
              </c:strCache>
            </c:strRef>
          </c:tx>
          <c:invertIfNegative val="0"/>
          <c:val>
            <c:numRef>
              <c:f>'Chemische Industrie'!$R$8:$X$8</c:f>
              <c:numCache>
                <c:formatCode>General</c:formatCode>
                <c:ptCount val="7"/>
                <c:pt idx="0">
                  <c:v>0</c:v>
                </c:pt>
                <c:pt idx="1">
                  <c:v>9.7052605465985161E-5</c:v>
                </c:pt>
                <c:pt idx="2">
                  <c:v>2.522316112729267E-3</c:v>
                </c:pt>
                <c:pt idx="3">
                  <c:v>2.6878841175401449E-3</c:v>
                </c:pt>
                <c:pt idx="4">
                  <c:v>1.8813102387927409E-4</c:v>
                </c:pt>
                <c:pt idx="5">
                  <c:v>16453.941000399329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58-4BE4-B7DD-FB25DE734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</c:barChart>
      <c:lineChart>
        <c:grouping val="standard"/>
        <c:varyColors val="0"/>
        <c:ser>
          <c:idx val="6"/>
          <c:order val="1"/>
          <c:tx>
            <c:strRef>
              <c:f>'Chemische Industrie'!$O$10</c:f>
              <c:strCache>
                <c:ptCount val="1"/>
                <c:pt idx="0">
                  <c:v>Electricity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none"/>
          </c:marker>
          <c:cat>
            <c:strRef>
              <c:f>'Chemische Industrie'!$R$3:$X$3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Industrie'!$R$10:$X$10</c:f>
              <c:numCache>
                <c:formatCode>General</c:formatCode>
                <c:ptCount val="7"/>
                <c:pt idx="0">
                  <c:v>0</c:v>
                </c:pt>
                <c:pt idx="1">
                  <c:v>1.152538620010497E-4</c:v>
                </c:pt>
                <c:pt idx="2">
                  <c:v>755.12603447194886</c:v>
                </c:pt>
                <c:pt idx="3">
                  <c:v>2828.7713181294471</c:v>
                </c:pt>
                <c:pt idx="4">
                  <c:v>6309.8064327091524</c:v>
                </c:pt>
                <c:pt idx="5">
                  <c:v>9771.6161599888146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B9-49F4-B0AB-A84CBA017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7822512"/>
        <c:axId val="1687822928"/>
      </c:line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Methanol demand </a:t>
                </a:r>
                <a:r>
                  <a:rPr lang="de-DE" baseline="0"/>
                  <a:t>in kt/a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90918144"/>
        <c:crosses val="autoZero"/>
        <c:crossBetween val="between"/>
      </c:valAx>
      <c:valAx>
        <c:axId val="16878229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demand </a:t>
                </a:r>
              </a:p>
              <a:p>
                <a:pPr>
                  <a:defRPr/>
                </a:pPr>
                <a:r>
                  <a:rPr lang="en-US"/>
                  <a:t>in GWh/a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822512"/>
        <c:crosses val="max"/>
        <c:crossBetween val="between"/>
      </c:valAx>
      <c:catAx>
        <c:axId val="1687822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8782292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CO2 Supply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74498344021964"/>
          <c:y val="0.11220142404766399"/>
          <c:w val="0.85335931030807444"/>
          <c:h val="0.457442199801547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'Chemische Industrie'!$AB$4</c:f>
              <c:strCache>
                <c:ptCount val="1"/>
                <c:pt idx="0">
                  <c:v>DAC High temp.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Industrie'!$AD$4:$AJ$4</c:f>
              <c:numCache>
                <c:formatCode>General</c:formatCode>
                <c:ptCount val="7"/>
                <c:pt idx="0">
                  <c:v>0</c:v>
                </c:pt>
                <c:pt idx="1">
                  <c:v>0.45402827472163038</c:v>
                </c:pt>
                <c:pt idx="2">
                  <c:v>5.9662754572531364E-4</c:v>
                </c:pt>
                <c:pt idx="3">
                  <c:v>3.0446481449042877E-4</c:v>
                </c:pt>
                <c:pt idx="4">
                  <c:v>3.926294830564441E-5</c:v>
                </c:pt>
                <c:pt idx="5">
                  <c:v>5.9737347279154917E-5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8-4E4D-B334-95FE0D3F077C}"/>
            </c:ext>
          </c:extLst>
        </c:ser>
        <c:ser>
          <c:idx val="1"/>
          <c:order val="1"/>
          <c:tx>
            <c:strRef>
              <c:f>'Chemische Industrie'!$AB$6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Industrie'!$AD$6:$AJ$6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48-4E4D-B334-95FE0D3F077C}"/>
            </c:ext>
          </c:extLst>
        </c:ser>
        <c:ser>
          <c:idx val="2"/>
          <c:order val="2"/>
          <c:tx>
            <c:strRef>
              <c:f>'Chemische Industrie'!$AB$8</c:f>
              <c:strCache>
                <c:ptCount val="1"/>
                <c:pt idx="0">
                  <c:v>Cement CCS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Industrie'!$AD$8:$AJ$8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48-4E4D-B334-95FE0D3F077C}"/>
            </c:ext>
          </c:extLst>
        </c:ser>
        <c:ser>
          <c:idx val="4"/>
          <c:order val="4"/>
          <c:tx>
            <c:strRef>
              <c:f>'Chemische Industrie'!$AB$10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Industrie'!$AD$10:$AJ$10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48-4E4D-B334-95FE0D3F077C}"/>
            </c:ext>
          </c:extLst>
        </c:ser>
        <c:ser>
          <c:idx val="5"/>
          <c:order val="5"/>
          <c:tx>
            <c:strRef>
              <c:f>'Chemische Industrie'!$AB$11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Industrie'!$AD$11:$AJ$11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48-4E4D-B334-95FE0D3F077C}"/>
            </c:ext>
          </c:extLst>
        </c:ser>
        <c:ser>
          <c:idx val="6"/>
          <c:order val="6"/>
          <c:tx>
            <c:strRef>
              <c:f>'Chemische Industrie'!$AB$16</c:f>
              <c:strCache>
                <c:ptCount val="1"/>
                <c:pt idx="0">
                  <c:v>Lignite CCS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Industrie'!$AD$16:$AJ$16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48-4E4D-B334-95FE0D3F077C}"/>
            </c:ext>
          </c:extLst>
        </c:ser>
        <c:ser>
          <c:idx val="7"/>
          <c:order val="7"/>
          <c:tx>
            <c:strRef>
              <c:f>'Chemische Industrie'!$AB$17</c:f>
              <c:strCache>
                <c:ptCount val="1"/>
                <c:pt idx="0">
                  <c:v>Watergas-Shift</c:v>
                </c:pt>
              </c:strCache>
            </c:strRef>
          </c:tx>
          <c:spPr>
            <a:pattFill prst="dkUpDiag">
              <a:fgClr>
                <a:schemeClr val="accent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Industrie'!$AD$17:$AJ$17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48-4E4D-B334-95FE0D3F077C}"/>
            </c:ext>
          </c:extLst>
        </c:ser>
        <c:ser>
          <c:idx val="8"/>
          <c:order val="8"/>
          <c:tx>
            <c:strRef>
              <c:f>'Chemische Industrie'!$AB$26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Industrie'!$AD$26:$AJ$26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48-4E4D-B334-95FE0D3F077C}"/>
            </c:ext>
          </c:extLst>
        </c:ser>
        <c:ser>
          <c:idx val="9"/>
          <c:order val="9"/>
          <c:tx>
            <c:strRef>
              <c:f>'Chemische Industrie'!$AA$27</c:f>
              <c:strCache>
                <c:ptCount val="1"/>
                <c:pt idx="0">
                  <c:v>Steamcracker CCS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Industrie'!$AD$27:$AJ$27</c:f>
              <c:numCache>
                <c:formatCode>General</c:formatCode>
                <c:ptCount val="7"/>
                <c:pt idx="0">
                  <c:v>0</c:v>
                </c:pt>
                <c:pt idx="1">
                  <c:v>2.761468191059111</c:v>
                </c:pt>
                <c:pt idx="2">
                  <c:v>1.021425529434903E-2</c:v>
                </c:pt>
                <c:pt idx="3">
                  <c:v>5.0318410176033706E-3</c:v>
                </c:pt>
                <c:pt idx="4">
                  <c:v>5082.7744346468216</c:v>
                </c:pt>
                <c:pt idx="5">
                  <c:v>160.54177865612129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C-48DA-BD78-772C54285E80}"/>
            </c:ext>
          </c:extLst>
        </c:ser>
        <c:ser>
          <c:idx val="10"/>
          <c:order val="10"/>
          <c:tx>
            <c:strRef>
              <c:f>'Chemische Industrie'!$AB$5</c:f>
              <c:strCache>
                <c:ptCount val="1"/>
                <c:pt idx="0">
                  <c:v>DAC Low temp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Industrie'!$AD$5:$AJ$5</c:f>
              <c:numCache>
                <c:formatCode>General</c:formatCode>
                <c:ptCount val="7"/>
                <c:pt idx="0">
                  <c:v>0</c:v>
                </c:pt>
                <c:pt idx="1">
                  <c:v>1.680211801887217</c:v>
                </c:pt>
                <c:pt idx="2">
                  <c:v>8.2690940019380984E-3</c:v>
                </c:pt>
                <c:pt idx="3">
                  <c:v>2.50307291229579E-3</c:v>
                </c:pt>
                <c:pt idx="4">
                  <c:v>12208.085236479101</c:v>
                </c:pt>
                <c:pt idx="5">
                  <c:v>85370.605624690914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0-46DD-9489-742C1F05B339}"/>
            </c:ext>
          </c:extLst>
        </c:ser>
        <c:ser>
          <c:idx val="11"/>
          <c:order val="11"/>
          <c:tx>
            <c:strRef>
              <c:f>'Chemische Industrie'!$AB$18</c:f>
              <c:strCache>
                <c:ptCount val="1"/>
                <c:pt idx="0">
                  <c:v>Methanol conventional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Industrie'!$AD$18:$AJ$18</c:f>
              <c:numCache>
                <c:formatCode>General</c:formatCode>
                <c:ptCount val="7"/>
                <c:pt idx="0">
                  <c:v>0</c:v>
                </c:pt>
                <c:pt idx="1">
                  <c:v>4.8586032273485156</c:v>
                </c:pt>
                <c:pt idx="2">
                  <c:v>6.1889499781124679E-2</c:v>
                </c:pt>
                <c:pt idx="3">
                  <c:v>51.440131175879998</c:v>
                </c:pt>
                <c:pt idx="4">
                  <c:v>4741.5621667233227</c:v>
                </c:pt>
                <c:pt idx="5">
                  <c:v>608.08800036582159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80-46DD-9489-742C1F05B339}"/>
            </c:ext>
          </c:extLst>
        </c:ser>
        <c:ser>
          <c:idx val="12"/>
          <c:order val="12"/>
          <c:tx>
            <c:strRef>
              <c:f>'Chemische Industrie'!$AB$21</c:f>
              <c:strCache>
                <c:ptCount val="1"/>
                <c:pt idx="0">
                  <c:v>Methanol gasification CCS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Industrie'!$AD$21:$AJ$21</c:f>
              <c:numCache>
                <c:formatCode>General</c:formatCode>
                <c:ptCount val="7"/>
                <c:pt idx="0">
                  <c:v>0</c:v>
                </c:pt>
                <c:pt idx="1">
                  <c:v>4.8277574227343996</c:v>
                </c:pt>
                <c:pt idx="2">
                  <c:v>4.155900925756688E-3</c:v>
                </c:pt>
                <c:pt idx="3">
                  <c:v>1.392860698324422E-3</c:v>
                </c:pt>
                <c:pt idx="4">
                  <c:v>5.1314959235938145E-4</c:v>
                </c:pt>
                <c:pt idx="5">
                  <c:v>2.343762642012608E-5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80-46DD-9489-742C1F05B339}"/>
            </c:ext>
          </c:extLst>
        </c:ser>
        <c:ser>
          <c:idx val="13"/>
          <c:order val="13"/>
          <c:tx>
            <c:strRef>
              <c:f>'Chemische Industrie'!$AB$22</c:f>
              <c:strCache>
                <c:ptCount val="1"/>
                <c:pt idx="0">
                  <c:v>Ammonia CCS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Industrie'!$AD$22:$AJ$22</c:f>
              <c:numCache>
                <c:formatCode>General</c:formatCode>
                <c:ptCount val="7"/>
                <c:pt idx="0">
                  <c:v>0</c:v>
                </c:pt>
                <c:pt idx="1">
                  <c:v>4.8899837428408448</c:v>
                </c:pt>
                <c:pt idx="2">
                  <c:v>6.1232963348838182E-2</c:v>
                </c:pt>
                <c:pt idx="3">
                  <c:v>74.818707813175592</c:v>
                </c:pt>
                <c:pt idx="4">
                  <c:v>929.3104058434559</c:v>
                </c:pt>
                <c:pt idx="5">
                  <c:v>239.64376225883879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80-46DD-9489-742C1F05B339}"/>
            </c:ext>
          </c:extLst>
        </c:ser>
        <c:ser>
          <c:idx val="14"/>
          <c:order val="14"/>
          <c:tx>
            <c:strRef>
              <c:f>'Chemische Industrie'!$AB$23</c:f>
              <c:strCache>
                <c:ptCount val="1"/>
                <c:pt idx="0">
                  <c:v>Steel production CCS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Industrie'!$AD$23:$AJ$23</c:f>
              <c:numCache>
                <c:formatCode>General</c:formatCode>
                <c:ptCount val="7"/>
                <c:pt idx="0">
                  <c:v>0</c:v>
                </c:pt>
                <c:pt idx="1">
                  <c:v>3.031905815782276</c:v>
                </c:pt>
                <c:pt idx="2">
                  <c:v>1.4914821732865329E-2</c:v>
                </c:pt>
                <c:pt idx="3">
                  <c:v>1.010049086545833E-2</c:v>
                </c:pt>
                <c:pt idx="4">
                  <c:v>14303.82268398787</c:v>
                </c:pt>
                <c:pt idx="5">
                  <c:v>0.39006263696111398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80-46DD-9489-742C1F05B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28384"/>
        <c:axId val="1386923392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'Chemische Industrie'!$AB$9</c15:sqref>
                        </c15:formulaRef>
                      </c:ext>
                    </c:extLst>
                    <c:strCache>
                      <c:ptCount val="1"/>
                      <c:pt idx="0">
                        <c:v>CO2 Storage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'Chemische Industrie'!$AD$9:$AJ$9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848-4E4D-B334-95FE0D3F077C}"/>
                  </c:ext>
                </c:extLst>
              </c15:ser>
            </c15:filteredBarSeries>
          </c:ext>
        </c:extLst>
      </c:barChart>
      <c:catAx>
        <c:axId val="138692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3392"/>
        <c:crosses val="autoZero"/>
        <c:auto val="1"/>
        <c:lblAlgn val="ctr"/>
        <c:lblOffset val="100"/>
        <c:noMultiLvlLbl val="0"/>
      </c:catAx>
      <c:valAx>
        <c:axId val="13869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CO2 in 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838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163192625020728"/>
          <c:y val="0.67628798389419975"/>
          <c:w val="0.81231897250640928"/>
          <c:h val="0.30268573490991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CO2 Bereitstellung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66665540198033"/>
          <c:y val="0.1394346638258892"/>
          <c:w val="0.85344922442634585"/>
          <c:h val="0.328425139124441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'Chemische Industrie'!$AA$4</c:f>
              <c:strCache>
                <c:ptCount val="1"/>
                <c:pt idx="0">
                  <c:v>DAC Hochtemperatur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Industrie'!$AD$4:$AJ$4</c:f>
              <c:numCache>
                <c:formatCode>General</c:formatCode>
                <c:ptCount val="7"/>
                <c:pt idx="0">
                  <c:v>0</c:v>
                </c:pt>
                <c:pt idx="1">
                  <c:v>0.45402827472163038</c:v>
                </c:pt>
                <c:pt idx="2">
                  <c:v>5.9662754572531364E-4</c:v>
                </c:pt>
                <c:pt idx="3">
                  <c:v>3.0446481449042877E-4</c:v>
                </c:pt>
                <c:pt idx="4">
                  <c:v>3.926294830564441E-5</c:v>
                </c:pt>
                <c:pt idx="5">
                  <c:v>5.9737347279154917E-5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8-45EE-A067-C6D4E66E54DC}"/>
            </c:ext>
          </c:extLst>
        </c:ser>
        <c:ser>
          <c:idx val="10"/>
          <c:order val="1"/>
          <c:tx>
            <c:strRef>
              <c:f>'Chemische Industrie'!$AA$5</c:f>
              <c:strCache>
                <c:ptCount val="1"/>
                <c:pt idx="0">
                  <c:v>DAC Niedertemperatur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'Chemische Industrie'!$AD$5:$AJ$5</c:f>
              <c:numCache>
                <c:formatCode>General</c:formatCode>
                <c:ptCount val="7"/>
                <c:pt idx="0">
                  <c:v>0</c:v>
                </c:pt>
                <c:pt idx="1">
                  <c:v>1.680211801887217</c:v>
                </c:pt>
                <c:pt idx="2">
                  <c:v>8.2690940019380984E-3</c:v>
                </c:pt>
                <c:pt idx="3">
                  <c:v>2.50307291229579E-3</c:v>
                </c:pt>
                <c:pt idx="4">
                  <c:v>12208.085236479101</c:v>
                </c:pt>
                <c:pt idx="5">
                  <c:v>85370.605624690914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E-4890-8EA1-6DFF4DBF6233}"/>
            </c:ext>
          </c:extLst>
        </c:ser>
        <c:ser>
          <c:idx val="5"/>
          <c:order val="5"/>
          <c:tx>
            <c:strRef>
              <c:f>'Chemische Industrie'!$AA$13</c:f>
              <c:strCache>
                <c:ptCount val="1"/>
                <c:pt idx="0">
                  <c:v>Erdgas CCS-KW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Industrie'!$AD$13:$AJ$13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88-45EE-A067-C6D4E66E54DC}"/>
            </c:ext>
          </c:extLst>
        </c:ser>
        <c:ser>
          <c:idx val="15"/>
          <c:order val="6"/>
          <c:tx>
            <c:strRef>
              <c:f>'Chemische Industrie'!$AA$12</c:f>
              <c:strCache>
                <c:ptCount val="1"/>
                <c:pt idx="0">
                  <c:v>Biomethan CCS-KW</c:v>
                </c:pt>
              </c:strCache>
            </c:strRef>
          </c:tx>
          <c:spPr>
            <a:pattFill prst="wdUpDiag">
              <a:fgClr>
                <a:srgbClr val="FFC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'Chemische Industrie'!$AD$12:$AJ$12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9C-4C06-A591-C91C68A1DA88}"/>
            </c:ext>
          </c:extLst>
        </c:ser>
        <c:ser>
          <c:idx val="2"/>
          <c:order val="7"/>
          <c:tx>
            <c:strRef>
              <c:f>'Chemische Industrie'!$AA$8</c:f>
              <c:strCache>
                <c:ptCount val="1"/>
                <c:pt idx="0">
                  <c:v>Zement CCS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Industrie'!$AD$8:$AJ$8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8-45EE-A067-C6D4E66E54DC}"/>
            </c:ext>
          </c:extLst>
        </c:ser>
        <c:ser>
          <c:idx val="14"/>
          <c:order val="11"/>
          <c:tx>
            <c:strRef>
              <c:f>'Chemische Industrie'!$AA$23</c:f>
              <c:strCache>
                <c:ptCount val="1"/>
                <c:pt idx="0">
                  <c:v>Stahlproduktion CCS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'Chemische Industrie'!$AD$23:$AJ$23</c:f>
              <c:numCache>
                <c:formatCode>General</c:formatCode>
                <c:ptCount val="7"/>
                <c:pt idx="0">
                  <c:v>0</c:v>
                </c:pt>
                <c:pt idx="1">
                  <c:v>3.031905815782276</c:v>
                </c:pt>
                <c:pt idx="2">
                  <c:v>1.4914821732865329E-2</c:v>
                </c:pt>
                <c:pt idx="3">
                  <c:v>1.010049086545833E-2</c:v>
                </c:pt>
                <c:pt idx="4">
                  <c:v>14303.82268398787</c:v>
                </c:pt>
                <c:pt idx="5">
                  <c:v>0.39006263696111398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CE-4890-8EA1-6DFF4DBF6233}"/>
            </c:ext>
          </c:extLst>
        </c:ser>
        <c:ser>
          <c:idx val="11"/>
          <c:order val="12"/>
          <c:tx>
            <c:strRef>
              <c:f>'Chemische Industrie'!$AA$18</c:f>
              <c:strCache>
                <c:ptCount val="1"/>
                <c:pt idx="0">
                  <c:v>Methanol konventionell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Industrie'!$AD$18:$AJ$18</c:f>
              <c:numCache>
                <c:formatCode>General</c:formatCode>
                <c:ptCount val="7"/>
                <c:pt idx="0">
                  <c:v>0</c:v>
                </c:pt>
                <c:pt idx="1">
                  <c:v>4.8586032273485156</c:v>
                </c:pt>
                <c:pt idx="2">
                  <c:v>6.1889499781124679E-2</c:v>
                </c:pt>
                <c:pt idx="3">
                  <c:v>51.440131175879998</c:v>
                </c:pt>
                <c:pt idx="4">
                  <c:v>4741.5621667233227</c:v>
                </c:pt>
                <c:pt idx="5">
                  <c:v>608.08800036582159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E-4890-8EA1-6DFF4DBF6233}"/>
            </c:ext>
          </c:extLst>
        </c:ser>
        <c:ser>
          <c:idx val="12"/>
          <c:order val="13"/>
          <c:tx>
            <c:strRef>
              <c:f>'Chemische Industrie'!$AA$21</c:f>
              <c:strCache>
                <c:ptCount val="1"/>
                <c:pt idx="0">
                  <c:v>Methanol Gasifizierung CCS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Industrie'!$AD$21:$AJ$21</c:f>
              <c:numCache>
                <c:formatCode>General</c:formatCode>
                <c:ptCount val="7"/>
                <c:pt idx="0">
                  <c:v>0</c:v>
                </c:pt>
                <c:pt idx="1">
                  <c:v>4.8277574227343996</c:v>
                </c:pt>
                <c:pt idx="2">
                  <c:v>4.155900925756688E-3</c:v>
                </c:pt>
                <c:pt idx="3">
                  <c:v>1.392860698324422E-3</c:v>
                </c:pt>
                <c:pt idx="4">
                  <c:v>5.1314959235938145E-4</c:v>
                </c:pt>
                <c:pt idx="5">
                  <c:v>2.343762642012608E-5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CE-4890-8EA1-6DFF4DBF6233}"/>
            </c:ext>
          </c:extLst>
        </c:ser>
        <c:ser>
          <c:idx val="9"/>
          <c:order val="14"/>
          <c:tx>
            <c:strRef>
              <c:f>'Chemische Industrie'!$AA$27</c:f>
              <c:strCache>
                <c:ptCount val="1"/>
                <c:pt idx="0">
                  <c:v>Steamcracker CCS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Industrie'!$AD$27:$AJ$27</c:f>
              <c:numCache>
                <c:formatCode>General</c:formatCode>
                <c:ptCount val="7"/>
                <c:pt idx="0">
                  <c:v>0</c:v>
                </c:pt>
                <c:pt idx="1">
                  <c:v>2.761468191059111</c:v>
                </c:pt>
                <c:pt idx="2">
                  <c:v>1.021425529434903E-2</c:v>
                </c:pt>
                <c:pt idx="3">
                  <c:v>5.0318410176033706E-3</c:v>
                </c:pt>
                <c:pt idx="4">
                  <c:v>5082.7744346468216</c:v>
                </c:pt>
                <c:pt idx="5">
                  <c:v>160.54177865612129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5A-419D-90A2-1AF37D82C337}"/>
            </c:ext>
          </c:extLst>
        </c:ser>
        <c:ser>
          <c:idx val="13"/>
          <c:order val="15"/>
          <c:tx>
            <c:strRef>
              <c:f>'Chemische Industrie'!$AA$22</c:f>
              <c:strCache>
                <c:ptCount val="1"/>
                <c:pt idx="0">
                  <c:v>Ammoniaksynthese CCS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Industrie'!$AD$22:$AJ$22</c:f>
              <c:numCache>
                <c:formatCode>General</c:formatCode>
                <c:ptCount val="7"/>
                <c:pt idx="0">
                  <c:v>0</c:v>
                </c:pt>
                <c:pt idx="1">
                  <c:v>4.8899837428408448</c:v>
                </c:pt>
                <c:pt idx="2">
                  <c:v>6.1232963348838182E-2</c:v>
                </c:pt>
                <c:pt idx="3">
                  <c:v>74.818707813175592</c:v>
                </c:pt>
                <c:pt idx="4">
                  <c:v>929.3104058434559</c:v>
                </c:pt>
                <c:pt idx="5">
                  <c:v>239.64376225883879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CE-4890-8EA1-6DFF4DBF6233}"/>
            </c:ext>
          </c:extLst>
        </c:ser>
        <c:ser>
          <c:idx val="16"/>
          <c:order val="16"/>
          <c:tx>
            <c:strRef>
              <c:f>'Chemische Industrie'!$AA$14</c:f>
              <c:strCache>
                <c:ptCount val="1"/>
                <c:pt idx="0">
                  <c:v>Reformierung CCS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Industrie'!$AD$14:$AJ$14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47B5-AF2A-FA48DC4D95D3}"/>
            </c:ext>
          </c:extLst>
        </c:ser>
        <c:ser>
          <c:idx val="17"/>
          <c:order val="17"/>
          <c:tx>
            <c:strRef>
              <c:f>'Chemische Industrie'!$AA$15</c:f>
              <c:strCache>
                <c:ptCount val="1"/>
                <c:pt idx="0">
                  <c:v>Gaswechselreformierung CCS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Industrie'!$AD$15:$AJ$15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47B5-AF2A-FA48DC4D9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28384"/>
        <c:axId val="1386923392"/>
        <c:extLst>
          <c:ext xmlns:c15="http://schemas.microsoft.com/office/drawing/2012/chart" uri="{02D57815-91ED-43cb-92C2-25804820EDAC}">
            <c15:filteredBarSeries>
              <c15:ser>
                <c:idx val="1"/>
                <c:order val="2"/>
                <c:tx>
                  <c:strRef>
                    <c:extLst>
                      <c:ext uri="{02D57815-91ED-43cb-92C2-25804820EDAC}">
                        <c15:formulaRef>
                          <c15:sqref>'Chemische Industrie'!$AA$6</c15:sqref>
                        </c15:formulaRef>
                      </c:ext>
                    </c:extLst>
                    <c:strCache>
                      <c:ptCount val="1"/>
                      <c:pt idx="0">
                        <c:v>Biogas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'Chemische Industrie'!$AD$6:$AJ$6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488-45EE-A067-C6D4E66E54D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Industrie'!$AA$9</c15:sqref>
                        </c15:formulaRef>
                      </c:ext>
                    </c:extLst>
                    <c:strCache>
                      <c:ptCount val="1"/>
                      <c:pt idx="0">
                        <c:v>CO2 Speicher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Industrie'!$AD$9:$AJ$9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488-45EE-A067-C6D4E66E54D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Industrie'!$AA$10</c15:sqref>
                        </c15:formulaRef>
                      </c:ext>
                    </c:extLst>
                    <c:strCache>
                      <c:ptCount val="1"/>
                      <c:pt idx="0">
                        <c:v>Steinkohle CCS</c:v>
                      </c:pt>
                    </c:strCache>
                  </c:strRef>
                </c:tx>
                <c:spPr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Industrie'!$AD$10:$AJ$10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88-45EE-A067-C6D4E66E54DC}"/>
                  </c:ext>
                </c:extLst>
              </c15:ser>
            </c15:filteredBarSeries>
            <c15:filteredBarSeries>
              <c15:ser>
                <c:idx val="6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Industrie'!$AA$16</c15:sqref>
                        </c15:formulaRef>
                      </c:ext>
                    </c:extLst>
                    <c:strCache>
                      <c:ptCount val="1"/>
                      <c:pt idx="0">
                        <c:v>Braunkohle CCS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Industrie'!$AD$16:$AJ$16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488-45EE-A067-C6D4E66E54DC}"/>
                  </c:ext>
                </c:extLst>
              </c15:ser>
            </c15:filteredBarSeries>
            <c15:filteredBarSeries>
              <c15:ser>
                <c:idx val="7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Industrie'!$AA$17</c15:sqref>
                        </c15:formulaRef>
                      </c:ext>
                    </c:extLst>
                    <c:strCache>
                      <c:ptCount val="1"/>
                      <c:pt idx="0">
                        <c:v>Wassergas-Shift</c:v>
                      </c:pt>
                    </c:strCache>
                  </c:strRef>
                </c:tx>
                <c:spPr>
                  <a:pattFill prst="dkUpDiag">
                    <a:fgClr>
                      <a:schemeClr val="accent1"/>
                    </a:fgClr>
                    <a:bgClr>
                      <a:schemeClr val="bg1"/>
                    </a:bgClr>
                  </a:patt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Industrie'!$AD$17:$AJ$17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488-45EE-A067-C6D4E66E54DC}"/>
                  </c:ext>
                </c:extLst>
              </c15:ser>
            </c15:filteredBarSeries>
            <c15:filteredBa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Industrie'!$AA$26</c15:sqref>
                        </c15:formulaRef>
                      </c:ext>
                    </c:extLst>
                    <c:strCache>
                      <c:ptCount val="1"/>
                      <c:pt idx="0">
                        <c:v>Biomasse CCS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Industrie'!$AD$26:$AJ$26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488-45EE-A067-C6D4E66E54DC}"/>
                  </c:ext>
                </c:extLst>
              </c15:ser>
            </c15:filteredBarSeries>
          </c:ext>
        </c:extLst>
      </c:barChart>
      <c:catAx>
        <c:axId val="138692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3392"/>
        <c:crosses val="autoZero"/>
        <c:auto val="1"/>
        <c:lblAlgn val="ctr"/>
        <c:lblOffset val="100"/>
        <c:noMultiLvlLbl val="0"/>
      </c:catAx>
      <c:valAx>
        <c:axId val="13869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CO2 in 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838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446716907167721E-2"/>
          <c:y val="0.62406427258976571"/>
          <c:w val="0.95570106288843804"/>
          <c:h val="0.37593564855139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CO2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Industrie'!$AB$58</c:f>
              <c:strCache>
                <c:ptCount val="1"/>
                <c:pt idx="0">
                  <c:v>Sabatier Process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Industrie'!$AD$58:$AJ$58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1-4CAE-90FD-516F02DF8DB7}"/>
            </c:ext>
          </c:extLst>
        </c:ser>
        <c:ser>
          <c:idx val="1"/>
          <c:order val="1"/>
          <c:tx>
            <c:strRef>
              <c:f>'Chemische Industrie'!$AB$59</c:f>
              <c:strCache>
                <c:ptCount val="1"/>
                <c:pt idx="0">
                  <c:v>Fischer-Tropsch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Industrie'!$AD$59:$AJ$59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1-4CAE-90FD-516F02DF8DB7}"/>
            </c:ext>
          </c:extLst>
        </c:ser>
        <c:ser>
          <c:idx val="6"/>
          <c:order val="6"/>
          <c:tx>
            <c:strRef>
              <c:f>'Chemische Industrie'!$AB$66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Industrie'!$AD$66:$AJ$66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51-4CAE-90FD-516F02DF8DB7}"/>
            </c:ext>
          </c:extLst>
        </c:ser>
        <c:ser>
          <c:idx val="7"/>
          <c:order val="7"/>
          <c:tx>
            <c:strRef>
              <c:f>'Chemische Industrie'!$AB$67</c:f>
              <c:strCache>
                <c:ptCount val="1"/>
                <c:pt idx="0">
                  <c:v>Methanol</c:v>
                </c:pt>
              </c:strCache>
            </c:strRef>
          </c:tx>
          <c:spPr>
            <a:pattFill prst="dkUpDiag">
              <a:fgClr>
                <a:schemeClr val="accent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Industrie'!$AD$67:$AJ$67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51-4CAE-90FD-516F02DF8DB7}"/>
            </c:ext>
          </c:extLst>
        </c:ser>
        <c:ser>
          <c:idx val="8"/>
          <c:order val="8"/>
          <c:tx>
            <c:strRef>
              <c:f>'Chemische Industrie'!$AB$60</c:f>
              <c:strCache>
                <c:ptCount val="1"/>
                <c:pt idx="0">
                  <c:v>Onshore CO2 Storage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Industrie'!$AD$60:$AJ$60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D0-48C3-A31C-FA6F10150FEE}"/>
            </c:ext>
          </c:extLst>
        </c:ser>
        <c:ser>
          <c:idx val="9"/>
          <c:order val="9"/>
          <c:tx>
            <c:strRef>
              <c:f>'Chemische Industrie'!$AB$61</c:f>
              <c:strCache>
                <c:ptCount val="1"/>
                <c:pt idx="0">
                  <c:v>Offshore CO2 Storage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'Chemische Industrie'!$AD$61:$AJ$61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D0-48C3-A31C-FA6F10150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28384"/>
        <c:axId val="1386923392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'Chemische Industrie'!$AB$62</c15:sqref>
                        </c15:formulaRef>
                      </c:ext>
                    </c:extLst>
                    <c:strCache>
                      <c:ptCount val="1"/>
                      <c:pt idx="0">
                        <c:v>CO2 Storage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'Chemische Industrie'!$AD$62:$AJ$62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3A51-4CAE-90FD-516F02DF8DB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Industrie'!$AB$63</c15:sqref>
                        </c15:formulaRef>
                      </c:ext>
                    </c:extLst>
                    <c:strCache>
                      <c:ptCount val="1"/>
                      <c:pt idx="0">
                        <c:v>CO2 Emissions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Industrie'!$AD$63:$AJ$63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A51-4CAE-90FD-516F02DF8DB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Industrie'!$AB$64</c15:sqref>
                        </c15:formulaRef>
                      </c:ext>
                    </c:extLst>
                    <c:strCache>
                      <c:ptCount val="1"/>
                      <c:pt idx="0">
                        <c:v>Urea</c:v>
                      </c:pt>
                    </c:strCache>
                  </c:strRef>
                </c:tx>
                <c:spPr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Industrie'!$AD$64:$AJ$64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A51-4CAE-90FD-516F02DF8DB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Industrie'!$AB$65</c15:sqref>
                        </c15:formulaRef>
                      </c:ext>
                    </c:extLst>
                    <c:strCache>
                      <c:ptCount val="1"/>
                      <c:pt idx="0">
                        <c:v>Urea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Industrie'!$AD$65:$AJ$65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A51-4CAE-90FD-516F02DF8DB7}"/>
                  </c:ext>
                </c:extLst>
              </c15:ser>
            </c15:filteredBarSeries>
          </c:ext>
        </c:extLst>
      </c:barChart>
      <c:catAx>
        <c:axId val="138692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3392"/>
        <c:crosses val="autoZero"/>
        <c:auto val="1"/>
        <c:lblAlgn val="ctr"/>
        <c:lblOffset val="100"/>
        <c:noMultiLvlLbl val="0"/>
      </c:catAx>
      <c:valAx>
        <c:axId val="13869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CO2 in 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838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CO2 Nachfrage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'Chemische Industrie'!$AA$58</c:f>
              <c:strCache>
                <c:ptCount val="1"/>
                <c:pt idx="0">
                  <c:v>Sabatier Prozess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Industrie'!$AD$3:$AJ$3</c15:sqref>
                  </c15:fullRef>
                </c:ext>
              </c:extLst>
              <c:f>'Chemische Industrie'!$AH$3:$AI$3</c:f>
              <c:strCache>
                <c:ptCount val="2"/>
                <c:pt idx="0">
                  <c:v>2040</c:v>
                </c:pt>
                <c:pt idx="1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Industrie'!$AD$58:$AJ$58</c15:sqref>
                  </c15:fullRef>
                </c:ext>
              </c:extLst>
              <c:f>'Chemische Industrie'!$AH$58:$AI$58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B-4887-AC39-0BA2E1DF7DDE}"/>
            </c:ext>
          </c:extLst>
        </c:ser>
        <c:ser>
          <c:idx val="1"/>
          <c:order val="1"/>
          <c:tx>
            <c:strRef>
              <c:f>'Chemische Industrie'!$AA$59</c:f>
              <c:strCache>
                <c:ptCount val="1"/>
                <c:pt idx="0">
                  <c:v>Fischer-Tropsch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Industrie'!$AD$3:$AJ$3</c15:sqref>
                  </c15:fullRef>
                </c:ext>
              </c:extLst>
              <c:f>'Chemische Industrie'!$AH$3:$AI$3</c:f>
              <c:strCache>
                <c:ptCount val="2"/>
                <c:pt idx="0">
                  <c:v>2040</c:v>
                </c:pt>
                <c:pt idx="1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Industrie'!$AD$59:$AJ$59</c15:sqref>
                  </c15:fullRef>
                </c:ext>
              </c:extLst>
              <c:f>'Chemische Industrie'!$AH$59:$AI$59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AB-4887-AC39-0BA2E1DF7DDE}"/>
            </c:ext>
          </c:extLst>
        </c:ser>
        <c:ser>
          <c:idx val="6"/>
          <c:order val="6"/>
          <c:tx>
            <c:strRef>
              <c:f>'Chemische Industrie'!$AA$66</c:f>
              <c:strCache>
                <c:ptCount val="1"/>
                <c:pt idx="0">
                  <c:v>Harnstoff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Industrie'!$AD$3:$AJ$3</c15:sqref>
                  </c15:fullRef>
                </c:ext>
              </c:extLst>
              <c:f>'Chemische Industrie'!$AH$3:$AI$3</c:f>
              <c:strCache>
                <c:ptCount val="2"/>
                <c:pt idx="0">
                  <c:v>2040</c:v>
                </c:pt>
                <c:pt idx="1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Industrie'!$AD$66:$AJ$66</c15:sqref>
                  </c15:fullRef>
                </c:ext>
              </c:extLst>
              <c:f>'Chemische Industrie'!$AH$66:$AI$66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AB-4887-AC39-0BA2E1DF7DDE}"/>
            </c:ext>
          </c:extLst>
        </c:ser>
        <c:ser>
          <c:idx val="7"/>
          <c:order val="7"/>
          <c:tx>
            <c:strRef>
              <c:f>'Chemische Industrie'!$AA$67</c:f>
              <c:strCache>
                <c:ptCount val="1"/>
                <c:pt idx="0">
                  <c:v>Methanol</c:v>
                </c:pt>
              </c:strCache>
            </c:strRef>
          </c:tx>
          <c:spPr>
            <a:pattFill prst="dkUpDiag">
              <a:fgClr>
                <a:schemeClr val="accent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Industrie'!$AD$3:$AJ$3</c15:sqref>
                  </c15:fullRef>
                </c:ext>
              </c:extLst>
              <c:f>'Chemische Industrie'!$AH$3:$AI$3</c:f>
              <c:strCache>
                <c:ptCount val="2"/>
                <c:pt idx="0">
                  <c:v>2040</c:v>
                </c:pt>
                <c:pt idx="1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Industrie'!$AD$67:$AJ$67</c15:sqref>
                  </c15:fullRef>
                </c:ext>
              </c:extLst>
              <c:f>'Chemische Industrie'!$AH$67:$AI$67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AB-4887-AC39-0BA2E1DF7DDE}"/>
            </c:ext>
          </c:extLst>
        </c:ser>
        <c:ser>
          <c:idx val="8"/>
          <c:order val="8"/>
          <c:tx>
            <c:strRef>
              <c:f>'Chemische Industrie'!$AA$60</c:f>
              <c:strCache>
                <c:ptCount val="1"/>
                <c:pt idx="0">
                  <c:v>Onshore CO2 Speicherung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2040</c:v>
              </c:pt>
              <c:pt idx="1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Industrie'!$AD$60:$AJ$60</c15:sqref>
                  </c15:fullRef>
                </c:ext>
              </c:extLst>
              <c:f>'Chemische Industrie'!$AH$60:$AI$60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C7-4428-8CC8-F69E50302962}"/>
            </c:ext>
          </c:extLst>
        </c:ser>
        <c:ser>
          <c:idx val="9"/>
          <c:order val="9"/>
          <c:tx>
            <c:strRef>
              <c:f>'Chemische Industrie'!$AA$61</c:f>
              <c:strCache>
                <c:ptCount val="1"/>
                <c:pt idx="0">
                  <c:v>Offshore CO2 Speicherung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2040</c:v>
              </c:pt>
              <c:pt idx="1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Industrie'!$AD$61:$AJ$61</c15:sqref>
                  </c15:fullRef>
                </c:ext>
              </c:extLst>
              <c:f>'Chemische Industrie'!$AH$61:$AI$61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C7-4428-8CC8-F69E50302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28384"/>
        <c:axId val="1386923392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'Chemische Industrie'!$AA$62</c15:sqref>
                        </c15:formulaRef>
                      </c:ext>
                    </c:extLst>
                    <c:strCache>
                      <c:ptCount val="1"/>
                      <c:pt idx="0">
                        <c:v>CO2 Speicher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'Chemische Industrie'!$AD$62:$AJ$62</c15:sqref>
                        </c15:fullRef>
                        <c15:formulaRef>
                          <c15:sqref>'Chemische Industrie'!$AH$62:$AI$62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CAB-4887-AC39-0BA2E1DF7DDE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Industrie'!$AA$63</c15:sqref>
                        </c15:formulaRef>
                      </c:ext>
                    </c:extLst>
                    <c:strCache>
                      <c:ptCount val="1"/>
                      <c:pt idx="0">
                        <c:v>CO2 Emissionen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Industrie'!$AD$63:$AJ$63</c15:sqref>
                        </c15:fullRef>
                        <c15:formulaRef>
                          <c15:sqref>'Chemische Industrie'!$AH$63:$AI$63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CAB-4887-AC39-0BA2E1DF7DDE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Industrie'!$AA$64</c15:sqref>
                        </c15:formulaRef>
                      </c:ext>
                    </c:extLst>
                    <c:strCache>
                      <c:ptCount val="1"/>
                      <c:pt idx="0">
                        <c:v>Harnstoff</c:v>
                      </c:pt>
                    </c:strCache>
                  </c:strRef>
                </c:tx>
                <c:spPr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Industrie'!$AD$64:$AJ$64</c15:sqref>
                        </c15:fullRef>
                        <c15:formulaRef>
                          <c15:sqref>'Chemische Industrie'!$AH$64:$AI$64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AB-4887-AC39-0BA2E1DF7DDE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Industrie'!$AA$65</c15:sqref>
                        </c15:formulaRef>
                      </c:ext>
                    </c:extLst>
                    <c:strCache>
                      <c:ptCount val="1"/>
                      <c:pt idx="0">
                        <c:v>Harnstoff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Industrie'!$AD$65:$AJ$65</c15:sqref>
                        </c15:fullRef>
                        <c15:formulaRef>
                          <c15:sqref>'Chemische Industrie'!$AH$65:$AI$65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CAB-4887-AC39-0BA2E1DF7DDE}"/>
                  </c:ext>
                </c:extLst>
              </c15:ser>
            </c15:filteredBarSeries>
          </c:ext>
        </c:extLst>
      </c:barChart>
      <c:catAx>
        <c:axId val="138692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3392"/>
        <c:crosses val="autoZero"/>
        <c:auto val="1"/>
        <c:lblAlgn val="ctr"/>
        <c:lblOffset val="100"/>
        <c:noMultiLvlLbl val="0"/>
      </c:catAx>
      <c:valAx>
        <c:axId val="13869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CO2 in 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838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Crude</a:t>
            </a:r>
            <a:r>
              <a:rPr lang="de-DE" sz="1600" baseline="0"/>
              <a:t> oil consumption in refineries</a:t>
            </a:r>
            <a:endParaRPr lang="de-DE" sz="16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'Chemische Industrie'!$CI$12</c:f>
              <c:strCache>
                <c:ptCount val="1"/>
                <c:pt idx="0">
                  <c:v>Net fossil crude 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'Chemische Industrie'!$CL$3:$CR$3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Industrie'!$CL$12:$CR$12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3B-4764-87DA-C54AF373AE4E}"/>
            </c:ext>
          </c:extLst>
        </c:ser>
        <c:ser>
          <c:idx val="0"/>
          <c:order val="1"/>
          <c:tx>
            <c:strRef>
              <c:f>'Chemische Industrie'!$CI$31</c:f>
              <c:strCache>
                <c:ptCount val="1"/>
                <c:pt idx="0">
                  <c:v>Own consumption</c:v>
                </c:pt>
              </c:strCache>
            </c:strRef>
          </c:tx>
          <c:spPr>
            <a:pattFill prst="dkUpDiag">
              <a:fgClr>
                <a:schemeClr val="tx1"/>
              </a:fgClr>
              <a:bgClr>
                <a:schemeClr val="bg1"/>
              </a:bgClr>
            </a:pattFill>
          </c:spPr>
          <c:invertIfNegative val="0"/>
          <c:cat>
            <c:strRef>
              <c:f>'Chemische Industrie'!$CL$3:$CR$3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Industrie'!$CL$31:$CR$31</c:f>
              <c:numCache>
                <c:formatCode>General</c:formatCode>
                <c:ptCount val="7"/>
                <c:pt idx="0">
                  <c:v>82208.135989748436</c:v>
                </c:pt>
                <c:pt idx="1">
                  <c:v>73161.337946177504</c:v>
                </c:pt>
                <c:pt idx="2">
                  <c:v>48670.325859224336</c:v>
                </c:pt>
                <c:pt idx="3">
                  <c:v>36972.850397924689</c:v>
                </c:pt>
                <c:pt idx="4">
                  <c:v>12858.220383169746</c:v>
                </c:pt>
                <c:pt idx="5">
                  <c:v>1.3129535017584771E-4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3B-4764-87DA-C54AF373AE4E}"/>
            </c:ext>
          </c:extLst>
        </c:ser>
        <c:ser>
          <c:idx val="1"/>
          <c:order val="2"/>
          <c:tx>
            <c:strRef>
              <c:f>'Chemische Industrie'!$CI$11</c:f>
              <c:strCache>
                <c:ptCount val="1"/>
                <c:pt idx="0">
                  <c:v>Net biocrude oil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val>
            <c:numRef>
              <c:f>'Chemische Industrie'!$CL$11:$CR$11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33-497E-9940-F84B50BE9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125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Crude oil</a:t>
                </a:r>
                <a:r>
                  <a:rPr lang="de-DE" baseline="0"/>
                  <a:t> 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25000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Refinery</a:t>
            </a:r>
            <a:r>
              <a:rPr lang="de-DE" sz="1600" baseline="0"/>
              <a:t> production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'Chemische Industrie'!$CI$19</c:f>
              <c:strCache>
                <c:ptCount val="1"/>
                <c:pt idx="0">
                  <c:v>Naphtha and gasoline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'Chemische Industrie'!$CL$3:$CR$3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Industrie'!$CL$19:$CR$19</c:f>
              <c:numCache>
                <c:formatCode>General</c:formatCode>
                <c:ptCount val="7"/>
                <c:pt idx="0">
                  <c:v>320629.25367484806</c:v>
                </c:pt>
                <c:pt idx="1">
                  <c:v>307209.6798412432</c:v>
                </c:pt>
                <c:pt idx="2">
                  <c:v>236398.70086119545</c:v>
                </c:pt>
                <c:pt idx="3">
                  <c:v>179582.41404918849</c:v>
                </c:pt>
                <c:pt idx="4">
                  <c:v>58914.187210026328</c:v>
                </c:pt>
                <c:pt idx="5">
                  <c:v>5.4913044813515832E-4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4-4D60-85A2-F67D6D71199A}"/>
            </c:ext>
          </c:extLst>
        </c:ser>
        <c:ser>
          <c:idx val="0"/>
          <c:order val="1"/>
          <c:tx>
            <c:strRef>
              <c:f>'Chemische Industrie'!$CI$23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'Chemische Industrie'!$CL$3:$CR$3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Industrie'!$CL$23:$CR$23</c:f>
              <c:numCache>
                <c:formatCode>General</c:formatCode>
                <c:ptCount val="7"/>
                <c:pt idx="0">
                  <c:v>349048.56431793497</c:v>
                </c:pt>
                <c:pt idx="1">
                  <c:v>298488.31080969528</c:v>
                </c:pt>
                <c:pt idx="2">
                  <c:v>180775.50807869513</c:v>
                </c:pt>
                <c:pt idx="3">
                  <c:v>137327.7306242357</c:v>
                </c:pt>
                <c:pt idx="4">
                  <c:v>49725.785281005265</c:v>
                </c:pt>
                <c:pt idx="5">
                  <c:v>5.039973040358224E-4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4-4D60-85A2-F67D6D71199A}"/>
            </c:ext>
          </c:extLst>
        </c:ser>
        <c:ser>
          <c:idx val="1"/>
          <c:order val="2"/>
          <c:tx>
            <c:strRef>
              <c:f>'Chemische Industrie'!$CI$27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'Chemische Industrie'!$CL$3:$CR$3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'Chemische Industrie'!$CL$27:$CR$27</c:f>
              <c:numCache>
                <c:formatCode>General</c:formatCode>
                <c:ptCount val="7"/>
                <c:pt idx="0">
                  <c:v>122909.10446047477</c:v>
                </c:pt>
                <c:pt idx="1">
                  <c:v>94807.758595002902</c:v>
                </c:pt>
                <c:pt idx="2">
                  <c:v>41717.440198075972</c:v>
                </c:pt>
                <c:pt idx="3">
                  <c:v>31691.016638835754</c:v>
                </c:pt>
                <c:pt idx="4">
                  <c:v>13381.349282307236</c:v>
                </c:pt>
                <c:pt idx="5">
                  <c:v>2.0112000444484155E-4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4-4D60-85A2-F67D6D711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10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baseline="0"/>
                  <a:t>in TWh/a</a:t>
                </a:r>
              </a:p>
            </c:rich>
          </c:tx>
          <c:layout>
            <c:manualLayout>
              <c:xMode val="edge"/>
              <c:yMode val="edge"/>
              <c:x val="1.9965605706956158E-2"/>
              <c:y val="0.10014928706891338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250000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CO2 Bereitstellung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66665540198033"/>
          <c:y val="0.1394346638258892"/>
          <c:w val="0.85344922442634585"/>
          <c:h val="0.436218555501616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'Chemische Industrie'!$AA$31</c:f>
              <c:strCache>
                <c:ptCount val="1"/>
                <c:pt idx="0">
                  <c:v>DAC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Industrie'!$AD$30:$AJ$30</c15:sqref>
                  </c15:fullRef>
                </c:ext>
              </c:extLst>
              <c:f>'Chemische Industrie'!$AH$30:$AJ$30</c:f>
              <c:strCache>
                <c:ptCount val="3"/>
                <c:pt idx="0">
                  <c:v>2040</c:v>
                </c:pt>
                <c:pt idx="1">
                  <c:v>2045</c:v>
                </c:pt>
                <c:pt idx="2">
                  <c:v>2045 48 Tage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Industrie'!$AD$31:$AJ$31</c15:sqref>
                  </c15:fullRef>
                </c:ext>
              </c:extLst>
              <c:f>'Chemische Industrie'!$AH$31:$AJ$31</c:f>
              <c:numCache>
                <c:formatCode>General</c:formatCode>
                <c:ptCount val="3"/>
                <c:pt idx="0">
                  <c:v>12208.085275742049</c:v>
                </c:pt>
                <c:pt idx="1">
                  <c:v>85370.605684428258</c:v>
                </c:pt>
                <c:pt idx="2">
                  <c:v>60763.912383026014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E-4895-A54E-9A161A7F1AC1}"/>
            </c:ext>
          </c:extLst>
        </c:ser>
        <c:ser>
          <c:idx val="1"/>
          <c:order val="1"/>
          <c:tx>
            <c:strRef>
              <c:f>'Chemische Industrie'!$AA$32</c:f>
              <c:strCache>
                <c:ptCount val="1"/>
                <c:pt idx="0">
                  <c:v>Zement Prozessemissionen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Industrie'!$AD$30:$AJ$30</c15:sqref>
                  </c15:fullRef>
                </c:ext>
              </c:extLst>
              <c:f>'Chemische Industrie'!$AH$30:$AJ$30</c:f>
              <c:strCache>
                <c:ptCount val="3"/>
                <c:pt idx="0">
                  <c:v>2040</c:v>
                </c:pt>
                <c:pt idx="1">
                  <c:v>2045</c:v>
                </c:pt>
                <c:pt idx="2">
                  <c:v>2045 48 Tage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Industrie'!$AD$32:$AJ$32</c15:sqref>
                  </c15:fullRef>
                </c:ext>
              </c:extLst>
              <c:f>'Chemische Industrie'!$AH$32:$AJ$32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12874.444020311579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B4E-4895-A54E-9A161A7F1AC1}"/>
            </c:ext>
          </c:extLst>
        </c:ser>
        <c:ser>
          <c:idx val="2"/>
          <c:order val="2"/>
          <c:tx>
            <c:strRef>
              <c:f>'Chemische Industrie'!$AA$33</c:f>
              <c:strCache>
                <c:ptCount val="1"/>
                <c:pt idx="0">
                  <c:v>Fossile Energieträger CCS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Industrie'!$AD$30:$AJ$30</c15:sqref>
                  </c15:fullRef>
                </c:ext>
              </c:extLst>
              <c:f>'Chemische Industrie'!$AH$30:$AJ$30</c:f>
              <c:strCache>
                <c:ptCount val="3"/>
                <c:pt idx="0">
                  <c:v>2040</c:v>
                </c:pt>
                <c:pt idx="1">
                  <c:v>2045</c:v>
                </c:pt>
                <c:pt idx="2">
                  <c:v>2045 48 Tage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Industrie'!$AD$33:$AJ$33</c15:sqref>
                  </c15:fullRef>
                </c:ext>
              </c:extLst>
              <c:f>'Chemische Industrie'!$AH$33:$AJ$33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498.8588102881032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B4E-4895-A54E-9A161A7F1AC1}"/>
            </c:ext>
          </c:extLst>
        </c:ser>
        <c:ser>
          <c:idx val="3"/>
          <c:order val="3"/>
          <c:tx>
            <c:strRef>
              <c:f>'Chemische Industrie'!$AA$34</c:f>
              <c:strCache>
                <c:ptCount val="1"/>
                <c:pt idx="0">
                  <c:v>Biomasse CCS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Industrie'!$AD$30:$AJ$30</c15:sqref>
                  </c15:fullRef>
                </c:ext>
              </c:extLst>
              <c:f>'Chemische Industrie'!$AH$30:$AJ$30</c:f>
              <c:strCache>
                <c:ptCount val="3"/>
                <c:pt idx="0">
                  <c:v>2040</c:v>
                </c:pt>
                <c:pt idx="1">
                  <c:v>2045</c:v>
                </c:pt>
                <c:pt idx="2">
                  <c:v>2045 48 Tage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Industrie'!$AD$34:$AJ$34</c15:sqref>
                  </c15:fullRef>
                </c:ext>
              </c:extLst>
              <c:f>'Chemische Industrie'!$AH$34:$AJ$34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40490.864486727456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B4E-4895-A54E-9A161A7F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28384"/>
        <c:axId val="1386923392"/>
        <c:extLst/>
      </c:barChart>
      <c:catAx>
        <c:axId val="138692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3392"/>
        <c:crosses val="autoZero"/>
        <c:auto val="1"/>
        <c:lblAlgn val="ctr"/>
        <c:lblOffset val="100"/>
        <c:noMultiLvlLbl val="0"/>
      </c:catAx>
      <c:valAx>
        <c:axId val="13869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CO2 in 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838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446716907167721E-2"/>
          <c:y val="0.76780474127730503"/>
          <c:w val="0.92628871108405664"/>
          <c:h val="0.181986130117605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ohne Nicht-CO2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'[1]Chemische Industrie'!$AA$60</c:f>
              <c:strCache>
                <c:ptCount val="1"/>
                <c:pt idx="0">
                  <c:v>Sabatier Prozess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'[1]Chemische Industrie'!$AD$60:$AJ$60</c:f>
              <c:numCache>
                <c:formatCode>General</c:formatCode>
                <c:ptCount val="7"/>
                <c:pt idx="0">
                  <c:v>0</c:v>
                </c:pt>
                <c:pt idx="1">
                  <c:v>0.106205882227757</c:v>
                </c:pt>
                <c:pt idx="2">
                  <c:v>6.7585100935465464E-2</c:v>
                </c:pt>
                <c:pt idx="3">
                  <c:v>5.3561038726324561E-2</c:v>
                </c:pt>
                <c:pt idx="4">
                  <c:v>1.3255223692703291E-2</c:v>
                </c:pt>
                <c:pt idx="5">
                  <c:v>4.9323294532052003E-2</c:v>
                </c:pt>
                <c:pt idx="6">
                  <c:v>2.440107814799505E-2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4-48AA-A168-E4FA9EA657E8}"/>
            </c:ext>
          </c:extLst>
        </c:ser>
        <c:ser>
          <c:idx val="1"/>
          <c:order val="1"/>
          <c:tx>
            <c:strRef>
              <c:f>'[1]Chemische Industrie'!$AA$61</c:f>
              <c:strCache>
                <c:ptCount val="1"/>
                <c:pt idx="0">
                  <c:v>Fischer-Tropsch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'[1]Chemische Industrie'!$AD$61:$AJ$61</c:f>
              <c:numCache>
                <c:formatCode>General</c:formatCode>
                <c:ptCount val="7"/>
                <c:pt idx="0">
                  <c:v>3.6233424109082451E-7</c:v>
                </c:pt>
                <c:pt idx="1">
                  <c:v>184.98227067483199</c:v>
                </c:pt>
                <c:pt idx="2">
                  <c:v>532.79456476723999</c:v>
                </c:pt>
                <c:pt idx="3">
                  <c:v>8212.4046690334653</c:v>
                </c:pt>
                <c:pt idx="4">
                  <c:v>23.902324488149251</c:v>
                </c:pt>
                <c:pt idx="5">
                  <c:v>1340.975548521347</c:v>
                </c:pt>
                <c:pt idx="6">
                  <c:v>31311.489268535239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4-48AA-A168-E4FA9EA657E8}"/>
            </c:ext>
          </c:extLst>
        </c:ser>
        <c:ser>
          <c:idx val="6"/>
          <c:order val="6"/>
          <c:tx>
            <c:strRef>
              <c:f>'[1]Chemische Industrie'!$AA$68</c:f>
              <c:strCache>
                <c:ptCount val="1"/>
                <c:pt idx="0">
                  <c:v>Harnstoff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'[1]Chemische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'[1]Chemische Industrie'!$AD$68:$AJ$68</c:f>
              <c:numCache>
                <c:formatCode>General</c:formatCode>
                <c:ptCount val="7"/>
                <c:pt idx="0">
                  <c:v>381.10828601997071</c:v>
                </c:pt>
                <c:pt idx="1">
                  <c:v>411.213591106754</c:v>
                </c:pt>
                <c:pt idx="2">
                  <c:v>441.26657073656258</c:v>
                </c:pt>
                <c:pt idx="3">
                  <c:v>471.31949001875194</c:v>
                </c:pt>
                <c:pt idx="4">
                  <c:v>501.3721239420413</c:v>
                </c:pt>
                <c:pt idx="5">
                  <c:v>531.46305967727346</c:v>
                </c:pt>
                <c:pt idx="6">
                  <c:v>561.55329981362252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4-48AA-A168-E4FA9EA657E8}"/>
            </c:ext>
          </c:extLst>
        </c:ser>
        <c:ser>
          <c:idx val="7"/>
          <c:order val="7"/>
          <c:tx>
            <c:strRef>
              <c:f>'[1]Chemische Industrie'!$AA$69</c:f>
              <c:strCache>
                <c:ptCount val="1"/>
                <c:pt idx="0">
                  <c:v>Methanol</c:v>
                </c:pt>
              </c:strCache>
            </c:strRef>
          </c:tx>
          <c:spPr>
            <a:pattFill prst="dkUpDiag">
              <a:fgClr>
                <a:schemeClr val="accent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'[1]Chemische Industrie'!$AD$3:$AJ$3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'[1]Chemische Industrie'!$AD$69:$AJ$69</c:f>
              <c:numCache>
                <c:formatCode>General</c:formatCode>
                <c:ptCount val="7"/>
                <c:pt idx="0">
                  <c:v>0</c:v>
                </c:pt>
                <c:pt idx="1">
                  <c:v>0.73461457292798971</c:v>
                </c:pt>
                <c:pt idx="2">
                  <c:v>35.81214317970371</c:v>
                </c:pt>
                <c:pt idx="3">
                  <c:v>128.44750068993801</c:v>
                </c:pt>
                <c:pt idx="4">
                  <c:v>4.7100778600438407</c:v>
                </c:pt>
                <c:pt idx="5">
                  <c:v>9.7728055524605981</c:v>
                </c:pt>
                <c:pt idx="6">
                  <c:v>8.7738754241315511E-2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74-48AA-A168-E4FA9EA657E8}"/>
            </c:ext>
          </c:extLst>
        </c:ser>
        <c:ser>
          <c:idx val="8"/>
          <c:order val="8"/>
          <c:tx>
            <c:strRef>
              <c:f>'[1]Chemische Industrie'!$AA$62</c:f>
              <c:strCache>
                <c:ptCount val="1"/>
                <c:pt idx="0">
                  <c:v>Onshore CO2 Speicherung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'[1]Chemische Industrie'!$AD$62:$AJ$62</c:f>
              <c:numCache>
                <c:formatCode>General</c:formatCode>
                <c:ptCount val="7"/>
                <c:pt idx="0">
                  <c:v>1.8724578617201119E-7</c:v>
                </c:pt>
                <c:pt idx="1">
                  <c:v>4.0712261547663123E-6</c:v>
                </c:pt>
                <c:pt idx="2">
                  <c:v>3.9330410640656732E-6</c:v>
                </c:pt>
                <c:pt idx="3">
                  <c:v>6.7776912771071149E-6</c:v>
                </c:pt>
                <c:pt idx="4">
                  <c:v>24965.955397524562</c:v>
                </c:pt>
                <c:pt idx="5">
                  <c:v>24965.860978118049</c:v>
                </c:pt>
                <c:pt idx="6">
                  <c:v>24965.956105996669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74-48AA-A168-E4FA9EA657E8}"/>
            </c:ext>
          </c:extLst>
        </c:ser>
        <c:ser>
          <c:idx val="9"/>
          <c:order val="9"/>
          <c:tx>
            <c:strRef>
              <c:f>'[1]Chemische Industrie'!$AA$63</c:f>
              <c:strCache>
                <c:ptCount val="1"/>
                <c:pt idx="0">
                  <c:v>Offshore CO2 Speicherung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'[1]Chemische Industrie'!$AD$63:$AJ$63</c:f>
              <c:numCache>
                <c:formatCode>General</c:formatCode>
                <c:ptCount val="7"/>
                <c:pt idx="0">
                  <c:v>0</c:v>
                </c:pt>
                <c:pt idx="1">
                  <c:v>4.0712481705859123E-6</c:v>
                </c:pt>
                <c:pt idx="2">
                  <c:v>3.9331448465277108E-6</c:v>
                </c:pt>
                <c:pt idx="3">
                  <c:v>1.3555296260366E-5</c:v>
                </c:pt>
                <c:pt idx="4">
                  <c:v>24965.949230672999</c:v>
                </c:pt>
                <c:pt idx="5">
                  <c:v>24965.849419731421</c:v>
                </c:pt>
                <c:pt idx="6">
                  <c:v>24965.954121525188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4-48AA-A168-E4FA9EA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28384"/>
        <c:axId val="1386923392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'[1]Chemische Industrie'!$AA$64</c15:sqref>
                        </c15:formulaRef>
                      </c:ext>
                    </c:extLst>
                    <c:strCache>
                      <c:ptCount val="1"/>
                      <c:pt idx="0">
                        <c:v>CO2 Speicher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'[1]Chemische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'[1]Chemische Industrie'!$AD$64:$AJ$64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306.39441854360871</c:v>
                      </c:pt>
                      <c:pt idx="2">
                        <c:v>731.85359334574969</c:v>
                      </c:pt>
                      <c:pt idx="3">
                        <c:v>2170.3357225805071</c:v>
                      </c:pt>
                      <c:pt idx="4">
                        <c:v>7596.0427710651538</c:v>
                      </c:pt>
                      <c:pt idx="5">
                        <c:v>8193.6114636187849</c:v>
                      </c:pt>
                      <c:pt idx="6">
                        <c:v>8564.1015536615068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EC74-48AA-A168-E4FA9EA657E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'[1]Chemische Industrie'!$AA$65</c15:sqref>
                        </c15:formulaRef>
                      </c:ext>
                    </c:extLst>
                    <c:strCache>
                      <c:ptCount val="1"/>
                      <c:pt idx="0">
                        <c:v>CO2 Emissionen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'[1]Chemische Industrie'!$AD$65:$AJ$65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0.59236045107391133</c:v>
                      </c:pt>
                      <c:pt idx="2">
                        <c:v>0.2071049540681803</c:v>
                      </c:pt>
                      <c:pt idx="3">
                        <c:v>9.3234403549306066E-2</c:v>
                      </c:pt>
                      <c:pt idx="4">
                        <c:v>2.449971296050257E-2</c:v>
                      </c:pt>
                      <c:pt idx="5">
                        <c:v>7.9146694981846469E-2</c:v>
                      </c:pt>
                      <c:pt idx="6">
                        <c:v>2.6417295921067011E-2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C74-48AA-A168-E4FA9EA657E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'[1]Chemische Industrie'!$AA$66</c15:sqref>
                        </c15:formulaRef>
                      </c:ext>
                    </c:extLst>
                    <c:strCache>
                      <c:ptCount val="1"/>
                      <c:pt idx="0">
                        <c:v>Harnstoff</c:v>
                      </c:pt>
                    </c:strCache>
                  </c:strRef>
                </c:tx>
                <c:spPr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'[1]Chemische Industrie'!$AD$66:$AJ$66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381.10828601997071</c:v>
                      </c:pt>
                      <c:pt idx="1">
                        <c:v>410.6040280269724</c:v>
                      </c:pt>
                      <c:pt idx="2">
                        <c:v>431.79500674473792</c:v>
                      </c:pt>
                      <c:pt idx="3">
                        <c:v>451.03590637893109</c:v>
                      </c:pt>
                      <c:pt idx="4">
                        <c:v>470.28513054818092</c:v>
                      </c:pt>
                      <c:pt idx="5">
                        <c:v>506.808688945673</c:v>
                      </c:pt>
                      <c:pt idx="6">
                        <c:v>557.66341270332327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C74-48AA-A168-E4FA9EA657E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'[1]Chemische Industrie'!$AA$67</c15:sqref>
                        </c15:formulaRef>
                      </c:ext>
                    </c:extLst>
                    <c:strCache>
                      <c:ptCount val="1"/>
                      <c:pt idx="0">
                        <c:v>Harnstoff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'[1]Chemische Industrie'!$AD$3:$AJ$3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'[1]Chemische Industrie'!$AD$67:$AJ$67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</c:v>
                      </c:pt>
                      <c:pt idx="1">
                        <c:v>0.60956307978156921</c:v>
                      </c:pt>
                      <c:pt idx="2">
                        <c:v>9.471563991824663</c:v>
                      </c:pt>
                      <c:pt idx="3">
                        <c:v>20.283583639820829</c:v>
                      </c:pt>
                      <c:pt idx="4">
                        <c:v>31.086993393860372</c:v>
                      </c:pt>
                      <c:pt idx="5">
                        <c:v>24.654370731600501</c:v>
                      </c:pt>
                      <c:pt idx="6">
                        <c:v>3.8898871102992389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C74-48AA-A168-E4FA9EA657E8}"/>
                  </c:ext>
                </c:extLst>
              </c15:ser>
            </c15:filteredBarSeries>
          </c:ext>
        </c:extLst>
      </c:barChart>
      <c:catAx>
        <c:axId val="138692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3392"/>
        <c:crosses val="autoZero"/>
        <c:auto val="1"/>
        <c:lblAlgn val="ctr"/>
        <c:lblOffset val="100"/>
        <c:noMultiLvlLbl val="0"/>
      </c:catAx>
      <c:valAx>
        <c:axId val="13869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CO2 in 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838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CO2 Bereitstellung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66665540198033"/>
          <c:y val="0.1394346638258892"/>
          <c:w val="0.85344922442634585"/>
          <c:h val="0.32842513912444155"/>
        </c:manualLayout>
      </c:layout>
      <c:barChart>
        <c:barDir val="col"/>
        <c:grouping val="stacked"/>
        <c:varyColors val="0"/>
        <c:ser>
          <c:idx val="10"/>
          <c:order val="1"/>
          <c:tx>
            <c:strRef>
              <c:f>'Chemische Industrie'!$AA$5</c:f>
              <c:strCache>
                <c:ptCount val="1"/>
                <c:pt idx="0">
                  <c:v>DAC Niedertemperatur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2040</c:v>
              </c:pt>
              <c:pt idx="1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Industrie'!$AD$5:$AJ$5</c15:sqref>
                  </c15:fullRef>
                </c:ext>
              </c:extLst>
              <c:f>'Chemische Industrie'!$AH$5:$AI$5</c:f>
              <c:numCache>
                <c:formatCode>General</c:formatCode>
                <c:ptCount val="2"/>
                <c:pt idx="0">
                  <c:v>12208.085236479101</c:v>
                </c:pt>
                <c:pt idx="1">
                  <c:v>85370.605624690914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E-4056-A650-C675E20AB63D}"/>
            </c:ext>
          </c:extLst>
        </c:ser>
        <c:ser>
          <c:idx val="5"/>
          <c:order val="5"/>
          <c:tx>
            <c:strRef>
              <c:f>'Chemische Industrie'!$AA$13</c:f>
              <c:strCache>
                <c:ptCount val="1"/>
                <c:pt idx="0">
                  <c:v>Erdgas CCS-KW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Industrie'!$AD$3:$AJ$3</c15:sqref>
                  </c15:fullRef>
                </c:ext>
              </c:extLst>
              <c:f>'Chemische Industrie'!$AH$3:$AI$3</c:f>
              <c:strCache>
                <c:ptCount val="2"/>
                <c:pt idx="0">
                  <c:v>2040</c:v>
                </c:pt>
                <c:pt idx="1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Industrie'!$AD$13:$AJ$13</c15:sqref>
                  </c15:fullRef>
                </c:ext>
              </c:extLst>
              <c:f>'Chemische Industrie'!$AH$13:$AI$13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E-4056-A650-C675E20AB63D}"/>
            </c:ext>
          </c:extLst>
        </c:ser>
        <c:ser>
          <c:idx val="15"/>
          <c:order val="6"/>
          <c:tx>
            <c:strRef>
              <c:f>'Chemische Industrie'!$AA$12</c:f>
              <c:strCache>
                <c:ptCount val="1"/>
                <c:pt idx="0">
                  <c:v>Biomethan CCS-KW</c:v>
                </c:pt>
              </c:strCache>
            </c:strRef>
          </c:tx>
          <c:spPr>
            <a:pattFill prst="wdUpDiag">
              <a:fgClr>
                <a:srgbClr val="FFC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2040</c:v>
              </c:pt>
              <c:pt idx="1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Industrie'!$AD$12:$AJ$12</c15:sqref>
                  </c15:fullRef>
                </c:ext>
              </c:extLst>
              <c:f>'Chemische Industrie'!$AH$12:$AI$12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EE-4056-A650-C675E20AB63D}"/>
            </c:ext>
          </c:extLst>
        </c:ser>
        <c:ser>
          <c:idx val="2"/>
          <c:order val="7"/>
          <c:tx>
            <c:strRef>
              <c:f>'Chemische Industrie'!$AA$8</c:f>
              <c:strCache>
                <c:ptCount val="1"/>
                <c:pt idx="0">
                  <c:v>Zement CCS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Industrie'!$AD$3:$AJ$3</c15:sqref>
                  </c15:fullRef>
                </c:ext>
              </c:extLst>
              <c:f>'Chemische Industrie'!$AH$3:$AI$3</c:f>
              <c:strCache>
                <c:ptCount val="2"/>
                <c:pt idx="0">
                  <c:v>2040</c:v>
                </c:pt>
                <c:pt idx="1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Industrie'!$AD$8:$AJ$8</c15:sqref>
                  </c15:fullRef>
                </c:ext>
              </c:extLst>
              <c:f>'Chemische Industrie'!$AH$8:$AI$8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EE-4056-A650-C675E20AB63D}"/>
            </c:ext>
          </c:extLst>
        </c:ser>
        <c:ser>
          <c:idx val="8"/>
          <c:order val="10"/>
          <c:tx>
            <c:strRef>
              <c:f>'Chemische Industrie'!$AA$26</c:f>
              <c:strCache>
                <c:ptCount val="1"/>
                <c:pt idx="0">
                  <c:v>Biomasse CCS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Industrie'!$AD$3:$AJ$3</c15:sqref>
                  </c15:fullRef>
                </c:ext>
              </c:extLst>
              <c:f>'Chemische Industrie'!$AH$3:$AI$3</c:f>
              <c:strCache>
                <c:ptCount val="2"/>
                <c:pt idx="0">
                  <c:v>2040</c:v>
                </c:pt>
                <c:pt idx="1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Industrie'!$AD$26:$AJ$26</c15:sqref>
                  </c15:fullRef>
                </c:ext>
              </c:extLst>
              <c:f>'Chemische Industrie'!$AH$26:$AI$26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27EE-4056-A650-C675E20AB63D}"/>
            </c:ext>
          </c:extLst>
        </c:ser>
        <c:ser>
          <c:idx val="14"/>
          <c:order val="11"/>
          <c:tx>
            <c:strRef>
              <c:f>'Chemische Industrie'!$AA$23</c:f>
              <c:strCache>
                <c:ptCount val="1"/>
                <c:pt idx="0">
                  <c:v>Stahlproduktion CCS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2040</c:v>
              </c:pt>
              <c:pt idx="1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Industrie'!$AD$23:$AJ$23</c15:sqref>
                  </c15:fullRef>
                </c:ext>
              </c:extLst>
              <c:f>'Chemische Industrie'!$AH$23:$AI$23</c:f>
              <c:numCache>
                <c:formatCode>General</c:formatCode>
                <c:ptCount val="2"/>
                <c:pt idx="0">
                  <c:v>14303.82268398787</c:v>
                </c:pt>
                <c:pt idx="1">
                  <c:v>0.39006263696111398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EE-4056-A650-C675E20AB63D}"/>
            </c:ext>
          </c:extLst>
        </c:ser>
        <c:ser>
          <c:idx val="11"/>
          <c:order val="12"/>
          <c:tx>
            <c:strRef>
              <c:f>'Chemische Industrie'!$AA$18</c:f>
              <c:strCache>
                <c:ptCount val="1"/>
                <c:pt idx="0">
                  <c:v>Methanol konventionell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2040</c:v>
              </c:pt>
              <c:pt idx="1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Industrie'!$AD$18:$AJ$18</c15:sqref>
                  </c15:fullRef>
                </c:ext>
              </c:extLst>
              <c:f>'Chemische Industrie'!$AH$18:$AI$18</c:f>
              <c:numCache>
                <c:formatCode>General</c:formatCode>
                <c:ptCount val="2"/>
                <c:pt idx="0">
                  <c:v>4741.5621667233227</c:v>
                </c:pt>
                <c:pt idx="1">
                  <c:v>608.08800036582159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EE-4056-A650-C675E20AB63D}"/>
            </c:ext>
          </c:extLst>
        </c:ser>
        <c:ser>
          <c:idx val="9"/>
          <c:order val="14"/>
          <c:tx>
            <c:strRef>
              <c:f>'Chemische Industrie'!$AA$27</c:f>
              <c:strCache>
                <c:ptCount val="1"/>
                <c:pt idx="0">
                  <c:v>Steamcracker CCS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'Chemische Industrie'!$AD$3:$AJ$3</c15:sqref>
                  </c15:fullRef>
                </c:ext>
              </c:extLst>
              <c:f>'Chemische Industrie'!$AH$3:$AI$3</c:f>
              <c:strCache>
                <c:ptCount val="2"/>
                <c:pt idx="0">
                  <c:v>2040</c:v>
                </c:pt>
                <c:pt idx="1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Industrie'!$AD$27:$AJ$27</c15:sqref>
                  </c15:fullRef>
                </c:ext>
              </c:extLst>
              <c:f>'Chemische Industrie'!$AH$27:$AI$27</c:f>
              <c:numCache>
                <c:formatCode>General</c:formatCode>
                <c:ptCount val="2"/>
                <c:pt idx="0">
                  <c:v>5082.7744346468216</c:v>
                </c:pt>
                <c:pt idx="1">
                  <c:v>160.54177865612129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EE-4056-A650-C675E20AB63D}"/>
            </c:ext>
          </c:extLst>
        </c:ser>
        <c:ser>
          <c:idx val="13"/>
          <c:order val="15"/>
          <c:tx>
            <c:strRef>
              <c:f>'Chemische Industrie'!$AA$22</c:f>
              <c:strCache>
                <c:ptCount val="1"/>
                <c:pt idx="0">
                  <c:v>Ammoniaksynthese CCS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2040</c:v>
              </c:pt>
              <c:pt idx="1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'Chemische Industrie'!$AD$22:$AJ$22</c15:sqref>
                  </c15:fullRef>
                </c:ext>
              </c:extLst>
              <c:f>'Chemische Industrie'!$AH$22:$AI$22</c:f>
              <c:numCache>
                <c:formatCode>General</c:formatCode>
                <c:ptCount val="2"/>
                <c:pt idx="0">
                  <c:v>929.3104058434559</c:v>
                </c:pt>
                <c:pt idx="1">
                  <c:v>239.64376225883879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EE-4056-A650-C675E20AB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28384"/>
        <c:axId val="1386923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'Chemische Industrie'!$AA$4</c15:sqref>
                        </c15:formulaRef>
                      </c:ext>
                    </c:extLst>
                    <c:strCache>
                      <c:ptCount val="1"/>
                      <c:pt idx="0">
                        <c:v>DAC Hochtemperatur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'Chemische Industrie'!$AD$4:$AJ$4</c15:sqref>
                        </c15:fullRef>
                        <c15:formulaRef>
                          <c15:sqref>'Chemische Industrie'!$AH$4:$AI$4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3.926294830564441E-5</c:v>
                      </c:pt>
                      <c:pt idx="1">
                        <c:v>5.9737347279154917E-5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7EE-4056-A650-C675E20AB63D}"/>
                  </c:ext>
                </c:extLst>
              </c15:ser>
            </c15:filteredBarSeries>
            <c15:filteredBa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Industrie'!$AA$6</c15:sqref>
                        </c15:formulaRef>
                      </c:ext>
                    </c:extLst>
                    <c:strCache>
                      <c:ptCount val="1"/>
                      <c:pt idx="0">
                        <c:v>Biogas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Industrie'!$AD$6:$AJ$6</c15:sqref>
                        </c15:fullRef>
                        <c15:formulaRef>
                          <c15:sqref>'Chemische Industrie'!$AH$6:$AI$6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7EE-4056-A650-C675E20AB63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Industrie'!$AA$9</c15:sqref>
                        </c15:formulaRef>
                      </c:ext>
                    </c:extLst>
                    <c:strCache>
                      <c:ptCount val="1"/>
                      <c:pt idx="0">
                        <c:v>CO2 Speicher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Industrie'!$AD$9:$AJ$9</c15:sqref>
                        </c15:fullRef>
                        <c15:formulaRef>
                          <c15:sqref>'Chemische Industrie'!$AH$9:$AI$9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7EE-4056-A650-C675E20AB63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Industrie'!$AA$10</c15:sqref>
                        </c15:formulaRef>
                      </c:ext>
                    </c:extLst>
                    <c:strCache>
                      <c:ptCount val="1"/>
                      <c:pt idx="0">
                        <c:v>Steinkohle CCS</c:v>
                      </c:pt>
                    </c:strCache>
                  </c:strRef>
                </c:tx>
                <c:spPr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Industrie'!$AD$10:$AJ$10</c15:sqref>
                        </c15:fullRef>
                        <c15:formulaRef>
                          <c15:sqref>'Chemische Industrie'!$AH$10:$AI$10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7EE-4056-A650-C675E20AB63D}"/>
                  </c:ext>
                </c:extLst>
              </c15:ser>
            </c15:filteredBarSeries>
            <c15:filteredBarSeries>
              <c15:ser>
                <c:idx val="6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Industrie'!$AA$16</c15:sqref>
                        </c15:formulaRef>
                      </c:ext>
                    </c:extLst>
                    <c:strCache>
                      <c:ptCount val="1"/>
                      <c:pt idx="0">
                        <c:v>Braunkohle CCS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Industrie'!$AD$16:$AJ$16</c15:sqref>
                        </c15:fullRef>
                        <c15:formulaRef>
                          <c15:sqref>'Chemische Industrie'!$AH$16:$AI$16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7EE-4056-A650-C675E20AB63D}"/>
                  </c:ext>
                </c:extLst>
              </c15:ser>
            </c15:filteredBarSeries>
            <c15:filteredBarSeries>
              <c15:ser>
                <c:idx val="7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Industrie'!$AA$17</c15:sqref>
                        </c15:formulaRef>
                      </c:ext>
                    </c:extLst>
                    <c:strCache>
                      <c:ptCount val="1"/>
                      <c:pt idx="0">
                        <c:v>Wassergas-Shift</c:v>
                      </c:pt>
                    </c:strCache>
                  </c:strRef>
                </c:tx>
                <c:spPr>
                  <a:pattFill prst="dkUpDiag">
                    <a:fgClr>
                      <a:schemeClr val="accent1"/>
                    </a:fgClr>
                    <a:bgClr>
                      <a:schemeClr val="bg1"/>
                    </a:bgClr>
                  </a:patt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'Chemische Industrie'!$AD$3:$AJ$3</c15:sqref>
                        </c15:fullRef>
                        <c15:formulaRef>
                          <c15:sqref>'Chemische Industrie'!$AH$3:$AI$3</c15:sqref>
                        </c15:formulaRef>
                      </c:ext>
                    </c:extLst>
                    <c:strCache>
                      <c:ptCount val="2"/>
                      <c:pt idx="0">
                        <c:v>2040</c:v>
                      </c:pt>
                      <c:pt idx="1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Industrie'!$AD$17:$AJ$17</c15:sqref>
                        </c15:fullRef>
                        <c15:formulaRef>
                          <c15:sqref>'Chemische Industrie'!$AH$17:$AI$17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7EE-4056-A650-C675E20AB63D}"/>
                  </c:ext>
                </c:extLst>
              </c15:ser>
            </c15:filteredBarSeries>
            <c15:filteredBa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Industrie'!$AA$21</c15:sqref>
                        </c15:formulaRef>
                      </c:ext>
                    </c:extLst>
                    <c:strCache>
                      <c:ptCount val="1"/>
                      <c:pt idx="0">
                        <c:v>Methanol Gasifizierung CCS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Industrie'!$AD$21:$AJ$21</c15:sqref>
                        </c15:fullRef>
                        <c15:formulaRef>
                          <c15:sqref>'Chemische Industrie'!$AH$21:$AI$21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5.1314959235938145E-4</c:v>
                      </c:pt>
                      <c:pt idx="1">
                        <c:v>2.343762642012608E-5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7EE-4056-A650-C675E20AB63D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Industrie'!$AA$14</c15:sqref>
                        </c15:formulaRef>
                      </c:ext>
                    </c:extLst>
                    <c:strCache>
                      <c:ptCount val="1"/>
                      <c:pt idx="0">
                        <c:v>Reformierung CCS</c:v>
                      </c:pt>
                    </c:strCache>
                  </c:strRef>
                </c:tx>
                <c:spPr>
                  <a:solidFill>
                    <a:schemeClr val="bg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Industrie'!$AD$14:$AJ$14</c15:sqref>
                        </c15:fullRef>
                        <c15:formulaRef>
                          <c15:sqref>'Chemische Industrie'!$AH$14:$AI$14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7EE-4056-A650-C675E20AB63D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'Chemische Industrie'!$AA$15</c15:sqref>
                        </c15:formulaRef>
                      </c:ext>
                    </c:extLst>
                    <c:strCache>
                      <c:ptCount val="1"/>
                      <c:pt idx="0">
                        <c:v>Gaswechselreformierung CCS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'Chemische Industrie'!$AD$15:$AJ$15</c15:sqref>
                        </c15:fullRef>
                        <c15:formulaRef>
                          <c15:sqref>'Chemische Industrie'!$AH$15:$AI$15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7EE-4056-A650-C675E20AB63D}"/>
                  </c:ext>
                </c:extLst>
              </c15:ser>
            </c15:filteredBarSeries>
          </c:ext>
        </c:extLst>
      </c:barChart>
      <c:catAx>
        <c:axId val="138692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3392"/>
        <c:crosses val="autoZero"/>
        <c:auto val="1"/>
        <c:lblAlgn val="ctr"/>
        <c:lblOffset val="100"/>
        <c:noMultiLvlLbl val="0"/>
      </c:catAx>
      <c:valAx>
        <c:axId val="13869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CO2 in 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86928384"/>
        <c:crosses val="autoZero"/>
        <c:crossBetween val="between"/>
        <c:majorUnit val="20000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7607647545741666E-2"/>
          <c:y val="0.62406424454861598"/>
          <c:w val="0.95570106288843804"/>
          <c:h val="0.37593564855139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Development of energy demand in pulp</a:t>
            </a:r>
            <a:r>
              <a:rPr lang="de-DE" sz="1600" baseline="0"/>
              <a:t> and </a:t>
            </a:r>
            <a:r>
              <a:rPr lang="de-DE" sz="1600"/>
              <a:t>paper production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485231180379724"/>
          <c:y val="0.17315211685495835"/>
          <c:w val="0.56151131903421492"/>
          <c:h val="0.64878489101905745"/>
        </c:manualLayout>
      </c:layout>
      <c:barChart>
        <c:barDir val="col"/>
        <c:grouping val="stacked"/>
        <c:varyColors val="0"/>
        <c:ser>
          <c:idx val="7"/>
          <c:order val="0"/>
          <c:tx>
            <c:strRef>
              <c:f>Papierindustrie!$B$53</c:f>
              <c:strCache>
                <c:ptCount val="1"/>
                <c:pt idx="0">
                  <c:v>int. residues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Papierindustrie!$E$2:$K$2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Papierindustrie!$E$53:$K$53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4F-4DF9-97D0-B587DEB3196F}"/>
            </c:ext>
          </c:extLst>
        </c:ser>
        <c:ser>
          <c:idx val="3"/>
          <c:order val="1"/>
          <c:tx>
            <c:strRef>
              <c:f>Papierindustrie!$B$48</c:f>
              <c:strCache>
                <c:ptCount val="1"/>
                <c:pt idx="0">
                  <c:v>Hard coal</c:v>
                </c:pt>
              </c:strCache>
            </c:strRef>
          </c:tx>
          <c:invertIfNegative val="0"/>
          <c:cat>
            <c:strRef>
              <c:f>Papierindustrie!$E$2:$K$2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Papierindustrie!$E$48:$K$48</c:f>
              <c:numCache>
                <c:formatCode>General</c:formatCode>
                <c:ptCount val="7"/>
                <c:pt idx="0">
                  <c:v>2234.969110060083</c:v>
                </c:pt>
                <c:pt idx="1">
                  <c:v>450.78088308471848</c:v>
                </c:pt>
                <c:pt idx="2">
                  <c:v>3.754695684213548E-3</c:v>
                </c:pt>
                <c:pt idx="3">
                  <c:v>9.684450019307885E-4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4F-4DF9-97D0-B587DEB3196F}"/>
            </c:ext>
          </c:extLst>
        </c:ser>
        <c:ser>
          <c:idx val="5"/>
          <c:order val="2"/>
          <c:tx>
            <c:strRef>
              <c:f>Papierindustrie!$B$49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Papierindustrie!$E$2:$K$2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Papierindustrie!$E$49:$K$49</c:f>
              <c:numCache>
                <c:formatCode>General</c:formatCode>
                <c:ptCount val="7"/>
                <c:pt idx="0">
                  <c:v>1908.2551995205649</c:v>
                </c:pt>
                <c:pt idx="1">
                  <c:v>1414.225381069318</c:v>
                </c:pt>
                <c:pt idx="2">
                  <c:v>7.4150700442521334E-3</c:v>
                </c:pt>
                <c:pt idx="3">
                  <c:v>1.524383841507091E-3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4F-4DF9-97D0-B587DEB3196F}"/>
            </c:ext>
          </c:extLst>
        </c:ser>
        <c:ser>
          <c:idx val="1"/>
          <c:order val="3"/>
          <c:tx>
            <c:strRef>
              <c:f>Papierindustrie!$B$50</c:f>
              <c:strCache>
                <c:ptCount val="1"/>
                <c:pt idx="0">
                  <c:v>Fuel oil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Papierindustrie!$E$2:$K$2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Papierindustrie!$E$50:$K$50</c:f>
              <c:numCache>
                <c:formatCode>General</c:formatCode>
                <c:ptCount val="7"/>
                <c:pt idx="0">
                  <c:v>0.37072398146427238</c:v>
                </c:pt>
                <c:pt idx="1">
                  <c:v>16.869807489217411</c:v>
                </c:pt>
                <c:pt idx="2">
                  <c:v>9.3412772080545114E-3</c:v>
                </c:pt>
                <c:pt idx="3">
                  <c:v>3.130402009867703E-3</c:v>
                </c:pt>
                <c:pt idx="4">
                  <c:v>3.9221214862618711E-4</c:v>
                </c:pt>
                <c:pt idx="5">
                  <c:v>4.0982831764300849E-5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4F-4DF9-97D0-B587DEB3196F}"/>
            </c:ext>
          </c:extLst>
        </c:ser>
        <c:ser>
          <c:idx val="8"/>
          <c:order val="4"/>
          <c:tx>
            <c:strRef>
              <c:f>Papierindustrie!$B$56</c:f>
              <c:strCache>
                <c:ptCount val="1"/>
                <c:pt idx="0">
                  <c:v>Distric heating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Papierindustrie!$E$2:$K$2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Papierindustrie!$E$56:$K$56</c:f>
              <c:numCache>
                <c:formatCode>General</c:formatCode>
                <c:ptCount val="7"/>
                <c:pt idx="0">
                  <c:v>6966.9450982945946</c:v>
                </c:pt>
                <c:pt idx="1">
                  <c:v>7681.248078055829</c:v>
                </c:pt>
                <c:pt idx="2">
                  <c:v>1609.6046241139411</c:v>
                </c:pt>
                <c:pt idx="3">
                  <c:v>8737.8983172903372</c:v>
                </c:pt>
                <c:pt idx="4">
                  <c:v>10085.008691862629</c:v>
                </c:pt>
                <c:pt idx="5">
                  <c:v>5780.6744494661634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4F-4DF9-97D0-B587DEB3196F}"/>
            </c:ext>
          </c:extLst>
        </c:ser>
        <c:ser>
          <c:idx val="6"/>
          <c:order val="5"/>
          <c:tx>
            <c:strRef>
              <c:f>Papierindustrie!$B$51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Papierindustrie!$E$2:$K$2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Papierindustrie!$E$51:$K$51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4F-4DF9-97D0-B587DEB3196F}"/>
            </c:ext>
          </c:extLst>
        </c:ser>
        <c:ser>
          <c:idx val="4"/>
          <c:order val="6"/>
          <c:tx>
            <c:strRef>
              <c:f>Papierindustrie!$B$54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Papierindustrie!$E$2:$K$2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Papierindustrie!$E$54:$K$54</c:f>
              <c:numCache>
                <c:formatCode>General</c:formatCode>
                <c:ptCount val="7"/>
                <c:pt idx="0">
                  <c:v>0</c:v>
                </c:pt>
                <c:pt idx="1">
                  <c:v>3.322414673289396</c:v>
                </c:pt>
                <c:pt idx="2">
                  <c:v>118.58656860986881</c:v>
                </c:pt>
                <c:pt idx="3">
                  <c:v>1152.8536139575949</c:v>
                </c:pt>
                <c:pt idx="4">
                  <c:v>4088.2188069708509</c:v>
                </c:pt>
                <c:pt idx="5">
                  <c:v>5431.9029001919635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4F-4DF9-97D0-B587DEB3196F}"/>
            </c:ext>
          </c:extLst>
        </c:ser>
        <c:ser>
          <c:idx val="0"/>
          <c:order val="7"/>
          <c:tx>
            <c:strRef>
              <c:f>Papierindustrie!$B$52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Papierindustrie!$E$2:$K$2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Papierindustrie!$E$52:$K$52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4F-4DF9-97D0-B587DEB3196F}"/>
            </c:ext>
          </c:extLst>
        </c:ser>
        <c:ser>
          <c:idx val="2"/>
          <c:order val="8"/>
          <c:tx>
            <c:strRef>
              <c:f>Papierindustrie!$B$55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Papierindustrie!$E$2:$K$2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Papierindustrie!$E$55:$K$55</c:f>
              <c:numCache>
                <c:formatCode>General</c:formatCode>
                <c:ptCount val="7"/>
                <c:pt idx="0">
                  <c:v>8914.2583358706434</c:v>
                </c:pt>
                <c:pt idx="1">
                  <c:v>9201.1003304431615</c:v>
                </c:pt>
                <c:pt idx="2">
                  <c:v>5189.8356660075406</c:v>
                </c:pt>
                <c:pt idx="3">
                  <c:v>8269.3169607167292</c:v>
                </c:pt>
                <c:pt idx="4">
                  <c:v>9286.4567816581311</c:v>
                </c:pt>
                <c:pt idx="5">
                  <c:v>14343.316454349169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4F-4DF9-97D0-B587DEB31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8144"/>
        <c:axId val="190670528"/>
        <c:extLst/>
      </c:barChart>
      <c:catAx>
        <c:axId val="1909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0670528"/>
        <c:crosses val="autoZero"/>
        <c:auto val="1"/>
        <c:lblAlgn val="ctr"/>
        <c:lblOffset val="100"/>
        <c:noMultiLvlLbl val="0"/>
      </c:catAx>
      <c:valAx>
        <c:axId val="190670528"/>
        <c:scaling>
          <c:orientation val="minMax"/>
          <c:max val="8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</a:t>
                </a:r>
                <a:r>
                  <a:rPr lang="de-DE" baseline="0"/>
                  <a:t> demand in TWh/a</a:t>
                </a:r>
              </a:p>
            </c:rich>
          </c:tx>
          <c:layout>
            <c:manualLayout>
              <c:xMode val="edge"/>
              <c:yMode val="edge"/>
              <c:x val="1.2948057335535662E-2"/>
              <c:y val="0.25956955380577429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crossAx val="190918144"/>
        <c:crosses val="autoZero"/>
        <c:crossBetween val="between"/>
        <c:majorUnit val="10000"/>
      </c:valAx>
    </c:plotArea>
    <c:legend>
      <c:legendPos val="r"/>
      <c:layout>
        <c:manualLayout>
          <c:xMode val="edge"/>
          <c:yMode val="edge"/>
          <c:x val="0.70702785434843607"/>
          <c:y val="0.2608695652173913"/>
          <c:w val="0.29134213408728643"/>
          <c:h val="0.5391304347826086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/>
              <a:t>Produktionsmenge Kupferindustrie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09522190029582"/>
          <c:y val="9.1006172057412807E-2"/>
          <c:w val="0.82452529181088552"/>
          <c:h val="0.672950638547225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Glasindustrie!$Q$66</c:f>
              <c:strCache>
                <c:ptCount val="1"/>
                <c:pt idx="0">
                  <c:v>Primärkupfergewinnung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Glasindustrie!$S$97:$Y$97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Glasindustrie!$S$66:$Y$66</c:f>
              <c:numCache>
                <c:formatCode>_-* #,##0.0_-;\-* #,##0.0_-;_-* "-"??_-;_-@_-</c:formatCode>
                <c:ptCount val="7"/>
                <c:pt idx="0">
                  <c:v>493.49978345298916</c:v>
                </c:pt>
                <c:pt idx="1">
                  <c:v>487.33435286551679</c:v>
                </c:pt>
                <c:pt idx="2">
                  <c:v>507.04385624948623</c:v>
                </c:pt>
                <c:pt idx="3">
                  <c:v>529.86703350509015</c:v>
                </c:pt>
                <c:pt idx="4">
                  <c:v>576.21441288738333</c:v>
                </c:pt>
                <c:pt idx="5">
                  <c:v>699.99998194333648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1-47E8-9B74-CD4786A8194D}"/>
            </c:ext>
          </c:extLst>
        </c:ser>
        <c:ser>
          <c:idx val="1"/>
          <c:order val="1"/>
          <c:tx>
            <c:strRef>
              <c:f>Glasindustrie!$Q$67</c:f>
              <c:strCache>
                <c:ptCount val="1"/>
                <c:pt idx="0">
                  <c:v>Kupferrecycling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Glasindustrie!$S$97:$Y$97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Glasindustrie!$S$67:$Y$67</c:f>
              <c:numCache>
                <c:formatCode>_-* #,##0.0_-;\-* #,##0.0_-;_-* "-"??_-;_-@_-</c:formatCode>
                <c:ptCount val="7"/>
                <c:pt idx="0">
                  <c:v>206.50028368659912</c:v>
                </c:pt>
                <c:pt idx="1">
                  <c:v>212.69205768621703</c:v>
                </c:pt>
                <c:pt idx="2">
                  <c:v>192.95618710488418</c:v>
                </c:pt>
                <c:pt idx="3">
                  <c:v>170.13299079105192</c:v>
                </c:pt>
                <c:pt idx="4">
                  <c:v>123.78558841911659</c:v>
                </c:pt>
                <c:pt idx="5">
                  <c:v>1.9325917761479849E-5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31-47E8-9B74-CD4786A81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5913471"/>
        <c:axId val="879285487"/>
      </c:barChart>
      <c:lineChart>
        <c:grouping val="standard"/>
        <c:varyColors val="0"/>
        <c:ser>
          <c:idx val="2"/>
          <c:order val="2"/>
          <c:tx>
            <c:strRef>
              <c:f>Glasindustrie!$Q$96</c:f>
              <c:strCache>
                <c:ptCount val="1"/>
                <c:pt idx="0">
                  <c:v>CO2 Emissionen pro Tonne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Glasindustrie!$S$97:$Y$97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Glasindustrie!$S$96:$Y$96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1-47E8-9B74-CD4786A819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06475103"/>
        <c:axId val="678511807"/>
      </c:lineChart>
      <c:catAx>
        <c:axId val="41591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879285487"/>
        <c:crosses val="autoZero"/>
        <c:auto val="1"/>
        <c:lblAlgn val="ctr"/>
        <c:lblOffset val="100"/>
        <c:noMultiLvlLbl val="0"/>
      </c:catAx>
      <c:valAx>
        <c:axId val="879285487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ysClr val="window" lastClr="FFFFFF">
                  <a:lumMod val="85000"/>
                </a:sys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/>
                  <a:t>Produktionsmenge in kt</a:t>
                </a:r>
              </a:p>
            </c:rich>
          </c:tx>
          <c:layout>
            <c:manualLayout>
              <c:xMode val="edge"/>
              <c:yMode val="edge"/>
              <c:x val="2.028749285863473E-2"/>
              <c:y val="0.25327209136461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15913471"/>
        <c:crosses val="autoZero"/>
        <c:crossBetween val="between"/>
      </c:valAx>
      <c:valAx>
        <c:axId val="678511807"/>
        <c:scaling>
          <c:orientation val="minMax"/>
          <c:min val="0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006475103"/>
        <c:crosses val="max"/>
        <c:crossBetween val="between"/>
      </c:valAx>
      <c:catAx>
        <c:axId val="1006475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8511807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.1969714156494019"/>
          <c:y val="0.92410670978809284"/>
          <c:w val="0.80302853033217525"/>
          <c:h val="5.62199038487867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/>
              <a:t>Produktionsmenge Zink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37754104123216"/>
          <c:y val="0.11814689743427637"/>
          <c:w val="0.8368598753351838"/>
          <c:h val="0.566233559551864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Glasindustrie!$Q$6</c:f>
              <c:strCache>
                <c:ptCount val="1"/>
                <c:pt idx="0">
                  <c:v>Zink Elektrolyse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Glasindustrie!$S$51:$Y$51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Glasindustrie!$S$6:$Y$6</c:f>
              <c:numCache>
                <c:formatCode>_-* #,##0.0_-;\-* #,##0.0_-;_-* "-"??_-;_-@_-</c:formatCode>
                <c:ptCount val="7"/>
                <c:pt idx="0">
                  <c:v>164.9942286057186</c:v>
                </c:pt>
                <c:pt idx="1">
                  <c:v>186.9924331566358</c:v>
                </c:pt>
                <c:pt idx="2">
                  <c:v>263.35047936031253</c:v>
                </c:pt>
                <c:pt idx="3">
                  <c:v>263.61635667319047</c:v>
                </c:pt>
                <c:pt idx="4">
                  <c:v>268.20301233863609</c:v>
                </c:pt>
                <c:pt idx="5">
                  <c:v>274.99990083769569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2-43D5-805B-6EEB28EB2745}"/>
            </c:ext>
          </c:extLst>
        </c:ser>
        <c:ser>
          <c:idx val="1"/>
          <c:order val="1"/>
          <c:tx>
            <c:strRef>
              <c:f>Glasindustrie!$Q$7</c:f>
              <c:strCache>
                <c:ptCount val="1"/>
                <c:pt idx="0">
                  <c:v>Wälzoxid inkl. Elektrolyse</c:v>
                </c:pt>
              </c:strCache>
            </c:strRef>
          </c:tx>
          <c:spPr>
            <a:solidFill>
              <a:srgbClr val="DF0F4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Glasindustrie!$S$51:$Y$51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Glasindustrie!$S$7:$Y$7</c:f>
              <c:numCache>
                <c:formatCode>_-* #,##0.0_-;\-* #,##0.0_-;_-* "-"??_-;_-@_-</c:formatCode>
                <c:ptCount val="7"/>
                <c:pt idx="0">
                  <c:v>54.017608438098925</c:v>
                </c:pt>
                <c:pt idx="1">
                  <c:v>26.1982577662158</c:v>
                </c:pt>
                <c:pt idx="2">
                  <c:v>1.041578492417397</c:v>
                </c:pt>
                <c:pt idx="3">
                  <c:v>1.1962296222989039</c:v>
                </c:pt>
                <c:pt idx="4">
                  <c:v>0.18676919426526029</c:v>
                </c:pt>
                <c:pt idx="5">
                  <c:v>3.5976951513289204E-5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2-43D5-805B-6EEB28EB2745}"/>
            </c:ext>
          </c:extLst>
        </c:ser>
        <c:ser>
          <c:idx val="2"/>
          <c:order val="2"/>
          <c:tx>
            <c:strRef>
              <c:f>Glasindustrie!$Q$8</c:f>
              <c:strCache>
                <c:ptCount val="1"/>
                <c:pt idx="0">
                  <c:v>Umschmelzzink inkl. New J.</c:v>
                </c:pt>
              </c:strCache>
            </c:strRef>
          </c:tx>
          <c:spPr>
            <a:solidFill>
              <a:srgbClr val="30A93B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Glasindustrie!$S$51:$Y$51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Glasindustrie!$S$8:$Y$8</c:f>
              <c:numCache>
                <c:formatCode>_-* #,##0.0_-;\-* #,##0.0_-;_-* "-"??_-;_-@_-</c:formatCode>
                <c:ptCount val="7"/>
                <c:pt idx="0">
                  <c:v>44.963001318412793</c:v>
                </c:pt>
                <c:pt idx="1">
                  <c:v>46.926573609620363</c:v>
                </c:pt>
                <c:pt idx="2">
                  <c:v>0.30287980723346902</c:v>
                </c:pt>
                <c:pt idx="3">
                  <c:v>0.95237166609535029</c:v>
                </c:pt>
                <c:pt idx="4">
                  <c:v>3.7712801567738502E-5</c:v>
                </c:pt>
                <c:pt idx="5">
                  <c:v>2.757486784138839E-5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2-43D5-805B-6EEB28EB2745}"/>
            </c:ext>
          </c:extLst>
        </c:ser>
        <c:ser>
          <c:idx val="3"/>
          <c:order val="3"/>
          <c:tx>
            <c:strRef>
              <c:f>Glasindustrie!$Q$9</c:f>
              <c:strCache>
                <c:ptCount val="1"/>
                <c:pt idx="0">
                  <c:v>Umschmelzzink inkl. Zincref</c:v>
                </c:pt>
              </c:strCache>
            </c:strRef>
          </c:tx>
          <c:spPr>
            <a:solidFill>
              <a:srgbClr val="6D268E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Glasindustrie!$S$51:$Y$51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Glasindustrie!$S$9:$Y$9</c:f>
              <c:numCache>
                <c:formatCode>_-* #,##0.0_-;\-* #,##0.0_-;_-* "-"??_-;_-@_-</c:formatCode>
                <c:ptCount val="7"/>
                <c:pt idx="0">
                  <c:v>0</c:v>
                </c:pt>
                <c:pt idx="1">
                  <c:v>3.5681226345749661</c:v>
                </c:pt>
                <c:pt idx="2">
                  <c:v>1.307594944016974E-3</c:v>
                </c:pt>
                <c:pt idx="3">
                  <c:v>0.1500017272240024</c:v>
                </c:pt>
                <c:pt idx="4">
                  <c:v>3.3824617931151987E-5</c:v>
                </c:pt>
                <c:pt idx="5">
                  <c:v>3.8079365322521026E-5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2-43D5-805B-6EEB28EB2745}"/>
            </c:ext>
          </c:extLst>
        </c:ser>
        <c:ser>
          <c:idx val="4"/>
          <c:order val="4"/>
          <c:tx>
            <c:strRef>
              <c:f>Glasindustrie!$Q$10</c:f>
              <c:strCache>
                <c:ptCount val="1"/>
                <c:pt idx="0">
                  <c:v>KRS-Oxid (zinkgehalt)</c:v>
                </c:pt>
              </c:strCache>
            </c:strRef>
          </c:tx>
          <c:spPr>
            <a:solidFill>
              <a:srgbClr val="FFE900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Glasindustrie!$S$51:$Y$51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Glasindustrie!$S$10:$Y$10</c:f>
              <c:numCache>
                <c:formatCode>_-* #,##0.0_-;\-* #,##0.0_-;_-* "-"??_-;_-@_-</c:formatCode>
                <c:ptCount val="7"/>
                <c:pt idx="0">
                  <c:v>11.027115148864389</c:v>
                </c:pt>
                <c:pt idx="1">
                  <c:v>11.357755880443991</c:v>
                </c:pt>
                <c:pt idx="2">
                  <c:v>10.30386039140082</c:v>
                </c:pt>
                <c:pt idx="3">
                  <c:v>9.0851017082421706</c:v>
                </c:pt>
                <c:pt idx="4">
                  <c:v>6.6101504215808253</c:v>
                </c:pt>
                <c:pt idx="5">
                  <c:v>1.032004008463024E-6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72-43D5-805B-6EEB28EB2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8111759"/>
        <c:axId val="1288970287"/>
      </c:barChart>
      <c:scatterChart>
        <c:scatterStyle val="smoothMarker"/>
        <c:varyColors val="0"/>
        <c:ser>
          <c:idx val="5"/>
          <c:order val="5"/>
          <c:tx>
            <c:strRef>
              <c:f>Glasindustrie!$Q$50</c:f>
              <c:strCache>
                <c:ptCount val="1"/>
                <c:pt idx="0">
                  <c:v>CO2 Emissionen pro Tonne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strRef>
              <c:f>Glasindustrie!$S$51:$Y$51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xVal>
          <c:yVal>
            <c:numRef>
              <c:f>Glasindustrie!$S$50:$Y$50</c:f>
              <c:numCache>
                <c:formatCode>_-* #,##0.0_-;\-* #,##0.0_-;_-*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72-43D5-805B-6EEB28EB2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633183"/>
        <c:axId val="684630271"/>
      </c:scatterChart>
      <c:catAx>
        <c:axId val="106811175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88970287"/>
        <c:crosses val="autoZero"/>
        <c:auto val="1"/>
        <c:lblAlgn val="ctr"/>
        <c:lblOffset val="100"/>
        <c:noMultiLvlLbl val="0"/>
      </c:catAx>
      <c:valAx>
        <c:axId val="128897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/>
                  <a:t>Produktionsmenge in kt</a:t>
                </a:r>
              </a:p>
            </c:rich>
          </c:tx>
          <c:layout>
            <c:manualLayout>
              <c:xMode val="edge"/>
              <c:yMode val="edge"/>
              <c:x val="9.1794145485047125E-3"/>
              <c:y val="0.252958245131360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068111759"/>
        <c:crosses val="autoZero"/>
        <c:crossBetween val="between"/>
      </c:valAx>
      <c:valAx>
        <c:axId val="684630271"/>
        <c:scaling>
          <c:orientation val="minMax"/>
        </c:scaling>
        <c:delete val="0"/>
        <c:axPos val="r"/>
        <c:numFmt formatCode="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684633183"/>
        <c:crosses val="max"/>
        <c:crossBetween val="midCat"/>
      </c:valAx>
      <c:valAx>
        <c:axId val="68463318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84630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344705518262732E-2"/>
          <c:y val="0.81834833584404654"/>
          <c:w val="0.83873751855575618"/>
          <c:h val="0.1095836129682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/>
              <a:t>Gesamtkosten Zinkindustrie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923579732899764E-2"/>
          <c:y val="0.32991954327458112"/>
          <c:w val="0.87832581210428862"/>
          <c:h val="0.593381467448750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Glasindustrie!$O$14</c:f>
              <c:strCache>
                <c:ptCount val="1"/>
                <c:pt idx="0">
                  <c:v>FuelOilHub to ZincPEP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Glasindustrie!$S$13:$Y$13</c:f>
              <c:numCache>
                <c:formatCode>_-* #,##0.0_-;\-* #,##0.0_-;_-* "-"??_-;_-@_-</c:formatCode>
                <c:ptCount val="7"/>
                <c:pt idx="0">
                  <c:v>658.16197790821172</c:v>
                </c:pt>
                <c:pt idx="1">
                  <c:v>745.91281586182026</c:v>
                </c:pt>
                <c:pt idx="2">
                  <c:v>1050.5050621682869</c:v>
                </c:pt>
                <c:pt idx="3">
                  <c:v>1051.565646769357</c:v>
                </c:pt>
                <c:pt idx="4">
                  <c:v>1069.8618162188191</c:v>
                </c:pt>
                <c:pt idx="5">
                  <c:v>1096.9746044415681</c:v>
                </c:pt>
                <c:pt idx="6">
                  <c:v>0</c:v>
                </c:pt>
              </c:numCache>
            </c:numRef>
          </c:cat>
          <c:val>
            <c:numRef>
              <c:f>Glasindustrie!$S$14:$Y$14</c:f>
              <c:numCache>
                <c:formatCode>_-* #,##0.0_-;\-* #,##0.0_-;_-* "-"??_-;_-@_-</c:formatCode>
                <c:ptCount val="7"/>
                <c:pt idx="0">
                  <c:v>5.5438060811521446</c:v>
                </c:pt>
                <c:pt idx="1">
                  <c:v>6.2829457540629612</c:v>
                </c:pt>
                <c:pt idx="2">
                  <c:v>8.8485761065064992</c:v>
                </c:pt>
                <c:pt idx="3">
                  <c:v>8.8575095842191995</c:v>
                </c:pt>
                <c:pt idx="4">
                  <c:v>9.0116212145781702</c:v>
                </c:pt>
                <c:pt idx="5">
                  <c:v>9.2399966681465742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D-43EB-866B-A645E5A67FB2}"/>
            </c:ext>
          </c:extLst>
        </c:ser>
        <c:ser>
          <c:idx val="1"/>
          <c:order val="1"/>
          <c:tx>
            <c:strRef>
              <c:f>Glasindustrie!$O$15</c:f>
              <c:strCache>
                <c:ptCount val="1"/>
                <c:pt idx="0">
                  <c:v>Gesamtsumme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Glasindustrie!$S$13:$Y$13</c:f>
              <c:numCache>
                <c:formatCode>_-* #,##0.0_-;\-* #,##0.0_-;_-* "-"??_-;_-@_-</c:formatCode>
                <c:ptCount val="7"/>
                <c:pt idx="0">
                  <c:v>658.16197790821172</c:v>
                </c:pt>
                <c:pt idx="1">
                  <c:v>745.91281586182026</c:v>
                </c:pt>
                <c:pt idx="2">
                  <c:v>1050.5050621682869</c:v>
                </c:pt>
                <c:pt idx="3">
                  <c:v>1051.565646769357</c:v>
                </c:pt>
                <c:pt idx="4">
                  <c:v>1069.8618162188191</c:v>
                </c:pt>
                <c:pt idx="5">
                  <c:v>1096.9746044415681</c:v>
                </c:pt>
                <c:pt idx="6">
                  <c:v>0</c:v>
                </c:pt>
              </c:numCache>
            </c:numRef>
          </c:cat>
          <c:val>
            <c:numRef>
              <c:f>Glasindustrie!$S$15:$Y$15</c:f>
              <c:numCache>
                <c:formatCode>_-* #,##0.0_-;\-* #,##0.0_-;_-* "-"??_-;_-@_-</c:formatCode>
                <c:ptCount val="7"/>
                <c:pt idx="0">
                  <c:v>663.70578398936391</c:v>
                </c:pt>
                <c:pt idx="1">
                  <c:v>752.19576161588327</c:v>
                </c:pt>
                <c:pt idx="2">
                  <c:v>1059.3536382747934</c:v>
                </c:pt>
                <c:pt idx="3">
                  <c:v>1060.4231563535761</c:v>
                </c:pt>
                <c:pt idx="4">
                  <c:v>1078.8734374333972</c:v>
                </c:pt>
                <c:pt idx="5">
                  <c:v>1106.2146011097147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D-43EB-866B-A645E5A67FB2}"/>
            </c:ext>
          </c:extLst>
        </c:ser>
        <c:ser>
          <c:idx val="2"/>
          <c:order val="2"/>
          <c:tx>
            <c:strRef>
              <c:f>Glasindustrie!$O$16</c:f>
              <c:strCache>
                <c:ptCount val="1"/>
                <c:pt idx="0">
                  <c:v>Energieverbrauch pro Tonne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Glasindustrie!$S$13:$Y$13</c:f>
              <c:numCache>
                <c:formatCode>_-* #,##0.0_-;\-* #,##0.0_-;_-* "-"??_-;_-@_-</c:formatCode>
                <c:ptCount val="7"/>
                <c:pt idx="0">
                  <c:v>658.16197790821172</c:v>
                </c:pt>
                <c:pt idx="1">
                  <c:v>745.91281586182026</c:v>
                </c:pt>
                <c:pt idx="2">
                  <c:v>1050.5050621682869</c:v>
                </c:pt>
                <c:pt idx="3">
                  <c:v>1051.565646769357</c:v>
                </c:pt>
                <c:pt idx="4">
                  <c:v>1069.8618162188191</c:v>
                </c:pt>
                <c:pt idx="5">
                  <c:v>1096.9746044415681</c:v>
                </c:pt>
                <c:pt idx="6">
                  <c:v>0</c:v>
                </c:pt>
              </c:numCache>
            </c:numRef>
          </c:cat>
          <c:val>
            <c:numRef>
              <c:f>Glasindustrie!$S$16:$Y$16</c:f>
              <c:numCache>
                <c:formatCode>_-* #,##0.0_-;\-* #,##0.0_-;_-* "-"??_-;_-@_-</c:formatCode>
                <c:ptCount val="7"/>
                <c:pt idx="0">
                  <c:v>4.0226000000000015</c:v>
                </c:pt>
                <c:pt idx="1">
                  <c:v>4.0226000000000006</c:v>
                </c:pt>
                <c:pt idx="2">
                  <c:v>4.0226000000000006</c:v>
                </c:pt>
                <c:pt idx="3">
                  <c:v>4.0226000000000006</c:v>
                </c:pt>
                <c:pt idx="4">
                  <c:v>4.0225999999999988</c:v>
                </c:pt>
                <c:pt idx="5">
                  <c:v>4.0226000000000006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6D-43EB-866B-A645E5A67FB2}"/>
            </c:ext>
          </c:extLst>
        </c:ser>
        <c:ser>
          <c:idx val="3"/>
          <c:order val="3"/>
          <c:tx>
            <c:strRef>
              <c:f>Glasindustrie!$O$17</c:f>
              <c:strCache>
                <c:ptCount val="1"/>
                <c:pt idx="0">
                  <c:v>CH4Hub2 to ZincRemelt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Glasindustrie!$S$13:$Y$13</c:f>
              <c:numCache>
                <c:formatCode>_-* #,##0.0_-;\-* #,##0.0_-;_-* "-"??_-;_-@_-</c:formatCode>
                <c:ptCount val="7"/>
                <c:pt idx="0">
                  <c:v>658.16197790821172</c:v>
                </c:pt>
                <c:pt idx="1">
                  <c:v>745.91281586182026</c:v>
                </c:pt>
                <c:pt idx="2">
                  <c:v>1050.5050621682869</c:v>
                </c:pt>
                <c:pt idx="3">
                  <c:v>1051.565646769357</c:v>
                </c:pt>
                <c:pt idx="4">
                  <c:v>1069.8618162188191</c:v>
                </c:pt>
                <c:pt idx="5">
                  <c:v>1096.9746044415681</c:v>
                </c:pt>
                <c:pt idx="6">
                  <c:v>0</c:v>
                </c:pt>
              </c:numCache>
            </c:numRef>
          </c:cat>
          <c:val>
            <c:numRef>
              <c:f>Glasindustrie!$S$17:$Y$17</c:f>
              <c:numCache>
                <c:formatCode>_-* #,##0.0_-;\-* #,##0.0_-;_-* "-"??_-;_-@_-</c:formatCode>
                <c:ptCount val="7"/>
                <c:pt idx="0">
                  <c:v>57.785783175886067</c:v>
                </c:pt>
                <c:pt idx="1">
                  <c:v>60.309337194586163</c:v>
                </c:pt>
                <c:pt idx="2">
                  <c:v>0.38925664114819891</c:v>
                </c:pt>
                <c:pt idx="3">
                  <c:v>1.223973956055876</c:v>
                </c:pt>
                <c:pt idx="4">
                  <c:v>4.8467933866686139E-5</c:v>
                </c:pt>
                <c:pt idx="5">
                  <c:v>3.5438811633191748E-5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6D-43EB-866B-A645E5A67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245711"/>
        <c:axId val="1208997519"/>
      </c:barChart>
      <c:catAx>
        <c:axId val="1454245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/>
                  <a:t>Gesamtkosten</a:t>
                </a:r>
                <a:r>
                  <a:rPr lang="de-DE" baseline="0"/>
                  <a:t> pro Stützjahr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Mio. €</a:t>
                </a:r>
              </a:p>
            </c:rich>
          </c:tx>
          <c:layout>
            <c:manualLayout>
              <c:xMode val="edge"/>
              <c:yMode val="edge"/>
              <c:x val="1.2113564187344378E-2"/>
              <c:y val="0.378906154131288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/>
              <a:t>Gesamtkosten</a:t>
            </a:r>
            <a:r>
              <a:rPr lang="de-DE" baseline="0"/>
              <a:t> Kupferindustrie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Glasindustrie!$O$37</c:f>
              <c:strCache>
                <c:ptCount val="1"/>
                <c:pt idx="0">
                  <c:v>Energieverbrauch pro Tonne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Glasindustrie!$S$36:$Y$36</c:f>
              <c:numCache>
                <c:formatCode>_-* #,##0.0_-;\-* #,##0.0_-;_-* "-"??_-;_-@_-</c:formatCode>
                <c:ptCount val="7"/>
                <c:pt idx="0">
                  <c:v>1120.6853163957594</c:v>
                </c:pt>
                <c:pt idx="1">
                  <c:v>543.52652112309045</c:v>
                </c:pt>
                <c:pt idx="2">
                  <c:v>21.609281789352931</c:v>
                </c:pt>
                <c:pt idx="3">
                  <c:v>24.817777230627936</c:v>
                </c:pt>
                <c:pt idx="4">
                  <c:v>3.874838217023266</c:v>
                </c:pt>
                <c:pt idx="5">
                  <c:v>7.464018207290399E-4</c:v>
                </c:pt>
                <c:pt idx="6">
                  <c:v>0</c:v>
                </c:pt>
              </c:numCache>
            </c:numRef>
          </c:cat>
          <c:val>
            <c:numRef>
              <c:f>Glasindustrie!$S$37:$Y$37</c:f>
              <c:numCache>
                <c:formatCode>0.0</c:formatCode>
                <c:ptCount val="7"/>
                <c:pt idx="0">
                  <c:v>20.746666666666673</c:v>
                </c:pt>
                <c:pt idx="1">
                  <c:v>20.746666666666666</c:v>
                </c:pt>
                <c:pt idx="2">
                  <c:v>20.74666666666667</c:v>
                </c:pt>
                <c:pt idx="3">
                  <c:v>20.746666666666673</c:v>
                </c:pt>
                <c:pt idx="4">
                  <c:v>20.746666666666663</c:v>
                </c:pt>
                <c:pt idx="5">
                  <c:v>20.746666666666663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8-4DCA-851C-1004358D070C}"/>
            </c:ext>
          </c:extLst>
        </c:ser>
        <c:ser>
          <c:idx val="1"/>
          <c:order val="1"/>
          <c:tx>
            <c:strRef>
              <c:f>Glasindustrie!$O$38</c:f>
              <c:strCache>
                <c:ptCount val="1"/>
                <c:pt idx="0">
                  <c:v>Gesamtenergieverbrauch Zinkindustrie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Glasindustrie!$S$36:$Y$36</c:f>
              <c:numCache>
                <c:formatCode>_-* #,##0.0_-;\-* #,##0.0_-;_-* "-"??_-;_-@_-</c:formatCode>
                <c:ptCount val="7"/>
                <c:pt idx="0">
                  <c:v>1120.6853163957594</c:v>
                </c:pt>
                <c:pt idx="1">
                  <c:v>543.52652112309045</c:v>
                </c:pt>
                <c:pt idx="2">
                  <c:v>21.609281789352931</c:v>
                </c:pt>
                <c:pt idx="3">
                  <c:v>24.817777230627936</c:v>
                </c:pt>
                <c:pt idx="4">
                  <c:v>3.874838217023266</c:v>
                </c:pt>
                <c:pt idx="5">
                  <c:v>7.464018207290399E-4</c:v>
                </c:pt>
                <c:pt idx="6">
                  <c:v>0</c:v>
                </c:pt>
              </c:numCache>
            </c:numRef>
          </c:cat>
          <c:val>
            <c:numRef>
              <c:f>Glasindustrie!$S$38:$Y$38</c:f>
              <c:numCache>
                <c:formatCode>_-* #,##0\ _€_-;\-* #,##0\ _€_-;_-* "-"?\ _€_-;_-@_-</c:formatCode>
                <c:ptCount val="7"/>
                <c:pt idx="0">
                  <c:v>1960.4129240649838</c:v>
                </c:pt>
                <c:pt idx="1">
                  <c:v>1492.0001706764292</c:v>
                </c:pt>
                <c:pt idx="2">
                  <c:v>1082.1532445448763</c:v>
                </c:pt>
                <c:pt idx="3">
                  <c:v>1089.4976872650393</c:v>
                </c:pt>
                <c:pt idx="4">
                  <c:v>1082.7485424394033</c:v>
                </c:pt>
                <c:pt idx="5">
                  <c:v>1106.215589600127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8-4DCA-851C-1004358D0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245711"/>
        <c:axId val="1208997519"/>
      </c:barChart>
      <c:catAx>
        <c:axId val="1454245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/>
                  <a:t>Gesamtkosten pro</a:t>
                </a:r>
                <a:r>
                  <a:rPr lang="de-DE" baseline="0"/>
                  <a:t> Stützjahr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Mio. €</a:t>
                </a:r>
              </a:p>
            </c:rich>
          </c:tx>
          <c:layout>
            <c:manualLayout>
              <c:xMode val="edge"/>
              <c:yMode val="edge"/>
              <c:x val="1.2113564187344378E-2"/>
              <c:y val="0.378906154131288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/>
              <a:t>Spezifischer</a:t>
            </a:r>
            <a:r>
              <a:rPr lang="de-DE" sz="1400" baseline="0"/>
              <a:t> </a:t>
            </a:r>
            <a:r>
              <a:rPr lang="de-DE" sz="1400"/>
              <a:t>Energieverbrauch</a:t>
            </a:r>
            <a:r>
              <a:rPr lang="de-DE" sz="1400" baseline="0"/>
              <a:t> Hohlglas </a:t>
            </a:r>
            <a:br>
              <a:rPr lang="de-DE" baseline="0"/>
            </a:br>
            <a:r>
              <a:rPr lang="de-DE" sz="1200" baseline="0"/>
              <a:t>- verkaufsfertig -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Glasindustrie!$D$656</c:f>
              <c:strCache>
                <c:ptCount val="1"/>
                <c:pt idx="0">
                  <c:v>Hohlglas (verkaufsfertig)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827628739232116"/>
                  <c:y val="5.1214475071442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127F-4620-8681-B16C9EAE3FE5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127F-4620-8681-B16C9EAE3F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Glasindustrie!$F$647:$L$647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Glasindustrie!$F$656:$L$656</c:f>
              <c:numCache>
                <c:formatCode>_(* #,##0.00_);_(* \(#,##0.00\);_(* "-"??_);_(@_)</c:formatCode>
                <c:ptCount val="7"/>
                <c:pt idx="0">
                  <c:v>1.5197701662492213</c:v>
                </c:pt>
                <c:pt idx="1">
                  <c:v>1.5041920314758923</c:v>
                </c:pt>
                <c:pt idx="2">
                  <c:v>1.4405503259005201</c:v>
                </c:pt>
                <c:pt idx="3">
                  <c:v>1.3502361864691412</c:v>
                </c:pt>
                <c:pt idx="4">
                  <c:v>1.2234616100980114</c:v>
                </c:pt>
                <c:pt idx="5">
                  <c:v>1.0282486683447924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7F-4620-8681-B16C9EAE3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Glasindustrie!$D$679</c:f>
              <c:strCache>
                <c:ptCount val="1"/>
                <c:pt idx="0">
                  <c:v>Hohlglas Scherbeneinsatz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Glasindustrie!$F$679:$L$679</c:f>
              <c:numCache>
                <c:formatCode>0%</c:formatCode>
                <c:ptCount val="7"/>
                <c:pt idx="0">
                  <c:v>0.60000000000000009</c:v>
                </c:pt>
                <c:pt idx="1">
                  <c:v>0.70034171276827051</c:v>
                </c:pt>
                <c:pt idx="2">
                  <c:v>0.82674335018747946</c:v>
                </c:pt>
                <c:pt idx="3">
                  <c:v>0.88968003727059408</c:v>
                </c:pt>
                <c:pt idx="4">
                  <c:v>0.89394532561484319</c:v>
                </c:pt>
                <c:pt idx="5">
                  <c:v>0.89999998709806561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7F-4620-8681-B16C9EAE3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1.6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/>
                  <a:t>Energieverbrauch</a:t>
                </a:r>
                <a:r>
                  <a:rPr lang="de-DE" sz="1100" baseline="0"/>
                  <a:t> in MWh</a:t>
                </a:r>
                <a:endParaRPr lang="de-DE" sz="1100"/>
              </a:p>
            </c:rich>
          </c:tx>
          <c:layout>
            <c:manualLayout>
              <c:xMode val="edge"/>
              <c:yMode val="edge"/>
              <c:x val="1.2113517060367455E-2"/>
              <c:y val="0.15219925634295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2"/>
      </c:valAx>
      <c:valAx>
        <c:axId val="1629270143"/>
        <c:scaling>
          <c:orientation val="minMax"/>
          <c:min val="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5.000000000000001E-2"/>
      </c:valAx>
      <c:catAx>
        <c:axId val="1629288831"/>
        <c:scaling>
          <c:orientation val="minMax"/>
        </c:scaling>
        <c:delete val="1"/>
        <c:axPos val="b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56687681142764"/>
          <c:y val="0.7789407993266213"/>
          <c:w val="0.49544391424684814"/>
          <c:h val="0.190553626832045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/>
              <a:t>Spezifischer</a:t>
            </a:r>
            <a:r>
              <a:rPr lang="de-DE" sz="1400" baseline="0"/>
              <a:t> </a:t>
            </a:r>
            <a:r>
              <a:rPr lang="de-DE" sz="1400"/>
              <a:t>Energieverbrauch</a:t>
            </a:r>
            <a:r>
              <a:rPr lang="de-DE" sz="1400" baseline="0"/>
              <a:t> Hohlglas </a:t>
            </a:r>
            <a:br>
              <a:rPr lang="de-DE" baseline="0"/>
            </a:br>
            <a:r>
              <a:rPr lang="de-DE" sz="1200" baseline="0"/>
              <a:t>- verkaufsfertig -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4636198420464"/>
          <c:y val="0.20596392595635604"/>
          <c:w val="0.74278527541870731"/>
          <c:h val="0.58283105697286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Glasindustrie!$D$656</c:f>
              <c:strCache>
                <c:ptCount val="1"/>
                <c:pt idx="0">
                  <c:v>Hohlglas (verkaufsfertig)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827628739232116"/>
                  <c:y val="5.1214475071442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913A-454F-8286-6484109F0615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913A-454F-8286-6484109F061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Glasindustrie!$F$647:$L$647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Glasindustrie!$F$656:$L$656</c:f>
              <c:numCache>
                <c:formatCode>_(* #,##0.00_);_(* \(#,##0.00\);_(* "-"??_);_(@_)</c:formatCode>
                <c:ptCount val="7"/>
                <c:pt idx="0">
                  <c:v>1.5197701662492213</c:v>
                </c:pt>
                <c:pt idx="1">
                  <c:v>1.5041920314758923</c:v>
                </c:pt>
                <c:pt idx="2">
                  <c:v>1.4405503259005201</c:v>
                </c:pt>
                <c:pt idx="3">
                  <c:v>1.3502361864691412</c:v>
                </c:pt>
                <c:pt idx="4">
                  <c:v>1.2234616100980114</c:v>
                </c:pt>
                <c:pt idx="5">
                  <c:v>1.0282486683447924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A-454F-8286-6484109F0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Glasindustrie!$D$679</c:f>
              <c:strCache>
                <c:ptCount val="1"/>
                <c:pt idx="0">
                  <c:v>Hohlglas Scherbeneinsatz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Glasindustrie!$F$679:$L$679</c:f>
              <c:numCache>
                <c:formatCode>0%</c:formatCode>
                <c:ptCount val="7"/>
                <c:pt idx="0">
                  <c:v>0.60000000000000009</c:v>
                </c:pt>
                <c:pt idx="1">
                  <c:v>0.70034171276827051</c:v>
                </c:pt>
                <c:pt idx="2">
                  <c:v>0.82674335018747946</c:v>
                </c:pt>
                <c:pt idx="3">
                  <c:v>0.88968003727059408</c:v>
                </c:pt>
                <c:pt idx="4">
                  <c:v>0.89394532561484319</c:v>
                </c:pt>
                <c:pt idx="5">
                  <c:v>0.89999998709806561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3A-454F-8286-6484109F0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1.6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/>
                  <a:t>Energieverbrauch</a:t>
                </a:r>
                <a:r>
                  <a:rPr lang="de-DE" sz="1100" baseline="0"/>
                  <a:t> in MWh</a:t>
                </a:r>
                <a:endParaRPr lang="de-DE" sz="1100"/>
              </a:p>
            </c:rich>
          </c:tx>
          <c:layout>
            <c:manualLayout>
              <c:xMode val="edge"/>
              <c:yMode val="edge"/>
              <c:x val="4.8640626708804586E-3"/>
              <c:y val="0.22645224720397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2"/>
      </c:valAx>
      <c:valAx>
        <c:axId val="1629270143"/>
        <c:scaling>
          <c:orientation val="minMax"/>
          <c:min val="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5.000000000000001E-2"/>
      </c:valAx>
      <c:catAx>
        <c:axId val="1629288831"/>
        <c:scaling>
          <c:orientation val="minMax"/>
        </c:scaling>
        <c:delete val="1"/>
        <c:axPos val="b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Spezifischer Energieverbrauch Flachglas </a:t>
            </a:r>
            <a:br>
              <a:rPr lang="de-DE" sz="18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</a:br>
            <a:r>
              <a:rPr lang="de-DE" sz="12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- verkaufsfertig -</a:t>
            </a:r>
            <a:endParaRPr lang="de-DE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4636198420464"/>
          <c:y val="0.20596392595635604"/>
          <c:w val="0.74278527541870731"/>
          <c:h val="0.58283105697286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Glasindustrie!$D$657</c:f>
              <c:strCache>
                <c:ptCount val="1"/>
                <c:pt idx="0">
                  <c:v>Flachglas (verkaufsfertig)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120552036187339"/>
                  <c:y val="-6.7580608711055E-3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275-4A4C-ABD5-9A2FC07FB8B1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275-4A4C-ABD5-9A2FC07FB8B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Glasindustrie!$F$677:$L$677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Glasindustrie!$F$657:$L$657</c:f>
              <c:numCache>
                <c:formatCode>_(* #,##0.00_);_(* \(#,##0.00\);_(* "-"??_);_(@_)</c:formatCode>
                <c:ptCount val="7"/>
                <c:pt idx="0">
                  <c:v>2.2320794235600125</c:v>
                </c:pt>
                <c:pt idx="1">
                  <c:v>2.2341160882304574</c:v>
                </c:pt>
                <c:pt idx="2">
                  <c:v>2.150939064218699</c:v>
                </c:pt>
                <c:pt idx="3">
                  <c:v>1.9018616683959453</c:v>
                </c:pt>
                <c:pt idx="4">
                  <c:v>1.7038935008396681</c:v>
                </c:pt>
                <c:pt idx="5">
                  <c:v>1.328446974169087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75-4A4C-ABD5-9A2FC07FB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Glasindustrie!$D$680</c:f>
              <c:strCache>
                <c:ptCount val="1"/>
                <c:pt idx="0">
                  <c:v>Flachglas Scherbeneinsatz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Glasindustrie!$F$677:$L$677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Glasindustrie!$F$680:$L$680</c:f>
              <c:numCache>
                <c:formatCode>0%</c:formatCode>
                <c:ptCount val="7"/>
                <c:pt idx="0">
                  <c:v>0.2</c:v>
                </c:pt>
                <c:pt idx="1">
                  <c:v>0.20306304261569602</c:v>
                </c:pt>
                <c:pt idx="2">
                  <c:v>0.23226072603463843</c:v>
                </c:pt>
                <c:pt idx="3">
                  <c:v>0.23235518674138861</c:v>
                </c:pt>
                <c:pt idx="4">
                  <c:v>0.23244477511917691</c:v>
                </c:pt>
                <c:pt idx="5">
                  <c:v>0.23235995330966294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75-4A4C-ABD5-9A2FC07FB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 b="1" i="0" kern="1200" baseline="0">
                    <a:solidFill>
                      <a:srgbClr val="000000"/>
                    </a:solidFill>
                    <a:effectLst/>
                    <a:latin typeface="Arial Nova" panose="020B0504020202020204" pitchFamily="34" charset="0"/>
                  </a:rPr>
                  <a:t>Energieverbrauch in MWh</a:t>
                </a:r>
                <a:endParaRPr lang="de-DE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4.8640626708804586E-3"/>
              <c:y val="0.22645224720397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30000000000000004"/>
      </c:valAx>
      <c:valAx>
        <c:axId val="1629270143"/>
        <c:scaling>
          <c:orientation val="minMax"/>
          <c:min val="0.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5.000000000000001E-2"/>
      </c:valAx>
      <c:catAx>
        <c:axId val="1629288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Spezifischer Energieverbrauch Glasfasern </a:t>
            </a:r>
            <a:br>
              <a:rPr lang="de-DE" sz="18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</a:br>
            <a:r>
              <a:rPr lang="de-DE" sz="11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- verkaufsfertig -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4636198420464"/>
          <c:y val="0.20596392595635604"/>
          <c:w val="0.74278527541870731"/>
          <c:h val="0.58283105697286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Glasindustrie!$D$658</c:f>
              <c:strCache>
                <c:ptCount val="1"/>
                <c:pt idx="0">
                  <c:v>Glasfasern (verkaufsfertig)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118769791439306"/>
                  <c:y val="-2.274541224326285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2BCD-46F0-8FB7-1EE898BAD7DB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2BCD-46F0-8FB7-1EE898BAD7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Glasindustrie!$F$677:$L$677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Glasindustrie!$F$658:$L$658</c:f>
              <c:numCache>
                <c:formatCode>_(* #,##0.00_);_(* \(#,##0.00\);_(* "-"??_);_(@_)</c:formatCode>
                <c:ptCount val="7"/>
                <c:pt idx="0">
                  <c:v>2.2210294585778234</c:v>
                </c:pt>
                <c:pt idx="1">
                  <c:v>2.3528466021835208</c:v>
                </c:pt>
                <c:pt idx="2">
                  <c:v>2.0045390998552541</c:v>
                </c:pt>
                <c:pt idx="3">
                  <c:v>1.6507389574540601</c:v>
                </c:pt>
                <c:pt idx="4">
                  <c:v>1.6142897940073162</c:v>
                </c:pt>
                <c:pt idx="5">
                  <c:v>1.2596648187393455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CD-46F0-8FB7-1EE898BAD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Glasindustrie!$D$681</c:f>
              <c:strCache>
                <c:ptCount val="1"/>
                <c:pt idx="0">
                  <c:v>Glasfasern Scherbeneinsatz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Glasindustrie!$F$677:$L$677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Glasindustrie!$F$681:$L$681</c:f>
              <c:numCache>
                <c:formatCode>0%</c:formatCode>
                <c:ptCount val="7"/>
                <c:pt idx="0">
                  <c:v>0.4</c:v>
                </c:pt>
                <c:pt idx="1">
                  <c:v>0.58949775064668253</c:v>
                </c:pt>
                <c:pt idx="2">
                  <c:v>0.72886275100667142</c:v>
                </c:pt>
                <c:pt idx="3">
                  <c:v>0.68493531061761115</c:v>
                </c:pt>
                <c:pt idx="4">
                  <c:v>0.73368850825841314</c:v>
                </c:pt>
                <c:pt idx="5">
                  <c:v>0.79995991193673033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CD-46F0-8FB7-1EE898BAD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2.6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 b="1" i="0" kern="1200" baseline="0">
                    <a:solidFill>
                      <a:srgbClr val="000000"/>
                    </a:solidFill>
                    <a:effectLst/>
                    <a:latin typeface="Arial Nova" panose="020B0504020202020204" pitchFamily="34" charset="0"/>
                  </a:rPr>
                  <a:t>Energieverbrauch in MWh</a:t>
                </a:r>
                <a:endParaRPr lang="de-DE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4.8640626708804586E-3"/>
              <c:y val="0.22645224720397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4"/>
      </c:valAx>
      <c:valAx>
        <c:axId val="1629270143"/>
        <c:scaling>
          <c:orientation val="minMax"/>
          <c:max val="0.60000000000000009"/>
          <c:min val="0.30000000000000004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0.1"/>
      </c:valAx>
      <c:catAx>
        <c:axId val="1629288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Spezifischer Energieverbrauch Spezialglas </a:t>
            </a:r>
            <a:br>
              <a:rPr lang="de-DE" sz="18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</a:br>
            <a:r>
              <a:rPr lang="de-DE" sz="11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- verkaufsfertig -</a:t>
            </a:r>
            <a:endParaRPr lang="de-DE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4636198420464"/>
          <c:y val="0.20596392595635604"/>
          <c:w val="0.74278527541870731"/>
          <c:h val="0.58283105697286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Glasindustrie!$D$659</c:f>
              <c:strCache>
                <c:ptCount val="1"/>
                <c:pt idx="0">
                  <c:v>Spezialglas (verkaufsfertig)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115011069089999"/>
                  <c:y val="6.3089471150368268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D1A-410B-8CB2-11BCDA510AC7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DD1A-410B-8CB2-11BCDA510AC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Glasindustrie!$F$677:$L$677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Glasindustrie!$F$659:$L$659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A-410B-8CB2-11BCDA510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Glasindustrie!$D$682</c:f>
              <c:strCache>
                <c:ptCount val="1"/>
                <c:pt idx="0">
                  <c:v>Spezialglas Scherbeneinsatz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Glasindustrie!$F$677:$L$677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Glasindustrie!$F$682:$L$682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A-410B-8CB2-11BCDA510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 b="1" i="0" kern="1200" baseline="0">
                    <a:solidFill>
                      <a:srgbClr val="000000"/>
                    </a:solidFill>
                    <a:effectLst/>
                    <a:latin typeface="Arial Nova" panose="020B0504020202020204" pitchFamily="34" charset="0"/>
                  </a:rPr>
                  <a:t>Energieverbrauch in MWh</a:t>
                </a:r>
                <a:endParaRPr lang="de-DE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4.8640626708804586E-3"/>
              <c:y val="0.22645224720397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60000000000000009"/>
      </c:valAx>
      <c:valAx>
        <c:axId val="1629270143"/>
        <c:scaling>
          <c:orientation val="minMax"/>
          <c:max val="0.4"/>
          <c:min val="0.2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5.000000000000001E-2"/>
      </c:valAx>
      <c:catAx>
        <c:axId val="1629288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Spezifischer Energieverbrauch Hohlglas </a:t>
            </a:r>
            <a:br>
              <a:rPr lang="de-DE" sz="144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</a:br>
            <a:r>
              <a:rPr lang="de-DE" sz="12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- geschmolzen -</a:t>
            </a:r>
            <a:endParaRPr lang="de-DE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4636198420464"/>
          <c:y val="0.20596392595635604"/>
          <c:w val="0.74278527541870731"/>
          <c:h val="0.58283105697286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Glasindustrie!$D$660</c:f>
              <c:strCache>
                <c:ptCount val="1"/>
                <c:pt idx="0">
                  <c:v>Hohlglas (geschmolzen)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119791444110566"/>
                  <c:y val="3.9648257788050638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FAC8-4C4D-8FB0-CF66C84761D6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FAC8-4C4D-8FB0-CF66C84761D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Glasindustrie!$F$664:$L$664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Glasindustrie!$F$660:$L$660</c:f>
              <c:numCache>
                <c:formatCode>_(* #,##0.00_);_(* \(#,##0.00\);_(* "-"??_);_(@_)</c:formatCode>
                <c:ptCount val="7"/>
                <c:pt idx="0">
                  <c:v>1.5197701662492213</c:v>
                </c:pt>
                <c:pt idx="1">
                  <c:v>1.5041920314758923</c:v>
                </c:pt>
                <c:pt idx="2">
                  <c:v>1.4405503259005201</c:v>
                </c:pt>
                <c:pt idx="3">
                  <c:v>1.3502361864691412</c:v>
                </c:pt>
                <c:pt idx="4">
                  <c:v>1.2234616100980114</c:v>
                </c:pt>
                <c:pt idx="5">
                  <c:v>1.0282486683447924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C8-4C4D-8FB0-CF66C8476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Glasindustrie!$D$679</c:f>
              <c:strCache>
                <c:ptCount val="1"/>
                <c:pt idx="0">
                  <c:v>Hohlglas Scherbeneinsatz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Glasindustrie!$F$664:$L$664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Glasindustrie!$F$679:$L$679</c:f>
              <c:numCache>
                <c:formatCode>0%</c:formatCode>
                <c:ptCount val="7"/>
                <c:pt idx="0">
                  <c:v>0.60000000000000009</c:v>
                </c:pt>
                <c:pt idx="1">
                  <c:v>0.70034171276827051</c:v>
                </c:pt>
                <c:pt idx="2">
                  <c:v>0.82674335018747946</c:v>
                </c:pt>
                <c:pt idx="3">
                  <c:v>0.88968003727059408</c:v>
                </c:pt>
                <c:pt idx="4">
                  <c:v>0.89394532561484319</c:v>
                </c:pt>
                <c:pt idx="5">
                  <c:v>0.89999998709806561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C8-4C4D-8FB0-CF66C8476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1.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 b="1" i="0" kern="1200" baseline="0">
                    <a:solidFill>
                      <a:srgbClr val="000000"/>
                    </a:solidFill>
                    <a:effectLst/>
                    <a:latin typeface="Arial Nova" panose="020B0504020202020204" pitchFamily="34" charset="0"/>
                  </a:rPr>
                  <a:t>Energieverbrauch in MWh</a:t>
                </a:r>
                <a:endParaRPr lang="de-DE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4.8640626708804586E-3"/>
              <c:y val="0.22645224720397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1"/>
      </c:valAx>
      <c:valAx>
        <c:axId val="1629270143"/>
        <c:scaling>
          <c:orientation val="minMax"/>
          <c:min val="0.55000000000000004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5.000000000000001E-2"/>
      </c:valAx>
      <c:catAx>
        <c:axId val="1629288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Spezifischer Energieverbrauch Flachglas </a:t>
            </a:r>
            <a:br>
              <a:rPr lang="de-DE" sz="144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</a:br>
            <a:r>
              <a:rPr lang="de-DE" sz="12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- geschmolzen -</a:t>
            </a:r>
            <a:endParaRPr lang="de-DE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4636198420464"/>
          <c:y val="0.20596392595635604"/>
          <c:w val="0.74278527541870731"/>
          <c:h val="0.58283105697286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Glasindustrie!$D$661</c:f>
              <c:strCache>
                <c:ptCount val="1"/>
                <c:pt idx="0">
                  <c:v>Flachglas (geschmolzen)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119791444110566"/>
                  <c:y val="1.0946787864547262E-3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07-49CA-8AAE-647DA3B3C615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207-49CA-8AAE-647DA3B3C61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Glasindustrie!$F$664:$L$664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Glasindustrie!$F$661:$L$661</c:f>
              <c:numCache>
                <c:formatCode>_(* #,##0.00_);_(* \(#,##0.00\);_(* "-"??_);_(@_)</c:formatCode>
                <c:ptCount val="7"/>
                <c:pt idx="0">
                  <c:v>2.2320794235600125</c:v>
                </c:pt>
                <c:pt idx="1">
                  <c:v>2.2341160882304574</c:v>
                </c:pt>
                <c:pt idx="2">
                  <c:v>2.150939064218699</c:v>
                </c:pt>
                <c:pt idx="3">
                  <c:v>1.9018616683959453</c:v>
                </c:pt>
                <c:pt idx="4">
                  <c:v>1.7038935008396681</c:v>
                </c:pt>
                <c:pt idx="5">
                  <c:v>1.328446974169087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07-49CA-8AAE-647DA3B3C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Glasindustrie!$D$680</c:f>
              <c:strCache>
                <c:ptCount val="1"/>
                <c:pt idx="0">
                  <c:v>Flachglas Scherbeneinsatz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Glasindustrie!$F$664:$L$664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Glasindustrie!$F$680:$L$680</c:f>
              <c:numCache>
                <c:formatCode>0%</c:formatCode>
                <c:ptCount val="7"/>
                <c:pt idx="0">
                  <c:v>0.2</c:v>
                </c:pt>
                <c:pt idx="1">
                  <c:v>0.20306304261569602</c:v>
                </c:pt>
                <c:pt idx="2">
                  <c:v>0.23226072603463843</c:v>
                </c:pt>
                <c:pt idx="3">
                  <c:v>0.23235518674138861</c:v>
                </c:pt>
                <c:pt idx="4">
                  <c:v>0.23244477511917691</c:v>
                </c:pt>
                <c:pt idx="5">
                  <c:v>0.23235995330966294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07-49CA-8AAE-647DA3B3C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2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 b="1" i="0" kern="1200" baseline="0">
                    <a:solidFill>
                      <a:srgbClr val="000000"/>
                    </a:solidFill>
                    <a:effectLst/>
                    <a:latin typeface="Arial Nova" panose="020B0504020202020204" pitchFamily="34" charset="0"/>
                  </a:rPr>
                  <a:t>Energieverbrauch in MWh</a:t>
                </a:r>
                <a:endParaRPr lang="de-DE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4.8640626708804586E-3"/>
              <c:y val="0.22645224720397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2"/>
      </c:valAx>
      <c:valAx>
        <c:axId val="1629270143"/>
        <c:scaling>
          <c:orientation val="minMax"/>
          <c:min val="0.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5.000000000000001E-2"/>
      </c:valAx>
      <c:catAx>
        <c:axId val="1629288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Spezifischer Energieverbrauch Glasfasern </a:t>
            </a:r>
            <a:br>
              <a:rPr lang="de-DE" sz="144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</a:br>
            <a:r>
              <a:rPr lang="de-DE" sz="12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- geschmolzen -</a:t>
            </a:r>
            <a:endParaRPr lang="de-DE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4636198420464"/>
          <c:y val="0.20596392595635604"/>
          <c:w val="0.74278527541870731"/>
          <c:h val="0.58283105697286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Glasindustrie!$D$662</c:f>
              <c:strCache>
                <c:ptCount val="1"/>
                <c:pt idx="0">
                  <c:v>Glasfasern (geschmolzen)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119786041420139"/>
                  <c:y val="8.9840091512457851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C8E8-4780-A12B-8A7683642A93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C8E8-4780-A12B-8A7683642A9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Glasindustrie!$F$664:$L$664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Glasindustrie!$F$662:$L$662</c:f>
              <c:numCache>
                <c:formatCode>_(* #,##0.00_);_(* \(#,##0.00\);_(* "-"??_);_(@_)</c:formatCode>
                <c:ptCount val="7"/>
                <c:pt idx="0">
                  <c:v>2.2210294585778234</c:v>
                </c:pt>
                <c:pt idx="1">
                  <c:v>2.3528466021835208</c:v>
                </c:pt>
                <c:pt idx="2">
                  <c:v>2.0045390998552541</c:v>
                </c:pt>
                <c:pt idx="3">
                  <c:v>1.6507389574540601</c:v>
                </c:pt>
                <c:pt idx="4">
                  <c:v>1.6142897940073162</c:v>
                </c:pt>
                <c:pt idx="5">
                  <c:v>1.2596648187393455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E8-4780-A12B-8A7683642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Glasindustrie!$D$681</c:f>
              <c:strCache>
                <c:ptCount val="1"/>
                <c:pt idx="0">
                  <c:v>Glasfasern Scherbeneinsatz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Glasindustrie!$F$664:$L$664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Glasindustrie!$F$681:$L$681</c:f>
              <c:numCache>
                <c:formatCode>0%</c:formatCode>
                <c:ptCount val="7"/>
                <c:pt idx="0">
                  <c:v>0.4</c:v>
                </c:pt>
                <c:pt idx="1">
                  <c:v>0.58949775064668253</c:v>
                </c:pt>
                <c:pt idx="2">
                  <c:v>0.72886275100667142</c:v>
                </c:pt>
                <c:pt idx="3">
                  <c:v>0.68493531061761115</c:v>
                </c:pt>
                <c:pt idx="4">
                  <c:v>0.73368850825841314</c:v>
                </c:pt>
                <c:pt idx="5">
                  <c:v>0.79995991193673033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E8-4780-A12B-8A7683642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2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 b="1" i="0" kern="1200" baseline="0">
                    <a:solidFill>
                      <a:srgbClr val="000000"/>
                    </a:solidFill>
                    <a:effectLst/>
                    <a:latin typeface="Arial Nova" panose="020B0504020202020204" pitchFamily="34" charset="0"/>
                  </a:rPr>
                  <a:t>Energieverbrauch in MWh</a:t>
                </a:r>
                <a:endParaRPr lang="de-DE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4.8640626708804586E-3"/>
              <c:y val="0.22645224720397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2"/>
      </c:valAx>
      <c:valAx>
        <c:axId val="1629270143"/>
        <c:scaling>
          <c:orientation val="minMax"/>
          <c:max val="0.60000000000000009"/>
          <c:min val="0.30000000000000004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0.1"/>
      </c:valAx>
      <c:catAx>
        <c:axId val="1629288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Spezifischer Energieverbrauch Spezialglas </a:t>
            </a:r>
            <a:br>
              <a:rPr lang="de-DE" sz="144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</a:br>
            <a:r>
              <a:rPr lang="de-DE" sz="1200" b="1" i="0" kern="1200" spc="0" baseline="0">
                <a:solidFill>
                  <a:srgbClr val="000000"/>
                </a:solidFill>
                <a:effectLst/>
                <a:latin typeface="Arial Nova" panose="020B0504020202020204" pitchFamily="34" charset="0"/>
              </a:rPr>
              <a:t>- geschmolzen -</a:t>
            </a:r>
            <a:endParaRPr lang="de-DE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4636198420464"/>
          <c:y val="0.20596392595635604"/>
          <c:w val="0.74278527541870731"/>
          <c:h val="0.58283105697286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Glasindustrie!$D$663</c:f>
              <c:strCache>
                <c:ptCount val="1"/>
                <c:pt idx="0">
                  <c:v>Spezialglas (geschmolzen)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119790938741253"/>
                  <c:y val="1.9103105293149232E-3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382-4A8E-9CD4-6159CFE1726C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382-4A8E-9CD4-6159CFE1726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Glasindustrie!$F$664:$L$664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Glasindustrie!$F$663:$L$663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82-4A8E-9CD4-6159CFE17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Glasindustrie!$D$682</c:f>
              <c:strCache>
                <c:ptCount val="1"/>
                <c:pt idx="0">
                  <c:v>Spezialglas Scherbeneinsatz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Glasindustrie!$F$664:$L$664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Glasindustrie!$F$682:$L$682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2-4A8E-9CD4-6159CFE17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3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 b="1" i="0" kern="1200" baseline="0">
                    <a:solidFill>
                      <a:srgbClr val="000000"/>
                    </a:solidFill>
                    <a:effectLst/>
                    <a:latin typeface="Arial Nova" panose="020B0504020202020204" pitchFamily="34" charset="0"/>
                  </a:rPr>
                  <a:t>Energieverbrauch in MWh</a:t>
                </a:r>
                <a:endParaRPr lang="de-DE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4.8640626708804586E-3"/>
              <c:y val="0.22645224720397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4"/>
      </c:valAx>
      <c:valAx>
        <c:axId val="1629270143"/>
        <c:scaling>
          <c:orientation val="minMax"/>
          <c:max val="0.5"/>
          <c:min val="0.2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0.1"/>
      </c:valAx>
      <c:catAx>
        <c:axId val="1629288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/>
              <a:t>Energieverbrauch</a:t>
            </a:r>
            <a:r>
              <a:rPr lang="de-DE" sz="1400" baseline="0"/>
              <a:t> Glasbranche </a:t>
            </a:r>
            <a:br>
              <a:rPr lang="de-DE" baseline="0"/>
            </a:br>
            <a:r>
              <a:rPr lang="de-DE" sz="1200" baseline="0"/>
              <a:t>- verkaufsfertig -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4636198420464"/>
          <c:y val="0.20596392595635604"/>
          <c:w val="0.74278527541870731"/>
          <c:h val="0.582831056972863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Glasindustrie!$D$678</c:f>
              <c:strCache>
                <c:ptCount val="1"/>
                <c:pt idx="0">
                  <c:v>Energie pro Tonne Glas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117431153676556"/>
                  <c:y val="3.19637268522052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B96-493A-AB41-665B4BBAA681}"/>
                </c:ext>
              </c:extLst>
            </c:dLbl>
            <c:dLbl>
              <c:idx val="6"/>
              <c:layout>
                <c:manualLayout>
                  <c:x val="-7.2386078846108908E-3"/>
                  <c:y val="-9.7222222222222307E-2"/>
                </c:manualLayout>
              </c:layout>
              <c:spPr>
                <a:solidFill>
                  <a:sysClr val="window" lastClr="FFFFFF">
                    <a:lumMod val="75000"/>
                  </a:sys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Arial Nova" panose="020B0504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B96-493A-AB41-665B4BBAA68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Glasindustrie!$F$647:$L$647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Glasindustrie!$F$678:$L$678</c:f>
              <c:numCache>
                <c:formatCode>_(* #,##0.00_);_(* \(#,##0.00\);_(* "-"??_);_(@_)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96-493A-AB41-665B4BBAA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245711"/>
        <c:axId val="1208997519"/>
      </c:barChart>
      <c:lineChart>
        <c:grouping val="standard"/>
        <c:varyColors val="0"/>
        <c:ser>
          <c:idx val="1"/>
          <c:order val="1"/>
          <c:tx>
            <c:strRef>
              <c:f>Glasindustrie!$D$671</c:f>
              <c:strCache>
                <c:ptCount val="1"/>
                <c:pt idx="0">
                  <c:v>Scherben prozentual Gemenge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Glasindustrie!$F$677:$L$677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Glasindustrie!$F$671:$L$671</c:f>
              <c:numCache>
                <c:formatCode>0.00%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96-493A-AB41-665B4BBAA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88831"/>
        <c:axId val="1629270143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2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/>
                  <a:t>Energieverbrauch</a:t>
                </a:r>
                <a:r>
                  <a:rPr lang="de-DE" sz="1100" baseline="0"/>
                  <a:t> in MWh</a:t>
                </a:r>
                <a:endParaRPr lang="de-DE" sz="1100"/>
              </a:p>
            </c:rich>
          </c:tx>
          <c:layout>
            <c:manualLayout>
              <c:xMode val="edge"/>
              <c:yMode val="edge"/>
              <c:x val="4.8640626708804586E-3"/>
              <c:y val="0.22645224720397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solidFill>
              <a:sysClr val="windowText" lastClr="000000">
                <a:lumMod val="25000"/>
                <a:lumOff val="75000"/>
                <a:alpha val="99000"/>
              </a:sys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  <c:majorUnit val="0.2"/>
      </c:valAx>
      <c:valAx>
        <c:axId val="1629270143"/>
        <c:scaling>
          <c:orientation val="minMax"/>
          <c:max val="0.5"/>
          <c:min val="0.35000000000000003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29288831"/>
        <c:crosses val="max"/>
        <c:crossBetween val="between"/>
        <c:majorUnit val="5.000000000000001E-2"/>
      </c:valAx>
      <c:catAx>
        <c:axId val="1629288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270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400"/>
              <a:t>Jährliche</a:t>
            </a:r>
            <a:r>
              <a:rPr lang="de-DE" sz="1400" baseline="0"/>
              <a:t> Gesamtkosten Glasindustrie</a:t>
            </a:r>
            <a:br>
              <a:rPr lang="de-DE" sz="1400" baseline="0"/>
            </a:br>
            <a:r>
              <a:rPr lang="de-DE" sz="1200" baseline="0"/>
              <a:t>- nach Wannenart -</a:t>
            </a:r>
            <a:endParaRPr lang="de-DE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15877854222299"/>
          <c:y val="0.10984073698693442"/>
          <c:w val="0.66322789416094374"/>
          <c:h val="0.809317073835105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Glasindustrie!$D$607</c:f>
              <c:strCache>
                <c:ptCount val="1"/>
                <c:pt idx="0">
                  <c:v>Elektrische Glasschmelze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Glasindustrie!$F$606:$L$606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Glasindustrie!$F$607:$L$607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5-4A8B-BE63-3F4B876EA6D0}"/>
            </c:ext>
          </c:extLst>
        </c:ser>
        <c:ser>
          <c:idx val="1"/>
          <c:order val="1"/>
          <c:tx>
            <c:strRef>
              <c:f>Glasindustrie!$D$608</c:f>
              <c:strCache>
                <c:ptCount val="1"/>
                <c:pt idx="0">
                  <c:v>Erdgas Glassschmelze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Glasindustrie!$F$606:$L$606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Glasindustrie!$F$608:$L$608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5-4A8B-BE63-3F4B876EA6D0}"/>
            </c:ext>
          </c:extLst>
        </c:ser>
        <c:ser>
          <c:idx val="2"/>
          <c:order val="2"/>
          <c:tx>
            <c:strRef>
              <c:f>Glasindustrie!$D$609</c:f>
              <c:strCache>
                <c:ptCount val="1"/>
                <c:pt idx="0">
                  <c:v>Erdgas-Hybrid Glasschmelze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Glasindustrie!$F$606:$L$606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Glasindustrie!$F$609:$L$609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5-4A8B-BE63-3F4B876EA6D0}"/>
            </c:ext>
          </c:extLst>
        </c:ser>
        <c:ser>
          <c:idx val="3"/>
          <c:order val="3"/>
          <c:tx>
            <c:strRef>
              <c:f>Glasindustrie!$D$610</c:f>
              <c:strCache>
                <c:ptCount val="1"/>
                <c:pt idx="0">
                  <c:v>Heizöl Glassschmelze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Glasindustrie!$F$606:$L$606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Glasindustrie!$F$610:$L$610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25-4A8B-BE63-3F4B876EA6D0}"/>
            </c:ext>
          </c:extLst>
        </c:ser>
        <c:ser>
          <c:idx val="4"/>
          <c:order val="4"/>
          <c:tx>
            <c:strRef>
              <c:f>Glasindustrie!$D$611</c:f>
              <c:strCache>
                <c:ptCount val="1"/>
                <c:pt idx="0">
                  <c:v>Heizöl-Hybrid Glassschmelze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Glasindustrie!$F$606:$L$606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Glasindustrie!$F$611:$L$611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25-4A8B-BE63-3F4B876EA6D0}"/>
            </c:ext>
          </c:extLst>
        </c:ser>
        <c:ser>
          <c:idx val="5"/>
          <c:order val="5"/>
          <c:tx>
            <c:strRef>
              <c:f>Glasindustrie!$D$612</c:f>
              <c:strCache>
                <c:ptCount val="1"/>
                <c:pt idx="0">
                  <c:v>Oxy-Fuel Glasschmelze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Glasindustrie!$F$606:$L$606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Glasindustrie!$F$612:$L$612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25-4A8B-BE63-3F4B876EA6D0}"/>
            </c:ext>
          </c:extLst>
        </c:ser>
        <c:ser>
          <c:idx val="6"/>
          <c:order val="6"/>
          <c:tx>
            <c:strRef>
              <c:f>Glasindustrie!$D$613</c:f>
              <c:strCache>
                <c:ptCount val="1"/>
                <c:pt idx="0">
                  <c:v>Gasgemisch Glasschmelze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Glasindustrie!$F$606:$L$606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Glasindustrie!$F$613:$L$613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25-4A8B-BE63-3F4B876EA6D0}"/>
            </c:ext>
          </c:extLst>
        </c:ser>
        <c:ser>
          <c:idx val="7"/>
          <c:order val="7"/>
          <c:tx>
            <c:strRef>
              <c:f>Glasindustrie!$D$614</c:f>
              <c:strCache>
                <c:ptCount val="1"/>
                <c:pt idx="0">
                  <c:v>Wasserstoffbefeuerte Glasschmelze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Glasindustrie!$F$606:$L$606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Glasindustrie!$F$614:$L$614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25-4A8B-BE63-3F4B876EA6D0}"/>
            </c:ext>
          </c:extLst>
        </c:ser>
        <c:ser>
          <c:idx val="8"/>
          <c:order val="8"/>
          <c:tx>
            <c:strRef>
              <c:f>Glasindustrie!$D$615</c:f>
              <c:strCache>
                <c:ptCount val="1"/>
                <c:pt idx="0">
                  <c:v>Superboost Glasschmelze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Glasindustrie!$F$606:$L$606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Glasindustrie!$F$615:$L$615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25-4A8B-BE63-3F4B876EA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7927583"/>
        <c:axId val="1660628463"/>
      </c:barChart>
      <c:catAx>
        <c:axId val="183792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60628463"/>
        <c:crosses val="autoZero"/>
        <c:auto val="1"/>
        <c:lblAlgn val="ctr"/>
        <c:lblOffset val="100"/>
        <c:noMultiLvlLbl val="0"/>
      </c:catAx>
      <c:valAx>
        <c:axId val="166062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 sz="1100"/>
                  <a:t>Jährliche Kosten in Millionen</a:t>
                </a:r>
                <a:r>
                  <a:rPr lang="de-DE" sz="1100" baseline="0"/>
                  <a:t> €</a:t>
                </a:r>
                <a:endParaRPr lang="de-DE" sz="1100"/>
              </a:p>
            </c:rich>
          </c:tx>
          <c:layout>
            <c:manualLayout>
              <c:xMode val="edge"/>
              <c:yMode val="edge"/>
              <c:x val="1.8655424654722842E-2"/>
              <c:y val="0.27431777244464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83792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141413452410603"/>
          <c:y val="0.16561364376339116"/>
          <c:w val="0.18243389161963086"/>
          <c:h val="0.79317507514116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600" b="1"/>
              <a:t>Energy demand glass industry</a:t>
            </a:r>
          </a:p>
        </c:rich>
      </c:tx>
      <c:layout>
        <c:manualLayout>
          <c:xMode val="edge"/>
          <c:yMode val="edge"/>
          <c:x val="0.32975674785364617"/>
          <c:y val="2.26629451773775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84628560322085"/>
          <c:y val="0.15992156364189719"/>
          <c:w val="0.77503849701138794"/>
          <c:h val="0.64619479186750994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Glasindustrie!$C$640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Glasindustrie!$F$639:$L$639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Glasindustrie!$F$640:$L$640</c:f>
              <c:numCache>
                <c:formatCode>_-* #,##0_-;\-* #,##0_-;_-* "-"??_-;_-@_-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A-408F-9CE0-48F5DFC271BB}"/>
            </c:ext>
          </c:extLst>
        </c:ser>
        <c:ser>
          <c:idx val="2"/>
          <c:order val="1"/>
          <c:tx>
            <c:strRef>
              <c:f>Glasindustrie!$C$642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Glasindustrie!$F$639:$L$639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Glasindustrie!$F$642:$L$642</c:f>
              <c:numCache>
                <c:formatCode>_-* #,##0_-;\-* #,##0_-;_-* "-"??_-;_-@_-</c:formatCode>
                <c:ptCount val="7"/>
                <c:pt idx="0">
                  <c:v>955.60756391407494</c:v>
                </c:pt>
                <c:pt idx="1">
                  <c:v>590.41079993558969</c:v>
                </c:pt>
                <c:pt idx="2">
                  <c:v>926.8501846280742</c:v>
                </c:pt>
                <c:pt idx="3">
                  <c:v>2388.2611111495407</c:v>
                </c:pt>
                <c:pt idx="4">
                  <c:v>4360.6593201656979</c:v>
                </c:pt>
                <c:pt idx="5">
                  <c:v>8739.7086826049963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FA-408F-9CE0-48F5DFC271BB}"/>
            </c:ext>
          </c:extLst>
        </c:ser>
        <c:ser>
          <c:idx val="3"/>
          <c:order val="2"/>
          <c:tx>
            <c:strRef>
              <c:f>Glasindustrie!$C$643</c:f>
              <c:strCache>
                <c:ptCount val="1"/>
                <c:pt idx="0">
                  <c:v>Fuel oil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Glasindustrie!$F$639:$L$639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Glasindustrie!$F$643:$L$643</c:f>
              <c:numCache>
                <c:formatCode>_-* #,##0_-;\-* #,##0_-;_-* "-"??_-;_-@_-</c:formatCode>
                <c:ptCount val="7"/>
                <c:pt idx="0">
                  <c:v>975.60783925022679</c:v>
                </c:pt>
                <c:pt idx="1">
                  <c:v>196.77838065972102</c:v>
                </c:pt>
                <c:pt idx="2">
                  <c:v>7.6615005867522381</c:v>
                </c:pt>
                <c:pt idx="3">
                  <c:v>2.2114956559131413</c:v>
                </c:pt>
                <c:pt idx="4">
                  <c:v>2.0299415545680499E-3</c:v>
                </c:pt>
                <c:pt idx="5">
                  <c:v>1.3241033757220837E-4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FA-408F-9CE0-48F5DFC271BB}"/>
            </c:ext>
          </c:extLst>
        </c:ser>
        <c:ser>
          <c:idx val="4"/>
          <c:order val="3"/>
          <c:tx>
            <c:strRef>
              <c:f>Glasindustrie!$C$644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Glasindustrie!$F$639:$L$639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Glasindustrie!$F$644:$L$644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62.126159477568152</c:v>
                </c:pt>
                <c:pt idx="2">
                  <c:v>38.376061177381892</c:v>
                </c:pt>
                <c:pt idx="3">
                  <c:v>47.245522251308195</c:v>
                </c:pt>
                <c:pt idx="4">
                  <c:v>2.2420790991307909E-3</c:v>
                </c:pt>
                <c:pt idx="5">
                  <c:v>9.2715329084526151E-4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FA-408F-9CE0-48F5DFC271BB}"/>
            </c:ext>
          </c:extLst>
        </c:ser>
        <c:ser>
          <c:idx val="5"/>
          <c:order val="4"/>
          <c:tx>
            <c:strRef>
              <c:f>Glasindustrie!$C$641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Glasindustrie!$F$641:$L$641</c:f>
              <c:numCache>
                <c:formatCode>_-* #,##0_-;\-* #,##0_-;_-* "-"??_-;_-@_-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1-49EF-9EDD-958FFDFF1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51135"/>
        <c:axId val="1022171855"/>
      </c:barChart>
      <c:catAx>
        <c:axId val="21055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22171855"/>
        <c:crosses val="autoZero"/>
        <c:auto val="1"/>
        <c:lblAlgn val="ctr"/>
        <c:lblOffset val="100"/>
        <c:noMultiLvlLbl val="0"/>
      </c:catAx>
      <c:valAx>
        <c:axId val="1022171855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 b="1"/>
                  <a:t>TWh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0551135"/>
        <c:crosses val="autoZero"/>
        <c:crossBetween val="between"/>
        <c:majorUnit val="2000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743412539459693E-2"/>
          <c:y val="0.88932961184404413"/>
          <c:w val="0.44995726988306484"/>
          <c:h val="5.50122128713902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" lastClr="FFFFFF">
          <a:lumMod val="50000"/>
        </a:sysClr>
      </a:solidFill>
      <a:round/>
    </a:ln>
    <a:effectLst/>
  </c:spPr>
  <c:txPr>
    <a:bodyPr/>
    <a:lstStyle/>
    <a:p>
      <a:pPr>
        <a:defRPr sz="1600"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de-DE" sz="1600"/>
              <a:t>Gesamte</a:t>
            </a:r>
            <a:r>
              <a:rPr lang="de-DE" sz="1600" baseline="0"/>
              <a:t> </a:t>
            </a:r>
            <a:r>
              <a:rPr lang="de-DE" sz="1600"/>
              <a:t>CO2-Emissionen</a:t>
            </a:r>
            <a:r>
              <a:rPr lang="de-DE" sz="1600" baseline="0"/>
              <a:t> Glasindustrie</a:t>
            </a:r>
            <a:br>
              <a:rPr lang="de-DE" sz="1600" baseline="0"/>
            </a:br>
            <a:r>
              <a:rPr lang="de-DE" sz="1200" baseline="0"/>
              <a:t>- Schmelzprozesse -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Glasindustrie!$N$600</c:f>
              <c:strCache>
                <c:ptCount val="1"/>
                <c:pt idx="0">
                  <c:v>CO2-Emissionen rohstoffbedingt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ysClr val="window" lastClr="FFFFFF"/>
              </a:solidFill>
            </a:ln>
            <a:effectLst/>
          </c:spPr>
          <c:invertIfNegative val="0"/>
          <c:cat>
            <c:strRef>
              <c:f>Glasindustrie!$F$684:$L$684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Glasindustrie!$F$689:$L$689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E-44FB-8B5F-36B83DD63653}"/>
            </c:ext>
          </c:extLst>
        </c:ser>
        <c:ser>
          <c:idx val="1"/>
          <c:order val="1"/>
          <c:tx>
            <c:strRef>
              <c:f>Glasindustrie!$D$709</c:f>
              <c:strCache>
                <c:ptCount val="1"/>
                <c:pt idx="0">
                  <c:v>CO2-Emissionen energiebedingt</c:v>
                </c:pt>
              </c:strCache>
            </c:strRef>
          </c:tx>
          <c:spPr>
            <a:pattFill prst="pct20">
              <a:fgClr>
                <a:sysClr val="window" lastClr="FFFFFF"/>
              </a:fgClr>
              <a:bgClr>
                <a:srgbClr val="023D6B"/>
              </a:bgClr>
            </a:pattFill>
            <a:ln w="12700">
              <a:solidFill>
                <a:sysClr val="window" lastClr="FFFFFF"/>
              </a:solidFill>
            </a:ln>
            <a:effectLst/>
          </c:spPr>
          <c:invertIfNegative val="0"/>
          <c:cat>
            <c:strRef>
              <c:f>Glasindustrie!$F$684:$L$684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Glasindustrie!$F$709:$L$709</c:f>
              <c:numCache>
                <c:formatCode>_-* #,##0_-;\-* #,##0_-;_-* "-"??_-;_-@_-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E-44FB-8B5F-36B83DD63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245711"/>
        <c:axId val="1208997519"/>
      </c:barChart>
      <c:lineChart>
        <c:grouping val="standard"/>
        <c:varyColors val="0"/>
        <c:ser>
          <c:idx val="2"/>
          <c:order val="2"/>
          <c:tx>
            <c:strRef>
              <c:f>Glasindustrie!$N$601</c:f>
              <c:strCache>
                <c:ptCount val="1"/>
                <c:pt idx="0">
                  <c:v>Prozentualer Anteil energiebedingter CO2-Emissionen am Gesamtausstoß</c:v>
                </c:pt>
              </c:strCache>
            </c:strRef>
          </c:tx>
          <c:spPr>
            <a:ln w="41275" cap="rnd">
              <a:solidFill>
                <a:schemeClr val="accent3"/>
              </a:solidFill>
              <a:round/>
              <a:tailEnd type="triangle"/>
            </a:ln>
            <a:effectLst/>
          </c:spPr>
          <c:marker>
            <c:symbol val="none"/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EE-44FB-8B5F-36B83DD63653}"/>
                </c:ext>
              </c:extLst>
            </c:dLbl>
            <c:dLbl>
              <c:idx val="6"/>
              <c:layout>
                <c:manualLayout>
                  <c:x val="-3.3287399005537212E-2"/>
                  <c:y val="-5.89775503583677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EE-44FB-8B5F-36B83DD636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Glasindustrie!$O$612:$U$612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EE-44FB-8B5F-36B83DD63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403183"/>
        <c:axId val="1890351359"/>
      </c:lineChart>
      <c:catAx>
        <c:axId val="1454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08997519"/>
        <c:crosses val="autoZero"/>
        <c:auto val="1"/>
        <c:lblAlgn val="ctr"/>
        <c:lblOffset val="100"/>
        <c:noMultiLvlLbl val="0"/>
      </c:catAx>
      <c:valAx>
        <c:axId val="1208997519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 Nova" panose="020B0504020202020204" pitchFamily="34" charset="0"/>
                    <a:ea typeface="+mn-ea"/>
                    <a:cs typeface="+mn-cs"/>
                  </a:defRPr>
                </a:pPr>
                <a:r>
                  <a:rPr lang="de-DE"/>
                  <a:t>CO2-Emissionen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454245711"/>
        <c:crosses val="autoZero"/>
        <c:crossBetween val="between"/>
      </c:valAx>
      <c:valAx>
        <c:axId val="1890351359"/>
        <c:scaling>
          <c:orientation val="minMax"/>
          <c:max val="0.9"/>
          <c:min val="0.1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 Nova" panose="020B05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1652403183"/>
        <c:crosses val="max"/>
        <c:crossBetween val="between"/>
      </c:valAx>
      <c:catAx>
        <c:axId val="1652403183"/>
        <c:scaling>
          <c:orientation val="minMax"/>
        </c:scaling>
        <c:delete val="1"/>
        <c:axPos val="b"/>
        <c:majorTickMark val="out"/>
        <c:minorTickMark val="none"/>
        <c:tickLblPos val="nextTo"/>
        <c:crossAx val="18903513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2094349009606479E-3"/>
          <c:y val="0.8365979897084217"/>
          <c:w val="0.9917905650990394"/>
          <c:h val="0.160991315614790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ysClr val="windowText" lastClr="000000"/>
          </a:solidFill>
          <a:latin typeface="Arial Nova" panose="020B05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197916666666"/>
          <c:y val="6.1460416666666663E-2"/>
          <c:w val="0.5084030728670933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'Raumwärme - Energieträger'!$B$4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'Raumwärme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'Raumwärme - Energieträger'!$E$4:$K$4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1.0634056857922373E-2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A-4CCA-BB79-790E88D205B0}"/>
            </c:ext>
          </c:extLst>
        </c:ser>
        <c:ser>
          <c:idx val="1"/>
          <c:order val="1"/>
          <c:tx>
            <c:strRef>
              <c:f>'Raumwärme - Energieträger'!$B$5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'Raumwärme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'Raumwärme - Energieträger'!$E$5:$K$5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A-4CCA-BB79-790E88D205B0}"/>
            </c:ext>
          </c:extLst>
        </c:ser>
        <c:ser>
          <c:idx val="8"/>
          <c:order val="2"/>
          <c:tx>
            <c:strRef>
              <c:f>'Raumwärme - Energieträger'!$B$6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val>
            <c:numRef>
              <c:f>'Raumwärme - Energieträger'!$E$6:$K$6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6-4836-B15D-9AFD74F2415C}"/>
            </c:ext>
          </c:extLst>
        </c:ser>
        <c:ser>
          <c:idx val="2"/>
          <c:order val="3"/>
          <c:tx>
            <c:strRef>
              <c:f>'Raumwärme - Energieträger'!$B$7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strRef>
              <c:f>'Raumwärme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'Raumwärme - Energieträger'!$E$7:$K$7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0.13425801362291626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A-4CCA-BB79-790E88D205B0}"/>
            </c:ext>
          </c:extLst>
        </c:ser>
        <c:ser>
          <c:idx val="3"/>
          <c:order val="4"/>
          <c:tx>
            <c:strRef>
              <c:f>'Raumwärme - Energieträger'!$B$8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'Raumwärme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'Raumwärme - Energieträger'!$E$8:$K$8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72270.846731819343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A-4CCA-BB79-790E88D205B0}"/>
            </c:ext>
          </c:extLst>
        </c:ser>
        <c:ser>
          <c:idx val="4"/>
          <c:order val="5"/>
          <c:tx>
            <c:strRef>
              <c:f>'Raumwärme - Energieträger'!$B$9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'Raumwärme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'Raumwärme - Energieträger'!$E$9:$K$9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142921.1403559265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A-4CCA-BB79-790E88D205B0}"/>
            </c:ext>
          </c:extLst>
        </c:ser>
        <c:ser>
          <c:idx val="5"/>
          <c:order val="6"/>
          <c:tx>
            <c:strRef>
              <c:f>'Raumwärme - Energieträger'!$B$10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strRef>
              <c:f>'Raumwärme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'Raumwärme - Energieträger'!$E$10:$K$10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7747.8960320831502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A-4CCA-BB79-790E88D205B0}"/>
            </c:ext>
          </c:extLst>
        </c:ser>
        <c:ser>
          <c:idx val="6"/>
          <c:order val="7"/>
          <c:tx>
            <c:strRef>
              <c:f>'Raumwärme - Energieträger'!$B$11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'Raumwärme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'Raumwärme - Energieträger'!$E$11:$K$11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38313.010369808544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0A-4CCA-BB79-790E88D205B0}"/>
            </c:ext>
          </c:extLst>
        </c:ser>
        <c:ser>
          <c:idx val="7"/>
          <c:order val="8"/>
          <c:tx>
            <c:strRef>
              <c:f>'Raumwärme - Energieträger'!$B$12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'Raumwärme - Energieträger'!$E$3:$K$3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'Raumwärme - Energieträger'!$E$12:$K$12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2235.3808780035779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0A-4CCA-BB79-790E88D20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903040"/>
        <c:axId val="401612800"/>
      </c:barChart>
      <c:catAx>
        <c:axId val="40290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612800"/>
        <c:crosses val="autoZero"/>
        <c:auto val="1"/>
        <c:lblAlgn val="ctr"/>
        <c:lblOffset val="100"/>
        <c:noMultiLvlLbl val="0"/>
      </c:catAx>
      <c:valAx>
        <c:axId val="401612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Energy carrier for room heating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90304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2927451503578244"/>
          <c:y val="1.1190187627005785E-3"/>
          <c:w val="0.1920542624750218"/>
          <c:h val="0.8350294380327243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Energy carrier for room heating 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'Raumwärme - Energieträger'!$K$3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49E-4F2A-8FA0-311B2BFC3E7E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E49E-4F2A-8FA0-311B2BFC3E7E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E49E-4F2A-8FA0-311B2BFC3E7E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5-E49E-4F2A-8FA0-311B2BFC3E7E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E49E-4F2A-8FA0-311B2BFC3E7E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4-E49E-4F2A-8FA0-311B2BFC3E7E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2-E49E-4F2A-8FA0-311B2BFC3E7E}"/>
              </c:ext>
            </c:extLst>
          </c:dPt>
          <c:dPt>
            <c:idx val="7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E49E-4F2A-8FA0-311B2BFC3E7E}"/>
              </c:ext>
            </c:extLst>
          </c:dPt>
          <c:dPt>
            <c:idx val="8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1-C98F-40F2-A056-63FEC18742D5}"/>
              </c:ext>
            </c:extLst>
          </c:dPt>
          <c:cat>
            <c:strRef>
              <c:f>'Raumwärme - Energieträger'!$B$4:$B$12</c:f>
              <c:strCache>
                <c:ptCount val="9"/>
                <c:pt idx="0">
                  <c:v>Natural Gas</c:v>
                </c:pt>
                <c:pt idx="1">
                  <c:v>Coal</c:v>
                </c:pt>
                <c:pt idx="2">
                  <c:v>Lignite</c:v>
                </c:pt>
                <c:pt idx="3">
                  <c:v>Oil</c:v>
                </c:pt>
                <c:pt idx="4">
                  <c:v>Hydrogen</c:v>
                </c:pt>
                <c:pt idx="5">
                  <c:v>Electricity</c:v>
                </c:pt>
                <c:pt idx="6">
                  <c:v>Waste</c:v>
                </c:pt>
                <c:pt idx="7">
                  <c:v>Biomass</c:v>
                </c:pt>
                <c:pt idx="8">
                  <c:v>Solar</c:v>
                </c:pt>
              </c:strCache>
            </c:strRef>
          </c:cat>
          <c:val>
            <c:numRef>
              <c:f>'Raumwärme - Energieträger'!$K$4:$K$12</c:f>
              <c:numCache>
                <c:formatCode>General</c:formatCode>
                <c:ptCount val="9"/>
                <c:pt idx="0">
                  <c:v>1.0634056857922373E-2</c:v>
                </c:pt>
                <c:pt idx="1">
                  <c:v>0</c:v>
                </c:pt>
                <c:pt idx="2">
                  <c:v>0</c:v>
                </c:pt>
                <c:pt idx="3">
                  <c:v>0.13425801362291626</c:v>
                </c:pt>
                <c:pt idx="4">
                  <c:v>72270.846731819343</c:v>
                </c:pt>
                <c:pt idx="5">
                  <c:v>142921.1403559265</c:v>
                </c:pt>
                <c:pt idx="6">
                  <c:v>7747.8960320831502</c:v>
                </c:pt>
                <c:pt idx="7">
                  <c:v>38313.010369808544</c:v>
                </c:pt>
                <c:pt idx="8">
                  <c:v>2235.3808780035779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8-4769-B478-4B8E56F2B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610918916953943"/>
          <c:y val="0.13930788106861358"/>
          <c:w val="0.43542401531629232"/>
          <c:h val="0.8606921189313864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197916666666"/>
          <c:y val="6.1460416666666663E-2"/>
          <c:w val="0.5084030728670933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'Raumwärme - Energieträger'!$B$4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'Raumwärme - Energieträger'!$E$3:$K$3</c15:sqref>
                  </c15:fullRef>
                </c:ext>
              </c:extLst>
              <c:f>'Raumwärme - Energieträger'!$E$3:$J$3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'Raumwärme - Energieträger'!$E$4:$K$4</c15:sqref>
                  </c15:fullRef>
                </c:ext>
              </c:extLst>
              <c:f>'Raumwärme - Energieträger'!$E$4:$J$4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A-4CCA-BB79-790E88D205B0}"/>
            </c:ext>
          </c:extLst>
        </c:ser>
        <c:ser>
          <c:idx val="1"/>
          <c:order val="1"/>
          <c:tx>
            <c:strRef>
              <c:f>'Raumwärme - Energieträger'!$B$5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'Raumwärme - Energieträger'!$E$3:$K$3</c15:sqref>
                  </c15:fullRef>
                </c:ext>
              </c:extLst>
              <c:f>'Raumwärme - Energieträger'!$E$3:$J$3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'Raumwärme - Energieträger'!$E$5:$K$5</c15:sqref>
                  </c15:fullRef>
                </c:ext>
              </c:extLst>
              <c:f>'Raumwärme - Energieträger'!$E$5:$J$5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A-4CCA-BB79-790E88D205B0}"/>
            </c:ext>
          </c:extLst>
        </c:ser>
        <c:ser>
          <c:idx val="8"/>
          <c:order val="2"/>
          <c:tx>
            <c:strRef>
              <c:f>'Raumwärme - Energieträger'!$B$6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</c:spPr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'Raumwärme - Energieträger'!$E$6:$K$6</c15:sqref>
                  </c15:fullRef>
                </c:ext>
              </c:extLst>
              <c:f>'Raumwärme - Energieträger'!$E$6:$J$6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9-42D6-A91F-CD6A364C20F0}"/>
            </c:ext>
          </c:extLst>
        </c:ser>
        <c:ser>
          <c:idx val="2"/>
          <c:order val="3"/>
          <c:tx>
            <c:strRef>
              <c:f>'Raumwärme - Energieträger'!$B$7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'Raumwärme - Energieträger'!$E$3:$K$3</c15:sqref>
                  </c15:fullRef>
                </c:ext>
              </c:extLst>
              <c:f>'Raumwärme - Energieträger'!$E$3:$J$3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'Raumwärme - Energieträger'!$E$7:$K$7</c15:sqref>
                  </c15:fullRef>
                </c:ext>
              </c:extLst>
              <c:f>'Raumwärme - Energieträger'!$E$7:$J$7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A-4CCA-BB79-790E88D205B0}"/>
            </c:ext>
          </c:extLst>
        </c:ser>
        <c:ser>
          <c:idx val="3"/>
          <c:order val="4"/>
          <c:tx>
            <c:strRef>
              <c:f>'Raumwärme - Energieträger'!$B$8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'Raumwärme - Energieträger'!$E$3:$K$3</c15:sqref>
                  </c15:fullRef>
                </c:ext>
              </c:extLst>
              <c:f>'Raumwärme - Energieträger'!$E$3:$J$3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'Raumwärme - Energieträger'!$E$8:$K$8</c15:sqref>
                  </c15:fullRef>
                </c:ext>
              </c:extLst>
              <c:f>'Raumwärme - Energieträger'!$E$8:$J$8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A-4CCA-BB79-790E88D205B0}"/>
            </c:ext>
          </c:extLst>
        </c:ser>
        <c:ser>
          <c:idx val="4"/>
          <c:order val="5"/>
          <c:tx>
            <c:strRef>
              <c:f>'Raumwärme - Energieträger'!$B$9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'Raumwärme - Energieträger'!$E$3:$K$3</c15:sqref>
                  </c15:fullRef>
                </c:ext>
              </c:extLst>
              <c:f>'Raumwärme - Energieträger'!$E$3:$J$3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'Raumwärme - Energieträger'!$E$9:$K$9</c15:sqref>
                  </c15:fullRef>
                </c:ext>
              </c:extLst>
              <c:f>'Raumwärme - Energieträger'!$E$9:$J$9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A-4CCA-BB79-790E88D205B0}"/>
            </c:ext>
          </c:extLst>
        </c:ser>
        <c:ser>
          <c:idx val="5"/>
          <c:order val="6"/>
          <c:tx>
            <c:strRef>
              <c:f>'Raumwärme - Energieträger'!$B$10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'Raumwärme - Energieträger'!$E$3:$K$3</c15:sqref>
                  </c15:fullRef>
                </c:ext>
              </c:extLst>
              <c:f>'Raumwärme - Energieträger'!$E$3:$J$3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'Raumwärme - Energieträger'!$E$10:$K$10</c15:sqref>
                  </c15:fullRef>
                </c:ext>
              </c:extLst>
              <c:f>'Raumwärme - Energieträger'!$E$10:$J$10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A-4CCA-BB79-790E88D205B0}"/>
            </c:ext>
          </c:extLst>
        </c:ser>
        <c:ser>
          <c:idx val="6"/>
          <c:order val="7"/>
          <c:tx>
            <c:strRef>
              <c:f>'Raumwärme - Energieträger'!$B$11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'Raumwärme - Energieträger'!$E$3:$K$3</c15:sqref>
                  </c15:fullRef>
                </c:ext>
              </c:extLst>
              <c:f>'Raumwärme - Energieträger'!$E$3:$J$3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'Raumwärme - Energieträger'!$E$11:$K$11</c15:sqref>
                  </c15:fullRef>
                </c:ext>
              </c:extLst>
              <c:f>'Raumwärme - Energieträger'!$E$11:$J$11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0A-4CCA-BB79-790E88D205B0}"/>
            </c:ext>
          </c:extLst>
        </c:ser>
        <c:ser>
          <c:idx val="7"/>
          <c:order val="8"/>
          <c:tx>
            <c:strRef>
              <c:f>'Raumwärme - Energieträger'!$B$12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'Raumwärme - Energieträger'!$E$3:$K$3</c15:sqref>
                  </c15:fullRef>
                </c:ext>
              </c:extLst>
              <c:f>'Raumwärme - Energieträger'!$E$3:$J$3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'Raumwärme - Energieträger'!$E$12:$K$12</c15:sqref>
                  </c15:fullRef>
                </c:ext>
              </c:extLst>
              <c:f>'Raumwärme - Energieträger'!$E$12:$J$12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0A-4CCA-BB79-790E88D20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905600"/>
        <c:axId val="401615680"/>
      </c:barChart>
      <c:catAx>
        <c:axId val="40290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615680"/>
        <c:crosses val="autoZero"/>
        <c:auto val="1"/>
        <c:lblAlgn val="ctr"/>
        <c:lblOffset val="100"/>
        <c:noMultiLvlLbl val="0"/>
      </c:catAx>
      <c:valAx>
        <c:axId val="401615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Energieträger zur</a:t>
                </a:r>
                <a:r>
                  <a:rPr lang="de-DE" baseline="0"/>
                  <a:t> Gebäudeheizung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90560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2927451503578244"/>
          <c:y val="1.1190187627005785E-3"/>
          <c:w val="0.1920542624750218"/>
          <c:h val="0.8350294380327243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Energieträger zur Gebäudeheizung 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'Raumwärme - Energieträger'!$K$3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49E-4F2A-8FA0-311B2BFC3E7E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E49E-4F2A-8FA0-311B2BFC3E7E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E49E-4F2A-8FA0-311B2BFC3E7E}"/>
              </c:ext>
            </c:extLst>
          </c:dPt>
          <c:dPt>
            <c:idx val="3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5-E49E-4F2A-8FA0-311B2BFC3E7E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E49E-4F2A-8FA0-311B2BFC3E7E}"/>
              </c:ext>
            </c:extLst>
          </c:dPt>
          <c:dPt>
            <c:idx val="5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4-E49E-4F2A-8FA0-311B2BFC3E7E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2-E49E-4F2A-8FA0-311B2BFC3E7E}"/>
              </c:ext>
            </c:extLst>
          </c:dPt>
          <c:dPt>
            <c:idx val="7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E49E-4F2A-8FA0-311B2BFC3E7E}"/>
              </c:ext>
            </c:extLst>
          </c:dPt>
          <c:dPt>
            <c:idx val="8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1-72C0-4EEC-A7CB-FC32C7CC0F9C}"/>
              </c:ext>
            </c:extLst>
          </c:dPt>
          <c:cat>
            <c:strRef>
              <c:f>'Raumwärme - Energieträger'!$B$4:$B$12</c:f>
              <c:strCache>
                <c:ptCount val="9"/>
                <c:pt idx="0">
                  <c:v>Natural Gas</c:v>
                </c:pt>
                <c:pt idx="1">
                  <c:v>Coal</c:v>
                </c:pt>
                <c:pt idx="2">
                  <c:v>Lignite</c:v>
                </c:pt>
                <c:pt idx="3">
                  <c:v>Oil</c:v>
                </c:pt>
                <c:pt idx="4">
                  <c:v>Hydrogen</c:v>
                </c:pt>
                <c:pt idx="5">
                  <c:v>Electricity</c:v>
                </c:pt>
                <c:pt idx="6">
                  <c:v>Waste</c:v>
                </c:pt>
                <c:pt idx="7">
                  <c:v>Biomass</c:v>
                </c:pt>
                <c:pt idx="8">
                  <c:v>Solar</c:v>
                </c:pt>
              </c:strCache>
            </c:strRef>
          </c:cat>
          <c:val>
            <c:numRef>
              <c:f>'Raumwärme - Energieträger'!$K$4:$K$12</c:f>
              <c:numCache>
                <c:formatCode>General</c:formatCode>
                <c:ptCount val="9"/>
                <c:pt idx="0">
                  <c:v>1.0634056857922373E-2</c:v>
                </c:pt>
                <c:pt idx="1">
                  <c:v>0</c:v>
                </c:pt>
                <c:pt idx="2">
                  <c:v>0</c:v>
                </c:pt>
                <c:pt idx="3">
                  <c:v>0.13425801362291626</c:v>
                </c:pt>
                <c:pt idx="4">
                  <c:v>72270.846731819343</c:v>
                </c:pt>
                <c:pt idx="5">
                  <c:v>142921.1403559265</c:v>
                </c:pt>
                <c:pt idx="6">
                  <c:v>7747.8960320831502</c:v>
                </c:pt>
                <c:pt idx="7">
                  <c:v>38313.010369808544</c:v>
                </c:pt>
                <c:pt idx="8">
                  <c:v>2235.3808780035779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8-4769-B478-4B8E56F2B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610918916953943"/>
          <c:y val="0.13930788106861358"/>
          <c:w val="0.43542401531629232"/>
          <c:h val="0.8606921189313864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District heating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Wärmeverbrauch'!$K$3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30AF-4A07-8BFD-4D687D2BA9A4}"/>
              </c:ext>
            </c:extLst>
          </c:dPt>
          <c:cat>
            <c:strRef>
              <c:f>'Gebäude - Wärmeverbrauch'!$C$13:$C$16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Wärmeverbrauch'!$K$13:$K$16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Wärmeverbrauch'!$O$13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Wärmeverbrauch'!$Q$13:$W$13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Wärmeverbrauch'!$O$14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Wärmeverbrauch'!$Q$14:$W$14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2-4F00-9CD3-6EBD12DD840D}"/>
            </c:ext>
          </c:extLst>
        </c:ser>
        <c:ser>
          <c:idx val="2"/>
          <c:order val="2"/>
          <c:tx>
            <c:strRef>
              <c:f>'Gebäude - Wärmeverbrauch'!$O$15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Wärmeverbrauch'!$Q$15:$W$15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2-4F00-9CD3-6EBD12DD840D}"/>
            </c:ext>
          </c:extLst>
        </c:ser>
        <c:ser>
          <c:idx val="3"/>
          <c:order val="3"/>
          <c:tx>
            <c:strRef>
              <c:f>'Gebäude - Wärmeverbrauch'!$O$16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Wärmeverbrauch'!$Q$16:$W$16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2-4F00-9CD3-6EBD12DD8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286848"/>
        <c:axId val="399754944"/>
      </c:barChart>
      <c:catAx>
        <c:axId val="39828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9754944"/>
        <c:crosses val="autoZero"/>
        <c:auto val="1"/>
        <c:lblAlgn val="ctr"/>
        <c:lblOffset val="100"/>
        <c:noMultiLvlLbl val="0"/>
      </c:catAx>
      <c:valAx>
        <c:axId val="399754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Local heating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828684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6223559027777776"/>
          <c:y val="6.1668126284391341E-2"/>
          <c:w val="0.23776440972222218"/>
          <c:h val="0.62999124229365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Local heating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Wärmeverbrauch'!$W$3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5889-462C-8D88-AD6510FFE2B4}"/>
              </c:ext>
            </c:extLst>
          </c:dPt>
          <c:cat>
            <c:strRef>
              <c:f>'Gebäude - Wärmeverbrauch'!$O$13:$O$16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Wärmeverbrauch'!$W$13:$W$16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6099706744868036"/>
          <c:y val="0.22987703457805045"/>
          <c:w val="0.3220970639713468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977165364577"/>
          <c:y val="6.1460416666666663E-2"/>
          <c:w val="0.610629383976714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'Gebäude - Wärmeverbrauch'!$Z$13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Wärmeverbrauch'!$AB$3:$AH$3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Wärmeverbrauch'!$AB$13:$AH$13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'Gebäude - Wärmeverbrauch'!$Z$14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Wärmeverbrauch'!$AB$3:$AH$3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Wärmeverbrauch'!$AB$14:$AH$14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C-4172-AC35-A22FE7CE63B6}"/>
            </c:ext>
          </c:extLst>
        </c:ser>
        <c:ser>
          <c:idx val="1"/>
          <c:order val="2"/>
          <c:tx>
            <c:strRef>
              <c:f>'Gebäude - Wärmeverbrauch'!$Z$15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Wärmeverbrauch'!$AB$3:$AH$3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Wärmeverbrauch'!$AB$15:$AH$15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C-4172-AC35-A22FE7CE63B6}"/>
            </c:ext>
          </c:extLst>
        </c:ser>
        <c:ser>
          <c:idx val="3"/>
          <c:order val="3"/>
          <c:tx>
            <c:strRef>
              <c:f>'Gebäude - Wärmeverbrauch'!$Z$16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Wärmeverbrauch'!$AB$3:$AH$3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Wärmeverbrauch'!$AB$16:$AH$16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C-4172-AC35-A22FE7CE6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288896"/>
        <c:axId val="399758400"/>
      </c:barChart>
      <c:catAx>
        <c:axId val="39828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9758400"/>
        <c:crosses val="autoZero"/>
        <c:auto val="1"/>
        <c:lblAlgn val="ctr"/>
        <c:lblOffset val="100"/>
        <c:noMultiLvlLbl val="0"/>
      </c:catAx>
      <c:valAx>
        <c:axId val="399758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Decentral heating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828889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458710693324426"/>
          <c:y val="0.18362430058724688"/>
          <c:w val="0.15247602233144056"/>
          <c:h val="0.417055450655672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Decentral</a:t>
            </a:r>
            <a:r>
              <a:rPr lang="de-DE" sz="1600" baseline="0"/>
              <a:t> heating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Wärmeverbrauch'!$AH$3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727F-4430-BCA1-95BA4CEF987A}"/>
              </c:ext>
            </c:extLst>
          </c:dPt>
          <c:cat>
            <c:strRef>
              <c:f>'Gebäude - Wärmeverbrauch'!$Z$13:$Z$16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Wärmeverbrauch'!$AH$13:$AH$16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'Gebäude - Wärmeverbrauch'!$AL$13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Wärmeverbrauch'!$AN$3:$AT$3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Wärmeverbrauch'!$AN$13:$AT$13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'Gebäude - Wärmeverbrauch'!$AL$14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Wärmeverbrauch'!$AN$3:$AT$3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Wärmeverbrauch'!$AN$14:$AT$14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8-49C8-90ED-83B708C78611}"/>
            </c:ext>
          </c:extLst>
        </c:ser>
        <c:ser>
          <c:idx val="1"/>
          <c:order val="2"/>
          <c:tx>
            <c:strRef>
              <c:f>'Gebäude - Wärmeverbrauch'!$AL$15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Wärmeverbrauch'!$AN$3:$AT$3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Wärmeverbrauch'!$AN$15:$AT$15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8-49C8-90ED-83B708C78611}"/>
            </c:ext>
          </c:extLst>
        </c:ser>
        <c:ser>
          <c:idx val="3"/>
          <c:order val="3"/>
          <c:tx>
            <c:strRef>
              <c:f>'Gebäude - Wärmeverbrauch'!$AL$16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Wärmeverbrauch'!$AN$3:$AT$3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Wärmeverbrauch'!$AN$16:$AT$16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8-49C8-90ED-83B708C78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113664"/>
        <c:axId val="400081472"/>
      </c:barChart>
      <c:catAx>
        <c:axId val="40011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081472"/>
        <c:crosses val="autoZero"/>
        <c:auto val="1"/>
        <c:lblAlgn val="ctr"/>
        <c:lblOffset val="100"/>
        <c:noMultiLvlLbl val="0"/>
      </c:catAx>
      <c:valAx>
        <c:axId val="400081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Central heating </a:t>
                </a:r>
                <a:r>
                  <a:rPr lang="de-DE" baseline="0"/>
                  <a:t>in </a:t>
                </a:r>
                <a:r>
                  <a:rPr lang="de-DE"/>
                  <a:t>TWh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11366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919423611111111"/>
          <c:h val="0.6928504166413761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Wärmeverbrauch'!$C$13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Wärmeverbrauch'!$E$13:$K$13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Wärmeverbrauch'!$C$14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'Gebäude - Wärmeverbrauch'!$E$3:$K$3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Wärmeverbrauch'!$E$14:$K$14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2-44AD-8C83-BAF87AD5FBDB}"/>
            </c:ext>
          </c:extLst>
        </c:ser>
        <c:ser>
          <c:idx val="2"/>
          <c:order val="2"/>
          <c:tx>
            <c:strRef>
              <c:f>'Gebäude - Wärmeverbrauch'!$C$15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Wärmeverbrauch'!$E$3:$K$3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Wärmeverbrauch'!$E$15:$K$15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92-44AD-8C83-BAF87AD5FBDB}"/>
            </c:ext>
          </c:extLst>
        </c:ser>
        <c:ser>
          <c:idx val="3"/>
          <c:order val="3"/>
          <c:tx>
            <c:strRef>
              <c:f>'Gebäude - Wärmeverbrauch'!$C$16</c:f>
              <c:strCache>
                <c:ptCount val="1"/>
                <c:pt idx="0">
                  <c:v>NWG</c:v>
                </c:pt>
              </c:strCache>
            </c:strRef>
          </c:tx>
          <c:invertIfNegative val="0"/>
          <c:cat>
            <c:strRef>
              <c:f>'Gebäude - Wärmeverbrauch'!$E$3:$K$3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Wärmeverbrauch'!$E$16:$K$16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92-44AD-8C83-BAF87AD5F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115200"/>
        <c:axId val="400083776"/>
      </c:barChart>
      <c:catAx>
        <c:axId val="40011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083776"/>
        <c:crosses val="autoZero"/>
        <c:auto val="1"/>
        <c:lblAlgn val="ctr"/>
        <c:lblOffset val="100"/>
        <c:noMultiLvlLbl val="0"/>
      </c:catAx>
      <c:valAx>
        <c:axId val="400083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District heating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11520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0.16738491420049079"/>
          <c:w val="0.15256006944444445"/>
          <c:h val="0.4175147190163621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Central</a:t>
            </a:r>
            <a:r>
              <a:rPr lang="de-DE" sz="1600" baseline="0"/>
              <a:t> heating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Wärmeverbrauch'!$AT$3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1BC8-469E-A60C-EB8EF19B406A}"/>
              </c:ext>
            </c:extLst>
          </c:dPt>
          <c:cat>
            <c:strRef>
              <c:f>'Gebäude - Wärmeverbrauch'!$AL$13:$AL$16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Wärmeverbrauch'!$AT$13:$AT$16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058194444444448"/>
          <c:y val="6.1460416666666663E-2"/>
          <c:w val="0.5661826388888889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'Gebäude - Wärmeverbrauch'!$AX$13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Wärmeverbrauch'!$AZ$3:$BF$3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Wärmeverbrauch'!$AZ$13:$BF$13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'Gebäude - Wärmeverbrauch'!$AX$14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Wärmeverbrauch'!$AZ$3:$BF$3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Wärmeverbrauch'!$AZ$14:$BF$14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4-423A-8258-CD0CC757B192}"/>
            </c:ext>
          </c:extLst>
        </c:ser>
        <c:ser>
          <c:idx val="1"/>
          <c:order val="2"/>
          <c:tx>
            <c:strRef>
              <c:f>'Gebäude - Wärmeverbrauch'!$AX$15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Wärmeverbrauch'!$AZ$3:$BF$3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Wärmeverbrauch'!$AZ$15:$BF$15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4-423A-8258-CD0CC757B192}"/>
            </c:ext>
          </c:extLst>
        </c:ser>
        <c:ser>
          <c:idx val="3"/>
          <c:order val="3"/>
          <c:tx>
            <c:strRef>
              <c:f>'Gebäude - Wärmeverbrauch'!$AX$16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Wärmeverbrauch'!$AZ$3:$BF$3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Wärmeverbrauch'!$AZ$16:$BF$16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4-423A-8258-CD0CC757B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117248"/>
        <c:axId val="400087232"/>
      </c:barChart>
      <c:catAx>
        <c:axId val="400117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087232"/>
        <c:crosses val="autoZero"/>
        <c:auto val="1"/>
        <c:lblAlgn val="ctr"/>
        <c:lblOffset val="100"/>
        <c:noMultiLvlLbl val="0"/>
      </c:catAx>
      <c:valAx>
        <c:axId val="400087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Total building heating heating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11724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919423611111111"/>
          <c:h val="0.6928504166413761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Total building heating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Wärmeverbrauch'!$BF$3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70E9-49B8-A167-77FA1F24E42D}"/>
              </c:ext>
            </c:extLst>
          </c:dPt>
          <c:cat>
            <c:strRef>
              <c:f>'Gebäude - Wärmeverbrauch'!$AX$13:$AX$16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Wärmeverbrauch'!$BF$13:$BF$16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Fernwärme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Wärmeverbrauch'!$K$3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30AF-4A07-8BFD-4D687D2BA9A4}"/>
              </c:ext>
            </c:extLst>
          </c:dPt>
          <c:cat>
            <c:strRef>
              <c:f>'Gebäude - Wärmeverbrauch'!$C$13:$C$16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Wärmeverbrauch'!$K$13:$K$16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Wärmeverbrauch'!$C$13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Wärmeverbrauch'!$E$13:$K$13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Wärmeverbrauch'!$C$14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'Gebäude - Wärmeverbrauch'!$E$3:$K$3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Wärmeverbrauch'!$E$14:$K$14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2-44AD-8C83-BAF87AD5FBDB}"/>
            </c:ext>
          </c:extLst>
        </c:ser>
        <c:ser>
          <c:idx val="2"/>
          <c:order val="2"/>
          <c:tx>
            <c:strRef>
              <c:f>'Gebäude - Wärmeverbrauch'!$C$15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Wärmeverbrauch'!$E$3:$K$3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Wärmeverbrauch'!$E$15:$K$15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92-44AD-8C83-BAF87AD5FBDB}"/>
            </c:ext>
          </c:extLst>
        </c:ser>
        <c:ser>
          <c:idx val="3"/>
          <c:order val="3"/>
          <c:tx>
            <c:strRef>
              <c:f>'Gebäude - Wärmeverbrauch'!$C$16</c:f>
              <c:strCache>
                <c:ptCount val="1"/>
                <c:pt idx="0">
                  <c:v>NWG</c:v>
                </c:pt>
              </c:strCache>
            </c:strRef>
          </c:tx>
          <c:invertIfNegative val="0"/>
          <c:cat>
            <c:strRef>
              <c:f>'Gebäude - Wärmeverbrauch'!$E$3:$K$3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Wärmeverbrauch'!$E$16:$K$16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92-44AD-8C83-BAF87AD5F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410112"/>
        <c:axId val="400493376"/>
      </c:barChart>
      <c:catAx>
        <c:axId val="40041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493376"/>
        <c:crosses val="autoZero"/>
        <c:auto val="1"/>
        <c:lblAlgn val="ctr"/>
        <c:lblOffset val="100"/>
        <c:noMultiLvlLbl val="0"/>
      </c:catAx>
      <c:valAx>
        <c:axId val="40049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Fernwärme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41011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0.16738491420049079"/>
          <c:w val="0.15256006944444445"/>
          <c:h val="0.4175147190163621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Wärmeverbrauch'!$O$13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Wärmeverbrauch'!$Q$13:$W$13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Wärmeverbrauch'!$O$14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Wärmeverbrauch'!$Q$14:$W$14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2-4F00-9CD3-6EBD12DD840D}"/>
            </c:ext>
          </c:extLst>
        </c:ser>
        <c:ser>
          <c:idx val="2"/>
          <c:order val="2"/>
          <c:tx>
            <c:strRef>
              <c:f>'Gebäude - Wärmeverbrauch'!$O$15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Wärmeverbrauch'!$Q$15:$W$15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2-4F00-9CD3-6EBD12DD840D}"/>
            </c:ext>
          </c:extLst>
        </c:ser>
        <c:ser>
          <c:idx val="3"/>
          <c:order val="3"/>
          <c:tx>
            <c:strRef>
              <c:f>'Gebäude - Wärmeverbrauch'!$O$16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Wärmeverbrauch'!$Q$16:$W$16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2-4F00-9CD3-6EBD12DD8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411648"/>
        <c:axId val="400495680"/>
      </c:barChart>
      <c:catAx>
        <c:axId val="40041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495680"/>
        <c:crosses val="autoZero"/>
        <c:auto val="1"/>
        <c:lblAlgn val="ctr"/>
        <c:lblOffset val="100"/>
        <c:noMultiLvlLbl val="0"/>
      </c:catAx>
      <c:valAx>
        <c:axId val="400495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Nahwärme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41164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6223559027777776"/>
          <c:y val="6.1668126284391341E-2"/>
          <c:w val="0.23776440972222218"/>
          <c:h val="0.62999124229365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Nahwärme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Wärmeverbrauch'!$W$3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5889-462C-8D88-AD6510FFE2B4}"/>
              </c:ext>
            </c:extLst>
          </c:dPt>
          <c:cat>
            <c:strRef>
              <c:f>'Gebäude - Wärmeverbrauch'!$O$13:$O$16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Wärmeverbrauch'!$W$13:$W$16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6099706744868036"/>
          <c:y val="0.22987703457805045"/>
          <c:w val="0.3220970639713468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Wärmeverbrauch'!$O$13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Wärmeverbrauch'!$Q$13:$W$13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Wärmeverbrauch'!$O$14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Wärmeverbrauch'!$Q$14:$W$14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2-4F00-9CD3-6EBD12DD840D}"/>
            </c:ext>
          </c:extLst>
        </c:ser>
        <c:ser>
          <c:idx val="2"/>
          <c:order val="2"/>
          <c:tx>
            <c:strRef>
              <c:f>'Gebäude - Wärmeverbrauch'!$O$15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Wärmeverbrauch'!$Q$15:$W$15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2-4F00-9CD3-6EBD12DD840D}"/>
            </c:ext>
          </c:extLst>
        </c:ser>
        <c:ser>
          <c:idx val="3"/>
          <c:order val="3"/>
          <c:tx>
            <c:strRef>
              <c:f>'Gebäude - Wärmeverbrauch'!$O$16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Wärmeverbrauch'!$Q$3:$W$3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Wärmeverbrauch'!$Q$16:$W$16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2-4F00-9CD3-6EBD12DD8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971264"/>
        <c:axId val="401015360"/>
      </c:barChart>
      <c:catAx>
        <c:axId val="40097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015360"/>
        <c:crosses val="autoZero"/>
        <c:auto val="1"/>
        <c:lblAlgn val="ctr"/>
        <c:lblOffset val="100"/>
        <c:noMultiLvlLbl val="0"/>
      </c:catAx>
      <c:valAx>
        <c:axId val="401015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baseline="0"/>
                  <a:t>Nahwärme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97126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6223559027777776"/>
          <c:y val="6.1668126284391341E-2"/>
          <c:w val="0.23776440972222218"/>
          <c:h val="0.62999124229365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Nahwärme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Wärmeverbrauch'!$AH$3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5889-462C-8D88-AD6510FFE2B4}"/>
              </c:ext>
            </c:extLst>
          </c:dPt>
          <c:cat>
            <c:strRef>
              <c:f>'Gebäude - Wärmeverbrauch'!$O$13:$O$16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Wärmeverbrauch'!$AH$13:$AH$16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6099706744868036"/>
          <c:y val="0.22987703457805045"/>
          <c:w val="0.3220970639713468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'Gebäude - Wärmeverbrauch'!$AL$13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Wärmeverbrauch'!$AN$3:$AT$3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Wärmeverbrauch'!$AN$13:$AT$13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'Gebäude - Wärmeverbrauch'!$AL$14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Wärmeverbrauch'!$AN$3:$AT$3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Wärmeverbrauch'!$AN$14:$AT$14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8-49C8-90ED-83B708C78611}"/>
            </c:ext>
          </c:extLst>
        </c:ser>
        <c:ser>
          <c:idx val="1"/>
          <c:order val="2"/>
          <c:tx>
            <c:strRef>
              <c:f>'Gebäude - Wärmeverbrauch'!$AL$15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Wärmeverbrauch'!$AN$3:$AT$3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Wärmeverbrauch'!$AN$15:$AT$15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8-49C8-90ED-83B708C78611}"/>
            </c:ext>
          </c:extLst>
        </c:ser>
        <c:ser>
          <c:idx val="3"/>
          <c:order val="3"/>
          <c:tx>
            <c:strRef>
              <c:f>'Gebäude - Wärmeverbrauch'!$AL$16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Wärmeverbrauch'!$AN$3:$AT$3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Wärmeverbrauch'!$AN$16:$AT$16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8-49C8-90ED-83B708C78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972800"/>
        <c:axId val="401019392"/>
      </c:barChart>
      <c:catAx>
        <c:axId val="40097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019392"/>
        <c:crosses val="autoZero"/>
        <c:auto val="1"/>
        <c:lblAlgn val="ctr"/>
        <c:lblOffset val="100"/>
        <c:noMultiLvlLbl val="0"/>
      </c:catAx>
      <c:valAx>
        <c:axId val="401019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Leitungsgebundene</a:t>
                </a:r>
                <a:r>
                  <a:rPr lang="de-DE" baseline="0"/>
                  <a:t> Wärme in </a:t>
                </a:r>
                <a:r>
                  <a:rPr lang="de-DE"/>
                  <a:t>TWh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097280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919423611111111"/>
          <c:h val="0.6928504166413761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Leitungsgebundene Wärme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Wärmeverbrauch'!$AT$3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1BC8-469E-A60C-EB8EF19B406A}"/>
              </c:ext>
            </c:extLst>
          </c:dPt>
          <c:cat>
            <c:strRef>
              <c:f>'Gebäude - Wärmeverbrauch'!$AL$13:$AL$16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Wärmeverbrauch'!$AT$13:$AT$16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823463326845647"/>
          <c:y val="6.1460416666666663E-2"/>
          <c:w val="0.54852994986724057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'Gebäude - Wärmeverbrauch'!$AX$13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'Gebäude - Wärmeverbrauch'!$AZ$3:$BF$3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Wärmeverbrauch'!$AZ$13:$BF$13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'Gebäude - Wärmeverbrauch'!$AX$14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Wärmeverbrauch'!$AZ$3:$BF$3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Wärmeverbrauch'!$AZ$14:$BF$14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4-423A-8258-CD0CC757B192}"/>
            </c:ext>
          </c:extLst>
        </c:ser>
        <c:ser>
          <c:idx val="1"/>
          <c:order val="2"/>
          <c:tx>
            <c:strRef>
              <c:f>'Gebäude - Wärmeverbrauch'!$AX$15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Wärmeverbrauch'!$AZ$3:$BF$3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Wärmeverbrauch'!$AZ$15:$BF$15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4-423A-8258-CD0CC757B192}"/>
            </c:ext>
          </c:extLst>
        </c:ser>
        <c:ser>
          <c:idx val="3"/>
          <c:order val="3"/>
          <c:tx>
            <c:strRef>
              <c:f>'Gebäude - Wärmeverbrauch'!$AX$16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Wärmeverbrauch'!$AZ$3:$BF$3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Wärmeverbrauch'!$AZ$16:$BF$16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4-423A-8258-CD0CC757B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204736"/>
        <c:axId val="401022272"/>
      </c:barChart>
      <c:catAx>
        <c:axId val="40120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022272"/>
        <c:crosses val="autoZero"/>
        <c:auto val="1"/>
        <c:lblAlgn val="ctr"/>
        <c:lblOffset val="100"/>
        <c:noMultiLvlLbl val="0"/>
      </c:catAx>
      <c:valAx>
        <c:axId val="401022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Gesamte Gebäudeheizung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20473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919423611111111"/>
          <c:h val="0.6928504166413761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Gesamte Gebäudeheizung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Wärmeverbrauch'!$BF$3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70E9-49B8-A167-77FA1F24E42D}"/>
              </c:ext>
            </c:extLst>
          </c:dPt>
          <c:cat>
            <c:strRef>
              <c:f>'Gebäude - Wärmeverbrauch'!$AX$13:$AX$16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Wärmeverbrauch'!$BF$13:$BF$16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713802797468136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Heizungsart'!$B$4</c:f>
              <c:strCache>
                <c:ptCount val="1"/>
                <c:pt idx="0">
                  <c:v>District heating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Heizungsart'!$Q$4:$W$4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Heizungsart'!$B$5</c:f>
              <c:strCache>
                <c:ptCount val="1"/>
                <c:pt idx="0">
                  <c:v>Local heating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Heizungsart'!$Q$5:$W$5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3-4447-B2E1-B33E89A03D8B}"/>
            </c:ext>
          </c:extLst>
        </c:ser>
        <c:ser>
          <c:idx val="2"/>
          <c:order val="2"/>
          <c:tx>
            <c:strRef>
              <c:f>'Gebäude - Heizungsart'!$B$6</c:f>
              <c:strCache>
                <c:ptCount val="1"/>
                <c:pt idx="0">
                  <c:v>Decentral heating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Heizungsart'!$Q$6:$W$6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3-4447-B2E1-B33E89A03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443328"/>
        <c:axId val="401075008"/>
      </c:barChart>
      <c:lineChart>
        <c:grouping val="standard"/>
        <c:varyColors val="0"/>
        <c:ser>
          <c:idx val="3"/>
          <c:order val="3"/>
          <c:tx>
            <c:strRef>
              <c:f>'Gebäude - Heizungsart'!$B$9</c:f>
              <c:strCache>
                <c:ptCount val="1"/>
                <c:pt idx="0">
                  <c:v>District heating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val>
            <c:numRef>
              <c:f>'Gebäude - Heizungsart'!$Q$9:$W$9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63-4447-B2E1-B33E89A03D8B}"/>
            </c:ext>
          </c:extLst>
        </c:ser>
        <c:ser>
          <c:idx val="4"/>
          <c:order val="4"/>
          <c:tx>
            <c:strRef>
              <c:f>'Gebäude - Heizungsart'!$B$10</c:f>
              <c:strCache>
                <c:ptCount val="1"/>
                <c:pt idx="0">
                  <c:v>Local heating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Heizungsart'!$Q$10:$W$10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63-4447-B2E1-B33E89A03D8B}"/>
            </c:ext>
          </c:extLst>
        </c:ser>
        <c:ser>
          <c:idx val="5"/>
          <c:order val="5"/>
          <c:tx>
            <c:strRef>
              <c:f>'Gebäude - Heizungsart'!$B$11</c:f>
              <c:strCache>
                <c:ptCount val="1"/>
                <c:pt idx="0">
                  <c:v>Decentral heating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Heizungsart'!$Q$11:$W$11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63-4447-B2E1-B33E89A03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443840"/>
        <c:axId val="401075584"/>
      </c:lineChart>
      <c:catAx>
        <c:axId val="40144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075008"/>
        <c:crosses val="autoZero"/>
        <c:auto val="1"/>
        <c:lblAlgn val="ctr"/>
        <c:lblOffset val="100"/>
        <c:noMultiLvlLbl val="0"/>
      </c:catAx>
      <c:valAx>
        <c:axId val="40107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Building heating (EZFH)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443328"/>
        <c:crosses val="autoZero"/>
        <c:crossBetween val="between"/>
        <c:dispUnits>
          <c:builtInUnit val="thousands"/>
        </c:dispUnits>
      </c:valAx>
      <c:valAx>
        <c:axId val="401075584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443840"/>
        <c:crosses val="max"/>
        <c:crossBetween val="between"/>
      </c:valAx>
      <c:catAx>
        <c:axId val="401443840"/>
        <c:scaling>
          <c:orientation val="minMax"/>
        </c:scaling>
        <c:delete val="1"/>
        <c:axPos val="b"/>
        <c:majorTickMark val="out"/>
        <c:minorTickMark val="none"/>
        <c:tickLblPos val="nextTo"/>
        <c:crossAx val="401075584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330332350252673"/>
          <c:y val="7.0477858610732955E-2"/>
          <c:w val="0.2266966764974732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648091616219107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Heizungsart'!$B$4</c:f>
              <c:strCache>
                <c:ptCount val="1"/>
                <c:pt idx="0">
                  <c:v>District heating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Heizungsart'!$B$5</c:f>
              <c:strCache>
                <c:ptCount val="1"/>
                <c:pt idx="0">
                  <c:v>Local heating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9-40B3-BD6D-7186CD415978}"/>
            </c:ext>
          </c:extLst>
        </c:ser>
        <c:ser>
          <c:idx val="2"/>
          <c:order val="2"/>
          <c:tx>
            <c:strRef>
              <c:f>'Gebäude - Heizungsart'!$B$6</c:f>
              <c:strCache>
                <c:ptCount val="1"/>
                <c:pt idx="0">
                  <c:v>Decentral heating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9-40B3-BD6D-7186CD415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300736"/>
        <c:axId val="401077888"/>
      </c:barChart>
      <c:lineChart>
        <c:grouping val="standard"/>
        <c:varyColors val="0"/>
        <c:ser>
          <c:idx val="3"/>
          <c:order val="3"/>
          <c:tx>
            <c:strRef>
              <c:f>'Gebäude - Heizungsart'!$B$9</c:f>
              <c:strCache>
                <c:ptCount val="1"/>
                <c:pt idx="0">
                  <c:v>District heating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val>
            <c:numRef>
              <c:f>'Gebäude - Heizungsart'!$E$9:$K$9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F9-40B3-BD6D-7186CD415978}"/>
            </c:ext>
          </c:extLst>
        </c:ser>
        <c:ser>
          <c:idx val="4"/>
          <c:order val="4"/>
          <c:tx>
            <c:strRef>
              <c:f>'Gebäude - Heizungsart'!$B$10</c:f>
              <c:strCache>
                <c:ptCount val="1"/>
                <c:pt idx="0">
                  <c:v>Local heating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Heizungsart'!$E$10:$K$10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F9-40B3-BD6D-7186CD415978}"/>
            </c:ext>
          </c:extLst>
        </c:ser>
        <c:ser>
          <c:idx val="5"/>
          <c:order val="5"/>
          <c:tx>
            <c:strRef>
              <c:f>'Gebäude - Heizungsart'!$B$11</c:f>
              <c:strCache>
                <c:ptCount val="1"/>
                <c:pt idx="0">
                  <c:v>Decentral heating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Heizungsart'!$E$11:$K$11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F9-40B3-BD6D-7186CD415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301248"/>
        <c:axId val="401078464"/>
      </c:lineChart>
      <c:catAx>
        <c:axId val="39730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077888"/>
        <c:crosses val="autoZero"/>
        <c:auto val="1"/>
        <c:lblAlgn val="ctr"/>
        <c:lblOffset val="100"/>
        <c:noMultiLvlLbl val="0"/>
      </c:catAx>
      <c:valAx>
        <c:axId val="401077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Building heating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7300736"/>
        <c:crosses val="autoZero"/>
        <c:crossBetween val="between"/>
        <c:dispUnits>
          <c:builtInUnit val="thousands"/>
        </c:dispUnits>
      </c:valAx>
      <c:valAx>
        <c:axId val="401078464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7301248"/>
        <c:crosses val="max"/>
        <c:crossBetween val="between"/>
      </c:valAx>
      <c:catAx>
        <c:axId val="397301248"/>
        <c:scaling>
          <c:orientation val="minMax"/>
        </c:scaling>
        <c:delete val="1"/>
        <c:axPos val="b"/>
        <c:majorTickMark val="out"/>
        <c:minorTickMark val="none"/>
        <c:tickLblPos val="nextTo"/>
        <c:crossAx val="401078464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330332350252673"/>
          <c:y val="7.0477858610732955E-2"/>
          <c:w val="0.2266966764974732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560476707887066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Heizungsart'!$B$4</c:f>
              <c:strCache>
                <c:ptCount val="1"/>
                <c:pt idx="0">
                  <c:v>District heating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Heizungsart'!$AC$4:$AI$4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Heizungsart'!$B$5</c:f>
              <c:strCache>
                <c:ptCount val="1"/>
                <c:pt idx="0">
                  <c:v>Local heating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Heizungsart'!$AC$5:$AI$5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D-4C55-B4A9-880D0D0006C4}"/>
            </c:ext>
          </c:extLst>
        </c:ser>
        <c:ser>
          <c:idx val="2"/>
          <c:order val="2"/>
          <c:tx>
            <c:strRef>
              <c:f>'Gebäude - Heizungsart'!$B$6</c:f>
              <c:strCache>
                <c:ptCount val="1"/>
                <c:pt idx="0">
                  <c:v>Decentral heating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Heizungsart'!$AC$6:$AI$6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D-4C55-B4A9-880D0D000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302784"/>
        <c:axId val="399893056"/>
      </c:barChart>
      <c:lineChart>
        <c:grouping val="standard"/>
        <c:varyColors val="0"/>
        <c:ser>
          <c:idx val="3"/>
          <c:order val="3"/>
          <c:tx>
            <c:strRef>
              <c:f>'Gebäude - Heizungsart'!$B$9</c:f>
              <c:strCache>
                <c:ptCount val="1"/>
                <c:pt idx="0">
                  <c:v>District heating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val>
            <c:numRef>
              <c:f>'Gebäude - Heizungsart'!$AC$9:$AI$9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D-4C55-B4A9-880D0D0006C4}"/>
            </c:ext>
          </c:extLst>
        </c:ser>
        <c:ser>
          <c:idx val="4"/>
          <c:order val="4"/>
          <c:tx>
            <c:strRef>
              <c:f>'Gebäude - Heizungsart'!$B$10</c:f>
              <c:strCache>
                <c:ptCount val="1"/>
                <c:pt idx="0">
                  <c:v>Local heating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Heizungsart'!$AC$10:$AI$10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9D-4C55-B4A9-880D0D0006C4}"/>
            </c:ext>
          </c:extLst>
        </c:ser>
        <c:ser>
          <c:idx val="5"/>
          <c:order val="5"/>
          <c:tx>
            <c:strRef>
              <c:f>'Gebäude - Heizungsart'!$B$11</c:f>
              <c:strCache>
                <c:ptCount val="1"/>
                <c:pt idx="0">
                  <c:v>Decentral heating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Heizungsart'!$AC$11:$AI$11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D-4C55-B4A9-880D0D000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303296"/>
        <c:axId val="399893632"/>
      </c:lineChart>
      <c:catAx>
        <c:axId val="39730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9893056"/>
        <c:crosses val="autoZero"/>
        <c:auto val="1"/>
        <c:lblAlgn val="ctr"/>
        <c:lblOffset val="100"/>
        <c:noMultiLvlLbl val="0"/>
      </c:catAx>
      <c:valAx>
        <c:axId val="399893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Building heating (MFH)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7302784"/>
        <c:crosses val="autoZero"/>
        <c:crossBetween val="between"/>
        <c:dispUnits>
          <c:builtInUnit val="thousands"/>
        </c:dispUnits>
      </c:valAx>
      <c:valAx>
        <c:axId val="399893632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7303296"/>
        <c:crosses val="max"/>
        <c:crossBetween val="between"/>
      </c:valAx>
      <c:catAx>
        <c:axId val="397303296"/>
        <c:scaling>
          <c:orientation val="minMax"/>
        </c:scaling>
        <c:delete val="1"/>
        <c:axPos val="b"/>
        <c:majorTickMark val="out"/>
        <c:minorTickMark val="none"/>
        <c:tickLblPos val="nextTo"/>
        <c:crossAx val="399893632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330332350252673"/>
          <c:y val="7.0477858610732955E-2"/>
          <c:w val="0.2266966764974732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560476707887066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Heizungsart'!$B$4</c:f>
              <c:strCache>
                <c:ptCount val="1"/>
                <c:pt idx="0">
                  <c:v>District heating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Heizungsart'!$AO$4:$AU$4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Heizungsart'!$B$5</c:f>
              <c:strCache>
                <c:ptCount val="1"/>
                <c:pt idx="0">
                  <c:v>Local heating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Heizungsart'!$AO$5:$AU$5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E-4021-AFA4-34D4708D6E75}"/>
            </c:ext>
          </c:extLst>
        </c:ser>
        <c:ser>
          <c:idx val="2"/>
          <c:order val="2"/>
          <c:tx>
            <c:strRef>
              <c:f>'Gebäude - Heizungsart'!$B$6</c:f>
              <c:strCache>
                <c:ptCount val="1"/>
                <c:pt idx="0">
                  <c:v>Decentral heating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Heizungsart'!$AO$6:$AU$6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E-4021-AFA4-34D4708D6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912832"/>
        <c:axId val="399895936"/>
      </c:barChart>
      <c:lineChart>
        <c:grouping val="standard"/>
        <c:varyColors val="0"/>
        <c:ser>
          <c:idx val="3"/>
          <c:order val="3"/>
          <c:tx>
            <c:strRef>
              <c:f>'Gebäude - Heizungsart'!$B$9</c:f>
              <c:strCache>
                <c:ptCount val="1"/>
                <c:pt idx="0">
                  <c:v>District heating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val>
            <c:numRef>
              <c:f>'Gebäude - Heizungsart'!$AO$9:$AU$9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6E-4021-AFA4-34D4708D6E75}"/>
            </c:ext>
          </c:extLst>
        </c:ser>
        <c:ser>
          <c:idx val="4"/>
          <c:order val="4"/>
          <c:tx>
            <c:strRef>
              <c:f>'Gebäude - Heizungsart'!$B$10</c:f>
              <c:strCache>
                <c:ptCount val="1"/>
                <c:pt idx="0">
                  <c:v>Local heating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Heizungsart'!$AO$10:$AU$10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6E-4021-AFA4-34D4708D6E75}"/>
            </c:ext>
          </c:extLst>
        </c:ser>
        <c:ser>
          <c:idx val="5"/>
          <c:order val="5"/>
          <c:tx>
            <c:strRef>
              <c:f>'Gebäude - Heizungsart'!$B$11</c:f>
              <c:strCache>
                <c:ptCount val="1"/>
                <c:pt idx="0">
                  <c:v>Decentral heating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Heizungsart'!$AO$11:$AU$11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6E-4021-AFA4-34D4708D6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913344"/>
        <c:axId val="399896512"/>
      </c:lineChart>
      <c:catAx>
        <c:axId val="40191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9895936"/>
        <c:crosses val="autoZero"/>
        <c:auto val="1"/>
        <c:lblAlgn val="ctr"/>
        <c:lblOffset val="100"/>
        <c:noMultiLvlLbl val="0"/>
      </c:catAx>
      <c:valAx>
        <c:axId val="399895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Building heating (GMFH)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912832"/>
        <c:crosses val="autoZero"/>
        <c:crossBetween val="between"/>
        <c:dispUnits>
          <c:builtInUnit val="thousands"/>
        </c:dispUnits>
      </c:valAx>
      <c:valAx>
        <c:axId val="399896512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913344"/>
        <c:crosses val="max"/>
        <c:crossBetween val="between"/>
      </c:valAx>
      <c:catAx>
        <c:axId val="401913344"/>
        <c:scaling>
          <c:orientation val="minMax"/>
        </c:scaling>
        <c:delete val="1"/>
        <c:axPos val="b"/>
        <c:majorTickMark val="out"/>
        <c:minorTickMark val="none"/>
        <c:tickLblPos val="nextTo"/>
        <c:crossAx val="399896512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330332350252673"/>
          <c:y val="7.0477858610732955E-2"/>
          <c:w val="0.2266966764974732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560476707887066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Heizungsart'!$B$4</c:f>
              <c:strCache>
                <c:ptCount val="1"/>
                <c:pt idx="0">
                  <c:v>District heating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Heizungsart'!$BA$4:$BG$4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Heizungsart'!$B$5</c:f>
              <c:strCache>
                <c:ptCount val="1"/>
                <c:pt idx="0">
                  <c:v>Local heating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Heizungsart'!$BA$5:$BG$5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0-453E-BEE2-6C8AAEF5C309}"/>
            </c:ext>
          </c:extLst>
        </c:ser>
        <c:ser>
          <c:idx val="2"/>
          <c:order val="2"/>
          <c:tx>
            <c:strRef>
              <c:f>'Gebäude - Heizungsart'!$B$6</c:f>
              <c:strCache>
                <c:ptCount val="1"/>
                <c:pt idx="0">
                  <c:v>Decentral heating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Heizungsart'!$BA$6:$BG$6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0-453E-BEE2-6C8AAEF5C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914880"/>
        <c:axId val="399898816"/>
      </c:barChart>
      <c:lineChart>
        <c:grouping val="standard"/>
        <c:varyColors val="0"/>
        <c:ser>
          <c:idx val="3"/>
          <c:order val="3"/>
          <c:tx>
            <c:strRef>
              <c:f>'Gebäude - Heizungsart'!$B$9</c:f>
              <c:strCache>
                <c:ptCount val="1"/>
                <c:pt idx="0">
                  <c:v>District heating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val>
            <c:numRef>
              <c:f>'Gebäude - Heizungsart'!$BA$9:$BG$9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0-453E-BEE2-6C8AAEF5C309}"/>
            </c:ext>
          </c:extLst>
        </c:ser>
        <c:ser>
          <c:idx val="4"/>
          <c:order val="4"/>
          <c:tx>
            <c:strRef>
              <c:f>'Gebäude - Heizungsart'!$B$10</c:f>
              <c:strCache>
                <c:ptCount val="1"/>
                <c:pt idx="0">
                  <c:v>Local heating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Heizungsart'!$BA$10:$BG$10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0-453E-BEE2-6C8AAEF5C309}"/>
            </c:ext>
          </c:extLst>
        </c:ser>
        <c:ser>
          <c:idx val="5"/>
          <c:order val="5"/>
          <c:tx>
            <c:strRef>
              <c:f>'Gebäude - Heizungsart'!$B$11</c:f>
              <c:strCache>
                <c:ptCount val="1"/>
                <c:pt idx="0">
                  <c:v>Decentral heating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Heizungsart'!$BA$11:$BG$11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0-453E-BEE2-6C8AAEF5C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915392"/>
        <c:axId val="399899392"/>
      </c:lineChart>
      <c:catAx>
        <c:axId val="40191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9898816"/>
        <c:crosses val="autoZero"/>
        <c:auto val="1"/>
        <c:lblAlgn val="ctr"/>
        <c:lblOffset val="100"/>
        <c:noMultiLvlLbl val="0"/>
      </c:catAx>
      <c:valAx>
        <c:axId val="399898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Building heating (NWG)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914880"/>
        <c:crosses val="autoZero"/>
        <c:crossBetween val="between"/>
        <c:dispUnits>
          <c:builtInUnit val="thousands"/>
        </c:dispUnits>
      </c:valAx>
      <c:valAx>
        <c:axId val="399899392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915392"/>
        <c:crosses val="max"/>
        <c:crossBetween val="between"/>
      </c:valAx>
      <c:catAx>
        <c:axId val="401915392"/>
        <c:scaling>
          <c:orientation val="minMax"/>
        </c:scaling>
        <c:delete val="1"/>
        <c:axPos val="b"/>
        <c:majorTickMark val="out"/>
        <c:minorTickMark val="none"/>
        <c:tickLblPos val="nextTo"/>
        <c:crossAx val="399899392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330332350252673"/>
          <c:y val="7.0477858610732955E-2"/>
          <c:w val="0.2266966764974732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648091616219107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Heizungsart'!$C$4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Heizungsart'!$C$5</c:f>
              <c:strCache>
                <c:ptCount val="1"/>
                <c:pt idx="0">
                  <c:v>Nahwärme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9-40B3-BD6D-7186CD415978}"/>
            </c:ext>
          </c:extLst>
        </c:ser>
        <c:ser>
          <c:idx val="2"/>
          <c:order val="2"/>
          <c:tx>
            <c:strRef>
              <c:f>'Gebäude - Heizungsart'!$C$6</c:f>
              <c:strCache>
                <c:ptCount val="1"/>
                <c:pt idx="0">
                  <c:v>Dezentral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9-40B3-BD6D-7186CD415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223616"/>
        <c:axId val="402080896"/>
      </c:barChart>
      <c:lineChart>
        <c:grouping val="standard"/>
        <c:varyColors val="0"/>
        <c:ser>
          <c:idx val="3"/>
          <c:order val="3"/>
          <c:tx>
            <c:strRef>
              <c:f>'Gebäude - Heizungsart'!$C$9</c:f>
              <c:strCache>
                <c:ptCount val="1"/>
                <c:pt idx="0">
                  <c:v>Fernwärme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Heizungsart'!$E$9:$K$9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F9-40B3-BD6D-7186CD415978}"/>
            </c:ext>
          </c:extLst>
        </c:ser>
        <c:ser>
          <c:idx val="4"/>
          <c:order val="4"/>
          <c:tx>
            <c:strRef>
              <c:f>'Gebäude - Heizungsart'!$C$10</c:f>
              <c:strCache>
                <c:ptCount val="1"/>
                <c:pt idx="0">
                  <c:v>Nahwärme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Heizungsart'!$E$10:$K$10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F9-40B3-BD6D-7186CD415978}"/>
            </c:ext>
          </c:extLst>
        </c:ser>
        <c:ser>
          <c:idx val="5"/>
          <c:order val="5"/>
          <c:tx>
            <c:strRef>
              <c:f>'Gebäude - Heizungsart'!$C$11</c:f>
              <c:strCache>
                <c:ptCount val="1"/>
                <c:pt idx="0">
                  <c:v>Dezentral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Heizungsart'!$E$11:$K$11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F9-40B3-BD6D-7186CD415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224128"/>
        <c:axId val="402081472"/>
      </c:lineChart>
      <c:catAx>
        <c:axId val="40222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080896"/>
        <c:crosses val="autoZero"/>
        <c:auto val="1"/>
        <c:lblAlgn val="ctr"/>
        <c:lblOffset val="100"/>
        <c:noMultiLvlLbl val="0"/>
      </c:catAx>
      <c:valAx>
        <c:axId val="402080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Gebäudeheizung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223616"/>
        <c:crosses val="autoZero"/>
        <c:crossBetween val="between"/>
        <c:dispUnits>
          <c:builtInUnit val="thousands"/>
        </c:dispUnits>
      </c:valAx>
      <c:valAx>
        <c:axId val="402081472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224128"/>
        <c:crosses val="max"/>
        <c:crossBetween val="between"/>
      </c:valAx>
      <c:catAx>
        <c:axId val="402224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2081472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4923674261282958"/>
          <c:y val="7.0477858610732955E-2"/>
          <c:w val="0.2507632573871703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713802797468136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Heizungsart'!$C$4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Heizungsart'!$Q$4:$W$4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Heizungsart'!$C$5</c:f>
              <c:strCache>
                <c:ptCount val="1"/>
                <c:pt idx="0">
                  <c:v>Nahwärme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Heizungsart'!$Q$5:$W$5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3-4447-B2E1-B33E89A03D8B}"/>
            </c:ext>
          </c:extLst>
        </c:ser>
        <c:ser>
          <c:idx val="2"/>
          <c:order val="2"/>
          <c:tx>
            <c:strRef>
              <c:f>'Gebäude - Heizungsart'!$C$6</c:f>
              <c:strCache>
                <c:ptCount val="1"/>
                <c:pt idx="0">
                  <c:v>Dezentral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Heizungsart'!$Q$6:$W$6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3-4447-B2E1-B33E89A03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226176"/>
        <c:axId val="402083776"/>
      </c:barChart>
      <c:lineChart>
        <c:grouping val="standard"/>
        <c:varyColors val="0"/>
        <c:ser>
          <c:idx val="3"/>
          <c:order val="3"/>
          <c:tx>
            <c:strRef>
              <c:f>'Gebäude - Heizungsart'!$C$9</c:f>
              <c:strCache>
                <c:ptCount val="1"/>
                <c:pt idx="0">
                  <c:v>Fernwärme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val>
            <c:numRef>
              <c:f>'Gebäude - Heizungsart'!$Q$9:$W$9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63-4447-B2E1-B33E89A03D8B}"/>
            </c:ext>
          </c:extLst>
        </c:ser>
        <c:ser>
          <c:idx val="4"/>
          <c:order val="4"/>
          <c:tx>
            <c:strRef>
              <c:f>'Gebäude - Heizungsart'!$C$10</c:f>
              <c:strCache>
                <c:ptCount val="1"/>
                <c:pt idx="0">
                  <c:v>Nahwärme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Heizungsart'!$Q$10:$W$10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63-4447-B2E1-B33E89A03D8B}"/>
            </c:ext>
          </c:extLst>
        </c:ser>
        <c:ser>
          <c:idx val="5"/>
          <c:order val="5"/>
          <c:tx>
            <c:strRef>
              <c:f>'Gebäude - Heizungsart'!$C$11</c:f>
              <c:strCache>
                <c:ptCount val="1"/>
                <c:pt idx="0">
                  <c:v>Dezentral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Heizungsart'!$Q$11:$W$11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63-4447-B2E1-B33E89A03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226688"/>
        <c:axId val="402084352"/>
      </c:lineChart>
      <c:catAx>
        <c:axId val="40222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083776"/>
        <c:crosses val="autoZero"/>
        <c:auto val="1"/>
        <c:lblAlgn val="ctr"/>
        <c:lblOffset val="100"/>
        <c:noMultiLvlLbl val="0"/>
      </c:catAx>
      <c:valAx>
        <c:axId val="402083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Gebäudeheizung (EZFH)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226176"/>
        <c:crosses val="autoZero"/>
        <c:crossBetween val="between"/>
        <c:dispUnits>
          <c:builtInUnit val="thousands"/>
        </c:dispUnits>
      </c:valAx>
      <c:valAx>
        <c:axId val="402084352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226688"/>
        <c:crosses val="max"/>
        <c:crossBetween val="between"/>
      </c:valAx>
      <c:catAx>
        <c:axId val="4022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402084352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330332350252673"/>
          <c:y val="7.0477858610732955E-2"/>
          <c:w val="0.2266966764974732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560476707887066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Heizungsart'!$C$4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Heizungsart'!$AC$4:$AI$4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Heizungsart'!$C$5</c:f>
              <c:strCache>
                <c:ptCount val="1"/>
                <c:pt idx="0">
                  <c:v>Nahwärme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Heizungsart'!$AC$5:$AI$5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D-4C55-B4A9-880D0D0006C4}"/>
            </c:ext>
          </c:extLst>
        </c:ser>
        <c:ser>
          <c:idx val="2"/>
          <c:order val="2"/>
          <c:tx>
            <c:strRef>
              <c:f>'Gebäude - Heizungsart'!$C$6</c:f>
              <c:strCache>
                <c:ptCount val="1"/>
                <c:pt idx="0">
                  <c:v>Dezentral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Heizungsart'!$AC$6:$AI$6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D-4C55-B4A9-880D0D000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478080"/>
        <c:axId val="402086656"/>
      </c:barChart>
      <c:lineChart>
        <c:grouping val="standard"/>
        <c:varyColors val="0"/>
        <c:ser>
          <c:idx val="3"/>
          <c:order val="3"/>
          <c:tx>
            <c:strRef>
              <c:f>'Gebäude - Heizungsart'!$C$9</c:f>
              <c:strCache>
                <c:ptCount val="1"/>
                <c:pt idx="0">
                  <c:v>Fernwärme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val>
            <c:numRef>
              <c:f>'Gebäude - Heizungsart'!$AC$9:$AI$9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D-4C55-B4A9-880D0D0006C4}"/>
            </c:ext>
          </c:extLst>
        </c:ser>
        <c:ser>
          <c:idx val="4"/>
          <c:order val="4"/>
          <c:tx>
            <c:strRef>
              <c:f>'Gebäude - Heizungsart'!$C$10</c:f>
              <c:strCache>
                <c:ptCount val="1"/>
                <c:pt idx="0">
                  <c:v>Nahwärme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Heizungsart'!$AC$10:$AI$10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9D-4C55-B4A9-880D0D0006C4}"/>
            </c:ext>
          </c:extLst>
        </c:ser>
        <c:ser>
          <c:idx val="5"/>
          <c:order val="5"/>
          <c:tx>
            <c:strRef>
              <c:f>'Gebäude - Heizungsart'!$C$11</c:f>
              <c:strCache>
                <c:ptCount val="1"/>
                <c:pt idx="0">
                  <c:v>Dezentral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Heizungsart'!$AC$11:$AI$11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D-4C55-B4A9-880D0D000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478592"/>
        <c:axId val="402087232"/>
      </c:lineChart>
      <c:catAx>
        <c:axId val="40247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086656"/>
        <c:crosses val="autoZero"/>
        <c:auto val="1"/>
        <c:lblAlgn val="ctr"/>
        <c:lblOffset val="100"/>
        <c:noMultiLvlLbl val="0"/>
      </c:catAx>
      <c:valAx>
        <c:axId val="402086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Gebäudeheizung (MFH)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478080"/>
        <c:crosses val="autoZero"/>
        <c:crossBetween val="between"/>
        <c:dispUnits>
          <c:builtInUnit val="thousands"/>
        </c:dispUnits>
      </c:valAx>
      <c:valAx>
        <c:axId val="402087232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478592"/>
        <c:crosses val="max"/>
        <c:crossBetween val="between"/>
      </c:valAx>
      <c:catAx>
        <c:axId val="402478592"/>
        <c:scaling>
          <c:orientation val="minMax"/>
        </c:scaling>
        <c:delete val="1"/>
        <c:axPos val="b"/>
        <c:majorTickMark val="out"/>
        <c:minorTickMark val="none"/>
        <c:tickLblPos val="nextTo"/>
        <c:crossAx val="402087232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330332350252673"/>
          <c:y val="7.0477858610732955E-2"/>
          <c:w val="0.2266966764974732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560476707887066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Heizungsart'!$C$4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Heizungsart'!$AO$4:$AU$4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Heizungsart'!$C$5</c:f>
              <c:strCache>
                <c:ptCount val="1"/>
                <c:pt idx="0">
                  <c:v>Nahwärme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Heizungsart'!$AO$5:$AU$5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E-4021-AFA4-34D4708D6E75}"/>
            </c:ext>
          </c:extLst>
        </c:ser>
        <c:ser>
          <c:idx val="2"/>
          <c:order val="2"/>
          <c:tx>
            <c:strRef>
              <c:f>'Gebäude - Heizungsart'!$C$6</c:f>
              <c:strCache>
                <c:ptCount val="1"/>
                <c:pt idx="0">
                  <c:v>Dezentral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Heizungsart'!$AO$6:$AU$6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E-4021-AFA4-34D4708D6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480128"/>
        <c:axId val="402368192"/>
      </c:barChart>
      <c:lineChart>
        <c:grouping val="standard"/>
        <c:varyColors val="0"/>
        <c:ser>
          <c:idx val="3"/>
          <c:order val="3"/>
          <c:tx>
            <c:strRef>
              <c:f>'Gebäude - Heizungsart'!$C$9</c:f>
              <c:strCache>
                <c:ptCount val="1"/>
                <c:pt idx="0">
                  <c:v>Fernwärme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val>
            <c:numRef>
              <c:f>'Gebäude - Heizungsart'!$AO$9:$AU$9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6E-4021-AFA4-34D4708D6E75}"/>
            </c:ext>
          </c:extLst>
        </c:ser>
        <c:ser>
          <c:idx val="4"/>
          <c:order val="4"/>
          <c:tx>
            <c:strRef>
              <c:f>'Gebäude - Heizungsart'!$C$10</c:f>
              <c:strCache>
                <c:ptCount val="1"/>
                <c:pt idx="0">
                  <c:v>Nahwärme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Heizungsart'!$AO$10:$AU$10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6E-4021-AFA4-34D4708D6E75}"/>
            </c:ext>
          </c:extLst>
        </c:ser>
        <c:ser>
          <c:idx val="5"/>
          <c:order val="5"/>
          <c:tx>
            <c:strRef>
              <c:f>'Gebäude - Heizungsart'!$C$11</c:f>
              <c:strCache>
                <c:ptCount val="1"/>
                <c:pt idx="0">
                  <c:v>Dezentral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Heizungsart'!$AO$11:$AU$11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6E-4021-AFA4-34D4708D6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480640"/>
        <c:axId val="402368768"/>
      </c:lineChart>
      <c:catAx>
        <c:axId val="40248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368192"/>
        <c:crosses val="autoZero"/>
        <c:auto val="1"/>
        <c:lblAlgn val="ctr"/>
        <c:lblOffset val="100"/>
        <c:noMultiLvlLbl val="0"/>
      </c:catAx>
      <c:valAx>
        <c:axId val="402368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Gebäudeheizung (GMFH)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480128"/>
        <c:crosses val="autoZero"/>
        <c:crossBetween val="between"/>
        <c:dispUnits>
          <c:builtInUnit val="thousands"/>
        </c:dispUnits>
      </c:valAx>
      <c:valAx>
        <c:axId val="40236876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480640"/>
        <c:crosses val="max"/>
        <c:crossBetween val="between"/>
      </c:valAx>
      <c:catAx>
        <c:axId val="402480640"/>
        <c:scaling>
          <c:orientation val="minMax"/>
        </c:scaling>
        <c:delete val="1"/>
        <c:axPos val="b"/>
        <c:majorTickMark val="out"/>
        <c:minorTickMark val="none"/>
        <c:tickLblPos val="nextTo"/>
        <c:crossAx val="402368768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330332350252673"/>
          <c:y val="7.0477858610732955E-2"/>
          <c:w val="0.2266966764974732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5416666666668"/>
          <c:y val="6.1460416666666663E-2"/>
          <c:w val="0.4560476707887066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Heizungsart'!$C$4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Heizungsart'!$BA$4:$BG$4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Heizungsart'!$C$5</c:f>
              <c:strCache>
                <c:ptCount val="1"/>
                <c:pt idx="0">
                  <c:v>Nahwärme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Heizungsart'!$BA$5:$BG$5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0-453E-BEE2-6C8AAEF5C309}"/>
            </c:ext>
          </c:extLst>
        </c:ser>
        <c:ser>
          <c:idx val="2"/>
          <c:order val="2"/>
          <c:tx>
            <c:strRef>
              <c:f>'Gebäude - Heizungsart'!$C$6</c:f>
              <c:strCache>
                <c:ptCount val="1"/>
                <c:pt idx="0">
                  <c:v>Dezentral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'Gebäude - Heizungsart'!$E$3:$K$3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Heizungsart'!$BA$6:$BG$6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0-453E-BEE2-6C8AAEF5C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747904"/>
        <c:axId val="402371072"/>
      </c:barChart>
      <c:lineChart>
        <c:grouping val="standard"/>
        <c:varyColors val="0"/>
        <c:ser>
          <c:idx val="3"/>
          <c:order val="3"/>
          <c:tx>
            <c:strRef>
              <c:f>'Gebäude - Heizungsart'!$C$9</c:f>
              <c:strCache>
                <c:ptCount val="1"/>
                <c:pt idx="0">
                  <c:v>Fernwärme</c:v>
                </c:pt>
              </c:strCache>
            </c:strRef>
          </c:tx>
          <c:spPr>
            <a:ln>
              <a:solidFill>
                <a:srgbClr val="002060"/>
              </a:solidFill>
              <a:prstDash val="sysDot"/>
            </a:ln>
          </c:spPr>
          <c:marker>
            <c:symbol val="none"/>
          </c:marker>
          <c:val>
            <c:numRef>
              <c:f>'Gebäude - Heizungsart'!$BA$9:$BG$9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0-453E-BEE2-6C8AAEF5C309}"/>
            </c:ext>
          </c:extLst>
        </c:ser>
        <c:ser>
          <c:idx val="4"/>
          <c:order val="4"/>
          <c:tx>
            <c:strRef>
              <c:f>'Gebäude - Heizungsart'!$C$10</c:f>
              <c:strCache>
                <c:ptCount val="1"/>
                <c:pt idx="0">
                  <c:v>Nahwärme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Heizungsart'!$BA$10:$BG$10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0-453E-BEE2-6C8AAEF5C309}"/>
            </c:ext>
          </c:extLst>
        </c:ser>
        <c:ser>
          <c:idx val="5"/>
          <c:order val="5"/>
          <c:tx>
            <c:strRef>
              <c:f>'Gebäude - Heizungsart'!$C$11</c:f>
              <c:strCache>
                <c:ptCount val="1"/>
                <c:pt idx="0">
                  <c:v>Dezentral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sysDot"/>
            </a:ln>
          </c:spPr>
          <c:marker>
            <c:symbol val="none"/>
          </c:marker>
          <c:val>
            <c:numRef>
              <c:f>'Gebäude - Heizungsart'!$BA$11:$BG$11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0-453E-BEE2-6C8AAEF5C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748416"/>
        <c:axId val="402371648"/>
      </c:lineChart>
      <c:catAx>
        <c:axId val="40274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371072"/>
        <c:crosses val="autoZero"/>
        <c:auto val="1"/>
        <c:lblAlgn val="ctr"/>
        <c:lblOffset val="100"/>
        <c:noMultiLvlLbl val="0"/>
      </c:catAx>
      <c:valAx>
        <c:axId val="402371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Gebäudeheizung (NWG)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747904"/>
        <c:crosses val="autoZero"/>
        <c:crossBetween val="between"/>
        <c:dispUnits>
          <c:builtInUnit val="thousands"/>
        </c:dispUnits>
      </c:valAx>
      <c:valAx>
        <c:axId val="40237164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2748416"/>
        <c:crosses val="max"/>
        <c:crossBetween val="between"/>
      </c:valAx>
      <c:catAx>
        <c:axId val="402748416"/>
        <c:scaling>
          <c:orientation val="minMax"/>
        </c:scaling>
        <c:delete val="1"/>
        <c:axPos val="b"/>
        <c:majorTickMark val="out"/>
        <c:minorTickMark val="none"/>
        <c:tickLblPos val="nextTo"/>
        <c:crossAx val="402371648"/>
        <c:crosses val="autoZero"/>
        <c:auto val="1"/>
        <c:lblAlgn val="ctr"/>
        <c:lblOffset val="100"/>
        <c:noMultiLvlLbl val="0"/>
      </c:cat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7330332350252673"/>
          <c:y val="7.0477858610732955E-2"/>
          <c:w val="0.22669667649747327"/>
          <c:h val="0.9254124359430143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District heating capacities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Inst. Heizkapazitäten'!$K$3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4BD1-4D6B-BB93-AED50A9638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3-4BD1-4D6B-BB93-AED50A963850}"/>
              </c:ext>
            </c:extLst>
          </c:dPt>
          <c:cat>
            <c:strRef>
              <c:f>'Gebäude - Inst. Heizkapazitäten'!$C$13:$C$16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Inst. Heizkapazitäten'!$K$13:$K$16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Inst. Heizkapazitäten'!$O$13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Inst. Heizkapazitäten'!$Q$3:$W$3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Heizkapazitäten'!$Q$13:$W$13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Inst. Heizkapazitäten'!$O$14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Inst. Heizkapazitäten'!$Q$3:$W$3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Heizkapazitäten'!$Q$14:$W$14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E-46F3-A3F4-7B61371C482C}"/>
            </c:ext>
          </c:extLst>
        </c:ser>
        <c:ser>
          <c:idx val="2"/>
          <c:order val="2"/>
          <c:tx>
            <c:strRef>
              <c:f>'Gebäude - Inst. Heizkapazitäten'!$O$15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Inst. Heizkapazitäten'!$Q$3:$W$3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Heizkapazitäten'!$Q$15:$W$15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E-46F3-A3F4-7B61371C482C}"/>
            </c:ext>
          </c:extLst>
        </c:ser>
        <c:ser>
          <c:idx val="3"/>
          <c:order val="3"/>
          <c:tx>
            <c:strRef>
              <c:f>'Gebäude - Inst. Heizkapazitäten'!$O$16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Inst. Heizkapazitäten'!$Q$3:$W$3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Heizkapazitäten'!$Q$16:$W$16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4E-46F3-A3F4-7B61371C4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025984"/>
        <c:axId val="397973120"/>
      </c:barChart>
      <c:catAx>
        <c:axId val="36202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7973120"/>
        <c:crosses val="autoZero"/>
        <c:auto val="1"/>
        <c:lblAlgn val="ctr"/>
        <c:lblOffset val="100"/>
        <c:noMultiLvlLbl val="0"/>
      </c:catAx>
      <c:valAx>
        <c:axId val="397973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Local heating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202598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6223559027777776"/>
          <c:y val="6.1668126284391341E-2"/>
          <c:w val="0.23776440972222218"/>
          <c:h val="0.62999124229365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Local heating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Inst. Heizkapazitäten'!$W$3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0C20-48AE-82B9-C21EF2E8F4DE}"/>
              </c:ext>
            </c:extLst>
          </c:dPt>
          <c:cat>
            <c:strRef>
              <c:f>'Gebäude - Inst. Heizkapazitäten'!$O$13:$O$16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Inst. Heizkapazitäten'!$W$13:$W$16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6099706744868036"/>
          <c:y val="0.22987703457805045"/>
          <c:w val="0.3220970639713468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977165364577"/>
          <c:y val="6.1460416666666663E-2"/>
          <c:w val="0.610629383976714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'Gebäude - Inst. Heizkapazitäten'!$AA$13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Inst. Heizkapazitäten'!$AC$3:$AI$3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Heizkapazitäten'!$AC$13:$AI$13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'Gebäude - Inst. Heizkapazitäten'!$AA$14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Inst. Heizkapazitäten'!$AC$3:$AI$3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Heizkapazitäten'!$AC$14:$AI$14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F-4F78-A594-1D75FB524A52}"/>
            </c:ext>
          </c:extLst>
        </c:ser>
        <c:ser>
          <c:idx val="1"/>
          <c:order val="2"/>
          <c:tx>
            <c:strRef>
              <c:f>'Gebäude - Inst. Heizkapazitäten'!$AA$15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Inst. Heizkapazitäten'!$AC$3:$AI$3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Heizkapazitäten'!$AC$15:$AI$15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CF-4F78-A594-1D75FB524A52}"/>
            </c:ext>
          </c:extLst>
        </c:ser>
        <c:ser>
          <c:idx val="3"/>
          <c:order val="3"/>
          <c:tx>
            <c:strRef>
              <c:f>'Gebäude - Inst. Heizkapazitäten'!$AA$16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Inst. Heizkapazitäten'!$AC$3:$AI$3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Heizkapazitäten'!$AC$16:$AI$16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CF-4F78-A594-1D75FB524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027008"/>
        <c:axId val="397223040"/>
      </c:barChart>
      <c:catAx>
        <c:axId val="36202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7223040"/>
        <c:crosses val="autoZero"/>
        <c:auto val="1"/>
        <c:lblAlgn val="ctr"/>
        <c:lblOffset val="100"/>
        <c:noMultiLvlLbl val="0"/>
      </c:catAx>
      <c:valAx>
        <c:axId val="397223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Decentral heating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6202700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458710693324426"/>
          <c:y val="0.18362430058724688"/>
          <c:w val="0.15247602233144056"/>
          <c:h val="0.417055450655672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Decentral</a:t>
            </a:r>
            <a:r>
              <a:rPr lang="de-DE" sz="1600" baseline="0"/>
              <a:t> heating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Inst. Heizkapazitäten'!$AI$3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CFD-47EF-9DED-A00B6EE46D49}"/>
              </c:ext>
            </c:extLst>
          </c:dPt>
          <c:cat>
            <c:strRef>
              <c:f>'Gebäude - Inst. Heizkapazitäten'!$AA$13:$AA$16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Inst. Heizkapazitäten'!$AI$13:$AI$16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'Gebäude - Inst. Heizkapazitäten'!$AM$13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Inst. Heizkapazitäten'!$AO$3:$AU$3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Heizkapazitäten'!$AO$13:$AU$13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'Gebäude - Inst. Heizkapazitäten'!$AM$14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Inst. Heizkapazitäten'!$AO$3:$AU$3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Heizkapazitäten'!$AO$14:$AU$14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F-4642-B308-3FBED084E8E1}"/>
            </c:ext>
          </c:extLst>
        </c:ser>
        <c:ser>
          <c:idx val="1"/>
          <c:order val="2"/>
          <c:tx>
            <c:strRef>
              <c:f>'Gebäude - Inst. Heizkapazitäten'!$AM$15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Inst. Heizkapazitäten'!$AO$3:$AU$3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Heizkapazitäten'!$AO$15:$AU$15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DF-4642-B308-3FBED084E8E1}"/>
            </c:ext>
          </c:extLst>
        </c:ser>
        <c:ser>
          <c:idx val="3"/>
          <c:order val="3"/>
          <c:tx>
            <c:strRef>
              <c:f>'Gebäude - Inst. Heizkapazitäten'!$AM$16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Inst. Heizkapazitäten'!$AO$3:$AU$3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Heizkapazitäten'!$AO$16:$AU$16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DF-4642-B308-3FBED084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702080"/>
        <c:axId val="397226496"/>
      </c:barChart>
      <c:catAx>
        <c:axId val="39870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7226496"/>
        <c:crosses val="autoZero"/>
        <c:auto val="1"/>
        <c:lblAlgn val="ctr"/>
        <c:lblOffset val="100"/>
        <c:noMultiLvlLbl val="0"/>
      </c:catAx>
      <c:valAx>
        <c:axId val="397226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Central heating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870208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919423611111111"/>
          <c:h val="0.6928504166413761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Inst. Heizkapazitäten'!$C$13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Inst. Heizkapazitäten'!$E$3:$K$3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Heizkapazitäten'!$E$13:$K$13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Inst. Heizkapazitäten'!$C$14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'Gebäude - Inst. Heizkapazitäten'!$E$3:$K$3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Heizkapazitäten'!$E$14:$K$14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B-4C42-876B-760261E9AF09}"/>
            </c:ext>
          </c:extLst>
        </c:ser>
        <c:ser>
          <c:idx val="2"/>
          <c:order val="2"/>
          <c:tx>
            <c:strRef>
              <c:f>'Gebäude - Inst. Heizkapazitäten'!$C$15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Inst. Heizkapazitäten'!$E$3:$K$3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Heizkapazitäten'!$E$15:$K$15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B-4C42-876B-760261E9AF09}"/>
            </c:ext>
          </c:extLst>
        </c:ser>
        <c:ser>
          <c:idx val="3"/>
          <c:order val="3"/>
          <c:tx>
            <c:strRef>
              <c:f>'Gebäude - Inst. Heizkapazitäten'!$C$16</c:f>
              <c:strCache>
                <c:ptCount val="1"/>
                <c:pt idx="0">
                  <c:v>NWG</c:v>
                </c:pt>
              </c:strCache>
            </c:strRef>
          </c:tx>
          <c:invertIfNegative val="0"/>
          <c:cat>
            <c:strRef>
              <c:f>'Gebäude - Inst. Heizkapazitäten'!$E$3:$K$3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Heizkapazitäten'!$E$16:$K$16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B-4C42-876B-760261E9A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704128"/>
        <c:axId val="397228800"/>
      </c:barChart>
      <c:catAx>
        <c:axId val="39870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7228800"/>
        <c:crosses val="autoZero"/>
        <c:auto val="1"/>
        <c:lblAlgn val="ctr"/>
        <c:lblOffset val="100"/>
        <c:noMultiLvlLbl val="0"/>
      </c:catAx>
      <c:valAx>
        <c:axId val="397228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District heating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870412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0.16738491420049079"/>
          <c:w val="0.15256006944444445"/>
          <c:h val="0.4175147190163621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Central</a:t>
            </a:r>
            <a:r>
              <a:rPr lang="de-DE" sz="1600" baseline="0"/>
              <a:t> heating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Inst. Heizkapazitäten'!$AU$3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D11C-440B-9D86-AB5122D8D600}"/>
              </c:ext>
            </c:extLst>
          </c:dPt>
          <c:cat>
            <c:strRef>
              <c:f>'Gebäude - Inst. Heizkapazitäten'!$AM$13:$AM$16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Inst. Heizkapazitäten'!$AU$13:$AU$16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Fernwärme inst. Kapazitäten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Inst. Heizkapazitäten'!$K$3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4BD1-4D6B-BB93-AED50A9638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3-4BD1-4D6B-BB93-AED50A963850}"/>
              </c:ext>
            </c:extLst>
          </c:dPt>
          <c:cat>
            <c:strRef>
              <c:f>'Gebäude - Inst. Heizkapazitäten'!$C$13:$C$16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Inst. Heizkapazitäten'!$K$13:$K$16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Inst. Heizkapazitäten'!$C$13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Inst. Heizkapazitäten'!$E$3:$K$3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Heizkapazitäten'!$E$13:$K$13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Inst. Heizkapazitäten'!$C$14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'Gebäude - Inst. Heizkapazitäten'!$E$3:$K$3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Heizkapazitäten'!$E$14:$K$14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B-4C42-876B-760261E9AF09}"/>
            </c:ext>
          </c:extLst>
        </c:ser>
        <c:ser>
          <c:idx val="2"/>
          <c:order val="2"/>
          <c:tx>
            <c:strRef>
              <c:f>'Gebäude - Inst. Heizkapazitäten'!$C$15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'Gebäude - Inst. Heizkapazitäten'!$E$3:$K$3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Heizkapazitäten'!$E$15:$K$15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B-4C42-876B-760261E9AF09}"/>
            </c:ext>
          </c:extLst>
        </c:ser>
        <c:ser>
          <c:idx val="3"/>
          <c:order val="3"/>
          <c:tx>
            <c:strRef>
              <c:f>'Gebäude - Inst. Heizkapazitäten'!$C$16</c:f>
              <c:strCache>
                <c:ptCount val="1"/>
                <c:pt idx="0">
                  <c:v>NWG</c:v>
                </c:pt>
              </c:strCache>
            </c:strRef>
          </c:tx>
          <c:invertIfNegative val="0"/>
          <c:cat>
            <c:strRef>
              <c:f>'Gebäude - Inst. Heizkapazitäten'!$E$3:$K$3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Heizkapazitäten'!$E$16:$K$16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B-4C42-876B-760261E9A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887424"/>
        <c:axId val="398765440"/>
      </c:barChart>
      <c:catAx>
        <c:axId val="39888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8765440"/>
        <c:crosses val="autoZero"/>
        <c:auto val="1"/>
        <c:lblAlgn val="ctr"/>
        <c:lblOffset val="100"/>
        <c:noMultiLvlLbl val="0"/>
      </c:catAx>
      <c:valAx>
        <c:axId val="398765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Fernwärme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888742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0.16738491420049079"/>
          <c:w val="0.15256006944444445"/>
          <c:h val="0.4175147190163621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6100836805555555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Inst. Heizkapazitäten'!$O$13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Inst. Heizkapazitäten'!$Q$3:$W$3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Heizkapazitäten'!$Q$13:$W$13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'Gebäude - Inst. Heizkapazitäten'!$O$14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Inst. Heizkapazitäten'!$Q$3:$W$3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Heizkapazitäten'!$Q$14:$W$14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E-46F3-A3F4-7B61371C482C}"/>
            </c:ext>
          </c:extLst>
        </c:ser>
        <c:ser>
          <c:idx val="2"/>
          <c:order val="2"/>
          <c:tx>
            <c:strRef>
              <c:f>'Gebäude - Inst. Heizkapazitäten'!$O$15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Inst. Heizkapazitäten'!$Q$3:$W$3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Heizkapazitäten'!$Q$15:$W$15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E-46F3-A3F4-7B61371C482C}"/>
            </c:ext>
          </c:extLst>
        </c:ser>
        <c:ser>
          <c:idx val="3"/>
          <c:order val="3"/>
          <c:tx>
            <c:strRef>
              <c:f>'Gebäude - Inst. Heizkapazitäten'!$O$16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Inst. Heizkapazitäten'!$Q$3:$W$3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Heizkapazitäten'!$Q$16:$W$16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4E-46F3-A3F4-7B61371C4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888448"/>
        <c:axId val="398767744"/>
      </c:barChart>
      <c:catAx>
        <c:axId val="39888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8767744"/>
        <c:crosses val="autoZero"/>
        <c:auto val="1"/>
        <c:lblAlgn val="ctr"/>
        <c:lblOffset val="100"/>
        <c:noMultiLvlLbl val="0"/>
      </c:catAx>
      <c:valAx>
        <c:axId val="398767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Nahwärme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888844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6223559027777776"/>
          <c:y val="6.1668126284391341E-2"/>
          <c:w val="0.23776440972222218"/>
          <c:h val="0.62999124229365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Nahwärme</a:t>
            </a:r>
            <a:r>
              <a:rPr lang="de-DE" sz="1600" baseline="0"/>
              <a:t> inst. Kapazitäten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Inst. Heizkapazitäten'!$W$3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0C20-48AE-82B9-C21EF2E8F4DE}"/>
              </c:ext>
            </c:extLst>
          </c:dPt>
          <c:cat>
            <c:strRef>
              <c:f>'Gebäude - Inst. Heizkapazitäten'!$O$13:$O$16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Inst. Heizkapazitäten'!$W$13:$W$16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6099706744868036"/>
          <c:y val="0.22987703457805045"/>
          <c:w val="0.3220970639713468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977165364577"/>
          <c:y val="6.1460416666666663E-2"/>
          <c:w val="0.610629383976714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'Gebäude - Inst. Heizkapazitäten'!$AA$13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Inst. Heizkapazitäten'!$AC$3:$AI$3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Heizkapazitäten'!$AC$13:$AI$13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'Gebäude - Inst. Heizkapazitäten'!$AA$14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Inst. Heizkapazitäten'!$AC$3:$AI$3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Heizkapazitäten'!$AC$14:$AI$14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F-4F78-A594-1D75FB524A52}"/>
            </c:ext>
          </c:extLst>
        </c:ser>
        <c:ser>
          <c:idx val="1"/>
          <c:order val="2"/>
          <c:tx>
            <c:strRef>
              <c:f>'Gebäude - Inst. Heizkapazitäten'!$AA$15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Inst. Heizkapazitäten'!$AC$3:$AI$3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Heizkapazitäten'!$AC$15:$AI$15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CF-4F78-A594-1D75FB524A52}"/>
            </c:ext>
          </c:extLst>
        </c:ser>
        <c:ser>
          <c:idx val="3"/>
          <c:order val="3"/>
          <c:tx>
            <c:strRef>
              <c:f>'Gebäude - Inst. Heizkapazitäten'!$AA$16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Inst. Heizkapazitäten'!$AC$3:$AI$3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Heizkapazitäten'!$AC$16:$AI$16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CF-4F78-A594-1D75FB524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107584"/>
        <c:axId val="399139968"/>
      </c:barChart>
      <c:catAx>
        <c:axId val="39910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9139968"/>
        <c:crosses val="autoZero"/>
        <c:auto val="1"/>
        <c:lblAlgn val="ctr"/>
        <c:lblOffset val="100"/>
        <c:noMultiLvlLbl val="0"/>
      </c:catAx>
      <c:valAx>
        <c:axId val="399139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Dezentrale Wärmeerzeugung</a:t>
                </a:r>
                <a:r>
                  <a:rPr lang="de-DE" baseline="0"/>
                  <a:t> 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910758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458710693324426"/>
          <c:y val="0.18362430058724688"/>
          <c:w val="0.15247602233144056"/>
          <c:h val="0.417055450655672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Dezentrale</a:t>
            </a:r>
            <a:r>
              <a:rPr lang="de-DE" sz="1600" baseline="0"/>
              <a:t> Wärme inst. Kapazitäten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Inst. Heizkapazitäten'!$AI$3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CFD-47EF-9DED-A00B6EE46D49}"/>
              </c:ext>
            </c:extLst>
          </c:dPt>
          <c:cat>
            <c:strRef>
              <c:f>'Gebäude - Inst. Heizkapazitäten'!$AA$13:$AA$16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Inst. Heizkapazitäten'!$AI$13:$AI$16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396736111111111"/>
          <c:y val="6.1460416666666663E-2"/>
          <c:w val="0.57279722222222218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'Gebäude - Inst. Heizkapazitäten'!$AM$13</c:f>
              <c:strCache>
                <c:ptCount val="1"/>
                <c:pt idx="0">
                  <c:v>EZFH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</c:spPr>
          <c:invertIfNegative val="0"/>
          <c:cat>
            <c:strRef>
              <c:f>'Gebäude - Inst. Heizkapazitäten'!$AO$3:$AU$3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Heizkapazitäten'!$AO$13:$AU$13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'Gebäude - Inst. Heizkapazitäten'!$AM$14</c:f>
              <c:strCache>
                <c:ptCount val="1"/>
                <c:pt idx="0">
                  <c:v>MFH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Inst. Heizkapazitäten'!$AO$3:$AU$3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Heizkapazitäten'!$AO$14:$AU$14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F-4642-B308-3FBED084E8E1}"/>
            </c:ext>
          </c:extLst>
        </c:ser>
        <c:ser>
          <c:idx val="1"/>
          <c:order val="2"/>
          <c:tx>
            <c:strRef>
              <c:f>'Gebäude - Inst. Heizkapazitäten'!$AM$15</c:f>
              <c:strCache>
                <c:ptCount val="1"/>
                <c:pt idx="0">
                  <c:v>GMFH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strRef>
              <c:f>'Gebäude - Inst. Heizkapazitäten'!$AO$3:$AU$3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Heizkapazitäten'!$AO$15:$AU$15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DF-4642-B308-3FBED084E8E1}"/>
            </c:ext>
          </c:extLst>
        </c:ser>
        <c:ser>
          <c:idx val="3"/>
          <c:order val="3"/>
          <c:tx>
            <c:strRef>
              <c:f>'Gebäude - Inst. Heizkapazitäten'!$AM$16</c:f>
              <c:strCache>
                <c:ptCount val="1"/>
                <c:pt idx="0">
                  <c:v>NWG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'Gebäude - Inst. Heizkapazitäten'!$AO$3:$AU$3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Inst. Heizkapazitäten'!$AO$16:$AU$16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DF-4642-B308-3FBED084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109632"/>
        <c:axId val="399143424"/>
      </c:barChart>
      <c:catAx>
        <c:axId val="39910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9143424"/>
        <c:crosses val="autoZero"/>
        <c:auto val="1"/>
        <c:lblAlgn val="ctr"/>
        <c:lblOffset val="100"/>
        <c:noMultiLvlLbl val="0"/>
      </c:catAx>
      <c:valAx>
        <c:axId val="399143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Zentrale Wärmeerzeugng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9910963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200729166666669"/>
          <c:y val="1.2023384893776207E-2"/>
          <c:w val="0.1919423611111111"/>
          <c:h val="0.6928504166413761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Zentrale Wärmeerzeugung</a:t>
            </a:r>
            <a:r>
              <a:rPr lang="de-DE" sz="1600" baseline="0"/>
              <a:t> inst. Kapazitäten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Inst. Heizkapazitäten'!$AU$3</c:f>
              <c:strCache>
                <c:ptCount val="1"/>
                <c:pt idx="0">
                  <c:v>2050</c:v>
                </c:pt>
              </c:strCache>
            </c:strRef>
          </c:tx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D11C-440B-9D86-AB5122D8D600}"/>
              </c:ext>
            </c:extLst>
          </c:dPt>
          <c:cat>
            <c:strRef>
              <c:f>'Gebäude - Inst. Heizkapazitäten'!$AM$13:$AM$16</c:f>
              <c:strCache>
                <c:ptCount val="4"/>
                <c:pt idx="0">
                  <c:v>EZFH</c:v>
                </c:pt>
                <c:pt idx="1">
                  <c:v>MFH</c:v>
                </c:pt>
                <c:pt idx="2">
                  <c:v>GMFH</c:v>
                </c:pt>
                <c:pt idx="3">
                  <c:v>NWG</c:v>
                </c:pt>
              </c:strCache>
            </c:strRef>
          </c:cat>
          <c:val>
            <c:numRef>
              <c:f>'Gebäude - Inst. Heizkapazitäten'!$AU$13:$AU$16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7175066161412026"/>
          <c:y val="6.1460416666666663E-2"/>
          <c:w val="0.4115967161911807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Bestand'!$D$55</c:f>
              <c:strCache>
                <c:ptCount val="1"/>
                <c:pt idx="0">
                  <c:v>Landmarked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Bestand'!$F$55:$L$55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Bestand'!$D$56</c:f>
              <c:strCache>
                <c:ptCount val="1"/>
                <c:pt idx="0">
                  <c:v>Stock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Bestand'!$F$56:$L$56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AB-48D6-9246-8BA097CAD84A}"/>
            </c:ext>
          </c:extLst>
        </c:ser>
        <c:ser>
          <c:idx val="2"/>
          <c:order val="2"/>
          <c:tx>
            <c:strRef>
              <c:f>'Gebäude - Bestand'!$D$57</c:f>
              <c:strCache>
                <c:ptCount val="1"/>
                <c:pt idx="0">
                  <c:v>Refurb. Pack. 1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Bestand'!$F$57:$L$57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AB-48D6-9246-8BA097CAD84A}"/>
            </c:ext>
          </c:extLst>
        </c:ser>
        <c:ser>
          <c:idx val="3"/>
          <c:order val="3"/>
          <c:tx>
            <c:strRef>
              <c:f>'Gebäude - Bestand'!$D$58</c:f>
              <c:strCache>
                <c:ptCount val="1"/>
                <c:pt idx="0">
                  <c:v>Refurb. Pack.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Bestand'!$F$58:$L$58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D-43AC-9EBC-DC954FCA9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342336"/>
        <c:axId val="401619136"/>
      </c:barChart>
      <c:catAx>
        <c:axId val="40334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1619136"/>
        <c:crosses val="autoZero"/>
        <c:auto val="1"/>
        <c:lblAlgn val="ctr"/>
        <c:lblOffset val="100"/>
        <c:noMultiLvlLbl val="0"/>
      </c:catAx>
      <c:valAx>
        <c:axId val="401619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Living space EZFH (before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34233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896146062281027"/>
          <c:y val="6.1460416666666663E-2"/>
          <c:w val="0.44877529915792586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Bestand'!$P$55</c:f>
              <c:strCache>
                <c:ptCount val="1"/>
                <c:pt idx="0">
                  <c:v>Landmarked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Bestand'!$R$55:$X$55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Bestand'!$P$56</c:f>
              <c:strCache>
                <c:ptCount val="1"/>
                <c:pt idx="0">
                  <c:v>Stock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Bestand'!$R$56:$X$56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B5-4E74-81C9-8BE3EEFD2E08}"/>
            </c:ext>
          </c:extLst>
        </c:ser>
        <c:ser>
          <c:idx val="2"/>
          <c:order val="2"/>
          <c:tx>
            <c:strRef>
              <c:f>'Gebäude - Bestand'!$P$57</c:f>
              <c:strCache>
                <c:ptCount val="1"/>
                <c:pt idx="0">
                  <c:v>Refurb. Pack.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Bestand'!$R$57:$X$57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B5-4E74-81C9-8BE3EEFD2E08}"/>
            </c:ext>
          </c:extLst>
        </c:ser>
        <c:ser>
          <c:idx val="3"/>
          <c:order val="3"/>
          <c:tx>
            <c:strRef>
              <c:f>'Gebäude - Bestand'!$P$58</c:f>
              <c:strCache>
                <c:ptCount val="1"/>
                <c:pt idx="0">
                  <c:v>Refurb. Pack.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Bestand'!$R$58:$X$58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B-4C3A-B8C0-F8A6BCA72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836928"/>
        <c:axId val="404103744"/>
      </c:barChart>
      <c:catAx>
        <c:axId val="40383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103744"/>
        <c:crosses val="autoZero"/>
        <c:auto val="1"/>
        <c:lblAlgn val="ctr"/>
        <c:lblOffset val="100"/>
        <c:noMultiLvlLbl val="0"/>
      </c:catAx>
      <c:valAx>
        <c:axId val="404103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Living space MFH (before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83692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Living space MFH (before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Bestand'!$X$3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51B1-4D65-9938-41BB29B473A8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51B1-4D65-9938-41BB29B473A8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0827-48E0-848D-E52FF21D67D9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51B1-4D65-9938-41BB29B473A8}"/>
              </c:ext>
            </c:extLst>
          </c:dPt>
          <c:cat>
            <c:strRef>
              <c:f>'Gebäude - Bestand'!$P$49:$P$52</c:f>
              <c:strCache>
                <c:ptCount val="4"/>
                <c:pt idx="0">
                  <c:v>Landmarked</c:v>
                </c:pt>
                <c:pt idx="1">
                  <c:v>Stock</c:v>
                </c:pt>
                <c:pt idx="2">
                  <c:v>Refurb. Pack. 1</c:v>
                </c:pt>
                <c:pt idx="3">
                  <c:v>Refurb. Pack. 2</c:v>
                </c:pt>
              </c:strCache>
            </c:strRef>
          </c:cat>
          <c:val>
            <c:numRef>
              <c:f>'Gebäude - Bestand'!$X$55:$X$58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7550671296296296"/>
          <c:y val="0.23563268533887186"/>
          <c:w val="0.42449328703703709"/>
          <c:h val="0.5929646081660239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285905013039"/>
          <c:y val="6.1460416666666663E-2"/>
          <c:w val="0.5150051781577403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Bestand'!$D$63</c:f>
              <c:strCache>
                <c:ptCount val="1"/>
                <c:pt idx="0">
                  <c:v>EnEV 2016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Bestand'!$F$63:$L$63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Bestand'!$D$64</c:f>
              <c:strCache>
                <c:ptCount val="1"/>
                <c:pt idx="0">
                  <c:v>KfW55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Bestand'!$F$64:$L$64</c:f>
              <c:numCache>
                <c:formatCode>General</c:formatCode>
                <c:ptCount val="7"/>
                <c:pt idx="0" formatCode="0.0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C-47B3-BED8-2197FE37002F}"/>
            </c:ext>
          </c:extLst>
        </c:ser>
        <c:ser>
          <c:idx val="2"/>
          <c:order val="2"/>
          <c:tx>
            <c:strRef>
              <c:f>'Gebäude - Bestand'!$D$65</c:f>
              <c:strCache>
                <c:ptCount val="1"/>
                <c:pt idx="0">
                  <c:v>KfW40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Bestand'!$F$65:$L$65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C-47B3-BED8-2197FE370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838976"/>
        <c:axId val="404107200"/>
      </c:barChart>
      <c:catAx>
        <c:axId val="40383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107200"/>
        <c:crosses val="autoZero"/>
        <c:auto val="1"/>
        <c:lblAlgn val="ctr"/>
        <c:lblOffset val="100"/>
        <c:noMultiLvlLbl val="0"/>
      </c:catAx>
      <c:valAx>
        <c:axId val="40410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Living space new EZFH in Mio. 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83897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Living space new EZFH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016B-456E-B70D-D60893BFAE64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016B-456E-B70D-D60893BFAE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1-648E-4485-B9D5-3138C642334C}"/>
              </c:ext>
            </c:extLst>
          </c:dPt>
          <c:cat>
            <c:strRef>
              <c:f>'Gebäude - Bestand'!$D$63:$D$65</c:f>
              <c:strCache>
                <c:ptCount val="3"/>
                <c:pt idx="0">
                  <c:v>EnEV 2016</c:v>
                </c:pt>
                <c:pt idx="1">
                  <c:v>KfW55</c:v>
                </c:pt>
                <c:pt idx="2">
                  <c:v>KfW40</c:v>
                </c:pt>
              </c:strCache>
            </c:strRef>
          </c:cat>
          <c:val>
            <c:numRef>
              <c:f>'Gebäude - Bestand'!$L$63:$L$65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6311737544817401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Living space EZFH (before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Bestand'!$L$3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B897-44BA-859D-266B77DFC49F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897-44BA-859D-266B77DFC49F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42AD-4F69-BD21-1DC18F1A3EAE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897-44BA-859D-266B77DFC49F}"/>
              </c:ext>
            </c:extLst>
          </c:dPt>
          <c:cat>
            <c:strRef>
              <c:f>'Gebäude - Bestand'!$D$49:$D$52</c:f>
              <c:strCache>
                <c:ptCount val="4"/>
                <c:pt idx="0">
                  <c:v>Landmarked</c:v>
                </c:pt>
                <c:pt idx="1">
                  <c:v>Stock</c:v>
                </c:pt>
                <c:pt idx="2">
                  <c:v>Refurb. Pack. 1</c:v>
                </c:pt>
                <c:pt idx="3">
                  <c:v>Refurb. Pack. 2</c:v>
                </c:pt>
              </c:strCache>
            </c:strRef>
          </c:cat>
          <c:val>
            <c:numRef>
              <c:f>'Gebäude - Bestand'!$L$55:$L$58</c:f>
              <c:numCache>
                <c:formatCode>0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5027527060906885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285905013039"/>
          <c:y val="6.1460416666666663E-2"/>
          <c:w val="0.5150051781577403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Bestand'!$P$63</c:f>
              <c:strCache>
                <c:ptCount val="1"/>
                <c:pt idx="0">
                  <c:v>EnEV 2016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Bestand'!$R$63:$X$63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Bestand'!$P$64</c:f>
              <c:strCache>
                <c:ptCount val="1"/>
                <c:pt idx="0">
                  <c:v>KfW55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Bestand'!$R$64:$X$64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D-47DA-9F4F-A60DCF808ABE}"/>
            </c:ext>
          </c:extLst>
        </c:ser>
        <c:ser>
          <c:idx val="2"/>
          <c:order val="2"/>
          <c:tx>
            <c:strRef>
              <c:f>'Gebäude - Bestand'!$P$65</c:f>
              <c:strCache>
                <c:ptCount val="1"/>
                <c:pt idx="0">
                  <c:v>KfW40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Bestand'!$R$65:$X$65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2D-47DA-9F4F-A60DCF808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177408"/>
        <c:axId val="404062784"/>
      </c:barChart>
      <c:catAx>
        <c:axId val="40417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062784"/>
        <c:crosses val="autoZero"/>
        <c:auto val="1"/>
        <c:lblAlgn val="ctr"/>
        <c:lblOffset val="100"/>
        <c:noMultiLvlLbl val="0"/>
      </c:catAx>
      <c:valAx>
        <c:axId val="404062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Living space new MFH in Mio. 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17740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Living space new MFH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212B-4029-9D73-9A84FE833E50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212B-4029-9D73-9A84FE833E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1-1B13-4F14-BA48-D6A3E3D380BE}"/>
              </c:ext>
            </c:extLst>
          </c:dPt>
          <c:cat>
            <c:strRef>
              <c:f>'Gebäude - Bestand'!$P$63:$P$65</c:f>
              <c:strCache>
                <c:ptCount val="3"/>
                <c:pt idx="0">
                  <c:v>EnEV 2016</c:v>
                </c:pt>
                <c:pt idx="1">
                  <c:v>KfW55</c:v>
                </c:pt>
                <c:pt idx="2">
                  <c:v>KfW40</c:v>
                </c:pt>
              </c:strCache>
            </c:strRef>
          </c:cat>
          <c:val>
            <c:numRef>
              <c:f>'Gebäude - Bestand'!$X$63:$X$65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3-4F14-BA48-D6A3E3D3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0584812064341599"/>
          <c:h val="0.5536567502528511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285905013039"/>
          <c:y val="6.1460416666666663E-2"/>
          <c:w val="0.4774812510319536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Bestand'!$AA$55</c:f>
              <c:strCache>
                <c:ptCount val="1"/>
                <c:pt idx="0">
                  <c:v>Landmarked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Bestand'!$AC$55:$AI$55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Bestand'!$AA$56</c:f>
              <c:strCache>
                <c:ptCount val="1"/>
                <c:pt idx="0">
                  <c:v>Stock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Bestand'!$AC$56:$AI$56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B5-4E74-81C9-8BE3EEFD2E08}"/>
            </c:ext>
          </c:extLst>
        </c:ser>
        <c:ser>
          <c:idx val="2"/>
          <c:order val="2"/>
          <c:tx>
            <c:strRef>
              <c:f>'Gebäude - Bestand'!$AA$57</c:f>
              <c:strCache>
                <c:ptCount val="1"/>
                <c:pt idx="0">
                  <c:v>Refurb. Pack.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Bestand'!$AC$57:$AI$57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B5-4E74-81C9-8BE3EEFD2E08}"/>
            </c:ext>
          </c:extLst>
        </c:ser>
        <c:ser>
          <c:idx val="3"/>
          <c:order val="3"/>
          <c:tx>
            <c:strRef>
              <c:f>'Gebäude - Bestand'!$AA$58</c:f>
              <c:strCache>
                <c:ptCount val="1"/>
                <c:pt idx="0">
                  <c:v>Refurb. Pack.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Bestand'!$AC$58:$AI$58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2-4159-A486-E6DE2F11C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179968"/>
        <c:axId val="404066240"/>
      </c:barChart>
      <c:catAx>
        <c:axId val="40417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066240"/>
        <c:crosses val="autoZero"/>
        <c:auto val="1"/>
        <c:lblAlgn val="ctr"/>
        <c:lblOffset val="100"/>
        <c:noMultiLvlLbl val="0"/>
      </c:catAx>
      <c:valAx>
        <c:axId val="404066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Living space GMFH (before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17996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572149852702194"/>
          <c:y val="0.16738491420049079"/>
          <c:w val="0.28427850147297801"/>
          <c:h val="0.424798922694280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Living space GMFH (before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Bestand'!$AI$3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4BDF-4CEB-9201-500EFCCA656C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BDF-4CEB-9201-500EFCCA656C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1523-4D89-B62C-148D31600F9F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BDF-4CEB-9201-500EFCCA656C}"/>
              </c:ext>
            </c:extLst>
          </c:dPt>
          <c:cat>
            <c:strRef>
              <c:f>'Gebäude - Bestand'!$AA$49:$AA$52</c:f>
              <c:strCache>
                <c:ptCount val="4"/>
                <c:pt idx="0">
                  <c:v>Landmarked</c:v>
                </c:pt>
                <c:pt idx="1">
                  <c:v>Stock</c:v>
                </c:pt>
                <c:pt idx="2">
                  <c:v>Refurb. Pack. 1</c:v>
                </c:pt>
                <c:pt idx="3">
                  <c:v>Refurb. Pack. 2</c:v>
                </c:pt>
              </c:strCache>
            </c:strRef>
          </c:cat>
          <c:val>
            <c:numRef>
              <c:f>'Gebäude - Bestand'!$AI$55:$AI$58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9930795530162229"/>
          <c:y val="0.23563268533887186"/>
          <c:w val="0.40069204469837766"/>
          <c:h val="0.62127295485874545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549291667573389"/>
          <c:y val="6.1460416666666663E-2"/>
          <c:w val="0.4376950283732934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Bestand'!$AM$102</c:f>
              <c:strCache>
                <c:ptCount val="1"/>
                <c:pt idx="0">
                  <c:v>Landmarked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Bestand'!$AO$102:$AU$102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Bestand'!$AM$103</c:f>
              <c:strCache>
                <c:ptCount val="1"/>
                <c:pt idx="0">
                  <c:v>Stock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Bestand'!$AO$103:$AU$103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F-4F45-B056-6F0BDEB43129}"/>
            </c:ext>
          </c:extLst>
        </c:ser>
        <c:ser>
          <c:idx val="2"/>
          <c:order val="2"/>
          <c:tx>
            <c:strRef>
              <c:f>'Gebäude - Bestand'!$AM$104</c:f>
              <c:strCache>
                <c:ptCount val="1"/>
                <c:pt idx="0">
                  <c:v>Refurb. Pack.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Bestand'!$AO$104:$AU$104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F-4F45-B056-6F0BDEB43129}"/>
            </c:ext>
          </c:extLst>
        </c:ser>
        <c:ser>
          <c:idx val="3"/>
          <c:order val="3"/>
          <c:tx>
            <c:strRef>
              <c:f>'Gebäude - Bestand'!$AM$105</c:f>
              <c:strCache>
                <c:ptCount val="1"/>
                <c:pt idx="0">
                  <c:v>Refurb. Pack.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Bestand'!$AO$105:$AU$105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5-4D46-894C-857E88014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346880"/>
        <c:axId val="404069696"/>
      </c:barChart>
      <c:catAx>
        <c:axId val="40434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069696"/>
        <c:crosses val="autoZero"/>
        <c:auto val="1"/>
        <c:lblAlgn val="ctr"/>
        <c:lblOffset val="100"/>
        <c:noMultiLvlLbl val="0"/>
      </c:catAx>
      <c:valAx>
        <c:axId val="404069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Building space NWG  </a:t>
                </a:r>
                <a:r>
                  <a:rPr lang="de-DE"/>
                  <a:t>(before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34688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Building space NWG (before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E99C-4004-AD4C-F86E75806F12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E99C-4004-AD4C-F86E75806F12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D481-4AA9-A083-10635217B03F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E99C-4004-AD4C-F86E75806F12}"/>
              </c:ext>
            </c:extLst>
          </c:dPt>
          <c:cat>
            <c:strRef>
              <c:f>'Gebäude - Bestand'!$AM$96:$AM$99</c:f>
              <c:strCache>
                <c:ptCount val="4"/>
                <c:pt idx="0">
                  <c:v>Landmarked</c:v>
                </c:pt>
                <c:pt idx="1">
                  <c:v>Stock</c:v>
                </c:pt>
                <c:pt idx="2">
                  <c:v>Refurb. Pack. 1</c:v>
                </c:pt>
                <c:pt idx="3">
                  <c:v>Refurb. Pack. 2</c:v>
                </c:pt>
              </c:strCache>
            </c:strRef>
          </c:cat>
          <c:val>
            <c:numRef>
              <c:f>'Gebäude - Bestand'!$AU$102:$AU$105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9617408539499772"/>
          <c:y val="0.23563268533887186"/>
          <c:w val="0.40382591460500222"/>
          <c:h val="0.5974750603070331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017510692762558"/>
          <c:y val="6.1460416666666663E-2"/>
          <c:w val="0.49131927688951943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Bestand'!$AY$4</c:f>
              <c:strCache>
                <c:ptCount val="1"/>
                <c:pt idx="0">
                  <c:v>Landmarked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Bestand'!$BA$4:$BG$4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Bestand'!$AY$5</c:f>
              <c:strCache>
                <c:ptCount val="1"/>
                <c:pt idx="0">
                  <c:v>Stock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Bestand'!$BA$5:$BG$5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 formatCode="General">
                  <c:v>#N/A</c:v>
                </c:pt>
                <c:pt idx="3" formatCode="General">
                  <c:v>#N/A</c:v>
                </c:pt>
                <c:pt idx="4" formatCode="General">
                  <c:v>#N/A</c:v>
                </c:pt>
                <c:pt idx="5" formatCode="General">
                  <c:v>#N/A</c:v>
                </c:pt>
                <c:pt idx="6" formatCode="General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F-4F01-BFA4-629B464FCDFB}"/>
            </c:ext>
          </c:extLst>
        </c:ser>
        <c:ser>
          <c:idx val="2"/>
          <c:order val="2"/>
          <c:tx>
            <c:strRef>
              <c:f>'Gebäude - Bestand'!$AY$6</c:f>
              <c:strCache>
                <c:ptCount val="1"/>
                <c:pt idx="0">
                  <c:v>Refurb. Pack.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Bestand'!$BA$6:$BG$6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F-4F01-BFA4-629B464FCDFB}"/>
            </c:ext>
          </c:extLst>
        </c:ser>
        <c:ser>
          <c:idx val="3"/>
          <c:order val="3"/>
          <c:tx>
            <c:strRef>
              <c:f>'Gebäude - Bestand'!$AY$7</c:f>
              <c:strCache>
                <c:ptCount val="1"/>
                <c:pt idx="0">
                  <c:v>Refurb. Pack.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Bestand'!$BA$7:$BG$7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F-4CC6-BB2D-AE94F1A99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348416"/>
        <c:axId val="404441920"/>
      </c:barChart>
      <c:catAx>
        <c:axId val="40434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441920"/>
        <c:crosses val="autoZero"/>
        <c:auto val="1"/>
        <c:lblAlgn val="ctr"/>
        <c:lblOffset val="100"/>
        <c:noMultiLvlLbl val="0"/>
      </c:catAx>
      <c:valAx>
        <c:axId val="404441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Residential buildings (before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34841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0853773038772827"/>
          <c:y val="0.20122877631028002"/>
          <c:w val="0.28413803361343115"/>
          <c:h val="0.4009872049103084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Residential buildings (before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0774-4AB4-857B-9E28E92D9702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0774-4AB4-857B-9E28E92D9702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0E65-47B1-97A8-C464AEF4C0A9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0774-4AB4-857B-9E28E92D9702}"/>
              </c:ext>
            </c:extLst>
          </c:dPt>
          <c:cat>
            <c:strRef>
              <c:f>'Gebäude - Bestand'!$AY$4:$AY$7</c:f>
              <c:strCache>
                <c:ptCount val="4"/>
                <c:pt idx="0">
                  <c:v>Landmarked</c:v>
                </c:pt>
                <c:pt idx="1">
                  <c:v>Stock</c:v>
                </c:pt>
                <c:pt idx="2">
                  <c:v>Refurb. Pack. 1</c:v>
                </c:pt>
                <c:pt idx="3">
                  <c:v>Refurb. Pack. 2</c:v>
                </c:pt>
              </c:strCache>
            </c:strRef>
          </c:cat>
          <c:val>
            <c:numRef>
              <c:f>'Gebäude - Bestand'!$BG$4:$BG$7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1125723719920388"/>
          <c:y val="0.23563268533887186"/>
          <c:w val="0.38874276280079617"/>
          <c:h val="0.5523692522321229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9602261395857"/>
          <c:y val="6.1460416666666663E-2"/>
          <c:w val="0.4863735291822384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Bestand'!$AY$11</c:f>
              <c:strCache>
                <c:ptCount val="1"/>
                <c:pt idx="0">
                  <c:v>EnEV 2016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Bestand'!$BA$11:$BG$11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Bestand'!$AY$12</c:f>
              <c:strCache>
                <c:ptCount val="1"/>
                <c:pt idx="0">
                  <c:v>KfW55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Bestand'!$BA$12:$BG$12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D-42C8-A103-5085D1287B68}"/>
            </c:ext>
          </c:extLst>
        </c:ser>
        <c:ser>
          <c:idx val="2"/>
          <c:order val="2"/>
          <c:tx>
            <c:strRef>
              <c:f>'Gebäude - Bestand'!$AY$13</c:f>
              <c:strCache>
                <c:ptCount val="1"/>
                <c:pt idx="0">
                  <c:v>KfW40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Bestand'!$BA$13:$BG$13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3D-42C8-A103-5085D1287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665856"/>
        <c:axId val="404445376"/>
      </c:barChart>
      <c:catAx>
        <c:axId val="40466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445376"/>
        <c:crosses val="autoZero"/>
        <c:auto val="1"/>
        <c:lblAlgn val="ctr"/>
        <c:lblOffset val="100"/>
        <c:noMultiLvlLbl val="0"/>
      </c:catAx>
      <c:valAx>
        <c:axId val="404445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New residential buildings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66585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New residential buildings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1267-42FC-8DDA-90D33E61B061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1267-42FC-8DDA-90D33E61B06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1-696D-42DF-9C8D-AAFA8AF727E0}"/>
              </c:ext>
            </c:extLst>
          </c:dPt>
          <c:cat>
            <c:strRef>
              <c:f>'Gebäude - Bestand'!$AY$11:$AY$13</c:f>
              <c:strCache>
                <c:ptCount val="3"/>
                <c:pt idx="0">
                  <c:v>EnEV 2016</c:v>
                </c:pt>
                <c:pt idx="1">
                  <c:v>KfW55</c:v>
                </c:pt>
                <c:pt idx="2">
                  <c:v>KfW40</c:v>
                </c:pt>
              </c:strCache>
            </c:strRef>
          </c:cat>
          <c:val>
            <c:numRef>
              <c:f>'Gebäude - Bestand'!$BG$11:$BG$13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54817204110402795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549291667573389"/>
          <c:y val="6.1460416666666663E-2"/>
          <c:w val="0.4818408373773203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Bestand'!$AM$109</c:f>
              <c:strCache>
                <c:ptCount val="1"/>
                <c:pt idx="0">
                  <c:v>Standard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Bestand'!$AO$109:$AU$109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Bestand'!$AM$110</c:f>
              <c:strCache>
                <c:ptCount val="1"/>
                <c:pt idx="0">
                  <c:v>Efficient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Bestand'!$AO$110:$AU$110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F-4F45-B056-6F0BDEB43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666880"/>
        <c:axId val="404793600"/>
      </c:barChart>
      <c:catAx>
        <c:axId val="40466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793600"/>
        <c:crosses val="autoZero"/>
        <c:auto val="1"/>
        <c:lblAlgn val="ctr"/>
        <c:lblOffset val="100"/>
        <c:noMultiLvlLbl val="0"/>
      </c:catAx>
      <c:valAx>
        <c:axId val="404793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Building space new NWG  </a:t>
                </a:r>
                <a:r>
                  <a:rPr lang="de-DE"/>
                  <a:t>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66688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Building space new NWG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1-4024-4BB0-B574-CDFEF40EB64E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024-4BB0-B574-CDFEF40EB64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D481-4AA9-A083-10635217B03F}"/>
              </c:ext>
            </c:extLst>
          </c:dPt>
          <c:cat>
            <c:strRef>
              <c:f>'Gebäude - Bestand'!$AM$109:$AM$110</c:f>
              <c:strCache>
                <c:ptCount val="2"/>
                <c:pt idx="0">
                  <c:v>Standard</c:v>
                </c:pt>
                <c:pt idx="1">
                  <c:v>Efficient</c:v>
                </c:pt>
              </c:strCache>
            </c:strRef>
          </c:cat>
          <c:val>
            <c:numRef>
              <c:f>'Gebäude - Bestand'!$AU$109:$AU$110</c:f>
              <c:numCache>
                <c:formatCode>0.0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722804063648875"/>
          <c:y val="0.33486587017370761"/>
          <c:w val="0.34727928650165346"/>
          <c:h val="0.3654612289590086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9602261395857"/>
          <c:y val="6.1460416666666663E-2"/>
          <c:w val="0.3940021619135393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Bestand'!$C$55</c:f>
              <c:strCache>
                <c:ptCount val="1"/>
                <c:pt idx="0">
                  <c:v>Unsanierbar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Bestand'!$F$55:$L$55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Bestand'!$C$56</c:f>
              <c:strCache>
                <c:ptCount val="1"/>
                <c:pt idx="0">
                  <c:v>Bestandsgebäude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Bestand'!$F$56:$L$56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AB-48D6-9246-8BA097CAD84A}"/>
            </c:ext>
          </c:extLst>
        </c:ser>
        <c:ser>
          <c:idx val="2"/>
          <c:order val="2"/>
          <c:tx>
            <c:strRef>
              <c:f>'Gebäude - Bestand'!$C$57</c:f>
              <c:strCache>
                <c:ptCount val="1"/>
                <c:pt idx="0">
                  <c:v>Sanierungspaket 1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Bestand'!$F$57:$L$57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AB-48D6-9246-8BA097CAD84A}"/>
            </c:ext>
          </c:extLst>
        </c:ser>
        <c:ser>
          <c:idx val="3"/>
          <c:order val="3"/>
          <c:tx>
            <c:strRef>
              <c:f>'Gebäude - Bestand'!$C$58</c:f>
              <c:strCache>
                <c:ptCount val="1"/>
                <c:pt idx="0">
                  <c:v>Sanierungspaket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Bestand'!$F$58:$L$58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6-495A-8E1C-5EAF1AC31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090304"/>
        <c:axId val="404796480"/>
      </c:barChart>
      <c:catAx>
        <c:axId val="40509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796480"/>
        <c:crosses val="autoZero"/>
        <c:auto val="1"/>
        <c:lblAlgn val="ctr"/>
        <c:lblOffset val="100"/>
        <c:noMultiLvlLbl val="0"/>
      </c:catAx>
      <c:valAx>
        <c:axId val="404796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Wohnfläche</a:t>
                </a:r>
                <a:r>
                  <a:rPr lang="de-DE" baseline="0"/>
                  <a:t> </a:t>
                </a:r>
                <a:r>
                  <a:rPr lang="de-DE"/>
                  <a:t>EZFH (before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09030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285905013039"/>
          <c:y val="6.1460416666666663E-2"/>
          <c:w val="0.5150051781577403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Bestand'!$D$63</c:f>
              <c:strCache>
                <c:ptCount val="1"/>
                <c:pt idx="0">
                  <c:v>EnEV 2016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Bestand'!$F$63:$L$63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Bestand'!$D$64</c:f>
              <c:strCache>
                <c:ptCount val="1"/>
                <c:pt idx="0">
                  <c:v>KfW55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Bestand'!$F$64:$L$64</c:f>
              <c:numCache>
                <c:formatCode>General</c:formatCode>
                <c:ptCount val="7"/>
                <c:pt idx="0" formatCode="0.0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C-47B3-BED8-2197FE37002F}"/>
            </c:ext>
          </c:extLst>
        </c:ser>
        <c:ser>
          <c:idx val="2"/>
          <c:order val="2"/>
          <c:tx>
            <c:strRef>
              <c:f>'Gebäude - Bestand'!$D$65</c:f>
              <c:strCache>
                <c:ptCount val="1"/>
                <c:pt idx="0">
                  <c:v>KfW40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'Gebäude - Bestand'!$F$3:$L$3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Bestand'!$F$65:$L$65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C-47B3-BED8-2197FE370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091840"/>
        <c:axId val="404798784"/>
      </c:barChart>
      <c:catAx>
        <c:axId val="40509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4798784"/>
        <c:crosses val="autoZero"/>
        <c:auto val="1"/>
        <c:lblAlgn val="ctr"/>
        <c:lblOffset val="100"/>
        <c:noMultiLvlLbl val="0"/>
      </c:catAx>
      <c:valAx>
        <c:axId val="404798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Wohnfläche neue EZFH in Mio. 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09184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Wohnfläche neue EZFH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B551-42E1-A9EE-B088A2FE2287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551-42E1-A9EE-B088A2FE22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1-648E-4485-B9D5-3138C642334C}"/>
              </c:ext>
            </c:extLst>
          </c:dPt>
          <c:cat>
            <c:strRef>
              <c:f>'Gebäude - Bestand'!$D$63:$D$65</c:f>
              <c:strCache>
                <c:ptCount val="3"/>
                <c:pt idx="0">
                  <c:v>EnEV 2016</c:v>
                </c:pt>
                <c:pt idx="1">
                  <c:v>KfW55</c:v>
                </c:pt>
                <c:pt idx="2">
                  <c:v>KfW40</c:v>
                </c:pt>
              </c:strCache>
            </c:strRef>
          </c:cat>
          <c:val>
            <c:numRef>
              <c:f>'Gebäude - Bestand'!$L$63:$L$65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Wohnfläche EZFH (vor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Bestand'!$L$3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8422-4AAB-B983-4952F17C9BB3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8422-4AAB-B983-4952F17C9BB3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42AD-4F69-BD21-1DC18F1A3EAE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8422-4AAB-B983-4952F17C9BB3}"/>
              </c:ext>
            </c:extLst>
          </c:dPt>
          <c:cat>
            <c:strRef>
              <c:f>'Gebäude - Bestand'!$C$49:$C$52</c:f>
              <c:strCache>
                <c:ptCount val="4"/>
                <c:pt idx="0">
                  <c:v>Unsanierbar</c:v>
                </c:pt>
                <c:pt idx="1">
                  <c:v>Bestandsgebäude</c:v>
                </c:pt>
                <c:pt idx="2">
                  <c:v>Sanierungspaket 1</c:v>
                </c:pt>
                <c:pt idx="3">
                  <c:v>Sanierungspaket 2</c:v>
                </c:pt>
              </c:strCache>
            </c:strRef>
          </c:cat>
          <c:val>
            <c:numRef>
              <c:f>'Gebäude - Bestand'!$L$55:$L$58</c:f>
              <c:numCache>
                <c:formatCode>0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653010222543875"/>
          <c:y val="0.23563268533887186"/>
          <c:w val="0.43469897774561245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766920727945915"/>
          <c:y val="6.1460416666666663E-2"/>
          <c:w val="0.4442870223346739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Bestand'!$AX$4</c:f>
              <c:strCache>
                <c:ptCount val="1"/>
                <c:pt idx="0">
                  <c:v>Unsanierbar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Bestand'!$BA$4:$BG$4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Bestand'!$AX$5</c:f>
              <c:strCache>
                <c:ptCount val="1"/>
                <c:pt idx="0">
                  <c:v>Bestandsgebäude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Bestand'!$BA$5:$BG$5</c:f>
              <c:numCache>
                <c:formatCode>0</c:formatCode>
                <c:ptCount val="7"/>
                <c:pt idx="0">
                  <c:v>#N/A</c:v>
                </c:pt>
                <c:pt idx="1">
                  <c:v>#N/A</c:v>
                </c:pt>
                <c:pt idx="2" formatCode="General">
                  <c:v>#N/A</c:v>
                </c:pt>
                <c:pt idx="3" formatCode="General">
                  <c:v>#N/A</c:v>
                </c:pt>
                <c:pt idx="4" formatCode="General">
                  <c:v>#N/A</c:v>
                </c:pt>
                <c:pt idx="5" formatCode="General">
                  <c:v>#N/A</c:v>
                </c:pt>
                <c:pt idx="6" formatCode="General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F-4F01-BFA4-629B464FCDFB}"/>
            </c:ext>
          </c:extLst>
        </c:ser>
        <c:ser>
          <c:idx val="2"/>
          <c:order val="2"/>
          <c:tx>
            <c:strRef>
              <c:f>'Gebäude - Bestand'!$AX$6</c:f>
              <c:strCache>
                <c:ptCount val="1"/>
                <c:pt idx="0">
                  <c:v>Sanierungspaket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Bestand'!$BA$6:$BG$6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F-4F01-BFA4-629B464FCDFB}"/>
            </c:ext>
          </c:extLst>
        </c:ser>
        <c:ser>
          <c:idx val="3"/>
          <c:order val="3"/>
          <c:tx>
            <c:strRef>
              <c:f>'Gebäude - Bestand'!$AX$7</c:f>
              <c:strCache>
                <c:ptCount val="1"/>
                <c:pt idx="0">
                  <c:v>Sanierungspaket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Bestand'!$BA$7:$BG$7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D-40A7-B928-18E01B0EC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442560"/>
        <c:axId val="405688256"/>
      </c:barChart>
      <c:catAx>
        <c:axId val="40544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688256"/>
        <c:crosses val="autoZero"/>
        <c:auto val="1"/>
        <c:lblAlgn val="ctr"/>
        <c:lblOffset val="100"/>
        <c:noMultiLvlLbl val="0"/>
      </c:catAx>
      <c:valAx>
        <c:axId val="405688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WG</a:t>
                </a:r>
                <a:r>
                  <a:rPr lang="de-DE" baseline="0"/>
                  <a:t> </a:t>
                </a:r>
                <a:r>
                  <a:rPr lang="de-DE"/>
                  <a:t>(vor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44256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006094002895621"/>
          <c:y val="0.1673850727956272"/>
          <c:w val="0.32931890281272447"/>
          <c:h val="0.442727461969222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WG (vor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A590-4D64-934B-145EAB2FE99C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A590-4D64-934B-145EAB2FE99C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0E65-47B1-97A8-C464AEF4C0A9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A590-4D64-934B-145EAB2FE99C}"/>
              </c:ext>
            </c:extLst>
          </c:dPt>
          <c:cat>
            <c:strRef>
              <c:f>'Gebäude - Bestand'!$AX$4:$AX$7</c:f>
              <c:strCache>
                <c:ptCount val="4"/>
                <c:pt idx="0">
                  <c:v>Unsanierbar</c:v>
                </c:pt>
                <c:pt idx="1">
                  <c:v>Bestandsgebäude</c:v>
                </c:pt>
                <c:pt idx="2">
                  <c:v>Sanierungspaket 1</c:v>
                </c:pt>
                <c:pt idx="3">
                  <c:v>Sanierungspaket 2</c:v>
                </c:pt>
              </c:strCache>
            </c:strRef>
          </c:cat>
          <c:val>
            <c:numRef>
              <c:f>'Gebäude - Bestand'!$BG$4:$BG$7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5381196851818348"/>
          <c:y val="0.23563268533887186"/>
          <c:w val="0.44618803148181657"/>
          <c:h val="0.63652659360095265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9602261395857"/>
          <c:y val="6.1460416666666663E-2"/>
          <c:w val="0.4863735291822384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Bestand'!$AY$11</c:f>
              <c:strCache>
                <c:ptCount val="1"/>
                <c:pt idx="0">
                  <c:v>EnEV 2016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Bestand'!$BA$11:$BG$11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Bestand'!$AY$12</c:f>
              <c:strCache>
                <c:ptCount val="1"/>
                <c:pt idx="0">
                  <c:v>KfW55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Bestand'!$BA$12:$BG$12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D-42C8-A103-5085D1287B68}"/>
            </c:ext>
          </c:extLst>
        </c:ser>
        <c:ser>
          <c:idx val="2"/>
          <c:order val="2"/>
          <c:tx>
            <c:strRef>
              <c:f>'Gebäude - Bestand'!$AY$13</c:f>
              <c:strCache>
                <c:ptCount val="1"/>
                <c:pt idx="0">
                  <c:v>KfW40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Bestand'!$BA$13:$BG$13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3D-42C8-A103-5085D1287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444608"/>
        <c:axId val="405691712"/>
      </c:barChart>
      <c:catAx>
        <c:axId val="40544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691712"/>
        <c:crosses val="autoZero"/>
        <c:auto val="1"/>
        <c:lblAlgn val="ctr"/>
        <c:lblOffset val="100"/>
        <c:noMultiLvlLbl val="0"/>
      </c:catAx>
      <c:valAx>
        <c:axId val="405691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Neue WG</a:t>
                </a:r>
                <a:r>
                  <a:rPr lang="de-DE" baseline="0"/>
                  <a:t> </a:t>
                </a:r>
                <a:r>
                  <a:rPr lang="de-DE"/>
                  <a:t>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44460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3145247860431639"/>
          <c:y val="0.16738491420049079"/>
          <c:w val="0.22689074173285412"/>
          <c:h val="0.3347257593121190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Neue WG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AF4-4B69-A889-012C85183185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FAF4-4B69-A889-012C851831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1-696D-42DF-9C8D-AAFA8AF727E0}"/>
              </c:ext>
            </c:extLst>
          </c:dPt>
          <c:cat>
            <c:strRef>
              <c:f>'Gebäude - Bestand'!$AY$11:$AY$13</c:f>
              <c:strCache>
                <c:ptCount val="3"/>
                <c:pt idx="0">
                  <c:v>EnEV 2016</c:v>
                </c:pt>
                <c:pt idx="1">
                  <c:v>KfW55</c:v>
                </c:pt>
                <c:pt idx="2">
                  <c:v>KfW40</c:v>
                </c:pt>
              </c:strCache>
            </c:strRef>
          </c:cat>
          <c:val>
            <c:numRef>
              <c:f>'Gebäude - Bestand'!$BG$11:$BG$13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1125723719920388"/>
          <c:y val="0.24959648276640567"/>
          <c:w val="0.36863690327960946"/>
          <c:h val="0.550257503368141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549291667573389"/>
          <c:y val="6.1460416666666663E-2"/>
          <c:w val="0.43072699622466054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Bestand'!$AL$102</c:f>
              <c:strCache>
                <c:ptCount val="1"/>
                <c:pt idx="0">
                  <c:v>Unsanierbar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Bestand'!$AO$102:$AU$102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Bestand'!$AL$103</c:f>
              <c:strCache>
                <c:ptCount val="1"/>
                <c:pt idx="0">
                  <c:v>Bestandsgebäude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Bestand'!$AO$103:$AU$103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F-4F45-B056-6F0BDEB43129}"/>
            </c:ext>
          </c:extLst>
        </c:ser>
        <c:ser>
          <c:idx val="2"/>
          <c:order val="2"/>
          <c:tx>
            <c:strRef>
              <c:f>'Gebäude - Bestand'!$AL$104</c:f>
              <c:strCache>
                <c:ptCount val="1"/>
                <c:pt idx="0">
                  <c:v>Sanierungspaket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Bestand'!$AO$104:$AU$104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F-4F45-B056-6F0BDEB43129}"/>
            </c:ext>
          </c:extLst>
        </c:ser>
        <c:ser>
          <c:idx val="3"/>
          <c:order val="3"/>
          <c:tx>
            <c:strRef>
              <c:f>'Gebäude - Bestand'!$AL$105</c:f>
              <c:strCache>
                <c:ptCount val="1"/>
                <c:pt idx="0">
                  <c:v>Sanierungspaket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Bestand'!$AO$105:$AU$105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F-4D46-9218-4DB20FD2A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446144"/>
        <c:axId val="405588800"/>
      </c:barChart>
      <c:catAx>
        <c:axId val="40544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588800"/>
        <c:crosses val="autoZero"/>
        <c:auto val="1"/>
        <c:lblAlgn val="ctr"/>
        <c:lblOffset val="100"/>
        <c:noMultiLvlLbl val="0"/>
      </c:catAx>
      <c:valAx>
        <c:axId val="405588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Gebäudefläche NWG  </a:t>
                </a:r>
                <a:r>
                  <a:rPr lang="de-DE"/>
                  <a:t>(vor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44614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Gebäudefläche NWG (before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A08D-4BC7-852F-4F25BEDD2A5A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A08D-4BC7-852F-4F25BEDD2A5A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D481-4AA9-A083-10635217B03F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A08D-4BC7-852F-4F25BEDD2A5A}"/>
              </c:ext>
            </c:extLst>
          </c:dPt>
          <c:cat>
            <c:strRef>
              <c:f>'Gebäude - Bestand'!$AL$96:$AL$99</c:f>
              <c:strCache>
                <c:ptCount val="4"/>
                <c:pt idx="0">
                  <c:v>Unsanierbar</c:v>
                </c:pt>
                <c:pt idx="1">
                  <c:v>Bestandsgebäude</c:v>
                </c:pt>
                <c:pt idx="2">
                  <c:v>Sanierungspaket 1</c:v>
                </c:pt>
                <c:pt idx="3">
                  <c:v>Sanierungspaket 2</c:v>
                </c:pt>
              </c:strCache>
            </c:strRef>
          </c:cat>
          <c:val>
            <c:numRef>
              <c:f>'Gebäude - Bestand'!$AU$102:$AU$105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92552794047223"/>
          <c:y val="0.23563268533887186"/>
          <c:w val="0.4507447205952777"/>
          <c:h val="0.62904936899615804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549291667573389"/>
          <c:y val="6.1460416666666663E-2"/>
          <c:w val="0.48184083737732031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Bestand'!$AL$109</c:f>
              <c:strCache>
                <c:ptCount val="1"/>
                <c:pt idx="0">
                  <c:v>Standard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Bestand'!$AO$109:$AU$109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Bestand'!$AL$110</c:f>
              <c:strCache>
                <c:ptCount val="1"/>
                <c:pt idx="0">
                  <c:v>Effizient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Bestand'!$AO$110:$AU$110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F-4F45-B056-6F0BDEB43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845504"/>
        <c:axId val="405592832"/>
      </c:barChart>
      <c:catAx>
        <c:axId val="40584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592832"/>
        <c:crosses val="autoZero"/>
        <c:auto val="1"/>
        <c:lblAlgn val="ctr"/>
        <c:lblOffset val="100"/>
        <c:noMultiLvlLbl val="0"/>
      </c:catAx>
      <c:valAx>
        <c:axId val="405592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Gebäudefläche NWG  </a:t>
                </a:r>
                <a:r>
                  <a:rPr lang="de-DE"/>
                  <a:t>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84550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Gebäudefläche neue NWG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1-40BA-4200-90D6-AE2C1B4A3D2C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0BA-4200-90D6-AE2C1B4A3D2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D481-4AA9-A083-10635217B03F}"/>
              </c:ext>
            </c:extLst>
          </c:dPt>
          <c:cat>
            <c:strRef>
              <c:f>'Gebäude - Bestand'!$AL$109:$AL$110</c:f>
              <c:strCache>
                <c:ptCount val="2"/>
                <c:pt idx="0">
                  <c:v>Standard</c:v>
                </c:pt>
                <c:pt idx="1">
                  <c:v>Effizient</c:v>
                </c:pt>
              </c:strCache>
            </c:strRef>
          </c:cat>
          <c:val>
            <c:numRef>
              <c:f>'Gebäude - Bestand'!$AU$109:$AU$110</c:f>
              <c:numCache>
                <c:formatCode>0.0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1963348839013543"/>
          <c:y val="0.34839765548500795"/>
          <c:w val="0.35607656262483006"/>
          <c:h val="0.3654612289590086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285905013039"/>
          <c:y val="6.1460416666666663E-2"/>
          <c:w val="0.4543183187211631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Bestand'!$Z$55</c:f>
              <c:strCache>
                <c:ptCount val="1"/>
                <c:pt idx="0">
                  <c:v>Unsanierbar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Bestand'!$AC$55:$AI$55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Bestand'!$Z$56</c:f>
              <c:strCache>
                <c:ptCount val="1"/>
                <c:pt idx="0">
                  <c:v>Bestandsgebäude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Bestand'!$AC$56:$AI$56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B5-4E74-81C9-8BE3EEFD2E08}"/>
            </c:ext>
          </c:extLst>
        </c:ser>
        <c:ser>
          <c:idx val="2"/>
          <c:order val="2"/>
          <c:tx>
            <c:strRef>
              <c:f>'Gebäude - Bestand'!$Z$57</c:f>
              <c:strCache>
                <c:ptCount val="1"/>
                <c:pt idx="0">
                  <c:v>Sanierungspaket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Bestand'!$AC$57:$AI$57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B5-4E74-81C9-8BE3EEFD2E08}"/>
            </c:ext>
          </c:extLst>
        </c:ser>
        <c:ser>
          <c:idx val="3"/>
          <c:order val="3"/>
          <c:tx>
            <c:strRef>
              <c:f>'Gebäude - Bestand'!$Z$58</c:f>
              <c:strCache>
                <c:ptCount val="1"/>
                <c:pt idx="0">
                  <c:v>Sanierungspaket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Bestand'!$AC$3:$AI$3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Bestand'!$AC$58:$AI$58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7-43D4-9A47-96956A21E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847040"/>
        <c:axId val="406022400"/>
      </c:barChart>
      <c:catAx>
        <c:axId val="40584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022400"/>
        <c:crosses val="autoZero"/>
        <c:auto val="1"/>
        <c:lblAlgn val="ctr"/>
        <c:lblOffset val="100"/>
        <c:noMultiLvlLbl val="0"/>
      </c:catAx>
      <c:valAx>
        <c:axId val="406022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Wohnfläche GMFH (vor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584704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7318662473702606"/>
          <c:y val="0.16738491420049079"/>
          <c:w val="0.31874244615080999"/>
          <c:h val="0.7521494214554398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Wohnfläche GMFH (vor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Bestand'!$AI$3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06F3-4025-8872-11D038218E46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06F3-4025-8872-11D038218E46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1523-4D89-B62C-148D31600F9F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06F3-4025-8872-11D038218E46}"/>
              </c:ext>
            </c:extLst>
          </c:dPt>
          <c:cat>
            <c:strRef>
              <c:f>'Gebäude - Bestand'!$Z$49:$Z$52</c:f>
              <c:strCache>
                <c:ptCount val="4"/>
                <c:pt idx="0">
                  <c:v>Unsanierbar</c:v>
                </c:pt>
                <c:pt idx="1">
                  <c:v>Bestandsgebäude</c:v>
                </c:pt>
                <c:pt idx="2">
                  <c:v>Sanierungspaket 1</c:v>
                </c:pt>
                <c:pt idx="3">
                  <c:v>Sanierungspaket 2</c:v>
                </c:pt>
              </c:strCache>
            </c:strRef>
          </c:cat>
          <c:val>
            <c:numRef>
              <c:f>'Gebäude - Bestand'!$AI$55:$AI$58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5559624607053548"/>
          <c:y val="0.23563268533887186"/>
          <c:w val="0.44440375392946468"/>
          <c:h val="0.63561354394482639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896146062281027"/>
          <c:y val="6.1460416666666663E-2"/>
          <c:w val="0.44207220307389217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Bestand'!$O$55</c:f>
              <c:strCache>
                <c:ptCount val="1"/>
                <c:pt idx="0">
                  <c:v>Unsanierbar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Bestand'!$R$55:$X$55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Bestand'!$O$56</c:f>
              <c:strCache>
                <c:ptCount val="1"/>
                <c:pt idx="0">
                  <c:v>Bestandsgebäude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Bestand'!$R$56:$X$56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B5-4E74-81C9-8BE3EEFD2E08}"/>
            </c:ext>
          </c:extLst>
        </c:ser>
        <c:ser>
          <c:idx val="2"/>
          <c:order val="2"/>
          <c:tx>
            <c:strRef>
              <c:f>'Gebäude - Bestand'!$O$57</c:f>
              <c:strCache>
                <c:ptCount val="1"/>
                <c:pt idx="0">
                  <c:v>Sanierungspaket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Bestand'!$R$57:$X$57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B5-4E74-81C9-8BE3EEFD2E08}"/>
            </c:ext>
          </c:extLst>
        </c:ser>
        <c:ser>
          <c:idx val="3"/>
          <c:order val="3"/>
          <c:tx>
            <c:strRef>
              <c:f>'Gebäude - Bestand'!$O$58</c:f>
              <c:strCache>
                <c:ptCount val="1"/>
                <c:pt idx="0">
                  <c:v>Sanierungspaket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Bestand'!$R$58:$X$58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3-4C78-9BA9-6408A7036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278656"/>
        <c:axId val="406025856"/>
      </c:barChart>
      <c:catAx>
        <c:axId val="40627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025856"/>
        <c:crosses val="autoZero"/>
        <c:auto val="1"/>
        <c:lblAlgn val="ctr"/>
        <c:lblOffset val="100"/>
        <c:noMultiLvlLbl val="0"/>
      </c:catAx>
      <c:valAx>
        <c:axId val="406025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Wohnfläche MFH (vor 2015)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27865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169970964055147"/>
          <c:y val="0.12826747440947597"/>
          <c:w val="0.32505666256525367"/>
          <c:h val="0.7434646976108910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Wohnfläche MFH (vor 2015)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'Gebäude - Bestand'!$X$3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1368-4078-B9CD-B6494D659C6C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1368-4078-B9CD-B6494D659C6C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0827-48E0-848D-E52FF21D67D9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1368-4078-B9CD-B6494D659C6C}"/>
              </c:ext>
            </c:extLst>
          </c:dPt>
          <c:cat>
            <c:strRef>
              <c:f>'Gebäude - Bestand'!$O$49:$O$52</c:f>
              <c:strCache>
                <c:ptCount val="4"/>
                <c:pt idx="0">
                  <c:v>Unsanierbar</c:v>
                </c:pt>
                <c:pt idx="1">
                  <c:v>Bestandsgebäude</c:v>
                </c:pt>
                <c:pt idx="2">
                  <c:v>Sanierungspaket 1</c:v>
                </c:pt>
                <c:pt idx="3">
                  <c:v>Sanierungspaket 2</c:v>
                </c:pt>
              </c:strCache>
            </c:strRef>
          </c:cat>
          <c:val>
            <c:numRef>
              <c:f>'Gebäude - Bestand'!$X$55:$X$58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610856481481485"/>
          <c:y val="0.29878121546019454"/>
          <c:w val="0.45389143518518515"/>
          <c:h val="0.5343267064262151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285905013039"/>
          <c:y val="6.1460416666666663E-2"/>
          <c:w val="0.5150051781577403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Bestand'!$P$63</c:f>
              <c:strCache>
                <c:ptCount val="1"/>
                <c:pt idx="0">
                  <c:v>EnEV 2016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Bestand'!$R$63:$X$63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Bestand'!$P$64</c:f>
              <c:strCache>
                <c:ptCount val="1"/>
                <c:pt idx="0">
                  <c:v>KfW55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Bestand'!$R$64:$X$64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D-47DA-9F4F-A60DCF808ABE}"/>
            </c:ext>
          </c:extLst>
        </c:ser>
        <c:ser>
          <c:idx val="2"/>
          <c:order val="2"/>
          <c:tx>
            <c:strRef>
              <c:f>'Gebäude - Bestand'!$P$65</c:f>
              <c:strCache>
                <c:ptCount val="1"/>
                <c:pt idx="0">
                  <c:v>KfW40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'Gebäude - Bestand'!$R$3:$X$3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Bestand'!$R$65:$X$65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2D-47DA-9F4F-A60DCF808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280704"/>
        <c:axId val="406250624"/>
      </c:barChart>
      <c:catAx>
        <c:axId val="40628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250624"/>
        <c:crosses val="autoZero"/>
        <c:auto val="1"/>
        <c:lblAlgn val="ctr"/>
        <c:lblOffset val="100"/>
        <c:noMultiLvlLbl val="0"/>
      </c:catAx>
      <c:valAx>
        <c:axId val="406250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Wohnfläche neue MFH in Mio. 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28070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Wohnfläche neue MFH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AA24-4559-A1F3-70C3D5F7E9D1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AA24-4559-A1F3-70C3D5F7E9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1-1B13-4F14-BA48-D6A3E3D380BE}"/>
              </c:ext>
            </c:extLst>
          </c:dPt>
          <c:cat>
            <c:strRef>
              <c:f>'Gebäude - Bestand'!$P$63:$P$65</c:f>
              <c:strCache>
                <c:ptCount val="3"/>
                <c:pt idx="0">
                  <c:v>EnEV 2016</c:v>
                </c:pt>
                <c:pt idx="1">
                  <c:v>KfW55</c:v>
                </c:pt>
                <c:pt idx="2">
                  <c:v>KfW40</c:v>
                </c:pt>
              </c:strCache>
            </c:strRef>
          </c:cat>
          <c:val>
            <c:numRef>
              <c:f>'Gebäude - Bestand'!$X$63:$X$65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3-4F14-BA48-D6A3E3D3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0584812064341599"/>
          <c:h val="0.5536567502528511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014687645859339"/>
          <c:y val="9.5407639576230802E-2"/>
          <c:w val="0.38288350142430877"/>
          <c:h val="0.57138275107433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Bestand'!$AX$136</c:f>
              <c:strCache>
                <c:ptCount val="1"/>
                <c:pt idx="0">
                  <c:v>Bestand: Unsanierbar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Bestand'!$BA$136:$BG$136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Bestand'!$AX$137</c:f>
              <c:strCache>
                <c:ptCount val="1"/>
                <c:pt idx="0">
                  <c:v>Bestandsgebäude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Bestand'!$BA$137:$BG$137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F-4F01-BFA4-629B464FCDFB}"/>
            </c:ext>
          </c:extLst>
        </c:ser>
        <c:ser>
          <c:idx val="2"/>
          <c:order val="2"/>
          <c:tx>
            <c:strRef>
              <c:f>'Gebäude - Bestand'!$AX$138</c:f>
              <c:strCache>
                <c:ptCount val="1"/>
                <c:pt idx="0">
                  <c:v>Bestand: Sanierungspaket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Bestand'!$BA$138:$BG$138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F-4F01-BFA4-629B464FCDFB}"/>
            </c:ext>
          </c:extLst>
        </c:ser>
        <c:ser>
          <c:idx val="3"/>
          <c:order val="3"/>
          <c:tx>
            <c:strRef>
              <c:f>'Gebäude - Bestand'!$AX$139</c:f>
              <c:strCache>
                <c:ptCount val="1"/>
                <c:pt idx="0">
                  <c:v>Bestand: Sanierungspaket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Bestand'!$BA$139:$BG$139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6A-4650-8D6A-312ADA71CBE8}"/>
            </c:ext>
          </c:extLst>
        </c:ser>
        <c:ser>
          <c:idx val="4"/>
          <c:order val="4"/>
          <c:tx>
            <c:strRef>
              <c:f>'Gebäude - Bestand'!$AX$140</c:f>
              <c:strCache>
                <c:ptCount val="1"/>
                <c:pt idx="0">
                  <c:v>Neu: EnEV 2016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Bestand'!$BA$140:$BG$140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6A-4650-8D6A-312ADA71CBE8}"/>
            </c:ext>
          </c:extLst>
        </c:ser>
        <c:ser>
          <c:idx val="5"/>
          <c:order val="5"/>
          <c:tx>
            <c:strRef>
              <c:f>'Gebäude - Bestand'!$AX$141</c:f>
              <c:strCache>
                <c:ptCount val="1"/>
                <c:pt idx="0">
                  <c:v>Neu: KfW55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Bestand'!$BA$141:$BG$141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6A-4650-8D6A-312ADA71CBE8}"/>
            </c:ext>
          </c:extLst>
        </c:ser>
        <c:ser>
          <c:idx val="6"/>
          <c:order val="6"/>
          <c:tx>
            <c:strRef>
              <c:f>'Gebäude - Bestand'!$AX$142</c:f>
              <c:strCache>
                <c:ptCount val="1"/>
                <c:pt idx="0">
                  <c:v>Neu: KfW40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Bestand'!$BA$142:$BG$142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6A-4650-8D6A-312ADA71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905344"/>
        <c:axId val="406253504"/>
      </c:barChart>
      <c:catAx>
        <c:axId val="40690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253504"/>
        <c:crosses val="autoZero"/>
        <c:auto val="1"/>
        <c:lblAlgn val="ctr"/>
        <c:lblOffset val="100"/>
        <c:noMultiLvlLbl val="0"/>
      </c:catAx>
      <c:valAx>
        <c:axId val="406253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Wohngebäude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90534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0746025973712126"/>
          <c:y val="5.5844621014944341E-2"/>
          <c:w val="0.39253973566000594"/>
          <c:h val="0.8975106425640579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Wohngebäude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AA8D-4350-A642-0F1446703EC4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AA8D-4350-A642-0F1446703EC4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0E65-47B1-97A8-C464AEF4C0A9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AA8D-4350-A642-0F1446703EC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AA8D-4350-A642-0F1446703EC4}"/>
              </c:ext>
            </c:extLst>
          </c:dPt>
          <c:dPt>
            <c:idx val="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AA8D-4350-A642-0F1446703EC4}"/>
              </c:ext>
            </c:extLst>
          </c:dPt>
          <c:dPt>
            <c:idx val="6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D-AA8D-4350-A642-0F1446703EC4}"/>
              </c:ext>
            </c:extLst>
          </c:dPt>
          <c:cat>
            <c:strRef>
              <c:f>'Gebäude - Bestand'!$AX$136:$AX$142</c:f>
              <c:strCache>
                <c:ptCount val="7"/>
                <c:pt idx="0">
                  <c:v>Bestand: Unsanierbar</c:v>
                </c:pt>
                <c:pt idx="1">
                  <c:v>Bestandsgebäude</c:v>
                </c:pt>
                <c:pt idx="2">
                  <c:v>Bestand: Sanierungspaket 1</c:v>
                </c:pt>
                <c:pt idx="3">
                  <c:v>Bestand: Sanierungspaket 2</c:v>
                </c:pt>
                <c:pt idx="4">
                  <c:v>Neu: EnEV 2016</c:v>
                </c:pt>
                <c:pt idx="5">
                  <c:v>Neu: KfW55</c:v>
                </c:pt>
                <c:pt idx="6">
                  <c:v>Neu: KfW40</c:v>
                </c:pt>
              </c:strCache>
            </c:strRef>
          </c:cat>
          <c:val>
            <c:numRef>
              <c:f>'Gebäude - Bestand'!$BG$136:$BG$142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5381196851818348"/>
          <c:y val="0.23563268533887186"/>
          <c:w val="0.44618803148181657"/>
          <c:h val="0.63652659360095265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94577575739394"/>
          <c:y val="6.6046255343564245E-2"/>
          <c:w val="0.4269217765803065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Bestand'!$AY$136</c:f>
              <c:strCache>
                <c:ptCount val="1"/>
                <c:pt idx="0">
                  <c:v>Stock: Landmarked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Bestand'!$BA$136:$BG$136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B-48D6-9246-8BA097CAD84A}"/>
            </c:ext>
          </c:extLst>
        </c:ser>
        <c:ser>
          <c:idx val="0"/>
          <c:order val="1"/>
          <c:tx>
            <c:strRef>
              <c:f>'Gebäude - Bestand'!$AY$137</c:f>
              <c:strCache>
                <c:ptCount val="1"/>
                <c:pt idx="0">
                  <c:v>Stock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Bestand'!$BA$137:$BG$137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F-4F01-BFA4-629B464FCDFB}"/>
            </c:ext>
          </c:extLst>
        </c:ser>
        <c:ser>
          <c:idx val="2"/>
          <c:order val="2"/>
          <c:tx>
            <c:strRef>
              <c:f>'Gebäude - Bestand'!$AY$138</c:f>
              <c:strCache>
                <c:ptCount val="1"/>
                <c:pt idx="0">
                  <c:v>Stock: Refurb. Pack.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Bestand'!$BA$138:$BG$138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F-4F01-BFA4-629B464FCDFB}"/>
            </c:ext>
          </c:extLst>
        </c:ser>
        <c:ser>
          <c:idx val="3"/>
          <c:order val="3"/>
          <c:tx>
            <c:strRef>
              <c:f>'Gebäude - Bestand'!$AY$139</c:f>
              <c:strCache>
                <c:ptCount val="1"/>
                <c:pt idx="0">
                  <c:v>Stock: Refurb. Pack.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Bestand'!$BA$139:$BG$139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5-40E2-9C8D-72FB87DFC8BC}"/>
            </c:ext>
          </c:extLst>
        </c:ser>
        <c:ser>
          <c:idx val="4"/>
          <c:order val="4"/>
          <c:tx>
            <c:strRef>
              <c:f>'Gebäude - Bestand'!$AY$140</c:f>
              <c:strCache>
                <c:ptCount val="1"/>
                <c:pt idx="0">
                  <c:v>New: EnEV 2016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Bestand'!$BA$140:$BG$140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5-40E2-9C8D-72FB87DFC8BC}"/>
            </c:ext>
          </c:extLst>
        </c:ser>
        <c:ser>
          <c:idx val="5"/>
          <c:order val="5"/>
          <c:tx>
            <c:strRef>
              <c:f>'Gebäude - Bestand'!$AY$141</c:f>
              <c:strCache>
                <c:ptCount val="1"/>
                <c:pt idx="0">
                  <c:v>New: KfW55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Bestand'!$BA$141:$BG$141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5-40E2-9C8D-72FB87DFC8BC}"/>
            </c:ext>
          </c:extLst>
        </c:ser>
        <c:ser>
          <c:idx val="6"/>
          <c:order val="6"/>
          <c:tx>
            <c:strRef>
              <c:f>'Gebäude - Bestand'!$AY$142</c:f>
              <c:strCache>
                <c:ptCount val="1"/>
                <c:pt idx="0">
                  <c:v>New: KfW40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'Gebäude - Bestand'!$BA$3:$BG$3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Bestand'!$BA$142:$BG$142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5-40E2-9C8D-72FB87DFC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907904"/>
        <c:axId val="406256960"/>
      </c:barChart>
      <c:catAx>
        <c:axId val="40690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256960"/>
        <c:crosses val="autoZero"/>
        <c:auto val="1"/>
        <c:lblAlgn val="ctr"/>
        <c:lblOffset val="100"/>
        <c:noMultiLvlLbl val="0"/>
      </c:catAx>
      <c:valAx>
        <c:axId val="406256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Residential buildings 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90790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979887810786432"/>
          <c:y val="7.567017746825816E-2"/>
          <c:w val="0.28903061784968848"/>
          <c:h val="0.74566584475409525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Residential buildings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3951-4A2A-B589-8A2D8E5E2819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3951-4A2A-B589-8A2D8E5E28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0E65-47B1-97A8-C464AEF4C0A9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3951-4A2A-B589-8A2D8E5E2819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9-3951-4A2A-B589-8A2D8E5E2819}"/>
              </c:ext>
            </c:extLst>
          </c:dPt>
          <c:dPt>
            <c:idx val="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3951-4A2A-B589-8A2D8E5E2819}"/>
              </c:ext>
            </c:extLst>
          </c:dPt>
          <c:dPt>
            <c:idx val="6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D-3951-4A2A-B589-8A2D8E5E2819}"/>
              </c:ext>
            </c:extLst>
          </c:dPt>
          <c:cat>
            <c:strRef>
              <c:f>'Gebäude - Bestand'!$AY$136:$AY$142</c:f>
              <c:strCache>
                <c:ptCount val="7"/>
                <c:pt idx="0">
                  <c:v>Stock: Landmarked</c:v>
                </c:pt>
                <c:pt idx="1">
                  <c:v>Stock</c:v>
                </c:pt>
                <c:pt idx="2">
                  <c:v>Stock: Refurb. Pack. 1</c:v>
                </c:pt>
                <c:pt idx="3">
                  <c:v>Stock: Refurb. Pack. 2</c:v>
                </c:pt>
                <c:pt idx="4">
                  <c:v>New: EnEV 2016</c:v>
                </c:pt>
                <c:pt idx="5">
                  <c:v>New: KfW55</c:v>
                </c:pt>
                <c:pt idx="6">
                  <c:v>New: KfW40</c:v>
                </c:pt>
              </c:strCache>
            </c:strRef>
          </c:cat>
          <c:val>
            <c:numRef>
              <c:f>'Gebäude - Bestand'!$BG$136:$BG$142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D-4388-A581-F7108D71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1125723719920388"/>
          <c:y val="0.23563268533887186"/>
          <c:w val="0.38874276280079617"/>
          <c:h val="0.5523692522321229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239667763574"/>
          <c:y val="9.0945630834103591E-2"/>
          <c:w val="0.4376950283732934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Bestand'!$AM$243</c:f>
              <c:strCache>
                <c:ptCount val="1"/>
                <c:pt idx="0">
                  <c:v>Stock: Landmarked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Bestand'!$AO$243:$AU$243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Bestand'!$AM$244</c:f>
              <c:strCache>
                <c:ptCount val="1"/>
                <c:pt idx="0">
                  <c:v>Stock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Bestand'!$AO$244:$AU$244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F-4F45-B056-6F0BDEB43129}"/>
            </c:ext>
          </c:extLst>
        </c:ser>
        <c:ser>
          <c:idx val="2"/>
          <c:order val="2"/>
          <c:tx>
            <c:strRef>
              <c:f>'Gebäude - Bestand'!$AM$245</c:f>
              <c:strCache>
                <c:ptCount val="1"/>
                <c:pt idx="0">
                  <c:v>Stock: Refurb. Pack.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Bestand'!$AO$245:$AU$245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F-4F45-B056-6F0BDEB43129}"/>
            </c:ext>
          </c:extLst>
        </c:ser>
        <c:ser>
          <c:idx val="3"/>
          <c:order val="3"/>
          <c:tx>
            <c:strRef>
              <c:f>'Gebäude - Bestand'!$AM$246</c:f>
              <c:strCache>
                <c:ptCount val="1"/>
                <c:pt idx="0">
                  <c:v>Stock: Refurb. Pack.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Bestand'!$AO$246:$AU$246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4E81-9518-7ED04811BF58}"/>
            </c:ext>
          </c:extLst>
        </c:ser>
        <c:ser>
          <c:idx val="4"/>
          <c:order val="4"/>
          <c:tx>
            <c:strRef>
              <c:f>'Gebäude - Bestand'!$AM$247</c:f>
              <c:strCache>
                <c:ptCount val="1"/>
                <c:pt idx="0">
                  <c:v>New: Standard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Bestand'!$AO$247:$AU$247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4E81-9518-7ED04811BF58}"/>
            </c:ext>
          </c:extLst>
        </c:ser>
        <c:ser>
          <c:idx val="5"/>
          <c:order val="5"/>
          <c:tx>
            <c:strRef>
              <c:f>'Gebäude - Bestand'!$AM$248</c:f>
              <c:strCache>
                <c:ptCount val="1"/>
                <c:pt idx="0">
                  <c:v>New: Efficient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Bestand'!$AO$248:$AU$248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4E81-9518-7ED04811B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238144"/>
        <c:axId val="406776640"/>
      </c:barChart>
      <c:catAx>
        <c:axId val="40723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776640"/>
        <c:crosses val="autoZero"/>
        <c:auto val="1"/>
        <c:lblAlgn val="ctr"/>
        <c:lblOffset val="100"/>
        <c:noMultiLvlLbl val="0"/>
      </c:catAx>
      <c:valAx>
        <c:axId val="406776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Building space NWG </a:t>
                </a:r>
                <a:r>
                  <a:rPr lang="de-DE"/>
                  <a:t>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723814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449950223046726"/>
          <c:y val="0.16738491420049079"/>
          <c:w val="0.28298496021838676"/>
          <c:h val="0.5260935589775385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Building space NWG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6C6C-484E-B576-48B41DC50327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6C6C-484E-B576-48B41DC50327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D481-4AA9-A083-10635217B03F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6C6C-484E-B576-48B41DC503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6C6C-484E-B576-48B41DC50327}"/>
              </c:ext>
            </c:extLst>
          </c:dPt>
          <c:dPt>
            <c:idx val="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6C6C-484E-B576-48B41DC50327}"/>
              </c:ext>
            </c:extLst>
          </c:dPt>
          <c:cat>
            <c:strRef>
              <c:f>'Gebäude - Bestand'!$AM$243:$AM$248</c:f>
              <c:strCache>
                <c:ptCount val="6"/>
                <c:pt idx="0">
                  <c:v>Stock: Landmarked</c:v>
                </c:pt>
                <c:pt idx="1">
                  <c:v>Stock</c:v>
                </c:pt>
                <c:pt idx="2">
                  <c:v>Stock: Refurb. Pack. 1</c:v>
                </c:pt>
                <c:pt idx="3">
                  <c:v>Stock: Refurb. Pack. 2</c:v>
                </c:pt>
                <c:pt idx="4">
                  <c:v>New: Standard</c:v>
                </c:pt>
                <c:pt idx="5">
                  <c:v>New: Efficient</c:v>
                </c:pt>
              </c:strCache>
            </c:strRef>
          </c:cat>
          <c:val>
            <c:numRef>
              <c:f>'Gebäude - Bestand'!$AU$243:$AU$248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0.0">
                  <c:v>#N/A</c:v>
                </c:pt>
                <c:pt idx="5" formatCode="0.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9617408539499772"/>
          <c:y val="0.23563268533887186"/>
          <c:w val="0.40382591460500222"/>
          <c:h val="0.59747506030703312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140991070709925"/>
          <c:y val="7.2437995574405306E-2"/>
          <c:w val="0.3869272548729936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'Gebäude - Bestand'!$AL$243</c:f>
              <c:strCache>
                <c:ptCount val="1"/>
                <c:pt idx="0">
                  <c:v>Bestand: Unsanierbar</c:v>
                </c:pt>
              </c:strCache>
            </c:strRef>
          </c:tx>
          <c:spPr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tx1"/>
              </a:bgClr>
            </a:patt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Bestand'!$AO$243:$AU$243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Bestand'!$AL$244</c:f>
              <c:strCache>
                <c:ptCount val="1"/>
                <c:pt idx="0">
                  <c:v>Bestandsgebäude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Bestand'!$AO$244:$AU$244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F-4F45-B056-6F0BDEB43129}"/>
            </c:ext>
          </c:extLst>
        </c:ser>
        <c:ser>
          <c:idx val="2"/>
          <c:order val="2"/>
          <c:tx>
            <c:strRef>
              <c:f>'Gebäude - Bestand'!$AL$245</c:f>
              <c:strCache>
                <c:ptCount val="1"/>
                <c:pt idx="0">
                  <c:v>Bestand: Sanierungspaket 1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Bestand'!$AO$245:$AU$245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F-4F45-B056-6F0BDEB43129}"/>
            </c:ext>
          </c:extLst>
        </c:ser>
        <c:ser>
          <c:idx val="3"/>
          <c:order val="3"/>
          <c:tx>
            <c:strRef>
              <c:f>'Gebäude - Bestand'!$AL$246</c:f>
              <c:strCache>
                <c:ptCount val="1"/>
                <c:pt idx="0">
                  <c:v>Bestand: Sanierungspaket 2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Bestand'!$AO$246:$AU$246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E-41BD-B425-9F4842E9FB02}"/>
            </c:ext>
          </c:extLst>
        </c:ser>
        <c:ser>
          <c:idx val="4"/>
          <c:order val="4"/>
          <c:tx>
            <c:strRef>
              <c:f>'Gebäude - Bestand'!$AL$247</c:f>
              <c:strCache>
                <c:ptCount val="1"/>
                <c:pt idx="0">
                  <c:v>Neu: Standard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Bestand'!$AO$247:$AU$247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DE-41BD-B425-9F4842E9FB02}"/>
            </c:ext>
          </c:extLst>
        </c:ser>
        <c:ser>
          <c:idx val="5"/>
          <c:order val="5"/>
          <c:tx>
            <c:strRef>
              <c:f>'Gebäude - Bestand'!$AL$248</c:f>
              <c:strCache>
                <c:ptCount val="1"/>
                <c:pt idx="0">
                  <c:v>Neu: Effizient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</c:spPr>
          <c:invertIfNegative val="0"/>
          <c:cat>
            <c:strRef>
              <c:f>'Gebäude - Bestand'!$AO$3:$AU$3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Bestand'!$AO$248:$AU$248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DE-41BD-B425-9F4842E9F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101952"/>
        <c:axId val="406780096"/>
      </c:barChart>
      <c:catAx>
        <c:axId val="40710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6780096"/>
        <c:crosses val="autoZero"/>
        <c:auto val="1"/>
        <c:lblAlgn val="ctr"/>
        <c:lblOffset val="100"/>
        <c:noMultiLvlLbl val="0"/>
      </c:catAx>
      <c:valAx>
        <c:axId val="406780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Gebäudefläche NWG </a:t>
                </a:r>
                <a:r>
                  <a:rPr lang="de-DE"/>
                  <a:t>in Mio. m</a:t>
                </a:r>
                <a:r>
                  <a:rPr lang="de-DE" baseline="30000"/>
                  <a:t>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710195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2486446811071561"/>
          <c:y val="8.688283699059561E-2"/>
          <c:w val="0.37513553188928439"/>
          <c:h val="0.7885895898978483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Gebäudefläche NWG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tx1"/>
                </a:bgClr>
              </a:pattFill>
            </c:spPr>
            <c:extLst>
              <c:ext xmlns:c16="http://schemas.microsoft.com/office/drawing/2014/chart" uri="{C3380CC4-5D6E-409C-BE32-E72D297353CC}">
                <c16:uniqueId val="{00000001-855B-4A64-831C-499788E6C9E7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855B-4A64-831C-499788E6C9E7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D481-4AA9-A083-10635217B03F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855B-4A64-831C-499788E6C9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855B-4A64-831C-499788E6C9E7}"/>
              </c:ext>
            </c:extLst>
          </c:dPt>
          <c:dPt>
            <c:idx val="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B-855B-4A64-831C-499788E6C9E7}"/>
              </c:ext>
            </c:extLst>
          </c:dPt>
          <c:cat>
            <c:strRef>
              <c:f>'Gebäude - Bestand'!$AL$243:$AL$248</c:f>
              <c:strCache>
                <c:ptCount val="6"/>
                <c:pt idx="0">
                  <c:v>Bestand: Unsanierbar</c:v>
                </c:pt>
                <c:pt idx="1">
                  <c:v>Bestandsgebäude</c:v>
                </c:pt>
                <c:pt idx="2">
                  <c:v>Bestand: Sanierungspaket 1</c:v>
                </c:pt>
                <c:pt idx="3">
                  <c:v>Bestand: Sanierungspaket 2</c:v>
                </c:pt>
                <c:pt idx="4">
                  <c:v>Neu: Standard</c:v>
                </c:pt>
                <c:pt idx="5">
                  <c:v>Neu: Effizient</c:v>
                </c:pt>
              </c:strCache>
            </c:strRef>
          </c:cat>
          <c:val>
            <c:numRef>
              <c:f>'Gebäude - Bestand'!$AU$243:$AU$248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0.0">
                  <c:v>#N/A</c:v>
                </c:pt>
                <c:pt idx="5" formatCode="0.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0-4492-A45B-5CB3C78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92552794047223"/>
          <c:y val="0.23563268533887186"/>
          <c:w val="0.4507447205952777"/>
          <c:h val="0.62904936899615804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594717010821971"/>
          <c:y val="6.1460416666666663E-2"/>
          <c:w val="0.72785727298252412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f>'Gebäude - Sanierungsrate'!$D$3:$I$3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f>'Gebäude - Sanierungsrate'!$D$9:$I$9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433728"/>
        <c:axId val="407258816"/>
      </c:lineChart>
      <c:catAx>
        <c:axId val="40743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7258816"/>
        <c:crosses val="autoZero"/>
        <c:auto val="1"/>
        <c:lblAlgn val="ctr"/>
        <c:lblOffset val="100"/>
        <c:noMultiLvlLbl val="0"/>
      </c:catAx>
      <c:valAx>
        <c:axId val="407258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Annual Renovation rate total residential buildings 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743372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549291667573389"/>
          <c:y val="6.1460416666666663E-2"/>
          <c:w val="0.73831157922224877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'Gebäude - Sanierungsrate'!$O$3:$U$3</c15:sqref>
                  </c15:fullRef>
                </c:ext>
              </c:extLst>
              <c:f>'Gebäude - Sanierungsrate'!$O$3:$T$3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'Gebäude - Sanierungsrate'!$O$9:$U$9</c15:sqref>
                  </c15:fullRef>
                </c:ext>
              </c:extLst>
              <c:f>'Gebäude - Sanierungsrate'!$O$9:$T$9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435264"/>
        <c:axId val="407260544"/>
      </c:lineChart>
      <c:catAx>
        <c:axId val="40743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7260544"/>
        <c:crosses val="autoZero"/>
        <c:auto val="1"/>
        <c:lblAlgn val="ctr"/>
        <c:lblOffset val="100"/>
        <c:noMultiLvlLbl val="0"/>
      </c:catAx>
      <c:valAx>
        <c:axId val="407260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Annual Renovation rate EZFH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743526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222718864927208"/>
          <c:y val="6.1460416666666663E-2"/>
          <c:w val="0.75157730724871064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'Gebäude - Sanierungsrate'!$Z$3:$AF$3</c15:sqref>
                  </c15:fullRef>
                </c:ext>
              </c:extLst>
              <c:f>'Gebäude - Sanierungsrate'!$Z$3:$AE$3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'Gebäude - Sanierungsrate'!$Z$9:$AF$9</c15:sqref>
                  </c15:fullRef>
                </c:ext>
              </c:extLst>
              <c:f>'Gebäude - Sanierungsrate'!$Z$9:$AE$9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566592"/>
        <c:axId val="407262272"/>
      </c:lineChart>
      <c:catAx>
        <c:axId val="40356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7262272"/>
        <c:crosses val="autoZero"/>
        <c:auto val="1"/>
        <c:lblAlgn val="ctr"/>
        <c:lblOffset val="100"/>
        <c:noMultiLvlLbl val="0"/>
      </c:catAx>
      <c:valAx>
        <c:axId val="407262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Annual Renovation rate MFH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56659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770387134681091"/>
          <c:y val="6.1460416666666663E-2"/>
          <c:w val="0.73610062455117187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'Gebäude - Sanierungsrate'!$AK$3:$AQ$3</c15:sqref>
                  </c15:fullRef>
                </c:ext>
              </c:extLst>
              <c:f>'Gebäude - Sanierungsrate'!$AK$3:$AP$3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'Gebäude - Sanierungsrate'!$AK$9:$AQ$9</c15:sqref>
                  </c15:fullRef>
                </c:ext>
              </c:extLst>
              <c:f>'Gebäude - Sanierungsrate'!$AK$9:$AP$9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567616"/>
        <c:axId val="407264576"/>
      </c:lineChart>
      <c:catAx>
        <c:axId val="40356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7264576"/>
        <c:crosses val="autoZero"/>
        <c:auto val="1"/>
        <c:lblAlgn val="ctr"/>
        <c:lblOffset val="100"/>
        <c:noMultiLvlLbl val="0"/>
      </c:catAx>
      <c:valAx>
        <c:axId val="407264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Annual Renovation rate GMFH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56761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6539150871542661"/>
          <c:y val="6.1460416666666663E-2"/>
          <c:w val="0.71841298718255608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'Gebäude - Sanierungsrate'!$AV$3:$BB$3</c15:sqref>
                  </c15:fullRef>
                </c:ext>
              </c:extLst>
              <c:f>'Gebäude - Sanierungsrate'!$AV$3:$BA$3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'Gebäude - Sanierungsrate'!$AV$9:$BB$9</c15:sqref>
                  </c15:fullRef>
                </c:ext>
              </c:extLst>
              <c:f>'Gebäude - Sanierungsrate'!$AV$9:$BA$9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568128"/>
        <c:axId val="403620992"/>
      </c:lineChart>
      <c:catAx>
        <c:axId val="40356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620992"/>
        <c:crosses val="autoZero"/>
        <c:auto val="1"/>
        <c:lblAlgn val="ctr"/>
        <c:lblOffset val="100"/>
        <c:noMultiLvlLbl val="0"/>
      </c:catAx>
      <c:valAx>
        <c:axId val="403620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Annual  Renovation rate non-residential buildings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568128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664909799142606"/>
          <c:y val="6.1460416666666663E-2"/>
          <c:w val="0.74715539790655672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'Gebäude - Sanierungsrate'!$D$3:$J$3</c15:sqref>
                  </c15:fullRef>
                </c:ext>
              </c:extLst>
              <c:f>'Gebäude - Sanierungsrate'!$D$3:$I$3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'Gebäude - Sanierungsrate'!$D$9:$J$9</c15:sqref>
                  </c15:fullRef>
                </c:ext>
              </c:extLst>
              <c:f>'Gebäude - Sanierungsrate'!$D$9:$I$9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569152"/>
        <c:axId val="403622144"/>
      </c:lineChart>
      <c:catAx>
        <c:axId val="40356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622144"/>
        <c:crosses val="autoZero"/>
        <c:auto val="1"/>
        <c:lblAlgn val="ctr"/>
        <c:lblOffset val="100"/>
        <c:noMultiLvlLbl val="0"/>
      </c:catAx>
      <c:valAx>
        <c:axId val="403622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Jährliche Sanierungsrate WG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56915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549291667573389"/>
          <c:y val="6.1460416666666663E-2"/>
          <c:w val="0.73831157922224877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f>'Gebäude - Sanierungsrate'!$O$3:$U$3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Sanierungsrate'!$O$9:$U$9</c:f>
              <c:numCache>
                <c:formatCode>0.00%</c:formatCode>
                <c:ptCount val="7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570176"/>
        <c:axId val="403623872"/>
      </c:lineChart>
      <c:catAx>
        <c:axId val="40357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623872"/>
        <c:crosses val="autoZero"/>
        <c:auto val="1"/>
        <c:lblAlgn val="ctr"/>
        <c:lblOffset val="100"/>
        <c:noMultiLvlLbl val="0"/>
      </c:catAx>
      <c:valAx>
        <c:axId val="403623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Jährliche Sanierungsrate EZFH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57017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443814332034904"/>
          <c:y val="6.1460416666666663E-2"/>
          <c:w val="0.74936635257763362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f>'Gebäude - Sanierungsrate'!$Z$3:$AF$3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Sanierungsrate'!$Z$9:$AF$9</c:f>
              <c:numCache>
                <c:formatCode>0.00%</c:formatCode>
                <c:ptCount val="7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105472"/>
        <c:axId val="403625600"/>
      </c:lineChart>
      <c:catAx>
        <c:axId val="40810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625600"/>
        <c:crosses val="autoZero"/>
        <c:auto val="1"/>
        <c:lblAlgn val="ctr"/>
        <c:lblOffset val="100"/>
        <c:noMultiLvlLbl val="0"/>
      </c:catAx>
      <c:valAx>
        <c:axId val="403625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Jährliche Sanierungsrate MFH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10547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664909799142606"/>
          <c:y val="6.1460416666666663E-2"/>
          <c:w val="0.74715539790655672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f>'Gebäude - Sanierungsrate'!$AK$3:$AQ$3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Sanierungsrate'!$AK$9:$AQ$9</c:f>
              <c:numCache>
                <c:formatCode>0.00%</c:formatCode>
                <c:ptCount val="7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106496"/>
        <c:axId val="403627328"/>
      </c:lineChart>
      <c:catAx>
        <c:axId val="40810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3627328"/>
        <c:crosses val="autoZero"/>
        <c:auto val="1"/>
        <c:lblAlgn val="ctr"/>
        <c:lblOffset val="100"/>
        <c:noMultiLvlLbl val="0"/>
      </c:catAx>
      <c:valAx>
        <c:axId val="403627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Jährliche Sanierungsrate GMFH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106496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780527930711819"/>
          <c:y val="6.1460416666666663E-2"/>
          <c:w val="0.75599921659086455"/>
          <c:h val="0.62354548611111116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strRef>
              <c:f>'Gebäude - Sanierungsrate'!$AV$3:$BB$3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Sanierungsrate'!$AV$9:$BB$9</c:f>
              <c:numCache>
                <c:formatCode>0.00%</c:formatCode>
                <c:ptCount val="7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107520"/>
        <c:axId val="408167552"/>
      </c:lineChart>
      <c:catAx>
        <c:axId val="40810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167552"/>
        <c:crosses val="autoZero"/>
        <c:auto val="1"/>
        <c:lblAlgn val="ctr"/>
        <c:lblOffset val="100"/>
        <c:noMultiLvlLbl val="0"/>
      </c:catAx>
      <c:valAx>
        <c:axId val="408167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Jährliche Sanierungsrate NWG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10752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664909799142606"/>
          <c:y val="6.1460416666666663E-2"/>
          <c:w val="0.58399293390752383"/>
          <c:h val="0.62354548611111116"/>
        </c:manualLayout>
      </c:layout>
      <c:lineChart>
        <c:grouping val="standard"/>
        <c:varyColors val="0"/>
        <c:ser>
          <c:idx val="1"/>
          <c:order val="0"/>
          <c:tx>
            <c:strRef>
              <c:f>'Gebäude - Sanierungsrate'!$B$32</c:f>
              <c:strCache>
                <c:ptCount val="1"/>
                <c:pt idx="0">
                  <c:v>EZFH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'Gebäude - Sanierungsrate'!$D$31:$J$31</c15:sqref>
                  </c15:fullRef>
                </c:ext>
              </c:extLst>
              <c:f>'Gebäude - Sanierungsrate'!$D$31:$I$31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'Gebäude - Sanierungsrate'!$D$32:$J$32</c15:sqref>
                  </c15:fullRef>
                </c:ext>
              </c:extLst>
              <c:f>'Gebäude - Sanierungsrate'!$D$32:$I$32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E74-81C9-8BE3EEFD2E08}"/>
            </c:ext>
          </c:extLst>
        </c:ser>
        <c:ser>
          <c:idx val="0"/>
          <c:order val="1"/>
          <c:tx>
            <c:strRef>
              <c:f>'Gebäude - Sanierungsrate'!$B$33</c:f>
              <c:strCache>
                <c:ptCount val="1"/>
                <c:pt idx="0">
                  <c:v>MFH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'Gebäude - Sanierungsrate'!$D$33:$J$33</c15:sqref>
                  </c15:fullRef>
                </c:ext>
              </c:extLst>
              <c:f>'Gebäude - Sanierungsrate'!$D$33:$I$33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3-4E4F-84CE-360BC00F20A8}"/>
            </c:ext>
          </c:extLst>
        </c:ser>
        <c:ser>
          <c:idx val="2"/>
          <c:order val="2"/>
          <c:tx>
            <c:strRef>
              <c:f>'Gebäude - Sanierungsrate'!$B$34</c:f>
              <c:strCache>
                <c:ptCount val="1"/>
                <c:pt idx="0">
                  <c:v>GMFH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'Gebäude - Sanierungsrate'!$D$34:$J$34</c15:sqref>
                  </c15:fullRef>
                </c:ext>
              </c:extLst>
              <c:f>'Gebäude - Sanierungsrate'!$D$34:$I$34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3-4E4F-84CE-360BC00F20A8}"/>
            </c:ext>
          </c:extLst>
        </c:ser>
        <c:ser>
          <c:idx val="3"/>
          <c:order val="3"/>
          <c:tx>
            <c:strRef>
              <c:f>'Gebäude - Sanierungsrate'!$B$35</c:f>
              <c:strCache>
                <c:ptCount val="1"/>
                <c:pt idx="0">
                  <c:v>NWG</c:v>
                </c:pt>
              </c:strCache>
            </c:strRef>
          </c:tx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'Gebäude - Sanierungsrate'!$D$35:$J$35</c15:sqref>
                  </c15:fullRef>
                </c:ext>
              </c:extLst>
              <c:f>'Gebäude - Sanierungsrate'!$D$35:$I$35</c:f>
              <c:numCache>
                <c:formatCode>0.00%</c:formatCode>
                <c:ptCount val="6"/>
                <c:pt idx="0">
                  <c:v>0.01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93-4E4F-84CE-360BC00F2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108544"/>
        <c:axId val="408169280"/>
      </c:lineChart>
      <c:catAx>
        <c:axId val="40810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169280"/>
        <c:crosses val="autoZero"/>
        <c:auto val="1"/>
        <c:lblAlgn val="ctr"/>
        <c:lblOffset val="100"/>
        <c:noMultiLvlLbl val="0"/>
      </c:catAx>
      <c:valAx>
        <c:axId val="408169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Jährliche en. Sanierungsrate</a:t>
                </a:r>
                <a:endParaRPr lang="de-DE" baseline="30000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10854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2158370065462782"/>
          <c:y val="6.7546742111592756E-2"/>
          <c:w val="0.16553504942461214"/>
          <c:h val="0.6407516806395514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Efficient Electric Devices &amp; Ligthing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'Gebäude - Elektrogeräte'!$L$54</c:f>
              <c:strCache>
                <c:ptCount val="1"/>
                <c:pt idx="0">
                  <c:v>Share of eff. devices</c:v>
                </c:pt>
              </c:strCache>
            </c:strRef>
          </c:tx>
          <c:marker>
            <c:symbol val="none"/>
          </c:marker>
          <c:cat>
            <c:strRef>
              <c:f>'Gebäude - Elektrogeräte'!$N$3:$T$3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'Gebäude - Elektrogeräte'!$N$54:$T$54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6-439C-9A89-7C347ADC4B09}"/>
            </c:ext>
          </c:extLst>
        </c:ser>
        <c:ser>
          <c:idx val="1"/>
          <c:order val="1"/>
          <c:tx>
            <c:strRef>
              <c:f>'Gebäude - Elektrogeräte'!$L$58</c:f>
              <c:strCache>
                <c:ptCount val="1"/>
                <c:pt idx="0">
                  <c:v>Share of eff. ligthing (WG)</c:v>
                </c:pt>
              </c:strCache>
            </c:strRef>
          </c:tx>
          <c:marker>
            <c:symbol val="none"/>
          </c:marker>
          <c:val>
            <c:numRef>
              <c:f>'Gebäude - Elektrogeräte'!$N$58:$T$58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6-439C-9A89-7C347ADC4B09}"/>
            </c:ext>
          </c:extLst>
        </c:ser>
        <c:ser>
          <c:idx val="2"/>
          <c:order val="2"/>
          <c:tx>
            <c:strRef>
              <c:f>'Gebäude - Elektrogeräte'!$L$62</c:f>
              <c:strCache>
                <c:ptCount val="1"/>
                <c:pt idx="0">
                  <c:v>Share of eff. ligthing (NWG)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'Gebäude - Elektrogeräte'!$N$62:$T$62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6-439C-9A89-7C347ADC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307200"/>
        <c:axId val="408171584"/>
      </c:lineChart>
      <c:lineChart>
        <c:grouping val="standard"/>
        <c:varyColors val="0"/>
        <c:ser>
          <c:idx val="3"/>
          <c:order val="3"/>
          <c:tx>
            <c:strRef>
              <c:f>'Gebäude - Elektrogeräte'!$B$52</c:f>
              <c:strCache>
                <c:ptCount val="1"/>
                <c:pt idx="0">
                  <c:v>Total el. Demand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val>
            <c:numRef>
              <c:f>'Gebäude - Elektrogeräte'!$D$52:$J$52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6-439C-9A89-7C347ADC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308736"/>
        <c:axId val="408172160"/>
      </c:lineChart>
      <c:catAx>
        <c:axId val="40830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08171584"/>
        <c:crosses val="autoZero"/>
        <c:auto val="1"/>
        <c:lblAlgn val="ctr"/>
        <c:lblOffset val="100"/>
        <c:noMultiLvlLbl val="0"/>
      </c:catAx>
      <c:valAx>
        <c:axId val="408171584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Share of eff.</a:t>
                </a:r>
                <a:r>
                  <a:rPr lang="de-DE" baseline="0"/>
                  <a:t> technologies</a:t>
                </a:r>
                <a:endParaRPr lang="de-DE"/>
              </a:p>
            </c:rich>
          </c:tx>
          <c:layout>
            <c:manualLayout>
              <c:xMode val="edge"/>
              <c:yMode val="edge"/>
              <c:x val="1.5350877855663672E-2"/>
              <c:y val="6.9200290105054588E-2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408307200"/>
        <c:crosses val="autoZero"/>
        <c:crossBetween val="between"/>
        <c:majorUnit val="0.2"/>
      </c:valAx>
      <c:valAx>
        <c:axId val="408172160"/>
        <c:scaling>
          <c:orientation val="minMax"/>
          <c:max val="2000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accent5"/>
                    </a:solidFill>
                  </a:defRPr>
                </a:pPr>
                <a:r>
                  <a:rPr lang="de-DE">
                    <a:solidFill>
                      <a:schemeClr val="accent5"/>
                    </a:solidFill>
                  </a:rPr>
                  <a:t>Total el. consumption in TWh</a:t>
                </a:r>
              </a:p>
            </c:rich>
          </c:tx>
          <c:layout>
            <c:manualLayout>
              <c:xMode val="edge"/>
              <c:yMode val="edge"/>
              <c:x val="0.94358552388043604"/>
              <c:y val="2.8369102150576527E-2"/>
            </c:manualLayout>
          </c:layout>
          <c:overlay val="0"/>
        </c:title>
        <c:numFmt formatCode="0,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accent5"/>
                </a:solidFill>
              </a:defRPr>
            </a:pPr>
            <a:endParaRPr lang="en-US"/>
          </a:p>
        </c:txPr>
        <c:crossAx val="408308736"/>
        <c:crosses val="max"/>
        <c:crossBetween val="between"/>
        <c:majorUnit val="40000"/>
      </c:valAx>
      <c:catAx>
        <c:axId val="408308736"/>
        <c:scaling>
          <c:orientation val="minMax"/>
        </c:scaling>
        <c:delete val="1"/>
        <c:axPos val="b"/>
        <c:majorTickMark val="out"/>
        <c:minorTickMark val="none"/>
        <c:tickLblPos val="nextTo"/>
        <c:crossAx val="40817216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Natural gas supply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Erdgas!$M$3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64A6-4FF7-9E9B-51C42BB5C0A6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64A6-4FF7-9E9B-51C42BB5C0A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5-64A6-4FF7-9E9B-51C42BB5C0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64A6-4FF7-9E9B-51C42BB5C0A6}"/>
              </c:ext>
            </c:extLst>
          </c:dPt>
          <c:dPt>
            <c:idx val="4"/>
            <c:bubble3D val="0"/>
            <c:spPr>
              <a:solidFill>
                <a:schemeClr val="accent5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64A6-4FF7-9E9B-51C42BB5C0A6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0-64A6-4FF7-9E9B-51C42BB5C0A6}"/>
              </c:ext>
            </c:extLst>
          </c:dPt>
          <c:cat>
            <c:strRef>
              <c:f>Erdgas!$E$4:$E$9</c:f>
              <c:strCache>
                <c:ptCount val="6"/>
                <c:pt idx="0">
                  <c:v>Natural gas</c:v>
                </c:pt>
                <c:pt idx="1">
                  <c:v>Non-energetic use fossil</c:v>
                </c:pt>
                <c:pt idx="2">
                  <c:v>Bio methane non-energetic</c:v>
                </c:pt>
                <c:pt idx="3">
                  <c:v>SNG</c:v>
                </c:pt>
                <c:pt idx="4">
                  <c:v>Bio methane</c:v>
                </c:pt>
                <c:pt idx="5">
                  <c:v>Import-SNG</c:v>
                </c:pt>
              </c:strCache>
            </c:strRef>
          </c:cat>
          <c:val>
            <c:numRef>
              <c:f>Erdgas!$M$4:$M$9</c:f>
              <c:numCache>
                <c:formatCode>General</c:formatCode>
                <c:ptCount val="6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256238929616907"/>
          <c:y val="0.25942160381700241"/>
          <c:w val="0.4502168402777777"/>
          <c:h val="0.70175470296319364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27291666666667"/>
          <c:y val="6.1460416666666663E-2"/>
          <c:w val="0.46539304485259808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Erdgas!$E$4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Erdgas!$G$3:$M$3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Erdgas!$G$4:$M$4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B-4487-8108-A79AE5222750}"/>
            </c:ext>
          </c:extLst>
        </c:ser>
        <c:ser>
          <c:idx val="4"/>
          <c:order val="1"/>
          <c:tx>
            <c:strRef>
              <c:f>Erdgas!$E$5</c:f>
              <c:strCache>
                <c:ptCount val="1"/>
                <c:pt idx="0">
                  <c:v>Non-energetic use fossil</c:v>
                </c:pt>
              </c:strCache>
            </c:strRef>
          </c:tx>
          <c:invertIfNegative val="0"/>
          <c:val>
            <c:numRef>
              <c:f>Erdgas!$G$5:$M$5</c:f>
              <c:numCache>
                <c:formatCode>General</c:formatCode>
                <c:ptCount val="7"/>
                <c:pt idx="0">
                  <c:v>19803.66776795328</c:v>
                </c:pt>
                <c:pt idx="1">
                  <c:v>21568.72636301296</c:v>
                </c:pt>
                <c:pt idx="2">
                  <c:v>41835.651712141582</c:v>
                </c:pt>
                <c:pt idx="3">
                  <c:v>75323.983151658715</c:v>
                </c:pt>
                <c:pt idx="4">
                  <c:v>128551.2845284192</c:v>
                </c:pt>
                <c:pt idx="5">
                  <c:v>17160.268269532378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A-456B-9199-8E75B522AD04}"/>
            </c:ext>
          </c:extLst>
        </c:ser>
        <c:ser>
          <c:idx val="1"/>
          <c:order val="2"/>
          <c:tx>
            <c:strRef>
              <c:f>Erdgas!$E$14</c:f>
              <c:strCache>
                <c:ptCount val="1"/>
                <c:pt idx="0">
                  <c:v>Bio methane energetic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</c:spPr>
          <c:invertIfNegative val="0"/>
          <c:cat>
            <c:numRef>
              <c:f>Erdgas!$G$3:$M$3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Erdgas!$G$14:$M$14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5"/>
          <c:order val="3"/>
          <c:tx>
            <c:strRef>
              <c:f>Erdgas!$E$6</c:f>
              <c:strCache>
                <c:ptCount val="1"/>
                <c:pt idx="0">
                  <c:v>Bio methane non-energetic</c:v>
                </c:pt>
              </c:strCache>
            </c:strRef>
          </c:tx>
          <c:spPr>
            <a:pattFill prst="dkDnDiag">
              <a:fgClr>
                <a:srgbClr val="92D050"/>
              </a:fgClr>
              <a:bgClr>
                <a:schemeClr val="bg1"/>
              </a:bgClr>
            </a:pattFill>
          </c:spPr>
          <c:invertIfNegative val="0"/>
          <c:val>
            <c:numRef>
              <c:f>Erdgas!$G$6:$M$6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BE2-48BD-9C17-D7380F6ED32B}"/>
            </c:ext>
          </c:extLst>
        </c:ser>
        <c:ser>
          <c:idx val="2"/>
          <c:order val="4"/>
          <c:tx>
            <c:strRef>
              <c:f>Erdgas!$E$7</c:f>
              <c:strCache>
                <c:ptCount val="1"/>
                <c:pt idx="0">
                  <c:v>SNG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Erdgas!$G$3:$M$3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Erdgas!$G$7:$M$7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5B-4487-8108-A79AE5222750}"/>
            </c:ext>
          </c:extLst>
        </c:ser>
        <c:ser>
          <c:idx val="3"/>
          <c:order val="5"/>
          <c:tx>
            <c:strRef>
              <c:f>Erdgas!$E$9</c:f>
              <c:strCache>
                <c:ptCount val="1"/>
                <c:pt idx="0">
                  <c:v>Import-SNG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Erdgas!$G$3:$M$3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Erdgas!$G$9:$M$9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2-443D-B302-6CE164B72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968512"/>
        <c:axId val="408528000"/>
      </c:barChart>
      <c:catAx>
        <c:axId val="38796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528000"/>
        <c:crosses val="autoZero"/>
        <c:auto val="1"/>
        <c:lblAlgn val="ctr"/>
        <c:lblOffset val="100"/>
        <c:noMultiLvlLbl val="0"/>
      </c:catAx>
      <c:valAx>
        <c:axId val="408528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Natural gas supply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796851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4525346086347433"/>
          <c:y val="0.19268229988901434"/>
          <c:w val="0.19010339825254888"/>
          <c:h val="0.7456384469360138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Natural gas demand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layout>
        <c:manualLayout>
          <c:xMode val="edge"/>
          <c:yMode val="edge"/>
          <c:x val="0.1414234375"/>
          <c:y val="0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Erdgas!$Y$3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0510-45FD-ACCE-67EF7B747517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0510-45FD-ACCE-67EF7B747517}"/>
              </c:ext>
            </c:extLst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0510-45FD-ACCE-67EF7B7475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4-0510-45FD-ACCE-67EF7B747517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0510-45FD-ACCE-67EF7B747517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0510-45FD-ACCE-67EF7B747517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0-0510-45FD-ACCE-67EF7B747517}"/>
              </c:ext>
            </c:extLst>
          </c:dPt>
          <c:cat>
            <c:strRef>
              <c:f>Erdgas!$Q$38:$Q$42</c:f>
              <c:strCache>
                <c:ptCount val="5"/>
                <c:pt idx="0">
                  <c:v>Transport</c:v>
                </c:pt>
                <c:pt idx="1">
                  <c:v>Buildings</c:v>
                </c:pt>
                <c:pt idx="2">
                  <c:v>Industry</c:v>
                </c:pt>
                <c:pt idx="3">
                  <c:v>NE Industry</c:v>
                </c:pt>
                <c:pt idx="4">
                  <c:v>Energy</c:v>
                </c:pt>
              </c:strCache>
            </c:strRef>
          </c:cat>
          <c:val>
            <c:numRef>
              <c:f>Erdgas!$Y$38:$Y$42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239556970655963"/>
          <c:y val="9.7292989751709497E-2"/>
          <c:w val="0.35069838494301969"/>
          <c:h val="0.7383858754396964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689974028153975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Erdgas!$Q$38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25400">
              <a:noFill/>
            </a:ln>
          </c:spPr>
          <c:invertIfNegative val="0"/>
          <c:cat>
            <c:numRef>
              <c:f>Erdgas!$S$3:$Y$3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Erdgas!$S$38:$Y$38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2"/>
          <c:order val="1"/>
          <c:tx>
            <c:strRef>
              <c:f>Erdgas!$Q$39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Erdgas!$S$3:$Y$3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Erdgas!$S$39:$Y$39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0-4CB6-965E-85D93A605FF7}"/>
            </c:ext>
          </c:extLst>
        </c:ser>
        <c:ser>
          <c:idx val="3"/>
          <c:order val="2"/>
          <c:tx>
            <c:strRef>
              <c:f>Erdgas!$Q$40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25400">
              <a:noFill/>
            </a:ln>
          </c:spPr>
          <c:invertIfNegative val="0"/>
          <c:cat>
            <c:numRef>
              <c:f>Erdgas!$S$3:$Y$3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Erdgas!$S$40:$Y$40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0-4CB6-965E-85D93A605FF7}"/>
            </c:ext>
          </c:extLst>
        </c:ser>
        <c:ser>
          <c:idx val="4"/>
          <c:order val="3"/>
          <c:tx>
            <c:strRef>
              <c:f>Erdgas!$Q$41</c:f>
              <c:strCache>
                <c:ptCount val="1"/>
                <c:pt idx="0">
                  <c:v>NE Industry</c:v>
                </c:pt>
              </c:strCache>
            </c:strRef>
          </c:tx>
          <c:invertIfNegative val="0"/>
          <c:val>
            <c:numRef>
              <c:f>Erdgas!$S$41:$Y$41</c:f>
              <c:numCache>
                <c:formatCode>General</c:formatCode>
                <c:ptCount val="7"/>
                <c:pt idx="0">
                  <c:v>19605.631090273793</c:v>
                </c:pt>
                <c:pt idx="1">
                  <c:v>21353.03909938287</c:v>
                </c:pt>
                <c:pt idx="2">
                  <c:v>41417.295195019949</c:v>
                </c:pt>
                <c:pt idx="3">
                  <c:v>74570.743320142297</c:v>
                </c:pt>
                <c:pt idx="4">
                  <c:v>127265.77168313506</c:v>
                </c:pt>
                <c:pt idx="5">
                  <c:v>16988.665586837102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3-4B34-B048-DA2D020102BD}"/>
            </c:ext>
          </c:extLst>
        </c:ser>
        <c:ser>
          <c:idx val="0"/>
          <c:order val="4"/>
          <c:tx>
            <c:strRef>
              <c:f>Erdgas!$Q$42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Erdgas!$S$3:$Y$3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Erdgas!$S$42:$Y$42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4-4D84-806C-301DFA9C4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598016"/>
        <c:axId val="408531456"/>
      </c:barChart>
      <c:catAx>
        <c:axId val="40859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531456"/>
        <c:crosses val="autoZero"/>
        <c:auto val="1"/>
        <c:lblAlgn val="ctr"/>
        <c:lblOffset val="100"/>
        <c:noMultiLvlLbl val="0"/>
      </c:catAx>
      <c:valAx>
        <c:axId val="408531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Natural gas demand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59801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3427945556363938"/>
          <c:y val="0.24884865509058554"/>
          <c:w val="0.14380379425595288"/>
          <c:h val="0.5330715052199707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6899740281539759"/>
          <c:h val="0.62354548611111116"/>
        </c:manualLayout>
      </c:layout>
      <c:areaChart>
        <c:grouping val="stacked"/>
        <c:varyColors val="0"/>
        <c:ser>
          <c:idx val="1"/>
          <c:order val="0"/>
          <c:tx>
            <c:strRef>
              <c:f>Erdgas!$AR$4</c:f>
              <c:strCache>
                <c:ptCount val="1"/>
                <c:pt idx="0">
                  <c:v>CCCHP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Erdgas!$AT$3:$AZ$3</c15:sqref>
                  </c15:fullRef>
                </c:ext>
              </c:extLst>
              <c:f>Erdgas!$AT$3:$AY$3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Erdgas!$AT$4:$AZ$4</c15:sqref>
                  </c15:fullRef>
                </c:ext>
              </c:extLst>
              <c:f>Erdgas!$AT$4:$AY$4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Erdgas!$AR$5</c:f>
              <c:strCache>
                <c:ptCount val="1"/>
                <c:pt idx="0">
                  <c:v>CCPP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Erdgas!$AT$3:$AZ$3</c15:sqref>
                  </c15:fullRef>
                </c:ext>
              </c:extLst>
              <c:f>Erdgas!$AT$3:$AY$3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Erdgas!$AT$5:$AZ$5</c15:sqref>
                  </c15:fullRef>
                </c:ext>
              </c:extLst>
              <c:f>Erdgas!$AT$5:$AY$5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F-4E5B-A418-80E19BC7F461}"/>
            </c:ext>
          </c:extLst>
        </c:ser>
        <c:ser>
          <c:idx val="2"/>
          <c:order val="2"/>
          <c:tx>
            <c:strRef>
              <c:f>Erdgas!$AR$6</c:f>
              <c:strCache>
                <c:ptCount val="1"/>
                <c:pt idx="0">
                  <c:v>CCS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Erdgas!$AT$3:$AZ$3</c15:sqref>
                  </c15:fullRef>
                </c:ext>
              </c:extLst>
              <c:f>Erdgas!$AT$3:$AY$3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Erdgas!$AT$6:$AZ$6</c15:sqref>
                  </c15:fullRef>
                </c:ext>
              </c:extLst>
              <c:f>Erdgas!$AT$6:$AY$6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2F-4E5B-A418-80E19BC7F461}"/>
            </c:ext>
          </c:extLst>
        </c:ser>
        <c:ser>
          <c:idx val="3"/>
          <c:order val="3"/>
          <c:tx>
            <c:strRef>
              <c:f>Erdgas!$AR$7</c:f>
              <c:strCache>
                <c:ptCount val="1"/>
                <c:pt idx="0">
                  <c:v>CHP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Erdgas!$AT$3:$AZ$3</c15:sqref>
                  </c15:fullRef>
                </c:ext>
              </c:extLst>
              <c:f>Erdgas!$AT$3:$AY$3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Erdgas!$AT$7:$AZ$7</c15:sqref>
                  </c15:fullRef>
                </c:ext>
              </c:extLst>
              <c:f>Erdgas!$AT$7:$AY$7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2F-4E5B-A418-80E19BC7F461}"/>
            </c:ext>
          </c:extLst>
        </c:ser>
        <c:ser>
          <c:idx val="4"/>
          <c:order val="4"/>
          <c:tx>
            <c:strRef>
              <c:f>Erdgas!$AR$8</c:f>
              <c:strCache>
                <c:ptCount val="1"/>
                <c:pt idx="0">
                  <c:v>HP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Erdgas!$AT$3:$AZ$3</c15:sqref>
                  </c15:fullRef>
                </c:ext>
              </c:extLst>
              <c:f>Erdgas!$AT$3:$AY$3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Erdgas!$AT$8:$AZ$8</c15:sqref>
                  </c15:fullRef>
                </c:ext>
              </c:extLst>
              <c:f>Erdgas!$AT$8:$AY$8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2F-4E5B-A418-80E19BC7F461}"/>
            </c:ext>
          </c:extLst>
        </c:ser>
        <c:ser>
          <c:idx val="5"/>
          <c:order val="5"/>
          <c:tx>
            <c:strRef>
              <c:f>Erdgas!$AR$9</c:f>
              <c:strCache>
                <c:ptCount val="1"/>
                <c:pt idx="0">
                  <c:v>PP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Erdgas!$AT$3:$AZ$3</c15:sqref>
                  </c15:fullRef>
                </c:ext>
              </c:extLst>
              <c:f>Erdgas!$AT$3:$AY$3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Erdgas!$AT$9:$AZ$9</c15:sqref>
                  </c15:fullRef>
                </c:ext>
              </c:extLst>
              <c:f>Erdgas!$AT$9:$AY$9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2F-4E5B-A418-80E19BC7F461}"/>
            </c:ext>
          </c:extLst>
        </c:ser>
        <c:ser>
          <c:idx val="6"/>
          <c:order val="6"/>
          <c:tx>
            <c:strRef>
              <c:f>Erdgas!$AR$10</c:f>
              <c:strCache>
                <c:ptCount val="1"/>
                <c:pt idx="0">
                  <c:v>LS-Reformer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Erdgas!$AT$3:$AZ$3</c15:sqref>
                  </c15:fullRef>
                </c:ext>
              </c:extLst>
              <c:f>Erdgas!$AT$3:$AY$3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Erdgas!$AT$10:$AZ$10</c15:sqref>
                  </c15:fullRef>
                </c:ext>
              </c:extLst>
              <c:f>Erdgas!$AT$10:$AY$10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2F-4E5B-A418-80E19BC7F461}"/>
            </c:ext>
          </c:extLst>
        </c:ser>
        <c:ser>
          <c:idx val="7"/>
          <c:order val="7"/>
          <c:tx>
            <c:strRef>
              <c:f>Erdgas!$AR$11</c:f>
              <c:strCache>
                <c:ptCount val="1"/>
                <c:pt idx="0">
                  <c:v>SS-Reformer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Erdgas!$AT$3:$AZ$3</c15:sqref>
                  </c15:fullRef>
                </c:ext>
              </c:extLst>
              <c:f>Erdgas!$AT$3:$AY$3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Erdgas!$AT$11:$AZ$11</c15:sqref>
                  </c15:fullRef>
                </c:ext>
              </c:extLst>
              <c:f>Erdgas!$AT$11:$AY$11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2F-4E5B-A418-80E19BC7F461}"/>
            </c:ext>
          </c:extLst>
        </c:ser>
        <c:ser>
          <c:idx val="8"/>
          <c:order val="8"/>
          <c:tx>
            <c:strRef>
              <c:f>Erdgas!$AR$13</c:f>
              <c:strCache>
                <c:ptCount val="1"/>
                <c:pt idx="0">
                  <c:v>CH4 Pyrolysis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Erdgas!$AT$3:$AZ$3</c15:sqref>
                  </c15:fullRef>
                </c:ext>
              </c:extLst>
              <c:f>Erdgas!$AT$3:$AY$3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Erdgas!$AT$13:$AZ$13</c15:sqref>
                  </c15:fullRef>
                </c:ext>
              </c:extLst>
              <c:f>Erdgas!$AT$13:$AY$13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D-435B-B959-93EED5FA2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68000"/>
        <c:axId val="408533760"/>
      </c:areaChart>
      <c:catAx>
        <c:axId val="38796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533760"/>
        <c:crosses val="autoZero"/>
        <c:auto val="1"/>
        <c:lblAlgn val="ctr"/>
        <c:lblOffset val="100"/>
        <c:noMultiLvlLbl val="0"/>
      </c:catAx>
      <c:valAx>
        <c:axId val="408533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Natural gas demand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87968000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3966723253303659"/>
          <c:y val="0"/>
          <c:w val="0.26831826460678082"/>
          <c:h val="0.8572820346283350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3097977625564149"/>
          <c:h val="0.62354548611111116"/>
        </c:manualLayout>
      </c:layout>
      <c:areaChart>
        <c:grouping val="stacked"/>
        <c:varyColors val="0"/>
        <c:ser>
          <c:idx val="1"/>
          <c:order val="0"/>
          <c:tx>
            <c:strRef>
              <c:f>Erdgas!$AC$4</c:f>
              <c:strCache>
                <c:ptCount val="1"/>
                <c:pt idx="0">
                  <c:v>Cement process heat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Erdgas!$AF$3:$AL$3</c15:sqref>
                  </c15:fullRef>
                </c:ext>
              </c:extLst>
              <c:f>Erdgas!$AF$3:$AK$3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Erdgas!$AF$4:$AL$4</c15:sqref>
                  </c15:fullRef>
                </c:ext>
              </c:extLst>
              <c:f>Erdgas!$AF$4:$AK$4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6"/>
          <c:order val="1"/>
          <c:tx>
            <c:strRef>
              <c:f>Erdgas!$AC$11</c:f>
              <c:strCache>
                <c:ptCount val="1"/>
                <c:pt idx="0">
                  <c:v>Industrial 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Erdgas!$AF$3:$AL$3</c15:sqref>
                  </c15:fullRef>
                </c:ext>
              </c:extLst>
              <c:f>Erdgas!$AF$3:$AK$3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Erdgas!$AF$11:$AL$11</c15:sqref>
                  </c15:fullRef>
                </c:ext>
              </c:extLst>
              <c:f>Erdgas!$AF$11:$AK$11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7B-4C60-A794-2E28729D1448}"/>
            </c:ext>
          </c:extLst>
        </c:ser>
        <c:ser>
          <c:idx val="2"/>
          <c:order val="2"/>
          <c:tx>
            <c:strRef>
              <c:f>Erdgas!$AC$6</c:f>
              <c:strCache>
                <c:ptCount val="1"/>
                <c:pt idx="0">
                  <c:v>Electric arc 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Erdgas!$AF$3:$AL$3</c15:sqref>
                  </c15:fullRef>
                </c:ext>
              </c:extLst>
              <c:f>Erdgas!$AF$3:$AK$3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Erdgas!$AF$6:$AL$6</c15:sqref>
                  </c15:fullRef>
                </c:ext>
              </c:extLst>
              <c:f>Erdgas!$AF$6:$AK$6</c:f>
              <c:numCache>
                <c:formatCode>General</c:formatCode>
                <c:ptCount val="6"/>
                <c:pt idx="0">
                  <c:v>2838.0748052862859</c:v>
                </c:pt>
                <c:pt idx="1">
                  <c:v>2911.1009775129619</c:v>
                </c:pt>
                <c:pt idx="2">
                  <c:v>3505.7031327876039</c:v>
                </c:pt>
                <c:pt idx="3">
                  <c:v>4.5088325233072372E-2</c:v>
                </c:pt>
                <c:pt idx="4">
                  <c:v>5927.7557852660711</c:v>
                </c:pt>
                <c:pt idx="5">
                  <c:v>4328.4678144655218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B-4C60-A794-2E28729D1448}"/>
            </c:ext>
          </c:extLst>
        </c:ser>
        <c:ser>
          <c:idx val="3"/>
          <c:order val="3"/>
          <c:tx>
            <c:strRef>
              <c:f>Erdgas!$AC$7</c:f>
              <c:strCache>
                <c:ptCount val="1"/>
                <c:pt idx="0">
                  <c:v>Blast 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Erdgas!$AF$3:$AL$3</c15:sqref>
                  </c15:fullRef>
                </c:ext>
              </c:extLst>
              <c:f>Erdgas!$AF$3:$AK$3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Erdgas!$AF$7:$AL$7</c15:sqref>
                  </c15:fullRef>
                </c:ext>
              </c:extLst>
              <c:f>Erdgas!$AF$7:$AK$7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B-4C60-A794-2E28729D1448}"/>
            </c:ext>
          </c:extLst>
        </c:ser>
        <c:ser>
          <c:idx val="4"/>
          <c:order val="4"/>
          <c:tx>
            <c:strRef>
              <c:f>Erdgas!$AC$9</c:f>
              <c:strCache>
                <c:ptCount val="1"/>
                <c:pt idx="0">
                  <c:v>Burner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Erdgas!$AF$3:$AL$3</c15:sqref>
                  </c15:fullRef>
                </c:ext>
              </c:extLst>
              <c:f>Erdgas!$AF$3:$AK$3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Erdgas!$AF$9:$AL$9</c15:sqref>
                  </c15:fullRef>
                </c:ext>
              </c:extLst>
              <c:f>Erdgas!$AF$9:$AK$9</c:f>
              <c:numCache>
                <c:formatCode>General</c:formatCode>
                <c:ptCount val="6"/>
                <c:pt idx="0">
                  <c:v>0.23877440962549809</c:v>
                </c:pt>
                <c:pt idx="1">
                  <c:v>9.0229830099796011</c:v>
                </c:pt>
                <c:pt idx="2">
                  <c:v>440.98082736252331</c:v>
                </c:pt>
                <c:pt idx="3">
                  <c:v>4.1519997938699914E-3</c:v>
                </c:pt>
                <c:pt idx="4">
                  <c:v>4.1647379226232632E-4</c:v>
                </c:pt>
                <c:pt idx="5">
                  <c:v>1.9292531372048201E-4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7B-4C60-A794-2E28729D1448}"/>
            </c:ext>
          </c:extLst>
        </c:ser>
        <c:ser>
          <c:idx val="5"/>
          <c:order val="5"/>
          <c:tx>
            <c:strRef>
              <c:f>Erdgas!$AC$10</c:f>
              <c:strCache>
                <c:ptCount val="1"/>
                <c:pt idx="0">
                  <c:v>Glass furnace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Erdgas!$AF$3:$AL$3</c15:sqref>
                  </c15:fullRef>
                </c:ext>
              </c:extLst>
              <c:f>Erdgas!$AF$3:$AK$3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Erdgas!$AF$10:$AL$10</c15:sqref>
                  </c15:fullRef>
                </c:ext>
              </c:extLst>
              <c:f>Erdgas!$AF$10:$AK$10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7B-4C60-A794-2E28729D1448}"/>
            </c:ext>
          </c:extLst>
        </c:ser>
        <c:ser>
          <c:idx val="7"/>
          <c:order val="6"/>
          <c:tx>
            <c:strRef>
              <c:f>Erdgas!$AC$12</c:f>
              <c:strCache>
                <c:ptCount val="1"/>
                <c:pt idx="0">
                  <c:v>Methanol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Erdgas!$AF$3:$AL$3</c15:sqref>
                  </c15:fullRef>
                </c:ext>
              </c:extLst>
              <c:f>Erdgas!$AF$3:$AK$3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Erdgas!$AF$12:$AL$12</c15:sqref>
                  </c15:fullRef>
                </c:ext>
              </c:extLst>
              <c:f>Erdgas!$AF$12:$AK$12</c:f>
              <c:numCache>
                <c:formatCode>General</c:formatCode>
                <c:ptCount val="6"/>
                <c:pt idx="0">
                  <c:v>4557.5414327415228</c:v>
                </c:pt>
                <c:pt idx="1">
                  <c:v>5127.0050497940692</c:v>
                </c:pt>
                <c:pt idx="2">
                  <c:v>26012.246016510489</c:v>
                </c:pt>
                <c:pt idx="3">
                  <c:v>62117.568804889161</c:v>
                </c:pt>
                <c:pt idx="4">
                  <c:v>122117.9383480804</c:v>
                </c:pt>
                <c:pt idx="5">
                  <c:v>15661.179898431221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7B-4C60-A794-2E28729D1448}"/>
            </c:ext>
          </c:extLst>
        </c:ser>
        <c:ser>
          <c:idx val="8"/>
          <c:order val="7"/>
          <c:tx>
            <c:strRef>
              <c:f>Erdgas!$AC$13</c:f>
              <c:strCache>
                <c:ptCount val="1"/>
                <c:pt idx="0">
                  <c:v>Haber Bosch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Erdgas!$AF$3:$AL$3</c15:sqref>
                  </c15:fullRef>
                </c:ext>
              </c:extLst>
              <c:f>Erdgas!$AF$3:$AK$3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Erdgas!$AF$13:$AL$13</c15:sqref>
                  </c15:fullRef>
                </c:ext>
              </c:extLst>
              <c:f>Erdgas!$AF$13:$AK$13</c:f>
              <c:numCache>
                <c:formatCode>General</c:formatCode>
                <c:ptCount val="6"/>
                <c:pt idx="0">
                  <c:v>15048.089657532269</c:v>
                </c:pt>
                <c:pt idx="1">
                  <c:v>16226.034049588799</c:v>
                </c:pt>
                <c:pt idx="2">
                  <c:v>15405.04917850946</c:v>
                </c:pt>
                <c:pt idx="3">
                  <c:v>12453.17451525314</c:v>
                </c:pt>
                <c:pt idx="4">
                  <c:v>5147.8333350546627</c:v>
                </c:pt>
                <c:pt idx="5">
                  <c:v>1327.485688405879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7B-4C60-A794-2E28729D1448}"/>
            </c:ext>
          </c:extLst>
        </c:ser>
        <c:ser>
          <c:idx val="9"/>
          <c:order val="8"/>
          <c:tx>
            <c:strRef>
              <c:f>Erdgas!$AC$5</c:f>
              <c:strCache>
                <c:ptCount val="1"/>
                <c:pt idx="0">
                  <c:v>Direct reduction CH4</c:v>
                </c:pt>
              </c:strCache>
            </c:strRef>
          </c:tx>
          <c:spPr>
            <a:ln w="25400">
              <a:noFill/>
            </a:ln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Erdgas!$AF$3:$AL$3</c15:sqref>
                  </c15:fullRef>
                </c:ext>
              </c:extLst>
              <c:f>Erdgas!$AF$3:$AK$3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Erdgas!$AF$5:$AL$5</c15:sqref>
                  </c15:fullRef>
                </c:ext>
              </c:extLst>
              <c:f>Erdgas!$AF$5:$AK$5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3-4544-8441-08A0BA5EE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49664"/>
        <c:axId val="409273472"/>
      </c:areaChart>
      <c:catAx>
        <c:axId val="40964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273472"/>
        <c:crosses val="autoZero"/>
        <c:auto val="1"/>
        <c:lblAlgn val="ctr"/>
        <c:lblOffset val="100"/>
        <c:noMultiLvlLbl val="0"/>
      </c:catAx>
      <c:valAx>
        <c:axId val="409273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Natural gas demand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649664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3966723253303659"/>
          <c:y val="0"/>
          <c:w val="0.33978494623655919"/>
          <c:h val="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Erdgas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Erdgas!$M$3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64A6-4FF7-9E9B-51C42BB5C0A6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64A6-4FF7-9E9B-51C42BB5C0A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5-64A6-4FF7-9E9B-51C42BB5C0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64A6-4FF7-9E9B-51C42BB5C0A6}"/>
              </c:ext>
            </c:extLst>
          </c:dPt>
          <c:dPt>
            <c:idx val="4"/>
            <c:bubble3D val="0"/>
            <c:spPr>
              <a:solidFill>
                <a:schemeClr val="accent5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64A6-4FF7-9E9B-51C42BB5C0A6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0-64A6-4FF7-9E9B-51C42BB5C0A6}"/>
              </c:ext>
            </c:extLst>
          </c:dPt>
          <c:cat>
            <c:strRef>
              <c:f>Erdgas!$D$4:$D$9</c:f>
              <c:strCache>
                <c:ptCount val="6"/>
                <c:pt idx="0">
                  <c:v>Fos. Erdgas</c:v>
                </c:pt>
                <c:pt idx="1">
                  <c:v>Nicht energetischer Verbrauch fossil</c:v>
                </c:pt>
                <c:pt idx="2">
                  <c:v>Biomethan nicht-energetisch</c:v>
                </c:pt>
                <c:pt idx="3">
                  <c:v>SNG</c:v>
                </c:pt>
                <c:pt idx="4">
                  <c:v>Biomethan</c:v>
                </c:pt>
                <c:pt idx="5">
                  <c:v>Import-SNG</c:v>
                </c:pt>
              </c:strCache>
            </c:strRef>
          </c:cat>
          <c:val>
            <c:numRef>
              <c:f>Erdgas!$M$4:$M$9</c:f>
              <c:numCache>
                <c:formatCode>General</c:formatCode>
                <c:ptCount val="6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978315972222225"/>
          <c:y val="0.29540036181713702"/>
          <c:w val="0.4502168402777777"/>
          <c:h val="0.5168995206151665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27291666666667"/>
          <c:y val="6.1460416666666663E-2"/>
          <c:w val="0.46539304485259808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Erdgas!$D$4</c:f>
              <c:strCache>
                <c:ptCount val="1"/>
                <c:pt idx="0">
                  <c:v>Fos. Erdgas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Erdgas!$G$3:$M$3</c15:sqref>
                  </c15:fullRef>
                </c:ext>
              </c:extLst>
              <c:f>Erdgas!$G$3:$L$3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Erdgas!$G$4:$M$4</c15:sqref>
                  </c15:fullRef>
                </c:ext>
              </c:extLst>
              <c:f>Erdgas!$G$4:$L$4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B-4487-8108-A79AE5222750}"/>
            </c:ext>
          </c:extLst>
        </c:ser>
        <c:ser>
          <c:idx val="4"/>
          <c:order val="1"/>
          <c:tx>
            <c:strRef>
              <c:f>Erdgas!$D$5</c:f>
              <c:strCache>
                <c:ptCount val="1"/>
                <c:pt idx="0">
                  <c:v>Nicht energetischer Verbrauch fossil</c:v>
                </c:pt>
              </c:strCache>
            </c:strRef>
          </c:tx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Erdgas!$G$5:$M$5</c15:sqref>
                  </c15:fullRef>
                </c:ext>
              </c:extLst>
              <c:f>Erdgas!$G$5:$L$5</c:f>
              <c:numCache>
                <c:formatCode>General</c:formatCode>
                <c:ptCount val="6"/>
                <c:pt idx="0">
                  <c:v>19803.66776795328</c:v>
                </c:pt>
                <c:pt idx="1">
                  <c:v>21568.72636301296</c:v>
                </c:pt>
                <c:pt idx="2">
                  <c:v>41835.651712141582</c:v>
                </c:pt>
                <c:pt idx="3">
                  <c:v>75323.983151658715</c:v>
                </c:pt>
                <c:pt idx="4">
                  <c:v>128551.2845284192</c:v>
                </c:pt>
                <c:pt idx="5">
                  <c:v>17160.268269532378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D-4445-9376-D6F657ED1201}"/>
            </c:ext>
          </c:extLst>
        </c:ser>
        <c:ser>
          <c:idx val="1"/>
          <c:order val="2"/>
          <c:tx>
            <c:strRef>
              <c:f>Erdgas!$D$14</c:f>
              <c:strCache>
                <c:ptCount val="1"/>
                <c:pt idx="0">
                  <c:v>Biomethan energetisch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Erdgas!$G$3:$M$3</c15:sqref>
                  </c15:fullRef>
                </c:ext>
              </c:extLst>
              <c:f>Erdgas!$G$3:$L$3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Erdgas!$G$14:$M$14</c15:sqref>
                  </c15:fullRef>
                </c:ext>
              </c:extLst>
              <c:f>Erdgas!$G$14:$L$14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651200"/>
        <c:axId val="409276928"/>
        <c:extLst>
          <c:ext xmlns:c15="http://schemas.microsoft.com/office/drawing/2012/chart" uri="{02D57815-91ED-43cb-92C2-25804820EDAC}">
            <c15:filteredBa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Erdgas!$D$7</c15:sqref>
                        </c15:formulaRef>
                      </c:ext>
                    </c:extLst>
                    <c:strCache>
                      <c:ptCount val="1"/>
                      <c:pt idx="0">
                        <c:v>SNG</c:v>
                      </c:pt>
                    </c:strCache>
                  </c:strRef>
                </c:tx>
                <c:spPr>
                  <a:solidFill>
                    <a:schemeClr val="bg1">
                      <a:lumMod val="50000"/>
                    </a:schemeClr>
                  </a:solidFill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Erdgas!$G$3:$M$3</c15:sqref>
                        </c15:fullRef>
                        <c15:formulaRef>
                          <c15:sqref>Erdgas!$G$3:$L$3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Erdgas!$G$7:$M$7</c15:sqref>
                        </c15:fullRef>
                        <c15:formulaRef>
                          <c15:sqref>Erdgas!$G$7:$L$7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95B-4487-8108-A79AE5222750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Erdgas!$D$9</c15:sqref>
                        </c15:formulaRef>
                      </c:ext>
                    </c:extLst>
                    <c:strCache>
                      <c:ptCount val="1"/>
                      <c:pt idx="0">
                        <c:v>Import-SNG</c:v>
                      </c:pt>
                    </c:strCache>
                  </c:strRef>
                </c:tx>
                <c:spPr>
                  <a:ln w="25400">
                    <a:noFill/>
                  </a:ln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Erdgas!$G$3:$M$3</c15:sqref>
                        </c15:fullRef>
                        <c15:formulaRef>
                          <c15:sqref>Erdgas!$G$3:$L$3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Erdgas!$G$9:$M$9</c15:sqref>
                        </c15:fullRef>
                        <c15:formulaRef>
                          <c15:sqref>Erdgas!$G$9:$L$9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6BC-47E0-93FA-D1469D41A67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Erdgas!$E$6</c15:sqref>
                        </c15:formulaRef>
                      </c:ext>
                    </c:extLst>
                    <c:strCache>
                      <c:ptCount val="1"/>
                      <c:pt idx="0">
                        <c:v>Bio methane non-energetic</c:v>
                      </c:pt>
                    </c:strCache>
                  </c:strRef>
                </c:tx>
                <c:spPr>
                  <a:pattFill prst="dkDnDiag">
                    <a:fgClr>
                      <a:srgbClr val="00B050"/>
                    </a:fgClr>
                    <a:bgClr>
                      <a:schemeClr val="bg1"/>
                    </a:bgClr>
                  </a:pattFill>
                </c:spPr>
                <c:invertIfNegative val="0"/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Erdgas!$G$6:$M$6</c15:sqref>
                        </c15:fullRef>
                        <c15:formulaRef>
                          <c15:sqref>Erdgas!$G$6:$L$6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0BB-4C2F-8E33-2ED2D79D59D9}"/>
                  </c:ext>
                </c:extLst>
              </c15:ser>
            </c15:filteredBarSeries>
          </c:ext>
        </c:extLst>
      </c:barChart>
      <c:catAx>
        <c:axId val="40965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276928"/>
        <c:crosses val="autoZero"/>
        <c:auto val="1"/>
        <c:lblAlgn val="ctr"/>
        <c:lblOffset val="100"/>
        <c:noMultiLvlLbl val="0"/>
      </c:catAx>
      <c:valAx>
        <c:axId val="409276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Erdgas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65120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10283196193448"/>
          <c:y val="0.17945786767313798"/>
          <c:w val="0.24897163588137552"/>
          <c:h val="0.8205421323268620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Erdgasnachfrage</a:t>
            </a:r>
            <a:r>
              <a:rPr lang="de-DE" sz="1600" baseline="0"/>
              <a:t> in </a:t>
            </a:r>
            <a:r>
              <a:rPr lang="de-DE" sz="1600"/>
              <a:t>2050</a:t>
            </a:r>
          </a:p>
        </c:rich>
      </c:tx>
      <c:layout>
        <c:manualLayout>
          <c:xMode val="edge"/>
          <c:yMode val="edge"/>
          <c:x val="0.1414234375"/>
          <c:y val="0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Erdgas!$Y$3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0510-45FD-ACCE-67EF7B747517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2-0510-45FD-ACCE-67EF7B747517}"/>
              </c:ext>
            </c:extLst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0510-45FD-ACCE-67EF7B7475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4-0510-45FD-ACCE-67EF7B747517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0510-45FD-ACCE-67EF7B747517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0510-45FD-ACCE-67EF7B747517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0-0510-45FD-ACCE-67EF7B747517}"/>
              </c:ext>
            </c:extLst>
          </c:dPt>
          <c:cat>
            <c:strRef>
              <c:f>Erdgas!$P$38:$P$42</c:f>
              <c:strCache>
                <c:ptCount val="5"/>
                <c:pt idx="0">
                  <c:v>Transport</c:v>
                </c:pt>
                <c:pt idx="1">
                  <c:v>Gebäude</c:v>
                </c:pt>
                <c:pt idx="2">
                  <c:v>Industrie</c:v>
                </c:pt>
                <c:pt idx="3">
                  <c:v>NE Industrie</c:v>
                </c:pt>
                <c:pt idx="4">
                  <c:v>Energie</c:v>
                </c:pt>
              </c:strCache>
            </c:strRef>
          </c:cat>
          <c:val>
            <c:numRef>
              <c:f>Erdgas!$Y$38:$Y$42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239556970655963"/>
          <c:y val="9.7292989751709497E-2"/>
          <c:w val="0.35069838494301969"/>
          <c:h val="0.72506253402959731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689974028153975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Erdgas!$P$38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Erdgas!$S$3:$Y$3</c15:sqref>
                  </c15:fullRef>
                </c:ext>
              </c:extLst>
              <c:f>Erdgas!$S$3:$X$3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Erdgas!$S$38:$Y$38</c15:sqref>
                  </c15:fullRef>
                </c:ext>
              </c:extLst>
              <c:f>Erdgas!$S$38:$X$38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2"/>
          <c:order val="1"/>
          <c:tx>
            <c:strRef>
              <c:f>Erdgas!$P$39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Erdgas!$S$3:$Y$3</c15:sqref>
                  </c15:fullRef>
                </c:ext>
              </c:extLst>
              <c:f>Erdgas!$S$3:$X$3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Erdgas!$S$39:$Y$39</c15:sqref>
                  </c15:fullRef>
                </c:ext>
              </c:extLst>
              <c:f>Erdgas!$S$39:$X$39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0-4CB6-965E-85D93A605FF7}"/>
            </c:ext>
          </c:extLst>
        </c:ser>
        <c:ser>
          <c:idx val="3"/>
          <c:order val="2"/>
          <c:tx>
            <c:strRef>
              <c:f>Erdgas!$P$40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Erdgas!$S$3:$Y$3</c15:sqref>
                  </c15:fullRef>
                </c:ext>
              </c:extLst>
              <c:f>Erdgas!$S$3:$X$3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Erdgas!$S$40:$Y$40</c15:sqref>
                  </c15:fullRef>
                </c:ext>
              </c:extLst>
              <c:f>Erdgas!$S$40:$X$40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0-4CB6-965E-85D93A605FF7}"/>
            </c:ext>
          </c:extLst>
        </c:ser>
        <c:ser>
          <c:idx val="4"/>
          <c:order val="3"/>
          <c:tx>
            <c:strRef>
              <c:f>Erdgas!$P$41</c:f>
              <c:strCache>
                <c:ptCount val="1"/>
                <c:pt idx="0">
                  <c:v>NE Industrie</c:v>
                </c:pt>
              </c:strCache>
            </c:strRef>
          </c:tx>
          <c:invertIfNegative val="0"/>
          <c:cat>
            <c:strLit>
              <c:ptCount val="6"/>
              <c:pt idx="0">
                <c:v>2020</c:v>
              </c:pt>
              <c:pt idx="1">
                <c:v>2025</c:v>
              </c:pt>
              <c:pt idx="2">
                <c:v>2030</c:v>
              </c:pt>
              <c:pt idx="3">
                <c:v>2035</c:v>
              </c:pt>
              <c:pt idx="4">
                <c:v>2040</c:v>
              </c:pt>
              <c:pt idx="5">
                <c:v>2045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Erdgas!$S$41:$Y$41</c15:sqref>
                  </c15:fullRef>
                </c:ext>
              </c:extLst>
              <c:f>Erdgas!$S$41:$X$41</c:f>
              <c:numCache>
                <c:formatCode>General</c:formatCode>
                <c:ptCount val="6"/>
                <c:pt idx="0">
                  <c:v>19605.631090273793</c:v>
                </c:pt>
                <c:pt idx="1">
                  <c:v>21353.03909938287</c:v>
                </c:pt>
                <c:pt idx="2">
                  <c:v>41417.295195019949</c:v>
                </c:pt>
                <c:pt idx="3">
                  <c:v>74570.743320142297</c:v>
                </c:pt>
                <c:pt idx="4">
                  <c:v>127265.77168313506</c:v>
                </c:pt>
                <c:pt idx="5">
                  <c:v>16988.665586837102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60-409C-89BF-F5B81CE5622F}"/>
            </c:ext>
          </c:extLst>
        </c:ser>
        <c:ser>
          <c:idx val="0"/>
          <c:order val="4"/>
          <c:tx>
            <c:strRef>
              <c:f>Erdgas!$P$42</c:f>
              <c:strCache>
                <c:ptCount val="1"/>
                <c:pt idx="0">
                  <c:v>Energie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Erdgas!$S$3:$Y$3</c15:sqref>
                  </c15:fullRef>
                </c:ext>
              </c:extLst>
              <c:f>Erdgas!$S$3:$X$3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Erdgas!$S$42:$Y$42</c15:sqref>
                  </c15:fullRef>
                </c:ext>
              </c:extLst>
              <c:f>Erdgas!$S$42:$X$42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3C-4DF1-97DB-FD81F7A9F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531904"/>
        <c:axId val="409460736"/>
      </c:barChart>
      <c:catAx>
        <c:axId val="40953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460736"/>
        <c:crosses val="autoZero"/>
        <c:auto val="1"/>
        <c:lblAlgn val="ctr"/>
        <c:lblOffset val="100"/>
        <c:noMultiLvlLbl val="0"/>
      </c:catAx>
      <c:valAx>
        <c:axId val="409460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Erdgasnachfrage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53190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0408406523472356"/>
          <c:y val="0.19996766926922052"/>
          <c:w val="0.15052448989870509"/>
          <c:h val="0.5332177155952476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6899740281539759"/>
          <c:h val="0.62354548611111116"/>
        </c:manualLayout>
      </c:layout>
      <c:areaChart>
        <c:grouping val="stacked"/>
        <c:varyColors val="0"/>
        <c:ser>
          <c:idx val="1"/>
          <c:order val="0"/>
          <c:tx>
            <c:strRef>
              <c:f>Erdgas!$AR$4</c:f>
              <c:strCache>
                <c:ptCount val="1"/>
                <c:pt idx="0">
                  <c:v>CCCHP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cat>
            <c:numRef>
              <c:f>Erdgas!$AT$3:$AZ$3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Erdgas!$AT$4:$AZ$4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Erdgas!$AR$5</c:f>
              <c:strCache>
                <c:ptCount val="1"/>
                <c:pt idx="0">
                  <c:v>CCPP</c:v>
                </c:pt>
              </c:strCache>
            </c:strRef>
          </c:tx>
          <c:spPr>
            <a:ln w="25400">
              <a:noFill/>
            </a:ln>
          </c:spPr>
          <c:cat>
            <c:numRef>
              <c:f>Erdgas!$AT$3:$AZ$3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Erdgas!$AT$5:$AZ$5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A-4C45-8B0B-3E4D7125856D}"/>
            </c:ext>
          </c:extLst>
        </c:ser>
        <c:ser>
          <c:idx val="2"/>
          <c:order val="2"/>
          <c:tx>
            <c:strRef>
              <c:f>Erdgas!$AR$6</c:f>
              <c:strCache>
                <c:ptCount val="1"/>
                <c:pt idx="0">
                  <c:v>CCS</c:v>
                </c:pt>
              </c:strCache>
            </c:strRef>
          </c:tx>
          <c:spPr>
            <a:ln w="25400">
              <a:noFill/>
            </a:ln>
          </c:spPr>
          <c:cat>
            <c:numRef>
              <c:f>Erdgas!$AT$3:$AZ$3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Erdgas!$AT$6:$AZ$6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A-4C45-8B0B-3E4D7125856D}"/>
            </c:ext>
          </c:extLst>
        </c:ser>
        <c:ser>
          <c:idx val="3"/>
          <c:order val="3"/>
          <c:tx>
            <c:strRef>
              <c:f>Erdgas!$AR$7</c:f>
              <c:strCache>
                <c:ptCount val="1"/>
                <c:pt idx="0">
                  <c:v>CHP</c:v>
                </c:pt>
              </c:strCache>
            </c:strRef>
          </c:tx>
          <c:spPr>
            <a:ln w="25400">
              <a:noFill/>
            </a:ln>
          </c:spPr>
          <c:cat>
            <c:numRef>
              <c:f>Erdgas!$AT$3:$AZ$3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Erdgas!$AT$7:$AZ$7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A-4C45-8B0B-3E4D7125856D}"/>
            </c:ext>
          </c:extLst>
        </c:ser>
        <c:ser>
          <c:idx val="4"/>
          <c:order val="4"/>
          <c:tx>
            <c:strRef>
              <c:f>Erdgas!$AR$8</c:f>
              <c:strCache>
                <c:ptCount val="1"/>
                <c:pt idx="0">
                  <c:v>HP</c:v>
                </c:pt>
              </c:strCache>
            </c:strRef>
          </c:tx>
          <c:spPr>
            <a:ln w="25400">
              <a:noFill/>
            </a:ln>
          </c:spPr>
          <c:cat>
            <c:numRef>
              <c:f>Erdgas!$AT$3:$AZ$3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Erdgas!$AT$8:$AZ$8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A-4C45-8B0B-3E4D7125856D}"/>
            </c:ext>
          </c:extLst>
        </c:ser>
        <c:ser>
          <c:idx val="5"/>
          <c:order val="5"/>
          <c:tx>
            <c:strRef>
              <c:f>Erdgas!$AR$9</c:f>
              <c:strCache>
                <c:ptCount val="1"/>
                <c:pt idx="0">
                  <c:v>PP</c:v>
                </c:pt>
              </c:strCache>
            </c:strRef>
          </c:tx>
          <c:spPr>
            <a:ln w="25400">
              <a:noFill/>
            </a:ln>
          </c:spPr>
          <c:cat>
            <c:numRef>
              <c:f>Erdgas!$AT$3:$AZ$3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Erdgas!$AT$9:$AZ$9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A-4C45-8B0B-3E4D7125856D}"/>
            </c:ext>
          </c:extLst>
        </c:ser>
        <c:ser>
          <c:idx val="6"/>
          <c:order val="6"/>
          <c:tx>
            <c:strRef>
              <c:f>Erdgas!$AR$10</c:f>
              <c:strCache>
                <c:ptCount val="1"/>
                <c:pt idx="0">
                  <c:v>LS-Reformer</c:v>
                </c:pt>
              </c:strCache>
            </c:strRef>
          </c:tx>
          <c:spPr>
            <a:ln w="25400">
              <a:noFill/>
            </a:ln>
          </c:spPr>
          <c:cat>
            <c:numRef>
              <c:f>Erdgas!$AT$3:$AZ$3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Erdgas!$AT$10:$AZ$10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A-4C45-8B0B-3E4D7125856D}"/>
            </c:ext>
          </c:extLst>
        </c:ser>
        <c:ser>
          <c:idx val="7"/>
          <c:order val="7"/>
          <c:tx>
            <c:strRef>
              <c:f>Erdgas!$AR$11</c:f>
              <c:strCache>
                <c:ptCount val="1"/>
                <c:pt idx="0">
                  <c:v>SS-Reformer</c:v>
                </c:pt>
              </c:strCache>
            </c:strRef>
          </c:tx>
          <c:spPr>
            <a:ln w="25400">
              <a:noFill/>
            </a:ln>
          </c:spPr>
          <c:cat>
            <c:numRef>
              <c:f>Erdgas!$AT$3:$AZ$3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Erdgas!$AT$11:$AZ$11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A-4C45-8B0B-3E4D7125856D}"/>
            </c:ext>
          </c:extLst>
        </c:ser>
        <c:ser>
          <c:idx val="8"/>
          <c:order val="8"/>
          <c:tx>
            <c:strRef>
              <c:f>Erdgas!$AR$13</c:f>
              <c:strCache>
                <c:ptCount val="1"/>
                <c:pt idx="0">
                  <c:v>CH4 Pyrolysis</c:v>
                </c:pt>
              </c:strCache>
            </c:strRef>
          </c:tx>
          <c:spPr>
            <a:ln w="25400">
              <a:noFill/>
            </a:ln>
          </c:spPr>
          <c:cat>
            <c:numRef>
              <c:f>Erdgas!$AT$3:$AZ$3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Erdgas!$AT$13:$AZ$13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5-41B6-AF04-DF0415773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33440"/>
        <c:axId val="409465344"/>
      </c:areaChart>
      <c:catAx>
        <c:axId val="40953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465344"/>
        <c:crosses val="autoZero"/>
        <c:auto val="1"/>
        <c:lblAlgn val="ctr"/>
        <c:lblOffset val="100"/>
        <c:noMultiLvlLbl val="0"/>
      </c:catAx>
      <c:valAx>
        <c:axId val="409465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Erdgasbedarf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533440"/>
        <c:crosses val="autoZero"/>
        <c:crossBetween val="midCat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3966723253303659"/>
          <c:y val="0"/>
          <c:w val="0.26626080238571148"/>
          <c:h val="0.84977357358417305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689974028153975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Erdgas!$Q$92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25400">
              <a:noFill/>
            </a:ln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Erdgas!$T$92:$Y$92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2"/>
          <c:order val="1"/>
          <c:tx>
            <c:strRef>
              <c:f>Erdgas!$Q$93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Erdgas!$T$93:$Y$93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0-4CB6-965E-85D93A605FF7}"/>
            </c:ext>
          </c:extLst>
        </c:ser>
        <c:ser>
          <c:idx val="3"/>
          <c:order val="2"/>
          <c:tx>
            <c:strRef>
              <c:f>Erdgas!$Q$94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25400">
              <a:noFill/>
            </a:ln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Erdgas!$T$94:$Y$94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0-4CB6-965E-85D93A605FF7}"/>
            </c:ext>
          </c:extLst>
        </c:ser>
        <c:ser>
          <c:idx val="0"/>
          <c:order val="3"/>
          <c:tx>
            <c:strRef>
              <c:f>Erdgas!$Q$95</c:f>
              <c:strCache>
                <c:ptCount val="1"/>
                <c:pt idx="0">
                  <c:v>Energy - Power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Erdgas!$T$95:$Y$95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8-48D8-848E-B33087BE3037}"/>
            </c:ext>
          </c:extLst>
        </c:ser>
        <c:ser>
          <c:idx val="4"/>
          <c:order val="4"/>
          <c:tx>
            <c:strRef>
              <c:f>Erdgas!$Q$96</c:f>
              <c:strCache>
                <c:ptCount val="1"/>
                <c:pt idx="0">
                  <c:v>Energy - CHP</c:v>
                </c:pt>
              </c:strCache>
            </c:strRef>
          </c:tx>
          <c:spPr>
            <a:pattFill prst="ltDnDiag">
              <a:fgClr>
                <a:schemeClr val="accent6"/>
              </a:fgClr>
              <a:bgClr>
                <a:schemeClr val="accent4"/>
              </a:bgClr>
            </a:pattFill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Erdgas!$T$96:$Y$96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B8-48D8-848E-B33087BE3037}"/>
            </c:ext>
          </c:extLst>
        </c:ser>
        <c:ser>
          <c:idx val="5"/>
          <c:order val="5"/>
          <c:tx>
            <c:strRef>
              <c:f>Erdgas!$Q$97</c:f>
              <c:strCache>
                <c:ptCount val="1"/>
                <c:pt idx="0">
                  <c:v>Energy - Heat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Erdgas!$T$97:$Y$97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B8-48D8-848E-B33087BE3037}"/>
            </c:ext>
          </c:extLst>
        </c:ser>
        <c:ser>
          <c:idx val="6"/>
          <c:order val="6"/>
          <c:tx>
            <c:strRef>
              <c:f>Erdgas!$Q$98</c:f>
              <c:strCache>
                <c:ptCount val="1"/>
                <c:pt idx="0">
                  <c:v>Energy - Reformer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Erdgas!$T$98:$Y$98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B8-48D8-848E-B33087BE3037}"/>
            </c:ext>
          </c:extLst>
        </c:ser>
        <c:ser>
          <c:idx val="7"/>
          <c:order val="7"/>
          <c:tx>
            <c:strRef>
              <c:f>Erdgas!$Q$99</c:f>
              <c:strCache>
                <c:ptCount val="1"/>
                <c:pt idx="0">
                  <c:v>Energy - Pyrolysis</c:v>
                </c:pt>
              </c:strCache>
            </c:strRef>
          </c:tx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Erdgas!$T$99:$Y$99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C-4F38-A8B1-AA5A492FD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053120"/>
        <c:axId val="409467648"/>
      </c:barChart>
      <c:catAx>
        <c:axId val="41005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467648"/>
        <c:crosses val="autoZero"/>
        <c:auto val="1"/>
        <c:lblAlgn val="ctr"/>
        <c:lblOffset val="100"/>
        <c:noMultiLvlLbl val="0"/>
      </c:catAx>
      <c:valAx>
        <c:axId val="409467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Natural gas demand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005312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8194077899351868"/>
          <c:y val="5.735890737591387E-2"/>
          <c:w val="0.30924039370657552"/>
          <c:h val="0.8550001757917999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01388888889"/>
          <c:y val="6.1460416666666663E-2"/>
          <c:w val="0.4689974028153975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Erdgas!$P$92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25400">
              <a:noFill/>
            </a:ln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Erdgas!$T$92:$Y$92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2"/>
          <c:order val="1"/>
          <c:tx>
            <c:strRef>
              <c:f>Erdgas!$P$93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Erdgas!$T$93:$Y$93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0-4CB6-965E-85D93A605FF7}"/>
            </c:ext>
          </c:extLst>
        </c:ser>
        <c:ser>
          <c:idx val="3"/>
          <c:order val="2"/>
          <c:tx>
            <c:strRef>
              <c:f>Erdgas!$P$94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25400">
              <a:noFill/>
            </a:ln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Erdgas!$T$94:$Y$94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0-4CB6-965E-85D93A605FF7}"/>
            </c:ext>
          </c:extLst>
        </c:ser>
        <c:ser>
          <c:idx val="0"/>
          <c:order val="3"/>
          <c:tx>
            <c:strRef>
              <c:f>Erdgas!$P$95</c:f>
              <c:strCache>
                <c:ptCount val="1"/>
                <c:pt idx="0">
                  <c:v>Energie - Strom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Erdgas!$T$95:$Y$95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4-4894-A2E3-AE7FFA60E96D}"/>
            </c:ext>
          </c:extLst>
        </c:ser>
        <c:ser>
          <c:idx val="4"/>
          <c:order val="4"/>
          <c:tx>
            <c:strRef>
              <c:f>Erdgas!$P$96</c:f>
              <c:strCache>
                <c:ptCount val="1"/>
                <c:pt idx="0">
                  <c:v>Energie - KWK</c:v>
                </c:pt>
              </c:strCache>
            </c:strRef>
          </c:tx>
          <c:spPr>
            <a:pattFill prst="ltDnDiag">
              <a:fgClr>
                <a:schemeClr val="accent6"/>
              </a:fgClr>
              <a:bgClr>
                <a:schemeClr val="accent4"/>
              </a:bgClr>
            </a:pattFill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Erdgas!$T$96:$Y$96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D4-4894-A2E3-AE7FFA60E96D}"/>
            </c:ext>
          </c:extLst>
        </c:ser>
        <c:ser>
          <c:idx val="5"/>
          <c:order val="5"/>
          <c:tx>
            <c:strRef>
              <c:f>Erdgas!$P$97</c:f>
              <c:strCache>
                <c:ptCount val="1"/>
                <c:pt idx="0">
                  <c:v>Energie - Wärme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Erdgas!$T$97:$Y$97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D4-4894-A2E3-AE7FFA60E96D}"/>
            </c:ext>
          </c:extLst>
        </c:ser>
        <c:ser>
          <c:idx val="6"/>
          <c:order val="6"/>
          <c:tx>
            <c:strRef>
              <c:f>Erdgas!$P$98</c:f>
              <c:strCache>
                <c:ptCount val="1"/>
                <c:pt idx="0">
                  <c:v>Energie - Reformer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Erdgas!$T$98:$Y$98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D4-4894-A2E3-AE7FFA60E96D}"/>
            </c:ext>
          </c:extLst>
        </c:ser>
        <c:ser>
          <c:idx val="7"/>
          <c:order val="7"/>
          <c:tx>
            <c:strRef>
              <c:f>Erdgas!$P$99</c:f>
              <c:strCache>
                <c:ptCount val="1"/>
                <c:pt idx="0">
                  <c:v>Energie - Pyrolyse</c:v>
                </c:pt>
              </c:strCache>
            </c:strRef>
          </c:tx>
          <c:invertIfNegative val="0"/>
          <c:cat>
            <c:numRef>
              <c:f>Erdgas!$T$3:$Y$3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Erdgas!$T$99:$Y$99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2-44D8-8BE8-43B518B99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144768"/>
        <c:axId val="409953408"/>
      </c:barChart>
      <c:catAx>
        <c:axId val="41014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953408"/>
        <c:crosses val="autoZero"/>
        <c:auto val="1"/>
        <c:lblAlgn val="ctr"/>
        <c:lblOffset val="100"/>
        <c:noMultiLvlLbl val="0"/>
      </c:catAx>
      <c:valAx>
        <c:axId val="409953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Erdgasnachfrage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014476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7590170092773549"/>
          <c:y val="7.1374527552525685E-2"/>
          <c:w val="0.31820395455593942"/>
          <c:h val="0.85202758298518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3194444444445"/>
          <c:y val="6.1460416666666663E-2"/>
          <c:w val="0.4469239583333333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Inst. Kapazitäten'!$E$4</c:f>
              <c:strCache>
                <c:ptCount val="1"/>
                <c:pt idx="0">
                  <c:v>Straw Gasification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</c:spPr>
          <c:invertIfNegative val="0"/>
          <c:cat>
            <c:strRef>
              <c:f>'Wasserstoff - Inst. Kapazitäten'!$H$3:$N$3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Inst. Kapazitäten'!$H$4:$N$4</c:f>
              <c:numCache>
                <c:formatCode>General</c:formatCode>
                <c:ptCount val="7"/>
                <c:pt idx="0" formatCode="@">
                  <c:v>#N/A</c:v>
                </c:pt>
                <c:pt idx="1">
                  <c:v>#N/A</c:v>
                </c:pt>
                <c:pt idx="2" formatCode="@">
                  <c:v>#N/A</c:v>
                </c:pt>
                <c:pt idx="3" formatCode="@">
                  <c:v>#N/A</c:v>
                </c:pt>
                <c:pt idx="4" formatCode="@">
                  <c:v>#N/A</c:v>
                </c:pt>
                <c:pt idx="5" formatCode="@">
                  <c:v>#N/A</c:v>
                </c:pt>
                <c:pt idx="6" formatCode="@">
                  <c:v>4.164096196956492E-4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Inst. Kapazitäten'!$E$5</c:f>
              <c:strCache>
                <c:ptCount val="1"/>
                <c:pt idx="0">
                  <c:v>Wood Gasification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'Wasserstoff - Inst. Kapazitäten'!$H$3:$N$3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Inst. Kapazitäten'!$H$5:$N$5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 formatCode="General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4.2460650565410529E-4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6-452C-B03C-FB4AB8777077}"/>
            </c:ext>
          </c:extLst>
        </c:ser>
        <c:ser>
          <c:idx val="3"/>
          <c:order val="5"/>
          <c:tx>
            <c:strRef>
              <c:f>'Wasserstoff - Inst. Kapazitäten'!$E$9</c:f>
              <c:strCache>
                <c:ptCount val="1"/>
                <c:pt idx="0">
                  <c:v>Electrolysis (LS)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strRef>
              <c:f>'Wasserstoff - Inst. Kapazitäten'!$H$3:$N$3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Inst. Kapazitäten'!$H$9:$N$9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35.209647887630183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B6-452C-B03C-FB4AB8777077}"/>
            </c:ext>
          </c:extLst>
        </c:ser>
        <c:ser>
          <c:idx val="4"/>
          <c:order val="6"/>
          <c:tx>
            <c:strRef>
              <c:f>'Wasserstoff - Inst. Kapazitäten'!$E$10</c:f>
              <c:strCache>
                <c:ptCount val="1"/>
                <c:pt idx="0">
                  <c:v>Reformer (LS)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'Wasserstoff - Inst. Kapazitäten'!$H$3:$N$3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Inst. Kapazitäten'!$H$10:$N$10</c:f>
              <c:numCache>
                <c:formatCode>@</c:formatCode>
                <c:ptCount val="7"/>
                <c:pt idx="0" formatCode="General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B6-452C-B03C-FB4AB8777077}"/>
            </c:ext>
          </c:extLst>
        </c:ser>
        <c:ser>
          <c:idx val="6"/>
          <c:order val="7"/>
          <c:tx>
            <c:strRef>
              <c:f>'Wasserstoff - Inst. Kapazitäten'!$E$12</c:f>
              <c:strCache>
                <c:ptCount val="1"/>
                <c:pt idx="0">
                  <c:v>Electrolysis (SS)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'Wasserstoff - Inst. Kapazitäten'!$H$3:$N$3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Inst. Kapazitäten'!$H$12:$N$12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General">
                  <c:v>#N/A</c:v>
                </c:pt>
                <c:pt idx="5">
                  <c:v>#N/A</c:v>
                </c:pt>
                <c:pt idx="6">
                  <c:v>11.660211356748624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B6-452C-B03C-FB4AB8777077}"/>
            </c:ext>
          </c:extLst>
        </c:ser>
        <c:ser>
          <c:idx val="7"/>
          <c:order val="8"/>
          <c:tx>
            <c:strRef>
              <c:f>'Wasserstoff - Inst. Kapazitäten'!$E$13</c:f>
              <c:strCache>
                <c:ptCount val="1"/>
                <c:pt idx="0">
                  <c:v>Reformer (SS)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'Wasserstoff - Inst. Kapazitäten'!$H$3:$N$3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Inst. Kapazitäten'!$H$13:$N$13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 formatCode="General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B6-452C-B03C-FB4AB8777077}"/>
            </c:ext>
          </c:extLst>
        </c:ser>
        <c:ser>
          <c:idx val="8"/>
          <c:order val="9"/>
          <c:tx>
            <c:strRef>
              <c:f>'Wasserstoff - Inst. Kapazitäten'!$E$14</c:f>
              <c:strCache>
                <c:ptCount val="1"/>
                <c:pt idx="0">
                  <c:v>rSOC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'Wasserstoff - Inst. Kapazitäten'!$H$3:$N$3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Inst. Kapazitäten'!$H$14:$N$14</c:f>
              <c:numCache>
                <c:formatCode>@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2.6616181328386701E-4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B6-452C-B03C-FB4AB8777077}"/>
            </c:ext>
          </c:extLst>
        </c:ser>
        <c:ser>
          <c:idx val="5"/>
          <c:order val="10"/>
          <c:tx>
            <c:strRef>
              <c:f>'Wasserstoff - Inst. Kapazitäten'!$E$15</c:f>
              <c:strCache>
                <c:ptCount val="1"/>
                <c:pt idx="0">
                  <c:v>CH4 Pyrolysis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'Wasserstoff - Inst. Kapazitäten'!$H$3:$N$3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Inst. Kapazitäten'!$H$15:$N$15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7-4E0C-A3E2-C89C30351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801792"/>
        <c:axId val="409955712"/>
        <c:extLst>
          <c:ext xmlns:c15="http://schemas.microsoft.com/office/drawing/2012/chart" uri="{02D57815-91ED-43cb-92C2-25804820EDAC}">
            <c15:filteredBarSeries>
              <c15:ser>
                <c:idx val="9"/>
                <c:order val="2"/>
                <c:tx>
                  <c:strRef>
                    <c:extLst>
                      <c:ext uri="{02D57815-91ED-43cb-92C2-25804820EDAC}">
                        <c15:formulaRef>
                          <c15:sqref>'Wasserstoff - Inst. Kapazitäten'!$E$7</c15:sqref>
                        </c15:formulaRef>
                      </c:ext>
                    </c:extLst>
                    <c:strCache>
                      <c:ptCount val="1"/>
                      <c:pt idx="0">
                        <c:v>Import blue H2</c:v>
                      </c:pt>
                    </c:strCache>
                  </c:strRef>
                </c:tx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'Wasserstoff - Inst. Kapazitäten'!$H$7:$N$7</c15:sqref>
                        </c15:formulaRef>
                      </c:ext>
                    </c:extLst>
                    <c:numCache>
                      <c:formatCode>@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 formatCode="General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 formatCode="General">
                        <c:v>#N/A</c:v>
                      </c:pt>
                      <c:pt idx="6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9E2-4E4B-8974-3CB70A762C16}"/>
                  </c:ext>
                </c:extLst>
              </c15:ser>
            </c15:filteredBarSeries>
            <c15:filteredBa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Kapazitäten'!$E$6</c15:sqref>
                        </c15:formulaRef>
                      </c:ext>
                    </c:extLst>
                    <c:strCache>
                      <c:ptCount val="1"/>
                      <c:pt idx="0">
                        <c:v>Import green H2 ship</c:v>
                      </c:pt>
                    </c:strCache>
                  </c:strRef>
                </c:tx>
                <c:spPr>
                  <a:solidFill>
                    <a:srgbClr val="C00000"/>
                  </a:solidFill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Kapazitäten'!$H$3:$N$3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2045 48 Tage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Kapazitäten'!$H$6:$N$6</c15:sqref>
                        </c15:formulaRef>
                      </c:ext>
                    </c:extLst>
                    <c:numCache>
                      <c:formatCode>@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 formatCode="General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 formatCode="General">
                        <c:v>#N/A</c:v>
                      </c:pt>
                      <c:pt idx="6">
                        <c:v>31.900595985822179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AB6-452C-B03C-FB4AB8777077}"/>
                  </c:ext>
                </c:extLst>
              </c15:ser>
            </c15:filteredBarSeries>
            <c15:filteredBarSeries>
              <c15:ser>
                <c:idx val="1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Kapazitäten'!$E$8</c15:sqref>
                        </c15:formulaRef>
                      </c:ext>
                    </c:extLst>
                    <c:strCache>
                      <c:ptCount val="1"/>
                      <c:pt idx="0">
                        <c:v>Import green H2 pipeline</c:v>
                      </c:pt>
                    </c:strCache>
                  </c:strRef>
                </c:tx>
                <c:invertIfNegative val="0"/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Kapazitäten'!$H$8:$N$8</c15:sqref>
                        </c15:formulaRef>
                      </c:ext>
                    </c:extLst>
                    <c:numCache>
                      <c:formatCode>@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 formatCode="General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 formatCode="General">
                        <c:v>#N/A</c:v>
                      </c:pt>
                      <c:pt idx="6">
                        <c:v>17.090254830590041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9E2-4E4B-8974-3CB70A762C16}"/>
                  </c:ext>
                </c:extLst>
              </c15:ser>
            </c15:filteredBarSeries>
          </c:ext>
        </c:extLst>
      </c:barChart>
      <c:catAx>
        <c:axId val="40880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955712"/>
        <c:crosses val="autoZero"/>
        <c:auto val="1"/>
        <c:lblAlgn val="ctr"/>
        <c:lblOffset val="100"/>
        <c:noMultiLvlLbl val="0"/>
      </c:catAx>
      <c:valAx>
        <c:axId val="409955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hydrogen production capacities </a:t>
                </a:r>
                <a:r>
                  <a:rPr lang="de-DE" baseline="0"/>
                  <a:t>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@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80179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522170138888892"/>
          <c:y val="4.4048661631708097E-3"/>
          <c:w val="0.33477824988789573"/>
          <c:h val="0.94365999701023195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Installed hydrogen production capacities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1481818234466306E-2"/>
          <c:y val="0.25242015204136087"/>
          <c:w val="0.46254249361509908"/>
          <c:h val="0.69869566358443191"/>
        </c:manualLayout>
      </c:layout>
      <c:pieChart>
        <c:varyColors val="1"/>
        <c:ser>
          <c:idx val="0"/>
          <c:order val="0"/>
          <c:tx>
            <c:strRef>
              <c:f>'Wasserstoff - Inst. Kapazitäten'!$N$3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0-403E-4F5F-B135-0D24A7D63454}"/>
              </c:ext>
            </c:extLst>
          </c:dPt>
          <c:dPt>
            <c:idx val="1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403E-4F5F-B135-0D24A7D63454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6-403E-4F5F-B135-0D24A7D63454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2-403E-4F5F-B135-0D24A7D63454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3-403E-4F5F-B135-0D24A7D63454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403E-4F5F-B135-0D24A7D63454}"/>
              </c:ext>
            </c:extLst>
          </c:dPt>
          <c:dPt>
            <c:idx val="6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403E-4F5F-B135-0D24A7D63454}"/>
              </c:ext>
            </c:extLst>
          </c:dPt>
          <c:dPt>
            <c:idx val="7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403E-4F5F-B135-0D24A7D63454}"/>
              </c:ext>
            </c:extLst>
          </c:dPt>
          <c:dPt>
            <c:idx val="8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8-403E-4F5F-B135-0D24A7D63454}"/>
              </c:ext>
            </c:extLst>
          </c:dPt>
          <c:cat>
            <c:strRef>
              <c:f>'Wasserstoff - Inst. Kapazitäten'!$E$4:$E$14</c:f>
              <c:strCache>
                <c:ptCount val="11"/>
                <c:pt idx="0">
                  <c:v>Straw Gasification</c:v>
                </c:pt>
                <c:pt idx="1">
                  <c:v>Wood Gasification</c:v>
                </c:pt>
                <c:pt idx="2">
                  <c:v>Import green H2 ship</c:v>
                </c:pt>
                <c:pt idx="3">
                  <c:v>Import blue H2</c:v>
                </c:pt>
                <c:pt idx="4">
                  <c:v>Import green H2 pipeline</c:v>
                </c:pt>
                <c:pt idx="5">
                  <c:v>Electrolysis (LS)</c:v>
                </c:pt>
                <c:pt idx="6">
                  <c:v>Reformer (LS)</c:v>
                </c:pt>
                <c:pt idx="7">
                  <c:v>GasSwtichingReformer</c:v>
                </c:pt>
                <c:pt idx="8">
                  <c:v>Electrolysis (SS)</c:v>
                </c:pt>
                <c:pt idx="9">
                  <c:v>Reformer (SS)</c:v>
                </c:pt>
                <c:pt idx="10">
                  <c:v>rSOC</c:v>
                </c:pt>
              </c:strCache>
            </c:strRef>
          </c:cat>
          <c:val>
            <c:numRef>
              <c:f>'Wasserstoff - Inst. Kapazitäten'!$N$4:$N$14</c:f>
              <c:numCache>
                <c:formatCode>@</c:formatCode>
                <c:ptCount val="11"/>
                <c:pt idx="0">
                  <c:v>4.164096196956492E-4</c:v>
                </c:pt>
                <c:pt idx="1">
                  <c:v>4.2460650565410529E-4</c:v>
                </c:pt>
                <c:pt idx="2">
                  <c:v>31.900595985822179</c:v>
                </c:pt>
                <c:pt idx="3">
                  <c:v>#N/A</c:v>
                </c:pt>
                <c:pt idx="4">
                  <c:v>17.090254830590041</c:v>
                </c:pt>
                <c:pt idx="5">
                  <c:v>35.209647887630183</c:v>
                </c:pt>
                <c:pt idx="6">
                  <c:v>#N/A</c:v>
                </c:pt>
                <c:pt idx="7">
                  <c:v>#N/A</c:v>
                </c:pt>
                <c:pt idx="8">
                  <c:v>11.660211356748624</c:v>
                </c:pt>
                <c:pt idx="9">
                  <c:v>#N/A</c:v>
                </c:pt>
                <c:pt idx="10" formatCode="General">
                  <c:v>2.6616181328386701E-4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016180873674513"/>
          <c:y val="0.23563268533887186"/>
          <c:w val="0.4598381912632547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66874999999999"/>
          <c:y val="6.1460416666666663E-2"/>
          <c:w val="0.42708020833333332"/>
          <c:h val="0.62354548611111116"/>
        </c:manualLayout>
      </c:layout>
      <c:lineChart>
        <c:grouping val="standard"/>
        <c:varyColors val="0"/>
        <c:ser>
          <c:idx val="1"/>
          <c:order val="0"/>
          <c:tx>
            <c:strRef>
              <c:f>'Wasserstoff - Inst. Kapazitäten'!$E$4</c:f>
              <c:strCache>
                <c:ptCount val="1"/>
                <c:pt idx="0">
                  <c:v>Straw Gasification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Kapazitäten'!$W$4:$AB$4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296.98108986800867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Inst. Kapazitäten'!$E$5</c:f>
              <c:strCache>
                <c:ptCount val="1"/>
                <c:pt idx="0">
                  <c:v>Wood Gasification</c:v>
                </c:pt>
              </c:strCache>
            </c:strRef>
          </c:tx>
          <c:spPr>
            <a:ln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Kapazitäten'!$W$5:$AB$5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399.55666465097624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4B1A-B001-0AAEAAA27821}"/>
            </c:ext>
          </c:extLst>
        </c:ser>
        <c:ser>
          <c:idx val="2"/>
          <c:order val="2"/>
          <c:tx>
            <c:strRef>
              <c:f>'Wasserstoff - Inst. Kapazitäten'!$E$6</c:f>
              <c:strCache>
                <c:ptCount val="1"/>
                <c:pt idx="0">
                  <c:v>Import green H2 ship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Kapazitäten'!$W$6:$AB$6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8760.0000000000018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4B1A-B001-0AAEAAA27821}"/>
            </c:ext>
          </c:extLst>
        </c:ser>
        <c:ser>
          <c:idx val="3"/>
          <c:order val="3"/>
          <c:tx>
            <c:strRef>
              <c:f>'Wasserstoff - Inst. Kapazitäten'!$E$9</c:f>
              <c:strCache>
                <c:ptCount val="1"/>
                <c:pt idx="0">
                  <c:v>Electrolysis (LS)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Kapazitäten'!$W$7:$AB$7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1982.6580969048887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4B1A-B001-0AAEAAA27821}"/>
            </c:ext>
          </c:extLst>
        </c:ser>
        <c:ser>
          <c:idx val="4"/>
          <c:order val="4"/>
          <c:tx>
            <c:strRef>
              <c:f>'Wasserstoff - Inst. Kapazitäten'!$E$10</c:f>
              <c:strCache>
                <c:ptCount val="1"/>
                <c:pt idx="0">
                  <c:v>Reformer (LS)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Kapazitäten'!$W$8:$AB$8</c:f>
              <c:numCache>
                <c:formatCode>@</c:formatCode>
                <c:ptCount val="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4B1A-B001-0AAEAAA27821}"/>
            </c:ext>
          </c:extLst>
        </c:ser>
        <c:ser>
          <c:idx val="6"/>
          <c:order val="5"/>
          <c:tx>
            <c:strRef>
              <c:f>'Wasserstoff - Inst. Kapazitäten'!$E$12</c:f>
              <c:strCache>
                <c:ptCount val="1"/>
                <c:pt idx="0">
                  <c:v>Electrolysis (SS)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Kapazitäten'!$W$9:$AB$9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2930.9463772464173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3D-4B1A-B001-0AAEAAA27821}"/>
            </c:ext>
          </c:extLst>
        </c:ser>
        <c:ser>
          <c:idx val="7"/>
          <c:order val="6"/>
          <c:tx>
            <c:strRef>
              <c:f>'Wasserstoff - Inst. Kapazitäten'!$E$13</c:f>
              <c:strCache>
                <c:ptCount val="1"/>
                <c:pt idx="0">
                  <c:v>Reformer (SS)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Kapazitäten'!$W$10:$AB$10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3D-4B1A-B001-0AAEAAA27821}"/>
            </c:ext>
          </c:extLst>
        </c:ser>
        <c:ser>
          <c:idx val="8"/>
          <c:order val="7"/>
          <c:tx>
            <c:strRef>
              <c:f>'Wasserstoff - Inst. Kapazitäten'!$E$14</c:f>
              <c:strCache>
                <c:ptCount val="1"/>
                <c:pt idx="0">
                  <c:v>rSOC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Kapazitäten'!$W$11:$AB$11</c:f>
              <c:numCache>
                <c:formatCode>@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3726.640461235711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3D-4B1A-B001-0AAEAAA27821}"/>
            </c:ext>
          </c:extLst>
        </c:ser>
        <c:ser>
          <c:idx val="5"/>
          <c:order val="8"/>
          <c:tx>
            <c:strRef>
              <c:f>'Wasserstoff - Inst. Kapazitäten'!$E$15</c:f>
              <c:strCache>
                <c:ptCount val="1"/>
                <c:pt idx="0">
                  <c:v>CH4 Pyrolysis</c:v>
                </c:pt>
              </c:strCache>
            </c:strRef>
          </c:tx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Kapazitäten'!$W$12:$AB$12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4-455C-A475-BE014D676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803840"/>
        <c:axId val="409959168"/>
      </c:lineChart>
      <c:catAx>
        <c:axId val="40880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9959168"/>
        <c:crosses val="autoZero"/>
        <c:auto val="1"/>
        <c:lblAlgn val="ctr"/>
        <c:lblOffset val="100"/>
        <c:noMultiLvlLbl val="0"/>
      </c:catAx>
      <c:valAx>
        <c:axId val="409959168"/>
        <c:scaling>
          <c:orientation val="minMax"/>
          <c:max val="1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Full load hours</a:t>
                </a:r>
              </a:p>
            </c:rich>
          </c:tx>
          <c:overlay val="0"/>
        </c:title>
        <c:numFmt formatCode="@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08803840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1891961805555551"/>
          <c:y val="4.4048661631708097E-3"/>
          <c:w val="0.27184570678665165"/>
          <c:h val="0.9955952441424739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3194444444445"/>
          <c:y val="6.1460416666666663E-2"/>
          <c:w val="0.4469239583333333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Inst. Kapazitäten'!$F$4</c:f>
              <c:strCache>
                <c:ptCount val="1"/>
                <c:pt idx="0">
                  <c:v>Gasifizierung (Stroh)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Inst. Kapazitäten'!$H$3:$N$3</c15:sqref>
                  </c15:fullRef>
                </c:ext>
              </c:extLst>
              <c:f>'Wasserstoff - Inst. Kapazitäten'!$H$3:$M$3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Inst. Kapazitäten'!$H$4:$N$4</c15:sqref>
                  </c15:fullRef>
                </c:ext>
              </c:extLst>
              <c:f>'Wasserstoff - Inst. Kapazitäten'!$H$4:$M$4</c:f>
              <c:numCache>
                <c:formatCode>General</c:formatCode>
                <c:ptCount val="6"/>
                <c:pt idx="0" formatCode="@">
                  <c:v>#N/A</c:v>
                </c:pt>
                <c:pt idx="1">
                  <c:v>#N/A</c:v>
                </c:pt>
                <c:pt idx="2" formatCode="@">
                  <c:v>#N/A</c:v>
                </c:pt>
                <c:pt idx="3" formatCode="@">
                  <c:v>#N/A</c:v>
                </c:pt>
                <c:pt idx="4" formatCode="@">
                  <c:v>#N/A</c:v>
                </c:pt>
                <c:pt idx="5" formatCode="@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Inst. Kapazitäten'!$F$5</c:f>
              <c:strCache>
                <c:ptCount val="1"/>
                <c:pt idx="0">
                  <c:v>Gasifizierung (Holz)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Inst. Kapazitäten'!$H$3:$N$3</c15:sqref>
                  </c15:fullRef>
                </c:ext>
              </c:extLst>
              <c:f>'Wasserstoff - Inst. Kapazitäten'!$H$3:$M$3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Inst. Kapazitäten'!$H$5:$N$5</c15:sqref>
                  </c15:fullRef>
                </c:ext>
              </c:extLst>
              <c:f>'Wasserstoff - Inst. Kapazitäten'!$H$5:$M$5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 formatCode="General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6-452C-B03C-FB4AB8777077}"/>
            </c:ext>
          </c:extLst>
        </c:ser>
        <c:ser>
          <c:idx val="3"/>
          <c:order val="5"/>
          <c:tx>
            <c:strRef>
              <c:f>'Wasserstoff - Inst. Kapazitäten'!$F$9</c:f>
              <c:strCache>
                <c:ptCount val="1"/>
                <c:pt idx="0">
                  <c:v>Elektrolyse (LS)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Inst. Kapazitäten'!$H$3:$N$3</c15:sqref>
                  </c15:fullRef>
                </c:ext>
              </c:extLst>
              <c:f>'Wasserstoff - Inst. Kapazitäten'!$H$3:$M$3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Inst. Kapazitäten'!$H$9:$N$9</c15:sqref>
                  </c15:fullRef>
                </c:ext>
              </c:extLst>
              <c:f>'Wasserstoff - Inst. Kapazitäten'!$H$9:$M$9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B6-452C-B03C-FB4AB8777077}"/>
            </c:ext>
          </c:extLst>
        </c:ser>
        <c:ser>
          <c:idx val="6"/>
          <c:order val="7"/>
          <c:tx>
            <c:strRef>
              <c:f>'Wasserstoff - Inst. Kapazitäten'!$F$12</c:f>
              <c:strCache>
                <c:ptCount val="1"/>
                <c:pt idx="0">
                  <c:v>Elektrolyse (SS)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Inst. Kapazitäten'!$H$3:$N$3</c15:sqref>
                  </c15:fullRef>
                </c:ext>
              </c:extLst>
              <c:f>'Wasserstoff - Inst. Kapazitäten'!$H$3:$M$3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Inst. Kapazitäten'!$H$12:$N$12</c15:sqref>
                  </c15:fullRef>
                </c:ext>
              </c:extLst>
              <c:f>'Wasserstoff - Inst. Kapazitäten'!$H$12:$M$12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General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B6-452C-B03C-FB4AB8777077}"/>
            </c:ext>
          </c:extLst>
        </c:ser>
        <c:ser>
          <c:idx val="8"/>
          <c:order val="9"/>
          <c:tx>
            <c:strRef>
              <c:f>'Wasserstoff - Inst. Kapazitäten'!$F$14</c:f>
              <c:strCache>
                <c:ptCount val="1"/>
                <c:pt idx="0">
                  <c:v>rSOC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Inst. Kapazitäten'!$H$3:$N$3</c15:sqref>
                  </c15:fullRef>
                </c:ext>
              </c:extLst>
              <c:f>'Wasserstoff - Inst. Kapazitäten'!$H$3:$M$3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Inst. Kapazitäten'!$H$14:$N$14</c15:sqref>
                  </c15:fullRef>
                </c:ext>
              </c:extLst>
              <c:f>'Wasserstoff - Inst. Kapazitäten'!$H$14:$M$14</c:f>
              <c:numCache>
                <c:formatCode>@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B6-452C-B03C-FB4AB8777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144704"/>
        <c:axId val="411026560"/>
        <c:extLst>
          <c:ext xmlns:c15="http://schemas.microsoft.com/office/drawing/2012/chart" uri="{02D57815-91ED-43cb-92C2-25804820EDAC}">
            <c15:filteredBarSeries>
              <c15:ser>
                <c:idx val="9"/>
                <c:order val="2"/>
                <c:tx>
                  <c:strRef>
                    <c:extLst>
                      <c:ext uri="{02D57815-91ED-43cb-92C2-25804820EDAC}">
                        <c15:formulaRef>
                          <c15:sqref>'Wasserstoff - Inst. Kapazitäten'!$F$7</c15:sqref>
                        </c15:formulaRef>
                      </c:ext>
                    </c:extLst>
                    <c:strCache>
                      <c:ptCount val="1"/>
                      <c:pt idx="0">
                        <c:v>Import blauer H2</c:v>
                      </c:pt>
                    </c:strCache>
                  </c:strRef>
                </c:tx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'Wasserstoff - Inst. Kapazitäten'!$H$7:$N$7</c15:sqref>
                        </c15:fullRef>
                        <c15:formulaRef>
                          <c15:sqref>'Wasserstoff - Inst. Kapazitäten'!$H$7:$M$7</c15:sqref>
                        </c15:formulaRef>
                      </c:ext>
                    </c:extLst>
                    <c:numCache>
                      <c:formatCode>@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 formatCode="General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 formatCode="General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F0D-4283-A76B-868B883D1BE4}"/>
                  </c:ext>
                </c:extLst>
              </c15:ser>
            </c15:filteredBarSeries>
            <c15:filteredBa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Kapazitäten'!$F$6</c15:sqref>
                        </c15:formulaRef>
                      </c:ext>
                    </c:extLst>
                    <c:strCache>
                      <c:ptCount val="1"/>
                      <c:pt idx="0">
                        <c:v>Import grüner H2 Schiff</c:v>
                      </c:pt>
                    </c:strCache>
                  </c:strRef>
                </c:tx>
                <c:spPr>
                  <a:solidFill>
                    <a:srgbClr val="C00000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'Wasserstoff - Inst. Kapazitäten'!$H$3:$N$3</c15:sqref>
                        </c15:fullRef>
                        <c15:formulaRef>
                          <c15:sqref>'Wasserstoff - Inst. Kapazitäten'!$H$3:$M$3</c15:sqref>
                        </c15:formulaRef>
                      </c:ext>
                    </c:extLst>
                    <c:strCach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Inst. Kapazitäten'!$H$6:$N$6</c15:sqref>
                        </c15:fullRef>
                        <c15:formulaRef>
                          <c15:sqref>'Wasserstoff - Inst. Kapazitäten'!$H$6:$M$6</c15:sqref>
                        </c15:formulaRef>
                      </c:ext>
                    </c:extLst>
                    <c:numCache>
                      <c:formatCode>@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 formatCode="General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 formatCode="General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AB6-452C-B03C-FB4AB8777077}"/>
                  </c:ext>
                </c:extLst>
              </c15:ser>
            </c15:filteredBarSeries>
            <c15:filteredBarSeries>
              <c15:ser>
                <c:idx val="1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Kapazitäten'!$F$8</c15:sqref>
                        </c15:formulaRef>
                      </c:ext>
                    </c:extLst>
                    <c:strCache>
                      <c:ptCount val="1"/>
                      <c:pt idx="0">
                        <c:v>Import grüner H2 Pipeline</c:v>
                      </c:pt>
                    </c:strCache>
                  </c:strRef>
                </c:tx>
                <c:invertIfNegative val="0"/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Inst. Kapazitäten'!$H$8:$N$8</c15:sqref>
                        </c15:fullRef>
                        <c15:formulaRef>
                          <c15:sqref>'Wasserstoff - Inst. Kapazitäten'!$H$8:$M$8</c15:sqref>
                        </c15:formulaRef>
                      </c:ext>
                    </c:extLst>
                    <c:numCache>
                      <c:formatCode>@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 formatCode="General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 formatCode="General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F0D-4283-A76B-868B883D1BE4}"/>
                  </c:ext>
                </c:extLst>
              </c15:ser>
            </c15:filteredBarSeries>
            <c15:filteredBa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Kapazitäten'!$F$10</c15:sqref>
                        </c15:formulaRef>
                      </c:ext>
                    </c:extLst>
                    <c:strCache>
                      <c:ptCount val="1"/>
                      <c:pt idx="0">
                        <c:v>Reformierung (LS)</c:v>
                      </c:pt>
                    </c:strCache>
                  </c:strRef>
                </c:tx>
                <c:spPr>
                  <a:solidFill>
                    <a:schemeClr val="tx1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'Wasserstoff - Inst. Kapazitäten'!$H$3:$N$3</c15:sqref>
                        </c15:fullRef>
                        <c15:formulaRef>
                          <c15:sqref>'Wasserstoff - Inst. Kapazitäten'!$H$3:$M$3</c15:sqref>
                        </c15:formulaRef>
                      </c:ext>
                    </c:extLst>
                    <c:strCach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Inst. Kapazitäten'!$H$10:$N$10</c15:sqref>
                        </c15:fullRef>
                        <c15:formulaRef>
                          <c15:sqref>'Wasserstoff - Inst. Kapazitäten'!$H$10:$M$10</c15:sqref>
                        </c15:formulaRef>
                      </c:ext>
                    </c:extLst>
                    <c:numCache>
                      <c:formatCode>@</c:formatCode>
                      <c:ptCount val="6"/>
                      <c:pt idx="0" formatCode="General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AB6-452C-B03C-FB4AB8777077}"/>
                  </c:ext>
                </c:extLst>
              </c15:ser>
            </c15:filteredBarSeries>
            <c15:filteredBa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Kapazitäten'!$F$13</c15:sqref>
                        </c15:formulaRef>
                      </c:ext>
                    </c:extLst>
                    <c:strCache>
                      <c:ptCount val="1"/>
                      <c:pt idx="0">
                        <c:v>Reformierung (SS)</c:v>
                      </c:pt>
                    </c:strCache>
                  </c:strRef>
                </c:tx>
                <c:spPr>
                  <a:solidFill>
                    <a:schemeClr val="bg1">
                      <a:lumMod val="50000"/>
                    </a:schemeClr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'Wasserstoff - Inst. Kapazitäten'!$H$3:$N$3</c15:sqref>
                        </c15:fullRef>
                        <c15:formulaRef>
                          <c15:sqref>'Wasserstoff - Inst. Kapazitäten'!$H$3:$M$3</c15:sqref>
                        </c15:formulaRef>
                      </c:ext>
                    </c:extLst>
                    <c:strCach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Inst. Kapazitäten'!$H$13:$N$13</c15:sqref>
                        </c15:fullRef>
                        <c15:formulaRef>
                          <c15:sqref>'Wasserstoff - Inst. Kapazitäten'!$H$13:$M$13</c15:sqref>
                        </c15:formulaRef>
                      </c:ext>
                    </c:extLst>
                    <c:numCache>
                      <c:formatCode>@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 formatCode="General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AB6-452C-B03C-FB4AB8777077}"/>
                  </c:ext>
                </c:extLst>
              </c15:ser>
            </c15:filteredBarSeries>
            <c15:filteredBarSeries>
              <c15:ser>
                <c:idx val="5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Inst. Kapazitäten'!$F$15</c15:sqref>
                        </c15:formulaRef>
                      </c:ext>
                    </c:extLst>
                    <c:strCache>
                      <c:ptCount val="1"/>
                      <c:pt idx="0">
                        <c:v>CH4 Pyrolyse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'Wasserstoff - Inst. Kapazitäten'!$H$3:$N$3</c15:sqref>
                        </c15:fullRef>
                        <c15:formulaRef>
                          <c15:sqref>'Wasserstoff - Inst. Kapazitäten'!$H$3:$M$3</c15:sqref>
                        </c15:formulaRef>
                      </c:ext>
                    </c:extLst>
                    <c:strCach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Inst. Kapazitäten'!$H$15:$N$15</c15:sqref>
                        </c15:fullRef>
                        <c15:formulaRef>
                          <c15:sqref>'Wasserstoff - Inst. Kapazitäten'!$H$15:$M$15</c15:sqref>
                        </c15:formulaRef>
                      </c:ext>
                    </c:extLst>
                    <c:numCache>
                      <c:formatCode>@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DA-4B28-B6B7-1BCA9E317810}"/>
                  </c:ext>
                </c:extLst>
              </c15:ser>
            </c15:filteredBarSeries>
          </c:ext>
        </c:extLst>
      </c:barChart>
      <c:catAx>
        <c:axId val="41114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026560"/>
        <c:crosses val="autoZero"/>
        <c:auto val="1"/>
        <c:lblAlgn val="ctr"/>
        <c:lblOffset val="100"/>
        <c:noMultiLvlLbl val="0"/>
      </c:catAx>
      <c:valAx>
        <c:axId val="411026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Inst. Kapazitäten</a:t>
                </a:r>
                <a:r>
                  <a:rPr lang="de-DE" baseline="0"/>
                  <a:t> in </a:t>
                </a:r>
                <a:r>
                  <a:rPr lang="de-DE"/>
                  <a:t>GW</a:t>
                </a:r>
              </a:p>
            </c:rich>
          </c:tx>
          <c:overlay val="0"/>
        </c:title>
        <c:numFmt formatCode="@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144704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470023632066897"/>
          <c:y val="4.4048661631708097E-3"/>
          <c:w val="0.33129845940465913"/>
          <c:h val="0.8537022218765283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Inst. Kapazitäten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1481818234466306E-2"/>
          <c:y val="0.25242015204136087"/>
          <c:w val="0.46254249361509908"/>
          <c:h val="0.69869566358443191"/>
        </c:manualLayout>
      </c:layout>
      <c:pieChart>
        <c:varyColors val="1"/>
        <c:ser>
          <c:idx val="0"/>
          <c:order val="0"/>
          <c:tx>
            <c:strRef>
              <c:f>'Wasserstoff - Inst. Kapazitäten'!$N$3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0-403E-4F5F-B135-0D24A7D63454}"/>
              </c:ext>
            </c:extLst>
          </c:dPt>
          <c:dPt>
            <c:idx val="1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403E-4F5F-B135-0D24A7D63454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6-403E-4F5F-B135-0D24A7D63454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2-403E-4F5F-B135-0D24A7D63454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3-403E-4F5F-B135-0D24A7D63454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7-403E-4F5F-B135-0D24A7D63454}"/>
              </c:ext>
            </c:extLst>
          </c:dPt>
          <c:dPt>
            <c:idx val="6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403E-4F5F-B135-0D24A7D63454}"/>
              </c:ext>
            </c:extLst>
          </c:dPt>
          <c:dPt>
            <c:idx val="7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403E-4F5F-B135-0D24A7D63454}"/>
              </c:ext>
            </c:extLst>
          </c:dPt>
          <c:dPt>
            <c:idx val="8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8-403E-4F5F-B135-0D24A7D63454}"/>
              </c:ext>
            </c:extLst>
          </c:dPt>
          <c:cat>
            <c:strRef>
              <c:f>'Wasserstoff - Inst. Kapazitäten'!$F$4:$F$14</c:f>
              <c:strCache>
                <c:ptCount val="11"/>
                <c:pt idx="0">
                  <c:v>Gasifizierung (Stroh)</c:v>
                </c:pt>
                <c:pt idx="1">
                  <c:v>Gasifizierung (Holz)</c:v>
                </c:pt>
                <c:pt idx="2">
                  <c:v>Import grüner H2 Schiff</c:v>
                </c:pt>
                <c:pt idx="3">
                  <c:v>Import blauer H2</c:v>
                </c:pt>
                <c:pt idx="4">
                  <c:v>Import grüner H2 Pipeline</c:v>
                </c:pt>
                <c:pt idx="5">
                  <c:v>Elektrolyse (LS)</c:v>
                </c:pt>
                <c:pt idx="6">
                  <c:v>Reformierung (LS)</c:v>
                </c:pt>
                <c:pt idx="7">
                  <c:v>Gaswechselreformierung</c:v>
                </c:pt>
                <c:pt idx="8">
                  <c:v>Elektrolyse (SS)</c:v>
                </c:pt>
                <c:pt idx="9">
                  <c:v>Reformierung (SS)</c:v>
                </c:pt>
                <c:pt idx="10">
                  <c:v>rSOC</c:v>
                </c:pt>
              </c:strCache>
            </c:strRef>
          </c:cat>
          <c:val>
            <c:numRef>
              <c:f>'Wasserstoff - Inst. Kapazitäten'!$N$4:$N$14</c:f>
              <c:numCache>
                <c:formatCode>@</c:formatCode>
                <c:ptCount val="11"/>
                <c:pt idx="0">
                  <c:v>4.164096196956492E-4</c:v>
                </c:pt>
                <c:pt idx="1">
                  <c:v>4.2460650565410529E-4</c:v>
                </c:pt>
                <c:pt idx="2">
                  <c:v>31.900595985822179</c:v>
                </c:pt>
                <c:pt idx="3">
                  <c:v>#N/A</c:v>
                </c:pt>
                <c:pt idx="4">
                  <c:v>17.090254830590041</c:v>
                </c:pt>
                <c:pt idx="5">
                  <c:v>35.209647887630183</c:v>
                </c:pt>
                <c:pt idx="6">
                  <c:v>#N/A</c:v>
                </c:pt>
                <c:pt idx="7">
                  <c:v>#N/A</c:v>
                </c:pt>
                <c:pt idx="8">
                  <c:v>11.660211356748624</c:v>
                </c:pt>
                <c:pt idx="9">
                  <c:v>#N/A</c:v>
                </c:pt>
                <c:pt idx="10" formatCode="General">
                  <c:v>2.6616181328386701E-4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016180873674513"/>
          <c:y val="0.23563268533887186"/>
          <c:w val="0.4598381912632547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66874999999999"/>
          <c:y val="6.1460416666666663E-2"/>
          <c:w val="0.42708020833333332"/>
          <c:h val="0.62354548611111116"/>
        </c:manualLayout>
      </c:layout>
      <c:lineChart>
        <c:grouping val="standard"/>
        <c:varyColors val="0"/>
        <c:ser>
          <c:idx val="1"/>
          <c:order val="0"/>
          <c:tx>
            <c:strRef>
              <c:f>'Wasserstoff - Inst. Kapazitäten'!$T$4</c:f>
              <c:strCache>
                <c:ptCount val="1"/>
                <c:pt idx="0">
                  <c:v>Gasifizierung (Stroh)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Kapazitäten'!$W$4:$AB$4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296.98108986800867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Inst. Kapazitäten'!$T$5</c:f>
              <c:strCache>
                <c:ptCount val="1"/>
                <c:pt idx="0">
                  <c:v>Gasifizierung (Holz)</c:v>
                </c:pt>
              </c:strCache>
            </c:strRef>
          </c:tx>
          <c:spPr>
            <a:ln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Kapazitäten'!$W$5:$AB$5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399.55666465097624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4B1A-B001-0AAEAAA27821}"/>
            </c:ext>
          </c:extLst>
        </c:ser>
        <c:ser>
          <c:idx val="2"/>
          <c:order val="2"/>
          <c:tx>
            <c:strRef>
              <c:f>'Wasserstoff - Inst. Kapazitäten'!$T$6</c:f>
              <c:strCache>
                <c:ptCount val="1"/>
                <c:pt idx="0">
                  <c:v>Import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Kapazitäten'!$W$6:$AB$6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8760.0000000000018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4B1A-B001-0AAEAAA27821}"/>
            </c:ext>
          </c:extLst>
        </c:ser>
        <c:ser>
          <c:idx val="3"/>
          <c:order val="3"/>
          <c:tx>
            <c:strRef>
              <c:f>'Wasserstoff - Inst. Kapazitäten'!$T$7</c:f>
              <c:strCache>
                <c:ptCount val="1"/>
                <c:pt idx="0">
                  <c:v>Elektrolyse (LS)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Kapazitäten'!$W$7:$AB$7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1982.6580969048887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4B1A-B001-0AAEAAA27821}"/>
            </c:ext>
          </c:extLst>
        </c:ser>
        <c:ser>
          <c:idx val="4"/>
          <c:order val="4"/>
          <c:tx>
            <c:strRef>
              <c:f>'Wasserstoff - Inst. Kapazitäten'!$T$8</c:f>
              <c:strCache>
                <c:ptCount val="1"/>
                <c:pt idx="0">
                  <c:v>Reformierung (LS)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Kapazitäten'!$W$8:$AB$8</c:f>
              <c:numCache>
                <c:formatCode>@</c:formatCode>
                <c:ptCount val="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4B1A-B001-0AAEAAA27821}"/>
            </c:ext>
          </c:extLst>
        </c:ser>
        <c:ser>
          <c:idx val="6"/>
          <c:order val="5"/>
          <c:tx>
            <c:strRef>
              <c:f>'Wasserstoff - Inst. Kapazitäten'!$T$9</c:f>
              <c:strCache>
                <c:ptCount val="1"/>
                <c:pt idx="0">
                  <c:v>Elektrolyse (SS)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Kapazitäten'!$W$9:$AB$9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2930.9463772464173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3D-4B1A-B001-0AAEAAA27821}"/>
            </c:ext>
          </c:extLst>
        </c:ser>
        <c:ser>
          <c:idx val="7"/>
          <c:order val="6"/>
          <c:tx>
            <c:strRef>
              <c:f>'Wasserstoff - Inst. Kapazitäten'!$T$10</c:f>
              <c:strCache>
                <c:ptCount val="1"/>
                <c:pt idx="0">
                  <c:v>Reformierung (SS)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Kapazitäten'!$W$10:$AB$10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3D-4B1A-B001-0AAEAAA27821}"/>
            </c:ext>
          </c:extLst>
        </c:ser>
        <c:ser>
          <c:idx val="8"/>
          <c:order val="7"/>
          <c:tx>
            <c:strRef>
              <c:f>'Wasserstoff - Inst. Kapazitäten'!$T$11</c:f>
              <c:strCache>
                <c:ptCount val="1"/>
                <c:pt idx="0">
                  <c:v>rev. SOFC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Kapazitäten'!$W$11:$AB$11</c:f>
              <c:numCache>
                <c:formatCode>@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3726.640461235711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3D-4B1A-B001-0AAEAAA27821}"/>
            </c:ext>
          </c:extLst>
        </c:ser>
        <c:ser>
          <c:idx val="5"/>
          <c:order val="8"/>
          <c:tx>
            <c:strRef>
              <c:f>'Wasserstoff - Inst. Kapazitäten'!$T$12</c:f>
              <c:strCache>
                <c:ptCount val="1"/>
                <c:pt idx="0">
                  <c:v>CH4 Pyrolyse</c:v>
                </c:pt>
              </c:strCache>
            </c:strRef>
          </c:tx>
          <c:marker>
            <c:symbol val="none"/>
          </c:marker>
          <c:cat>
            <c:numRef>
              <c:f>'Wasserstoff - Inst. Kapazitäten'!$W$3:$AB$3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Inst. Kapazitäten'!$W$12:$AB$12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9-4D78-A453-4091E7139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46752"/>
        <c:axId val="411030016"/>
      </c:lineChart>
      <c:catAx>
        <c:axId val="411146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030016"/>
        <c:crosses val="autoZero"/>
        <c:auto val="1"/>
        <c:lblAlgn val="ctr"/>
        <c:lblOffset val="100"/>
        <c:noMultiLvlLbl val="0"/>
      </c:catAx>
      <c:valAx>
        <c:axId val="411030016"/>
        <c:scaling>
          <c:orientation val="minMax"/>
          <c:max val="1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Volllaststunden</a:t>
                </a:r>
              </a:p>
            </c:rich>
          </c:tx>
          <c:overlay val="0"/>
        </c:title>
        <c:numFmt formatCode="@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14675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1891961805555551"/>
          <c:y val="4.4048661631708097E-3"/>
          <c:w val="0.29508572591502963"/>
          <c:h val="0.995595265320509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Hydrogen consumption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'Wasserstoff - Bedarf'!$K$3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B2EC-4054-9159-3C326124F45B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</c:spPr>
            <c:extLst>
              <c:ext xmlns:c16="http://schemas.microsoft.com/office/drawing/2014/chart" uri="{C3380CC4-5D6E-409C-BE32-E72D297353CC}">
                <c16:uniqueId val="{00000003-B2EC-4054-9159-3C326124F45B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2EC-4054-9159-3C326124F45B}"/>
              </c:ext>
            </c:extLst>
          </c:dPt>
          <c:dPt>
            <c:idx val="3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2EC-4054-9159-3C326124F45B}"/>
              </c:ext>
            </c:extLst>
          </c:dPt>
          <c:cat>
            <c:strRef>
              <c:f>'Wasserstoff - Bedarf'!$B$4:$B$7</c:f>
              <c:strCache>
                <c:ptCount val="4"/>
                <c:pt idx="0">
                  <c:v>Energy</c:v>
                </c:pt>
                <c:pt idx="1">
                  <c:v>Building</c:v>
                </c:pt>
                <c:pt idx="2">
                  <c:v>Industry</c:v>
                </c:pt>
                <c:pt idx="3">
                  <c:v>Transport</c:v>
                </c:pt>
              </c:strCache>
            </c:strRef>
          </c:cat>
          <c:val>
            <c:numRef>
              <c:f>'Wasserstoff - Bedarf'!$K$4:$K$7</c:f>
              <c:numCache>
                <c:formatCode>General</c:formatCode>
                <c:ptCount val="4"/>
                <c:pt idx="0">
                  <c:v>37445.175848094528</c:v>
                </c:pt>
                <c:pt idx="1">
                  <c:v>58850.308929571816</c:v>
                </c:pt>
                <c:pt idx="2">
                  <c:v>308147.93968128605</c:v>
                </c:pt>
                <c:pt idx="3">
                  <c:v>123188.14349880537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68979166666667"/>
          <c:y val="6.1460416666666663E-2"/>
          <c:w val="0.48798150689026909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'Wasserstoff - Bedarf'!$O$4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Bedarf'!$R$4:$X$4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A-42CB-A36B-527A10D045D4}"/>
            </c:ext>
          </c:extLst>
        </c:ser>
        <c:ser>
          <c:idx val="2"/>
          <c:order val="1"/>
          <c:tx>
            <c:strRef>
              <c:f>'Wasserstoff - Bedarf'!$O$13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Bedarf'!$R$13:$X$13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A-42CB-A36B-527A10D045D4}"/>
            </c:ext>
          </c:extLst>
        </c:ser>
        <c:ser>
          <c:idx val="3"/>
          <c:order val="2"/>
          <c:tx>
            <c:strRef>
              <c:f>'Wasserstoff - Bedarf'!$O$6</c:f>
              <c:strCache>
                <c:ptCount val="1"/>
                <c:pt idx="0">
                  <c:v>Process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Bedarf'!$R$6:$X$6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4D-4CBB-BD8F-124E390F6ED4}"/>
            </c:ext>
          </c:extLst>
        </c:ser>
        <c:ser>
          <c:idx val="4"/>
          <c:order val="3"/>
          <c:tx>
            <c:strRef>
              <c:f>'Wasserstoff - Bedarf'!$O$7</c:f>
              <c:strCache>
                <c:ptCount val="1"/>
                <c:pt idx="0">
                  <c:v>Haber Bosch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Bedarf'!$R$7:$X$7</c:f>
              <c:numCache>
                <c:formatCode>General</c:formatCode>
                <c:ptCount val="7"/>
                <c:pt idx="0">
                  <c:v>0</c:v>
                </c:pt>
                <c:pt idx="1">
                  <c:v>11.1103123195491</c:v>
                </c:pt>
                <c:pt idx="2">
                  <c:v>2052.9227293398508</c:v>
                </c:pt>
                <c:pt idx="3">
                  <c:v>6262.7511512241936</c:v>
                </c:pt>
                <c:pt idx="4">
                  <c:v>14900.681204055691</c:v>
                </c:pt>
                <c:pt idx="5">
                  <c:v>19994.04384051351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4D-4CBB-BD8F-124E390F6ED4}"/>
            </c:ext>
          </c:extLst>
        </c:ser>
        <c:ser>
          <c:idx val="5"/>
          <c:order val="4"/>
          <c:tx>
            <c:strRef>
              <c:f>'Wasserstoff - Bedarf'!$O$8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Bedarf'!$R$8:$X$8</c:f>
              <c:numCache>
                <c:formatCode>General</c:formatCode>
                <c:ptCount val="7"/>
                <c:pt idx="0">
                  <c:v>0</c:v>
                </c:pt>
                <c:pt idx="1">
                  <c:v>3.10998941178803</c:v>
                </c:pt>
                <c:pt idx="2">
                  <c:v>1.717662760262742E-2</c:v>
                </c:pt>
                <c:pt idx="3">
                  <c:v>1.8831213207467921E-2</c:v>
                </c:pt>
                <c:pt idx="4">
                  <c:v>1.3604642614255839E-3</c:v>
                </c:pt>
                <c:pt idx="5">
                  <c:v>104344.81818443909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1-4ADA-979C-45A2B076C270}"/>
            </c:ext>
          </c:extLst>
        </c:ser>
        <c:ser>
          <c:idx val="6"/>
          <c:order val="5"/>
          <c:tx>
            <c:strRef>
              <c:f>'Wasserstoff - Bedarf'!$O$9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Bedarf'!$R$9:$X$9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C8-49A6-B78A-C66A904C89C1}"/>
            </c:ext>
          </c:extLst>
        </c:ser>
        <c:ser>
          <c:idx val="7"/>
          <c:order val="6"/>
          <c:tx>
            <c:strRef>
              <c:f>'Wasserstoff - Bedarf'!$O$10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Bedarf'!$R$10:$X$10</c:f>
              <c:numCache>
                <c:formatCode>General</c:formatCode>
                <c:ptCount val="7"/>
                <c:pt idx="0">
                  <c:v>0</c:v>
                </c:pt>
                <c:pt idx="1">
                  <c:v>62.126159477568152</c:v>
                </c:pt>
                <c:pt idx="2">
                  <c:v>38.376061177381892</c:v>
                </c:pt>
                <c:pt idx="3">
                  <c:v>47.245522251308195</c:v>
                </c:pt>
                <c:pt idx="4">
                  <c:v>2.2420790991307909E-3</c:v>
                </c:pt>
                <c:pt idx="5">
                  <c:v>9.2715329084526151E-4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8-49A6-B78A-C66A904C89C1}"/>
            </c:ext>
          </c:extLst>
        </c:ser>
        <c:ser>
          <c:idx val="8"/>
          <c:order val="7"/>
          <c:tx>
            <c:strRef>
              <c:f>'Wasserstoff - Bedarf'!$O$11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Bedarf'!$R$11:$X$11</c:f>
              <c:numCache>
                <c:formatCode>General</c:formatCode>
                <c:ptCount val="7"/>
                <c:pt idx="0">
                  <c:v>0</c:v>
                </c:pt>
                <c:pt idx="1">
                  <c:v>3.322414673289396</c:v>
                </c:pt>
                <c:pt idx="2">
                  <c:v>118.58656860986881</c:v>
                </c:pt>
                <c:pt idx="3">
                  <c:v>1152.8536139575949</c:v>
                </c:pt>
                <c:pt idx="4">
                  <c:v>4088.2188069708509</c:v>
                </c:pt>
                <c:pt idx="5">
                  <c:v>5431.9029001919635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8-49A6-B78A-C66A904C8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924992"/>
        <c:axId val="411774336"/>
      </c:barChart>
      <c:catAx>
        <c:axId val="41192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774336"/>
        <c:crosses val="autoZero"/>
        <c:auto val="1"/>
        <c:lblAlgn val="ctr"/>
        <c:lblOffset val="100"/>
        <c:noMultiLvlLbl val="0"/>
      </c:catAx>
      <c:valAx>
        <c:axId val="411774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by industry sector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92499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365821831552232"/>
          <c:y val="6.1668126284391341E-2"/>
          <c:w val="0.17080483654998607"/>
          <c:h val="0.8278662311966279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Hydrogen consumption</a:t>
            </a:r>
            <a:r>
              <a:rPr lang="de-DE" sz="1600" baseline="0"/>
              <a:t> by industry sector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571262101229518E-4"/>
          <c:y val="0.25076211286170502"/>
          <c:w val="0.39043972587488174"/>
          <c:h val="0.62790138091488934"/>
        </c:manualLayout>
      </c:layout>
      <c:pieChart>
        <c:varyColors val="1"/>
        <c:ser>
          <c:idx val="0"/>
          <c:order val="0"/>
          <c:tx>
            <c:strRef>
              <c:f>'Wasserstoff - Bedarf'!$X$3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0241-49D4-964C-BFDCA5CBE9D9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0241-49D4-964C-BFDCA5CBE9D9}"/>
              </c:ext>
            </c:extLst>
          </c:dPt>
          <c:cat>
            <c:strRef>
              <c:f>'Wasserstoff - Bedarf'!$O$4:$O$11</c:f>
              <c:strCache>
                <c:ptCount val="8"/>
                <c:pt idx="0">
                  <c:v>Cement</c:v>
                </c:pt>
                <c:pt idx="1">
                  <c:v>Steel</c:v>
                </c:pt>
                <c:pt idx="2">
                  <c:v>Process heat</c:v>
                </c:pt>
                <c:pt idx="3">
                  <c:v>Haber Bosch</c:v>
                </c:pt>
                <c:pt idx="4">
                  <c:v>Methanol</c:v>
                </c:pt>
                <c:pt idx="5">
                  <c:v>Naphtha</c:v>
                </c:pt>
                <c:pt idx="6">
                  <c:v>Glass</c:v>
                </c:pt>
                <c:pt idx="7">
                  <c:v>Paper</c:v>
                </c:pt>
              </c:strCache>
            </c:strRef>
          </c:cat>
          <c:val>
            <c:numRef>
              <c:f>'Wasserstoff - Bedarf'!$X$4:$X$11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 formatCode="0.00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7936030431355842"/>
          <c:y val="0.22987703457805045"/>
          <c:w val="0.50373372915688452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977165364577"/>
          <c:y val="6.1460416666666663E-2"/>
          <c:w val="0.46959601261457445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'Wasserstoff - Bedarf'!$AB$4</c:f>
              <c:strCache>
                <c:ptCount val="1"/>
                <c:pt idx="0">
                  <c:v>H2 CC PP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Bedarf'!$AF$4:$AK$4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'Wasserstoff - Bedarf'!$AB$5</c:f>
              <c:strCache>
                <c:ptCount val="1"/>
                <c:pt idx="0">
                  <c:v>H2 GT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Bedarf'!$AF$5:$AK$5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B-48E9-9A49-DC4D1F46FCC6}"/>
            </c:ext>
          </c:extLst>
        </c:ser>
        <c:ser>
          <c:idx val="1"/>
          <c:order val="2"/>
          <c:tx>
            <c:strRef>
              <c:f>'Wasserstoff - Bedarf'!$AB$6</c:f>
              <c:strCache>
                <c:ptCount val="1"/>
                <c:pt idx="0">
                  <c:v>LS-Fuel Cell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Bedarf'!$AF$6:$AK$6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B-48E9-9A49-DC4D1F46FCC6}"/>
            </c:ext>
          </c:extLst>
        </c:ser>
        <c:ser>
          <c:idx val="3"/>
          <c:order val="3"/>
          <c:tx>
            <c:strRef>
              <c:f>'Wasserstoff - Bedarf'!$AB$7</c:f>
              <c:strCache>
                <c:ptCount val="1"/>
                <c:pt idx="0">
                  <c:v>LS-SOFC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Bedarf'!$AF$7:$AK$7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B-48E9-9A49-DC4D1F46FCC6}"/>
            </c:ext>
          </c:extLst>
        </c:ser>
        <c:ser>
          <c:idx val="4"/>
          <c:order val="4"/>
          <c:tx>
            <c:strRef>
              <c:f>'Wasserstoff - Bedarf'!$AB$8</c:f>
              <c:strCache>
                <c:ptCount val="1"/>
                <c:pt idx="0">
                  <c:v>Sabatier Process</c:v>
                </c:pt>
              </c:strCache>
            </c:strRef>
          </c:tx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Bedarf'!$AF$8:$AK$8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2B-48E9-9A49-DC4D1F46FCC6}"/>
            </c:ext>
          </c:extLst>
        </c:ser>
        <c:ser>
          <c:idx val="6"/>
          <c:order val="5"/>
          <c:tx>
            <c:strRef>
              <c:f>'Wasserstoff - Bedarf'!$AB$9</c:f>
              <c:strCache>
                <c:ptCount val="1"/>
                <c:pt idx="0">
                  <c:v>H2 Mini CHP</c:v>
                </c:pt>
              </c:strCache>
            </c:strRef>
          </c:tx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Bedarf'!$AF$9:$AK$9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2B-48E9-9A49-DC4D1F46F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661888"/>
        <c:axId val="411777792"/>
      </c:barChart>
      <c:catAx>
        <c:axId val="41066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777792"/>
        <c:crosses val="autoZero"/>
        <c:auto val="1"/>
        <c:lblAlgn val="ctr"/>
        <c:lblOffset val="100"/>
        <c:noMultiLvlLbl val="0"/>
      </c:catAx>
      <c:valAx>
        <c:axId val="41177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by energy</a:t>
                </a:r>
                <a:r>
                  <a:rPr lang="de-DE" baseline="0"/>
                  <a:t> sector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066188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8500488012250182"/>
          <c:y val="1.7519790734494382E-2"/>
          <c:w val="0.24238052548063554"/>
          <c:h val="0.6391423788820073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Hydrogen consumption</a:t>
            </a:r>
            <a:r>
              <a:rPr lang="de-DE" sz="1600" baseline="0"/>
              <a:t> by energy sector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'Wasserstoff - Bedarf'!$AK$3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'Wasserstoff - Bedarf'!$AB$4:$AB$9</c:f>
              <c:strCache>
                <c:ptCount val="6"/>
                <c:pt idx="0">
                  <c:v>H2 CC PP</c:v>
                </c:pt>
                <c:pt idx="1">
                  <c:v>H2 GT</c:v>
                </c:pt>
                <c:pt idx="2">
                  <c:v>LS-Fuel Cell</c:v>
                </c:pt>
                <c:pt idx="3">
                  <c:v>LS-SOFC</c:v>
                </c:pt>
                <c:pt idx="4">
                  <c:v>Sabatier Process</c:v>
                </c:pt>
                <c:pt idx="5">
                  <c:v>H2 Mini CHP</c:v>
                </c:pt>
              </c:strCache>
            </c:strRef>
          </c:cat>
          <c:val>
            <c:numRef>
              <c:f>'Wasserstoff - Bedarf'!$AK$4:$AK$9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231805555555555"/>
          <c:y val="6.1460416666666663E-2"/>
          <c:w val="0.50444652777777776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'Wasserstoff - Bedarf'!$AO$4</c:f>
              <c:strCache>
                <c:ptCount val="1"/>
                <c:pt idx="0">
                  <c:v>Cars and LDV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Bedarf'!$AS$4:$AX$4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'Wasserstoff - Bedarf'!$AO$5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Bedarf'!$AS$5:$AX$5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A-4449-82C2-78167099EDD3}"/>
            </c:ext>
          </c:extLst>
        </c:ser>
        <c:ser>
          <c:idx val="1"/>
          <c:order val="2"/>
          <c:tx>
            <c:strRef>
              <c:f>'Wasserstoff - Bedarf'!$AO$6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Bedarf'!$AS$6:$AX$6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A-4449-82C2-78167099EDD3}"/>
            </c:ext>
          </c:extLst>
        </c:ser>
        <c:ser>
          <c:idx val="3"/>
          <c:order val="3"/>
          <c:tx>
            <c:strRef>
              <c:f>'Wasserstoff - Bedarf'!$AO$7</c:f>
              <c:strCache>
                <c:ptCount val="1"/>
                <c:pt idx="0">
                  <c:v>Truck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Bedarf'!$AS$7:$AX$7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5A-4449-82C2-78167099EDD3}"/>
            </c:ext>
          </c:extLst>
        </c:ser>
        <c:ser>
          <c:idx val="4"/>
          <c:order val="4"/>
          <c:tx>
            <c:strRef>
              <c:f>'Wasserstoff - Bedarf'!$AO$8</c:f>
              <c:strCache>
                <c:ptCount val="1"/>
                <c:pt idx="0">
                  <c:v>H2 for PtL</c:v>
                </c:pt>
              </c:strCache>
            </c:strRef>
          </c:tx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Bedarf'!$AS$8:$AX$8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F-424D-A7F6-8350A97C3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664448"/>
        <c:axId val="410495232"/>
      </c:barChart>
      <c:catAx>
        <c:axId val="41066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0495232"/>
        <c:crosses val="autoZero"/>
        <c:auto val="1"/>
        <c:lblAlgn val="ctr"/>
        <c:lblOffset val="100"/>
        <c:noMultiLvlLbl val="0"/>
      </c:catAx>
      <c:valAx>
        <c:axId val="410495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by transport sector </a:t>
                </a:r>
                <a:r>
                  <a:rPr lang="de-DE" baseline="0"/>
                  <a:t>in </a:t>
                </a:r>
                <a:r>
                  <a:rPr lang="de-DE"/>
                  <a:t>TWh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066444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860321935085051"/>
          <c:y val="0.12453440767584605"/>
          <c:w val="0.20214434688062008"/>
          <c:h val="0.5332177155952476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807847222222226"/>
          <c:y val="6.1460416666666663E-2"/>
          <c:w val="0.58362534722222226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Bedarf'!$B$4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'Wasserstoff - Bedarf'!$E$3:$K$3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Bedarf'!$E$4:$K$4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37445.175848094528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Bedarf'!$B$5</c:f>
              <c:strCache>
                <c:ptCount val="1"/>
                <c:pt idx="0">
                  <c:v>Building</c:v>
                </c:pt>
              </c:strCache>
            </c:strRef>
          </c:tx>
          <c:invertIfNegative val="0"/>
          <c:cat>
            <c:strRef>
              <c:f>'Wasserstoff - Bedarf'!$E$3:$K$3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Bedarf'!$E$5:$K$5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58850.308929571816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5-40EC-852C-7C7EB5F98CBE}"/>
            </c:ext>
          </c:extLst>
        </c:ser>
        <c:ser>
          <c:idx val="2"/>
          <c:order val="2"/>
          <c:tx>
            <c:strRef>
              <c:f>'Wasserstoff - Bedarf'!$B$6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'Wasserstoff - Bedarf'!$E$3:$K$3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Bedarf'!$E$6:$K$6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308147.93968128605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5-40EC-852C-7C7EB5F98CBE}"/>
            </c:ext>
          </c:extLst>
        </c:ser>
        <c:ser>
          <c:idx val="3"/>
          <c:order val="3"/>
          <c:tx>
            <c:strRef>
              <c:f>'Wasserstoff - Bedarf'!$B$7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'Wasserstoff - Bedarf'!$E$3:$K$3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Bedarf'!$E$7:$K$7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123188.14349880537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7-409A-B03C-C540E31F2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358656"/>
        <c:axId val="410497536"/>
      </c:barChart>
      <c:catAx>
        <c:axId val="41235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0497536"/>
        <c:crosses val="autoZero"/>
        <c:auto val="1"/>
        <c:lblAlgn val="ctr"/>
        <c:lblOffset val="100"/>
        <c:noMultiLvlLbl val="0"/>
      </c:catAx>
      <c:valAx>
        <c:axId val="410497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35865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0.16738491420049079"/>
          <c:w val="0.13820920946131707"/>
          <c:h val="0.4265741724761981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Hydrogen consumption</a:t>
            </a:r>
            <a:r>
              <a:rPr lang="de-DE" sz="1600" baseline="0"/>
              <a:t> by transport sector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0763871595443407E-2"/>
          <c:y val="0.25074865520148082"/>
          <c:w val="0.46695545916269482"/>
          <c:h val="0.70069086579823248"/>
        </c:manualLayout>
      </c:layout>
      <c:pieChart>
        <c:varyColors val="1"/>
        <c:ser>
          <c:idx val="0"/>
          <c:order val="0"/>
          <c:tx>
            <c:strRef>
              <c:f>'Wasserstoff - Bedarf'!$AX$3</c:f>
              <c:strCache>
                <c:ptCount val="1"/>
                <c:pt idx="0">
                  <c:v>2050</c:v>
                </c:pt>
              </c:strCache>
            </c:strRef>
          </c:tx>
          <c:dPt>
            <c:idx val="1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D403-40CE-B0E3-5C8BD200DDAF}"/>
              </c:ext>
            </c:extLst>
          </c:dPt>
          <c:dPt>
            <c:idx val="2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D403-40CE-B0E3-5C8BD200DDAF}"/>
              </c:ext>
            </c:extLst>
          </c:dPt>
          <c:dPt>
            <c:idx val="3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D403-40CE-B0E3-5C8BD200DDAF}"/>
              </c:ext>
            </c:extLst>
          </c:dPt>
          <c:cat>
            <c:strRef>
              <c:f>'Wasserstoff - Bedarf'!$AO$4:$AO$8</c:f>
              <c:strCache>
                <c:ptCount val="5"/>
                <c:pt idx="0">
                  <c:v>Cars and LDV</c:v>
                </c:pt>
                <c:pt idx="1">
                  <c:v>Bus</c:v>
                </c:pt>
                <c:pt idx="2">
                  <c:v>Train</c:v>
                </c:pt>
                <c:pt idx="3">
                  <c:v>Truck</c:v>
                </c:pt>
                <c:pt idx="4">
                  <c:v>H2 for PtL</c:v>
                </c:pt>
              </c:strCache>
            </c:strRef>
          </c:cat>
          <c:val>
            <c:numRef>
              <c:f>'Wasserstoff - Bedarf'!$AX$4:$AX$8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481129070555323"/>
          <c:y val="0.20308152216419142"/>
          <c:w val="0.45518870929444671"/>
          <c:h val="0.796918477835808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263055555555556"/>
          <c:y val="6.1460416666666663E-2"/>
          <c:w val="0.50444652777777776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'Wasserstoff - Bedarf'!$BB$4</c:f>
              <c:strCache>
                <c:ptCount val="1"/>
                <c:pt idx="0">
                  <c:v>H2 condensing boiler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Bedarf'!$BF$3:$BK$3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Bedarf'!$BF$4:$BK$4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'Wasserstoff - Bedarf'!$BB$5</c:f>
              <c:strCache>
                <c:ptCount val="1"/>
                <c:pt idx="0">
                  <c:v>SS-Fuel Cell</c:v>
                </c:pt>
              </c:strCache>
            </c:strRef>
          </c:tx>
          <c:invertIfNegative val="0"/>
          <c:cat>
            <c:numRef>
              <c:f>'Wasserstoff - Bedarf'!$BF$3:$BK$3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Bedarf'!$BF$5:$BK$5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1-47D1-9BB3-697557359B1F}"/>
            </c:ext>
          </c:extLst>
        </c:ser>
        <c:ser>
          <c:idx val="1"/>
          <c:order val="2"/>
          <c:tx>
            <c:strRef>
              <c:f>'Wasserstoff - Bedarf'!$BB$6</c:f>
              <c:strCache>
                <c:ptCount val="1"/>
                <c:pt idx="0">
                  <c:v>SS-SOFC</c:v>
                </c:pt>
              </c:strCache>
            </c:strRef>
          </c:tx>
          <c:invertIfNegative val="0"/>
          <c:cat>
            <c:numRef>
              <c:f>'Wasserstoff - Bedarf'!$BF$3:$BK$3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Bedarf'!$BF$6:$BK$6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1-47D1-9BB3-697557359B1F}"/>
            </c:ext>
          </c:extLst>
        </c:ser>
        <c:ser>
          <c:idx val="3"/>
          <c:order val="3"/>
          <c:tx>
            <c:strRef>
              <c:f>'Wasserstoff - Bedarf'!$BB$7</c:f>
              <c:strCache>
                <c:ptCount val="1"/>
                <c:pt idx="0">
                  <c:v>SS-rSOFC</c:v>
                </c:pt>
              </c:strCache>
            </c:strRef>
          </c:tx>
          <c:invertIfNegative val="0"/>
          <c:cat>
            <c:numRef>
              <c:f>'Wasserstoff - Bedarf'!$BF$3:$BK$3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Bedarf'!$BF$7:$BK$7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1-47D1-9BB3-697557359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508160"/>
        <c:axId val="412712960"/>
      </c:barChart>
      <c:catAx>
        <c:axId val="41250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712960"/>
        <c:crosses val="autoZero"/>
        <c:auto val="1"/>
        <c:lblAlgn val="ctr"/>
        <c:lblOffset val="100"/>
        <c:noMultiLvlLbl val="0"/>
      </c:catAx>
      <c:valAx>
        <c:axId val="412712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by building sector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50816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158787852485161"/>
          <c:y val="1.2023384893776207E-2"/>
          <c:w val="0.28841212147514839"/>
          <c:h val="0.6729969564802690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Hydrogen consumption by building sector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55842388889059E-2"/>
          <c:y val="0.20658525575251821"/>
          <c:w val="0.42371741203107338"/>
          <c:h val="0.69418165196461279"/>
        </c:manualLayout>
      </c:layout>
      <c:pieChart>
        <c:varyColors val="1"/>
        <c:ser>
          <c:idx val="0"/>
          <c:order val="0"/>
          <c:tx>
            <c:strRef>
              <c:f>'Wasserstoff - Bedarf'!$BK$3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0-3D47-4250-B324-7799BDE56705}"/>
              </c:ext>
            </c:extLst>
          </c:dPt>
          <c:cat>
            <c:strRef>
              <c:f>'Wasserstoff - Bedarf'!$BB$4:$BB$7</c:f>
              <c:strCache>
                <c:ptCount val="4"/>
                <c:pt idx="0">
                  <c:v>H2 condensing boiler</c:v>
                </c:pt>
                <c:pt idx="1">
                  <c:v>SS-Fuel Cell</c:v>
                </c:pt>
                <c:pt idx="2">
                  <c:v>SS-SOFC</c:v>
                </c:pt>
                <c:pt idx="3">
                  <c:v>SS-rSOFC</c:v>
                </c:pt>
              </c:strCache>
            </c:strRef>
          </c:cat>
          <c:val>
            <c:numRef>
              <c:f>'Wasserstoff - Bedarf'!$BK$4:$BK$7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2893695009258979"/>
          <c:y val="0.22073982565726516"/>
          <c:w val="0.47106304990741027"/>
          <c:h val="0.6211036183141527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Wasserstoffbedarf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'Wasserstoff - Bedarf'!$K$3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B2EC-4054-9159-3C326124F45B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</c:spPr>
            <c:extLst>
              <c:ext xmlns:c16="http://schemas.microsoft.com/office/drawing/2014/chart" uri="{C3380CC4-5D6E-409C-BE32-E72D297353CC}">
                <c16:uniqueId val="{00000003-B2EC-4054-9159-3C326124F45B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2EC-4054-9159-3C326124F45B}"/>
              </c:ext>
            </c:extLst>
          </c:dPt>
          <c:dPt>
            <c:idx val="3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2EC-4054-9159-3C326124F45B}"/>
              </c:ext>
            </c:extLst>
          </c:dPt>
          <c:cat>
            <c:strRef>
              <c:f>'Wasserstoff - Bedarf'!$C$4:$C$7</c:f>
              <c:strCache>
                <c:ptCount val="4"/>
                <c:pt idx="0">
                  <c:v>Umwandlung</c:v>
                </c:pt>
                <c:pt idx="1">
                  <c:v>Gebäude</c:v>
                </c:pt>
                <c:pt idx="2">
                  <c:v>Industrie</c:v>
                </c:pt>
                <c:pt idx="3">
                  <c:v>Verkehr</c:v>
                </c:pt>
              </c:strCache>
            </c:strRef>
          </c:cat>
          <c:val>
            <c:numRef>
              <c:f>'Wasserstoff - Bedarf'!$K$4:$K$7</c:f>
              <c:numCache>
                <c:formatCode>General</c:formatCode>
                <c:ptCount val="4"/>
                <c:pt idx="0">
                  <c:v>37445.175848094528</c:v>
                </c:pt>
                <c:pt idx="1">
                  <c:v>58850.308929571816</c:v>
                </c:pt>
                <c:pt idx="2">
                  <c:v>308147.93968128605</c:v>
                </c:pt>
                <c:pt idx="3">
                  <c:v>123188.14349880537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3136309672039059"/>
          <c:y val="0.23563268533887186"/>
          <c:w val="0.36863690327960946"/>
          <c:h val="0.7643673146611281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807847222222226"/>
          <c:y val="6.1460416666666663E-2"/>
          <c:w val="0.58362534722222226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Bedarf'!$C$4</c:f>
              <c:strCache>
                <c:ptCount val="1"/>
                <c:pt idx="0">
                  <c:v>Umwandlung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Bedarf'!$E$3:$L$3</c15:sqref>
                  </c15:fullRef>
                </c:ext>
              </c:extLst>
              <c:f>'Wasserstoff - Bedarf'!$E$3:$J$3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Bedarf'!$E$4:$L$4</c15:sqref>
                  </c15:fullRef>
                </c:ext>
              </c:extLst>
              <c:f>'Wasserstoff - Bedarf'!$E$4:$J$4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Bedarf'!$C$5</c:f>
              <c:strCache>
                <c:ptCount val="1"/>
                <c:pt idx="0">
                  <c:v>Gebäude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Bedarf'!$E$3:$L$3</c15:sqref>
                  </c15:fullRef>
                </c:ext>
              </c:extLst>
              <c:f>'Wasserstoff - Bedarf'!$E$3:$J$3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Bedarf'!$E$5:$L$5</c15:sqref>
                  </c15:fullRef>
                </c:ext>
              </c:extLst>
              <c:f>'Wasserstoff - Bedarf'!$E$5:$J$5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5-40EC-852C-7C7EB5F98CBE}"/>
            </c:ext>
          </c:extLst>
        </c:ser>
        <c:ser>
          <c:idx val="2"/>
          <c:order val="2"/>
          <c:tx>
            <c:strRef>
              <c:f>'Wasserstoff - Bedarf'!$C$6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Bedarf'!$E$3:$L$3</c15:sqref>
                  </c15:fullRef>
                </c:ext>
              </c:extLst>
              <c:f>'Wasserstoff - Bedarf'!$E$3:$J$3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Bedarf'!$E$6:$L$6</c15:sqref>
                  </c15:fullRef>
                </c:ext>
              </c:extLst>
              <c:f>'Wasserstoff - Bedarf'!$E$6:$J$6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5-40EC-852C-7C7EB5F98CBE}"/>
            </c:ext>
          </c:extLst>
        </c:ser>
        <c:ser>
          <c:idx val="3"/>
          <c:order val="3"/>
          <c:tx>
            <c:strRef>
              <c:f>'Wasserstoff - Bedarf'!$C$7</c:f>
              <c:strCache>
                <c:ptCount val="1"/>
                <c:pt idx="0">
                  <c:v>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Bedarf'!$E$3:$L$3</c15:sqref>
                  </c15:fullRef>
                </c:ext>
              </c:extLst>
              <c:f>'Wasserstoff - Bedarf'!$E$3:$J$3</c:f>
              <c:strCach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Bedarf'!$E$7:$L$7</c15:sqref>
                  </c15:fullRef>
                </c:ext>
              </c:extLst>
              <c:f>'Wasserstoff - Bedarf'!$E$7:$J$7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35-40EC-852C-7C7EB5F98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510720"/>
        <c:axId val="412717568"/>
      </c:barChart>
      <c:catAx>
        <c:axId val="41251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717568"/>
        <c:crosses val="autoZero"/>
        <c:auto val="1"/>
        <c:lblAlgn val="ctr"/>
        <c:lblOffset val="100"/>
        <c:noMultiLvlLbl val="0"/>
      </c:catAx>
      <c:valAx>
        <c:axId val="412717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Wasserstoffbedarf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51072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0.16738491420049079"/>
          <c:w val="0.17542729205231758"/>
          <c:h val="0.3965535359857687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68979166666667"/>
          <c:y val="6.1460416666666663E-2"/>
          <c:w val="0.49132674523323283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Bedarf'!$P$4</c:f>
              <c:strCache>
                <c:ptCount val="1"/>
                <c:pt idx="0">
                  <c:v>Zementproduktion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Bedarf'!$R$4:$X$4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Bedarf'!$P$5</c:f>
              <c:strCache>
                <c:ptCount val="1"/>
                <c:pt idx="0">
                  <c:v>Direktreduktion H2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Bedarf'!$R$5:$X$5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A-42CB-A36B-527A10D045D4}"/>
            </c:ext>
          </c:extLst>
        </c:ser>
        <c:ser>
          <c:idx val="2"/>
          <c:order val="2"/>
          <c:tx>
            <c:strRef>
              <c:f>'Wasserstoff - Bedarf'!$P$6</c:f>
              <c:strCache>
                <c:ptCount val="1"/>
                <c:pt idx="0">
                  <c:v>Industrieöfen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Bedarf'!$R$6:$X$6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A-42CB-A36B-527A10D045D4}"/>
            </c:ext>
          </c:extLst>
        </c:ser>
        <c:ser>
          <c:idx val="3"/>
          <c:order val="3"/>
          <c:tx>
            <c:strRef>
              <c:f>'Wasserstoff - Bedarf'!$P$7</c:f>
              <c:strCache>
                <c:ptCount val="1"/>
                <c:pt idx="0">
                  <c:v>Haber Bosch</c:v>
                </c:pt>
              </c:strCache>
            </c:strRef>
          </c:tx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Bedarf'!$R$7:$X$7</c:f>
              <c:numCache>
                <c:formatCode>General</c:formatCode>
                <c:ptCount val="7"/>
                <c:pt idx="0">
                  <c:v>0</c:v>
                </c:pt>
                <c:pt idx="1">
                  <c:v>11.1103123195491</c:v>
                </c:pt>
                <c:pt idx="2">
                  <c:v>2052.9227293398508</c:v>
                </c:pt>
                <c:pt idx="3">
                  <c:v>6262.7511512241936</c:v>
                </c:pt>
                <c:pt idx="4">
                  <c:v>14900.681204055691</c:v>
                </c:pt>
                <c:pt idx="5">
                  <c:v>19994.04384051351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4-40A5-8775-6F22AEA23C55}"/>
            </c:ext>
          </c:extLst>
        </c:ser>
        <c:ser>
          <c:idx val="4"/>
          <c:order val="4"/>
          <c:tx>
            <c:strRef>
              <c:f>'Wasserstoff - Bedarf'!$P$8</c:f>
              <c:strCache>
                <c:ptCount val="1"/>
                <c:pt idx="0">
                  <c:v>Methanol</c:v>
                </c:pt>
              </c:strCache>
            </c:strRef>
          </c:tx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Bedarf'!$R$8:$X$8</c:f>
              <c:numCache>
                <c:formatCode>General</c:formatCode>
                <c:ptCount val="7"/>
                <c:pt idx="0">
                  <c:v>0</c:v>
                </c:pt>
                <c:pt idx="1">
                  <c:v>3.10998941178803</c:v>
                </c:pt>
                <c:pt idx="2">
                  <c:v>1.717662760262742E-2</c:v>
                </c:pt>
                <c:pt idx="3">
                  <c:v>1.8831213207467921E-2</c:v>
                </c:pt>
                <c:pt idx="4">
                  <c:v>1.3604642614255839E-3</c:v>
                </c:pt>
                <c:pt idx="5">
                  <c:v>104344.81818443909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64-40A5-8775-6F22AEA23C55}"/>
            </c:ext>
          </c:extLst>
        </c:ser>
        <c:ser>
          <c:idx val="5"/>
          <c:order val="5"/>
          <c:tx>
            <c:strRef>
              <c:f>'Wasserstoff - Bedarf'!$P$9</c:f>
              <c:strCache>
                <c:ptCount val="1"/>
                <c:pt idx="0">
                  <c:v>Naphtha</c:v>
                </c:pt>
              </c:strCache>
            </c:strRef>
          </c:tx>
          <c:invertIfNegative val="0"/>
          <c:cat>
            <c:numRef>
              <c:f>'Wasserstoff - Bedarf'!$R$3:$X$3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'Wasserstoff - Bedarf'!$R$9:$X$9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9-4DAE-B179-F995358AC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511744"/>
        <c:axId val="412719872"/>
      </c:barChart>
      <c:catAx>
        <c:axId val="41251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719872"/>
        <c:crosses val="autoZero"/>
        <c:auto val="1"/>
        <c:lblAlgn val="ctr"/>
        <c:lblOffset val="100"/>
        <c:noMultiLvlLbl val="0"/>
      </c:catAx>
      <c:valAx>
        <c:axId val="412719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Wasserstoffbedarf des Industriesektors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51174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6223559027777776"/>
          <c:y val="6.1668126284391341E-2"/>
          <c:w val="0.23776439565371885"/>
          <c:h val="0.6398612587142972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="1" i="0" u="none" strike="noStrike" baseline="0">
                <a:effectLst/>
              </a:rPr>
              <a:t>Wasserstoffbedarf des Industriesektors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625141798875132E-4"/>
          <c:y val="0.23842828484243808"/>
          <c:w val="0.40300562062112677"/>
          <c:h val="0.6531952220473628"/>
        </c:manualLayout>
      </c:layout>
      <c:pieChart>
        <c:varyColors val="1"/>
        <c:ser>
          <c:idx val="0"/>
          <c:order val="0"/>
          <c:tx>
            <c:strRef>
              <c:f>'Wasserstoff - Bedarf'!$X$3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9104-4909-9196-D7863AE6247E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9104-4909-9196-D7863AE6247E}"/>
              </c:ext>
            </c:extLst>
          </c:dPt>
          <c:cat>
            <c:strRef>
              <c:f>'Wasserstoff - Bedarf'!$P$4:$P$9</c:f>
              <c:strCache>
                <c:ptCount val="6"/>
                <c:pt idx="0">
                  <c:v>Zementproduktion</c:v>
                </c:pt>
                <c:pt idx="1">
                  <c:v>Direktreduktion H2</c:v>
                </c:pt>
                <c:pt idx="2">
                  <c:v>Industrieöfen</c:v>
                </c:pt>
                <c:pt idx="3">
                  <c:v>Haber Bosch</c:v>
                </c:pt>
                <c:pt idx="4">
                  <c:v>Methanol</c:v>
                </c:pt>
                <c:pt idx="5">
                  <c:v>Naphtha</c:v>
                </c:pt>
              </c:strCache>
            </c:strRef>
          </c:cat>
          <c:val>
            <c:numRef>
              <c:f>'Wasserstoff - Bedarf'!$X$4:$X$9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A3F-8DB5-55F01918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119598727007523"/>
          <c:y val="0.22987703457805045"/>
          <c:w val="0.44189805486275541"/>
          <c:h val="0.69823430132410003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1977165364577"/>
          <c:y val="6.1460416666666663E-2"/>
          <c:w val="0.46959601261457445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'Wasserstoff - Bedarf'!$AC$4</c:f>
              <c:strCache>
                <c:ptCount val="1"/>
                <c:pt idx="0">
                  <c:v>H2 CC PP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Bedarf'!$AF$4:$AK$4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9-4B08-A3AF-8460BECACEB0}"/>
            </c:ext>
          </c:extLst>
        </c:ser>
        <c:ser>
          <c:idx val="0"/>
          <c:order val="1"/>
          <c:tx>
            <c:strRef>
              <c:f>'Wasserstoff - Bedarf'!$AC$5</c:f>
              <c:strCache>
                <c:ptCount val="1"/>
                <c:pt idx="0">
                  <c:v>H2 GT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Bedarf'!$AF$5:$AK$5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B-48E9-9A49-DC4D1F46FCC6}"/>
            </c:ext>
          </c:extLst>
        </c:ser>
        <c:ser>
          <c:idx val="1"/>
          <c:order val="2"/>
          <c:tx>
            <c:strRef>
              <c:f>'Wasserstoff - Bedarf'!$AC$6</c:f>
              <c:strCache>
                <c:ptCount val="1"/>
                <c:pt idx="0">
                  <c:v>Brennstoffzellen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Bedarf'!$AF$6:$AK$6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B-48E9-9A49-DC4D1F46FCC6}"/>
            </c:ext>
          </c:extLst>
        </c:ser>
        <c:ser>
          <c:idx val="3"/>
          <c:order val="3"/>
          <c:tx>
            <c:strRef>
              <c:f>'Wasserstoff - Bedarf'!$AC$7</c:f>
              <c:strCache>
                <c:ptCount val="1"/>
                <c:pt idx="0">
                  <c:v>SOFC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Bedarf'!$AF$7:$AK$7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B-48E9-9A49-DC4D1F46FCC6}"/>
            </c:ext>
          </c:extLst>
        </c:ser>
        <c:ser>
          <c:idx val="4"/>
          <c:order val="4"/>
          <c:tx>
            <c:strRef>
              <c:f>'Wasserstoff - Bedarf'!$AC$8</c:f>
              <c:strCache>
                <c:ptCount val="1"/>
                <c:pt idx="0">
                  <c:v>Sabatier-Prozess</c:v>
                </c:pt>
              </c:strCache>
            </c:strRef>
          </c:tx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Bedarf'!$AF$8:$AK$8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2B-48E9-9A49-DC4D1F46FCC6}"/>
            </c:ext>
          </c:extLst>
        </c:ser>
        <c:ser>
          <c:idx val="6"/>
          <c:order val="5"/>
          <c:tx>
            <c:strRef>
              <c:f>'Wasserstoff - Bedarf'!$AC$9</c:f>
              <c:strCache>
                <c:ptCount val="1"/>
                <c:pt idx="0">
                  <c:v>H2 KWK (klein)</c:v>
                </c:pt>
              </c:strCache>
            </c:strRef>
          </c:tx>
          <c:invertIfNegative val="0"/>
          <c:cat>
            <c:numRef>
              <c:f>'Wasserstoff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Bedarf'!$AF$9:$AK$9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2B-48E9-9A49-DC4D1F46F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924928"/>
        <c:axId val="412797184"/>
      </c:barChart>
      <c:catAx>
        <c:axId val="41292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797184"/>
        <c:crosses val="autoZero"/>
        <c:auto val="1"/>
        <c:lblAlgn val="ctr"/>
        <c:lblOffset val="100"/>
        <c:noMultiLvlLbl val="0"/>
      </c:catAx>
      <c:valAx>
        <c:axId val="412797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Wasserstoffbedarf des Umwandlungssektors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92492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8500488012250182"/>
          <c:y val="1.7519790734494382E-2"/>
          <c:w val="0.24387078706735638"/>
          <c:h val="0.6391421526463673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="1" i="0" u="none" strike="noStrike" baseline="0">
                <a:effectLst/>
              </a:rPr>
              <a:t>Wasserstoffbedarf des Umwandlungssektors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'Wasserstoff - Bedarf'!$AK$3</c:f>
              <c:strCache>
                <c:ptCount val="1"/>
                <c:pt idx="0">
                  <c:v>2050</c:v>
                </c:pt>
              </c:strCache>
            </c:strRef>
          </c:tx>
          <c:cat>
            <c:strRef>
              <c:f>'Wasserstoff - Bedarf'!$AC$4:$AC$9</c:f>
              <c:strCache>
                <c:ptCount val="6"/>
                <c:pt idx="0">
                  <c:v>H2 CC PP</c:v>
                </c:pt>
                <c:pt idx="1">
                  <c:v>H2 GT</c:v>
                </c:pt>
                <c:pt idx="2">
                  <c:v>Brennstoffzellen</c:v>
                </c:pt>
                <c:pt idx="3">
                  <c:v>SOFC</c:v>
                </c:pt>
                <c:pt idx="4">
                  <c:v>Sabatier-Prozess</c:v>
                </c:pt>
                <c:pt idx="5">
                  <c:v>H2 KWK (klein)</c:v>
                </c:pt>
              </c:strCache>
            </c:strRef>
          </c:cat>
          <c:val>
            <c:numRef>
              <c:f>'Wasserstoff - Bedarf'!$AK$4:$AK$9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8308421119688656"/>
          <c:y val="0.22073982565726516"/>
          <c:w val="0.31691578880311333"/>
          <c:h val="0.76093191585614128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231805555555555"/>
          <c:y val="6.1460416666666663E-2"/>
          <c:w val="0.50444652777777776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'Wasserstoff - Bedarf'!$AP$4</c:f>
              <c:strCache>
                <c:ptCount val="1"/>
                <c:pt idx="0">
                  <c:v>PKW und leichte NFZ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Bedarf'!$AS$4:$AX$4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'Wasserstoff - Bedarf'!$AP$5</c:f>
              <c:strCache>
                <c:ptCount val="1"/>
                <c:pt idx="0">
                  <c:v>Busse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Bedarf'!$AS$5:$AX$5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A-4449-82C2-78167099EDD3}"/>
            </c:ext>
          </c:extLst>
        </c:ser>
        <c:ser>
          <c:idx val="1"/>
          <c:order val="2"/>
          <c:tx>
            <c:strRef>
              <c:f>'Wasserstoff - Bedarf'!$AP$6</c:f>
              <c:strCache>
                <c:ptCount val="1"/>
                <c:pt idx="0">
                  <c:v>Züge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Bedarf'!$AS$6:$AX$6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A-4449-82C2-78167099EDD3}"/>
            </c:ext>
          </c:extLst>
        </c:ser>
        <c:ser>
          <c:idx val="3"/>
          <c:order val="3"/>
          <c:tx>
            <c:strRef>
              <c:f>'Wasserstoff - Bedarf'!$AP$7</c:f>
              <c:strCache>
                <c:ptCount val="1"/>
                <c:pt idx="0">
                  <c:v>LKW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</c:spPr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Bedarf'!$AS$7:$AX$7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5A-4449-82C2-78167099EDD3}"/>
            </c:ext>
          </c:extLst>
        </c:ser>
        <c:ser>
          <c:idx val="4"/>
          <c:order val="4"/>
          <c:tx>
            <c:strRef>
              <c:f>'Wasserstoff - Bedarf'!$AP$8</c:f>
              <c:strCache>
                <c:ptCount val="1"/>
                <c:pt idx="0">
                  <c:v>H2 for PtL</c:v>
                </c:pt>
              </c:strCache>
            </c:strRef>
          </c:tx>
          <c:invertIfNegative val="0"/>
          <c:cat>
            <c:numRef>
              <c:f>'Wasserstoff - Bedarf'!$AS$3:$AX$3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'Wasserstoff - Bedarf'!$AS$8:$AX$8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F-4C38-B48E-794DF7FF5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241344"/>
        <c:axId val="412801216"/>
      </c:barChart>
      <c:catAx>
        <c:axId val="41324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801216"/>
        <c:crosses val="autoZero"/>
        <c:auto val="1"/>
        <c:lblAlgn val="ctr"/>
        <c:lblOffset val="100"/>
        <c:noMultiLvlLbl val="0"/>
      </c:catAx>
      <c:valAx>
        <c:axId val="412801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Wasserstoffbedarf des Verkehrssektors </a:t>
                </a:r>
                <a:r>
                  <a:rPr lang="de-DE" baseline="0"/>
                  <a:t>in </a:t>
                </a:r>
                <a:r>
                  <a:rPr lang="de-DE"/>
                  <a:t>TWh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24134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5035832816458725"/>
          <c:y val="7.9529983252667844E-2"/>
          <c:w val="0.24799269359816009"/>
          <c:h val="0.7942438221621848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Wasserstoffbedarf des Verkehrssektors</a:t>
            </a:r>
            <a:r>
              <a:rPr lang="de-DE" sz="1600" baseline="0"/>
              <a:t>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0763871595443407E-2"/>
          <c:y val="0.25074865520148082"/>
          <c:w val="0.46695545916269482"/>
          <c:h val="0.70069086579823248"/>
        </c:manualLayout>
      </c:layout>
      <c:pieChart>
        <c:varyColors val="1"/>
        <c:ser>
          <c:idx val="0"/>
          <c:order val="0"/>
          <c:tx>
            <c:strRef>
              <c:f>'Wasserstoff - Bedarf'!$AX$3</c:f>
              <c:strCache>
                <c:ptCount val="1"/>
                <c:pt idx="0">
                  <c:v>2050</c:v>
                </c:pt>
              </c:strCache>
            </c:strRef>
          </c:tx>
          <c:dPt>
            <c:idx val="1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F833-437F-9B53-2A722CEB5305}"/>
              </c:ext>
            </c:extLst>
          </c:dPt>
          <c:dPt>
            <c:idx val="2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F833-437F-9B53-2A722CEB5305}"/>
              </c:ext>
            </c:extLst>
          </c:dPt>
          <c:dPt>
            <c:idx val="3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F833-437F-9B53-2A722CEB5305}"/>
              </c:ext>
            </c:extLst>
          </c:dPt>
          <c:cat>
            <c:strRef>
              <c:f>'Wasserstoff - Bedarf'!$AP$4:$AP$8</c:f>
              <c:strCache>
                <c:ptCount val="5"/>
                <c:pt idx="0">
                  <c:v>PKW und leichte NFZ</c:v>
                </c:pt>
                <c:pt idx="1">
                  <c:v>Busse</c:v>
                </c:pt>
                <c:pt idx="2">
                  <c:v>Züge</c:v>
                </c:pt>
                <c:pt idx="3">
                  <c:v>LKW</c:v>
                </c:pt>
                <c:pt idx="4">
                  <c:v>H2 for PtL</c:v>
                </c:pt>
              </c:strCache>
            </c:strRef>
          </c:cat>
          <c:val>
            <c:numRef>
              <c:f>'Wasserstoff - Bedarf'!$AX$4:$AX$8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481129070555323"/>
          <c:y val="0.20308152216419142"/>
          <c:w val="0.45518870929444671"/>
          <c:h val="0.7969184778358086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263055555555556"/>
          <c:y val="6.1460416666666663E-2"/>
          <c:w val="0.50444652777777776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'Wasserstoff - Bedarf'!$BC$4</c:f>
              <c:strCache>
                <c:ptCount val="1"/>
                <c:pt idx="0">
                  <c:v>Brenntwertkessel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'Wasserstoff - Bedarf'!$BF$3:$BK$3</c15:sqref>
                  </c15:fullRef>
                </c:ext>
              </c:extLst>
              <c:f>'Wasserstoff - Bedarf'!$BF$3:$BJ$3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Bedarf'!$BF$4:$BK$4</c15:sqref>
                  </c15:fullRef>
                </c:ext>
              </c:extLst>
              <c:f>'Wasserstoff - Bedarf'!$BF$4:$BJ$4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20-939C-D71CCBD65FBF}"/>
            </c:ext>
          </c:extLst>
        </c:ser>
        <c:ser>
          <c:idx val="0"/>
          <c:order val="1"/>
          <c:tx>
            <c:strRef>
              <c:f>'Wasserstoff - Bedarf'!$BC$5</c:f>
              <c:strCache>
                <c:ptCount val="1"/>
                <c:pt idx="0">
                  <c:v>Brennstoffzellen</c:v>
                </c:pt>
              </c:strCache>
            </c:strRef>
          </c:tx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'Wasserstoff - Bedarf'!$BF$3:$BK$3</c15:sqref>
                  </c15:fullRef>
                </c:ext>
              </c:extLst>
              <c:f>'Wasserstoff - Bedarf'!$BF$3:$BJ$3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Bedarf'!$BF$5:$BK$5</c15:sqref>
                  </c15:fullRef>
                </c:ext>
              </c:extLst>
              <c:f>'Wasserstoff - Bedarf'!$BF$5:$BJ$5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1-47D1-9BB3-697557359B1F}"/>
            </c:ext>
          </c:extLst>
        </c:ser>
        <c:ser>
          <c:idx val="1"/>
          <c:order val="2"/>
          <c:tx>
            <c:strRef>
              <c:f>'Wasserstoff - Bedarf'!$BC$6</c:f>
              <c:strCache>
                <c:ptCount val="1"/>
                <c:pt idx="0">
                  <c:v>SOFC</c:v>
                </c:pt>
              </c:strCache>
            </c:strRef>
          </c:tx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'Wasserstoff - Bedarf'!$BF$3:$BK$3</c15:sqref>
                  </c15:fullRef>
                </c:ext>
              </c:extLst>
              <c:f>'Wasserstoff - Bedarf'!$BF$3:$BJ$3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Bedarf'!$BF$6:$BK$6</c15:sqref>
                  </c15:fullRef>
                </c:ext>
              </c:extLst>
              <c:f>'Wasserstoff - Bedarf'!$BF$6:$BJ$6</c:f>
              <c:numCache>
                <c:formatCode>General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1-47D1-9BB3-697557359B1F}"/>
            </c:ext>
          </c:extLst>
        </c:ser>
        <c:ser>
          <c:idx val="3"/>
          <c:order val="3"/>
          <c:tx>
            <c:strRef>
              <c:f>'Wasserstoff - Bedarf'!$BC$7</c:f>
              <c:strCache>
                <c:ptCount val="1"/>
                <c:pt idx="0">
                  <c:v>rev. SOFC</c:v>
                </c:pt>
              </c:strCache>
            </c:strRef>
          </c:tx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'Wasserstoff - Bedarf'!$BF$3:$BK$3</c15:sqref>
                  </c15:fullRef>
                </c:ext>
              </c:extLst>
              <c:f>'Wasserstoff - Bedarf'!$BF$3:$BJ$3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Bedarf'!$BF$7:$BK$7</c15:sqref>
                  </c15:fullRef>
                </c:ext>
              </c:extLst>
              <c:f>'Wasserstoff - Bedarf'!$BF$7:$BJ$7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1-47D1-9BB3-697557359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243392"/>
        <c:axId val="413312128"/>
      </c:barChart>
      <c:catAx>
        <c:axId val="41324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312128"/>
        <c:crosses val="autoZero"/>
        <c:auto val="1"/>
        <c:lblAlgn val="ctr"/>
        <c:lblOffset val="100"/>
        <c:noMultiLvlLbl val="0"/>
      </c:catAx>
      <c:valAx>
        <c:axId val="413312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600" b="1" i="0" u="none" strike="noStrike" baseline="0">
                    <a:effectLst/>
                  </a:rPr>
                  <a:t>Wasserstoffbedarf des Gebäudesektors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24339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158787852485161"/>
          <c:y val="1.2023384893776207E-2"/>
          <c:w val="0.28841212147514839"/>
          <c:h val="0.6729969564802690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="1" i="0" u="none" strike="noStrike" baseline="0">
                <a:effectLst/>
              </a:rPr>
              <a:t>Wasserstoffbedarf des Gebäudesektors </a:t>
            </a:r>
            <a:r>
              <a:rPr lang="de-DE" sz="1600" baseline="0"/>
              <a:t>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315871230381935E-2"/>
          <c:y val="0.18854294230129928"/>
          <c:w val="0.41877593872194546"/>
          <c:h val="0.69418154334861015"/>
        </c:manualLayout>
      </c:layout>
      <c:pieChart>
        <c:varyColors val="1"/>
        <c:ser>
          <c:idx val="0"/>
          <c:order val="0"/>
          <c:tx>
            <c:strRef>
              <c:f>'Wasserstoff - Bedarf'!$BK$3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0-D51B-4AEA-9BC1-F0440D12A461}"/>
              </c:ext>
            </c:extLst>
          </c:dPt>
          <c:cat>
            <c:strRef>
              <c:f>'Wasserstoff - Bedarf'!$BC$4:$BC$7</c:f>
              <c:strCache>
                <c:ptCount val="4"/>
                <c:pt idx="0">
                  <c:v>Brenntwertkessel</c:v>
                </c:pt>
                <c:pt idx="1">
                  <c:v>Brennstoffzellen</c:v>
                </c:pt>
                <c:pt idx="2">
                  <c:v>SOFC</c:v>
                </c:pt>
                <c:pt idx="3">
                  <c:v>rev. SOFC</c:v>
                </c:pt>
              </c:strCache>
            </c:strRef>
          </c:cat>
          <c:val>
            <c:numRef>
              <c:f>'Wasserstoff - Bedarf'!$BK$4:$BK$7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7-476A-A22E-F228B06F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062392200974874"/>
          <c:y val="0.22073982565726516"/>
          <c:w val="0.4593760779902511"/>
          <c:h val="0.54893393645101984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71504812659248"/>
          <c:y val="6.1460490165818372E-2"/>
          <c:w val="0.54559887743342728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Bedarf'!$B$54</c:f>
              <c:strCache>
                <c:ptCount val="1"/>
                <c:pt idx="0">
                  <c:v>Energy - reelectrification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Bedarf'!$F$54:$K$54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4"/>
          <c:order val="1"/>
          <c:tx>
            <c:strRef>
              <c:f>'Wasserstoff - Bedarf'!$B$55</c:f>
              <c:strCache>
                <c:ptCount val="1"/>
                <c:pt idx="0">
                  <c:v>Building - heat</c:v>
                </c:pt>
              </c:strCache>
            </c:strRef>
          </c:tx>
          <c:spPr>
            <a:pattFill prst="ltDnDiag">
              <a:fgClr>
                <a:schemeClr val="accent5"/>
              </a:fgClr>
              <a:bgClr>
                <a:schemeClr val="accent4"/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Bedarf'!$F$55:$K$55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58850.308929571816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7-4307-9D3D-413A0323B4F1}"/>
            </c:ext>
          </c:extLst>
        </c:ser>
        <c:ser>
          <c:idx val="5"/>
          <c:order val="2"/>
          <c:tx>
            <c:strRef>
              <c:f>'Wasserstoff - Bedarf'!$B$56</c:f>
              <c:strCache>
                <c:ptCount val="1"/>
                <c:pt idx="0">
                  <c:v>Industry - steel</c:v>
                </c:pt>
              </c:strCache>
            </c:strRef>
          </c:tx>
          <c:spPr>
            <a:pattFill prst="lgCheck">
              <a:fgClr>
                <a:srgbClr val="C00000"/>
              </a:fgClr>
              <a:bgClr>
                <a:schemeClr val="accent4"/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Bedarf'!$F$56:$K$56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7-4307-9D3D-413A0323B4F1}"/>
            </c:ext>
          </c:extLst>
        </c:ser>
        <c:ser>
          <c:idx val="0"/>
          <c:order val="3"/>
          <c:tx>
            <c:strRef>
              <c:f>'Wasserstoff - Bedarf'!$B$57</c:f>
              <c:strCache>
                <c:ptCount val="1"/>
                <c:pt idx="0">
                  <c:v>Industry - methanol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Bedarf'!$F$57:$K$57</c:f>
              <c:numCache>
                <c:formatCode>General</c:formatCode>
                <c:ptCount val="6"/>
                <c:pt idx="0">
                  <c:v>3.10998941178803</c:v>
                </c:pt>
                <c:pt idx="1">
                  <c:v>1.717662760262742E-2</c:v>
                </c:pt>
                <c:pt idx="2">
                  <c:v>1.8831213207467921E-2</c:v>
                </c:pt>
                <c:pt idx="3">
                  <c:v>1.3604642614255839E-3</c:v>
                </c:pt>
                <c:pt idx="4">
                  <c:v>104344.81818443909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5-40EC-852C-7C7EB5F98CBE}"/>
            </c:ext>
          </c:extLst>
        </c:ser>
        <c:ser>
          <c:idx val="6"/>
          <c:order val="4"/>
          <c:tx>
            <c:strRef>
              <c:f>'Wasserstoff - Bedarf'!$B$58</c:f>
              <c:strCache>
                <c:ptCount val="1"/>
                <c:pt idx="0">
                  <c:v>Industry - ammonia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Bedarf'!$F$58:$K$58</c:f>
              <c:numCache>
                <c:formatCode>General</c:formatCode>
                <c:ptCount val="6"/>
                <c:pt idx="0">
                  <c:v>11.1103123195491</c:v>
                </c:pt>
                <c:pt idx="1">
                  <c:v>2052.9227293398508</c:v>
                </c:pt>
                <c:pt idx="2">
                  <c:v>6262.7511512241936</c:v>
                </c:pt>
                <c:pt idx="3">
                  <c:v>14900.681204055691</c:v>
                </c:pt>
                <c:pt idx="4">
                  <c:v>19994.04384051351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7-4307-9D3D-413A0323B4F1}"/>
            </c:ext>
          </c:extLst>
        </c:ser>
        <c:ser>
          <c:idx val="2"/>
          <c:order val="5"/>
          <c:tx>
            <c:strRef>
              <c:f>'Wasserstoff - Bedarf'!$B$59</c:f>
              <c:strCache>
                <c:ptCount val="1"/>
                <c:pt idx="0">
                  <c:v>Transport - cars &amp; LDV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bg1">
                  <a:lumMod val="50000"/>
                </a:schemeClr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Bedarf'!$F$59:$K$59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5-40EC-852C-7C7EB5F98CBE}"/>
            </c:ext>
          </c:extLst>
        </c:ser>
        <c:ser>
          <c:idx val="3"/>
          <c:order val="6"/>
          <c:tx>
            <c:strRef>
              <c:f>'Wasserstoff - Bedarf'!$B$60</c:f>
              <c:strCache>
                <c:ptCount val="1"/>
                <c:pt idx="0">
                  <c:v>Energy - methanization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Bedarf'!$F$60:$K$60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35-40EC-852C-7C7EB5F98CBE}"/>
            </c:ext>
          </c:extLst>
        </c:ser>
        <c:ser>
          <c:idx val="7"/>
          <c:order val="7"/>
          <c:tx>
            <c:strRef>
              <c:f>'Wasserstoff - Bedarf'!$B$61</c:f>
              <c:strCache>
                <c:ptCount val="1"/>
                <c:pt idx="0">
                  <c:v>Energy - Fischer Tropsch</c:v>
                </c:pt>
              </c:strCache>
            </c:strRef>
          </c:tx>
          <c:spPr>
            <a:solidFill>
              <a:srgbClr val="92D050">
                <a:alpha val="99000"/>
              </a:srgbClr>
            </a:solid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Bedarf'!$F$61:$K$61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7-4307-9D3D-413A0323B4F1}"/>
            </c:ext>
          </c:extLst>
        </c:ser>
        <c:ser>
          <c:idx val="8"/>
          <c:order val="8"/>
          <c:tx>
            <c:strRef>
              <c:f>'Wasserstoff - Bedarf'!$B$62</c:f>
              <c:strCache>
                <c:ptCount val="1"/>
                <c:pt idx="0">
                  <c:v>Industry - process heat</c:v>
                </c:pt>
              </c:strCache>
            </c:strRef>
          </c:tx>
          <c:spPr>
            <a:pattFill prst="lgCheck">
              <a:fgClr>
                <a:schemeClr val="bg1"/>
              </a:fgClr>
              <a:bgClr>
                <a:schemeClr val="accent3"/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Bedarf'!$F$62:$K$62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27-4307-9D3D-413A0323B4F1}"/>
            </c:ext>
          </c:extLst>
        </c:ser>
        <c:ser>
          <c:idx val="9"/>
          <c:order val="9"/>
          <c:tx>
            <c:strRef>
              <c:f>'Wasserstoff - Bedarf'!$B$63</c:f>
              <c:strCache>
                <c:ptCount val="1"/>
                <c:pt idx="0">
                  <c:v>Transport - HDV</c:v>
                </c:pt>
              </c:strCache>
            </c:strRef>
          </c:tx>
          <c:spPr>
            <a:pattFill prst="ltDnDiag">
              <a:fgClr>
                <a:schemeClr val="tx1"/>
              </a:fgClr>
              <a:bgClr>
                <a:schemeClr val="accent3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Bedarf'!$F$63:$K$63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27-4307-9D3D-413A0323B4F1}"/>
            </c:ext>
          </c:extLst>
        </c:ser>
        <c:ser>
          <c:idx val="10"/>
          <c:order val="10"/>
          <c:tx>
            <c:strRef>
              <c:f>'Wasserstoff - Bedarf'!$B$64</c:f>
              <c:strCache>
                <c:ptCount val="1"/>
                <c:pt idx="0">
                  <c:v>Transport - busses</c:v>
                </c:pt>
              </c:strCache>
            </c:strRef>
          </c:tx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Bedarf'!$F$64:$K$64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3-41BC-ACA4-4E3775B6AC6D}"/>
            </c:ext>
          </c:extLst>
        </c:ser>
        <c:ser>
          <c:idx val="11"/>
          <c:order val="11"/>
          <c:tx>
            <c:strRef>
              <c:f>'Wasserstoff - Bedarf'!$B$65</c:f>
              <c:strCache>
                <c:ptCount val="1"/>
                <c:pt idx="0">
                  <c:v>Transport - trains</c:v>
                </c:pt>
              </c:strCache>
            </c:strRef>
          </c:tx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Bedarf'!$F$65:$K$65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3-41BC-ACA4-4E3775B6A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544960"/>
        <c:axId val="413315584"/>
      </c:barChart>
      <c:catAx>
        <c:axId val="41354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315584"/>
        <c:crosses val="autoZero"/>
        <c:auto val="1"/>
        <c:lblAlgn val="ctr"/>
        <c:lblOffset val="100"/>
        <c:noMultiLvlLbl val="0"/>
      </c:catAx>
      <c:valAx>
        <c:axId val="413315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544960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403690883146882"/>
          <c:y val="0"/>
          <c:w val="0.30883812181517828"/>
          <c:h val="0.8008695056294545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71504812659248"/>
          <c:y val="6.1460490165818372E-2"/>
          <c:w val="0.45263594942298674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Bedarf'!$C$54</c:f>
              <c:strCache>
                <c:ptCount val="1"/>
                <c:pt idx="0">
                  <c:v>Umwandlung - Rückverstromung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Bedarf'!$F$54:$K$54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4"/>
          <c:order val="1"/>
          <c:tx>
            <c:strRef>
              <c:f>'Wasserstoff - Bedarf'!$C$55</c:f>
              <c:strCache>
                <c:ptCount val="1"/>
                <c:pt idx="0">
                  <c:v>Gebäude - Wärme</c:v>
                </c:pt>
              </c:strCache>
            </c:strRef>
          </c:tx>
          <c:spPr>
            <a:pattFill prst="ltDnDiag">
              <a:fgClr>
                <a:schemeClr val="accent5"/>
              </a:fgClr>
              <a:bgClr>
                <a:schemeClr val="accent4"/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Bedarf'!$F$55:$K$55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58850.308929571816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D-44EF-A158-E869F21EA318}"/>
            </c:ext>
          </c:extLst>
        </c:ser>
        <c:ser>
          <c:idx val="5"/>
          <c:order val="2"/>
          <c:tx>
            <c:strRef>
              <c:f>'Wasserstoff - Bedarf'!$C$56</c:f>
              <c:strCache>
                <c:ptCount val="1"/>
                <c:pt idx="0">
                  <c:v>Industrie - Stahl</c:v>
                </c:pt>
              </c:strCache>
            </c:strRef>
          </c:tx>
          <c:spPr>
            <a:pattFill prst="lgCheck">
              <a:fgClr>
                <a:srgbClr val="C00000"/>
              </a:fgClr>
              <a:bgClr>
                <a:schemeClr val="accent4"/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Bedarf'!$F$56:$K$56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D-44EF-A158-E869F21EA318}"/>
            </c:ext>
          </c:extLst>
        </c:ser>
        <c:ser>
          <c:idx val="0"/>
          <c:order val="3"/>
          <c:tx>
            <c:strRef>
              <c:f>'Wasserstoff - Bedarf'!$C$57</c:f>
              <c:strCache>
                <c:ptCount val="1"/>
                <c:pt idx="0">
                  <c:v>Industrie - Methanol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Bedarf'!$F$57:$K$57</c:f>
              <c:numCache>
                <c:formatCode>General</c:formatCode>
                <c:ptCount val="6"/>
                <c:pt idx="0">
                  <c:v>3.10998941178803</c:v>
                </c:pt>
                <c:pt idx="1">
                  <c:v>1.717662760262742E-2</c:v>
                </c:pt>
                <c:pt idx="2">
                  <c:v>1.8831213207467921E-2</c:v>
                </c:pt>
                <c:pt idx="3">
                  <c:v>1.3604642614255839E-3</c:v>
                </c:pt>
                <c:pt idx="4">
                  <c:v>104344.81818443909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5-40EC-852C-7C7EB5F98CBE}"/>
            </c:ext>
          </c:extLst>
        </c:ser>
        <c:ser>
          <c:idx val="6"/>
          <c:order val="4"/>
          <c:tx>
            <c:strRef>
              <c:f>'Wasserstoff - Bedarf'!$C$58</c:f>
              <c:strCache>
                <c:ptCount val="1"/>
                <c:pt idx="0">
                  <c:v>Industrie - Ammoniak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Bedarf'!$F$58:$K$58</c:f>
              <c:numCache>
                <c:formatCode>General</c:formatCode>
                <c:ptCount val="6"/>
                <c:pt idx="0">
                  <c:v>11.1103123195491</c:v>
                </c:pt>
                <c:pt idx="1">
                  <c:v>2052.9227293398508</c:v>
                </c:pt>
                <c:pt idx="2">
                  <c:v>6262.7511512241936</c:v>
                </c:pt>
                <c:pt idx="3">
                  <c:v>14900.681204055691</c:v>
                </c:pt>
                <c:pt idx="4">
                  <c:v>19994.04384051351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2D-44EF-A158-E869F21EA318}"/>
            </c:ext>
          </c:extLst>
        </c:ser>
        <c:ser>
          <c:idx val="2"/>
          <c:order val="5"/>
          <c:tx>
            <c:strRef>
              <c:f>'Wasserstoff - Bedarf'!$C$59</c:f>
              <c:strCache>
                <c:ptCount val="1"/>
                <c:pt idx="0">
                  <c:v>Verkehr - Pkw &amp; Kl.-Transp.</c:v>
                </c:pt>
              </c:strCache>
            </c:strRef>
          </c:tx>
          <c:spPr>
            <a:pattFill prst="ltDnDiag">
              <a:fgClr>
                <a:schemeClr val="bg1"/>
              </a:fgClr>
              <a:bgClr>
                <a:schemeClr val="bg1">
                  <a:lumMod val="50000"/>
                </a:schemeClr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Bedarf'!$F$59:$K$59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5-40EC-852C-7C7EB5F98CBE}"/>
            </c:ext>
          </c:extLst>
        </c:ser>
        <c:ser>
          <c:idx val="3"/>
          <c:order val="6"/>
          <c:tx>
            <c:strRef>
              <c:f>'Wasserstoff - Bedarf'!$C$60</c:f>
              <c:strCache>
                <c:ptCount val="1"/>
                <c:pt idx="0">
                  <c:v>Umwandlung - Methanisierung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Bedarf'!$F$60:$K$60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35-40EC-852C-7C7EB5F98CBE}"/>
            </c:ext>
          </c:extLst>
        </c:ser>
        <c:ser>
          <c:idx val="7"/>
          <c:order val="7"/>
          <c:tx>
            <c:strRef>
              <c:f>'Wasserstoff - Bedarf'!$C$61</c:f>
              <c:strCache>
                <c:ptCount val="1"/>
                <c:pt idx="0">
                  <c:v>Umwandlung - Fischer Tropsch</c:v>
                </c:pt>
              </c:strCache>
            </c:strRef>
          </c:tx>
          <c:spPr>
            <a:solidFill>
              <a:srgbClr val="92D050">
                <a:alpha val="99000"/>
              </a:srgbClr>
            </a:solid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Bedarf'!$F$61:$K$61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2D-44EF-A158-E869F21EA318}"/>
            </c:ext>
          </c:extLst>
        </c:ser>
        <c:ser>
          <c:idx val="8"/>
          <c:order val="8"/>
          <c:tx>
            <c:strRef>
              <c:f>'Wasserstoff - Bedarf'!$C$62</c:f>
              <c:strCache>
                <c:ptCount val="1"/>
                <c:pt idx="0">
                  <c:v>Industrie - Prozesswärme</c:v>
                </c:pt>
              </c:strCache>
            </c:strRef>
          </c:tx>
          <c:spPr>
            <a:pattFill prst="lgCheck">
              <a:fgClr>
                <a:schemeClr val="bg1"/>
              </a:fgClr>
              <a:bgClr>
                <a:schemeClr val="accent3"/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Bedarf'!$F$62:$K$62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2D-44EF-A158-E869F21EA318}"/>
            </c:ext>
          </c:extLst>
        </c:ser>
        <c:ser>
          <c:idx val="9"/>
          <c:order val="9"/>
          <c:tx>
            <c:strRef>
              <c:f>'Wasserstoff - Bedarf'!$C$63</c:f>
              <c:strCache>
                <c:ptCount val="1"/>
                <c:pt idx="0">
                  <c:v>Verkehr - Lkw</c:v>
                </c:pt>
              </c:strCache>
            </c:strRef>
          </c:tx>
          <c:spPr>
            <a:pattFill prst="ltDnDiag">
              <a:fgClr>
                <a:schemeClr val="tx1"/>
              </a:fgClr>
              <a:bgClr>
                <a:schemeClr val="accent3">
                  <a:lumMod val="60000"/>
                  <a:lumOff val="40000"/>
                </a:schemeClr>
              </a:bgClr>
            </a:pattFill>
          </c:spPr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Bedarf'!$F$63:$K$63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2D-44EF-A158-E869F21EA318}"/>
            </c:ext>
          </c:extLst>
        </c:ser>
        <c:ser>
          <c:idx val="10"/>
          <c:order val="10"/>
          <c:tx>
            <c:strRef>
              <c:f>'Wasserstoff - Bedarf'!$C$64</c:f>
              <c:strCache>
                <c:ptCount val="1"/>
                <c:pt idx="0">
                  <c:v>Verkehr - Busse</c:v>
                </c:pt>
              </c:strCache>
            </c:strRef>
          </c:tx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Bedarf'!$F$64:$K$64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16-4590-92E9-27968A911099}"/>
            </c:ext>
          </c:extLst>
        </c:ser>
        <c:ser>
          <c:idx val="11"/>
          <c:order val="11"/>
          <c:tx>
            <c:strRef>
              <c:f>'Wasserstoff - Bedarf'!$C$65</c:f>
              <c:strCache>
                <c:ptCount val="1"/>
                <c:pt idx="0">
                  <c:v>Verkehr - Züge</c:v>
                </c:pt>
              </c:strCache>
            </c:strRef>
          </c:tx>
          <c:invertIfNegative val="0"/>
          <c:cat>
            <c:strRef>
              <c:f>'Wasserstoff - Bedarf'!$F$53:$K$53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Bedarf'!$F$65:$K$65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16-4590-92E9-27968A911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546496"/>
        <c:axId val="413317888"/>
      </c:barChart>
      <c:catAx>
        <c:axId val="41354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317888"/>
        <c:crosses val="autoZero"/>
        <c:auto val="1"/>
        <c:lblAlgn val="ctr"/>
        <c:lblOffset val="100"/>
        <c:noMultiLvlLbl val="0"/>
      </c:catAx>
      <c:valAx>
        <c:axId val="413317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Wasserstoffbedarf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54649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59545765651104798"/>
          <c:y val="0"/>
          <c:w val="0.33629652362157036"/>
          <c:h val="0.8024647554838433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68979166666667"/>
          <c:y val="6.1460416666666663E-2"/>
          <c:w val="0.48798150689026909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Bedarf'!$O$4</c:f>
              <c:strCache>
                <c:ptCount val="1"/>
                <c:pt idx="0">
                  <c:v>Cement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Bedarf'!$R$4:$Y$4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22063.116024519572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9-4E4E-8E3C-82DA66EDFBB1}"/>
            </c:ext>
          </c:extLst>
        </c:ser>
        <c:ser>
          <c:idx val="0"/>
          <c:order val="1"/>
          <c:tx>
            <c:strRef>
              <c:f>'Wasserstoff - Bedarf'!$O$5</c:f>
              <c:strCache>
                <c:ptCount val="1"/>
                <c:pt idx="0">
                  <c:v>Steel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Bedarf'!$R$5:$Y$5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45653.605458957703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49-4E4E-8E3C-82DA66EDFBB1}"/>
            </c:ext>
          </c:extLst>
        </c:ser>
        <c:ser>
          <c:idx val="2"/>
          <c:order val="2"/>
          <c:tx>
            <c:strRef>
              <c:f>'Wasserstoff - Bedarf'!$O$6</c:f>
              <c:strCache>
                <c:ptCount val="1"/>
                <c:pt idx="0">
                  <c:v>Process 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Bedarf'!$R$6:$Y$6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65636.918108186117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49-4E4E-8E3C-82DA66EDFBB1}"/>
            </c:ext>
          </c:extLst>
        </c:ser>
        <c:ser>
          <c:idx val="3"/>
          <c:order val="3"/>
          <c:tx>
            <c:strRef>
              <c:f>'Wasserstoff - Bedarf'!$O$7</c:f>
              <c:strCache>
                <c:ptCount val="1"/>
                <c:pt idx="0">
                  <c:v>Haber Bosch</c:v>
                </c:pt>
              </c:strCache>
            </c:strRef>
          </c:tx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Bedarf'!$R$7:$Y$7</c:f>
              <c:numCache>
                <c:formatCode>General</c:formatCode>
                <c:ptCount val="8"/>
                <c:pt idx="0">
                  <c:v>0</c:v>
                </c:pt>
                <c:pt idx="1">
                  <c:v>11.1103123195491</c:v>
                </c:pt>
                <c:pt idx="2">
                  <c:v>2052.9227293398508</c:v>
                </c:pt>
                <c:pt idx="3">
                  <c:v>6262.7511512241936</c:v>
                </c:pt>
                <c:pt idx="4">
                  <c:v>14900.681204055691</c:v>
                </c:pt>
                <c:pt idx="5">
                  <c:v>19994.04384051351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49-4E4E-8E3C-82DA66EDFBB1}"/>
            </c:ext>
          </c:extLst>
        </c:ser>
        <c:ser>
          <c:idx val="4"/>
          <c:order val="4"/>
          <c:tx>
            <c:strRef>
              <c:f>'Wasserstoff - Bedarf'!$O$8</c:f>
              <c:strCache>
                <c:ptCount val="1"/>
                <c:pt idx="0">
                  <c:v>Methanol</c:v>
                </c:pt>
              </c:strCache>
            </c:strRef>
          </c:tx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Bedarf'!$R$8:$Y$8</c:f>
              <c:numCache>
                <c:formatCode>General</c:formatCode>
                <c:ptCount val="8"/>
                <c:pt idx="0">
                  <c:v>0</c:v>
                </c:pt>
                <c:pt idx="1">
                  <c:v>3.10998941178803</c:v>
                </c:pt>
                <c:pt idx="2">
                  <c:v>1.717662760262742E-2</c:v>
                </c:pt>
                <c:pt idx="3">
                  <c:v>1.8831213207467921E-2</c:v>
                </c:pt>
                <c:pt idx="4">
                  <c:v>1.3604642614255839E-3</c:v>
                </c:pt>
                <c:pt idx="5">
                  <c:v>104344.81818443909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49-4E4E-8E3C-82DA66EDFBB1}"/>
            </c:ext>
          </c:extLst>
        </c:ser>
        <c:ser>
          <c:idx val="5"/>
          <c:order val="5"/>
          <c:tx>
            <c:strRef>
              <c:f>'Wasserstoff - Bedarf'!$O$9</c:f>
              <c:strCache>
                <c:ptCount val="1"/>
                <c:pt idx="0">
                  <c:v>Naphtha</c:v>
                </c:pt>
              </c:strCache>
            </c:strRef>
          </c:tx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Bedarf'!$R$9:$Y$9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49-4E4E-8E3C-82DA66EDFBB1}"/>
            </c:ext>
          </c:extLst>
        </c:ser>
        <c:ser>
          <c:idx val="6"/>
          <c:order val="6"/>
          <c:tx>
            <c:strRef>
              <c:f>'Wasserstoff - Bedarf'!$O$12</c:f>
              <c:strCache>
                <c:ptCount val="1"/>
                <c:pt idx="0">
                  <c:v>EAF heat</c:v>
                </c:pt>
              </c:strCache>
            </c:strRef>
          </c:tx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Bedarf'!$Y$10:$Y$10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B49-4E4E-8E3C-82DA66EDFBB1}"/>
            </c:ext>
          </c:extLst>
        </c:ser>
        <c:ser>
          <c:idx val="7"/>
          <c:order val="7"/>
          <c:tx>
            <c:strRef>
              <c:f>'Wasserstoff - Bedarf'!$O$10</c:f>
              <c:strCache>
                <c:ptCount val="1"/>
                <c:pt idx="0">
                  <c:v>Glass</c:v>
                </c:pt>
              </c:strCache>
            </c:strRef>
          </c:tx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Bedarf'!$R$11:$Y$11</c:f>
              <c:numCache>
                <c:formatCode>General</c:formatCode>
                <c:ptCount val="8"/>
                <c:pt idx="0">
                  <c:v>0</c:v>
                </c:pt>
                <c:pt idx="1">
                  <c:v>3.322414673289396</c:v>
                </c:pt>
                <c:pt idx="2">
                  <c:v>118.58656860986881</c:v>
                </c:pt>
                <c:pt idx="3">
                  <c:v>1152.8536139575949</c:v>
                </c:pt>
                <c:pt idx="4">
                  <c:v>4088.2188069708509</c:v>
                </c:pt>
                <c:pt idx="5">
                  <c:v>5431.9029001919635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B49-4E4E-8E3C-82DA66EDFBB1}"/>
            </c:ext>
          </c:extLst>
        </c:ser>
        <c:ser>
          <c:idx val="8"/>
          <c:order val="8"/>
          <c:tx>
            <c:strRef>
              <c:f>'Wasserstoff - Bedarf'!$O$11</c:f>
              <c:strCache>
                <c:ptCount val="1"/>
                <c:pt idx="0">
                  <c:v>Paper</c:v>
                </c:pt>
              </c:strCache>
            </c:strRef>
          </c:tx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Bedarf'!$R$12:$Y$12</c:f>
              <c:numCache>
                <c:formatCode>General</c:formatCode>
                <c:ptCount val="8"/>
                <c:pt idx="0">
                  <c:v>0</c:v>
                </c:pt>
                <c:pt idx="1">
                  <c:v>1.651125082986914</c:v>
                </c:pt>
                <c:pt idx="2">
                  <c:v>9.1672203015324312E-3</c:v>
                </c:pt>
                <c:pt idx="3">
                  <c:v>4712.9720061677363</c:v>
                </c:pt>
                <c:pt idx="4">
                  <c:v>4.9331093052695459E-2</c:v>
                </c:pt>
                <c:pt idx="5">
                  <c:v>4056.4651695948169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B49-4E4E-8E3C-82DA66EDF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924992"/>
        <c:axId val="411774336"/>
      </c:barChart>
      <c:catAx>
        <c:axId val="41192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774336"/>
        <c:crosses val="autoZero"/>
        <c:auto val="1"/>
        <c:lblAlgn val="ctr"/>
        <c:lblOffset val="100"/>
        <c:noMultiLvlLbl val="0"/>
      </c:catAx>
      <c:valAx>
        <c:axId val="411774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by industry sector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92499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365821831552232"/>
          <c:y val="6.1668126284391341E-2"/>
          <c:w val="0.17933076212257071"/>
          <c:h val="0.8490543280844985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807847222222226"/>
          <c:y val="6.1460416666666663E-2"/>
          <c:w val="0.58362534722222226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Bedarf'!$B$4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'Wasserstoff - Bedarf'!$E$3:$L$3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'Wasserstoff - Bedarf'!$E$4:$L$4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37445.175848094528</c:v>
                </c:pt>
                <c:pt idx="7">
                  <c:v>13676.502047682599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5-493E-92F7-E9989A825143}"/>
            </c:ext>
          </c:extLst>
        </c:ser>
        <c:ser>
          <c:idx val="0"/>
          <c:order val="1"/>
          <c:tx>
            <c:strRef>
              <c:f>'Wasserstoff - Bedarf'!$B$5</c:f>
              <c:strCache>
                <c:ptCount val="1"/>
                <c:pt idx="0">
                  <c:v>Building</c:v>
                </c:pt>
              </c:strCache>
            </c:strRef>
          </c:tx>
          <c:invertIfNegative val="0"/>
          <c:cat>
            <c:strRef>
              <c:f>'Wasserstoff - Bedarf'!$E$3:$L$3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'Wasserstoff - Bedarf'!$E$5:$L$5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58850.308929571816</c:v>
                </c:pt>
                <c:pt idx="7">
                  <c:v>64655.682988985631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15-493E-92F7-E9989A825143}"/>
            </c:ext>
          </c:extLst>
        </c:ser>
        <c:ser>
          <c:idx val="2"/>
          <c:order val="2"/>
          <c:tx>
            <c:strRef>
              <c:f>'Wasserstoff - Bedarf'!$B$6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'Wasserstoff - Bedarf'!$E$3:$L$3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'Wasserstoff - Bedarf'!$E$6:$L$6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308147.93968128605</c:v>
                </c:pt>
                <c:pt idx="7">
                  <c:v>276899.63519169681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15-493E-92F7-E9989A825143}"/>
            </c:ext>
          </c:extLst>
        </c:ser>
        <c:ser>
          <c:idx val="3"/>
          <c:order val="3"/>
          <c:tx>
            <c:strRef>
              <c:f>'Wasserstoff - Bedarf'!$B$7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'Wasserstoff - Bedarf'!$E$3:$L$3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f>'Wasserstoff - Bedarf'!$E$7:$L$7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123188.14349880537</c:v>
                </c:pt>
                <c:pt idx="7">
                  <c:v>155516.60377624212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15-493E-92F7-E9989A825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358656"/>
        <c:axId val="410497536"/>
      </c:barChart>
      <c:catAx>
        <c:axId val="41235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0497536"/>
        <c:crosses val="autoZero"/>
        <c:auto val="1"/>
        <c:lblAlgn val="ctr"/>
        <c:lblOffset val="100"/>
        <c:noMultiLvlLbl val="0"/>
      </c:catAx>
      <c:valAx>
        <c:axId val="410497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235865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80853767361111106"/>
          <c:y val="0.16738491420049079"/>
          <c:w val="0.13820920946131707"/>
          <c:h val="0.4265741724761981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68979166666667"/>
          <c:y val="6.1460416666666663E-2"/>
          <c:w val="0.48798150689026909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'Wasserstoff - Bedarf'!$O$4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Bedarf'!$R$4:$Y$4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22063.116024519572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5-4B90-9BB0-4683851A744C}"/>
            </c:ext>
          </c:extLst>
        </c:ser>
        <c:ser>
          <c:idx val="2"/>
          <c:order val="1"/>
          <c:tx>
            <c:strRef>
              <c:f>'Wasserstoff - Bedarf'!$O$13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Bedarf'!$R$13:$X$13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85-4B90-9BB0-4683851A744C}"/>
            </c:ext>
          </c:extLst>
        </c:ser>
        <c:ser>
          <c:idx val="3"/>
          <c:order val="2"/>
          <c:tx>
            <c:strRef>
              <c:f>'Wasserstoff - Bedarf'!$O$6</c:f>
              <c:strCache>
                <c:ptCount val="1"/>
                <c:pt idx="0">
                  <c:v>Process heat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Bedarf'!$R$6:$Y$6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65636.918108186117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85-4B90-9BB0-4683851A744C}"/>
            </c:ext>
          </c:extLst>
        </c:ser>
        <c:ser>
          <c:idx val="4"/>
          <c:order val="3"/>
          <c:tx>
            <c:strRef>
              <c:f>'Wasserstoff - Bedarf'!$O$7</c:f>
              <c:strCache>
                <c:ptCount val="1"/>
                <c:pt idx="0">
                  <c:v>Haber Bosch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Bedarf'!$R$7:$Y$7</c:f>
              <c:numCache>
                <c:formatCode>General</c:formatCode>
                <c:ptCount val="8"/>
                <c:pt idx="0">
                  <c:v>0</c:v>
                </c:pt>
                <c:pt idx="1">
                  <c:v>11.1103123195491</c:v>
                </c:pt>
                <c:pt idx="2">
                  <c:v>2052.9227293398508</c:v>
                </c:pt>
                <c:pt idx="3">
                  <c:v>6262.7511512241936</c:v>
                </c:pt>
                <c:pt idx="4">
                  <c:v>14900.681204055691</c:v>
                </c:pt>
                <c:pt idx="5">
                  <c:v>19994.04384051351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85-4B90-9BB0-4683851A744C}"/>
            </c:ext>
          </c:extLst>
        </c:ser>
        <c:ser>
          <c:idx val="5"/>
          <c:order val="4"/>
          <c:tx>
            <c:strRef>
              <c:f>'Wasserstoff - Bedarf'!$O$8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Bedarf'!$R$8:$Y$8</c:f>
              <c:numCache>
                <c:formatCode>General</c:formatCode>
                <c:ptCount val="8"/>
                <c:pt idx="0">
                  <c:v>0</c:v>
                </c:pt>
                <c:pt idx="1">
                  <c:v>3.10998941178803</c:v>
                </c:pt>
                <c:pt idx="2">
                  <c:v>1.717662760262742E-2</c:v>
                </c:pt>
                <c:pt idx="3">
                  <c:v>1.8831213207467921E-2</c:v>
                </c:pt>
                <c:pt idx="4">
                  <c:v>1.3604642614255839E-3</c:v>
                </c:pt>
                <c:pt idx="5">
                  <c:v>104344.81818443909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85-4B90-9BB0-4683851A744C}"/>
            </c:ext>
          </c:extLst>
        </c:ser>
        <c:ser>
          <c:idx val="6"/>
          <c:order val="5"/>
          <c:tx>
            <c:strRef>
              <c:f>'Wasserstoff - Bedarf'!$O$9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Bedarf'!$R$9:$Y$9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85-4B90-9BB0-4683851A744C}"/>
            </c:ext>
          </c:extLst>
        </c:ser>
        <c:ser>
          <c:idx val="7"/>
          <c:order val="6"/>
          <c:tx>
            <c:strRef>
              <c:f>'Wasserstoff - Bedarf'!$O$10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Bedarf'!$R$10:$Y$10</c:f>
              <c:numCache>
                <c:formatCode>General</c:formatCode>
                <c:ptCount val="8"/>
                <c:pt idx="0">
                  <c:v>0</c:v>
                </c:pt>
                <c:pt idx="1">
                  <c:v>62.126159477568152</c:v>
                </c:pt>
                <c:pt idx="2">
                  <c:v>38.376061177381892</c:v>
                </c:pt>
                <c:pt idx="3">
                  <c:v>47.245522251308195</c:v>
                </c:pt>
                <c:pt idx="4">
                  <c:v>2.2420790991307909E-3</c:v>
                </c:pt>
                <c:pt idx="5">
                  <c:v>9.2715329084526151E-4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85-4B90-9BB0-4683851A744C}"/>
            </c:ext>
          </c:extLst>
        </c:ser>
        <c:ser>
          <c:idx val="8"/>
          <c:order val="7"/>
          <c:tx>
            <c:strRef>
              <c:f>'Wasserstoff - Bedarf'!$O$11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'Wasserstoff - Bedarf'!$R$3:$Y$3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'Wasserstoff - Bedarf'!$R$11:$Y$11</c:f>
              <c:numCache>
                <c:formatCode>General</c:formatCode>
                <c:ptCount val="8"/>
                <c:pt idx="0">
                  <c:v>0</c:v>
                </c:pt>
                <c:pt idx="1">
                  <c:v>3.322414673289396</c:v>
                </c:pt>
                <c:pt idx="2">
                  <c:v>118.58656860986881</c:v>
                </c:pt>
                <c:pt idx="3">
                  <c:v>1152.8536139575949</c:v>
                </c:pt>
                <c:pt idx="4">
                  <c:v>4088.2188069708509</c:v>
                </c:pt>
                <c:pt idx="5">
                  <c:v>5431.9029001919635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85-4B90-9BB0-4683851A7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924992"/>
        <c:axId val="411774336"/>
      </c:barChart>
      <c:catAx>
        <c:axId val="41192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774336"/>
        <c:crosses val="autoZero"/>
        <c:auto val="1"/>
        <c:lblAlgn val="ctr"/>
        <c:lblOffset val="100"/>
        <c:noMultiLvlLbl val="0"/>
      </c:catAx>
      <c:valAx>
        <c:axId val="411774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by industry sector </a:t>
                </a:r>
                <a:r>
                  <a:rPr lang="de-DE" baseline="0"/>
                  <a:t>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92499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9365821831552232"/>
          <c:y val="6.1668126284391341E-2"/>
          <c:w val="0.17080483654998607"/>
          <c:h val="0.82786623119662794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de-DE"/>
              <a:t>ohne Nicht-CO2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1231977165364577"/>
          <c:y val="0.19286229644794425"/>
          <c:w val="0.46959601261457445"/>
          <c:h val="0.49214382873760487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'[1]Wasserstoff - Bedarf'!$AB$4</c:f>
              <c:strCache>
                <c:ptCount val="1"/>
                <c:pt idx="0">
                  <c:v>H2 CC PP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'[1]Wasserstoff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'[1]Wasserstoff - Bedarf'!$AF$4:$AK$4</c:f>
              <c:numCache>
                <c:formatCode>General</c:formatCode>
                <c:ptCount val="6"/>
                <c:pt idx="0">
                  <c:v>3039.2579001270001</c:v>
                </c:pt>
                <c:pt idx="1">
                  <c:v>12200.149730779151</c:v>
                </c:pt>
                <c:pt idx="2">
                  <c:v>49793.459491293012</c:v>
                </c:pt>
                <c:pt idx="3">
                  <c:v>30340.43757501954</c:v>
                </c:pt>
                <c:pt idx="4">
                  <c:v>37774.31357859174</c:v>
                </c:pt>
                <c:pt idx="5">
                  <c:v>57781.02435907859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E-4823-9FE6-883C9589772F}"/>
            </c:ext>
          </c:extLst>
        </c:ser>
        <c:ser>
          <c:idx val="0"/>
          <c:order val="1"/>
          <c:tx>
            <c:strRef>
              <c:f>'[1]Wasserstoff - Bedarf'!$AB$5</c:f>
              <c:strCache>
                <c:ptCount val="1"/>
                <c:pt idx="0">
                  <c:v>H2 GT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'[1]Wasserstoff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'[1]Wasserstoff - Bedarf'!$AF$5:$AK$5</c:f>
              <c:numCache>
                <c:formatCode>General</c:formatCode>
                <c:ptCount val="6"/>
                <c:pt idx="0">
                  <c:v>1.7048342158074381</c:v>
                </c:pt>
                <c:pt idx="1">
                  <c:v>284.91349746262722</c:v>
                </c:pt>
                <c:pt idx="2">
                  <c:v>1267.3855434170071</c:v>
                </c:pt>
                <c:pt idx="3">
                  <c:v>3046.5355947737662</c:v>
                </c:pt>
                <c:pt idx="4">
                  <c:v>3182.2377113943339</c:v>
                </c:pt>
                <c:pt idx="5">
                  <c:v>5067.7569122695259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E-4823-9FE6-883C9589772F}"/>
            </c:ext>
          </c:extLst>
        </c:ser>
        <c:ser>
          <c:idx val="1"/>
          <c:order val="2"/>
          <c:tx>
            <c:strRef>
              <c:f>'[1]Wasserstoff - Bedarf'!$AB$6</c:f>
              <c:strCache>
                <c:ptCount val="1"/>
                <c:pt idx="0">
                  <c:v>LS-Fuel Cell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'[1]Wasserstoff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'[1]Wasserstoff - Bedarf'!$AF$6:$AK$6</c:f>
              <c:numCache>
                <c:formatCode>General</c:formatCode>
                <c:ptCount val="6"/>
                <c:pt idx="0">
                  <c:v>1.609470061128822</c:v>
                </c:pt>
                <c:pt idx="1">
                  <c:v>1.425555639758896</c:v>
                </c:pt>
                <c:pt idx="2">
                  <c:v>2.245158685238509</c:v>
                </c:pt>
                <c:pt idx="3">
                  <c:v>0.32682263086596408</c:v>
                </c:pt>
                <c:pt idx="4">
                  <c:v>0.96901630089996005</c:v>
                </c:pt>
                <c:pt idx="5">
                  <c:v>0.63405573126351289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E-4823-9FE6-883C9589772F}"/>
            </c:ext>
          </c:extLst>
        </c:ser>
        <c:ser>
          <c:idx val="3"/>
          <c:order val="3"/>
          <c:tx>
            <c:strRef>
              <c:f>'[1]Wasserstoff - Bedarf'!$AB$7</c:f>
              <c:strCache>
                <c:ptCount val="1"/>
                <c:pt idx="0">
                  <c:v>LS-SOFC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numRef>
              <c:f>'[1]Wasserstoff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'[1]Wasserstoff - Bedarf'!$AF$7:$AK$7</c:f>
              <c:numCache>
                <c:formatCode>General</c:formatCode>
                <c:ptCount val="6"/>
                <c:pt idx="0">
                  <c:v>0.55580111272218458</c:v>
                </c:pt>
                <c:pt idx="1">
                  <c:v>0.77441221033977725</c:v>
                </c:pt>
                <c:pt idx="2">
                  <c:v>1.284871401502663</c:v>
                </c:pt>
                <c:pt idx="3">
                  <c:v>0.27391325747386208</c:v>
                </c:pt>
                <c:pt idx="4">
                  <c:v>1.2009779468537249</c:v>
                </c:pt>
                <c:pt idx="5">
                  <c:v>1.320289889239326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0E-4823-9FE6-883C9589772F}"/>
            </c:ext>
          </c:extLst>
        </c:ser>
        <c:ser>
          <c:idx val="4"/>
          <c:order val="4"/>
          <c:tx>
            <c:strRef>
              <c:f>'[1]Wasserstoff - Bedarf'!$AB$8</c:f>
              <c:strCache>
                <c:ptCount val="1"/>
                <c:pt idx="0">
                  <c:v>Sabatier Process</c:v>
                </c:pt>
              </c:strCache>
            </c:strRef>
          </c:tx>
          <c:invertIfNegative val="0"/>
          <c:cat>
            <c:numRef>
              <c:f>'[1]Wasserstoff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'[1]Wasserstoff - Bedarf'!$AF$8:$AK$8</c:f>
              <c:numCache>
                <c:formatCode>General</c:formatCode>
                <c:ptCount val="6"/>
                <c:pt idx="0">
                  <c:v>0.68964858589452638</c:v>
                </c:pt>
                <c:pt idx="1">
                  <c:v>0.43886429178873682</c:v>
                </c:pt>
                <c:pt idx="2">
                  <c:v>0.34779895276834127</c:v>
                </c:pt>
                <c:pt idx="3">
                  <c:v>8.6072881121449965E-2</c:v>
                </c:pt>
                <c:pt idx="4">
                  <c:v>0.32028113332501301</c:v>
                </c:pt>
                <c:pt idx="5">
                  <c:v>0.15844855940256519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0E-4823-9FE6-883C9589772F}"/>
            </c:ext>
          </c:extLst>
        </c:ser>
        <c:ser>
          <c:idx val="6"/>
          <c:order val="5"/>
          <c:tx>
            <c:strRef>
              <c:f>'[1]Wasserstoff - Bedarf'!$AB$9</c:f>
              <c:strCache>
                <c:ptCount val="1"/>
                <c:pt idx="0">
                  <c:v>H2 Mini CHP</c:v>
                </c:pt>
              </c:strCache>
            </c:strRef>
          </c:tx>
          <c:invertIfNegative val="0"/>
          <c:cat>
            <c:numRef>
              <c:f>'[1]Wasserstoff - Bedarf'!$AF$3:$AK$3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'[1]Wasserstoff - Bedarf'!$AF$9:$AK$9</c:f>
              <c:numCache>
                <c:formatCode>General</c:formatCode>
                <c:ptCount val="6"/>
                <c:pt idx="0">
                  <c:v>2.9691618591835322E-3</c:v>
                </c:pt>
                <c:pt idx="1">
                  <c:v>6.5258148957046671E-3</c:v>
                </c:pt>
                <c:pt idx="2">
                  <c:v>5.0936478029881722E-3</c:v>
                </c:pt>
                <c:pt idx="3">
                  <c:v>4.8837329725029193E-4</c:v>
                </c:pt>
                <c:pt idx="4">
                  <c:v>1.104115706107967E-2</c:v>
                </c:pt>
                <c:pt idx="5">
                  <c:v>2.8834661359798081E-2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0E-4823-9FE6-883C95897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661888"/>
        <c:axId val="411777792"/>
      </c:barChart>
      <c:catAx>
        <c:axId val="41066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777792"/>
        <c:crosses val="autoZero"/>
        <c:auto val="1"/>
        <c:lblAlgn val="ctr"/>
        <c:lblOffset val="100"/>
        <c:noMultiLvlLbl val="0"/>
      </c:catAx>
      <c:valAx>
        <c:axId val="41177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Hydrogen consumption by energy</a:t>
                </a:r>
                <a:r>
                  <a:rPr lang="de-DE" baseline="0"/>
                  <a:t> sector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066188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349553217935938"/>
          <c:y val="9.2062400369571279E-2"/>
          <c:w val="0.24238052548063554"/>
          <c:h val="0.63914237888200731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3194444444445"/>
          <c:y val="6.1460416666666663E-2"/>
          <c:w val="0.44692395833333332"/>
          <c:h val="0.6235454861111111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'Wasserstoff - Produktion'!$C$6</c:f>
              <c:strCache>
                <c:ptCount val="1"/>
                <c:pt idx="0">
                  <c:v>Import green H2 Ship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Produktion'!$F$6:$L$6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279449.22083580232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3-4D8C-A4C8-20F423A0D926}"/>
            </c:ext>
          </c:extLst>
        </c:ser>
        <c:ser>
          <c:idx val="0"/>
          <c:order val="1"/>
          <c:tx>
            <c:strRef>
              <c:f>'Wasserstoff - Produktion'!$C$7</c:f>
              <c:strCache>
                <c:ptCount val="1"/>
                <c:pt idx="0">
                  <c:v>Import blue H2</c:v>
                </c:pt>
              </c:strCache>
            </c:strRef>
          </c:tx>
          <c:invertIfNegative val="0"/>
          <c:val>
            <c:numRef>
              <c:f>'Wasserstoff - Produktion'!$F$7:$L$7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87-4649-8632-15C5F3719F17}"/>
            </c:ext>
          </c:extLst>
        </c:ser>
        <c:ser>
          <c:idx val="1"/>
          <c:order val="2"/>
          <c:tx>
            <c:strRef>
              <c:f>'Wasserstoff - Produktion'!$C$8</c:f>
              <c:strCache>
                <c:ptCount val="1"/>
                <c:pt idx="0">
                  <c:v>Import green H2 pipeline</c:v>
                </c:pt>
              </c:strCache>
            </c:strRef>
          </c:tx>
          <c:invertIfNegative val="0"/>
          <c:val>
            <c:numRef>
              <c:f>'Wasserstoff - Produktion'!$F$8:$L$8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149710.6323159688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87-4649-8632-15C5F3719F17}"/>
            </c:ext>
          </c:extLst>
        </c:ser>
        <c:ser>
          <c:idx val="3"/>
          <c:order val="3"/>
          <c:tx>
            <c:strRef>
              <c:f>'Wasserstoff - Produktion'!$C$9</c:f>
              <c:strCache>
                <c:ptCount val="1"/>
                <c:pt idx="0">
                  <c:v>Electrolysis (LS)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Produktion'!$F$9:$L$9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69808.69347358009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3-4D8C-A4C8-20F423A0D926}"/>
            </c:ext>
          </c:extLst>
        </c:ser>
        <c:ser>
          <c:idx val="4"/>
          <c:order val="4"/>
          <c:tx>
            <c:strRef>
              <c:f>'Wasserstoff - Produktion'!$C$10</c:f>
              <c:strCache>
                <c:ptCount val="1"/>
                <c:pt idx="0">
                  <c:v>Reformer (LS)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Produktion'!$F$10:$L$10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3-4D8C-A4C8-20F423A0D926}"/>
            </c:ext>
          </c:extLst>
        </c:ser>
        <c:ser>
          <c:idx val="6"/>
          <c:order val="5"/>
          <c:tx>
            <c:strRef>
              <c:f>'Wasserstoff - Produktion'!$C$12</c:f>
              <c:strCache>
                <c:ptCount val="1"/>
                <c:pt idx="0">
                  <c:v>Electrolysis (SS)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Produktion'!$F$12:$L$12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34175.454233989913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A3-4D8C-A4C8-20F423A0D926}"/>
            </c:ext>
          </c:extLst>
        </c:ser>
        <c:ser>
          <c:idx val="7"/>
          <c:order val="6"/>
          <c:tx>
            <c:strRef>
              <c:f>'Wasserstoff - Produktion'!$C$13</c:f>
              <c:strCache>
                <c:ptCount val="1"/>
                <c:pt idx="0">
                  <c:v>Reformer (SS)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Produktion'!$F$13:$L$13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A3-4D8C-A4C8-20F423A0D926}"/>
            </c:ext>
          </c:extLst>
        </c:ser>
        <c:ser>
          <c:idx val="8"/>
          <c:order val="7"/>
          <c:tx>
            <c:strRef>
              <c:f>'Wasserstoff - Produktion'!$C$14</c:f>
              <c:strCache>
                <c:ptCount val="1"/>
                <c:pt idx="0">
                  <c:v>rSOC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Produktion'!$F$14:$L$14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0.99188938261952331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A3-4D8C-A4C8-20F423A0D926}"/>
            </c:ext>
          </c:extLst>
        </c:ser>
        <c:ser>
          <c:idx val="5"/>
          <c:order val="8"/>
          <c:tx>
            <c:strRef>
              <c:f>'Wasserstoff - Produktion'!$C$15</c:f>
              <c:strCache>
                <c:ptCount val="1"/>
                <c:pt idx="0">
                  <c:v>CH4 Pyrolysis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Produktion'!$F$15:$L$15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9-47CF-AD84-5E90EA204E7E}"/>
            </c:ext>
          </c:extLst>
        </c:ser>
        <c:ser>
          <c:idx val="9"/>
          <c:order val="9"/>
          <c:tx>
            <c:strRef>
              <c:f>'Wasserstoff - Produktion'!$C$18</c:f>
              <c:strCache>
                <c:ptCount val="1"/>
                <c:pt idx="0">
                  <c:v>Chlorine production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Produktion'!$F$18:$L$18</c:f>
              <c:numCache>
                <c:formatCode>General</c:formatCode>
                <c:ptCount val="7"/>
                <c:pt idx="0">
                  <c:v>3663.9365746987605</c:v>
                </c:pt>
                <c:pt idx="1">
                  <c:v>3874.870314182142</c:v>
                </c:pt>
                <c:pt idx="2">
                  <c:v>4242.0156051215163</c:v>
                </c:pt>
                <c:pt idx="3">
                  <c:v>4531.060802959053</c:v>
                </c:pt>
                <c:pt idx="4">
                  <c:v>4820.1060001497781</c:v>
                </c:pt>
                <c:pt idx="5">
                  <c:v>5109.1038001539919</c:v>
                </c:pt>
                <c:pt idx="6">
                  <c:v>5109.1044724557823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A-44DE-B95B-3DC6FC9E9091}"/>
            </c:ext>
          </c:extLst>
        </c:ser>
        <c:ser>
          <c:idx val="10"/>
          <c:order val="10"/>
          <c:tx>
            <c:strRef>
              <c:f>'Wasserstoff - Produktion'!$C$19</c:f>
              <c:strCache>
                <c:ptCount val="1"/>
                <c:pt idx="0">
                  <c:v>Biomass gasification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Produktion'!$F$19:$L$19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0.29332014187699706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F-412D-B546-C1CD4B217B38}"/>
            </c:ext>
          </c:extLst>
        </c:ser>
        <c:ser>
          <c:idx val="11"/>
          <c:order val="11"/>
          <c:tx>
            <c:strRef>
              <c:f>'Wasserstoff - Produktion'!$C$11</c:f>
              <c:strCache>
                <c:ptCount val="1"/>
                <c:pt idx="0">
                  <c:v>GasSwitchingReformer </c:v>
                </c:pt>
              </c:strCache>
            </c:strRef>
          </c:tx>
          <c:invertIfNegative val="0"/>
          <c:val>
            <c:numRef>
              <c:f>'Wasserstoff - Produktion'!$F$11:$L$11</c:f>
              <c:numCache>
                <c:formatCode>@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71-4283-8886-377804FA2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147264"/>
        <c:axId val="411032320"/>
      </c:barChart>
      <c:catAx>
        <c:axId val="41114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032320"/>
        <c:crosses val="autoZero"/>
        <c:auto val="1"/>
        <c:lblAlgn val="ctr"/>
        <c:lblOffset val="100"/>
        <c:noMultiLvlLbl val="0"/>
      </c:catAx>
      <c:valAx>
        <c:axId val="411032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Produced</a:t>
                </a:r>
                <a:r>
                  <a:rPr lang="de-DE" baseline="0"/>
                  <a:t> hydrogen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147264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522170138888892"/>
          <c:y val="4.4048661631708097E-3"/>
          <c:w val="0.28793924091356937"/>
          <c:h val="0.8589468095999383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Produced hydrogen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5603539638507471E-2"/>
          <c:y val="0.22842246153038639"/>
          <c:w val="0.47842916958644371"/>
          <c:h val="0.72269335409540636"/>
        </c:manualLayout>
      </c:layout>
      <c:pieChart>
        <c:varyColors val="1"/>
        <c:ser>
          <c:idx val="0"/>
          <c:order val="0"/>
          <c:tx>
            <c:strRef>
              <c:f>'Wasserstoff - Produktion'!$K$3</c:f>
              <c:strCache>
                <c:ptCount val="1"/>
                <c:pt idx="0">
                  <c:v>2045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3-8FFF-4CC2-8A3F-21A823B9BCD0}"/>
              </c:ext>
            </c:extLst>
          </c:dPt>
          <c:dPt>
            <c:idx val="1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8FFF-4CC2-8A3F-21A823B9BCD0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5-8FFF-4CC2-8A3F-21A823B9BCD0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0-8FFF-4CC2-8A3F-21A823B9BCD0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1-8FFF-4CC2-8A3F-21A823B9BCD0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8-8FFF-4CC2-8A3F-21A823B9BCD0}"/>
              </c:ext>
            </c:extLst>
          </c:dPt>
          <c:dPt>
            <c:idx val="6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8FFF-4CC2-8A3F-21A823B9BCD0}"/>
              </c:ext>
            </c:extLst>
          </c:dPt>
          <c:dPt>
            <c:idx val="7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2-8FFF-4CC2-8A3F-21A823B9BCD0}"/>
              </c:ext>
            </c:extLst>
          </c:dPt>
          <c:dPt>
            <c:idx val="8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8FFF-4CC2-8A3F-21A823B9BCD0}"/>
              </c:ext>
            </c:extLst>
          </c:dPt>
          <c:dPt>
            <c:idx val="9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12-60B1-46B4-BB99-2C5DFDD10DE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Produktion'!$C$4:$C$18</c15:sqref>
                  </c15:fullRef>
                </c:ext>
              </c:extLst>
              <c:f>('Wasserstoff - Produktion'!$C$4:$C$12,'Wasserstoff - Produktion'!$C$15:$C$18)</c:f>
              <c:strCache>
                <c:ptCount val="13"/>
                <c:pt idx="0">
                  <c:v>Straw Gasification</c:v>
                </c:pt>
                <c:pt idx="1">
                  <c:v>Wood Gasification</c:v>
                </c:pt>
                <c:pt idx="2">
                  <c:v>Import green H2 Ship</c:v>
                </c:pt>
                <c:pt idx="3">
                  <c:v>Import blue H2</c:v>
                </c:pt>
                <c:pt idx="4">
                  <c:v>Import green H2 pipeline</c:v>
                </c:pt>
                <c:pt idx="5">
                  <c:v>Electrolysis (LS)</c:v>
                </c:pt>
                <c:pt idx="6">
                  <c:v>Reformer (LS)</c:v>
                </c:pt>
                <c:pt idx="7">
                  <c:v>GasSwitchingReformer </c:v>
                </c:pt>
                <c:pt idx="8">
                  <c:v>Electrolysis (SS)</c:v>
                </c:pt>
                <c:pt idx="9">
                  <c:v>CH4 Pyrolysis</c:v>
                </c:pt>
                <c:pt idx="10">
                  <c:v>Chlorine</c:v>
                </c:pt>
                <c:pt idx="11">
                  <c:v>Chlorine</c:v>
                </c:pt>
                <c:pt idx="12">
                  <c:v>Chlorine production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Produktion'!$K$4:$K$18</c15:sqref>
                  </c15:fullRef>
                </c:ext>
              </c:extLst>
              <c:f>('Wasserstoff - Produktion'!$K$4:$K$12,'Wasserstoff - Produktion'!$K$15:$K$18)</c:f>
              <c:numCache>
                <c:formatCode>General</c:formatCode>
                <c:ptCount val="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 formatCode="@">
                  <c:v>#N/A</c:v>
                </c:pt>
                <c:pt idx="7" formatCode="@">
                  <c:v>0</c:v>
                </c:pt>
                <c:pt idx="8">
                  <c:v>#N/A</c:v>
                </c:pt>
                <c:pt idx="9" formatCode="@">
                  <c:v>#N/A</c:v>
                </c:pt>
                <c:pt idx="10">
                  <c:v>5109.103537742988</c:v>
                </c:pt>
                <c:pt idx="11">
                  <c:v>2.6241100384600098E-4</c:v>
                </c:pt>
                <c:pt idx="12">
                  <c:v>5109.1038001539919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016180873674513"/>
          <c:y val="0.12510782735994527"/>
          <c:w val="0.3352519387279958"/>
          <c:h val="0.82784498467634804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3194444444445"/>
          <c:y val="6.1460416666666663E-2"/>
          <c:w val="0.4469239583333333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Produktion'!$D$4</c:f>
              <c:strCache>
                <c:ptCount val="1"/>
                <c:pt idx="0">
                  <c:v>Gasifizierung (Stroh)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Produktion'!$F$4:$L$4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0.1236657826887369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Produktion'!$D$5</c:f>
              <c:strCache>
                <c:ptCount val="1"/>
                <c:pt idx="0">
                  <c:v>Gasifizierung (Holz)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Produktion'!$F$5:$L$5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0.16965435918826019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3-4D8C-A4C8-20F423A0D926}"/>
            </c:ext>
          </c:extLst>
        </c:ser>
        <c:ser>
          <c:idx val="2"/>
          <c:order val="2"/>
          <c:tx>
            <c:strRef>
              <c:f>'Wasserstoff - Produktion'!$D$6</c:f>
              <c:strCache>
                <c:ptCount val="1"/>
                <c:pt idx="0">
                  <c:v>Import grüner H2 Schiff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Produktion'!$F$6:$L$6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279449.22083580232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3-4D8C-A4C8-20F423A0D926}"/>
            </c:ext>
          </c:extLst>
        </c:ser>
        <c:ser>
          <c:idx val="11"/>
          <c:order val="3"/>
          <c:tx>
            <c:strRef>
              <c:f>'Wasserstoff - Produktion'!$D$8</c:f>
              <c:strCache>
                <c:ptCount val="1"/>
                <c:pt idx="0">
                  <c:v>Import grüner H2 Pipeline</c:v>
                </c:pt>
              </c:strCache>
            </c:strRef>
          </c:tx>
          <c:invertIfNegative val="0"/>
          <c:val>
            <c:numRef>
              <c:f>'Wasserstoff - Produktion'!$F$8:$L$8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149710.6323159688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7-4731-90FA-2CC9ED2FA0FA}"/>
            </c:ext>
          </c:extLst>
        </c:ser>
        <c:ser>
          <c:idx val="10"/>
          <c:order val="4"/>
          <c:tx>
            <c:strRef>
              <c:f>'Wasserstoff - Produktion'!$D$7</c:f>
              <c:strCache>
                <c:ptCount val="1"/>
                <c:pt idx="0">
                  <c:v>Import blauer H2</c:v>
                </c:pt>
              </c:strCache>
            </c:strRef>
          </c:tx>
          <c:invertIfNegative val="0"/>
          <c:val>
            <c:numRef>
              <c:f>'Wasserstoff - Produktion'!$F$7:$L$7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7-4731-90FA-2CC9ED2FA0FA}"/>
            </c:ext>
          </c:extLst>
        </c:ser>
        <c:ser>
          <c:idx val="3"/>
          <c:order val="5"/>
          <c:tx>
            <c:strRef>
              <c:f>'Wasserstoff - Produktion'!$D$9</c:f>
              <c:strCache>
                <c:ptCount val="1"/>
                <c:pt idx="0">
                  <c:v>Elektrolyse (LS)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Produktion'!$F$9:$L$9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69808.69347358009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3-4D8C-A4C8-20F423A0D926}"/>
            </c:ext>
          </c:extLst>
        </c:ser>
        <c:ser>
          <c:idx val="4"/>
          <c:order val="6"/>
          <c:tx>
            <c:strRef>
              <c:f>'Wasserstoff - Produktion'!$D$10</c:f>
              <c:strCache>
                <c:ptCount val="1"/>
                <c:pt idx="0">
                  <c:v>Reformierung (LS)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Produktion'!$F$10:$L$10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3-4D8C-A4C8-20F423A0D926}"/>
            </c:ext>
          </c:extLst>
        </c:ser>
        <c:ser>
          <c:idx val="6"/>
          <c:order val="7"/>
          <c:tx>
            <c:strRef>
              <c:f>'Wasserstoff - Produktion'!$D$12</c:f>
              <c:strCache>
                <c:ptCount val="1"/>
                <c:pt idx="0">
                  <c:v>Elektrolyse (SS)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Produktion'!$F$12:$L$12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34175.454233989913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A3-4D8C-A4C8-20F423A0D926}"/>
            </c:ext>
          </c:extLst>
        </c:ser>
        <c:ser>
          <c:idx val="7"/>
          <c:order val="8"/>
          <c:tx>
            <c:strRef>
              <c:f>'Wasserstoff - Produktion'!$D$13</c:f>
              <c:strCache>
                <c:ptCount val="1"/>
                <c:pt idx="0">
                  <c:v>Reformierung (SS)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Produktion'!$F$13:$L$13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A3-4D8C-A4C8-20F423A0D926}"/>
            </c:ext>
          </c:extLst>
        </c:ser>
        <c:ser>
          <c:idx val="8"/>
          <c:order val="9"/>
          <c:tx>
            <c:strRef>
              <c:f>'Wasserstoff - Produktion'!$D$14</c:f>
              <c:strCache>
                <c:ptCount val="1"/>
                <c:pt idx="0">
                  <c:v>rSOC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Produktion'!$F$14:$L$14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0.99188938261952331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A3-4D8C-A4C8-20F423A0D926}"/>
            </c:ext>
          </c:extLst>
        </c:ser>
        <c:ser>
          <c:idx val="5"/>
          <c:order val="10"/>
          <c:tx>
            <c:strRef>
              <c:f>'Wasserstoff - Produktion'!$D$15</c:f>
              <c:strCache>
                <c:ptCount val="1"/>
                <c:pt idx="0">
                  <c:v>CH4 Pyrolyse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Produktion'!$F$15:$L$15</c:f>
              <c:numCache>
                <c:formatCode>@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3-4B6A-A7E0-DF227503CFFA}"/>
            </c:ext>
          </c:extLst>
        </c:ser>
        <c:ser>
          <c:idx val="9"/>
          <c:order val="11"/>
          <c:tx>
            <c:strRef>
              <c:f>'Wasserstoff - Produktion'!$D$18</c:f>
              <c:strCache>
                <c:ptCount val="1"/>
                <c:pt idx="0">
                  <c:v>Chlor Produktion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f>'Wasserstoff - Produktion'!$F$18:$L$18</c:f>
              <c:numCache>
                <c:formatCode>General</c:formatCode>
                <c:ptCount val="7"/>
                <c:pt idx="0">
                  <c:v>3663.9365746987605</c:v>
                </c:pt>
                <c:pt idx="1">
                  <c:v>3874.870314182142</c:v>
                </c:pt>
                <c:pt idx="2">
                  <c:v>4242.0156051215163</c:v>
                </c:pt>
                <c:pt idx="3">
                  <c:v>4531.060802959053</c:v>
                </c:pt>
                <c:pt idx="4">
                  <c:v>4820.1060001497781</c:v>
                </c:pt>
                <c:pt idx="5">
                  <c:v>5109.1038001539919</c:v>
                </c:pt>
                <c:pt idx="6">
                  <c:v>5109.1044724557823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F-4E6C-9C74-0989A330A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426816"/>
        <c:axId val="411322624"/>
      </c:barChart>
      <c:catAx>
        <c:axId val="41142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322624"/>
        <c:crosses val="autoZero"/>
        <c:auto val="1"/>
        <c:lblAlgn val="ctr"/>
        <c:lblOffset val="100"/>
        <c:noMultiLvlLbl val="0"/>
      </c:catAx>
      <c:valAx>
        <c:axId val="411322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Wasserstofferzeugung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42681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522170138888892"/>
          <c:y val="4.4048661631708097E-3"/>
          <c:w val="0.25762929985670902"/>
          <c:h val="0.9925582913625231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 baseline="0"/>
              <a:t>Wasserstofferzeugung in </a:t>
            </a:r>
            <a:r>
              <a:rPr lang="de-DE" sz="1600"/>
              <a:t>2050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5603539638507471E-2"/>
          <c:y val="0.22842246153038639"/>
          <c:w val="0.47842916958644371"/>
          <c:h val="0.72269335409540636"/>
        </c:manualLayout>
      </c:layout>
      <c:pieChart>
        <c:varyColors val="1"/>
        <c:ser>
          <c:idx val="0"/>
          <c:order val="0"/>
          <c:tx>
            <c:strRef>
              <c:f>'Wasserstoff - Produktion'!$L$3</c:f>
              <c:strCache>
                <c:ptCount val="1"/>
                <c:pt idx="0">
                  <c:v>2045 48 Tage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3-8FFF-4CC2-8A3F-21A823B9BCD0}"/>
              </c:ext>
            </c:extLst>
          </c:dPt>
          <c:dPt>
            <c:idx val="1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8FFF-4CC2-8A3F-21A823B9BCD0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5-8FFF-4CC2-8A3F-21A823B9BCD0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0-8FFF-4CC2-8A3F-21A823B9BCD0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1-8FFF-4CC2-8A3F-21A823B9BCD0}"/>
              </c:ext>
            </c:extLst>
          </c:dPt>
          <c:dPt>
            <c:idx val="5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8-8FFF-4CC2-8A3F-21A823B9BCD0}"/>
              </c:ext>
            </c:extLst>
          </c:dPt>
          <c:dPt>
            <c:idx val="6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6-8FFF-4CC2-8A3F-21A823B9BCD0}"/>
              </c:ext>
            </c:extLst>
          </c:dPt>
          <c:dPt>
            <c:idx val="7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2-8FFF-4CC2-8A3F-21A823B9BCD0}"/>
              </c:ext>
            </c:extLst>
          </c:dPt>
          <c:dPt>
            <c:idx val="8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8FFF-4CC2-8A3F-21A823B9BCD0}"/>
              </c:ext>
            </c:extLst>
          </c:dPt>
          <c:dPt>
            <c:idx val="9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12-F2A9-4342-AE77-D97E52E3DBA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Produktion'!$D$4:$D$18</c15:sqref>
                  </c15:fullRef>
                </c:ext>
              </c:extLst>
              <c:f>('Wasserstoff - Produktion'!$D$4:$D$12,'Wasserstoff - Produktion'!$D$15:$D$18)</c:f>
              <c:strCache>
                <c:ptCount val="13"/>
                <c:pt idx="0">
                  <c:v>Gasifizierung (Stroh)</c:v>
                </c:pt>
                <c:pt idx="1">
                  <c:v>Gasifizierung (Holz)</c:v>
                </c:pt>
                <c:pt idx="2">
                  <c:v>Import grüner H2 Schiff</c:v>
                </c:pt>
                <c:pt idx="3">
                  <c:v>Import blauer H2</c:v>
                </c:pt>
                <c:pt idx="4">
                  <c:v>Import grüner H2 Pipeline</c:v>
                </c:pt>
                <c:pt idx="5">
                  <c:v>Elektrolyse (LS)</c:v>
                </c:pt>
                <c:pt idx="6">
                  <c:v>Reformierung (LS)</c:v>
                </c:pt>
                <c:pt idx="7">
                  <c:v>Gaswechselreformierung</c:v>
                </c:pt>
                <c:pt idx="8">
                  <c:v>Elektrolyse (SS)</c:v>
                </c:pt>
                <c:pt idx="9">
                  <c:v>CH4 Pyrolyse</c:v>
                </c:pt>
                <c:pt idx="10">
                  <c:v>Chlor</c:v>
                </c:pt>
                <c:pt idx="11">
                  <c:v>Chlor</c:v>
                </c:pt>
                <c:pt idx="12">
                  <c:v>Chlor Produktion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Produktion'!$L$4:$L$18</c15:sqref>
                  </c15:fullRef>
                </c:ext>
              </c:extLst>
              <c:f>('Wasserstoff - Produktion'!$L$4:$L$12,'Wasserstoff - Produktion'!$L$15:$L$18)</c:f>
              <c:numCache>
                <c:formatCode>General</c:formatCode>
                <c:ptCount val="13"/>
                <c:pt idx="0">
                  <c:v>0.1236657826887369</c:v>
                </c:pt>
                <c:pt idx="1">
                  <c:v>0.16965435918826019</c:v>
                </c:pt>
                <c:pt idx="2">
                  <c:v>279449.22083580232</c:v>
                </c:pt>
                <c:pt idx="3">
                  <c:v>0</c:v>
                </c:pt>
                <c:pt idx="4">
                  <c:v>149710.6323159688</c:v>
                </c:pt>
                <c:pt idx="5">
                  <c:v>69808.69347358009</c:v>
                </c:pt>
                <c:pt idx="6">
                  <c:v>0</c:v>
                </c:pt>
                <c:pt idx="7">
                  <c:v>0</c:v>
                </c:pt>
                <c:pt idx="8">
                  <c:v>34175.454233989913</c:v>
                </c:pt>
                <c:pt idx="9">
                  <c:v>0</c:v>
                </c:pt>
                <c:pt idx="10">
                  <c:v>5108.2153713572943</c:v>
                </c:pt>
                <c:pt idx="11">
                  <c:v>0.88910109848792018</c:v>
                </c:pt>
                <c:pt idx="12">
                  <c:v>5109.1044724557823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A-48EF-91A1-F531F464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54016180873674513"/>
          <c:y val="0.14598405665232053"/>
          <c:w val="0.45983819126325476"/>
          <c:h val="0.8540159433476792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3194444444445"/>
          <c:y val="6.1460416666666663E-2"/>
          <c:w val="0.4469239583333333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Produktion'!$C$66</c:f>
              <c:strCache>
                <c:ptCount val="1"/>
                <c:pt idx="0">
                  <c:v>Biomass Gasification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'Wasserstoff - Produktion'!$F$62:$M$62</c:f>
              <c:strCache>
                <c:ptCount val="8"/>
                <c:pt idx="7">
                  <c:v>ES2050</c:v>
                </c:pt>
              </c:strCache>
            </c:strRef>
          </c:cat>
          <c:val>
            <c:numRef>
              <c:f>'Wasserstoff - Produktion'!$F$63:$M$63</c:f>
              <c:numCache>
                <c:formatCode>General</c:formatCode>
                <c:ptCount val="8"/>
                <c:pt idx="7">
                  <c:v>0.11671017136221795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Produktion'!$C$67</c:f>
              <c:strCache>
                <c:ptCount val="1"/>
                <c:pt idx="0">
                  <c:v>Import green H2 Ship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'Wasserstoff - Produktion'!$F$62:$M$62</c:f>
              <c:strCache>
                <c:ptCount val="8"/>
                <c:pt idx="7">
                  <c:v>ES2050</c:v>
                </c:pt>
              </c:strCache>
            </c:strRef>
          </c:cat>
          <c:val>
            <c:numRef>
              <c:f>'Wasserstoff - Produktion'!$F$64:$M$64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219355.248572838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3-4D8C-A4C8-20F423A0D926}"/>
            </c:ext>
          </c:extLst>
        </c:ser>
        <c:ser>
          <c:idx val="2"/>
          <c:order val="2"/>
          <c:tx>
            <c:strRef>
              <c:f>'Wasserstoff - Produktion'!$C$68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'Wasserstoff - Produktion'!$F$62:$M$62</c:f>
              <c:strCache>
                <c:ptCount val="8"/>
                <c:pt idx="7">
                  <c:v>ES2050</c:v>
                </c:pt>
              </c:strCache>
            </c:strRef>
          </c:cat>
          <c:val>
            <c:numRef>
              <c:f>'Wasserstoff - Produktion'!$F$65:$M$65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179354.72966871105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3-4D8C-A4C8-20F423A0D926}"/>
            </c:ext>
          </c:extLst>
        </c:ser>
        <c:ser>
          <c:idx val="3"/>
          <c:order val="3"/>
          <c:tx>
            <c:strRef>
              <c:f>'Wasserstoff - Produktion'!$C$69</c:f>
              <c:strCache>
                <c:ptCount val="1"/>
                <c:pt idx="0">
                  <c:v>Reformer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'Wasserstoff - Produktion'!$F$62:$M$62</c:f>
              <c:strCache>
                <c:ptCount val="8"/>
                <c:pt idx="7">
                  <c:v>ES2050</c:v>
                </c:pt>
              </c:strCache>
            </c:strRef>
          </c:cat>
          <c:val>
            <c:numRef>
              <c:f>'Wasserstoff - Produktion'!$F$66:$M$66</c:f>
              <c:numCache>
                <c:formatCode>@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0.29332014187699706</c:v>
                </c:pt>
                <c:pt idx="7" formatCode="General">
                  <c:v>0.29534594338082631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3-4D8C-A4C8-20F423A0D926}"/>
            </c:ext>
          </c:extLst>
        </c:ser>
        <c:ser>
          <c:idx val="4"/>
          <c:order val="4"/>
          <c:tx>
            <c:strRef>
              <c:f>'Wasserstoff - Produktion'!$C$70</c:f>
              <c:strCache>
                <c:ptCount val="1"/>
                <c:pt idx="0">
                  <c:v>rSOC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'Wasserstoff - Produktion'!$F$62:$M$62</c:f>
              <c:strCache>
                <c:ptCount val="8"/>
                <c:pt idx="7">
                  <c:v>ES2050</c:v>
                </c:pt>
              </c:strCache>
            </c:strRef>
          </c:cat>
          <c:val>
            <c:numRef>
              <c:f>'Wasserstoff - Produktion'!$F$67:$M$67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279449.22083580232</c:v>
                </c:pt>
                <c:pt idx="7">
                  <c:v>93.55210085778775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3-4D8C-A4C8-20F423A0D926}"/>
            </c:ext>
          </c:extLst>
        </c:ser>
        <c:ser>
          <c:idx val="5"/>
          <c:order val="5"/>
          <c:tx>
            <c:strRef>
              <c:f>'Wasserstoff - Produktion'!$C$71</c:f>
              <c:strCache>
                <c:ptCount val="1"/>
                <c:pt idx="0">
                  <c:v>CH4 Pyrolysis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'Wasserstoff - Produktion'!$F$62:$M$62</c:f>
              <c:strCache>
                <c:ptCount val="8"/>
                <c:pt idx="7">
                  <c:v>ES2050</c:v>
                </c:pt>
              </c:strCache>
            </c:strRef>
          </c:cat>
          <c:val>
            <c:numRef>
              <c:f>'Wasserstoff - Produktion'!$F$68:$M$68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103984.14770756999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8-4831-8E88-14348511750D}"/>
            </c:ext>
          </c:extLst>
        </c:ser>
        <c:ser>
          <c:idx val="6"/>
          <c:order val="6"/>
          <c:tx>
            <c:strRef>
              <c:f>'Wasserstoff - Produktion'!$C$72</c:f>
              <c:strCache>
                <c:ptCount val="1"/>
                <c:pt idx="0">
                  <c:v>Chlorine production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'Wasserstoff - Produktion'!$F$62:$M$62</c:f>
              <c:strCache>
                <c:ptCount val="8"/>
                <c:pt idx="7">
                  <c:v>ES2050</c:v>
                </c:pt>
              </c:strCache>
            </c:strRef>
          </c:cat>
          <c:val>
            <c:numRef>
              <c:f>'Wasserstoff - Produktion'!$F$69:$M$69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6-4CC3-B543-BF7D7F8AB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428352"/>
        <c:axId val="411326080"/>
      </c:barChart>
      <c:catAx>
        <c:axId val="41142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326080"/>
        <c:crosses val="autoZero"/>
        <c:auto val="1"/>
        <c:lblAlgn val="ctr"/>
        <c:lblOffset val="100"/>
        <c:noMultiLvlLbl val="0"/>
      </c:catAx>
      <c:valAx>
        <c:axId val="411326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Produced</a:t>
                </a:r>
                <a:r>
                  <a:rPr lang="de-DE" baseline="0"/>
                  <a:t> hydrogen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428352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01561235212418"/>
          <c:y val="4.4047981721249052E-3"/>
          <c:w val="0.28741440332308243"/>
          <c:h val="0.9955952018278750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3194444444445"/>
          <c:y val="6.1460416666666663E-2"/>
          <c:w val="0.44692395833333332"/>
          <c:h val="0.623545486111111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'Wasserstoff - Produktion'!$D$66</c:f>
              <c:strCache>
                <c:ptCount val="1"/>
                <c:pt idx="0">
                  <c:v>Biomasse-Vergasung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</c:spPr>
          <c:invertIfNegative val="0"/>
          <c:cat>
            <c:strRef>
              <c:f>'Wasserstoff - Produktion'!$G$3:$L$3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Produktion'!$G$66:$L$66</c:f>
              <c:numCache>
                <c:formatCode>@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0.29332014187699706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007-AFD4-48858A0F79C1}"/>
            </c:ext>
          </c:extLst>
        </c:ser>
        <c:ser>
          <c:idx val="0"/>
          <c:order val="1"/>
          <c:tx>
            <c:strRef>
              <c:f>'Wasserstoff - Produktion'!$D$67</c:f>
              <c:strCache>
                <c:ptCount val="1"/>
                <c:pt idx="0">
                  <c:v>Import grüner H2 Schiff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'Wasserstoff - Produktion'!$G$3:$L$3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Produktion'!$G$67:$L$67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279449.22083580232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3-4D8C-A4C8-20F423A0D926}"/>
            </c:ext>
          </c:extLst>
        </c:ser>
        <c:ser>
          <c:idx val="2"/>
          <c:order val="2"/>
          <c:tx>
            <c:strRef>
              <c:f>'Wasserstoff - Produktion'!$D$68</c:f>
              <c:strCache>
                <c:ptCount val="1"/>
                <c:pt idx="0">
                  <c:v>Elektrolyse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'Wasserstoff - Produktion'!$G$3:$L$3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Produktion'!$G$68:$L$68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103984.14770756999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3-4D8C-A4C8-20F423A0D926}"/>
            </c:ext>
          </c:extLst>
        </c:ser>
        <c:ser>
          <c:idx val="3"/>
          <c:order val="3"/>
          <c:tx>
            <c:strRef>
              <c:f>'Wasserstoff - Produktion'!$D$69</c:f>
              <c:strCache>
                <c:ptCount val="1"/>
                <c:pt idx="0">
                  <c:v>Reformierung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'Wasserstoff - Produktion'!$G$3:$L$3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Produktion'!$G$69:$L$69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3-4D8C-A4C8-20F423A0D926}"/>
            </c:ext>
          </c:extLst>
        </c:ser>
        <c:ser>
          <c:idx val="4"/>
          <c:order val="4"/>
          <c:tx>
            <c:strRef>
              <c:f>'Wasserstoff - Produktion'!$D$70</c:f>
              <c:strCache>
                <c:ptCount val="1"/>
                <c:pt idx="0">
                  <c:v>rSOC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'Wasserstoff - Produktion'!$G$3:$L$3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Produktion'!$G$70:$L$70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0.99188938261952331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3-4D8C-A4C8-20F423A0D926}"/>
            </c:ext>
          </c:extLst>
        </c:ser>
        <c:ser>
          <c:idx val="5"/>
          <c:order val="5"/>
          <c:tx>
            <c:strRef>
              <c:f>'Wasserstoff - Produktion'!$D$71</c:f>
              <c:strCache>
                <c:ptCount val="1"/>
                <c:pt idx="0">
                  <c:v>Methan-Pyrolyse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'Wasserstoff - Produktion'!$G$3:$L$3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Produktion'!$G$71:$L$71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6-4F9B-92AC-C67E91E3A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429888"/>
        <c:axId val="411770880"/>
      </c:barChart>
      <c:catAx>
        <c:axId val="41142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770880"/>
        <c:crosses val="autoZero"/>
        <c:auto val="1"/>
        <c:lblAlgn val="ctr"/>
        <c:lblOffset val="100"/>
        <c:noMultiLvlLbl val="0"/>
      </c:catAx>
      <c:valAx>
        <c:axId val="411770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Wasserstofferzeugung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@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429888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52217310493227"/>
          <c:y val="4.4049592275679939E-3"/>
          <c:w val="0.29342241937789071"/>
          <c:h val="0.6328428848757500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233194444444445"/>
          <c:y val="6.1460416666666663E-2"/>
          <c:w val="0.44692395833333332"/>
          <c:h val="0.62354548611111116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'Wasserstoff - Produktion'!$D$6</c:f>
              <c:strCache>
                <c:ptCount val="1"/>
                <c:pt idx="0">
                  <c:v>Import grüner H2 Schiff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Produktion'!$F$3:$M$3</c15:sqref>
                  </c15:fullRef>
                </c:ext>
              </c:extLst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Produktion'!$F$6:$M$6</c15:sqref>
                  </c15:fullRef>
                </c:ext>
              </c:extLst>
              <c:f>'Wasserstoff - Produktion'!$F$6:$L$6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279449.22083580232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96-448F-BC6A-6FEC1CB7CA16}"/>
            </c:ext>
          </c:extLst>
        </c:ser>
        <c:ser>
          <c:idx val="11"/>
          <c:order val="3"/>
          <c:tx>
            <c:strRef>
              <c:f>'Wasserstoff - Produktion'!$D$8</c:f>
              <c:strCache>
                <c:ptCount val="1"/>
                <c:pt idx="0">
                  <c:v>Import grüner H2 Pipeline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Produktion'!$F$3:$M$3</c15:sqref>
                  </c15:fullRef>
                </c:ext>
              </c:extLst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Produktion'!$F$8:$M$8</c15:sqref>
                  </c15:fullRef>
                </c:ext>
              </c:extLst>
              <c:f>'Wasserstoff - Produktion'!$F$8:$L$8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149710.6323159688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96-448F-BC6A-6FEC1CB7CA16}"/>
            </c:ext>
          </c:extLst>
        </c:ser>
        <c:ser>
          <c:idx val="3"/>
          <c:order val="5"/>
          <c:tx>
            <c:strRef>
              <c:f>'Wasserstoff - Produktion'!$D$9</c:f>
              <c:strCache>
                <c:ptCount val="1"/>
                <c:pt idx="0">
                  <c:v>Elektrolyse (LS)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Produktion'!$F$3:$M$3</c15:sqref>
                  </c15:fullRef>
                </c:ext>
              </c:extLst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Produktion'!$F$9:$M$9</c15:sqref>
                  </c15:fullRef>
                </c:ext>
              </c:extLst>
              <c:f>'Wasserstoff - Produktion'!$F$9:$L$9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69808.69347358009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96-448F-BC6A-6FEC1CB7CA16}"/>
            </c:ext>
          </c:extLst>
        </c:ser>
        <c:ser>
          <c:idx val="6"/>
          <c:order val="7"/>
          <c:tx>
            <c:strRef>
              <c:f>'Wasserstoff - Produktion'!$D$12</c:f>
              <c:strCache>
                <c:ptCount val="1"/>
                <c:pt idx="0">
                  <c:v>Elektrolyse (SS)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Produktion'!$F$3:$M$3</c15:sqref>
                  </c15:fullRef>
                </c:ext>
              </c:extLst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Produktion'!$F$12:$M$12</c15:sqref>
                  </c15:fullRef>
                </c:ext>
              </c:extLst>
              <c:f>'Wasserstoff - Produktion'!$F$12:$L$12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34175.454233989913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96-448F-BC6A-6FEC1CB7CA16}"/>
            </c:ext>
          </c:extLst>
        </c:ser>
        <c:ser>
          <c:idx val="8"/>
          <c:order val="9"/>
          <c:tx>
            <c:strRef>
              <c:f>'Wasserstoff - Produktion'!$D$14</c:f>
              <c:strCache>
                <c:ptCount val="1"/>
                <c:pt idx="0">
                  <c:v>rSOC</c:v>
                </c:pt>
              </c:strCache>
              <c:extLst xmlns:c15="http://schemas.microsoft.com/office/drawing/2012/chart"/>
            </c:strRef>
          </c:tx>
          <c:spPr>
            <a:solidFill>
              <a:srgbClr val="FF0000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Produktion'!$F$3:$M$3</c15:sqref>
                  </c15:fullRef>
                </c:ext>
              </c:extLst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  <c:pt idx="7">
                  <c:v>THGneutral50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Produktion'!$F$14:$L$14</c15:sqref>
                  </c15:fullRef>
                </c:ext>
              </c:extLst>
              <c:f>'Wasserstoff - Produktion'!$F$14:$L$14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0.99188938261952331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B96-448F-BC6A-6FEC1CB7CA16}"/>
            </c:ext>
          </c:extLst>
        </c:ser>
        <c:ser>
          <c:idx val="9"/>
          <c:order val="11"/>
          <c:tx>
            <c:strRef>
              <c:f>'Wasserstoff - Produktion'!$D$18</c:f>
              <c:strCache>
                <c:ptCount val="1"/>
                <c:pt idx="0">
                  <c:v>Chlor Produktion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'Wasserstoff - Produktion'!$F$3:$M$3</c15:sqref>
                  </c15:fullRef>
                </c:ext>
              </c:extLst>
              <c:f>'Wasserstoff - Produktion'!$F$3:$L$3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2045 48 Tage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'Wasserstoff - Produktion'!$F$18:$M$18</c15:sqref>
                  </c15:fullRef>
                </c:ext>
              </c:extLst>
              <c:f>'Wasserstoff - Produktion'!$F$18:$L$18</c:f>
              <c:numCache>
                <c:formatCode>General</c:formatCode>
                <c:ptCount val="7"/>
                <c:pt idx="0">
                  <c:v>3663.9365746987605</c:v>
                </c:pt>
                <c:pt idx="1">
                  <c:v>3874.870314182142</c:v>
                </c:pt>
                <c:pt idx="2">
                  <c:v>4242.0156051215163</c:v>
                </c:pt>
                <c:pt idx="3">
                  <c:v>4531.060802959053</c:v>
                </c:pt>
                <c:pt idx="4">
                  <c:v>4820.1060001497781</c:v>
                </c:pt>
                <c:pt idx="5">
                  <c:v>5109.1038001539919</c:v>
                </c:pt>
                <c:pt idx="6">
                  <c:v>5109.1044724557823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B96-448F-BC6A-6FEC1CB7C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426816"/>
        <c:axId val="411322624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'Wasserstoff - Produktion'!$D$4</c15:sqref>
                        </c15:formulaRef>
                      </c:ext>
                    </c:extLst>
                    <c:strCache>
                      <c:ptCount val="1"/>
                      <c:pt idx="0">
                        <c:v>Gasifizierung (Stroh)</c:v>
                      </c:pt>
                    </c:strCache>
                  </c:strRef>
                </c:tx>
                <c:spPr>
                  <a:solidFill>
                    <a:srgbClr val="92D050"/>
                  </a:solidFill>
                  <a:ln w="25400">
                    <a:noFill/>
                  </a:ln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'Wasserstoff - Produktion'!$F$3:$M$3</c15:sqref>
                        </c15:fullRef>
                        <c15:formulaRef>
                          <c15:sqref>'Wasserstoff - Produktion'!$F$3:$L$3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2045 48 Tage</c:v>
                      </c:pt>
                      <c:pt idx="7">
                        <c:v>THGneutral50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'Wasserstoff - Produktion'!$F$4:$L$4</c15:sqref>
                        </c15:fullRef>
                        <c15:formulaRef>
                          <c15:sqref>'Wasserstoff - Produktion'!$F$4:$L$4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0.1236657826887369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B96-448F-BC6A-6FEC1CB7CA16}"/>
                  </c:ext>
                </c:extLst>
              </c15:ser>
            </c15:filteredBarSeries>
            <c15:filteredBa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Produktion'!$D$5</c15:sqref>
                        </c15:formulaRef>
                      </c:ext>
                    </c:extLst>
                    <c:strCache>
                      <c:ptCount val="1"/>
                      <c:pt idx="0">
                        <c:v>Gasifizierung (Holz)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Produktion'!$F$3:$M$3</c15:sqref>
                        </c15:fullRef>
                        <c15:formulaRef>
                          <c15:sqref>'Wasserstoff - Produktion'!$F$3:$L$3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2045 48 Tage</c:v>
                      </c:pt>
                      <c:pt idx="7">
                        <c:v>THGneutral50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Produktion'!$F$5:$L$5</c15:sqref>
                        </c15:fullRef>
                        <c15:formulaRef>
                          <c15:sqref>'Wasserstoff - Produktion'!$F$5:$L$5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0.16965435918826019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96-448F-BC6A-6FEC1CB7CA16}"/>
                  </c:ext>
                </c:extLst>
              </c15:ser>
            </c15:filteredBarSeries>
            <c15:filteredBarSeries>
              <c15:ser>
                <c:idx val="1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Produktion'!$D$7</c15:sqref>
                        </c15:formulaRef>
                      </c:ext>
                    </c:extLst>
                    <c:strCache>
                      <c:ptCount val="1"/>
                      <c:pt idx="0">
                        <c:v>Import blauer H2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Produktion'!$F$3:$M$3</c15:sqref>
                        </c15:fullRef>
                        <c15:formulaRef>
                          <c15:sqref>'Wasserstoff - Produktion'!$F$3:$L$3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2045 48 Tage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Produktion'!$F$7:$M$7</c15:sqref>
                        </c15:fullRef>
                        <c15:formulaRef>
                          <c15:sqref>'Wasserstoff - Produktion'!$F$7:$L$7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B96-448F-BC6A-6FEC1CB7CA16}"/>
                  </c:ext>
                </c:extLst>
              </c15:ser>
            </c15:filteredBarSeries>
            <c15:filteredBa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Produktion'!$D$10</c15:sqref>
                        </c15:formulaRef>
                      </c:ext>
                    </c:extLst>
                    <c:strCache>
                      <c:ptCount val="1"/>
                      <c:pt idx="0">
                        <c:v>Reformierung (LS)</c:v>
                      </c:pt>
                    </c:strCache>
                  </c:strRef>
                </c:tx>
                <c:spPr>
                  <a:solidFill>
                    <a:schemeClr val="tx1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Produktion'!$F$3:$M$3</c15:sqref>
                        </c15:fullRef>
                        <c15:formulaRef>
                          <c15:sqref>'Wasserstoff - Produktion'!$F$3:$L$3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2045 48 Tage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Produktion'!$F$10:$M$10</c15:sqref>
                        </c15:fullRef>
                        <c15:formulaRef>
                          <c15:sqref>'Wasserstoff - Produktion'!$F$10:$L$10</c15:sqref>
                        </c15:formulaRef>
                      </c:ext>
                    </c:extLst>
                    <c:numCache>
                      <c:formatCode>@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 formatCode="General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B96-448F-BC6A-6FEC1CB7CA16}"/>
                  </c:ext>
                </c:extLst>
              </c15:ser>
            </c15:filteredBarSeries>
            <c15:filteredBa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Produktion'!$D$13</c15:sqref>
                        </c15:formulaRef>
                      </c:ext>
                    </c:extLst>
                    <c:strCache>
                      <c:ptCount val="1"/>
                      <c:pt idx="0">
                        <c:v>Reformierung (SS)</c:v>
                      </c:pt>
                    </c:strCache>
                  </c:strRef>
                </c:tx>
                <c:spPr>
                  <a:solidFill>
                    <a:schemeClr val="bg1">
                      <a:lumMod val="50000"/>
                    </a:schemeClr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Produktion'!$F$3:$M$3</c15:sqref>
                        </c15:fullRef>
                        <c15:formulaRef>
                          <c15:sqref>'Wasserstoff - Produktion'!$F$3:$L$3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2045 48 Tage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Produktion'!$F$13:$M$13</c15:sqref>
                        </c15:fullRef>
                        <c15:formulaRef>
                          <c15:sqref>'Wasserstoff - Produktion'!$F$13:$L$13</c15:sqref>
                        </c15:formulaRef>
                      </c:ext>
                    </c:extLst>
                    <c:numCache>
                      <c:formatCode>@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 formatCode="General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B96-448F-BC6A-6FEC1CB7CA16}"/>
                  </c:ext>
                </c:extLst>
              </c15:ser>
            </c15:filteredBarSeries>
            <c15:filteredBarSeries>
              <c15:ser>
                <c:idx val="5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'Wasserstoff - Produktion'!$D$15</c15:sqref>
                        </c15:formulaRef>
                      </c:ext>
                    </c:extLst>
                    <c:strCache>
                      <c:ptCount val="1"/>
                      <c:pt idx="0">
                        <c:v>CH4 Pyrolyse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Produktion'!$F$3:$M$3</c15:sqref>
                        </c15:fullRef>
                        <c15:formulaRef>
                          <c15:sqref>'Wasserstoff - Produktion'!$F$3:$L$3</c15:sqref>
                        </c15:formulaRef>
                      </c:ext>
                    </c:extLst>
                    <c:strCache>
                      <c:ptCount val="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2045 48 Tage</c:v>
                      </c:pt>
                      <c:pt idx="7">
                        <c:v>THGneutral50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'Wasserstoff - Produktion'!$F$15:$L$15</c15:sqref>
                        </c15:fullRef>
                        <c15:formulaRef>
                          <c15:sqref>'Wasserstoff - Produktion'!$F$15:$L$15</c15:sqref>
                        </c15:formulaRef>
                      </c:ext>
                    </c:extLst>
                    <c:numCache>
                      <c:formatCode>@</c:formatCode>
                      <c:ptCount val="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 formatCode="General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B96-448F-BC6A-6FEC1CB7CA16}"/>
                  </c:ext>
                </c:extLst>
              </c15:ser>
            </c15:filteredBarSeries>
          </c:ext>
        </c:extLst>
      </c:barChart>
      <c:catAx>
        <c:axId val="41142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322624"/>
        <c:crosses val="autoZero"/>
        <c:auto val="1"/>
        <c:lblAlgn val="ctr"/>
        <c:lblOffset val="100"/>
        <c:noMultiLvlLbl val="0"/>
      </c:catAx>
      <c:valAx>
        <c:axId val="411322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Wasserstofferzeugung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1426816"/>
        <c:crosses val="autoZero"/>
        <c:crossBetween val="between"/>
        <c:dispUnits>
          <c:builtInUnit val="thousands"/>
        </c:dispUnits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522170138888892"/>
          <c:y val="4.4048661631708097E-3"/>
          <c:w val="0.25762929985670902"/>
          <c:h val="0.9925582913625231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99947916666665"/>
          <c:y val="6.1460416666666663E-2"/>
          <c:w val="0.45074764434862508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'Wasserstoff - Speicher'!$C$4</c:f>
              <c:strCache>
                <c:ptCount val="1"/>
                <c:pt idx="0">
                  <c:v>large (existing caverns)</c:v>
                </c:pt>
              </c:strCache>
            </c:strRef>
          </c:tx>
          <c:invertIfNegative val="0"/>
          <c:cat>
            <c:strRef>
              <c:f>'Wasserstoff - Speicher'!$G$3:$L$3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Speicher'!$G$4:$L$4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34990.42026634331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6-4157-AEAA-9497CCEF3568}"/>
            </c:ext>
          </c:extLst>
        </c:ser>
        <c:ser>
          <c:idx val="1"/>
          <c:order val="1"/>
          <c:tx>
            <c:strRef>
              <c:f>'Wasserstoff - Speicher'!$C$6</c:f>
              <c:strCache>
                <c:ptCount val="1"/>
                <c:pt idx="0">
                  <c:v>small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'Wasserstoff - Speicher'!$G$3:$L$3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Speicher'!$G$6:$L$6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8.8995750132214765E-2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6-4157-AEAA-9497CCEF3568}"/>
            </c:ext>
          </c:extLst>
        </c:ser>
        <c:ser>
          <c:idx val="2"/>
          <c:order val="2"/>
          <c:tx>
            <c:strRef>
              <c:f>'Wasserstoff - Speicher'!$C$5</c:f>
              <c:strCache>
                <c:ptCount val="1"/>
                <c:pt idx="0">
                  <c:v>large (new caverns)</c:v>
                </c:pt>
              </c:strCache>
            </c:strRef>
          </c:tx>
          <c:invertIfNegative val="0"/>
          <c:val>
            <c:numRef>
              <c:f>'Wasserstoff - Speicher'!$G$5:$L$5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23235.219067812232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0-48A7-A8D8-C9F632A37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934592"/>
        <c:axId val="413688960"/>
      </c:barChart>
      <c:catAx>
        <c:axId val="41393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688960"/>
        <c:crosses val="autoZero"/>
        <c:auto val="1"/>
        <c:lblAlgn val="ctr"/>
        <c:lblOffset val="100"/>
        <c:noMultiLvlLbl val="0"/>
      </c:catAx>
      <c:valAx>
        <c:axId val="413688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Installed hydrogen storage capacities in GWh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93459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2476817827709283"/>
          <c:y val="0.24183576388888889"/>
          <c:w val="0.25975507506916024"/>
          <c:h val="0.58084768554377819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Hydrogen storage 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'Wasserstoff - Speicher'!$L$3</c:f>
              <c:strCache>
                <c:ptCount val="1"/>
                <c:pt idx="0">
                  <c:v>2045 48 Tage</c:v>
                </c:pt>
              </c:strCache>
            </c:strRef>
          </c:tx>
          <c:cat>
            <c:strRef>
              <c:f>'Wasserstoff - Speicher'!$C$4:$C$6</c:f>
              <c:strCache>
                <c:ptCount val="3"/>
                <c:pt idx="0">
                  <c:v>large (existing caverns)</c:v>
                </c:pt>
                <c:pt idx="1">
                  <c:v>large (new caverns)</c:v>
                </c:pt>
                <c:pt idx="2">
                  <c:v>small</c:v>
                </c:pt>
              </c:strCache>
            </c:strRef>
          </c:cat>
          <c:val>
            <c:numRef>
              <c:f>'Wasserstoff - Speicher'!$L$4:$L$6</c:f>
              <c:numCache>
                <c:formatCode>General</c:formatCode>
                <c:ptCount val="3"/>
                <c:pt idx="0">
                  <c:v>34990.42026634331</c:v>
                </c:pt>
                <c:pt idx="1">
                  <c:v>23235.219067812232</c:v>
                </c:pt>
                <c:pt idx="2">
                  <c:v>8.8995750132214765E-2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2-4FB7-99C1-6E7AB023B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99947916666665"/>
          <c:y val="6.1460416666666663E-2"/>
          <c:w val="0.51101753472222222"/>
          <c:h val="0.623545486111111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'Wasserstoff - Speicher'!$D$4</c:f>
              <c:strCache>
                <c:ptCount val="1"/>
                <c:pt idx="0">
                  <c:v>groß (Umwidmung)</c:v>
                </c:pt>
              </c:strCache>
            </c:strRef>
          </c:tx>
          <c:invertIfNegative val="0"/>
          <c:cat>
            <c:strRef>
              <c:f>'Wasserstoff - Speicher'!$G$3:$L$3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Speicher'!$G$4:$L$4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34990.42026634331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6-4157-AEAA-9497CCEF3568}"/>
            </c:ext>
          </c:extLst>
        </c:ser>
        <c:ser>
          <c:idx val="1"/>
          <c:order val="1"/>
          <c:tx>
            <c:strRef>
              <c:f>'Wasserstoff - Speicher'!$D$6</c:f>
              <c:strCache>
                <c:ptCount val="1"/>
                <c:pt idx="0">
                  <c:v>klein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'Wasserstoff - Speicher'!$G$3:$L$3</c:f>
              <c:strCach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2045 48 Tage</c:v>
                </c:pt>
              </c:strCache>
            </c:strRef>
          </c:cat>
          <c:val>
            <c:numRef>
              <c:f>'Wasserstoff - Speicher'!$G$6:$L$6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8.8995750132214765E-2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6-4157-AEAA-9497CCEF3568}"/>
            </c:ext>
          </c:extLst>
        </c:ser>
        <c:ser>
          <c:idx val="2"/>
          <c:order val="2"/>
          <c:tx>
            <c:strRef>
              <c:f>'Wasserstoff - Speicher'!$D$5</c:f>
              <c:strCache>
                <c:ptCount val="1"/>
                <c:pt idx="0">
                  <c:v>groß (neu)</c:v>
                </c:pt>
              </c:strCache>
            </c:strRef>
          </c:tx>
          <c:invertIfNegative val="0"/>
          <c:val>
            <c:numRef>
              <c:f>'Wasserstoff - Speicher'!$G$5:$L$5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23235.219067812232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5C-4A42-AB18-3B71C37D5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011392"/>
        <c:axId val="413692416"/>
      </c:barChart>
      <c:catAx>
        <c:axId val="41401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3692416"/>
        <c:crosses val="autoZero"/>
        <c:auto val="1"/>
        <c:lblAlgn val="ctr"/>
        <c:lblOffset val="100"/>
        <c:noMultiLvlLbl val="0"/>
      </c:catAx>
      <c:valAx>
        <c:axId val="413692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Installierte Wasserstoffspeicher</a:t>
                </a:r>
                <a:r>
                  <a:rPr lang="de-DE" baseline="0"/>
                  <a:t> </a:t>
                </a:r>
                <a:r>
                  <a:rPr lang="de-DE"/>
                  <a:t>in GWh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1401139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6486909722222218"/>
          <c:y val="0.13425168327939402"/>
          <c:w val="0.23513082421042389"/>
          <c:h val="0.84405729908470706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de-DE" sz="1600"/>
              <a:t>Installierte Wasserstoffspeicher</a:t>
            </a:r>
            <a:r>
              <a:rPr lang="de-DE" sz="1600" baseline="0"/>
              <a:t> </a:t>
            </a:r>
            <a:r>
              <a:rPr lang="de-DE" sz="1600"/>
              <a:t>in 2050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'Wasserstoff - Speicher'!$L$3</c:f>
              <c:strCache>
                <c:ptCount val="1"/>
                <c:pt idx="0">
                  <c:v>2045 48 Tage</c:v>
                </c:pt>
              </c:strCache>
            </c:strRef>
          </c:tx>
          <c:cat>
            <c:strRef>
              <c:f>'Wasserstoff - Speicher'!$D$4:$D$6</c:f>
              <c:strCache>
                <c:ptCount val="3"/>
                <c:pt idx="0">
                  <c:v>groß (Umwidmung)</c:v>
                </c:pt>
                <c:pt idx="1">
                  <c:v>groß (neu)</c:v>
                </c:pt>
                <c:pt idx="2">
                  <c:v>klein</c:v>
                </c:pt>
              </c:strCache>
            </c:strRef>
          </c:cat>
          <c:val>
            <c:numRef>
              <c:f>'Wasserstoff - Speicher'!$L$4:$L$6</c:f>
              <c:numCache>
                <c:formatCode>General</c:formatCode>
                <c:ptCount val="3"/>
                <c:pt idx="0">
                  <c:v>34990.42026634331</c:v>
                </c:pt>
                <c:pt idx="1">
                  <c:v>23235.219067812232</c:v>
                </c:pt>
                <c:pt idx="2">
                  <c:v>8.8995750132214765E-2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2-4FB7-99C1-6E7AB023B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Share of Personal Cars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58188603278731077"/>
          <c:h val="0.6162099737532807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'Verkehr - Bestand'!$C$5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Bestand'!$M$5:$S$5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6-44C5-9160-70EB46A42A3B}"/>
            </c:ext>
          </c:extLst>
        </c:ser>
        <c:ser>
          <c:idx val="4"/>
          <c:order val="1"/>
          <c:tx>
            <c:strRef>
              <c:f>'Verkehr - Bestand'!$C$8</c:f>
              <c:strCache>
                <c:ptCount val="1"/>
                <c:pt idx="0">
                  <c:v>Hybrid diesel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bg1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Bestand'!$M$8:$S$8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26-44C5-9160-70EB46A42A3B}"/>
            </c:ext>
          </c:extLst>
        </c:ser>
        <c:ser>
          <c:idx val="3"/>
          <c:order val="2"/>
          <c:tx>
            <c:strRef>
              <c:f>'Verkehr - Bestand'!$C$7</c:f>
              <c:strCache>
                <c:ptCount val="1"/>
                <c:pt idx="0">
                  <c:v>Otto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Bestand'!$M$7:$S$7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6-44C5-9160-70EB46A42A3B}"/>
            </c:ext>
          </c:extLst>
        </c:ser>
        <c:ser>
          <c:idx val="6"/>
          <c:order val="3"/>
          <c:tx>
            <c:strRef>
              <c:f>'Verkehr - Bestand'!$C$10</c:f>
              <c:strCache>
                <c:ptCount val="1"/>
                <c:pt idx="0">
                  <c:v>Hybrid otto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Bestand'!$M$10:$S$10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26-44C5-9160-70EB46A42A3B}"/>
            </c:ext>
          </c:extLst>
        </c:ser>
        <c:ser>
          <c:idx val="2"/>
          <c:order val="4"/>
          <c:tx>
            <c:strRef>
              <c:f>'Verkehr - Bestand'!$C$6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Bestand'!$M$6:$S$6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6-44C5-9160-70EB46A42A3B}"/>
            </c:ext>
          </c:extLst>
        </c:ser>
        <c:ser>
          <c:idx val="5"/>
          <c:order val="5"/>
          <c:tx>
            <c:strRef>
              <c:f>'Verkehr - Bestand'!$C$9</c:f>
              <c:strCache>
                <c:ptCount val="1"/>
                <c:pt idx="0">
                  <c:v>Hybrid fuel cell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Bestand'!$M$9:$S$9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26-44C5-9160-70EB46A42A3B}"/>
            </c:ext>
          </c:extLst>
        </c:ser>
        <c:ser>
          <c:idx val="0"/>
          <c:order val="6"/>
          <c:tx>
            <c:strRef>
              <c:f>'Verkehr - Bestand'!$C$4</c:f>
              <c:strCache>
                <c:ptCount val="1"/>
                <c:pt idx="0">
                  <c:v>Battery electric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Bestand'!$M$4:$S$4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6-44C5-9160-70EB46A42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936640"/>
        <c:axId val="412229632"/>
      </c:barChart>
      <c:catAx>
        <c:axId val="4139366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2229632"/>
        <c:crosses val="autoZero"/>
        <c:auto val="1"/>
        <c:lblAlgn val="ctr"/>
        <c:lblOffset val="100"/>
        <c:noMultiLvlLbl val="0"/>
      </c:catAx>
      <c:valAx>
        <c:axId val="412229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393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 b="1" i="0" u="none" strike="noStrike" baseline="0">
                <a:effectLst/>
              </a:rPr>
              <a:t>Share </a:t>
            </a:r>
            <a:r>
              <a:rPr lang="en-US" sz="1600"/>
              <a:t>of Transportation Trucks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Bestand'!$C$16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Bestand'!$M$16:$S$16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8-4208-9073-FD8EC86E70BE}"/>
            </c:ext>
          </c:extLst>
        </c:ser>
        <c:ser>
          <c:idx val="1"/>
          <c:order val="1"/>
          <c:tx>
            <c:strRef>
              <c:f>'Verkehr - Bestand'!$C$17</c:f>
              <c:strCache>
                <c:ptCount val="1"/>
                <c:pt idx="0">
                  <c:v>Battery electric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Bestand'!$M$17:$S$17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8-4208-9073-FD8EC86E70BE}"/>
            </c:ext>
          </c:extLst>
        </c:ser>
        <c:ser>
          <c:idx val="2"/>
          <c:order val="2"/>
          <c:tx>
            <c:strRef>
              <c:f>'Verkehr - Bestand'!$C$18</c:f>
              <c:strCache>
                <c:ptCount val="1"/>
                <c:pt idx="0">
                  <c:v>OHW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Bestand'!$M$18:$S$18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C8-4208-9073-FD8EC86E70BE}"/>
            </c:ext>
          </c:extLst>
        </c:ser>
        <c:ser>
          <c:idx val="3"/>
          <c:order val="3"/>
          <c:tx>
            <c:strRef>
              <c:f>'Verkehr - Bestand'!$C$19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Bestand'!$M$19:$S$19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C8-4208-9073-FD8EC86E70BE}"/>
            </c:ext>
          </c:extLst>
        </c:ser>
        <c:ser>
          <c:idx val="4"/>
          <c:order val="4"/>
          <c:tx>
            <c:strRef>
              <c:f>'Verkehr - Bestand'!$C$20</c:f>
              <c:strCache>
                <c:ptCount val="1"/>
                <c:pt idx="0">
                  <c:v>Otto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Bestand'!$M$20:$S$20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C8-4208-9073-FD8EC86E7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406720"/>
        <c:axId val="412231936"/>
      </c:barChart>
      <c:catAx>
        <c:axId val="39740672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2231936"/>
        <c:crosses val="autoZero"/>
        <c:auto val="1"/>
        <c:lblAlgn val="ctr"/>
        <c:lblOffset val="100"/>
        <c:noMultiLvlLbl val="0"/>
      </c:catAx>
      <c:valAx>
        <c:axId val="4122319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9740672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 b="1" i="0" u="none" strike="noStrike" baseline="0">
                <a:effectLst/>
              </a:rPr>
              <a:t>Share </a:t>
            </a:r>
            <a:r>
              <a:rPr lang="en-US" sz="1600"/>
              <a:t>of Distribution Trucks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Bestand'!$C$26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Bestand'!$M$26:$S$26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1-4BAA-A1A4-67B08C7AB39F}"/>
            </c:ext>
          </c:extLst>
        </c:ser>
        <c:ser>
          <c:idx val="1"/>
          <c:order val="1"/>
          <c:tx>
            <c:strRef>
              <c:f>'Verkehr - Bestand'!$C$27</c:f>
              <c:strCache>
                <c:ptCount val="1"/>
                <c:pt idx="0">
                  <c:v>Battery electric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Bestand'!$M$27:$S$27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11-4BAA-A1A4-67B08C7AB39F}"/>
            </c:ext>
          </c:extLst>
        </c:ser>
        <c:ser>
          <c:idx val="2"/>
          <c:order val="2"/>
          <c:tx>
            <c:strRef>
              <c:f>'Verkehr - Bestand'!$C$28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Bestand'!$M$28:$S$28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11-4BAA-A1A4-67B08C7AB39F}"/>
            </c:ext>
          </c:extLst>
        </c:ser>
        <c:ser>
          <c:idx val="3"/>
          <c:order val="3"/>
          <c:tx>
            <c:strRef>
              <c:f>'Verkehr - Bestand'!$C$29</c:f>
              <c:strCache>
                <c:ptCount val="1"/>
                <c:pt idx="0">
                  <c:v>Otto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Bestand'!$M$29:$S$29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11-4BAA-A1A4-67B08C7AB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408256"/>
        <c:axId val="412234240"/>
      </c:barChart>
      <c:catAx>
        <c:axId val="39740825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2234240"/>
        <c:crosses val="autoZero"/>
        <c:auto val="1"/>
        <c:lblAlgn val="ctr"/>
        <c:lblOffset val="100"/>
        <c:noMultiLvlLbl val="0"/>
      </c:catAx>
      <c:valAx>
        <c:axId val="4122342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97408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 b="1" i="0" u="none" strike="noStrike" baseline="0">
                <a:effectLst/>
              </a:rPr>
              <a:t>Share </a:t>
            </a:r>
            <a:r>
              <a:rPr lang="en-US" sz="1600"/>
              <a:t>of Buses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Bestand'!$C$35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Bestand'!$M$3:$S$3</c15:sqref>
                  </c15:fullRef>
                </c:ext>
              </c:extLst>
              <c:f>'Verkehr - Bestand'!$M$3:$R$3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Bestand'!$M$35:$S$35</c15:sqref>
                  </c15:fullRef>
                </c:ext>
              </c:extLst>
              <c:f>'Verkehr - Bestand'!$M$35:$R$35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2-4D48-A700-200AE81BF182}"/>
            </c:ext>
          </c:extLst>
        </c:ser>
        <c:ser>
          <c:idx val="4"/>
          <c:order val="1"/>
          <c:tx>
            <c:strRef>
              <c:f>'Verkehr - Bestand'!$C$39</c:f>
              <c:strCache>
                <c:ptCount val="1"/>
                <c:pt idx="0">
                  <c:v>Otto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Bestand'!$M$3:$S$3</c15:sqref>
                  </c15:fullRef>
                </c:ext>
              </c:extLst>
              <c:f>'Verkehr - Bestand'!$M$3:$R$3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Bestand'!$M$39:$S$39</c15:sqref>
                  </c15:fullRef>
                </c:ext>
              </c:extLst>
              <c:f>'Verkehr - Bestand'!$M$39:$R$39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52-4D48-A700-200AE81BF182}"/>
            </c:ext>
          </c:extLst>
        </c:ser>
        <c:ser>
          <c:idx val="1"/>
          <c:order val="2"/>
          <c:tx>
            <c:strRef>
              <c:f>'Verkehr - Bestand'!$C$36</c:f>
              <c:strCache>
                <c:ptCount val="1"/>
                <c:pt idx="0">
                  <c:v>Battery electric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Bestand'!$M$3:$S$3</c15:sqref>
                  </c15:fullRef>
                </c:ext>
              </c:extLst>
              <c:f>'Verkehr - Bestand'!$M$3:$R$3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Bestand'!$M$36:$S$36</c15:sqref>
                  </c15:fullRef>
                </c:ext>
              </c:extLst>
              <c:f>'Verkehr - Bestand'!$M$36:$R$36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2-4D48-A700-200AE81BF182}"/>
            </c:ext>
          </c:extLst>
        </c:ser>
        <c:ser>
          <c:idx val="3"/>
          <c:order val="4"/>
          <c:tx>
            <c:strRef>
              <c:f>'Verkehr - Bestand'!$C$38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Bestand'!$M$3:$S$3</c15:sqref>
                  </c15:fullRef>
                </c:ext>
              </c:extLst>
              <c:f>'Verkehr - Bestand'!$M$3:$R$3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Bestand'!$M$38:$S$38</c15:sqref>
                  </c15:fullRef>
                </c:ext>
              </c:extLst>
              <c:f>'Verkehr - Bestand'!$M$38:$R$38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2-4D48-A700-200AE81BF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409792"/>
        <c:axId val="412236544"/>
        <c:extLst>
          <c:ext xmlns:c15="http://schemas.microsoft.com/office/drawing/2012/chart" uri="{02D57815-91ED-43cb-92C2-25804820EDAC}">
            <c15:filteredBa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'Verkehr - Bestand'!$C$37</c15:sqref>
                        </c15:formulaRef>
                      </c:ext>
                    </c:extLst>
                    <c:strCache>
                      <c:ptCount val="1"/>
                      <c:pt idx="0">
                        <c:v>OHW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'Verkehr - Bestand'!$M$3:$S$3</c15:sqref>
                        </c15:fullRef>
                        <c15:formulaRef>
                          <c15:sqref>'Verkehr - Bestand'!$M$3:$R$3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'Verkehr - Bestand'!$M$37:$S$37</c15:sqref>
                        </c15:fullRef>
                        <c15:formulaRef>
                          <c15:sqref>'Verkehr - Bestand'!$M$37:$R$37</c15:sqref>
                        </c15:formulaRef>
                      </c:ext>
                    </c:extLst>
                    <c:numCache>
                      <c:formatCode>0%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A52-4D48-A700-200AE81BF182}"/>
                  </c:ext>
                </c:extLst>
              </c15:ser>
            </c15:filteredBarSeries>
          </c:ext>
        </c:extLst>
      </c:barChart>
      <c:catAx>
        <c:axId val="39740979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2236544"/>
        <c:crosses val="autoZero"/>
        <c:auto val="1"/>
        <c:lblAlgn val="ctr"/>
        <c:lblOffset val="100"/>
        <c:noMultiLvlLbl val="0"/>
      </c:catAx>
      <c:valAx>
        <c:axId val="4122365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9740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 b="1" i="0" u="none" strike="noStrike" baseline="0">
                <a:effectLst/>
              </a:rPr>
              <a:t>Share </a:t>
            </a:r>
            <a:r>
              <a:rPr lang="en-US" sz="1600"/>
              <a:t>of Public Trains</a:t>
            </a:r>
          </a:p>
        </c:rich>
      </c:tx>
      <c:layout>
        <c:manualLayout>
          <c:xMode val="edge"/>
          <c:yMode val="edge"/>
          <c:x val="0.3669093161808995"/>
          <c:y val="2.22222222222222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Bestand'!$C$45</c:f>
              <c:strCache>
                <c:ptCount val="1"/>
                <c:pt idx="0">
                  <c:v>Diesel Train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Bestand'!$M$45:$S$45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3-44C7-905A-6F11F5E9C08F}"/>
            </c:ext>
          </c:extLst>
        </c:ser>
        <c:ser>
          <c:idx val="1"/>
          <c:order val="1"/>
          <c:tx>
            <c:strRef>
              <c:f>'Verkehr - Bestand'!$C$46</c:f>
              <c:strCache>
                <c:ptCount val="1"/>
                <c:pt idx="0">
                  <c:v>Electric 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Bestand'!$M$46:$S$46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23-44C7-905A-6F11F5E9C08F}"/>
            </c:ext>
          </c:extLst>
        </c:ser>
        <c:ser>
          <c:idx val="2"/>
          <c:order val="2"/>
          <c:tx>
            <c:strRef>
              <c:f>'Verkehr - Bestand'!$C$47</c:f>
              <c:strCache>
                <c:ptCount val="1"/>
                <c:pt idx="0">
                  <c:v>FC-Train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Bestand'!$M$47:$S$47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23-44C7-905A-6F11F5E9C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737920"/>
        <c:axId val="415138944"/>
      </c:barChart>
      <c:catAx>
        <c:axId val="41473792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138944"/>
        <c:crosses val="autoZero"/>
        <c:auto val="1"/>
        <c:lblAlgn val="ctr"/>
        <c:lblOffset val="100"/>
        <c:noMultiLvlLbl val="0"/>
      </c:catAx>
      <c:valAx>
        <c:axId val="4151389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473792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 b="1" i="0" u="none" strike="noStrike" baseline="0">
                <a:effectLst/>
              </a:rPr>
              <a:t>Share </a:t>
            </a:r>
            <a:r>
              <a:rPr lang="en-US" sz="1600"/>
              <a:t>of Transportation Trains</a:t>
            </a:r>
          </a:p>
        </c:rich>
      </c:tx>
      <c:layout>
        <c:manualLayout>
          <c:xMode val="edge"/>
          <c:yMode val="edge"/>
          <c:x val="0.25196678744526729"/>
          <c:y val="2.22222222222222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Bestand'!$C$53</c:f>
              <c:strCache>
                <c:ptCount val="1"/>
                <c:pt idx="0">
                  <c:v>Diesel Train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Bestand'!$M$53:$S$53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3-4CF1-8D06-D9FF7FB4B189}"/>
            </c:ext>
          </c:extLst>
        </c:ser>
        <c:ser>
          <c:idx val="1"/>
          <c:order val="1"/>
          <c:tx>
            <c:strRef>
              <c:f>'Verkehr - Bestand'!$C$54</c:f>
              <c:strCache>
                <c:ptCount val="1"/>
                <c:pt idx="0">
                  <c:v>Electric 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Bestand'!$M$54:$S$54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3-4CF1-8D06-D9FF7FB4B189}"/>
            </c:ext>
          </c:extLst>
        </c:ser>
        <c:ser>
          <c:idx val="2"/>
          <c:order val="2"/>
          <c:tx>
            <c:strRef>
              <c:f>'Verkehr - Bestand'!$C$55</c:f>
              <c:strCache>
                <c:ptCount val="1"/>
                <c:pt idx="0">
                  <c:v>FC-Train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Bestand'!$M$55:$S$55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A3-4CF1-8D06-D9FF7FB4B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738432"/>
        <c:axId val="415141248"/>
      </c:barChart>
      <c:catAx>
        <c:axId val="41473843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141248"/>
        <c:crosses val="autoZero"/>
        <c:auto val="1"/>
        <c:lblAlgn val="ctr"/>
        <c:lblOffset val="100"/>
        <c:noMultiLvlLbl val="0"/>
      </c:catAx>
      <c:valAx>
        <c:axId val="4151412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4147384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 b="1" i="0" u="none" strike="noStrike" baseline="0">
                <a:effectLst/>
              </a:rPr>
              <a:t>Share </a:t>
            </a:r>
            <a:r>
              <a:rPr lang="en-US" sz="1600"/>
              <a:t>of Trains</a:t>
            </a:r>
          </a:p>
        </c:rich>
      </c:tx>
      <c:layout>
        <c:manualLayout>
          <c:xMode val="edge"/>
          <c:yMode val="edge"/>
          <c:x val="0.25196678744526729"/>
          <c:y val="2.22222222222222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Bestand'!$C$53</c:f>
              <c:strCache>
                <c:ptCount val="1"/>
                <c:pt idx="0">
                  <c:v>Diesel Train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Bestand'!$M$61:$S$61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3-4CF1-8D06-D9FF7FB4B189}"/>
            </c:ext>
          </c:extLst>
        </c:ser>
        <c:ser>
          <c:idx val="1"/>
          <c:order val="1"/>
          <c:tx>
            <c:strRef>
              <c:f>'Verkehr - Bestand'!$C$54</c:f>
              <c:strCache>
                <c:ptCount val="1"/>
                <c:pt idx="0">
                  <c:v>Electric 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Bestand'!$M$62:$S$62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3-4CF1-8D06-D9FF7FB4B189}"/>
            </c:ext>
          </c:extLst>
        </c:ser>
        <c:ser>
          <c:idx val="2"/>
          <c:order val="2"/>
          <c:tx>
            <c:strRef>
              <c:f>'Verkehr - Bestand'!$C$55</c:f>
              <c:strCache>
                <c:ptCount val="1"/>
                <c:pt idx="0">
                  <c:v>FC-Train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Bestand'!$M$63:$S$63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A3-4CF1-8D06-D9FF7FB4B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739968"/>
        <c:axId val="415143552"/>
      </c:barChart>
      <c:catAx>
        <c:axId val="4147399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143552"/>
        <c:crosses val="autoZero"/>
        <c:auto val="1"/>
        <c:lblAlgn val="ctr"/>
        <c:lblOffset val="100"/>
        <c:noMultiLvlLbl val="0"/>
      </c:catAx>
      <c:valAx>
        <c:axId val="415143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4147399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Antreibsart von PKWs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50772039619893006"/>
          <c:h val="0.6162099737532807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'Verkehr - Bestand'!$B$5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Bestand'!$M$5:$S$5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F-41B4-BCB6-C464962EE77E}"/>
            </c:ext>
          </c:extLst>
        </c:ser>
        <c:ser>
          <c:idx val="4"/>
          <c:order val="1"/>
          <c:tx>
            <c:strRef>
              <c:f>'Verkehr - Bestand'!$B$8</c:f>
              <c:strCache>
                <c:ptCount val="1"/>
                <c:pt idx="0">
                  <c:v>Hybrid Diesel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bg1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Bestand'!$M$8:$S$8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4F-41B4-BCB6-C464962EE77E}"/>
            </c:ext>
          </c:extLst>
        </c:ser>
        <c:ser>
          <c:idx val="3"/>
          <c:order val="2"/>
          <c:tx>
            <c:strRef>
              <c:f>'Verkehr - Bestand'!$B$7</c:f>
              <c:strCache>
                <c:ptCount val="1"/>
                <c:pt idx="0">
                  <c:v>Otto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Bestand'!$M$7:$S$7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4F-41B4-BCB6-C464962EE77E}"/>
            </c:ext>
          </c:extLst>
        </c:ser>
        <c:ser>
          <c:idx val="6"/>
          <c:order val="3"/>
          <c:tx>
            <c:strRef>
              <c:f>'Verkehr - Bestand'!$B$10</c:f>
              <c:strCache>
                <c:ptCount val="1"/>
                <c:pt idx="0">
                  <c:v>Hybrid Otto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Bestand'!$M$10:$S$10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4F-41B4-BCB6-C464962EE77E}"/>
            </c:ext>
          </c:extLst>
        </c:ser>
        <c:ser>
          <c:idx val="2"/>
          <c:order val="4"/>
          <c:tx>
            <c:strRef>
              <c:f>'Verkehr - Bestand'!$B$6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Bestand'!$M$6:$S$6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4F-41B4-BCB6-C464962EE77E}"/>
            </c:ext>
          </c:extLst>
        </c:ser>
        <c:ser>
          <c:idx val="5"/>
          <c:order val="5"/>
          <c:tx>
            <c:strRef>
              <c:f>'Verkehr - Bestand'!$B$9</c:f>
              <c:strCache>
                <c:ptCount val="1"/>
                <c:pt idx="0">
                  <c:v>Hybrid Brennstoffzelle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Bestand'!$M$9:$S$9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4F-41B4-BCB6-C464962EE77E}"/>
            </c:ext>
          </c:extLst>
        </c:ser>
        <c:ser>
          <c:idx val="0"/>
          <c:order val="6"/>
          <c:tx>
            <c:strRef>
              <c:f>'Verkehr - Bestand'!$B$4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Bestand'!$M$4:$S$4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4F-41B4-BCB6-C464962EE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739456"/>
        <c:axId val="414900224"/>
      </c:barChart>
      <c:catAx>
        <c:axId val="41473945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4900224"/>
        <c:crosses val="autoZero"/>
        <c:auto val="1"/>
        <c:lblAlgn val="ctr"/>
        <c:lblOffset val="100"/>
        <c:noMultiLvlLbl val="0"/>
      </c:catAx>
      <c:valAx>
        <c:axId val="4149002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473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Antriebsart von Busen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Bestand'!$B$35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Bestand'!$M$3:$S$3</c15:sqref>
                  </c15:fullRef>
                </c:ext>
              </c:extLst>
              <c:f>'Verkehr - Bestand'!$M$3:$R$3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Bestand'!$M$35:$S$35</c15:sqref>
                  </c15:fullRef>
                </c:ext>
              </c:extLst>
              <c:f>'Verkehr - Bestand'!$M$35:$R$35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9-400C-AACB-A910CF42C647}"/>
            </c:ext>
          </c:extLst>
        </c:ser>
        <c:ser>
          <c:idx val="4"/>
          <c:order val="1"/>
          <c:tx>
            <c:strRef>
              <c:f>'Verkehr - Bestand'!$B$39</c:f>
              <c:strCache>
                <c:ptCount val="1"/>
                <c:pt idx="0">
                  <c:v>Otto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Bestand'!$M$3:$S$3</c15:sqref>
                  </c15:fullRef>
                </c:ext>
              </c:extLst>
              <c:f>'Verkehr - Bestand'!$M$3:$R$3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Bestand'!$M$39:$S$39</c15:sqref>
                  </c15:fullRef>
                </c:ext>
              </c:extLst>
              <c:f>'Verkehr - Bestand'!$M$39:$R$39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9-400C-AACB-A910CF42C647}"/>
            </c:ext>
          </c:extLst>
        </c:ser>
        <c:ser>
          <c:idx val="1"/>
          <c:order val="2"/>
          <c:tx>
            <c:strRef>
              <c:f>'Verkehr - Bestand'!$B$36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Bestand'!$M$3:$S$3</c15:sqref>
                  </c15:fullRef>
                </c:ext>
              </c:extLst>
              <c:f>'Verkehr - Bestand'!$M$3:$R$3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Bestand'!$M$36:$S$36</c15:sqref>
                  </c15:fullRef>
                </c:ext>
              </c:extLst>
              <c:f>'Verkehr - Bestand'!$M$36:$R$36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49-400C-AACB-A910CF42C647}"/>
            </c:ext>
          </c:extLst>
        </c:ser>
        <c:ser>
          <c:idx val="3"/>
          <c:order val="4"/>
          <c:tx>
            <c:strRef>
              <c:f>'Verkehr - Bestand'!$B$38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Bestand'!$M$3:$S$3</c15:sqref>
                  </c15:fullRef>
                </c:ext>
              </c:extLst>
              <c:f>'Verkehr - Bestand'!$M$3:$R$3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Bestand'!$M$38:$S$38</c15:sqref>
                  </c15:fullRef>
                </c:ext>
              </c:extLst>
              <c:f>'Verkehr - Bestand'!$M$38:$R$38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49-400C-AACB-A910CF42C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256576"/>
        <c:axId val="414902528"/>
        <c:extLst>
          <c:ext xmlns:c15="http://schemas.microsoft.com/office/drawing/2012/chart" uri="{02D57815-91ED-43cb-92C2-25804820EDAC}">
            <c15:filteredBa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'Verkehr - Bestand'!$B$37</c15:sqref>
                        </c15:formulaRef>
                      </c:ext>
                    </c:extLst>
                    <c:strCache>
                      <c:ptCount val="1"/>
                      <c:pt idx="0">
                        <c:v>OHW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'Verkehr - Bestand'!$M$3:$S$3</c15:sqref>
                        </c15:fullRef>
                        <c15:formulaRef>
                          <c15:sqref>'Verkehr - Bestand'!$M$3:$R$3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'Verkehr - Bestand'!$M$37:$S$37</c15:sqref>
                        </c15:fullRef>
                        <c15:formulaRef>
                          <c15:sqref>'Verkehr - Bestand'!$M$37:$R$37</c15:sqref>
                        </c15:formulaRef>
                      </c:ext>
                    </c:extLst>
                    <c:numCache>
                      <c:formatCode>0%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849-400C-AACB-A910CF42C647}"/>
                  </c:ext>
                </c:extLst>
              </c15:ser>
            </c15:filteredBarSeries>
          </c:ext>
        </c:extLst>
      </c:barChart>
      <c:catAx>
        <c:axId val="41525657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4902528"/>
        <c:crosses val="autoZero"/>
        <c:auto val="1"/>
        <c:lblAlgn val="ctr"/>
        <c:lblOffset val="100"/>
        <c:noMultiLvlLbl val="0"/>
      </c:catAx>
      <c:valAx>
        <c:axId val="4149025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2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Antriebsart von LKWs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Bestand'!$B$16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Bestand'!$M$16:$S$16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D-4912-960E-F9A02C33F7F0}"/>
            </c:ext>
          </c:extLst>
        </c:ser>
        <c:ser>
          <c:idx val="1"/>
          <c:order val="1"/>
          <c:tx>
            <c:strRef>
              <c:f>'Verkehr - Bestand'!$B$17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Bestand'!$M$17:$S$17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D-4912-960E-F9A02C33F7F0}"/>
            </c:ext>
          </c:extLst>
        </c:ser>
        <c:ser>
          <c:idx val="2"/>
          <c:order val="2"/>
          <c:tx>
            <c:strRef>
              <c:f>'Verkehr - Bestand'!$B$18</c:f>
              <c:strCache>
                <c:ptCount val="1"/>
                <c:pt idx="0">
                  <c:v>OHW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Bestand'!$M$18:$S$18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D-4912-960E-F9A02C33F7F0}"/>
            </c:ext>
          </c:extLst>
        </c:ser>
        <c:ser>
          <c:idx val="3"/>
          <c:order val="3"/>
          <c:tx>
            <c:strRef>
              <c:f>'Verkehr - Bestand'!$B$19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Bestand'!$M$19:$S$19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CD-4912-960E-F9A02C33F7F0}"/>
            </c:ext>
          </c:extLst>
        </c:ser>
        <c:ser>
          <c:idx val="4"/>
          <c:order val="4"/>
          <c:tx>
            <c:strRef>
              <c:f>'Verkehr - Bestand'!$B$20</c:f>
              <c:strCache>
                <c:ptCount val="1"/>
                <c:pt idx="0">
                  <c:v>Otto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Bestand'!$M$20:$S$20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CD-4912-960E-F9A02C33F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558656"/>
        <c:axId val="414904832"/>
      </c:barChart>
      <c:catAx>
        <c:axId val="41555865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4904832"/>
        <c:crosses val="autoZero"/>
        <c:auto val="1"/>
        <c:lblAlgn val="ctr"/>
        <c:lblOffset val="100"/>
        <c:noMultiLvlLbl val="0"/>
      </c:catAx>
      <c:valAx>
        <c:axId val="4149048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5586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Antriebsart von Personenzügen</a:t>
            </a:r>
          </a:p>
        </c:rich>
      </c:tx>
      <c:layout>
        <c:manualLayout>
          <c:xMode val="edge"/>
          <c:yMode val="edge"/>
          <c:x val="0.26236571906195683"/>
          <c:y val="2.22222222222222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Bestand'!$B$45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Bestand'!$M$45:$S$45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1-49B7-94BF-C7E50311521F}"/>
            </c:ext>
          </c:extLst>
        </c:ser>
        <c:ser>
          <c:idx val="1"/>
          <c:order val="1"/>
          <c:tx>
            <c:strRef>
              <c:f>'Verkehr - Bestand'!$B$46</c:f>
              <c:strCache>
                <c:ptCount val="1"/>
                <c:pt idx="0">
                  <c:v>Elektrisch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Bestand'!$M$46:$S$46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1-49B7-94BF-C7E50311521F}"/>
            </c:ext>
          </c:extLst>
        </c:ser>
        <c:ser>
          <c:idx val="2"/>
          <c:order val="2"/>
          <c:tx>
            <c:strRef>
              <c:f>'Verkehr - Bestand'!$B$47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Bestand'!$M$47:$S$47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1-49B7-94BF-C7E503115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258624"/>
        <c:axId val="414907136"/>
      </c:barChart>
      <c:catAx>
        <c:axId val="41525862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4907136"/>
        <c:crosses val="autoZero"/>
        <c:auto val="1"/>
        <c:lblAlgn val="ctr"/>
        <c:lblOffset val="100"/>
        <c:noMultiLvlLbl val="0"/>
      </c:catAx>
      <c:valAx>
        <c:axId val="4149071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25862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Antriebsart von Kleintransportern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Bestand'!$B$26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Bestand'!$M$26:$S$26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0-4D3B-ADA6-30C44E178B68}"/>
            </c:ext>
          </c:extLst>
        </c:ser>
        <c:ser>
          <c:idx val="1"/>
          <c:order val="1"/>
          <c:tx>
            <c:strRef>
              <c:f>'Verkehr - Bestand'!$B$27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Bestand'!$M$27:$S$27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70-4D3B-ADA6-30C44E178B68}"/>
            </c:ext>
          </c:extLst>
        </c:ser>
        <c:ser>
          <c:idx val="2"/>
          <c:order val="2"/>
          <c:tx>
            <c:strRef>
              <c:f>'Verkehr - Bestand'!$B$28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Bestand'!$M$28:$S$28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70-4D3B-ADA6-30C44E178B68}"/>
            </c:ext>
          </c:extLst>
        </c:ser>
        <c:ser>
          <c:idx val="3"/>
          <c:order val="3"/>
          <c:tx>
            <c:strRef>
              <c:f>'Verkehr - Bestand'!$B$29</c:f>
              <c:strCache>
                <c:ptCount val="1"/>
                <c:pt idx="0">
                  <c:v>Otto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Bestand'!$M$29:$S$29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70-4D3B-ADA6-30C44E178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260160"/>
        <c:axId val="415392896"/>
      </c:barChart>
      <c:catAx>
        <c:axId val="41526016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392896"/>
        <c:crosses val="autoZero"/>
        <c:auto val="1"/>
        <c:lblAlgn val="ctr"/>
        <c:lblOffset val="100"/>
        <c:noMultiLvlLbl val="0"/>
      </c:catAx>
      <c:valAx>
        <c:axId val="4153928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260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Antriebsart von Güterzügen</a:t>
            </a:r>
          </a:p>
        </c:rich>
      </c:tx>
      <c:layout>
        <c:manualLayout>
          <c:xMode val="edge"/>
          <c:yMode val="edge"/>
          <c:x val="0.25196678744526729"/>
          <c:y val="2.22222222222222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Bestand'!$B$53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Bestand'!$M$53:$S$53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0-4FF0-B6FA-A73CC041C3BB}"/>
            </c:ext>
          </c:extLst>
        </c:ser>
        <c:ser>
          <c:idx val="1"/>
          <c:order val="1"/>
          <c:tx>
            <c:strRef>
              <c:f>'Verkehr - Bestand'!$B$54</c:f>
              <c:strCache>
                <c:ptCount val="1"/>
                <c:pt idx="0">
                  <c:v>Elektrisch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Bestand'!$M$54:$S$54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0-4FF0-B6FA-A73CC041C3BB}"/>
            </c:ext>
          </c:extLst>
        </c:ser>
        <c:ser>
          <c:idx val="2"/>
          <c:order val="2"/>
          <c:tx>
            <c:strRef>
              <c:f>'Verkehr - Bestand'!$B$55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Bestand'!$M$55:$S$55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00-4FF0-B6FA-A73CC041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150528"/>
        <c:axId val="415395200"/>
      </c:barChart>
      <c:catAx>
        <c:axId val="41615052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395200"/>
        <c:crosses val="autoZero"/>
        <c:auto val="1"/>
        <c:lblAlgn val="ctr"/>
        <c:lblOffset val="100"/>
        <c:noMultiLvlLbl val="0"/>
      </c:catAx>
      <c:valAx>
        <c:axId val="4153952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4161505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Antriebsart Schienenverkehr</a:t>
            </a:r>
          </a:p>
        </c:rich>
      </c:tx>
      <c:layout>
        <c:manualLayout>
          <c:xMode val="edge"/>
          <c:yMode val="edge"/>
          <c:x val="0.25196678744526729"/>
          <c:y val="2.22222222222222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97727677024914"/>
          <c:y val="0.19432888597258677"/>
          <c:w val="0.64738484681091446"/>
          <c:h val="0.616209973753280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Bestand'!$B$61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Bestand'!$M$61:$S$61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7-4E7A-9788-4C7797C76A88}"/>
            </c:ext>
          </c:extLst>
        </c:ser>
        <c:ser>
          <c:idx val="1"/>
          <c:order val="1"/>
          <c:tx>
            <c:strRef>
              <c:f>'Verkehr - Bestand'!$B$62</c:f>
              <c:strCache>
                <c:ptCount val="1"/>
                <c:pt idx="0">
                  <c:v>Elektrisch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Bestand'!$M$62:$S$62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7-4E7A-9788-4C7797C76A88}"/>
            </c:ext>
          </c:extLst>
        </c:ser>
        <c:ser>
          <c:idx val="2"/>
          <c:order val="2"/>
          <c:tx>
            <c:strRef>
              <c:f>'Verkehr - Bestand'!$B$63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Bestand'!$M$3:$S$3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Bestand'!$M$63:$S$63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7-4E7A-9788-4C7797C76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151040"/>
        <c:axId val="415397504"/>
      </c:barChart>
      <c:catAx>
        <c:axId val="4161510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5397504"/>
        <c:crosses val="autoZero"/>
        <c:auto val="1"/>
        <c:lblAlgn val="ctr"/>
        <c:lblOffset val="100"/>
        <c:noMultiLvlLbl val="0"/>
      </c:catAx>
      <c:valAx>
        <c:axId val="415397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41615104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Personal Cars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573199485956373"/>
          <c:y val="0.16328952585962725"/>
          <c:w val="0.56096122883968358"/>
          <c:h val="0.67296253409500273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'Verkehr - Nutzung'!$C$4</c:f>
              <c:strCache>
                <c:ptCount val="1"/>
                <c:pt idx="0">
                  <c:v>(H-)CIEV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Nutzung'!$F$4:$K$4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1C-432C-9520-DB11DAAF6EC4}"/>
            </c:ext>
          </c:extLst>
        </c:ser>
        <c:ser>
          <c:idx val="3"/>
          <c:order val="1"/>
          <c:tx>
            <c:strRef>
              <c:f>'Verkehr - Nutzung'!$C$6</c:f>
              <c:strCache>
                <c:ptCount val="1"/>
                <c:pt idx="0">
                  <c:v>(H-)SIEV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Nutzung'!$F$6:$K$6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1C-432C-9520-DB11DAAF6EC4}"/>
            </c:ext>
          </c:extLst>
        </c:ser>
        <c:ser>
          <c:idx val="2"/>
          <c:order val="2"/>
          <c:tx>
            <c:strRef>
              <c:f>'Verkehr - Nutzung'!$C$5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Nutzung'!$F$5:$K$5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1C-432C-9520-DB11DAAF6EC4}"/>
            </c:ext>
          </c:extLst>
        </c:ser>
        <c:ser>
          <c:idx val="4"/>
          <c:order val="3"/>
          <c:tx>
            <c:strRef>
              <c:f>'Verkehr - Nutzung'!$C$7</c:f>
              <c:strCache>
                <c:ptCount val="1"/>
                <c:pt idx="0">
                  <c:v>PIH-CIEV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bg1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Nutzung'!$F$7:$K$7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1C-432C-9520-DB11DAAF6EC4}"/>
            </c:ext>
          </c:extLst>
        </c:ser>
        <c:ser>
          <c:idx val="5"/>
          <c:order val="4"/>
          <c:tx>
            <c:strRef>
              <c:f>'Verkehr - Nutzung'!$C$8</c:f>
              <c:strCache>
                <c:ptCount val="1"/>
                <c:pt idx="0">
                  <c:v>PIH-FCEV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Nutzung'!$F$8:$K$8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1C-432C-9520-DB11DAAF6EC4}"/>
            </c:ext>
          </c:extLst>
        </c:ser>
        <c:ser>
          <c:idx val="6"/>
          <c:order val="5"/>
          <c:tx>
            <c:strRef>
              <c:f>'Verkehr - Nutzung'!$C$9</c:f>
              <c:strCache>
                <c:ptCount val="1"/>
                <c:pt idx="0">
                  <c:v>PIH-SIEV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Nutzung'!$F$9:$K$9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1C-432C-9520-DB11DAAF6EC4}"/>
            </c:ext>
          </c:extLst>
        </c:ser>
        <c:ser>
          <c:idx val="0"/>
          <c:order val="6"/>
          <c:tx>
            <c:strRef>
              <c:f>'Verkehr - Nutzung'!$C$3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Nutzung'!$F$3:$K$3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1C-432C-9520-DB11DAAF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152576"/>
        <c:axId val="416268864"/>
        <c:extLst/>
      </c:barChart>
      <c:catAx>
        <c:axId val="41615257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268864"/>
        <c:crosses val="autoZero"/>
        <c:auto val="1"/>
        <c:lblAlgn val="ctr"/>
        <c:lblOffset val="100"/>
        <c:noMultiLvlLbl val="0"/>
      </c:catAx>
      <c:valAx>
        <c:axId val="41626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Distance in mio. pkm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15257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3538233895259741"/>
          <c:y val="0.18663628196085072"/>
          <c:w val="0.26190068523313781"/>
          <c:h val="0.65655367213881721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Transportation Trucks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017182888445999"/>
          <c:y val="0.16328952585962725"/>
          <c:w val="0.59951005216671571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Nutzung'!$C$17</c:f>
              <c:strCache>
                <c:ptCount val="1"/>
                <c:pt idx="0">
                  <c:v>CIE-HDV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Nutzung'!$F$17:$K$17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6-4B74-8E30-1828E4EF31A5}"/>
            </c:ext>
          </c:extLst>
        </c:ser>
        <c:ser>
          <c:idx val="1"/>
          <c:order val="1"/>
          <c:tx>
            <c:strRef>
              <c:f>'Verkehr - Nutzung'!$C$18</c:f>
              <c:strCache>
                <c:ptCount val="1"/>
                <c:pt idx="0">
                  <c:v>BE-HDV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Nutzung'!$F$18:$K$18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6-4B74-8E30-1828E4EF31A5}"/>
            </c:ext>
          </c:extLst>
        </c:ser>
        <c:ser>
          <c:idx val="2"/>
          <c:order val="2"/>
          <c:tx>
            <c:strRef>
              <c:f>'Verkehr - Nutzung'!$C$19</c:f>
              <c:strCache>
                <c:ptCount val="1"/>
                <c:pt idx="0">
                  <c:v>OHW-HDV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Nutzung'!$F$19:$K$19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26-4B74-8E30-1828E4EF31A5}"/>
            </c:ext>
          </c:extLst>
        </c:ser>
        <c:ser>
          <c:idx val="3"/>
          <c:order val="3"/>
          <c:tx>
            <c:strRef>
              <c:f>'Verkehr - Nutzung'!$C$20</c:f>
              <c:strCache>
                <c:ptCount val="1"/>
                <c:pt idx="0">
                  <c:v>FCE-HDV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Nutzung'!$F$20:$K$20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26-4B74-8E30-1828E4EF31A5}"/>
            </c:ext>
          </c:extLst>
        </c:ser>
        <c:ser>
          <c:idx val="4"/>
          <c:order val="4"/>
          <c:tx>
            <c:strRef>
              <c:f>'Verkehr - Nutzung'!$C$21</c:f>
              <c:strCache>
                <c:ptCount val="1"/>
                <c:pt idx="0">
                  <c:v>SI-HDV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Nutzung'!$F$21:$K$21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26-4B74-8E30-1828E4EF3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463360"/>
        <c:axId val="416271168"/>
        <c:extLst/>
      </c:barChart>
      <c:catAx>
        <c:axId val="41646336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271168"/>
        <c:crosses val="autoZero"/>
        <c:auto val="1"/>
        <c:lblAlgn val="ctr"/>
        <c:lblOffset val="100"/>
        <c:noMultiLvlLbl val="0"/>
      </c:catAx>
      <c:valAx>
        <c:axId val="41627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Distance in mio. tkm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463360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5442667653120554"/>
          <c:y val="0.16473156062940678"/>
          <c:w val="0.24285634765452976"/>
          <c:h val="0.66417772998891311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Distribution Trucks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98510689275874"/>
          <c:y val="0.16328952585962725"/>
          <c:w val="0.59432333017501437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Nutzung'!$C$27</c:f>
              <c:strCache>
                <c:ptCount val="1"/>
                <c:pt idx="0">
                  <c:v>CIE-LDV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Nutzung'!$F$27:$K$27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E-4037-9FCA-24A32BCA61C8}"/>
            </c:ext>
          </c:extLst>
        </c:ser>
        <c:ser>
          <c:idx val="1"/>
          <c:order val="1"/>
          <c:tx>
            <c:strRef>
              <c:f>'Verkehr - Nutzung'!$C$28</c:f>
              <c:strCache>
                <c:ptCount val="1"/>
                <c:pt idx="0">
                  <c:v>BE-LDV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Nutzung'!$F$28:$K$28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E-4037-9FCA-24A32BCA61C8}"/>
            </c:ext>
          </c:extLst>
        </c:ser>
        <c:ser>
          <c:idx val="2"/>
          <c:order val="2"/>
          <c:tx>
            <c:strRef>
              <c:f>'Verkehr - Nutzung'!$C$29</c:f>
              <c:strCache>
                <c:ptCount val="1"/>
                <c:pt idx="0">
                  <c:v>FCE-LDV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Nutzung'!$F$29:$K$29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E-4037-9FCA-24A32BCA61C8}"/>
            </c:ext>
          </c:extLst>
        </c:ser>
        <c:ser>
          <c:idx val="3"/>
          <c:order val="3"/>
          <c:tx>
            <c:strRef>
              <c:f>'Verkehr - Nutzung'!$C$30</c:f>
              <c:strCache>
                <c:ptCount val="1"/>
                <c:pt idx="0">
                  <c:v>SI-LDV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Nutzung'!$F$30:$K$30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E-4037-9FCA-24A32BCA6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075776"/>
        <c:axId val="416273472"/>
        <c:extLst/>
      </c:barChart>
      <c:catAx>
        <c:axId val="41607577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273472"/>
        <c:crosses val="autoZero"/>
        <c:auto val="1"/>
        <c:lblAlgn val="ctr"/>
        <c:lblOffset val="100"/>
        <c:noMultiLvlLbl val="0"/>
      </c:catAx>
      <c:valAx>
        <c:axId val="4162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Distance in mio. tkm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07577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25675280522821"/>
          <c:y val="0.15873743743576782"/>
          <c:w val="0.25471549613345312"/>
          <c:h val="0.67619768565266314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Buses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98510689275874"/>
          <c:y val="0.16328952585962725"/>
          <c:w val="0.59432333017501437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Nutzung'!$C$38</c:f>
              <c:strCache>
                <c:ptCount val="1"/>
                <c:pt idx="0">
                  <c:v>CIE-Bus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Nutzung'!$F$38:$K$38</c15:sqref>
                  </c15:fullRef>
                </c:ext>
              </c:extLst>
              <c:f>'Verkehr - Nutzung'!$F$38:$J$38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F-4274-ADA6-A11DF72E9094}"/>
            </c:ext>
          </c:extLst>
        </c:ser>
        <c:ser>
          <c:idx val="1"/>
          <c:order val="1"/>
          <c:tx>
            <c:strRef>
              <c:f>'Verkehr - Nutzung'!$C$41</c:f>
              <c:strCache>
                <c:ptCount val="1"/>
                <c:pt idx="0">
                  <c:v>BE-Bus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Nutzung'!$F$41:$J$41</c15:sqref>
                  </c15:fullRef>
                </c:ext>
              </c:extLst>
              <c:f>'Verkehr - Nutzung'!$F$41:$J$41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DF-4274-ADA6-A11DF72E9094}"/>
            </c:ext>
          </c:extLst>
        </c:ser>
        <c:ser>
          <c:idx val="3"/>
          <c:order val="3"/>
          <c:tx>
            <c:strRef>
              <c:f>'Verkehr - Nutzung'!$C$42</c:f>
              <c:strCache>
                <c:ptCount val="1"/>
                <c:pt idx="0">
                  <c:v>FCE-Bus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Nutzung'!$F$42:$K$42</c15:sqref>
                  </c15:fullRef>
                </c:ext>
              </c:extLst>
              <c:f>'Verkehr - Nutzung'!$F$42:$J$42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DF-4274-ADA6-A11DF72E9094}"/>
            </c:ext>
          </c:extLst>
        </c:ser>
        <c:ser>
          <c:idx val="4"/>
          <c:order val="4"/>
          <c:tx>
            <c:strRef>
              <c:f>'Verkehr - Nutzung'!$C$43</c:f>
              <c:strCache>
                <c:ptCount val="1"/>
                <c:pt idx="0">
                  <c:v>SI-Bus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Nutzung'!$F$43:$K$43</c15:sqref>
                  </c15:fullRef>
                </c:ext>
              </c:extLst>
              <c:f>'Verkehr - Nutzung'!$F$43:$J$43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DF-4274-ADA6-A11DF72E9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077312"/>
        <c:axId val="416275776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'Verkehr - Nutzung'!$C$40</c15:sqref>
                        </c15:formulaRef>
                      </c:ext>
                    </c:extLst>
                    <c:strCache>
                      <c:ptCount val="1"/>
                      <c:pt idx="0">
                        <c:v>OHW-Bus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'Verkehr - Nutzung'!$F$2:$K$2</c15:sqref>
                        </c15:fullRef>
                        <c15:formulaRef>
                          <c15:sqref>'Verkehr - Nutzung'!$F$2:$J$2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'Verkehr - Nutzung'!$F$40:$K$40</c15:sqref>
                        </c15:fullRef>
                        <c15:formulaRef>
                          <c15:sqref>'Verkehr - Nutzung'!$F$40:$J$40</c15:sqref>
                        </c15:formulaRef>
                      </c:ext>
                    </c:extLst>
                    <c:numCache>
                      <c:formatCode>0.0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95DF-4274-ADA6-A11DF72E9094}"/>
                  </c:ext>
                </c:extLst>
              </c15:ser>
            </c15:filteredBarSeries>
          </c:ext>
        </c:extLst>
      </c:barChart>
      <c:catAx>
        <c:axId val="41607731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275776"/>
        <c:crosses val="autoZero"/>
        <c:auto val="1"/>
        <c:lblAlgn val="ctr"/>
        <c:lblOffset val="100"/>
        <c:noMultiLvlLbl val="0"/>
      </c:catAx>
      <c:valAx>
        <c:axId val="41627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Distance in mio. pkm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07731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614698707267402"/>
          <c:y val="0.37382635994030167"/>
          <c:w val="0.25385301292732598"/>
          <c:h val="0.2864550123324979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Public Trains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749290016046306"/>
          <c:y val="0.16328952585962725"/>
          <c:w val="0.58181554697782856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Nutzung'!$C$49</c:f>
              <c:strCache>
                <c:ptCount val="1"/>
                <c:pt idx="0">
                  <c:v>Diesel Train (PT)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Nutzung'!$F$49:$K$49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1-4243-9445-4C87D458F12E}"/>
            </c:ext>
          </c:extLst>
        </c:ser>
        <c:ser>
          <c:idx val="1"/>
          <c:order val="1"/>
          <c:tx>
            <c:strRef>
              <c:f>'Verkehr - Nutzung'!$C$50</c:f>
              <c:strCache>
                <c:ptCount val="1"/>
                <c:pt idx="0">
                  <c:v>OHW-Train (PT)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Nutzung'!$F$50:$K$50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1-4243-9445-4C87D458F12E}"/>
            </c:ext>
          </c:extLst>
        </c:ser>
        <c:ser>
          <c:idx val="2"/>
          <c:order val="2"/>
          <c:tx>
            <c:strRef>
              <c:f>'Verkehr - Nutzung'!$C$51</c:f>
              <c:strCache>
                <c:ptCount val="1"/>
                <c:pt idx="0">
                  <c:v>FCE-Train (PT)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Nutzung'!$F$51:$K$51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81-4243-9445-4C87D458F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079360"/>
        <c:axId val="416884416"/>
        <c:extLst/>
      </c:barChart>
      <c:catAx>
        <c:axId val="41607936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884416"/>
        <c:crosses val="autoZero"/>
        <c:auto val="1"/>
        <c:lblAlgn val="ctr"/>
        <c:lblOffset val="100"/>
        <c:noMultiLvlLbl val="0"/>
      </c:catAx>
      <c:valAx>
        <c:axId val="416884416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Distance in mio. pkm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079360"/>
        <c:crosses val="autoZero"/>
        <c:crossBetween val="between"/>
        <c:majorUnit val="20000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614698707267402"/>
          <c:y val="0.41631002007102053"/>
          <c:w val="0.25385301292732598"/>
          <c:h val="0.1773562863465596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Transportation Trains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98510689275874"/>
          <c:y val="0.16328952585962725"/>
          <c:w val="0.59432333017501437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Nutzung'!$C$57</c:f>
              <c:strCache>
                <c:ptCount val="1"/>
                <c:pt idx="0">
                  <c:v>Diesel Train (FT)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Nutzung'!$F$57:$K$57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2-47FC-8250-071CA5633BD7}"/>
            </c:ext>
          </c:extLst>
        </c:ser>
        <c:ser>
          <c:idx val="1"/>
          <c:order val="1"/>
          <c:tx>
            <c:strRef>
              <c:f>'Verkehr - Nutzung'!$C$58</c:f>
              <c:strCache>
                <c:ptCount val="1"/>
                <c:pt idx="0">
                  <c:v>OHW-Train (FT)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Nutzung'!$F$58:$K$58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2-47FC-8250-071CA5633BD7}"/>
            </c:ext>
          </c:extLst>
        </c:ser>
        <c:ser>
          <c:idx val="2"/>
          <c:order val="2"/>
          <c:tx>
            <c:strRef>
              <c:f>'Verkehr - Nutzung'!$C$59</c:f>
              <c:strCache>
                <c:ptCount val="1"/>
                <c:pt idx="0">
                  <c:v>FCE-Train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Nutzung'!$F$59:$K$59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2-47FC-8250-071CA5633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702976"/>
        <c:axId val="416886720"/>
        <c:extLst/>
      </c:barChart>
      <c:catAx>
        <c:axId val="41670297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886720"/>
        <c:crosses val="autoZero"/>
        <c:auto val="1"/>
        <c:lblAlgn val="ctr"/>
        <c:lblOffset val="100"/>
        <c:noMultiLvlLbl val="0"/>
      </c:catAx>
      <c:valAx>
        <c:axId val="41688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Distance in mio. tkm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70297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614698707267402"/>
          <c:y val="0.41631002007102053"/>
          <c:w val="0.25385301292732598"/>
          <c:h val="0.1773562863465596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PKW-Nutzung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573199485956373"/>
          <c:y val="0.16328952585962725"/>
          <c:w val="0.52259554424814847"/>
          <c:h val="0.67296253409500273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'Verkehr - Nutzung'!$B$4</c:f>
              <c:strCache>
                <c:ptCount val="1"/>
                <c:pt idx="0">
                  <c:v>(H-)CIEV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Nutzung'!$F$4:$K$4</c15:sqref>
                  </c15:fullRef>
                </c:ext>
              </c:extLst>
              <c:f>'Verkehr - Nutzung'!$F$4:$J$4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2B-47DA-9EE1-E768EB441588}"/>
            </c:ext>
          </c:extLst>
        </c:ser>
        <c:ser>
          <c:idx val="3"/>
          <c:order val="1"/>
          <c:tx>
            <c:strRef>
              <c:f>'Verkehr - Nutzung'!$B$6</c:f>
              <c:strCache>
                <c:ptCount val="1"/>
                <c:pt idx="0">
                  <c:v>(H-)SIEV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Nutzung'!$F$6:$K$6</c15:sqref>
                  </c15:fullRef>
                </c:ext>
              </c:extLst>
              <c:f>'Verkehr - Nutzung'!$F$6:$J$6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2B-47DA-9EE1-E768EB441588}"/>
            </c:ext>
          </c:extLst>
        </c:ser>
        <c:ser>
          <c:idx val="4"/>
          <c:order val="2"/>
          <c:tx>
            <c:strRef>
              <c:f>'Verkehr - Nutzung'!$B$7</c:f>
              <c:strCache>
                <c:ptCount val="1"/>
                <c:pt idx="0">
                  <c:v>PIH-CIEV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bg1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Nutzung'!$F$7:$K$7</c15:sqref>
                  </c15:fullRef>
                </c:ext>
              </c:extLst>
              <c:f>'Verkehr - Nutzung'!$F$7:$J$7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2B-47DA-9EE1-E768EB441588}"/>
            </c:ext>
          </c:extLst>
        </c:ser>
        <c:ser>
          <c:idx val="6"/>
          <c:order val="3"/>
          <c:tx>
            <c:strRef>
              <c:f>'Verkehr - Nutzung'!$B$9</c:f>
              <c:strCache>
                <c:ptCount val="1"/>
                <c:pt idx="0">
                  <c:v>PIH-SIEV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Nutzung'!$F$9:$K$9</c15:sqref>
                  </c15:fullRef>
                </c:ext>
              </c:extLst>
              <c:f>'Verkehr - Nutzung'!$F$9:$J$9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2B-47DA-9EE1-E768EB441588}"/>
            </c:ext>
          </c:extLst>
        </c:ser>
        <c:ser>
          <c:idx val="2"/>
          <c:order val="4"/>
          <c:tx>
            <c:strRef>
              <c:f>'Verkehr - Nutzung'!$B$5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Nutzung'!$F$5:$K$5</c15:sqref>
                  </c15:fullRef>
                </c:ext>
              </c:extLst>
              <c:f>'Verkehr - Nutzung'!$F$5:$J$5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2B-47DA-9EE1-E768EB441588}"/>
            </c:ext>
          </c:extLst>
        </c:ser>
        <c:ser>
          <c:idx val="5"/>
          <c:order val="5"/>
          <c:tx>
            <c:strRef>
              <c:f>'Verkehr - Nutzung'!$B$8</c:f>
              <c:strCache>
                <c:ptCount val="1"/>
                <c:pt idx="0">
                  <c:v>PIH-FCEV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Nutzung'!$F$8:$K$8</c15:sqref>
                  </c15:fullRef>
                </c:ext>
              </c:extLst>
              <c:f>'Verkehr - Nutzung'!$F$8:$J$8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2B-47DA-9EE1-E768EB441588}"/>
            </c:ext>
          </c:extLst>
        </c:ser>
        <c:ser>
          <c:idx val="0"/>
          <c:order val="6"/>
          <c:tx>
            <c:strRef>
              <c:f>'Verkehr - Nutzung'!$B$3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Nutzung'!$F$3:$K$3</c15:sqref>
                  </c15:fullRef>
                </c:ext>
              </c:extLst>
              <c:f>'Verkehr - Nutzung'!$F$3:$J$3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B-47DA-9EE1-E768EB441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705024"/>
        <c:axId val="416889024"/>
        <c:extLst/>
      </c:barChart>
      <c:catAx>
        <c:axId val="41670502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889024"/>
        <c:crosses val="autoZero"/>
        <c:auto val="1"/>
        <c:lblAlgn val="ctr"/>
        <c:lblOffset val="100"/>
        <c:noMultiLvlLbl val="0"/>
      </c:catAx>
      <c:valAx>
        <c:axId val="41688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Entfernung in Mio. pkm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705024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68829716327073709"/>
          <c:y val="0.16687641283184043"/>
          <c:w val="0.30898592826515797"/>
          <c:h val="0.71891513014111486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Nutzung von Bussen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98510689275874"/>
          <c:y val="0.16328952585962725"/>
          <c:w val="0.59432333017501437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Nutzung'!$B$38</c:f>
              <c:strCache>
                <c:ptCount val="1"/>
                <c:pt idx="0">
                  <c:v>CIE-Bus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Nutzung'!$F$38:$K$38</c15:sqref>
                  </c15:fullRef>
                </c:ext>
              </c:extLst>
              <c:f>'Verkehr - Nutzung'!$F$38:$J$38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0-46BA-AA3F-F5A7615424F4}"/>
            </c:ext>
          </c:extLst>
        </c:ser>
        <c:ser>
          <c:idx val="1"/>
          <c:order val="1"/>
          <c:tx>
            <c:strRef>
              <c:f>'Verkehr - Nutzung'!$B$41</c:f>
              <c:strCache>
                <c:ptCount val="1"/>
                <c:pt idx="0">
                  <c:v>BE-Bus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Nutzung'!$F$41:$J$41</c15:sqref>
                  </c15:fullRef>
                </c:ext>
              </c:extLst>
              <c:f>'Verkehr - Nutzung'!$F$41:$J$41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0-46BA-AA3F-F5A7615424F4}"/>
            </c:ext>
          </c:extLst>
        </c:ser>
        <c:ser>
          <c:idx val="3"/>
          <c:order val="3"/>
          <c:tx>
            <c:strRef>
              <c:f>'Verkehr - Nutzung'!$B$42</c:f>
              <c:strCache>
                <c:ptCount val="1"/>
                <c:pt idx="0">
                  <c:v>FCE-Bus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Nutzung'!$F$42:$K$42</c15:sqref>
                  </c15:fullRef>
                </c:ext>
              </c:extLst>
              <c:f>'Verkehr - Nutzung'!$F$42:$J$42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80-46BA-AA3F-F5A7615424F4}"/>
            </c:ext>
          </c:extLst>
        </c:ser>
        <c:ser>
          <c:idx val="4"/>
          <c:order val="4"/>
          <c:tx>
            <c:strRef>
              <c:f>'Verkehr - Nutzung'!$B$43</c:f>
              <c:strCache>
                <c:ptCount val="1"/>
                <c:pt idx="0">
                  <c:v>SI-Bus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Nutzung'!$F$43:$K$43</c15:sqref>
                  </c15:fullRef>
                </c:ext>
              </c:extLst>
              <c:f>'Verkehr - Nutzung'!$F$43:$J$43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80-46BA-AA3F-F5A761542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706048"/>
        <c:axId val="416997952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'Verkehr - Nutzung'!$B$40</c15:sqref>
                        </c15:formulaRef>
                      </c:ext>
                    </c:extLst>
                    <c:strCache>
                      <c:ptCount val="1"/>
                      <c:pt idx="0">
                        <c:v>OHW-Bus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'Verkehr - Nutzung'!$F$2:$K$2</c15:sqref>
                        </c15:fullRef>
                        <c15:formulaRef>
                          <c15:sqref>'Verkehr - Nutzung'!$F$2:$J$2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'Verkehr - Nutzung'!$F$40:$K$40</c15:sqref>
                        </c15:fullRef>
                        <c15:formulaRef>
                          <c15:sqref>'Verkehr - Nutzung'!$F$40:$J$40</c15:sqref>
                        </c15:formulaRef>
                      </c:ext>
                    </c:extLst>
                    <c:numCache>
                      <c:formatCode>0.0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5780-46BA-AA3F-F5A7615424F4}"/>
                  </c:ext>
                </c:extLst>
              </c15:ser>
            </c15:filteredBarSeries>
          </c:ext>
        </c:extLst>
      </c:barChart>
      <c:catAx>
        <c:axId val="41670604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997952"/>
        <c:crosses val="autoZero"/>
        <c:auto val="1"/>
        <c:lblAlgn val="ctr"/>
        <c:lblOffset val="100"/>
        <c:noMultiLvlLbl val="0"/>
      </c:catAx>
      <c:valAx>
        <c:axId val="41699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Entfernung in Mio. pkm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706048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614698707267402"/>
          <c:y val="0.37382635994030167"/>
          <c:w val="0.25385301292732598"/>
          <c:h val="0.2864550123324979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Nutzung von LKWs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017182888445999"/>
          <c:y val="0.16328952585962725"/>
          <c:w val="0.59951005216671571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Nutzung'!$B$17</c:f>
              <c:strCache>
                <c:ptCount val="1"/>
                <c:pt idx="0">
                  <c:v>CIE-HDV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Nutzung'!$F$17:$K$17</c15:sqref>
                  </c15:fullRef>
                </c:ext>
              </c:extLst>
              <c:f>'Verkehr - Nutzung'!$F$17:$J$17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CD1-8610-4CC99493B295}"/>
            </c:ext>
          </c:extLst>
        </c:ser>
        <c:ser>
          <c:idx val="1"/>
          <c:order val="1"/>
          <c:tx>
            <c:strRef>
              <c:f>'Verkehr - Nutzung'!$B$18</c:f>
              <c:strCache>
                <c:ptCount val="1"/>
                <c:pt idx="0">
                  <c:v>BE-HDV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Nutzung'!$F$18:$K$18</c15:sqref>
                  </c15:fullRef>
                </c:ext>
              </c:extLst>
              <c:f>'Verkehr - Nutzung'!$F$18:$J$18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CD1-8610-4CC99493B295}"/>
            </c:ext>
          </c:extLst>
        </c:ser>
        <c:ser>
          <c:idx val="2"/>
          <c:order val="2"/>
          <c:tx>
            <c:strRef>
              <c:f>'Verkehr - Nutzung'!$B$19</c:f>
              <c:strCache>
                <c:ptCount val="1"/>
                <c:pt idx="0">
                  <c:v>OHW-HDV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Nutzung'!$F$19:$K$19</c15:sqref>
                  </c15:fullRef>
                </c:ext>
              </c:extLst>
              <c:f>'Verkehr - Nutzung'!$F$19:$J$19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CD1-8610-4CC99493B295}"/>
            </c:ext>
          </c:extLst>
        </c:ser>
        <c:ser>
          <c:idx val="3"/>
          <c:order val="3"/>
          <c:tx>
            <c:strRef>
              <c:f>'Verkehr - Nutzung'!$B$20</c:f>
              <c:strCache>
                <c:ptCount val="1"/>
                <c:pt idx="0">
                  <c:v>FCE-HDV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Nutzung'!$F$20:$K$20</c15:sqref>
                  </c15:fullRef>
                </c:ext>
              </c:extLst>
              <c:f>'Verkehr - Nutzung'!$F$20:$J$20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CD1-8610-4CC99493B295}"/>
            </c:ext>
          </c:extLst>
        </c:ser>
        <c:ser>
          <c:idx val="4"/>
          <c:order val="4"/>
          <c:tx>
            <c:strRef>
              <c:f>'Verkehr - Nutzung'!$B$21</c:f>
              <c:strCache>
                <c:ptCount val="1"/>
                <c:pt idx="0">
                  <c:v>SI-HDV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Nutzung'!$F$21:$K$21</c15:sqref>
                  </c15:fullRef>
                </c:ext>
              </c:extLst>
              <c:f>'Verkehr - Nutzung'!$F$21:$J$21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9D-4CD1-8610-4CC99493B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027072"/>
        <c:axId val="417000256"/>
        <c:extLst/>
      </c:barChart>
      <c:catAx>
        <c:axId val="41702707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000256"/>
        <c:crosses val="autoZero"/>
        <c:auto val="1"/>
        <c:lblAlgn val="ctr"/>
        <c:lblOffset val="100"/>
        <c:noMultiLvlLbl val="0"/>
      </c:catAx>
      <c:valAx>
        <c:axId val="4170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Entfernung in Mio. tkm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02707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5442667653120554"/>
          <c:y val="0.16473156062940678"/>
          <c:w val="0.24285634765452976"/>
          <c:h val="0.66417772998891311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Nutzung von Personenzügen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749290016046306"/>
          <c:y val="0.16328952585962725"/>
          <c:w val="0.58181554697782856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Nutzung'!$B$49</c:f>
              <c:strCache>
                <c:ptCount val="1"/>
                <c:pt idx="0">
                  <c:v>Diesel-Personenzug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Nutzung'!$F$49:$K$49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F-4105-B0A5-8D863489AD2A}"/>
            </c:ext>
          </c:extLst>
        </c:ser>
        <c:ser>
          <c:idx val="1"/>
          <c:order val="1"/>
          <c:tx>
            <c:strRef>
              <c:f>'Verkehr - Nutzung'!$B$50</c:f>
              <c:strCache>
                <c:ptCount val="1"/>
                <c:pt idx="0">
                  <c:v>Oberleistungs-Personenzug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Nutzung'!$F$50:$K$50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F-4105-B0A5-8D863489AD2A}"/>
            </c:ext>
          </c:extLst>
        </c:ser>
        <c:ser>
          <c:idx val="2"/>
          <c:order val="2"/>
          <c:tx>
            <c:strRef>
              <c:f>'Verkehr - Nutzung'!$B$51</c:f>
              <c:strCache>
                <c:ptCount val="1"/>
                <c:pt idx="0">
                  <c:v>Brennstoffzellen-Personenzug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Nutzung'!$F$51:$K$51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6F-4105-B0A5-8D863489A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028096"/>
        <c:axId val="417002560"/>
        <c:extLst/>
      </c:barChart>
      <c:catAx>
        <c:axId val="41702809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002560"/>
        <c:crosses val="autoZero"/>
        <c:auto val="1"/>
        <c:lblAlgn val="ctr"/>
        <c:lblOffset val="100"/>
        <c:noMultiLvlLbl val="0"/>
      </c:catAx>
      <c:valAx>
        <c:axId val="41700256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Entfernung in Mio. pkm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028096"/>
        <c:crosses val="autoZero"/>
        <c:crossBetween val="between"/>
        <c:majorUnit val="20000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614698707267402"/>
          <c:y val="0.41631002007102053"/>
          <c:w val="0.25385301292732598"/>
          <c:h val="0.1773562863465596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Nutzung von Kleintransportern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98510689275874"/>
          <c:y val="0.16328952585962725"/>
          <c:w val="0.59432333017501437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Nutzung'!$B$27</c:f>
              <c:strCache>
                <c:ptCount val="1"/>
                <c:pt idx="0">
                  <c:v>CIE-LDV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Nutzung'!$F$27:$K$27</c15:sqref>
                  </c15:fullRef>
                </c:ext>
              </c:extLst>
              <c:f>'Verkehr - Nutzung'!$F$27:$J$27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0-4F25-ACAE-4B19A1ACEC27}"/>
            </c:ext>
          </c:extLst>
        </c:ser>
        <c:ser>
          <c:idx val="3"/>
          <c:order val="1"/>
          <c:tx>
            <c:strRef>
              <c:f>'Verkehr - Nutzung'!$B$30</c:f>
              <c:strCache>
                <c:ptCount val="1"/>
                <c:pt idx="0">
                  <c:v>SI-LDV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Nutzung'!$F$30:$K$30</c15:sqref>
                  </c15:fullRef>
                </c:ext>
              </c:extLst>
              <c:f>'Verkehr - Nutzung'!$F$30:$J$30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60-4F25-ACAE-4B19A1ACEC27}"/>
            </c:ext>
          </c:extLst>
        </c:ser>
        <c:ser>
          <c:idx val="1"/>
          <c:order val="2"/>
          <c:tx>
            <c:strRef>
              <c:f>'Verkehr - Nutzung'!$B$28</c:f>
              <c:strCache>
                <c:ptCount val="1"/>
                <c:pt idx="0">
                  <c:v>BE-LDV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Nutzung'!$F$28:$K$28</c15:sqref>
                  </c15:fullRef>
                </c:ext>
              </c:extLst>
              <c:f>'Verkehr - Nutzung'!$F$28:$J$28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0-4F25-ACAE-4B19A1ACEC27}"/>
            </c:ext>
          </c:extLst>
        </c:ser>
        <c:ser>
          <c:idx val="2"/>
          <c:order val="3"/>
          <c:tx>
            <c:strRef>
              <c:f>'Verkehr - Nutzung'!$B$29</c:f>
              <c:strCache>
                <c:ptCount val="1"/>
                <c:pt idx="0">
                  <c:v>FCE-LDV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'Verkehr - Nutzung'!$F$2:$K$2</c15:sqref>
                  </c15:fullRef>
                </c:ext>
              </c:extLst>
              <c:f>'Verkehr - Nutzung'!$F$2:$J$2</c:f>
              <c:numCache>
                <c:formatCode>General</c:formatCode>
                <c:ptCount val="5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'Verkehr - Nutzung'!$F$29:$K$29</c15:sqref>
                  </c15:fullRef>
                </c:ext>
              </c:extLst>
              <c:f>'Verkehr - Nutzung'!$F$29:$J$29</c:f>
              <c:numCache>
                <c:formatCode>0.0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0-4F25-ACAE-4B19A1AC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029632"/>
        <c:axId val="417004864"/>
        <c:extLst/>
      </c:barChart>
      <c:catAx>
        <c:axId val="41702963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004864"/>
        <c:crosses val="autoZero"/>
        <c:auto val="1"/>
        <c:lblAlgn val="ctr"/>
        <c:lblOffset val="100"/>
        <c:noMultiLvlLbl val="0"/>
      </c:catAx>
      <c:valAx>
        <c:axId val="41700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Entfernung in Mio. tkm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02963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25675280522821"/>
          <c:y val="0.15873743743576782"/>
          <c:w val="0.25471549613345312"/>
          <c:h val="0.67619768565266314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Nutzung von Güterzügen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98510689275874"/>
          <c:y val="0.16328952585962725"/>
          <c:w val="0.59432333017501437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Nutzung'!$B$57</c:f>
              <c:strCache>
                <c:ptCount val="1"/>
                <c:pt idx="0">
                  <c:v>Diesel-Güterzug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Nutzung'!$F$57:$K$57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B-4410-B6E6-ACDF27EC935D}"/>
            </c:ext>
          </c:extLst>
        </c:ser>
        <c:ser>
          <c:idx val="1"/>
          <c:order val="1"/>
          <c:tx>
            <c:strRef>
              <c:f>'Verkehr - Nutzung'!$B$58</c:f>
              <c:strCache>
                <c:ptCount val="1"/>
                <c:pt idx="0">
                  <c:v>Oberleistungs-Güterzug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Nutzung'!$F$58:$K$58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B-4410-B6E6-ACDF27EC935D}"/>
            </c:ext>
          </c:extLst>
        </c:ser>
        <c:ser>
          <c:idx val="2"/>
          <c:order val="2"/>
          <c:tx>
            <c:strRef>
              <c:f>'Verkehr - Nutzung'!$B$59</c:f>
              <c:strCache>
                <c:ptCount val="1"/>
                <c:pt idx="0">
                  <c:v>Brennstoffzellen-Güterzug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Nutzung'!$F$59:$K$59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B-4410-B6E6-ACDF27EC9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658368"/>
        <c:axId val="417351360"/>
        <c:extLst/>
      </c:barChart>
      <c:catAx>
        <c:axId val="4176583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351360"/>
        <c:crosses val="autoZero"/>
        <c:auto val="1"/>
        <c:lblAlgn val="ctr"/>
        <c:lblOffset val="100"/>
        <c:noMultiLvlLbl val="0"/>
      </c:catAx>
      <c:valAx>
        <c:axId val="41735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Entfernung in Mio. tkm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658368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614698707267402"/>
          <c:y val="0.41631002007102053"/>
          <c:w val="0.25385301292732598"/>
          <c:h val="0.1773562863465596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Personal Cars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983769372306647"/>
          <c:y val="0.16328952585962725"/>
          <c:w val="0.81805406265852953"/>
          <c:h val="0.4562295023974494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'Verkehr - Nutzung'!$C$80</c:f>
              <c:strCache>
                <c:ptCount val="1"/>
                <c:pt idx="0">
                  <c:v>(H-)CIEV (fossil)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Nutzung'!$F$80:$K$80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1C-432C-9520-DB11DAAF6EC4}"/>
            </c:ext>
          </c:extLst>
        </c:ser>
        <c:ser>
          <c:idx val="9"/>
          <c:order val="1"/>
          <c:tx>
            <c:strRef>
              <c:f>'Verkehr - Nutzung'!$C$88</c:f>
              <c:strCache>
                <c:ptCount val="1"/>
                <c:pt idx="0">
                  <c:v>(H-)CIEV (Biodiesel)</c:v>
                </c:pt>
              </c:strCache>
            </c:strRef>
          </c:tx>
          <c:spPr>
            <a:pattFill prst="lgCheck">
              <a:fgClr>
                <a:schemeClr val="accent3"/>
              </a:fgClr>
              <a:bgClr>
                <a:schemeClr val="bg1">
                  <a:lumMod val="50000"/>
                </a:schemeClr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Nutzung'!$F$88:$K$88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E-4AA5-8030-B398296A41AD}"/>
            </c:ext>
          </c:extLst>
        </c:ser>
        <c:ser>
          <c:idx val="7"/>
          <c:order val="2"/>
          <c:tx>
            <c:strRef>
              <c:f>'Verkehr - Nutzung'!$C$86</c:f>
              <c:strCache>
                <c:ptCount val="1"/>
                <c:pt idx="0">
                  <c:v>(H-)CIEV (PtL)</c:v>
                </c:pt>
              </c:strCache>
            </c:strRef>
          </c:tx>
          <c:spPr>
            <a:pattFill prst="ltDnDiag">
              <a:fgClr>
                <a:schemeClr val="accent4"/>
              </a:fgClr>
              <a:bgClr>
                <a:schemeClr val="bg1">
                  <a:lumMod val="75000"/>
                </a:schemeClr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Nutzung'!$F$86:$K$86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CE-4AA5-8030-B398296A41AD}"/>
            </c:ext>
          </c:extLst>
        </c:ser>
        <c:ser>
          <c:idx val="4"/>
          <c:order val="3"/>
          <c:tx>
            <c:strRef>
              <c:f>'Verkehr - Nutzung'!$C$83</c:f>
              <c:strCache>
                <c:ptCount val="1"/>
                <c:pt idx="0">
                  <c:v>PIH-CIEV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bg1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Nutzung'!$F$83:$K$83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1C-432C-9520-DB11DAAF6EC4}"/>
            </c:ext>
          </c:extLst>
        </c:ser>
        <c:ser>
          <c:idx val="3"/>
          <c:order val="4"/>
          <c:tx>
            <c:strRef>
              <c:f>'Verkehr - Nutzung'!$C$82</c:f>
              <c:strCache>
                <c:ptCount val="1"/>
                <c:pt idx="0">
                  <c:v>(H-)SIEV (fossil)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Nutzung'!$F$82:$K$82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1C-432C-9520-DB11DAAF6EC4}"/>
            </c:ext>
          </c:extLst>
        </c:ser>
        <c:ser>
          <c:idx val="10"/>
          <c:order val="5"/>
          <c:tx>
            <c:strRef>
              <c:f>'Verkehr - Nutzung'!$C$89</c:f>
              <c:strCache>
                <c:ptCount val="1"/>
                <c:pt idx="0">
                  <c:v>(H-)SIEV (E85)</c:v>
                </c:pt>
              </c:strCache>
            </c:strRef>
          </c:tx>
          <c:spPr>
            <a:pattFill prst="lgCheck">
              <a:fgClr>
                <a:schemeClr val="accent3"/>
              </a:fgClr>
              <a:bgClr>
                <a:srgbClr val="C00000"/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Nutzung'!$F$89:$K$89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CE-4AA5-8030-B398296A41AD}"/>
            </c:ext>
          </c:extLst>
        </c:ser>
        <c:ser>
          <c:idx val="11"/>
          <c:order val="6"/>
          <c:tx>
            <c:strRef>
              <c:f>'Verkehr - Nutzung'!$C$90</c:f>
              <c:strCache>
                <c:ptCount val="1"/>
                <c:pt idx="0">
                  <c:v>(H-)SIEV (CNG/SNG)</c:v>
                </c:pt>
              </c:strCache>
            </c:strRef>
          </c:tx>
          <c:spPr>
            <a:pattFill prst="lgCheck">
              <a:fgClr>
                <a:schemeClr val="accent5"/>
              </a:fgClr>
              <a:bgClr>
                <a:srgbClr val="C00000"/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Nutzung'!$F$90:$K$90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CE-4AA5-8030-B398296A41AD}"/>
            </c:ext>
          </c:extLst>
        </c:ser>
        <c:ser>
          <c:idx val="8"/>
          <c:order val="7"/>
          <c:tx>
            <c:strRef>
              <c:f>'Verkehr - Nutzung'!$C$87</c:f>
              <c:strCache>
                <c:ptCount val="1"/>
                <c:pt idx="0">
                  <c:v>(H-)SIEV (PtL)</c:v>
                </c:pt>
              </c:strCache>
            </c:strRef>
          </c:tx>
          <c:spPr>
            <a:pattFill prst="ltDnDiag">
              <a:fgClr>
                <a:schemeClr val="accent4"/>
              </a:fgClr>
              <a:bgClr>
                <a:schemeClr val="accent6">
                  <a:lumMod val="60000"/>
                  <a:lumOff val="40000"/>
                </a:schemeClr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Nutzung'!$F$87:$K$87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CE-4AA5-8030-B398296A41AD}"/>
            </c:ext>
          </c:extLst>
        </c:ser>
        <c:ser>
          <c:idx val="6"/>
          <c:order val="8"/>
          <c:tx>
            <c:strRef>
              <c:f>'Verkehr - Nutzung'!$C$85</c:f>
              <c:strCache>
                <c:ptCount val="1"/>
                <c:pt idx="0">
                  <c:v>PIH-SIEV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Nutzung'!$F$85:$K$85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1C-432C-9520-DB11DAAF6EC4}"/>
            </c:ext>
          </c:extLst>
        </c:ser>
        <c:ser>
          <c:idx val="2"/>
          <c:order val="9"/>
          <c:tx>
            <c:strRef>
              <c:f>'Verkehr - Nutzung'!$C$81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Nutzung'!$F$81:$K$81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1C-432C-9520-DB11DAAF6EC4}"/>
            </c:ext>
          </c:extLst>
        </c:ser>
        <c:ser>
          <c:idx val="5"/>
          <c:order val="10"/>
          <c:tx>
            <c:strRef>
              <c:f>'Verkehr - Nutzung'!$C$84</c:f>
              <c:strCache>
                <c:ptCount val="1"/>
                <c:pt idx="0">
                  <c:v>PIH-FCEV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Nutzung'!$F$84:$K$84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1C-432C-9520-DB11DAAF6EC4}"/>
            </c:ext>
          </c:extLst>
        </c:ser>
        <c:ser>
          <c:idx val="0"/>
          <c:order val="11"/>
          <c:tx>
            <c:strRef>
              <c:f>'Verkehr - Nutzung'!$C$79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Nutzung'!$F$79:$K$79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1C-432C-9520-DB11DAAF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657856"/>
        <c:axId val="417353664"/>
        <c:extLst/>
      </c:barChart>
      <c:catAx>
        <c:axId val="41765785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353664"/>
        <c:crosses val="autoZero"/>
        <c:auto val="1"/>
        <c:lblAlgn val="ctr"/>
        <c:lblOffset val="100"/>
        <c:noMultiLvlLbl val="0"/>
      </c:catAx>
      <c:valAx>
        <c:axId val="41735366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Distance in bn pkm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657856"/>
        <c:crosses val="autoZero"/>
        <c:crossBetween val="between"/>
        <c:majorUnit val="200000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5.6228853868928695E-2"/>
          <c:y val="0.77585086660339364"/>
          <c:w val="0.89629378574937257"/>
          <c:h val="0.2106033168051853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Pkw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983769372306647"/>
          <c:y val="0.16328952585962725"/>
          <c:w val="0.81805406265852953"/>
          <c:h val="0.4562295023974494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'Verkehr - Nutzung'!$C$80</c:f>
              <c:strCache>
                <c:ptCount val="1"/>
                <c:pt idx="0">
                  <c:v>(H-)CIEV (fossil)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Nutzung'!$F$80:$K$80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1C-432C-9520-DB11DAAF6EC4}"/>
            </c:ext>
          </c:extLst>
        </c:ser>
        <c:ser>
          <c:idx val="9"/>
          <c:order val="1"/>
          <c:tx>
            <c:strRef>
              <c:f>'Verkehr - Nutzung'!$C$88</c:f>
              <c:strCache>
                <c:ptCount val="1"/>
                <c:pt idx="0">
                  <c:v>(H-)CIEV (Biodiesel)</c:v>
                </c:pt>
              </c:strCache>
            </c:strRef>
          </c:tx>
          <c:spPr>
            <a:pattFill prst="lgCheck">
              <a:fgClr>
                <a:schemeClr val="accent3"/>
              </a:fgClr>
              <a:bgClr>
                <a:schemeClr val="bg1">
                  <a:lumMod val="50000"/>
                </a:schemeClr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Nutzung'!$F$88:$K$88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5-4897-B2BA-CA2DC5F0C18D}"/>
            </c:ext>
          </c:extLst>
        </c:ser>
        <c:ser>
          <c:idx val="7"/>
          <c:order val="2"/>
          <c:tx>
            <c:strRef>
              <c:f>'Verkehr - Nutzung'!$C$86</c:f>
              <c:strCache>
                <c:ptCount val="1"/>
                <c:pt idx="0">
                  <c:v>(H-)CIEV (PtL)</c:v>
                </c:pt>
              </c:strCache>
            </c:strRef>
          </c:tx>
          <c:spPr>
            <a:pattFill prst="ltDnDiag">
              <a:fgClr>
                <a:schemeClr val="accent4"/>
              </a:fgClr>
              <a:bgClr>
                <a:schemeClr val="bg1">
                  <a:lumMod val="75000"/>
                </a:schemeClr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Nutzung'!$F$86:$K$86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5-4897-B2BA-CA2DC5F0C18D}"/>
            </c:ext>
          </c:extLst>
        </c:ser>
        <c:ser>
          <c:idx val="4"/>
          <c:order val="3"/>
          <c:tx>
            <c:strRef>
              <c:f>'Verkehr - Nutzung'!$C$83</c:f>
              <c:strCache>
                <c:ptCount val="1"/>
                <c:pt idx="0">
                  <c:v>PIH-CIEV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bg1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Nutzung'!$F$83:$K$83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1C-432C-9520-DB11DAAF6EC4}"/>
            </c:ext>
          </c:extLst>
        </c:ser>
        <c:ser>
          <c:idx val="3"/>
          <c:order val="4"/>
          <c:tx>
            <c:strRef>
              <c:f>'Verkehr - Nutzung'!$C$82</c:f>
              <c:strCache>
                <c:ptCount val="1"/>
                <c:pt idx="0">
                  <c:v>(H-)SIEV (fossil)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Nutzung'!$F$82:$K$82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1C-432C-9520-DB11DAAF6EC4}"/>
            </c:ext>
          </c:extLst>
        </c:ser>
        <c:ser>
          <c:idx val="10"/>
          <c:order val="5"/>
          <c:tx>
            <c:strRef>
              <c:f>'Verkehr - Nutzung'!$C$89</c:f>
              <c:strCache>
                <c:ptCount val="1"/>
                <c:pt idx="0">
                  <c:v>(H-)SIEV (E85)</c:v>
                </c:pt>
              </c:strCache>
            </c:strRef>
          </c:tx>
          <c:spPr>
            <a:pattFill prst="lgCheck">
              <a:fgClr>
                <a:schemeClr val="accent3"/>
              </a:fgClr>
              <a:bgClr>
                <a:srgbClr val="C00000"/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Nutzung'!$F$89:$K$89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C5-4897-B2BA-CA2DC5F0C18D}"/>
            </c:ext>
          </c:extLst>
        </c:ser>
        <c:ser>
          <c:idx val="11"/>
          <c:order val="6"/>
          <c:tx>
            <c:strRef>
              <c:f>'Verkehr - Nutzung'!$C$90</c:f>
              <c:strCache>
                <c:ptCount val="1"/>
                <c:pt idx="0">
                  <c:v>(H-)SIEV (CNG/SNG)</c:v>
                </c:pt>
              </c:strCache>
            </c:strRef>
          </c:tx>
          <c:spPr>
            <a:pattFill prst="lgCheck">
              <a:fgClr>
                <a:schemeClr val="accent5"/>
              </a:fgClr>
              <a:bgClr>
                <a:srgbClr val="C00000"/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Nutzung'!$F$90:$K$90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C5-4897-B2BA-CA2DC5F0C18D}"/>
            </c:ext>
          </c:extLst>
        </c:ser>
        <c:ser>
          <c:idx val="8"/>
          <c:order val="7"/>
          <c:tx>
            <c:strRef>
              <c:f>'Verkehr - Nutzung'!$C$87</c:f>
              <c:strCache>
                <c:ptCount val="1"/>
                <c:pt idx="0">
                  <c:v>(H-)SIEV (PtL)</c:v>
                </c:pt>
              </c:strCache>
            </c:strRef>
          </c:tx>
          <c:spPr>
            <a:pattFill prst="ltDnDiag">
              <a:fgClr>
                <a:schemeClr val="accent4"/>
              </a:fgClr>
              <a:bgClr>
                <a:schemeClr val="accent6">
                  <a:lumMod val="60000"/>
                  <a:lumOff val="40000"/>
                </a:schemeClr>
              </a:bgClr>
            </a:pattFill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Nutzung'!$F$87:$K$87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C5-4897-B2BA-CA2DC5F0C18D}"/>
            </c:ext>
          </c:extLst>
        </c:ser>
        <c:ser>
          <c:idx val="6"/>
          <c:order val="8"/>
          <c:tx>
            <c:strRef>
              <c:f>'Verkehr - Nutzung'!$C$85</c:f>
              <c:strCache>
                <c:ptCount val="1"/>
                <c:pt idx="0">
                  <c:v>PIH-SIEV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rgbClr val="C00000"/>
              </a:bgClr>
            </a:patt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Nutzung'!$F$85:$K$85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1C-432C-9520-DB11DAAF6EC4}"/>
            </c:ext>
          </c:extLst>
        </c:ser>
        <c:ser>
          <c:idx val="2"/>
          <c:order val="9"/>
          <c:tx>
            <c:strRef>
              <c:f>'Verkehr - Nutzung'!$C$81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Nutzung'!$F$81:$K$81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1C-432C-9520-DB11DAAF6EC4}"/>
            </c:ext>
          </c:extLst>
        </c:ser>
        <c:ser>
          <c:idx val="5"/>
          <c:order val="10"/>
          <c:tx>
            <c:strRef>
              <c:f>'Verkehr - Nutzung'!$C$84</c:f>
              <c:strCache>
                <c:ptCount val="1"/>
                <c:pt idx="0">
                  <c:v>PIH-FCEV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Nutzung'!$F$84:$K$84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1C-432C-9520-DB11DAAF6EC4}"/>
            </c:ext>
          </c:extLst>
        </c:ser>
        <c:ser>
          <c:idx val="0"/>
          <c:order val="11"/>
          <c:tx>
            <c:strRef>
              <c:f>'Verkehr - Nutzung'!$C$79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Nutzung'!$F$2:$K$2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Nutzung'!$F$79:$K$79</c:f>
              <c:numCache>
                <c:formatCode>0.0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1C-432C-9520-DB11DAAF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727488"/>
        <c:axId val="417357120"/>
        <c:extLst/>
      </c:barChart>
      <c:catAx>
        <c:axId val="41772748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357120"/>
        <c:crosses val="autoZero"/>
        <c:auto val="1"/>
        <c:lblAlgn val="ctr"/>
        <c:lblOffset val="100"/>
        <c:noMultiLvlLbl val="0"/>
      </c:catAx>
      <c:valAx>
        <c:axId val="417357120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Entfernung in Mrd. pkm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,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727488"/>
        <c:crosses val="autoZero"/>
        <c:crossBetween val="between"/>
        <c:majorUnit val="200000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5.6228853868928695E-2"/>
          <c:y val="0.77585086660339364"/>
          <c:w val="0.89629378574937257"/>
          <c:h val="0.2106033168051853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Trains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98510689275874"/>
          <c:y val="0.16328952585962725"/>
          <c:w val="0.59432333017501437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Nutzung'!$AH$83</c:f>
              <c:strCache>
                <c:ptCount val="1"/>
                <c:pt idx="0">
                  <c:v>Diesel train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Nutzung'!$AJ$82:$AO$82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Nutzung'!$AJ$83:$AO$83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2-47FC-8250-071CA5633BD7}"/>
            </c:ext>
          </c:extLst>
        </c:ser>
        <c:ser>
          <c:idx val="1"/>
          <c:order val="1"/>
          <c:tx>
            <c:strRef>
              <c:f>'Verkehr - Nutzung'!$AH$84</c:f>
              <c:strCache>
                <c:ptCount val="1"/>
                <c:pt idx="0">
                  <c:v>El. Train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Nutzung'!$AJ$82:$AO$82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Nutzung'!$AJ$84:$AO$84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2-47FC-8250-071CA5633BD7}"/>
            </c:ext>
          </c:extLst>
        </c:ser>
        <c:ser>
          <c:idx val="2"/>
          <c:order val="2"/>
          <c:tx>
            <c:strRef>
              <c:f>'Verkehr - Nutzung'!$AH$85</c:f>
              <c:strCache>
                <c:ptCount val="1"/>
                <c:pt idx="0">
                  <c:v>FC-Train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Nutzung'!$AJ$82:$AO$82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Nutzung'!$AJ$85:$AO$85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2-47FC-8250-071CA5633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730048"/>
        <c:axId val="417868608"/>
        <c:extLst/>
      </c:barChart>
      <c:catAx>
        <c:axId val="41773004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868608"/>
        <c:crosses val="autoZero"/>
        <c:auto val="1"/>
        <c:lblAlgn val="ctr"/>
        <c:lblOffset val="100"/>
        <c:noMultiLvlLbl val="0"/>
      </c:catAx>
      <c:valAx>
        <c:axId val="4178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Distance in mio. tkm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730048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614698707267402"/>
          <c:y val="0.41631002007102053"/>
          <c:w val="0.25385301292732598"/>
          <c:h val="0.1773562863465596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Züge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98510689275874"/>
          <c:y val="0.16328952585962725"/>
          <c:w val="0.59432333017501437"/>
          <c:h val="0.67296253409500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Nutzung'!$AG$83</c:f>
              <c:strCache>
                <c:ptCount val="1"/>
                <c:pt idx="0">
                  <c:v>Dieselzug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Nutzung'!$AJ$82:$AO$82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Nutzung'!$AJ$83:$AO$83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B-4410-B6E6-ACDF27EC935D}"/>
            </c:ext>
          </c:extLst>
        </c:ser>
        <c:ser>
          <c:idx val="1"/>
          <c:order val="1"/>
          <c:tx>
            <c:strRef>
              <c:f>'Verkehr - Nutzung'!$AG$84</c:f>
              <c:strCache>
                <c:ptCount val="1"/>
                <c:pt idx="0">
                  <c:v>El. Zug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Nutzung'!$AJ$82:$AO$82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Nutzung'!$AJ$84:$AO$84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B-4410-B6E6-ACDF27EC935D}"/>
            </c:ext>
          </c:extLst>
        </c:ser>
        <c:ser>
          <c:idx val="2"/>
          <c:order val="2"/>
          <c:tx>
            <c:strRef>
              <c:f>'Verkehr - Nutzung'!$AG$85</c:f>
              <c:strCache>
                <c:ptCount val="1"/>
                <c:pt idx="0">
                  <c:v>FC-Zug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Nutzung'!$AJ$82:$AO$82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'Verkehr - Nutzung'!$AJ$85:$AO$85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B-4410-B6E6-ACDF27EC9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022400"/>
        <c:axId val="417870912"/>
        <c:extLst/>
      </c:barChart>
      <c:catAx>
        <c:axId val="41802240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7870912"/>
        <c:crosses val="autoZero"/>
        <c:auto val="1"/>
        <c:lblAlgn val="ctr"/>
        <c:lblOffset val="100"/>
        <c:noMultiLvlLbl val="0"/>
      </c:catAx>
      <c:valAx>
        <c:axId val="41787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de-DE" sz="1600" b="1" i="0" baseline="0">
                    <a:effectLst/>
                  </a:rPr>
                  <a:t>Entfernung in Mio. tkm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022400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4614698707267402"/>
          <c:y val="0.41631002007102053"/>
          <c:w val="0.25385301292732598"/>
          <c:h val="0.1773562863465596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Personal Cars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573199485956373"/>
          <c:y val="0.16328952585962725"/>
          <c:w val="0.56096122883968358"/>
          <c:h val="0.67296253409500273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'Verkehr - Nutzung'!$C$3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'Verkehr - Nutzung'!$E$2:$L$2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'Verkehr - Nutzung'!$E$3:$L$3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 formatCode="General">
                  <c:v>232216.5276684087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C-4A22-B15B-BD518B618E6D}"/>
            </c:ext>
          </c:extLst>
        </c:ser>
        <c:ser>
          <c:idx val="3"/>
          <c:order val="1"/>
          <c:tx>
            <c:strRef>
              <c:f>'Verkehr - Nutzung'!$C$4</c:f>
              <c:strCache>
                <c:ptCount val="1"/>
                <c:pt idx="0">
                  <c:v>(H-)CIEV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'Verkehr - Nutzung'!$E$2:$L$2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'Verkehr - Nutzung'!$E$4:$L$4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 formatCode="General">
                  <c:v>64757.78249006519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C-4A22-B15B-BD518B618E6D}"/>
            </c:ext>
          </c:extLst>
        </c:ser>
        <c:ser>
          <c:idx val="2"/>
          <c:order val="2"/>
          <c:tx>
            <c:strRef>
              <c:f>'Verkehr - Nutzung'!$C$5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'Verkehr - Nutzung'!$E$2:$L$2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'Verkehr - Nutzung'!$E$5:$L$5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 formatCode="General">
                  <c:v>285638.2361287995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2C-4A22-B15B-BD518B618E6D}"/>
            </c:ext>
          </c:extLst>
        </c:ser>
        <c:ser>
          <c:idx val="4"/>
          <c:order val="3"/>
          <c:tx>
            <c:strRef>
              <c:f>'Verkehr - Nutzung'!$C$6</c:f>
              <c:strCache>
                <c:ptCount val="1"/>
                <c:pt idx="0">
                  <c:v>(H-)SIEV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'Verkehr - Nutzung'!$E$2:$L$2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'Verkehr - Nutzung'!$E$6:$L$6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 formatCode="General">
                  <c:v>121394.28459114842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2C-4A22-B15B-BD518B618E6D}"/>
            </c:ext>
          </c:extLst>
        </c:ser>
        <c:ser>
          <c:idx val="5"/>
          <c:order val="4"/>
          <c:tx>
            <c:strRef>
              <c:f>'Verkehr - Nutzung'!$C$7</c:f>
              <c:strCache>
                <c:ptCount val="1"/>
                <c:pt idx="0">
                  <c:v>PIH-CIEV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bg1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strRef>
              <c:f>'Verkehr - Nutzung'!$E$2:$L$2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'Verkehr - Nutzung'!$E$7:$L$7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 formatCode="General">
                  <c:v>46693.314181671289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2C-4A22-B15B-BD518B618E6D}"/>
            </c:ext>
          </c:extLst>
        </c:ser>
        <c:ser>
          <c:idx val="6"/>
          <c:order val="5"/>
          <c:tx>
            <c:strRef>
              <c:f>'Verkehr - Nutzung'!$C$8</c:f>
              <c:strCache>
                <c:ptCount val="1"/>
                <c:pt idx="0">
                  <c:v>PIH-FCEV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strRef>
              <c:f>'Verkehr - Nutzung'!$E$2:$L$2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'Verkehr - Nutzung'!$E$8:$L$8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 formatCode="General">
                  <c:v>65542.811794509209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2C-4A22-B15B-BD518B618E6D}"/>
            </c:ext>
          </c:extLst>
        </c:ser>
        <c:ser>
          <c:idx val="0"/>
          <c:order val="6"/>
          <c:tx>
            <c:strRef>
              <c:f>'Verkehr - Nutzung'!$C$9</c:f>
              <c:strCache>
                <c:ptCount val="1"/>
                <c:pt idx="0">
                  <c:v>PIH-SIEV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'Verkehr - Nutzung'!$E$2:$L$2</c:f>
              <c:strCach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ES2050</c:v>
                </c:pt>
              </c:strCache>
            </c:strRef>
          </c:cat>
          <c:val>
            <c:numRef>
              <c:f>'Verkehr - Nutzung'!$E$9:$L$9</c:f>
              <c:numCache>
                <c:formatCode>0.0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 formatCode="General">
                  <c:v>51096.914613676199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2C-4A22-B15B-BD518B618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152576"/>
        <c:axId val="416268864"/>
        <c:extLst/>
      </c:barChart>
      <c:catAx>
        <c:axId val="41615257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268864"/>
        <c:crosses val="autoZero"/>
        <c:auto val="1"/>
        <c:lblAlgn val="ctr"/>
        <c:lblOffset val="100"/>
        <c:noMultiLvlLbl val="0"/>
      </c:catAx>
      <c:valAx>
        <c:axId val="41626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Distance in mio. pkm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615257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layout>
        <c:manualLayout>
          <c:xMode val="edge"/>
          <c:yMode val="edge"/>
          <c:x val="0.73538233895259741"/>
          <c:y val="0.18663628196085072"/>
          <c:w val="0.26190068523313781"/>
          <c:h val="0.65655367213881721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Diesel Consumption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487847901752481"/>
          <c:y val="0.14780732380018163"/>
          <c:w val="0.51783377044475687"/>
          <c:h val="0.597331479149831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Kraftstoffmix'!$N$4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Kraftstoffmix'!$P$4:$V$4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E-4000-A6B0-1AFEE04FE34E}"/>
            </c:ext>
          </c:extLst>
        </c:ser>
        <c:ser>
          <c:idx val="1"/>
          <c:order val="1"/>
          <c:tx>
            <c:strRef>
              <c:f>'Verkehr - Kraftstoffmix'!$N$5</c:f>
              <c:strCache>
                <c:ptCount val="1"/>
                <c:pt idx="0">
                  <c:v>Hybrid Cars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Kraftstoffmix'!$P$5:$V$5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E-4000-A6B0-1AFEE04FE34E}"/>
            </c:ext>
          </c:extLst>
        </c:ser>
        <c:ser>
          <c:idx val="2"/>
          <c:order val="2"/>
          <c:tx>
            <c:strRef>
              <c:f>'Verkehr - Kraftstoffmix'!$N$6</c:f>
              <c:strCache>
                <c:ptCount val="1"/>
                <c:pt idx="0">
                  <c:v>HDV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Kraftstoffmix'!$P$6:$V$6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9E-4000-A6B0-1AFEE04FE34E}"/>
            </c:ext>
          </c:extLst>
        </c:ser>
        <c:ser>
          <c:idx val="3"/>
          <c:order val="3"/>
          <c:tx>
            <c:strRef>
              <c:f>'Verkehr - Kraftstoffmix'!$N$7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Kraftstoffmix'!$P$7:$V$7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9E-4000-A6B0-1AFEE04FE34E}"/>
            </c:ext>
          </c:extLst>
        </c:ser>
        <c:ser>
          <c:idx val="4"/>
          <c:order val="4"/>
          <c:tx>
            <c:strRef>
              <c:f>'Verkehr - Kraftstoffmix'!$N$8</c:f>
              <c:strCache>
                <c:ptCount val="1"/>
                <c:pt idx="0">
                  <c:v>Buses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Kraftstoffmix'!$P$8:$V$8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9E-4000-A6B0-1AFEE04FE34E}"/>
            </c:ext>
          </c:extLst>
        </c:ser>
        <c:ser>
          <c:idx val="5"/>
          <c:order val="5"/>
          <c:tx>
            <c:strRef>
              <c:f>'Verkehr - Kraftstoffmix'!$N$11</c:f>
              <c:strCache>
                <c:ptCount val="1"/>
                <c:pt idx="0">
                  <c:v>Trains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val>
            <c:numRef>
              <c:f>'Verkehr - Kraftstoffmix'!$P$11:$V$11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0-4EE4-84D0-82A11AEE553F}"/>
            </c:ext>
          </c:extLst>
        </c:ser>
        <c:ser>
          <c:idx val="7"/>
          <c:order val="6"/>
          <c:tx>
            <c:strRef>
              <c:f>'Verkehr - Kraftstoffmix'!$N$12</c:f>
              <c:strCache>
                <c:ptCount val="1"/>
                <c:pt idx="0">
                  <c:v>Ship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Kraftstoffmix'!$P$12:$V$12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9E-4000-A6B0-1AFEE04FE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376448"/>
        <c:axId val="418062336"/>
      </c:barChart>
      <c:catAx>
        <c:axId val="41437644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062336"/>
        <c:crosses val="autoZero"/>
        <c:auto val="1"/>
        <c:lblAlgn val="ctr"/>
        <c:lblOffset val="100"/>
        <c:noMultiLvlLbl val="0"/>
      </c:catAx>
      <c:valAx>
        <c:axId val="4180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Diesel</a:t>
                </a:r>
                <a:r>
                  <a:rPr lang="en-US" baseline="0"/>
                  <a:t> c</a:t>
                </a:r>
                <a:r>
                  <a:rPr lang="en-US"/>
                  <a:t>onsumption in TWh</a:t>
                </a:r>
              </a:p>
            </c:rich>
          </c:tx>
          <c:layout>
            <c:manualLayout>
              <c:xMode val="edge"/>
              <c:yMode val="edge"/>
              <c:x val="2.6788932654289315E-2"/>
              <c:y val="5.9685530863626449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4376448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68850045113504976"/>
          <c:y val="0.18210992397751272"/>
          <c:w val="0.31149956045410288"/>
          <c:h val="0.73886951430964409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Gasoline Consumption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66599929230772"/>
          <c:y val="0.17979590699747436"/>
          <c:w val="0.49715908877481346"/>
          <c:h val="0.570077593177764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Kraftstoffmix'!$N$18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Kraftstoffmix'!$P$18:$V$18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5-4FC6-8EE4-166875B57373}"/>
            </c:ext>
          </c:extLst>
        </c:ser>
        <c:ser>
          <c:idx val="1"/>
          <c:order val="1"/>
          <c:tx>
            <c:strRef>
              <c:f>'Verkehr - Kraftstoffmix'!$N$19</c:f>
              <c:strCache>
                <c:ptCount val="1"/>
                <c:pt idx="0">
                  <c:v>Hybrid Cars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Kraftstoffmix'!$P$19:$V$19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5-4FC6-8EE4-166875B57373}"/>
            </c:ext>
          </c:extLst>
        </c:ser>
        <c:ser>
          <c:idx val="2"/>
          <c:order val="2"/>
          <c:tx>
            <c:strRef>
              <c:f>'Verkehr - Kraftstoffmix'!$N$20</c:f>
              <c:strCache>
                <c:ptCount val="1"/>
                <c:pt idx="0">
                  <c:v>HDV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Kraftstoffmix'!$P$20:$V$20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25-4FC6-8EE4-166875B57373}"/>
            </c:ext>
          </c:extLst>
        </c:ser>
        <c:ser>
          <c:idx val="3"/>
          <c:order val="3"/>
          <c:tx>
            <c:strRef>
              <c:f>'Verkehr - Kraftstoffmix'!$N$21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Kraftstoffmix'!$P$21:$V$21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25-4FC6-8EE4-166875B57373}"/>
            </c:ext>
          </c:extLst>
        </c:ser>
        <c:ser>
          <c:idx val="4"/>
          <c:order val="4"/>
          <c:tx>
            <c:strRef>
              <c:f>'Verkehr - Kraftstoffmix'!$N$22</c:f>
              <c:strCache>
                <c:ptCount val="1"/>
                <c:pt idx="0">
                  <c:v>Buses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Kraftstoffmix'!$P$22:$V$22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25-4FC6-8EE4-166875B57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377472"/>
        <c:axId val="418064640"/>
      </c:barChart>
      <c:catAx>
        <c:axId val="41437747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064640"/>
        <c:crosses val="autoZero"/>
        <c:auto val="1"/>
        <c:lblAlgn val="ctr"/>
        <c:lblOffset val="100"/>
        <c:noMultiLvlLbl val="0"/>
      </c:catAx>
      <c:valAx>
        <c:axId val="41806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 b="1" i="0" baseline="0">
                    <a:effectLst/>
                  </a:rPr>
                  <a:t>Gasoline consumption 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4377472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72512795932948049"/>
          <c:y val="0.12094671705730885"/>
          <c:w val="0.26899098255786436"/>
          <c:h val="0.7108378113333064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Electricity Consumption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957393468646302"/>
          <c:y val="0.14797693332349721"/>
          <c:w val="0.47379622819545231"/>
          <c:h val="0.592139903318166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Kraftstoffmix'!$N$28</c:f>
              <c:strCache>
                <c:ptCount val="1"/>
                <c:pt idx="0">
                  <c:v>Cars</c:v>
                </c:pt>
              </c:strCache>
            </c:strRef>
          </c:tx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Kraftstoffmix'!$P$28:$V$28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1-45CE-977F-018BBC946740}"/>
            </c:ext>
          </c:extLst>
        </c:ser>
        <c:ser>
          <c:idx val="1"/>
          <c:order val="1"/>
          <c:tx>
            <c:strRef>
              <c:f>'Verkehr - Kraftstoffmix'!$N$32</c:f>
              <c:strCache>
                <c:ptCount val="1"/>
                <c:pt idx="0">
                  <c:v>Hybrid Cars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Kraftstoffmix'!$P$32:$V$32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D1-45CE-977F-018BBC946740}"/>
            </c:ext>
          </c:extLst>
        </c:ser>
        <c:ser>
          <c:idx val="2"/>
          <c:order val="2"/>
          <c:tx>
            <c:strRef>
              <c:f>'Verkehr - Kraftstoffmix'!$N$35</c:f>
              <c:strCache>
                <c:ptCount val="1"/>
                <c:pt idx="0">
                  <c:v>HDV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Kraftstoffmix'!$P$35:$V$35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D1-45CE-977F-018BBC946740}"/>
            </c:ext>
          </c:extLst>
        </c:ser>
        <c:ser>
          <c:idx val="3"/>
          <c:order val="3"/>
          <c:tx>
            <c:strRef>
              <c:f>'Verkehr - Kraftstoffmix'!$N$36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Kraftstoffmix'!$P$36:$V$36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D1-45CE-977F-018BBC946740}"/>
            </c:ext>
          </c:extLst>
        </c:ser>
        <c:ser>
          <c:idx val="4"/>
          <c:order val="4"/>
          <c:tx>
            <c:strRef>
              <c:f>'Verkehr - Kraftstoffmix'!$N$39</c:f>
              <c:strCache>
                <c:ptCount val="1"/>
                <c:pt idx="0">
                  <c:v>Busses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Kraftstoffmix'!$P$39:$V$39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D1-45CE-977F-018BBC946740}"/>
            </c:ext>
          </c:extLst>
        </c:ser>
        <c:ser>
          <c:idx val="5"/>
          <c:order val="5"/>
          <c:tx>
            <c:strRef>
              <c:f>'Verkehr - Kraftstoffmix'!$N$42</c:f>
              <c:strCache>
                <c:ptCount val="1"/>
                <c:pt idx="0">
                  <c:v>Trains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Kraftstoffmix'!$P$42:$V$42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D1-45CE-977F-018BBC946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379008"/>
        <c:axId val="418066944"/>
      </c:barChart>
      <c:catAx>
        <c:axId val="41437900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066944"/>
        <c:crosses val="autoZero"/>
        <c:auto val="1"/>
        <c:lblAlgn val="ctr"/>
        <c:lblOffset val="100"/>
        <c:noMultiLvlLbl val="0"/>
      </c:catAx>
      <c:valAx>
        <c:axId val="418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 b="1" i="0" baseline="0">
                    <a:effectLst/>
                  </a:rPr>
                  <a:t>Electricity consumption 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4379008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65204017468429942"/>
          <c:y val="0.14981744303238692"/>
          <c:w val="0.34795981384679858"/>
          <c:h val="0.58999061287551824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Hydrogen Consumption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628894279637623"/>
          <c:y val="0.17979590699747436"/>
          <c:w val="0.51272185815051907"/>
          <c:h val="0.566255906953410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Kraftstoffmix'!$N$48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Kraftstoffmix'!$P$48:$V$48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A-4D1C-9673-9E1BC21912DB}"/>
            </c:ext>
          </c:extLst>
        </c:ser>
        <c:ser>
          <c:idx val="1"/>
          <c:order val="1"/>
          <c:tx>
            <c:strRef>
              <c:f>'Verkehr - Kraftstoffmix'!$N$49</c:f>
              <c:strCache>
                <c:ptCount val="1"/>
                <c:pt idx="0">
                  <c:v>Hybrid Cars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Kraftstoffmix'!$P$49:$V$49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AA-4D1C-9673-9E1BC21912DB}"/>
            </c:ext>
          </c:extLst>
        </c:ser>
        <c:ser>
          <c:idx val="2"/>
          <c:order val="2"/>
          <c:tx>
            <c:strRef>
              <c:f>'Verkehr - Kraftstoffmix'!$N$50</c:f>
              <c:strCache>
                <c:ptCount val="1"/>
                <c:pt idx="0">
                  <c:v>HDV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Kraftstoffmix'!$P$50:$V$50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AA-4D1C-9673-9E1BC21912DB}"/>
            </c:ext>
          </c:extLst>
        </c:ser>
        <c:ser>
          <c:idx val="3"/>
          <c:order val="3"/>
          <c:tx>
            <c:strRef>
              <c:f>'Verkehr - Kraftstoffmix'!$N$51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Kraftstoffmix'!$P$51:$V$51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AA-4D1C-9673-9E1BC21912DB}"/>
            </c:ext>
          </c:extLst>
        </c:ser>
        <c:ser>
          <c:idx val="4"/>
          <c:order val="4"/>
          <c:tx>
            <c:strRef>
              <c:f>'Verkehr - Kraftstoffmix'!$N$52</c:f>
              <c:strCache>
                <c:ptCount val="1"/>
                <c:pt idx="0">
                  <c:v>Busses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Kraftstoffmix'!$P$52:$V$52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AA-4D1C-9673-9E1BC21912DB}"/>
            </c:ext>
          </c:extLst>
        </c:ser>
        <c:ser>
          <c:idx val="5"/>
          <c:order val="5"/>
          <c:tx>
            <c:strRef>
              <c:f>'Verkehr - Kraftstoffmix'!$N$55</c:f>
              <c:strCache>
                <c:ptCount val="1"/>
                <c:pt idx="0">
                  <c:v>Trains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val>
            <c:numRef>
              <c:f>'Verkehr - Kraftstoffmix'!$P$55:$V$55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A-441C-8731-A530062C0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711040"/>
        <c:axId val="418069248"/>
      </c:barChart>
      <c:catAx>
        <c:axId val="4187110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069248"/>
        <c:crosses val="autoZero"/>
        <c:auto val="1"/>
        <c:lblAlgn val="ctr"/>
        <c:lblOffset val="100"/>
        <c:noMultiLvlLbl val="0"/>
      </c:catAx>
      <c:valAx>
        <c:axId val="4180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 b="1" i="0" baseline="0">
                    <a:effectLst/>
                  </a:rPr>
                  <a:t>Hydrogen consumption 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71104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74245034321573267"/>
          <c:y val="0.17128334058938346"/>
          <c:w val="0.25754963402683906"/>
          <c:h val="0.65063123779751653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Kerosene Consumption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865608333640101"/>
          <c:y val="0.17979590699747436"/>
          <c:w val="0.54325329599041983"/>
          <c:h val="0.551869290191602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Kraftstoffmix'!$N$61</c:f>
              <c:strCache>
                <c:ptCount val="1"/>
                <c:pt idx="0">
                  <c:v>Plane (FT)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Kraftstoffmix'!$P$61:$V$61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A-49F4-81ED-06021C4B3F3D}"/>
            </c:ext>
          </c:extLst>
        </c:ser>
        <c:ser>
          <c:idx val="1"/>
          <c:order val="1"/>
          <c:tx>
            <c:strRef>
              <c:f>'Verkehr - Kraftstoffmix'!$N$62</c:f>
              <c:strCache>
                <c:ptCount val="1"/>
                <c:pt idx="0">
                  <c:v>Plane (PT)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Kraftstoffmix'!$P$62:$V$62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A-49F4-81ED-06021C4B3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713088"/>
        <c:axId val="418301056"/>
      </c:barChart>
      <c:catAx>
        <c:axId val="41871308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301056"/>
        <c:crosses val="autoZero"/>
        <c:auto val="1"/>
        <c:lblAlgn val="ctr"/>
        <c:lblOffset val="100"/>
        <c:noMultiLvlLbl val="0"/>
      </c:catAx>
      <c:valAx>
        <c:axId val="4183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 b="1" i="0" baseline="0">
                    <a:effectLst/>
                  </a:rPr>
                  <a:t>Kerosene consumption 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713088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79397220578641525"/>
          <c:y val="0.28479499417058646"/>
          <c:w val="0.20602779421358458"/>
          <c:h val="0.43704807686785324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Dieselverbrauch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487847901752481"/>
          <c:y val="0.14780732380018163"/>
          <c:w val="0.51783377044475687"/>
          <c:h val="0.597331479149831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Kraftstoffmix'!$M$4</c:f>
              <c:strCache>
                <c:ptCount val="1"/>
                <c:pt idx="0">
                  <c:v>PKW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Kraftstoffmix'!$P$4:$V$4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0-4C63-B3FE-E40782FBE887}"/>
            </c:ext>
          </c:extLst>
        </c:ser>
        <c:ser>
          <c:idx val="1"/>
          <c:order val="1"/>
          <c:tx>
            <c:strRef>
              <c:f>'Verkehr - Kraftstoffmix'!$M$5</c:f>
              <c:strCache>
                <c:ptCount val="1"/>
                <c:pt idx="0">
                  <c:v>Hybrid PKW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Kraftstoffmix'!$P$5:$V$5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10-4C63-B3FE-E40782FBE887}"/>
            </c:ext>
          </c:extLst>
        </c:ser>
        <c:ser>
          <c:idx val="2"/>
          <c:order val="2"/>
          <c:tx>
            <c:strRef>
              <c:f>'Verkehr - Kraftstoffmix'!$M$6</c:f>
              <c:strCache>
                <c:ptCount val="1"/>
                <c:pt idx="0">
                  <c:v>LKW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Kraftstoffmix'!$P$6:$V$6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10-4C63-B3FE-E40782FBE887}"/>
            </c:ext>
          </c:extLst>
        </c:ser>
        <c:ser>
          <c:idx val="3"/>
          <c:order val="3"/>
          <c:tx>
            <c:strRef>
              <c:f>'Verkehr - Kraftstoffmix'!$M$7</c:f>
              <c:strCache>
                <c:ptCount val="1"/>
                <c:pt idx="0">
                  <c:v>Kleintransporter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Kraftstoffmix'!$P$7:$V$7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10-4C63-B3FE-E40782FBE887}"/>
            </c:ext>
          </c:extLst>
        </c:ser>
        <c:ser>
          <c:idx val="4"/>
          <c:order val="4"/>
          <c:tx>
            <c:strRef>
              <c:f>'Verkehr - Kraftstoffmix'!$M$8</c:f>
              <c:strCache>
                <c:ptCount val="1"/>
                <c:pt idx="0">
                  <c:v>Busse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Kraftstoffmix'!$P$8:$V$8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10-4C63-B3FE-E40782FBE887}"/>
            </c:ext>
          </c:extLst>
        </c:ser>
        <c:ser>
          <c:idx val="5"/>
          <c:order val="5"/>
          <c:tx>
            <c:strRef>
              <c:f>'Verkehr - Kraftstoffmix'!$M$11</c:f>
              <c:strCache>
                <c:ptCount val="1"/>
                <c:pt idx="0">
                  <c:v>Schienenverkehr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val>
            <c:numRef>
              <c:f>'Verkehr - Kraftstoffmix'!$P$11:$V$11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10-4C63-B3FE-E40782FBE887}"/>
            </c:ext>
          </c:extLst>
        </c:ser>
        <c:ser>
          <c:idx val="7"/>
          <c:order val="6"/>
          <c:tx>
            <c:strRef>
              <c:f>'Verkehr - Kraftstoffmix'!$M$12</c:f>
              <c:strCache>
                <c:ptCount val="1"/>
                <c:pt idx="0">
                  <c:v>Schifffahrt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Kraftstoffmix'!$P$12:$V$12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10-4C63-B3FE-E40782FBE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083264"/>
        <c:axId val="418303360"/>
      </c:barChart>
      <c:catAx>
        <c:axId val="41908326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303360"/>
        <c:crosses val="autoZero"/>
        <c:auto val="1"/>
        <c:lblAlgn val="ctr"/>
        <c:lblOffset val="100"/>
        <c:noMultiLvlLbl val="0"/>
      </c:catAx>
      <c:valAx>
        <c:axId val="41830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Dieselverbrauch in TWh</a:t>
                </a:r>
              </a:p>
            </c:rich>
          </c:tx>
          <c:layout>
            <c:manualLayout>
              <c:xMode val="edge"/>
              <c:yMode val="edge"/>
              <c:x val="2.6788932654289315E-2"/>
              <c:y val="5.9685530863626449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083264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68850045113504976"/>
          <c:y val="0.18210992397751272"/>
          <c:w val="0.31149956045410288"/>
          <c:h val="0.73886951430964409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Wasserstoffverbrauch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628894279637623"/>
          <c:y val="0.17979590699747436"/>
          <c:w val="0.51272185815051907"/>
          <c:h val="0.566255906953410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Kraftstoffmix'!$M$48</c:f>
              <c:strCache>
                <c:ptCount val="1"/>
                <c:pt idx="0">
                  <c:v>PKW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Kraftstoffmix'!$P$48:$V$48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B-4CDB-AF12-368CACD3AC5D}"/>
            </c:ext>
          </c:extLst>
        </c:ser>
        <c:ser>
          <c:idx val="1"/>
          <c:order val="1"/>
          <c:tx>
            <c:strRef>
              <c:f>'Verkehr - Kraftstoffmix'!$M$49</c:f>
              <c:strCache>
                <c:ptCount val="1"/>
                <c:pt idx="0">
                  <c:v>Hybrid PKW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Kraftstoffmix'!$P$49:$V$49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B-4CDB-AF12-368CACD3AC5D}"/>
            </c:ext>
          </c:extLst>
        </c:ser>
        <c:ser>
          <c:idx val="2"/>
          <c:order val="2"/>
          <c:tx>
            <c:strRef>
              <c:f>'Verkehr - Kraftstoffmix'!$M$50</c:f>
              <c:strCache>
                <c:ptCount val="1"/>
                <c:pt idx="0">
                  <c:v>LKW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Kraftstoffmix'!$P$50:$V$50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B-4CDB-AF12-368CACD3AC5D}"/>
            </c:ext>
          </c:extLst>
        </c:ser>
        <c:ser>
          <c:idx val="3"/>
          <c:order val="3"/>
          <c:tx>
            <c:strRef>
              <c:f>'Verkehr - Kraftstoffmix'!$M$51</c:f>
              <c:strCache>
                <c:ptCount val="1"/>
                <c:pt idx="0">
                  <c:v>Kleintransporter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Kraftstoffmix'!$P$51:$V$51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B-4CDB-AF12-368CACD3AC5D}"/>
            </c:ext>
          </c:extLst>
        </c:ser>
        <c:ser>
          <c:idx val="4"/>
          <c:order val="4"/>
          <c:tx>
            <c:strRef>
              <c:f>'Verkehr - Kraftstoffmix'!$M$52</c:f>
              <c:strCache>
                <c:ptCount val="1"/>
                <c:pt idx="0">
                  <c:v>Busse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Kraftstoffmix'!$P$52:$V$52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B-4CDB-AF12-368CACD3AC5D}"/>
            </c:ext>
          </c:extLst>
        </c:ser>
        <c:ser>
          <c:idx val="5"/>
          <c:order val="5"/>
          <c:tx>
            <c:strRef>
              <c:f>'Verkehr - Kraftstoffmix'!$M$55</c:f>
              <c:strCache>
                <c:ptCount val="1"/>
                <c:pt idx="0">
                  <c:v>Schienenverkehr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val>
            <c:numRef>
              <c:f>'Verkehr - Kraftstoffmix'!$P$55:$V$55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B-4CDB-AF12-368CACD3A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084288"/>
        <c:axId val="418305664"/>
      </c:barChart>
      <c:catAx>
        <c:axId val="41908428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305664"/>
        <c:crosses val="autoZero"/>
        <c:auto val="1"/>
        <c:lblAlgn val="ctr"/>
        <c:lblOffset val="100"/>
        <c:noMultiLvlLbl val="0"/>
      </c:catAx>
      <c:valAx>
        <c:axId val="4183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 b="1" i="0" baseline="0">
                    <a:effectLst/>
                  </a:rPr>
                  <a:t>Wasserstoffverbrauch 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084288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74245034321573267"/>
          <c:y val="0.17128334058938346"/>
          <c:w val="0.25754963402683906"/>
          <c:h val="0.65063123779751653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Ottokraftstoffverbrauch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66599929230772"/>
          <c:y val="0.17979590699747436"/>
          <c:w val="0.49715908877481346"/>
          <c:h val="0.570077593177764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Kraftstoffmix'!$M$18</c:f>
              <c:strCache>
                <c:ptCount val="1"/>
                <c:pt idx="0">
                  <c:v>PKW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Kraftstoffmix'!$P$18:$V$18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E-439C-9495-69125FA158E5}"/>
            </c:ext>
          </c:extLst>
        </c:ser>
        <c:ser>
          <c:idx val="1"/>
          <c:order val="1"/>
          <c:tx>
            <c:strRef>
              <c:f>'Verkehr - Kraftstoffmix'!$M$19</c:f>
              <c:strCache>
                <c:ptCount val="1"/>
                <c:pt idx="0">
                  <c:v>Hybrid PKW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Kraftstoffmix'!$P$19:$V$19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1E-439C-9495-69125FA158E5}"/>
            </c:ext>
          </c:extLst>
        </c:ser>
        <c:ser>
          <c:idx val="2"/>
          <c:order val="2"/>
          <c:tx>
            <c:strRef>
              <c:f>'Verkehr - Kraftstoffmix'!$M$20</c:f>
              <c:strCache>
                <c:ptCount val="1"/>
                <c:pt idx="0">
                  <c:v>LKW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Kraftstoffmix'!$P$20:$V$20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1E-439C-9495-69125FA158E5}"/>
            </c:ext>
          </c:extLst>
        </c:ser>
        <c:ser>
          <c:idx val="3"/>
          <c:order val="3"/>
          <c:tx>
            <c:strRef>
              <c:f>'Verkehr - Kraftstoffmix'!$M$21</c:f>
              <c:strCache>
                <c:ptCount val="1"/>
                <c:pt idx="0">
                  <c:v>Kleintransporter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Kraftstoffmix'!$P$21:$V$21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1E-439C-9495-69125FA158E5}"/>
            </c:ext>
          </c:extLst>
        </c:ser>
        <c:ser>
          <c:idx val="4"/>
          <c:order val="4"/>
          <c:tx>
            <c:strRef>
              <c:f>'Verkehr - Kraftstoffmix'!$M$22</c:f>
              <c:strCache>
                <c:ptCount val="1"/>
                <c:pt idx="0">
                  <c:v>Busse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Kraftstoffmix'!$P$22:$V$22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1E-439C-9495-69125FA15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085824"/>
        <c:axId val="419250176"/>
      </c:barChart>
      <c:catAx>
        <c:axId val="41908582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250176"/>
        <c:crosses val="autoZero"/>
        <c:auto val="1"/>
        <c:lblAlgn val="ctr"/>
        <c:lblOffset val="100"/>
        <c:noMultiLvlLbl val="0"/>
      </c:catAx>
      <c:valAx>
        <c:axId val="4192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 b="1" i="0" baseline="0">
                    <a:effectLst/>
                  </a:rPr>
                  <a:t>Ottokraftstoffverbrauch 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085824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72512795932948049"/>
          <c:y val="0.12094671705730885"/>
          <c:w val="0.26899098255786436"/>
          <c:h val="0.7108378113333064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Kerosinverbrauch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865608333640101"/>
          <c:y val="0.17979590699747436"/>
          <c:w val="0.50011718095054603"/>
          <c:h val="0.551869290191602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Kraftstoffmix'!$M$61</c:f>
              <c:strCache>
                <c:ptCount val="1"/>
                <c:pt idx="0">
                  <c:v>Frachtflugzeuge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Kraftstoffmix'!$P$61:$V$61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E-4075-BB61-DA22B4273C34}"/>
            </c:ext>
          </c:extLst>
        </c:ser>
        <c:ser>
          <c:idx val="1"/>
          <c:order val="1"/>
          <c:tx>
            <c:strRef>
              <c:f>'Verkehr - Kraftstoffmix'!$M$62</c:f>
              <c:strCache>
                <c:ptCount val="1"/>
                <c:pt idx="0">
                  <c:v>Personenflugzeuge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'Verkehr - Kraftstoffmix'!$P$3:$V$3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Kraftstoffmix'!$P$62:$V$62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CE-4075-BB61-DA22B4273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480576"/>
        <c:axId val="419252480"/>
      </c:barChart>
      <c:catAx>
        <c:axId val="41948057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252480"/>
        <c:crosses val="autoZero"/>
        <c:auto val="1"/>
        <c:lblAlgn val="ctr"/>
        <c:lblOffset val="100"/>
        <c:noMultiLvlLbl val="0"/>
      </c:catAx>
      <c:valAx>
        <c:axId val="41925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 b="1" i="0" baseline="0">
                    <a:effectLst/>
                  </a:rPr>
                  <a:t>Kerosinverbrauch 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480576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69789623912448073"/>
          <c:y val="0.28479499417058646"/>
          <c:w val="0.30210376087551927"/>
          <c:h val="0.43704807686785324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Stromverbrauch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957393468646302"/>
          <c:y val="0.14797693332349721"/>
          <c:w val="0.47379622819545231"/>
          <c:h val="0.592139903318166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Kraftstoffmix'!$M$28</c:f>
              <c:strCache>
                <c:ptCount val="1"/>
                <c:pt idx="0">
                  <c:v>PKW</c:v>
                </c:pt>
              </c:strCache>
            </c:strRef>
          </c:tx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Kraftstoffmix'!$P$28:$V$28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EC-40DE-B69B-1215D750E18C}"/>
            </c:ext>
          </c:extLst>
        </c:ser>
        <c:ser>
          <c:idx val="1"/>
          <c:order val="1"/>
          <c:tx>
            <c:strRef>
              <c:f>'Verkehr - Kraftstoffmix'!$M$32</c:f>
              <c:strCache>
                <c:ptCount val="1"/>
                <c:pt idx="0">
                  <c:v>Hybrid PKW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1"/>
              </a:bgClr>
            </a:patt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Kraftstoffmix'!$P$32:$V$32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EC-40DE-B69B-1215D750E18C}"/>
            </c:ext>
          </c:extLst>
        </c:ser>
        <c:ser>
          <c:idx val="2"/>
          <c:order val="2"/>
          <c:tx>
            <c:strRef>
              <c:f>'Verkehr - Kraftstoffmix'!$M$35</c:f>
              <c:strCache>
                <c:ptCount val="1"/>
                <c:pt idx="0">
                  <c:v>LKW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Kraftstoffmix'!$P$35:$V$35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EC-40DE-B69B-1215D750E18C}"/>
            </c:ext>
          </c:extLst>
        </c:ser>
        <c:ser>
          <c:idx val="3"/>
          <c:order val="3"/>
          <c:tx>
            <c:strRef>
              <c:f>'Verkehr - Kraftstoffmix'!$M$36</c:f>
              <c:strCache>
                <c:ptCount val="1"/>
                <c:pt idx="0">
                  <c:v>Kleintransporter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Kraftstoffmix'!$P$36:$V$36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EC-40DE-B69B-1215D750E18C}"/>
            </c:ext>
          </c:extLst>
        </c:ser>
        <c:ser>
          <c:idx val="4"/>
          <c:order val="4"/>
          <c:tx>
            <c:strRef>
              <c:f>'Verkehr - Kraftstoffmix'!$M$39</c:f>
              <c:strCache>
                <c:ptCount val="1"/>
                <c:pt idx="0">
                  <c:v>Busse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Kraftstoffmix'!$P$39:$V$39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EC-40DE-B69B-1215D750E18C}"/>
            </c:ext>
          </c:extLst>
        </c:ser>
        <c:ser>
          <c:idx val="5"/>
          <c:order val="5"/>
          <c:tx>
            <c:strRef>
              <c:f>'Verkehr - Kraftstoffmix'!$M$42</c:f>
              <c:strCache>
                <c:ptCount val="1"/>
                <c:pt idx="0">
                  <c:v>Schienenverkehr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numRef>
              <c:f>'Verkehr - Kraftstoffmix'!$P$26:$V$26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Kraftstoffmix'!$P$42:$V$42</c:f>
              <c:numCache>
                <c:formatCode>0.0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EC-40DE-B69B-1215D750E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481088"/>
        <c:axId val="419254784"/>
      </c:barChart>
      <c:catAx>
        <c:axId val="41948108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254784"/>
        <c:crosses val="autoZero"/>
        <c:auto val="1"/>
        <c:lblAlgn val="ctr"/>
        <c:lblOffset val="100"/>
        <c:noMultiLvlLbl val="0"/>
      </c:catAx>
      <c:valAx>
        <c:axId val="4192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 b="1" i="0" baseline="0">
                    <a:effectLst/>
                  </a:rPr>
                  <a:t>Stromverbrauch 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481088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65204017468429942"/>
          <c:y val="0.14981744303238692"/>
          <c:w val="0.34795981384679858"/>
          <c:h val="0.58999061287551824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Diesel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95053127652722"/>
          <c:y val="0.15504754141028809"/>
          <c:w val="0.66960337206919762"/>
          <c:h val="0.613258344437136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EE im Kraftstoff'!$M$4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Kraftstoff'!$O$4:$U$4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3-4076-AFC3-98B62AAE6D19}"/>
            </c:ext>
          </c:extLst>
        </c:ser>
        <c:ser>
          <c:idx val="1"/>
          <c:order val="1"/>
          <c:tx>
            <c:strRef>
              <c:f>'Verkehr - EE im Kraftstoff'!$M$5</c:f>
              <c:strCache>
                <c:ptCount val="1"/>
                <c:pt idx="0">
                  <c:v>Bio Diesel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Kraftstoff'!$O$5:$U$5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3-4076-AFC3-98B62AAE6D19}"/>
            </c:ext>
          </c:extLst>
        </c:ser>
        <c:ser>
          <c:idx val="3"/>
          <c:order val="2"/>
          <c:tx>
            <c:strRef>
              <c:f>'Verkehr - EE im Kraftstoff'!$M$7</c:f>
              <c:strCache>
                <c:ptCount val="1"/>
                <c:pt idx="0">
                  <c:v>Syn Diesel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Kraftstoff'!$O$7:$U$7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83-4076-AFC3-98B62AAE6D19}"/>
            </c:ext>
          </c:extLst>
        </c:ser>
        <c:ser>
          <c:idx val="2"/>
          <c:order val="3"/>
          <c:tx>
            <c:strRef>
              <c:f>'Verkehr - EE im Kraftstoff'!$M$6</c:f>
              <c:strCache>
                <c:ptCount val="1"/>
                <c:pt idx="0">
                  <c:v>FT 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Kraftstoff'!$O$6:$U$6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83-4076-AFC3-98B62AAE6D19}"/>
            </c:ext>
          </c:extLst>
        </c:ser>
        <c:ser>
          <c:idx val="4"/>
          <c:order val="4"/>
          <c:tx>
            <c:strRef>
              <c:f>'Verkehr - EE im Kraftstoff'!$M$8</c:f>
              <c:strCache>
                <c:ptCount val="1"/>
                <c:pt idx="0">
                  <c:v>Import</c:v>
                </c:pt>
              </c:strCache>
            </c:strRef>
          </c:tx>
          <c:spPr>
            <a:pattFill prst="dk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Kraftstoff'!$O$8:$U$8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0-49D1-BA88-E4C322297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579456"/>
        <c:axId val="419257664"/>
      </c:barChart>
      <c:catAx>
        <c:axId val="41857945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257664"/>
        <c:crosses val="autoZero"/>
        <c:auto val="1"/>
        <c:lblAlgn val="ctr"/>
        <c:lblOffset val="100"/>
        <c:noMultiLvlLbl val="0"/>
      </c:catAx>
      <c:valAx>
        <c:axId val="4192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Diesel in TWh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579456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Gasoline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738547551444543"/>
          <c:y val="0.15504754141028809"/>
          <c:w val="0.65659221965284076"/>
          <c:h val="0.613258344437136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EE im Kraftstoff'!$M$16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Kraftstoff'!$O$16:$U$16</c:f>
              <c:numCache>
                <c:formatCode>General</c:formatCode>
                <c:ptCount val="7"/>
                <c:pt idx="0">
                  <c:v>229913.22233336398</c:v>
                </c:pt>
                <c:pt idx="1">
                  <c:v>206783.07127582375</c:v>
                </c:pt>
                <c:pt idx="2">
                  <c:v>134273.79403174229</c:v>
                </c:pt>
                <c:pt idx="3">
                  <c:v>89653.894243181407</c:v>
                </c:pt>
                <c:pt idx="4">
                  <c:v>29038.624665010833</c:v>
                </c:pt>
                <c:pt idx="5">
                  <c:v>1.5889059354883147E-5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9-428A-92F3-0CF91FC7B62F}"/>
            </c:ext>
          </c:extLst>
        </c:ser>
        <c:ser>
          <c:idx val="3"/>
          <c:order val="1"/>
          <c:tx>
            <c:strRef>
              <c:f>'Verkehr - EE im Kraftstoff'!$M$18</c:f>
              <c:strCache>
                <c:ptCount val="1"/>
                <c:pt idx="0">
                  <c:v>Methane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Kraftstoff'!$O$18:$U$18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99-428A-92F3-0CF91FC7B62F}"/>
            </c:ext>
          </c:extLst>
        </c:ser>
        <c:ser>
          <c:idx val="1"/>
          <c:order val="2"/>
          <c:tx>
            <c:strRef>
              <c:f>'Verkehr - EE im Kraftstoff'!$M$17</c:f>
              <c:strCache>
                <c:ptCount val="1"/>
                <c:pt idx="0">
                  <c:v>Bio Ethanol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Kraftstoff'!$O$17:$U$17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9-428A-92F3-0CF91FC7B62F}"/>
            </c:ext>
          </c:extLst>
        </c:ser>
        <c:ser>
          <c:idx val="5"/>
          <c:order val="3"/>
          <c:tx>
            <c:strRef>
              <c:f>'Verkehr - EE im Kraftstoff'!$M$20</c:f>
              <c:strCache>
                <c:ptCount val="1"/>
                <c:pt idx="0">
                  <c:v>Bio Gas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Kraftstoff'!$O$20:$U$20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99-428A-92F3-0CF91FC7B62F}"/>
            </c:ext>
          </c:extLst>
        </c:ser>
        <c:ser>
          <c:idx val="4"/>
          <c:order val="4"/>
          <c:tx>
            <c:strRef>
              <c:f>'Verkehr - EE im Kraftstoff'!$M$19</c:f>
              <c:strCache>
                <c:ptCount val="1"/>
                <c:pt idx="0">
                  <c:v>FT Gas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Kraftstoff'!$O$19:$U$19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99-428A-92F3-0CF91FC7B62F}"/>
            </c:ext>
          </c:extLst>
        </c:ser>
        <c:ser>
          <c:idx val="6"/>
          <c:order val="5"/>
          <c:tx>
            <c:strRef>
              <c:f>'Verkehr - EE im Kraftstoff'!$M$21</c:f>
              <c:strCache>
                <c:ptCount val="1"/>
                <c:pt idx="0">
                  <c:v>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Kraftstoff'!$O$21:$U$21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4A-4AF3-8D96-D03ECF6F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581504"/>
        <c:axId val="419817152"/>
      </c:barChart>
      <c:catAx>
        <c:axId val="41858150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817152"/>
        <c:crosses val="autoZero"/>
        <c:auto val="1"/>
        <c:lblAlgn val="ctr"/>
        <c:lblOffset val="100"/>
        <c:noMultiLvlLbl val="0"/>
      </c:catAx>
      <c:valAx>
        <c:axId val="41981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Gasoline </a:t>
                </a:r>
                <a:r>
                  <a:rPr lang="en-US" sz="1600" b="1" i="0" baseline="0">
                    <a:effectLst/>
                  </a:rPr>
                  <a:t>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8581504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Electricity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14755729883206"/>
          <c:y val="0.15504754141028809"/>
          <c:w val="0.5041758627755174"/>
          <c:h val="0.613258344437136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EE im Kraftstoff'!$W$27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Kraftstoff'!$X$27:$AD$27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8-4170-87B8-E18EA12B681A}"/>
            </c:ext>
          </c:extLst>
        </c:ser>
        <c:ser>
          <c:idx val="1"/>
          <c:order val="1"/>
          <c:tx>
            <c:strRef>
              <c:f>'Verkehr - EE im Kraftstoff'!$W$28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Kraftstoff'!$X$28:$AD$28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98-4170-87B8-E18EA12B681A}"/>
            </c:ext>
          </c:extLst>
        </c:ser>
        <c:ser>
          <c:idx val="2"/>
          <c:order val="2"/>
          <c:tx>
            <c:strRef>
              <c:f>'Verkehr - EE im Kraftstoff'!$W$29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Kraftstoff'!$X$29:$AD$29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98-4170-87B8-E18EA12B681A}"/>
            </c:ext>
          </c:extLst>
        </c:ser>
        <c:ser>
          <c:idx val="3"/>
          <c:order val="3"/>
          <c:tx>
            <c:strRef>
              <c:f>'Verkehr - EE im Kraftstoff'!$W$30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Kraftstoff'!$X$30:$AD$30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98-4170-87B8-E18EA12B681A}"/>
            </c:ext>
          </c:extLst>
        </c:ser>
        <c:ser>
          <c:idx val="4"/>
          <c:order val="4"/>
          <c:tx>
            <c:strRef>
              <c:f>'Verkehr - EE im Kraftstoff'!$W$31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Kraftstoff'!$X$31:$AD$31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98-4170-87B8-E18EA12B681A}"/>
            </c:ext>
          </c:extLst>
        </c:ser>
        <c:ser>
          <c:idx val="5"/>
          <c:order val="5"/>
          <c:tx>
            <c:strRef>
              <c:f>'Verkehr - EE im Kraftstoff'!$W$32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Kraftstoff'!$X$32:$AD$32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98-4170-87B8-E18EA12B681A}"/>
            </c:ext>
          </c:extLst>
        </c:ser>
        <c:ser>
          <c:idx val="6"/>
          <c:order val="6"/>
          <c:tx>
            <c:strRef>
              <c:f>'Verkehr - EE im Kraftstoff'!$W$33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Kraftstoff'!$X$33:$AD$33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98-4170-87B8-E18EA12B681A}"/>
            </c:ext>
          </c:extLst>
        </c:ser>
        <c:ser>
          <c:idx val="7"/>
          <c:order val="7"/>
          <c:tx>
            <c:strRef>
              <c:f>'Verkehr - EE im Kraftstoff'!$W$34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Kraftstoff'!$X$34:$AD$34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98-4170-87B8-E18EA12B681A}"/>
            </c:ext>
          </c:extLst>
        </c:ser>
        <c:ser>
          <c:idx val="8"/>
          <c:order val="8"/>
          <c:tx>
            <c:strRef>
              <c:f>'Verkehr - EE im Kraftstoff'!$W$35</c:f>
              <c:strCache>
                <c:ptCount val="1"/>
                <c:pt idx="0">
                  <c:v>Hydro Energy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Kraftstoff'!$X$35:$AD$35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298-4170-87B8-E18EA12B681A}"/>
            </c:ext>
          </c:extLst>
        </c:ser>
        <c:ser>
          <c:idx val="9"/>
          <c:order val="9"/>
          <c:tx>
            <c:strRef>
              <c:f>'Verkehr - EE im Kraftstoff'!$W$36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Kraftstoff'!$X$36:$AD$36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298-4170-87B8-E18EA12B681A}"/>
            </c:ext>
          </c:extLst>
        </c:ser>
        <c:ser>
          <c:idx val="10"/>
          <c:order val="10"/>
          <c:tx>
            <c:strRef>
              <c:f>'Verkehr - EE im Kraftstoff'!$W$37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Kraftstoff'!$X$37:$AD$37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98-4170-87B8-E18EA12B681A}"/>
            </c:ext>
          </c:extLst>
        </c:ser>
        <c:ser>
          <c:idx val="11"/>
          <c:order val="11"/>
          <c:tx>
            <c:strRef>
              <c:f>'Verkehr - EE im Kraftstoff'!$W$38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Kraftstoff'!$X$38:$AD$38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A-4EF8-B596-41FF7C13FA84}"/>
            </c:ext>
          </c:extLst>
        </c:ser>
        <c:ser>
          <c:idx val="12"/>
          <c:order val="12"/>
          <c:tx>
            <c:strRef>
              <c:f>'Verkehr - EE im Kraftstoff'!$W$39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noFill/>
            </a:ln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Kraftstoff'!$X$39:$AD$39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A-4EF8-B596-41FF7C13F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701248"/>
        <c:axId val="419819456"/>
      </c:barChart>
      <c:catAx>
        <c:axId val="41970124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819456"/>
        <c:crosses val="autoZero"/>
        <c:auto val="1"/>
        <c:lblAlgn val="ctr"/>
        <c:lblOffset val="100"/>
        <c:noMultiLvlLbl val="0"/>
      </c:catAx>
      <c:valAx>
        <c:axId val="419819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Electricity </a:t>
                </a:r>
                <a:r>
                  <a:rPr lang="en-US" sz="1600" b="1" i="0" baseline="0">
                    <a:effectLst/>
                  </a:rPr>
                  <a:t>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70124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4550639580833067"/>
          <c:y val="0"/>
          <c:w val="0.243341187834792"/>
          <c:h val="1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Hydrogen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482041975236364"/>
          <c:y val="0.15504754141028809"/>
          <c:w val="0.67332084418815674"/>
          <c:h val="0.6132583444371365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'Verkehr - EE im Kraftstoff'!$M$46</c:f>
              <c:strCache>
                <c:ptCount val="1"/>
                <c:pt idx="0">
                  <c:v>Bio H2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Kraftstoff'!$O$46:$U$46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A-4FF2-8BF8-6B02A12A640F}"/>
            </c:ext>
          </c:extLst>
        </c:ser>
        <c:ser>
          <c:idx val="4"/>
          <c:order val="1"/>
          <c:tx>
            <c:strRef>
              <c:f>'Verkehr - EE im Kraftstoff'!$M$48</c:f>
              <c:strCache>
                <c:ptCount val="1"/>
                <c:pt idx="0">
                  <c:v>Pyr H2</c:v>
                </c:pt>
              </c:strCache>
            </c:strRef>
          </c:tx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Kraftstoff'!$O$48:$U$48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1-451C-AC88-5C1ACBEFE4A3}"/>
            </c:ext>
          </c:extLst>
        </c:ser>
        <c:ser>
          <c:idx val="0"/>
          <c:order val="2"/>
          <c:tx>
            <c:strRef>
              <c:f>'Verkehr - EE im Kraftstoff'!$M$47</c:f>
              <c:strCache>
                <c:ptCount val="1"/>
                <c:pt idx="0">
                  <c:v>Ref H2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Kraftstoff'!$O$47:$U$47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A-4FF2-8BF8-6B02A12A640F}"/>
            </c:ext>
          </c:extLst>
        </c:ser>
        <c:ser>
          <c:idx val="3"/>
          <c:order val="3"/>
          <c:tx>
            <c:strRef>
              <c:f>'Verkehr - EE im Kraftstoff'!$M$45</c:f>
              <c:strCache>
                <c:ptCount val="1"/>
                <c:pt idx="0">
                  <c:v>El H2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Kraftstoff'!$O$45:$U$45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CA-4FF2-8BF8-6B02A12A640F}"/>
            </c:ext>
          </c:extLst>
        </c:ser>
        <c:ser>
          <c:idx val="2"/>
          <c:order val="4"/>
          <c:tx>
            <c:strRef>
              <c:f>'Verkehr - EE im Kraftstoff'!$M$44</c:f>
              <c:strCache>
                <c:ptCount val="1"/>
                <c:pt idx="0">
                  <c:v>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>
              <a:noFill/>
            </a:ln>
            <a:effectLst/>
          </c:spPr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Kraftstoff'!$O$44:$U$44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CA-4FF2-8BF8-6B02A12A6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702272"/>
        <c:axId val="419822912"/>
      </c:barChart>
      <c:catAx>
        <c:axId val="41970227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822912"/>
        <c:crosses val="autoZero"/>
        <c:auto val="1"/>
        <c:lblAlgn val="ctr"/>
        <c:lblOffset val="100"/>
        <c:noMultiLvlLbl val="0"/>
      </c:catAx>
      <c:valAx>
        <c:axId val="4198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Hydrogen </a:t>
                </a:r>
                <a:r>
                  <a:rPr lang="en-US" sz="1600" b="1" i="0" baseline="0">
                    <a:effectLst/>
                  </a:rPr>
                  <a:t>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702272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Kerosene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809179521704768"/>
          <c:y val="0.15504754141028809"/>
          <c:w val="0.65287474753388164"/>
          <c:h val="0.647210473301226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EE im Kraftstoff'!$M$56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Kraftstoff'!$O$56:$U$56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D-4FE8-A76B-D2A65EC53BA5}"/>
            </c:ext>
          </c:extLst>
        </c:ser>
        <c:ser>
          <c:idx val="2"/>
          <c:order val="1"/>
          <c:tx>
            <c:strRef>
              <c:f>'Verkehr - EE im Kraftstoff'!$M$58</c:f>
              <c:strCache>
                <c:ptCount val="1"/>
                <c:pt idx="0">
                  <c:v>Bio Kerosene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Kraftstoff'!$O$58:$U$58</c:f>
              <c:numCache>
                <c:formatCode>General</c:formatCode>
                <c:ptCount val="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3D-4FE8-A76B-D2A65EC53BA5}"/>
            </c:ext>
          </c:extLst>
        </c:ser>
        <c:ser>
          <c:idx val="1"/>
          <c:order val="2"/>
          <c:tx>
            <c:strRef>
              <c:f>'Verkehr - EE im Kraftstoff'!$M$57</c:f>
              <c:strCache>
                <c:ptCount val="1"/>
                <c:pt idx="0">
                  <c:v>FT Kerosene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Kraftstoff'!$O$57:$U$57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D-4FE8-A76B-D2A65EC53BA5}"/>
            </c:ext>
          </c:extLst>
        </c:ser>
        <c:ser>
          <c:idx val="3"/>
          <c:order val="3"/>
          <c:tx>
            <c:strRef>
              <c:f>'Verkehr - EE im Kraftstoff'!$M$59</c:f>
              <c:strCache>
                <c:ptCount val="1"/>
                <c:pt idx="0">
                  <c:v>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Kraftstoff'!$O$59:$U$59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0-404B-9F04-16EE2B63F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704320"/>
        <c:axId val="420234944"/>
      </c:barChart>
      <c:catAx>
        <c:axId val="41970432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0234944"/>
        <c:crosses val="autoZero"/>
        <c:auto val="1"/>
        <c:lblAlgn val="ctr"/>
        <c:lblOffset val="100"/>
        <c:noMultiLvlLbl val="0"/>
      </c:catAx>
      <c:valAx>
        <c:axId val="420234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Kerosene </a:t>
                </a:r>
                <a:r>
                  <a:rPr lang="en-US" sz="1600" b="1" i="0" baseline="0">
                    <a:effectLst/>
                  </a:rPr>
                  <a:t>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70432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Diesel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95053127652722"/>
          <c:y val="0.15504754141028809"/>
          <c:w val="0.6844732605450341"/>
          <c:h val="0.613258344437136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EE im Kraftstoff'!$L$4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Kraftstoff'!$O$4:$U$4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5-464D-801F-0BE7CE8BDD7E}"/>
            </c:ext>
          </c:extLst>
        </c:ser>
        <c:ser>
          <c:idx val="1"/>
          <c:order val="1"/>
          <c:tx>
            <c:strRef>
              <c:f>'Verkehr - EE im Kraftstoff'!$L$5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Kraftstoff'!$O$5:$U$5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05-464D-801F-0BE7CE8BDD7E}"/>
            </c:ext>
          </c:extLst>
        </c:ser>
        <c:ser>
          <c:idx val="3"/>
          <c:order val="2"/>
          <c:tx>
            <c:strRef>
              <c:f>'Verkehr - EE im Kraftstoff'!$L$7</c:f>
              <c:strCache>
                <c:ptCount val="1"/>
                <c:pt idx="0">
                  <c:v>Syn-Diesel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Kraftstoff'!$O$7:$U$7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05-464D-801F-0BE7CE8BDD7E}"/>
            </c:ext>
          </c:extLst>
        </c:ser>
        <c:ser>
          <c:idx val="2"/>
          <c:order val="3"/>
          <c:tx>
            <c:strRef>
              <c:f>'Verkehr - EE im Kraftstoff'!$L$6</c:f>
              <c:strCache>
                <c:ptCount val="1"/>
                <c:pt idx="0">
                  <c:v>FT-Diesel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Kraftstoff'!$O$6:$U$6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05-464D-801F-0BE7CE8BDD7E}"/>
            </c:ext>
          </c:extLst>
        </c:ser>
        <c:ser>
          <c:idx val="4"/>
          <c:order val="4"/>
          <c:tx>
            <c:strRef>
              <c:f>'Verkehr - EE im Kraftstoff'!$L$8</c:f>
              <c:strCache>
                <c:ptCount val="1"/>
                <c:pt idx="0">
                  <c:v>Import</c:v>
                </c:pt>
              </c:strCache>
            </c:strRef>
          </c:tx>
          <c:spPr>
            <a:pattFill prst="dk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Kraftstoff'!$O$8:$U$8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05-464D-801F-0BE7CE8BD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209664"/>
        <c:axId val="420237248"/>
      </c:barChart>
      <c:catAx>
        <c:axId val="42020966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0237248"/>
        <c:crosses val="autoZero"/>
        <c:auto val="1"/>
        <c:lblAlgn val="ctr"/>
        <c:lblOffset val="100"/>
        <c:noMultiLvlLbl val="0"/>
      </c:catAx>
      <c:valAx>
        <c:axId val="42023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Diesel in TWh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0209664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Ottokraftstoff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738547551444543"/>
          <c:y val="0.15504754141028809"/>
          <c:w val="0.65287474753388164"/>
          <c:h val="0.613258344437136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EE im Kraftstoff'!$L$16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Kraftstoff'!$O$16:$U$16</c:f>
              <c:numCache>
                <c:formatCode>General</c:formatCode>
                <c:ptCount val="7"/>
                <c:pt idx="0">
                  <c:v>229913.22233336398</c:v>
                </c:pt>
                <c:pt idx="1">
                  <c:v>206783.07127582375</c:v>
                </c:pt>
                <c:pt idx="2">
                  <c:v>134273.79403174229</c:v>
                </c:pt>
                <c:pt idx="3">
                  <c:v>89653.894243181407</c:v>
                </c:pt>
                <c:pt idx="4">
                  <c:v>29038.624665010833</c:v>
                </c:pt>
                <c:pt idx="5">
                  <c:v>1.5889059354883147E-5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F-4F60-92D5-36537CF862BD}"/>
            </c:ext>
          </c:extLst>
        </c:ser>
        <c:ser>
          <c:idx val="2"/>
          <c:order val="1"/>
          <c:tx>
            <c:strRef>
              <c:f>'Verkehr - EE im Kraftstoff'!#REF!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FF-4F60-92D5-36537CF862BD}"/>
            </c:ext>
          </c:extLst>
        </c:ser>
        <c:ser>
          <c:idx val="3"/>
          <c:order val="2"/>
          <c:tx>
            <c:strRef>
              <c:f>'Verkehr - EE im Kraftstoff'!$L$18</c:f>
              <c:strCache>
                <c:ptCount val="1"/>
                <c:pt idx="0">
                  <c:v>Methan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Kraftstoff'!$O$18:$U$18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FF-4F60-92D5-36537CF862BD}"/>
            </c:ext>
          </c:extLst>
        </c:ser>
        <c:ser>
          <c:idx val="1"/>
          <c:order val="3"/>
          <c:tx>
            <c:strRef>
              <c:f>'Verkehr - EE im Kraftstoff'!$L$17</c:f>
              <c:strCache>
                <c:ptCount val="1"/>
                <c:pt idx="0">
                  <c:v>Bioethanol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Kraftstoff'!$O$17:$U$17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FF-4F60-92D5-36537CF862BD}"/>
            </c:ext>
          </c:extLst>
        </c:ser>
        <c:ser>
          <c:idx val="5"/>
          <c:order val="4"/>
          <c:tx>
            <c:strRef>
              <c:f>'Verkehr - EE im Kraftstoff'!$L$20</c:f>
              <c:strCache>
                <c:ptCount val="1"/>
                <c:pt idx="0">
                  <c:v>Bio-Benzin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Kraftstoff'!$O$20:$U$20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FF-4F60-92D5-36537CF862BD}"/>
            </c:ext>
          </c:extLst>
        </c:ser>
        <c:ser>
          <c:idx val="4"/>
          <c:order val="5"/>
          <c:tx>
            <c:strRef>
              <c:f>'Verkehr - EE im Kraftstoff'!$L$19</c:f>
              <c:strCache>
                <c:ptCount val="1"/>
                <c:pt idx="0">
                  <c:v>FT-Benzin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Kraftstoff'!$O$19:$U$19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FF-4F60-92D5-36537CF862BD}"/>
            </c:ext>
          </c:extLst>
        </c:ser>
        <c:ser>
          <c:idx val="6"/>
          <c:order val="6"/>
          <c:tx>
            <c:strRef>
              <c:f>'Verkehr - EE im Kraftstoff'!$L$21</c:f>
              <c:strCache>
                <c:ptCount val="1"/>
                <c:pt idx="0">
                  <c:v>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Kraftstoff'!$O$21:$U$21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FF-4F60-92D5-36537CF86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211712"/>
        <c:axId val="420239552"/>
      </c:barChart>
      <c:catAx>
        <c:axId val="42021171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0239552"/>
        <c:crosses val="autoZero"/>
        <c:auto val="1"/>
        <c:lblAlgn val="ctr"/>
        <c:lblOffset val="100"/>
        <c:noMultiLvlLbl val="0"/>
      </c:catAx>
      <c:valAx>
        <c:axId val="42023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Ottokraftstoff </a:t>
                </a:r>
                <a:r>
                  <a:rPr lang="en-US" sz="1600" b="1" i="0" baseline="0">
                    <a:effectLst/>
                  </a:rPr>
                  <a:t>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0211712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Strom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14755729883206"/>
          <c:y val="0.15504754141028809"/>
          <c:w val="0.5041758627755174"/>
          <c:h val="0.613258344437136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EE im Kraftstoff'!$V$27</c:f>
              <c:strCache>
                <c:ptCount val="1"/>
                <c:pt idx="0">
                  <c:v>Steinkohle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Kraftstoff'!$X$27:$AD$27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E-4CBF-A5D3-C4CBE8A6EEBE}"/>
            </c:ext>
          </c:extLst>
        </c:ser>
        <c:ser>
          <c:idx val="1"/>
          <c:order val="1"/>
          <c:tx>
            <c:strRef>
              <c:f>'Verkehr - EE im Kraftstoff'!$V$28</c:f>
              <c:strCache>
                <c:ptCount val="1"/>
                <c:pt idx="0">
                  <c:v>Braunkohle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Kraftstoff'!$X$28:$AD$28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8E-4CBF-A5D3-C4CBE8A6EEBE}"/>
            </c:ext>
          </c:extLst>
        </c:ser>
        <c:ser>
          <c:idx val="2"/>
          <c:order val="2"/>
          <c:tx>
            <c:strRef>
              <c:f>'Verkehr - EE im Kraftstoff'!$V$29</c:f>
              <c:strCache>
                <c:ptCount val="1"/>
                <c:pt idx="0">
                  <c:v>Kernenergie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Kraftstoff'!$X$29:$AD$29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8E-4CBF-A5D3-C4CBE8A6EEBE}"/>
            </c:ext>
          </c:extLst>
        </c:ser>
        <c:ser>
          <c:idx val="3"/>
          <c:order val="3"/>
          <c:tx>
            <c:strRef>
              <c:f>'Verkehr - EE im Kraftstoff'!$V$30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Kraftstoff'!$X$30:$AD$30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8E-4CBF-A5D3-C4CBE8A6EEBE}"/>
            </c:ext>
          </c:extLst>
        </c:ser>
        <c:ser>
          <c:idx val="4"/>
          <c:order val="4"/>
          <c:tx>
            <c:strRef>
              <c:f>'Verkehr - EE im Kraftstoff'!$V$31</c:f>
              <c:strCache>
                <c:ptCount val="1"/>
                <c:pt idx="0">
                  <c:v>Erdöl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Kraftstoff'!$X$31:$AD$31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8E-4CBF-A5D3-C4CBE8A6EEBE}"/>
            </c:ext>
          </c:extLst>
        </c:ser>
        <c:ser>
          <c:idx val="5"/>
          <c:order val="5"/>
          <c:tx>
            <c:strRef>
              <c:f>'Verkehr - EE im Kraftstoff'!$V$32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Kraftstoff'!$X$32:$AD$32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8E-4CBF-A5D3-C4CBE8A6EEBE}"/>
            </c:ext>
          </c:extLst>
        </c:ser>
        <c:ser>
          <c:idx val="6"/>
          <c:order val="6"/>
          <c:tx>
            <c:strRef>
              <c:f>'Verkehr - EE im Kraftstoff'!$V$33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Kraftstoff'!$X$33:$AD$33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8E-4CBF-A5D3-C4CBE8A6EEBE}"/>
            </c:ext>
          </c:extLst>
        </c:ser>
        <c:ser>
          <c:idx val="7"/>
          <c:order val="7"/>
          <c:tx>
            <c:strRef>
              <c:f>'Verkehr - EE im Kraftstoff'!$V$34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Kraftstoff'!$X$34:$AD$34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8E-4CBF-A5D3-C4CBE8A6EEBE}"/>
            </c:ext>
          </c:extLst>
        </c:ser>
        <c:ser>
          <c:idx val="8"/>
          <c:order val="8"/>
          <c:tx>
            <c:strRef>
              <c:f>'Verkehr - EE im Kraftstoff'!$V$35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Kraftstoff'!$X$35:$AD$35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C8E-4CBF-A5D3-C4CBE8A6EEBE}"/>
            </c:ext>
          </c:extLst>
        </c:ser>
        <c:ser>
          <c:idx val="9"/>
          <c:order val="9"/>
          <c:tx>
            <c:strRef>
              <c:f>'Verkehr - EE im Kraftstoff'!$V$36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Kraftstoff'!$X$36:$AD$36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C8E-4CBF-A5D3-C4CBE8A6EEBE}"/>
            </c:ext>
          </c:extLst>
        </c:ser>
        <c:ser>
          <c:idx val="10"/>
          <c:order val="10"/>
          <c:tx>
            <c:strRef>
              <c:f>'Verkehr - EE im Kraftstoff'!$V$37</c:f>
              <c:strCache>
                <c:ptCount val="1"/>
                <c:pt idx="0">
                  <c:v>Wasserstoff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Kraftstoff'!$X$37:$AD$37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C8E-4CBF-A5D3-C4CBE8A6EEBE}"/>
            </c:ext>
          </c:extLst>
        </c:ser>
        <c:ser>
          <c:idx val="11"/>
          <c:order val="11"/>
          <c:tx>
            <c:strRef>
              <c:f>'Verkehr - EE im Kraftstoff'!$V$38</c:f>
              <c:strCache>
                <c:ptCount val="1"/>
                <c:pt idx="0">
                  <c:v>Müll</c:v>
                </c:pt>
              </c:strCache>
            </c:strRef>
          </c:tx>
          <c:spPr>
            <a:solidFill>
              <a:schemeClr val="tx2"/>
            </a:solidFill>
            <a:ln w="25400">
              <a:noFill/>
            </a:ln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Kraftstoff'!$X$38:$AD$38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C8E-4CBF-A5D3-C4CBE8A6EEBE}"/>
            </c:ext>
          </c:extLst>
        </c:ser>
        <c:ser>
          <c:idx val="12"/>
          <c:order val="12"/>
          <c:tx>
            <c:strRef>
              <c:f>'Verkehr - EE im Kraftstoff'!$V$39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noFill/>
            </a:ln>
          </c:spPr>
          <c:invertIfNegative val="0"/>
          <c:cat>
            <c:numRef>
              <c:f>'Verkehr - EE im Kraftstoff'!$X$26:$AD$26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Kraftstoff'!$X$39:$AD$39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C8E-4CBF-A5D3-C4CBE8A6E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933632"/>
        <c:axId val="420479552"/>
      </c:barChart>
      <c:catAx>
        <c:axId val="42093363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0479552"/>
        <c:crosses val="autoZero"/>
        <c:auto val="1"/>
        <c:lblAlgn val="ctr"/>
        <c:lblOffset val="100"/>
        <c:noMultiLvlLbl val="0"/>
      </c:catAx>
      <c:valAx>
        <c:axId val="420479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Elektr.</a:t>
                </a:r>
                <a:r>
                  <a:rPr lang="en-US" sz="1600" baseline="0"/>
                  <a:t> Energie</a:t>
                </a:r>
                <a:r>
                  <a:rPr lang="en-US" sz="1600"/>
                  <a:t> </a:t>
                </a:r>
                <a:r>
                  <a:rPr lang="en-US" sz="1600" b="1" i="0" baseline="0">
                    <a:effectLst/>
                  </a:rPr>
                  <a:t>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093363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2795056054796126"/>
          <c:y val="0"/>
          <c:w val="0.26089702309516138"/>
          <c:h val="0.95736587806007023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Kerosin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809179521704768"/>
          <c:y val="0.15504754141028809"/>
          <c:w val="0.65287474753388164"/>
          <c:h val="0.647210473301226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'Verkehr - EE im Kraftstoff'!$L$56</c:f>
              <c:strCache>
                <c:ptCount val="1"/>
                <c:pt idx="0">
                  <c:v>Kerosin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Kraftstoff'!$O$56:$U$56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D-4D6C-8FFF-23A0795ACD35}"/>
            </c:ext>
          </c:extLst>
        </c:ser>
        <c:ser>
          <c:idx val="2"/>
          <c:order val="1"/>
          <c:tx>
            <c:strRef>
              <c:f>'Verkehr - EE im Kraftstoff'!$L$58</c:f>
              <c:strCache>
                <c:ptCount val="1"/>
                <c:pt idx="0">
                  <c:v>Bio-Kerosin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Kraftstoff'!$O$58:$U$58</c:f>
              <c:numCache>
                <c:formatCode>General</c:formatCode>
                <c:ptCount val="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D-4D6C-8FFF-23A0795ACD35}"/>
            </c:ext>
          </c:extLst>
        </c:ser>
        <c:ser>
          <c:idx val="1"/>
          <c:order val="2"/>
          <c:tx>
            <c:strRef>
              <c:f>'Verkehr - EE im Kraftstoff'!$L$57</c:f>
              <c:strCache>
                <c:ptCount val="1"/>
                <c:pt idx="0">
                  <c:v>FT-Kerosin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Kraftstoff'!$O$57:$U$57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AD-4D6C-8FFF-23A0795ACD35}"/>
            </c:ext>
          </c:extLst>
        </c:ser>
        <c:ser>
          <c:idx val="3"/>
          <c:order val="3"/>
          <c:tx>
            <c:strRef>
              <c:f>'Verkehr - EE im Kraftstoff'!$L$59</c:f>
              <c:strCache>
                <c:ptCount val="1"/>
                <c:pt idx="0">
                  <c:v>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 w="25400">
              <a:noFill/>
            </a:ln>
          </c:spPr>
          <c:invertIfNegative val="0"/>
          <c:cat>
            <c:numRef>
              <c:f>'Verkehr - EE im Kraftstoff'!$O$3:$U$3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Kraftstoff'!$O$59:$U$59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AD-4D6C-8FFF-23A0795AC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937216"/>
        <c:axId val="420485312"/>
      </c:barChart>
      <c:catAx>
        <c:axId val="42093721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0485312"/>
        <c:crosses val="autoZero"/>
        <c:auto val="1"/>
        <c:lblAlgn val="ctr"/>
        <c:lblOffset val="100"/>
        <c:noMultiLvlLbl val="0"/>
      </c:catAx>
      <c:valAx>
        <c:axId val="4204853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Kerosin </a:t>
                </a:r>
                <a:r>
                  <a:rPr lang="en-US" sz="1600" b="1" i="0" baseline="0">
                    <a:effectLst/>
                  </a:rPr>
                  <a:t>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20937216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de-DE" sz="1600"/>
              <a:t>Wasserstoff Mix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482041975236364"/>
          <c:y val="0.15504754141028809"/>
          <c:w val="0.67332084418815674"/>
          <c:h val="0.6132583444371365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'Verkehr - EE im Kraftstoff'!$M$46</c:f>
              <c:strCache>
                <c:ptCount val="1"/>
                <c:pt idx="0">
                  <c:v>Bio H2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Kraftstoff'!$O$46:$U$46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7-438E-8A2B-83998B479070}"/>
            </c:ext>
          </c:extLst>
        </c:ser>
        <c:ser>
          <c:idx val="4"/>
          <c:order val="1"/>
          <c:tx>
            <c:strRef>
              <c:f>'Verkehr - EE im Kraftstoff'!$M$48</c:f>
              <c:strCache>
                <c:ptCount val="1"/>
                <c:pt idx="0">
                  <c:v>Pyr H2</c:v>
                </c:pt>
              </c:strCache>
            </c:strRef>
          </c:tx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Kraftstoff'!$O$48:$U$48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7-438E-8A2B-83998B479070}"/>
            </c:ext>
          </c:extLst>
        </c:ser>
        <c:ser>
          <c:idx val="0"/>
          <c:order val="2"/>
          <c:tx>
            <c:strRef>
              <c:f>'Verkehr - EE im Kraftstoff'!$M$47</c:f>
              <c:strCache>
                <c:ptCount val="1"/>
                <c:pt idx="0">
                  <c:v>Ref H2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Kraftstoff'!$O$47:$U$47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97-438E-8A2B-83998B479070}"/>
            </c:ext>
          </c:extLst>
        </c:ser>
        <c:ser>
          <c:idx val="3"/>
          <c:order val="3"/>
          <c:tx>
            <c:strRef>
              <c:f>'Verkehr - EE im Kraftstoff'!$M$45</c:f>
              <c:strCache>
                <c:ptCount val="1"/>
                <c:pt idx="0">
                  <c:v>El H2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Kraftstoff'!$O$45:$U$45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97-438E-8A2B-83998B479070}"/>
            </c:ext>
          </c:extLst>
        </c:ser>
        <c:ser>
          <c:idx val="2"/>
          <c:order val="4"/>
          <c:tx>
            <c:strRef>
              <c:f>'Verkehr - EE im Kraftstoff'!$M$44</c:f>
              <c:strCache>
                <c:ptCount val="1"/>
                <c:pt idx="0">
                  <c:v>Import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accent2"/>
              </a:bgClr>
            </a:pattFill>
            <a:ln>
              <a:noFill/>
            </a:ln>
            <a:effectLst/>
          </c:spPr>
          <c:invertIfNegative val="0"/>
          <c:cat>
            <c:numRef>
              <c:f>'Verkehr - EE im Kraftstoff'!$O$43:$U$43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'Verkehr - EE im Kraftstoff'!$O$44:$U$44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97-438E-8A2B-83998B479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702272"/>
        <c:axId val="419822912"/>
      </c:barChart>
      <c:catAx>
        <c:axId val="41970227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822912"/>
        <c:crosses val="autoZero"/>
        <c:auto val="1"/>
        <c:lblAlgn val="ctr"/>
        <c:lblOffset val="100"/>
        <c:noMultiLvlLbl val="0"/>
      </c:catAx>
      <c:valAx>
        <c:axId val="4198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Wasserstoff </a:t>
                </a:r>
                <a:r>
                  <a:rPr lang="en-US" sz="1600" b="1" i="0" baseline="0">
                    <a:effectLst/>
                  </a:rPr>
                  <a:t>in TWh</a:t>
                </a:r>
                <a:endParaRPr lang="de-DE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19702272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Cropland Utilization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863222793485514"/>
          <c:y val="0.17195518323367473"/>
          <c:w val="0.79195276141081905"/>
          <c:h val="0.53085903735717255"/>
        </c:manualLayout>
      </c:layout>
      <c:areaChart>
        <c:grouping val="stacked"/>
        <c:varyColors val="0"/>
        <c:ser>
          <c:idx val="0"/>
          <c:order val="0"/>
          <c:tx>
            <c:strRef>
              <c:f>Energycrops!$C$4</c:f>
              <c:strCache>
                <c:ptCount val="1"/>
                <c:pt idx="0">
                  <c:v>KUP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80A-94E8-68725346E861}"/>
            </c:ext>
          </c:extLst>
        </c:ser>
        <c:ser>
          <c:idx val="1"/>
          <c:order val="1"/>
          <c:tx>
            <c:strRef>
              <c:f>Energycrops!$C$5</c:f>
              <c:strCache>
                <c:ptCount val="1"/>
                <c:pt idx="0">
                  <c:v>Cornsilage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5F-480A-94E8-68725346E861}"/>
            </c:ext>
          </c:extLst>
        </c:ser>
        <c:ser>
          <c:idx val="2"/>
          <c:order val="2"/>
          <c:tx>
            <c:strRef>
              <c:f>Energycrops!$C$6</c:f>
              <c:strCache>
                <c:ptCount val="1"/>
                <c:pt idx="0">
                  <c:v>Rapeoil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5F-480A-94E8-68725346E861}"/>
            </c:ext>
          </c:extLst>
        </c:ser>
        <c:ser>
          <c:idx val="3"/>
          <c:order val="3"/>
          <c:tx>
            <c:strRef>
              <c:f>Energycrops!$C$7</c:f>
              <c:strCache>
                <c:ptCount val="1"/>
                <c:pt idx="0">
                  <c:v>SugarBeet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5F-480A-94E8-68725346E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10624"/>
        <c:axId val="420962880"/>
      </c:areaChart>
      <c:lineChart>
        <c:grouping val="standard"/>
        <c:varyColors val="0"/>
        <c:ser>
          <c:idx val="4"/>
          <c:order val="4"/>
          <c:tx>
            <c:strRef>
              <c:f>Energycrops!$C$15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Energycrops!$E$15:$K$15</c:f>
              <c:numCache>
                <c:formatCode>General</c:formatCode>
                <c:ptCount val="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5F-480A-94E8-68725346E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210624"/>
        <c:axId val="420962880"/>
      </c:lineChart>
      <c:catAx>
        <c:axId val="421210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62880"/>
        <c:crosses val="autoZero"/>
        <c:auto val="1"/>
        <c:lblAlgn val="ctr"/>
        <c:lblOffset val="100"/>
        <c:noMultiLvlLbl val="0"/>
      </c:catAx>
      <c:valAx>
        <c:axId val="4209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Land Utilization [Tkm²]</a:t>
                </a:r>
              </a:p>
            </c:rich>
          </c:tx>
          <c:layout>
            <c:manualLayout>
              <c:xMode val="edge"/>
              <c:yMode val="edge"/>
              <c:x val="2.4010474548037619E-2"/>
              <c:y val="0.171955266553622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10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132432634033278E-2"/>
          <c:y val="0.90475697116807763"/>
          <c:w val="0.95167432240447114"/>
          <c:h val="9.5243028831922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Grassland Utilization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424573807224747"/>
          <c:y val="0.16899042230805417"/>
          <c:w val="0.79634787895597614"/>
          <c:h val="0.53894771935265129"/>
        </c:manualLayout>
      </c:layout>
      <c:areaChart>
        <c:grouping val="stacked"/>
        <c:varyColors val="0"/>
        <c:ser>
          <c:idx val="0"/>
          <c:order val="0"/>
          <c:tx>
            <c:strRef>
              <c:f>Energycrops!$C$11</c:f>
              <c:strCache>
                <c:ptCount val="1"/>
                <c:pt idx="0">
                  <c:v>KUP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3C-434B-AFAB-B9A644D4A236}"/>
            </c:ext>
          </c:extLst>
        </c:ser>
        <c:ser>
          <c:idx val="1"/>
          <c:order val="1"/>
          <c:tx>
            <c:strRef>
              <c:f>Energycrops!$C$12</c:f>
              <c:strCache>
                <c:ptCount val="1"/>
                <c:pt idx="0">
                  <c:v>Grasssilage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Energycrops!$E$12:$K$12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3C-434B-AFAB-B9A644D4A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28224"/>
        <c:axId val="420965184"/>
      </c:areaChart>
      <c:lineChart>
        <c:grouping val="standard"/>
        <c:varyColors val="0"/>
        <c:ser>
          <c:idx val="2"/>
          <c:order val="2"/>
          <c:tx>
            <c:strRef>
              <c:f>Energycrops!$C$16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Energycrops!$E$16:$K$16</c:f>
              <c:numCache>
                <c:formatCode>General</c:formatCode>
                <c:ptCount val="7"/>
                <c:pt idx="0">
                  <c:v>7.82</c:v>
                </c:pt>
                <c:pt idx="1">
                  <c:v>12.92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3C-434B-AFAB-B9A644D4A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28224"/>
        <c:axId val="420965184"/>
      </c:lineChart>
      <c:catAx>
        <c:axId val="419828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65184"/>
        <c:crosses val="autoZero"/>
        <c:auto val="1"/>
        <c:lblAlgn val="ctr"/>
        <c:lblOffset val="100"/>
        <c:noMultiLvlLbl val="0"/>
      </c:catAx>
      <c:valAx>
        <c:axId val="42096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Land Utilization [Tkm²]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28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642823510003197"/>
          <c:y val="0.9063991014313737"/>
          <c:w val="0.53087363424835976"/>
          <c:h val="9.3600898568626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Ackerlandnutzung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863222793485514"/>
          <c:y val="0.17195518323367473"/>
          <c:w val="0.79195276141081905"/>
          <c:h val="0.53085903735717255"/>
        </c:manualLayout>
      </c:layout>
      <c:areaChart>
        <c:grouping val="stacked"/>
        <c:varyColors val="0"/>
        <c:ser>
          <c:idx val="0"/>
          <c:order val="0"/>
          <c:tx>
            <c:strRef>
              <c:f>Energycrops!$B$4</c:f>
              <c:strCache>
                <c:ptCount val="1"/>
                <c:pt idx="0">
                  <c:v>KUP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B-427E-8947-7AFA68C75D15}"/>
            </c:ext>
          </c:extLst>
        </c:ser>
        <c:ser>
          <c:idx val="1"/>
          <c:order val="1"/>
          <c:tx>
            <c:strRef>
              <c:f>Energycrops!$B$5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B-427E-8947-7AFA68C75D15}"/>
            </c:ext>
          </c:extLst>
        </c:ser>
        <c:ser>
          <c:idx val="2"/>
          <c:order val="2"/>
          <c:tx>
            <c:strRef>
              <c:f>Energycrops!$B$6</c:f>
              <c:strCache>
                <c:ptCount val="1"/>
                <c:pt idx="0">
                  <c:v>Rapsöl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B-427E-8947-7AFA68C75D15}"/>
            </c:ext>
          </c:extLst>
        </c:ser>
        <c:ser>
          <c:idx val="3"/>
          <c:order val="3"/>
          <c:tx>
            <c:strRef>
              <c:f>Energycrops!$B$7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B-427E-8947-7AFA68C75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29760"/>
        <c:axId val="420967488"/>
      </c:areaChart>
      <c:lineChart>
        <c:grouping val="standard"/>
        <c:varyColors val="0"/>
        <c:ser>
          <c:idx val="4"/>
          <c:order val="4"/>
          <c:tx>
            <c:strRef>
              <c:f>Energycrops!$C$15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Energycrops!$E$15:$K$15</c:f>
              <c:numCache>
                <c:formatCode>General</c:formatCode>
                <c:ptCount val="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B-427E-8947-7AFA68C75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29760"/>
        <c:axId val="420967488"/>
      </c:lineChart>
      <c:catAx>
        <c:axId val="419829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67488"/>
        <c:crosses val="autoZero"/>
        <c:auto val="1"/>
        <c:lblAlgn val="ctr"/>
        <c:lblOffset val="100"/>
        <c:noMultiLvlLbl val="0"/>
      </c:catAx>
      <c:valAx>
        <c:axId val="4209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Landnutzung[Tkm²]</a:t>
                </a:r>
              </a:p>
            </c:rich>
          </c:tx>
          <c:layout>
            <c:manualLayout>
              <c:xMode val="edge"/>
              <c:yMode val="edge"/>
              <c:x val="2.4010474548037619E-2"/>
              <c:y val="0.171955266553622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2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132432634033278E-2"/>
          <c:y val="0.90475697116807763"/>
          <c:w val="0.95167432240447114"/>
          <c:h val="9.5243028831922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Graslandnutzung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424573807224747"/>
          <c:y val="0.16899042230805417"/>
          <c:w val="0.79634787895597614"/>
          <c:h val="0.53894771935265129"/>
        </c:manualLayout>
      </c:layout>
      <c:areaChart>
        <c:grouping val="stacked"/>
        <c:varyColors val="0"/>
        <c:ser>
          <c:idx val="0"/>
          <c:order val="0"/>
          <c:tx>
            <c:strRef>
              <c:f>Energycrops!$B$11</c:f>
              <c:strCache>
                <c:ptCount val="1"/>
                <c:pt idx="0">
                  <c:v>KUP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5-45AD-88E3-90E90049776D}"/>
            </c:ext>
          </c:extLst>
        </c:ser>
        <c:ser>
          <c:idx val="1"/>
          <c:order val="1"/>
          <c:tx>
            <c:strRef>
              <c:f>Energycrops!$B$12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Energycrops!$E$3:$K$3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Energycrops!$E$12:$K$12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35-45AD-88E3-90E90049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31296"/>
        <c:axId val="420969792"/>
      </c:areaChart>
      <c:lineChart>
        <c:grouping val="standard"/>
        <c:varyColors val="0"/>
        <c:ser>
          <c:idx val="2"/>
          <c:order val="2"/>
          <c:tx>
            <c:strRef>
              <c:f>Energycrops!$C$16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Energycrops!$E$16:$K$16</c:f>
              <c:numCache>
                <c:formatCode>General</c:formatCode>
                <c:ptCount val="7"/>
                <c:pt idx="0">
                  <c:v>7.82</c:v>
                </c:pt>
                <c:pt idx="1">
                  <c:v>12.92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35-45AD-88E3-90E90049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31296"/>
        <c:axId val="420969792"/>
      </c:lineChart>
      <c:catAx>
        <c:axId val="4198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69792"/>
        <c:crosses val="autoZero"/>
        <c:auto val="1"/>
        <c:lblAlgn val="ctr"/>
        <c:lblOffset val="100"/>
        <c:noMultiLvlLbl val="0"/>
      </c:catAx>
      <c:valAx>
        <c:axId val="4209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Landnutzung [Tkm²]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3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642823510003197"/>
          <c:y val="0.9063991014313737"/>
          <c:w val="0.53087363424835976"/>
          <c:h val="9.3600898568626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Straw Source Utilization</a:t>
            </a:r>
          </a:p>
        </c:rich>
      </c:tx>
      <c:layout>
        <c:manualLayout>
          <c:xMode val="edge"/>
          <c:yMode val="edge"/>
          <c:x val="0.28847663337384838"/>
          <c:y val="1.770833333333333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768095263259874"/>
          <c:y val="0.16147294261347525"/>
          <c:w val="0.76260987510789335"/>
          <c:h val="0.64269071400797118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'Straw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Conversion'!$E$3:$K$3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4-41C3-AA1D-AE3228FD1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546496"/>
        <c:axId val="421594816"/>
      </c:areaChart>
      <c:catAx>
        <c:axId val="42154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94816"/>
        <c:crosses val="autoZero"/>
        <c:auto val="1"/>
        <c:lblAlgn val="ctr"/>
        <c:lblOffset val="100"/>
        <c:noMultiLvlLbl val="0"/>
      </c:catAx>
      <c:valAx>
        <c:axId val="42159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Straw Source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4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Straw Conversion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86717049816009"/>
          <c:y val="0.16608597944864736"/>
          <c:w val="0.50442879031482324"/>
          <c:h val="0.62080324109813068"/>
        </c:manualLayout>
      </c:layout>
      <c:areaChart>
        <c:grouping val="stacked"/>
        <c:varyColors val="0"/>
        <c:ser>
          <c:idx val="0"/>
          <c:order val="0"/>
          <c:tx>
            <c:strRef>
              <c:f>'Straw Conversion'!$C$10</c:f>
              <c:strCache>
                <c:ptCount val="1"/>
                <c:pt idx="0">
                  <c:v>CHP_LS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Conversion'!$E$10:$K$10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4-4950-ACF9-D2C1A5E9F7C4}"/>
            </c:ext>
          </c:extLst>
        </c:ser>
        <c:ser>
          <c:idx val="1"/>
          <c:order val="1"/>
          <c:tx>
            <c:strRef>
              <c:f>'Straw Conversion'!$C$11</c:f>
              <c:strCache>
                <c:ptCount val="1"/>
                <c:pt idx="0">
                  <c:v>CHP_MS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D4-4950-ACF9-D2C1A5E9F7C4}"/>
            </c:ext>
          </c:extLst>
        </c:ser>
        <c:ser>
          <c:idx val="2"/>
          <c:order val="2"/>
          <c:tx>
            <c:strRef>
              <c:f>'Straw Conversion'!$C$12</c:f>
              <c:strCache>
                <c:ptCount val="1"/>
                <c:pt idx="0">
                  <c:v>CHP_SS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Conversion'!$E$12:$K$12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D4-4950-ACF9-D2C1A5E9F7C4}"/>
            </c:ext>
          </c:extLst>
        </c:ser>
        <c:ser>
          <c:idx val="3"/>
          <c:order val="3"/>
          <c:tx>
            <c:strRef>
              <c:f>'Straw Conversion'!$C$13</c:f>
              <c:strCache>
                <c:ptCount val="1"/>
                <c:pt idx="0">
                  <c:v>Gasification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Conversion'!$E$13:$K$13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D4-4950-ACF9-D2C1A5E9F7C4}"/>
            </c:ext>
          </c:extLst>
        </c:ser>
        <c:ser>
          <c:idx val="4"/>
          <c:order val="4"/>
          <c:tx>
            <c:strRef>
              <c:f>'Straw Conversion'!$C$14</c:f>
              <c:strCache>
                <c:ptCount val="1"/>
                <c:pt idx="0">
                  <c:v>HP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Conversion'!$E$14:$K$14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D4-4950-ACF9-D2C1A5E9F7C4}"/>
            </c:ext>
          </c:extLst>
        </c:ser>
        <c:ser>
          <c:idx val="5"/>
          <c:order val="5"/>
          <c:tx>
            <c:strRef>
              <c:f>'Straw Conversion'!$C$15</c:f>
              <c:strCache>
                <c:ptCount val="1"/>
                <c:pt idx="0">
                  <c:v>Pyrolysis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Conversion'!$E$15:$K$15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D4-4950-ACF9-D2C1A5E9F7C4}"/>
            </c:ext>
          </c:extLst>
        </c:ser>
        <c:ser>
          <c:idx val="6"/>
          <c:order val="6"/>
          <c:tx>
            <c:strRef>
              <c:f>'Straw Conversion'!$C$16</c:f>
              <c:strCache>
                <c:ptCount val="1"/>
                <c:pt idx="0">
                  <c:v>Methanization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Conversion'!$E$16:$K$16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D4-4950-ACF9-D2C1A5E9F7C4}"/>
            </c:ext>
          </c:extLst>
        </c:ser>
        <c:ser>
          <c:idx val="7"/>
          <c:order val="7"/>
          <c:tx>
            <c:strRef>
              <c:f>'Straw Conversion'!$C$17</c:f>
              <c:strCache>
                <c:ptCount val="1"/>
                <c:pt idx="0">
                  <c:v>StrawtoFuel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Conversion'!$E$17:$K$17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D4-4950-ACF9-D2C1A5E9F7C4}"/>
            </c:ext>
          </c:extLst>
        </c:ser>
        <c:ser>
          <c:idx val="8"/>
          <c:order val="8"/>
          <c:tx>
            <c:strRef>
              <c:f>'Straw Conversion'!$C$18</c:f>
              <c:strCache>
                <c:ptCount val="1"/>
                <c:pt idx="0">
                  <c:v>Torrefaction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Conversion'!$E$18:$K$18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D4-4950-ACF9-D2C1A5E9F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91904"/>
        <c:axId val="421596544"/>
      </c:areaChart>
      <c:catAx>
        <c:axId val="42169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96544"/>
        <c:crosses val="autoZero"/>
        <c:auto val="1"/>
        <c:lblAlgn val="ctr"/>
        <c:lblOffset val="100"/>
        <c:noMultiLvlLbl val="0"/>
      </c:catAx>
      <c:valAx>
        <c:axId val="4215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Straw Conversion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91904"/>
        <c:crosses val="autoZero"/>
        <c:crossBetween val="midCat"/>
        <c:majorUnit val="25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300064586167553"/>
          <c:y val="0.12974143137965494"/>
          <c:w val="0.30336037020241585"/>
          <c:h val="0.69538925312160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Workload Straw Source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700612423447076"/>
          <c:y val="0.16911854768153978"/>
          <c:w val="0.42821019247594061"/>
          <c:h val="0.71368365412656765"/>
        </c:manualLayout>
      </c:layout>
      <c:pieChart>
        <c:varyColors val="1"/>
        <c:ser>
          <c:idx val="0"/>
          <c:order val="0"/>
          <c:tx>
            <c:strRef>
              <c:f>'Straw Conversion'!$K$2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1D2-4C26-B940-EF6DA9D709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D2-4C26-B940-EF6DA9D709B6}"/>
              </c:ext>
            </c:extLst>
          </c:dPt>
          <c:dLbls>
            <c:dLbl>
              <c:idx val="0"/>
              <c:layout>
                <c:manualLayout>
                  <c:x val="-9.0551181102362252E-2"/>
                  <c:y val="-0.2027612175551711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1D2-4C26-B940-EF6DA9D709B6}"/>
                </c:ext>
              </c:extLst>
            </c:dLbl>
            <c:dLbl>
              <c:idx val="1"/>
              <c:layout>
                <c:manualLayout>
                  <c:x val="6.4747035930853417E-2"/>
                  <c:y val="0.1293480816556855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1D2-4C26-B940-EF6DA9D709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'Straw Conversion'!$C$5:$C$6</c:f>
              <c:strCache>
                <c:ptCount val="2"/>
                <c:pt idx="0">
                  <c:v>Utilized</c:v>
                </c:pt>
                <c:pt idx="1">
                  <c:v>Unused</c:v>
                </c:pt>
              </c:strCache>
            </c:strRef>
          </c:cat>
          <c:val>
            <c:numRef>
              <c:f>'Straw Conversion'!$K$5:$K$6</c:f>
              <c:numCache>
                <c:formatCode>0.0%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D2-4C26-B940-EF6DA9D70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Nutzung</a:t>
            </a:r>
            <a:r>
              <a:rPr lang="en-US" sz="1800" b="1" baseline="0"/>
              <a:t> des Strohpotenzials</a:t>
            </a:r>
            <a:endParaRPr lang="en-US" sz="1800" b="1"/>
          </a:p>
        </c:rich>
      </c:tx>
      <c:layout>
        <c:manualLayout>
          <c:xMode val="edge"/>
          <c:yMode val="edge"/>
          <c:x val="0.28847663337384838"/>
          <c:y val="1.770833333333333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768095263259874"/>
          <c:y val="0.16147294261347525"/>
          <c:w val="0.76260987510789335"/>
          <c:h val="0.64269071400797118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'Straw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Conversion'!$E$3:$K$3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3-4DD5-A56A-DB3A56D8E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94976"/>
        <c:axId val="421600000"/>
      </c:areaChart>
      <c:catAx>
        <c:axId val="42169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00000"/>
        <c:crosses val="autoZero"/>
        <c:auto val="1"/>
        <c:lblAlgn val="ctr"/>
        <c:lblOffset val="100"/>
        <c:noMultiLvlLbl val="0"/>
      </c:catAx>
      <c:valAx>
        <c:axId val="4216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Strohpotenzial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9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Allokation des Strohpotenzials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386717049816009"/>
          <c:y val="0.16608597944864736"/>
          <c:w val="0.50442879031482324"/>
          <c:h val="0.62080324109813068"/>
        </c:manualLayout>
      </c:layout>
      <c:areaChart>
        <c:grouping val="stacked"/>
        <c:varyColors val="0"/>
        <c:ser>
          <c:idx val="0"/>
          <c:order val="0"/>
          <c:tx>
            <c:strRef>
              <c:f>'Straw Conversion'!$B$10</c:f>
              <c:strCache>
                <c:ptCount val="1"/>
                <c:pt idx="0">
                  <c:v>gr. KWK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Conversion'!$E$10:$K$10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3-44CC-B16F-66D1C177E226}"/>
            </c:ext>
          </c:extLst>
        </c:ser>
        <c:ser>
          <c:idx val="1"/>
          <c:order val="1"/>
          <c:tx>
            <c:strRef>
              <c:f>'Straw Conversion'!$B$11</c:f>
              <c:strCache>
                <c:ptCount val="1"/>
                <c:pt idx="0">
                  <c:v>m. KWK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F3-44CC-B16F-66D1C177E226}"/>
            </c:ext>
          </c:extLst>
        </c:ser>
        <c:ser>
          <c:idx val="2"/>
          <c:order val="2"/>
          <c:tx>
            <c:strRef>
              <c:f>'Straw Conversion'!$B$12</c:f>
              <c:strCache>
                <c:ptCount val="1"/>
                <c:pt idx="0">
                  <c:v>kl. KWK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Conversion'!$E$12:$K$12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F3-44CC-B16F-66D1C177E226}"/>
            </c:ext>
          </c:extLst>
        </c:ser>
        <c:ser>
          <c:idx val="3"/>
          <c:order val="3"/>
          <c:tx>
            <c:strRef>
              <c:f>'Straw Conversion'!$B$13</c:f>
              <c:strCache>
                <c:ptCount val="1"/>
                <c:pt idx="0">
                  <c:v>Vergasung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Conversion'!$E$13:$K$13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F3-44CC-B16F-66D1C177E226}"/>
            </c:ext>
          </c:extLst>
        </c:ser>
        <c:ser>
          <c:idx val="4"/>
          <c:order val="4"/>
          <c:tx>
            <c:strRef>
              <c:f>'Straw Conversion'!$B$14</c:f>
              <c:strCache>
                <c:ptCount val="1"/>
                <c:pt idx="0">
                  <c:v>Heizwerk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Conversion'!$E$14:$K$14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F3-44CC-B16F-66D1C177E226}"/>
            </c:ext>
          </c:extLst>
        </c:ser>
        <c:ser>
          <c:idx val="5"/>
          <c:order val="5"/>
          <c:tx>
            <c:strRef>
              <c:f>'Straw Conversion'!$B$15</c:f>
              <c:strCache>
                <c:ptCount val="1"/>
                <c:pt idx="0">
                  <c:v>Pyrolyse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Conversion'!$E$15:$K$15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F3-44CC-B16F-66D1C177E226}"/>
            </c:ext>
          </c:extLst>
        </c:ser>
        <c:ser>
          <c:idx val="6"/>
          <c:order val="6"/>
          <c:tx>
            <c:strRef>
              <c:f>'Straw Conversion'!$B$16</c:f>
              <c:strCache>
                <c:ptCount val="1"/>
                <c:pt idx="0">
                  <c:v>Methanisierung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Conversion'!$E$16:$K$16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F3-44CC-B16F-66D1C177E226}"/>
            </c:ext>
          </c:extLst>
        </c:ser>
        <c:ser>
          <c:idx val="7"/>
          <c:order val="7"/>
          <c:tx>
            <c:strRef>
              <c:f>'Straw Conversion'!$B$17</c:f>
              <c:strCache>
                <c:ptCount val="1"/>
                <c:pt idx="0">
                  <c:v>FT-Synthese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Conversion'!$E$17:$K$17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F3-44CC-B16F-66D1C177E226}"/>
            </c:ext>
          </c:extLst>
        </c:ser>
        <c:ser>
          <c:idx val="8"/>
          <c:order val="8"/>
          <c:tx>
            <c:strRef>
              <c:f>'Straw Conversion'!$B$18</c:f>
              <c:strCache>
                <c:ptCount val="1"/>
                <c:pt idx="0">
                  <c:v>Torrefizierung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'Straw Conversion'!$E$9:$K$9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'Straw Conversion'!$E$18:$K$18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F3-44CC-B16F-66D1C177E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283264"/>
        <c:axId val="421954112"/>
      </c:areaChart>
      <c:catAx>
        <c:axId val="422283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54112"/>
        <c:crosses val="autoZero"/>
        <c:auto val="1"/>
        <c:lblAlgn val="ctr"/>
        <c:lblOffset val="100"/>
        <c:noMultiLvlLbl val="0"/>
      </c:catAx>
      <c:valAx>
        <c:axId val="4219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Strohallokation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83264"/>
        <c:crosses val="autoZero"/>
        <c:crossBetween val="midCat"/>
        <c:majorUnit val="25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300064586167553"/>
          <c:y val="0.12974143137965494"/>
          <c:w val="0.30336037020241585"/>
          <c:h val="0.69538925312160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Ausnutzung des Strohpotenzials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700612423447076"/>
          <c:y val="0.16911854768153978"/>
          <c:w val="0.42821019247594061"/>
          <c:h val="0.71368365412656765"/>
        </c:manualLayout>
      </c:layout>
      <c:pieChart>
        <c:varyColors val="1"/>
        <c:ser>
          <c:idx val="0"/>
          <c:order val="0"/>
          <c:tx>
            <c:strRef>
              <c:f>'Straw Conversion'!$K$2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F9-4813-A9EF-3EF6A75FBA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F9-4813-A9EF-3EF6A75FBACF}"/>
              </c:ext>
            </c:extLst>
          </c:dPt>
          <c:dLbls>
            <c:dLbl>
              <c:idx val="0"/>
              <c:layout>
                <c:manualLayout>
                  <c:x val="-8.3209500805224046E-2"/>
                  <c:y val="-0.224252239129209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F9-4813-A9EF-3EF6A75FBACF}"/>
                </c:ext>
              </c:extLst>
            </c:dLbl>
            <c:dLbl>
              <c:idx val="1"/>
              <c:layout>
                <c:manualLayout>
                  <c:x val="4.9850628622018694E-2"/>
                  <c:y val="0.1393533448244148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F9-4813-A9EF-3EF6A75FBA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'Straw Conversion'!$B$5:$B$6</c:f>
              <c:strCache>
                <c:ptCount val="2"/>
                <c:pt idx="0">
                  <c:v>Genutzt</c:v>
                </c:pt>
                <c:pt idx="1">
                  <c:v>Ungenutzt</c:v>
                </c:pt>
              </c:strCache>
            </c:strRef>
          </c:cat>
          <c:val>
            <c:numRef>
              <c:f>'Straw Conversion'!$K$5:$K$6</c:f>
              <c:numCache>
                <c:formatCode>0.0%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9-4813-A9EF-3EF6A75FB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74873140857393"/>
          <c:y val="0.86882108486439191"/>
          <c:w val="0.44724737532808406"/>
          <c:h val="0.11729002624671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Wood Conversion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117723240799281"/>
          <c:y val="0.16164209444145891"/>
          <c:w val="0.62229636763030516"/>
          <c:h val="0.63878922169904639"/>
        </c:manualLayout>
      </c:layout>
      <c:areaChart>
        <c:grouping val="stacked"/>
        <c:varyColors val="0"/>
        <c:ser>
          <c:idx val="0"/>
          <c:order val="0"/>
          <c:tx>
            <c:strRef>
              <c:f>'Wood Conversion'!$C$22</c:f>
              <c:strCache>
                <c:ptCount val="1"/>
                <c:pt idx="0">
                  <c:v>Gasification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Conversion'!$E$22:$K$22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B-4C0F-8723-2B9AC6C21939}"/>
            </c:ext>
          </c:extLst>
        </c:ser>
        <c:ser>
          <c:idx val="1"/>
          <c:order val="1"/>
          <c:tx>
            <c:strRef>
              <c:f>'Wood Conversion'!$C$23</c:f>
              <c:strCache>
                <c:ptCount val="1"/>
                <c:pt idx="0">
                  <c:v>Pelletization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Conversion'!$E$23:$K$23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B-4C0F-8723-2B9AC6C21939}"/>
            </c:ext>
          </c:extLst>
        </c:ser>
        <c:ser>
          <c:idx val="2"/>
          <c:order val="2"/>
          <c:tx>
            <c:strRef>
              <c:f>'Wood Conversion'!$C$24</c:f>
              <c:strCache>
                <c:ptCount val="1"/>
                <c:pt idx="0">
                  <c:v>Pyrolysis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Conversion'!$E$24:$K$24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B-4C0F-8723-2B9AC6C21939}"/>
            </c:ext>
          </c:extLst>
        </c:ser>
        <c:ser>
          <c:idx val="3"/>
          <c:order val="3"/>
          <c:tx>
            <c:strRef>
              <c:f>'Wood Conversion'!$C$25</c:f>
              <c:strCache>
                <c:ptCount val="1"/>
                <c:pt idx="0">
                  <c:v>Stove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Conversion'!$E$25:$K$25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6B-4C0F-8723-2B9AC6C21939}"/>
            </c:ext>
          </c:extLst>
        </c:ser>
        <c:ser>
          <c:idx val="4"/>
          <c:order val="4"/>
          <c:tx>
            <c:strRef>
              <c:f>'Wood Conversion'!$C$26</c:f>
              <c:strCache>
                <c:ptCount val="1"/>
                <c:pt idx="0">
                  <c:v>Methanization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Conversion'!$E$26:$K$26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96B-4C0F-8723-2B9AC6C21939}"/>
            </c:ext>
          </c:extLst>
        </c:ser>
        <c:ser>
          <c:idx val="5"/>
          <c:order val="5"/>
          <c:tx>
            <c:strRef>
              <c:f>'Wood Conversion'!$C$27</c:f>
              <c:strCache>
                <c:ptCount val="1"/>
                <c:pt idx="0">
                  <c:v>WoodtoFuel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Conversion'!$E$27:$K$27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96B-4C0F-8723-2B9AC6C21939}"/>
            </c:ext>
          </c:extLst>
        </c:ser>
        <c:ser>
          <c:idx val="6"/>
          <c:order val="6"/>
          <c:tx>
            <c:strRef>
              <c:f>'Wood Conversion'!$C$28</c:f>
              <c:strCache>
                <c:ptCount val="1"/>
                <c:pt idx="0">
                  <c:v>Torrefaction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Conversion'!$E$28:$K$28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96B-4C0F-8723-2B9AC6C21939}"/>
            </c:ext>
          </c:extLst>
        </c:ser>
        <c:ser>
          <c:idx val="7"/>
          <c:order val="7"/>
          <c:tx>
            <c:strRef>
              <c:f>'Wood Conversion'!$C$29</c:f>
              <c:strCache>
                <c:ptCount val="1"/>
                <c:pt idx="0">
                  <c:v>PP-CCS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Conversion'!$E$29:$K$29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96B-4C0F-8723-2B9AC6C21939}"/>
            </c:ext>
          </c:extLst>
        </c:ser>
        <c:ser>
          <c:idx val="8"/>
          <c:order val="8"/>
          <c:tx>
            <c:strRef>
              <c:f>'Wood Conversion'!$C$30</c:f>
              <c:strCache>
                <c:ptCount val="1"/>
                <c:pt idx="0">
                  <c:v>CHP_LS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Conversion'!$E$30:$K$30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96B-4C0F-8723-2B9AC6C21939}"/>
            </c:ext>
          </c:extLst>
        </c:ser>
        <c:ser>
          <c:idx val="9"/>
          <c:order val="9"/>
          <c:tx>
            <c:strRef>
              <c:f>'Wood Conversion'!$C$31</c:f>
              <c:strCache>
                <c:ptCount val="1"/>
                <c:pt idx="0">
                  <c:v>CHP_MS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Conversion'!$E$31:$K$31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96B-4C0F-8723-2B9AC6C21939}"/>
            </c:ext>
          </c:extLst>
        </c:ser>
        <c:ser>
          <c:idx val="10"/>
          <c:order val="10"/>
          <c:tx>
            <c:strRef>
              <c:f>'Wood Conversion'!$C$32</c:f>
              <c:strCache>
                <c:ptCount val="1"/>
                <c:pt idx="0">
                  <c:v>CHP_SS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Conversion'!$E$32:$K$32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96B-4C0F-8723-2B9AC6C21939}"/>
            </c:ext>
          </c:extLst>
        </c:ser>
        <c:ser>
          <c:idx val="11"/>
          <c:order val="11"/>
          <c:tx>
            <c:strRef>
              <c:f>'Wood Conversion'!$C$33</c:f>
              <c:strCache>
                <c:ptCount val="1"/>
                <c:pt idx="0">
                  <c:v>HP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Conversion'!$E$33:$K$33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96B-4C0F-8723-2B9AC6C21939}"/>
            </c:ext>
          </c:extLst>
        </c:ser>
        <c:ser>
          <c:idx val="12"/>
          <c:order val="12"/>
          <c:tx>
            <c:strRef>
              <c:f>'Wood Conversion'!$C$34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Conversion'!$E$34:$K$34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96B-4C0F-8723-2B9AC6C21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94464"/>
        <c:axId val="421957568"/>
      </c:areaChart>
      <c:catAx>
        <c:axId val="421694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57568"/>
        <c:crosses val="autoZero"/>
        <c:auto val="1"/>
        <c:lblAlgn val="ctr"/>
        <c:lblOffset val="100"/>
        <c:noMultiLvlLbl val="0"/>
      </c:catAx>
      <c:valAx>
        <c:axId val="42195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Wood Conversion [GWh]</a:t>
                </a:r>
              </a:p>
            </c:rich>
          </c:tx>
          <c:layout>
            <c:manualLayout>
              <c:xMode val="edge"/>
              <c:yMode val="edge"/>
              <c:x val="1.2789768185451638E-2"/>
              <c:y val="0.18174257112333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94464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357339325390077"/>
          <c:y val="0.12205726796713225"/>
          <c:w val="0.18443361845956305"/>
          <c:h val="0.77021854680225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Wood Source Utilization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117723240799281"/>
          <c:y val="0.16164209444145891"/>
          <c:w val="0.63348741479257542"/>
          <c:h val="0.63878922169904639"/>
        </c:manualLayout>
      </c:layout>
      <c:areaChart>
        <c:grouping val="stacked"/>
        <c:varyColors val="0"/>
        <c:ser>
          <c:idx val="0"/>
          <c:order val="0"/>
          <c:tx>
            <c:strRef>
              <c:f>'Wood Conversion'!$C$3</c:f>
              <c:strCache>
                <c:ptCount val="1"/>
                <c:pt idx="0">
                  <c:v>IWR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Conversion'!$E$3:$K$3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7-41CA-AD5A-F5409EC6D77F}"/>
            </c:ext>
          </c:extLst>
        </c:ser>
        <c:ser>
          <c:idx val="1"/>
          <c:order val="1"/>
          <c:tx>
            <c:strRef>
              <c:f>'Wood Conversion'!$C$4</c:f>
              <c:strCache>
                <c:ptCount val="1"/>
                <c:pt idx="0">
                  <c:v>Forresty Wood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F7-41CA-AD5A-F5409EC6D77F}"/>
            </c:ext>
          </c:extLst>
        </c:ser>
        <c:ser>
          <c:idx val="2"/>
          <c:order val="2"/>
          <c:tx>
            <c:strRef>
              <c:f>'Wood Conversion'!$C$5</c:f>
              <c:strCache>
                <c:ptCount val="1"/>
                <c:pt idx="0">
                  <c:v>Waste Wood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F7-41CA-AD5A-F5409EC6D77F}"/>
            </c:ext>
          </c:extLst>
        </c:ser>
        <c:ser>
          <c:idx val="3"/>
          <c:order val="3"/>
          <c:tx>
            <c:strRef>
              <c:f>'Wood Conversion'!$C$6</c:f>
              <c:strCache>
                <c:ptCount val="1"/>
                <c:pt idx="0">
                  <c:v>KUP (Cropland)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F7-41CA-AD5A-F5409EC6D77F}"/>
            </c:ext>
          </c:extLst>
        </c:ser>
        <c:ser>
          <c:idx val="4"/>
          <c:order val="4"/>
          <c:tx>
            <c:strRef>
              <c:f>'Wood Conversion'!$C$7</c:f>
              <c:strCache>
                <c:ptCount val="1"/>
                <c:pt idx="0">
                  <c:v>KUP (Grassland)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F7-41CA-AD5A-F5409EC6D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478400"/>
        <c:axId val="421961024"/>
      </c:areaChart>
      <c:catAx>
        <c:axId val="421478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61024"/>
        <c:crosses val="autoZero"/>
        <c:auto val="1"/>
        <c:lblAlgn val="ctr"/>
        <c:lblOffset val="100"/>
        <c:noMultiLvlLbl val="0"/>
      </c:catAx>
      <c:valAx>
        <c:axId val="4219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Wood Source [GWh]</a:t>
                </a:r>
              </a:p>
            </c:rich>
          </c:tx>
          <c:layout>
            <c:manualLayout>
              <c:xMode val="edge"/>
              <c:yMode val="edge"/>
              <c:x val="1.2789768185451638E-2"/>
              <c:y val="0.18174257112333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78400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918490404526776"/>
          <c:y val="0.34036110725454027"/>
          <c:w val="0.19882210766819616"/>
          <c:h val="0.3268936974817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Workload IWR Source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700612423447076"/>
          <c:y val="0.16911854768153978"/>
          <c:w val="0.42821019247594061"/>
          <c:h val="0.71368365412656765"/>
        </c:manualLayout>
      </c:layout>
      <c:pieChart>
        <c:varyColors val="1"/>
        <c:ser>
          <c:idx val="0"/>
          <c:order val="0"/>
          <c:tx>
            <c:strRef>
              <c:f>'Wood Conversion'!$K$2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3F-402F-9BB0-56A469130A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3F-402F-9BB0-56A469130A03}"/>
              </c:ext>
            </c:extLst>
          </c:dPt>
          <c:dLbls>
            <c:dLbl>
              <c:idx val="0"/>
              <c:layout>
                <c:manualLayout>
                  <c:x val="0.11099372326165652"/>
                  <c:y val="-0.254629629629629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3F-402F-9BB0-56A469130A03}"/>
                </c:ext>
              </c:extLst>
            </c:dLbl>
            <c:dLbl>
              <c:idx val="1"/>
              <c:layout>
                <c:manualLayout>
                  <c:x val="4.5493309895896041E-2"/>
                  <c:y val="3.00707203266258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3F-402F-9BB0-56A469130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'Wood Conversion'!$C$15:$C$16</c:f>
              <c:strCache>
                <c:ptCount val="2"/>
                <c:pt idx="0">
                  <c:v>Utilized</c:v>
                </c:pt>
                <c:pt idx="1">
                  <c:v>Unused</c:v>
                </c:pt>
              </c:strCache>
            </c:strRef>
          </c:cat>
          <c:val>
            <c:numRef>
              <c:f>'Wood Conversion'!$K$15:$K$16</c:f>
              <c:numCache>
                <c:formatCode>0.0%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3F-402F-9BB0-56A469130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8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729357798165138"/>
          <c:y val="0.88270997375328086"/>
          <c:w val="0.44724737532808406"/>
          <c:h val="0.11729002624671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Workload Forresty Wood Source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700612423447076"/>
          <c:y val="0.16911854768153978"/>
          <c:w val="0.42821019247594061"/>
          <c:h val="0.71368365412656765"/>
        </c:manualLayout>
      </c:layout>
      <c:pieChart>
        <c:varyColors val="1"/>
        <c:ser>
          <c:idx val="0"/>
          <c:order val="0"/>
          <c:tx>
            <c:strRef>
              <c:f>'Wood Conversion'!$K$2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C6-4387-994A-9E71037292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C6-4387-994A-9E710372925E}"/>
              </c:ext>
            </c:extLst>
          </c:dPt>
          <c:dLbls>
            <c:dLbl>
              <c:idx val="0"/>
              <c:layout>
                <c:manualLayout>
                  <c:x val="0.11099372326165652"/>
                  <c:y val="-0.254629629629629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C6-4387-994A-9E710372925E}"/>
                </c:ext>
              </c:extLst>
            </c:dLbl>
            <c:dLbl>
              <c:idx val="1"/>
              <c:layout>
                <c:manualLayout>
                  <c:x val="4.5493309895896041E-2"/>
                  <c:y val="3.00707203266258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C6-4387-994A-9E71037292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'Wood Conversion'!$C$18:$C$19</c:f>
              <c:strCache>
                <c:ptCount val="2"/>
                <c:pt idx="0">
                  <c:v>Utilized</c:v>
                </c:pt>
                <c:pt idx="1">
                  <c:v>Unused</c:v>
                </c:pt>
              </c:strCache>
            </c:strRef>
          </c:cat>
          <c:val>
            <c:numRef>
              <c:f>'Wood Conversion'!$K$18:$K$19</c:f>
              <c:numCache>
                <c:formatCode>0.0%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C6-4387-994A-9E7103729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8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729357798165138"/>
          <c:y val="0.88270997375328086"/>
          <c:w val="0.44724737532808406"/>
          <c:h val="0.11729002624671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Workload</a:t>
            </a:r>
            <a:r>
              <a:rPr lang="de-DE" sz="1800" b="1" baseline="0"/>
              <a:t> IWR Source 2013 - 2050</a:t>
            </a:r>
            <a:endParaRPr lang="de-DE" sz="18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456496062992127"/>
          <c:y val="0.21175962379702537"/>
          <c:w val="0.71982392825896768"/>
          <c:h val="0.502514581510644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Conversion'!$E$15:$K$15</c:f>
              <c:numCache>
                <c:formatCode>0.0%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1-4AF5-9176-F70BD4175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480448"/>
        <c:axId val="412200896"/>
      </c:areaChart>
      <c:catAx>
        <c:axId val="42148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0896"/>
        <c:crosses val="autoZero"/>
        <c:auto val="1"/>
        <c:lblAlgn val="ctr"/>
        <c:lblOffset val="100"/>
        <c:noMultiLvlLbl val="0"/>
      </c:catAx>
      <c:valAx>
        <c:axId val="4122008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Workload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0448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Workload </a:t>
            </a:r>
            <a:r>
              <a:rPr lang="de-DE" sz="1800" b="1" baseline="0"/>
              <a:t>Forresty Wood Source 2013 - 2050</a:t>
            </a:r>
            <a:endParaRPr lang="de-DE" sz="18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456496062992127"/>
          <c:y val="0.21175962379702537"/>
          <c:w val="0.71982392825896768"/>
          <c:h val="0.502514581510644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Conversion'!$E$18:$K$18</c:f>
              <c:numCache>
                <c:formatCode>0.0%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C-4DE7-9A17-18001BEC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481472"/>
        <c:axId val="412202624"/>
      </c:areaChart>
      <c:catAx>
        <c:axId val="421481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2624"/>
        <c:crosses val="autoZero"/>
        <c:auto val="1"/>
        <c:lblAlgn val="ctr"/>
        <c:lblOffset val="100"/>
        <c:noMultiLvlLbl val="0"/>
      </c:catAx>
      <c:valAx>
        <c:axId val="41220262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Workload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147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Nutzung des Holzpotenzials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117723240799281"/>
          <c:y val="0.16164209444145891"/>
          <c:w val="0.63348741479257542"/>
          <c:h val="0.63878922169904639"/>
        </c:manualLayout>
      </c:layout>
      <c:areaChart>
        <c:grouping val="stacked"/>
        <c:varyColors val="0"/>
        <c:ser>
          <c:idx val="0"/>
          <c:order val="0"/>
          <c:tx>
            <c:strRef>
              <c:f>'Wood Conversion'!$B$3</c:f>
              <c:strCache>
                <c:ptCount val="1"/>
                <c:pt idx="0">
                  <c:v>Industrierestholz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Conversion'!$E$3:$K$3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8-4946-AE53-3FECD64B3799}"/>
            </c:ext>
          </c:extLst>
        </c:ser>
        <c:ser>
          <c:idx val="1"/>
          <c:order val="1"/>
          <c:tx>
            <c:strRef>
              <c:f>'Wood Conversion'!$B$4</c:f>
              <c:strCache>
                <c:ptCount val="1"/>
                <c:pt idx="0">
                  <c:v>Waldrestholz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18-4946-AE53-3FECD64B3799}"/>
            </c:ext>
          </c:extLst>
        </c:ser>
        <c:ser>
          <c:idx val="2"/>
          <c:order val="2"/>
          <c:tx>
            <c:strRef>
              <c:f>'Wood Conversion'!$B$5</c:f>
              <c:strCache>
                <c:ptCount val="1"/>
                <c:pt idx="0">
                  <c:v>Altholz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18-4946-AE53-3FECD64B3799}"/>
            </c:ext>
          </c:extLst>
        </c:ser>
        <c:ser>
          <c:idx val="3"/>
          <c:order val="3"/>
          <c:tx>
            <c:strRef>
              <c:f>'Wood Conversion'!$B$6</c:f>
              <c:strCache>
                <c:ptCount val="1"/>
                <c:pt idx="0">
                  <c:v>KUP (Ackerland)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18-4946-AE53-3FECD64B3799}"/>
            </c:ext>
          </c:extLst>
        </c:ser>
        <c:ser>
          <c:idx val="4"/>
          <c:order val="4"/>
          <c:tx>
            <c:strRef>
              <c:f>'Wood Conversion'!$B$7</c:f>
              <c:strCache>
                <c:ptCount val="1"/>
                <c:pt idx="0">
                  <c:v>KUP (Grasland)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18-4946-AE53-3FECD64B3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481984"/>
        <c:axId val="412204352"/>
      </c:areaChart>
      <c:catAx>
        <c:axId val="42148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04352"/>
        <c:crosses val="autoZero"/>
        <c:auto val="1"/>
        <c:lblAlgn val="ctr"/>
        <c:lblOffset val="100"/>
        <c:noMultiLvlLbl val="0"/>
      </c:catAx>
      <c:valAx>
        <c:axId val="4122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Holzpotenzial</a:t>
                </a:r>
                <a:r>
                  <a:rPr lang="en-US" sz="1600" b="1" baseline="0"/>
                  <a:t> </a:t>
                </a:r>
                <a:r>
                  <a:rPr lang="en-US" sz="1600" b="1"/>
                  <a:t>[GWh]</a:t>
                </a:r>
              </a:p>
            </c:rich>
          </c:tx>
          <c:layout>
            <c:manualLayout>
              <c:xMode val="edge"/>
              <c:yMode val="edge"/>
              <c:x val="1.2789768185451638E-2"/>
              <c:y val="0.18174257112333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1984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09026931679725"/>
          <c:y val="0.34036110725454027"/>
          <c:w val="0.22191679850642226"/>
          <c:h val="0.3268936974817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Allokation des Holzpotenzials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117723240799281"/>
          <c:y val="0.16164209444145891"/>
          <c:w val="0.62229636763030516"/>
          <c:h val="0.63878922169904639"/>
        </c:manualLayout>
      </c:layout>
      <c:areaChart>
        <c:grouping val="stacked"/>
        <c:varyColors val="0"/>
        <c:ser>
          <c:idx val="0"/>
          <c:order val="0"/>
          <c:tx>
            <c:strRef>
              <c:f>'Wood Conversion'!$B$22</c:f>
              <c:strCache>
                <c:ptCount val="1"/>
                <c:pt idx="0">
                  <c:v>Vergasung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Conversion'!$E$22:$K$22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6-4AB8-B745-64AB26D79AD2}"/>
            </c:ext>
          </c:extLst>
        </c:ser>
        <c:ser>
          <c:idx val="1"/>
          <c:order val="1"/>
          <c:tx>
            <c:strRef>
              <c:f>'Wood Conversion'!$B$23</c:f>
              <c:strCache>
                <c:ptCount val="1"/>
                <c:pt idx="0">
                  <c:v>Pelletierung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Conversion'!$E$23:$K$23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E6-4AB8-B745-64AB26D79AD2}"/>
            </c:ext>
          </c:extLst>
        </c:ser>
        <c:ser>
          <c:idx val="2"/>
          <c:order val="2"/>
          <c:tx>
            <c:strRef>
              <c:f>'Wood Conversion'!$B$24</c:f>
              <c:strCache>
                <c:ptCount val="1"/>
                <c:pt idx="0">
                  <c:v>Pyrolyse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Conversion'!$E$24:$K$24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E6-4AB8-B745-64AB26D79AD2}"/>
            </c:ext>
          </c:extLst>
        </c:ser>
        <c:ser>
          <c:idx val="3"/>
          <c:order val="3"/>
          <c:tx>
            <c:strRef>
              <c:f>'Wood Conversion'!$B$25</c:f>
              <c:strCache>
                <c:ptCount val="1"/>
                <c:pt idx="0">
                  <c:v>Kaminofen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Conversion'!$E$25:$K$25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E6-4AB8-B745-64AB26D79AD2}"/>
            </c:ext>
          </c:extLst>
        </c:ser>
        <c:ser>
          <c:idx val="4"/>
          <c:order val="4"/>
          <c:tx>
            <c:strRef>
              <c:f>'Wood Conversion'!$B$26</c:f>
              <c:strCache>
                <c:ptCount val="1"/>
                <c:pt idx="0">
                  <c:v>Methanisierung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Conversion'!$E$26:$K$26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E6-4AB8-B745-64AB26D79AD2}"/>
            </c:ext>
          </c:extLst>
        </c:ser>
        <c:ser>
          <c:idx val="5"/>
          <c:order val="5"/>
          <c:tx>
            <c:strRef>
              <c:f>'Wood Conversion'!$B$27</c:f>
              <c:strCache>
                <c:ptCount val="1"/>
                <c:pt idx="0">
                  <c:v>FT-Synthese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Conversion'!$E$27:$K$27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E6-4AB8-B745-64AB26D79AD2}"/>
            </c:ext>
          </c:extLst>
        </c:ser>
        <c:ser>
          <c:idx val="6"/>
          <c:order val="6"/>
          <c:tx>
            <c:strRef>
              <c:f>'Wood Conversion'!$B$28</c:f>
              <c:strCache>
                <c:ptCount val="1"/>
                <c:pt idx="0">
                  <c:v>Torrefizierung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Conversion'!$E$28:$K$28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E6-4AB8-B745-64AB26D79AD2}"/>
            </c:ext>
          </c:extLst>
        </c:ser>
        <c:ser>
          <c:idx val="7"/>
          <c:order val="7"/>
          <c:tx>
            <c:strRef>
              <c:f>'Wood Conversion'!$B$29</c:f>
              <c:strCache>
                <c:ptCount val="1"/>
                <c:pt idx="0">
                  <c:v>CC-Kraftwerk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Conversion'!$E$29:$K$29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E6-4AB8-B745-64AB26D79AD2}"/>
            </c:ext>
          </c:extLst>
        </c:ser>
        <c:ser>
          <c:idx val="8"/>
          <c:order val="8"/>
          <c:tx>
            <c:strRef>
              <c:f>'Wood Conversion'!$B$30</c:f>
              <c:strCache>
                <c:ptCount val="1"/>
                <c:pt idx="0">
                  <c:v>gr. KWK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Conversion'!$E$30:$K$30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E6-4AB8-B745-64AB26D79AD2}"/>
            </c:ext>
          </c:extLst>
        </c:ser>
        <c:ser>
          <c:idx val="9"/>
          <c:order val="9"/>
          <c:tx>
            <c:strRef>
              <c:f>'Wood Conversion'!$B$31</c:f>
              <c:strCache>
                <c:ptCount val="1"/>
                <c:pt idx="0">
                  <c:v>m. KWK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Conversion'!$E$31:$K$31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E6-4AB8-B745-64AB26D79AD2}"/>
            </c:ext>
          </c:extLst>
        </c:ser>
        <c:ser>
          <c:idx val="10"/>
          <c:order val="10"/>
          <c:tx>
            <c:strRef>
              <c:f>'Wood Conversion'!$B$32</c:f>
              <c:strCache>
                <c:ptCount val="1"/>
                <c:pt idx="0">
                  <c:v>kl. KWK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Conversion'!$E$32:$K$32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E6-4AB8-B745-64AB26D79AD2}"/>
            </c:ext>
          </c:extLst>
        </c:ser>
        <c:ser>
          <c:idx val="11"/>
          <c:order val="11"/>
          <c:tx>
            <c:strRef>
              <c:f>'Wood Conversion'!$B$33</c:f>
              <c:strCache>
                <c:ptCount val="1"/>
                <c:pt idx="0">
                  <c:v>Heizwerk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Conversion'!$E$33:$K$33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FE6-4AB8-B745-64AB26D79AD2}"/>
            </c:ext>
          </c:extLst>
        </c:ser>
        <c:ser>
          <c:idx val="12"/>
          <c:order val="12"/>
          <c:tx>
            <c:strRef>
              <c:f>'Wood Conversion'!$B$34</c:f>
              <c:strCache>
                <c:ptCount val="1"/>
                <c:pt idx="0">
                  <c:v>Kraftwerk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'Wood Conversion'!$E$21:$K$21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Conversion'!$E$34:$K$34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FE6-4AB8-B745-64AB26D79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67968"/>
        <c:axId val="422782656"/>
      </c:areaChart>
      <c:catAx>
        <c:axId val="422867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82656"/>
        <c:crosses val="autoZero"/>
        <c:auto val="1"/>
        <c:lblAlgn val="ctr"/>
        <c:lblOffset val="100"/>
        <c:noMultiLvlLbl val="0"/>
      </c:catAx>
      <c:valAx>
        <c:axId val="42278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Holzallokation [GWh]</a:t>
                </a:r>
              </a:p>
            </c:rich>
          </c:tx>
          <c:layout>
            <c:manualLayout>
              <c:xMode val="edge"/>
              <c:yMode val="edge"/>
              <c:x val="1.2789768185451638E-2"/>
              <c:y val="0.18174257112333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67968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432010086499016"/>
          <c:y val="9.0676649205460202E-2"/>
          <c:w val="0.21368684572627036"/>
          <c:h val="0.77021854680225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Ausnutzung des IWR-Potenzials 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700612423447076"/>
          <c:y val="0.16911854768153978"/>
          <c:w val="0.42821019247594061"/>
          <c:h val="0.71368365412656765"/>
        </c:manualLayout>
      </c:layout>
      <c:pieChart>
        <c:varyColors val="1"/>
        <c:ser>
          <c:idx val="0"/>
          <c:order val="0"/>
          <c:tx>
            <c:strRef>
              <c:f>'Wood Conversion'!$K$2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3CA-46E3-BB75-5812CA987C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CA-46E3-BB75-5812CA987CD2}"/>
              </c:ext>
            </c:extLst>
          </c:dPt>
          <c:dLbls>
            <c:dLbl>
              <c:idx val="0"/>
              <c:layout>
                <c:manualLayout>
                  <c:x val="0.11099372326165652"/>
                  <c:y val="-0.254629629629629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CA-46E3-BB75-5812CA987CD2}"/>
                </c:ext>
              </c:extLst>
            </c:dLbl>
            <c:dLbl>
              <c:idx val="1"/>
              <c:layout>
                <c:manualLayout>
                  <c:x val="4.5493309895896041E-2"/>
                  <c:y val="3.00707203266258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CA-46E3-BB75-5812CA987C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'Wood Conversion'!$B$15:$B$16</c:f>
              <c:strCache>
                <c:ptCount val="2"/>
                <c:pt idx="0">
                  <c:v>Genutzt</c:v>
                </c:pt>
                <c:pt idx="1">
                  <c:v>Ungenutzt</c:v>
                </c:pt>
              </c:strCache>
            </c:strRef>
          </c:cat>
          <c:val>
            <c:numRef>
              <c:f>'Wood Conversion'!$K$15:$K$16</c:f>
              <c:numCache>
                <c:formatCode>0.0%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CA-46E3-BB75-5812CA98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8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729357798165138"/>
          <c:y val="0.88270997375328086"/>
          <c:w val="0.44724737532808406"/>
          <c:h val="0.11729002624671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Ausnutzung des Waldholzpotenzials</a:t>
            </a:r>
            <a:r>
              <a:rPr lang="en-US" sz="1800" b="1" baseline="0"/>
              <a:t> </a:t>
            </a:r>
            <a:r>
              <a:rPr lang="en-US" sz="1800" b="1"/>
              <a:t>2050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700612423447076"/>
          <c:y val="0.16911854768153978"/>
          <c:w val="0.42821019247594061"/>
          <c:h val="0.71368365412656765"/>
        </c:manualLayout>
      </c:layout>
      <c:pieChart>
        <c:varyColors val="1"/>
        <c:ser>
          <c:idx val="0"/>
          <c:order val="0"/>
          <c:tx>
            <c:strRef>
              <c:f>'Wood Conversion'!$K$2</c:f>
              <c:strCache>
                <c:ptCount val="1"/>
                <c:pt idx="0">
                  <c:v>2050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BF-4250-824B-36C6286E85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BF-4250-824B-36C6286E85F9}"/>
              </c:ext>
            </c:extLst>
          </c:dPt>
          <c:dLbls>
            <c:dLbl>
              <c:idx val="0"/>
              <c:layout>
                <c:manualLayout>
                  <c:x val="0.11099372326165652"/>
                  <c:y val="-0.254629629629629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BF-4250-824B-36C6286E85F9}"/>
                </c:ext>
              </c:extLst>
            </c:dLbl>
            <c:dLbl>
              <c:idx val="1"/>
              <c:layout>
                <c:manualLayout>
                  <c:x val="4.5493309895896041E-2"/>
                  <c:y val="3.00707203266258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BF-4250-824B-36C6286E8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'Wood Conversion'!$B$18:$B$19</c:f>
              <c:strCache>
                <c:ptCount val="2"/>
                <c:pt idx="0">
                  <c:v>Genutzt</c:v>
                </c:pt>
                <c:pt idx="1">
                  <c:v>Ungenutzt</c:v>
                </c:pt>
              </c:strCache>
            </c:strRef>
          </c:cat>
          <c:val>
            <c:numRef>
              <c:f>'Wood Conversion'!$K$18:$K$19</c:f>
              <c:numCache>
                <c:formatCode>0.0%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BF-4250-824B-36C6286E8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8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729357798165138"/>
          <c:y val="0.88270997375328086"/>
          <c:w val="0.44724737532808406"/>
          <c:h val="0.11729002624671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Ausnutzung des IWR-Potenzials </a:t>
            </a:r>
            <a:r>
              <a:rPr lang="de-DE" sz="1800" b="1" baseline="0"/>
              <a:t>2013 - 2050</a:t>
            </a:r>
            <a:endParaRPr lang="de-DE" sz="18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456496062992127"/>
          <c:y val="0.21175962379702537"/>
          <c:w val="0.71982392825896768"/>
          <c:h val="0.502514581510644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Conversion'!$E$15:$K$15</c:f>
              <c:numCache>
                <c:formatCode>0.0%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19-4825-8E34-A8C14D2AD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14624"/>
        <c:axId val="422788416"/>
      </c:areaChart>
      <c:catAx>
        <c:axId val="42351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88416"/>
        <c:crosses val="autoZero"/>
        <c:auto val="1"/>
        <c:lblAlgn val="ctr"/>
        <c:lblOffset val="100"/>
        <c:noMultiLvlLbl val="0"/>
      </c:catAx>
      <c:valAx>
        <c:axId val="4227884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Ausnutzung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14624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Ausnutzung des Waldholzpotenzials</a:t>
            </a:r>
            <a:r>
              <a:rPr lang="de-DE" sz="1800" b="1" baseline="0"/>
              <a:t> 2013 - 2050</a:t>
            </a:r>
            <a:endParaRPr lang="de-DE" sz="18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456496062992127"/>
          <c:y val="0.21175962379702537"/>
          <c:w val="0.71982392825896768"/>
          <c:h val="0.502514581510644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'Wood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'Wood Conversion'!$E$18:$K$18</c:f>
              <c:numCache>
                <c:formatCode>0.0%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3-43B3-82ED-0DEF08B05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15648"/>
        <c:axId val="423953536"/>
      </c:areaChart>
      <c:catAx>
        <c:axId val="423515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53536"/>
        <c:crosses val="autoZero"/>
        <c:auto val="1"/>
        <c:lblAlgn val="ctr"/>
        <c:lblOffset val="100"/>
        <c:noMultiLvlLbl val="0"/>
      </c:catAx>
      <c:valAx>
        <c:axId val="4239535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Ausnutzung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15648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Biogas Conversion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838156794277367"/>
          <c:y val="0.16557260129717827"/>
          <c:w val="0.61015489803862621"/>
          <c:h val="0.63739582101786818"/>
        </c:manualLayout>
      </c:layout>
      <c:areaChart>
        <c:grouping val="stacked"/>
        <c:varyColors val="0"/>
        <c:ser>
          <c:idx val="0"/>
          <c:order val="0"/>
          <c:tx>
            <c:strRef>
              <c:f>'Biogas Conversion'!$C$11</c:f>
              <c:strCache>
                <c:ptCount val="1"/>
                <c:pt idx="0">
                  <c:v>BiogasCHP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'Biogas Conversion'!$E$10:$K$10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E-4AE6-83EF-61BD7BCDD854}"/>
            </c:ext>
          </c:extLst>
        </c:ser>
        <c:ser>
          <c:idx val="1"/>
          <c:order val="1"/>
          <c:tx>
            <c:strRef>
              <c:f>'Biogas Conversion'!$C$12</c:f>
              <c:strCache>
                <c:ptCount val="1"/>
                <c:pt idx="0">
                  <c:v>Methanization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'Biogas Conversion'!$E$10:$K$10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Conversion'!$E$12:$K$12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0E-4AE6-83EF-61BD7BCDD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70016"/>
        <c:axId val="423955264"/>
      </c:areaChart>
      <c:catAx>
        <c:axId val="42287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55264"/>
        <c:crosses val="autoZero"/>
        <c:auto val="1"/>
        <c:lblAlgn val="ctr"/>
        <c:lblOffset val="100"/>
        <c:noMultiLvlLbl val="0"/>
      </c:catAx>
      <c:valAx>
        <c:axId val="4239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 b="1"/>
                  <a:t>Biogas Conversion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7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309530141331462"/>
          <c:y val="0.41910984531188922"/>
          <c:w val="0.2252239835659309"/>
          <c:h val="0.167516294505739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Biogas Source Utilization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117723240799281"/>
          <c:y val="0.16164209444145891"/>
          <c:w val="0.64689372952468538"/>
          <c:h val="0.61868859864327042"/>
        </c:manualLayout>
      </c:layout>
      <c:areaChart>
        <c:grouping val="stacked"/>
        <c:varyColors val="0"/>
        <c:ser>
          <c:idx val="0"/>
          <c:order val="0"/>
          <c:tx>
            <c:strRef>
              <c:f>'Biogas Conversion'!$C$3</c:f>
              <c:strCache>
                <c:ptCount val="1"/>
                <c:pt idx="0">
                  <c:v>Slurry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'Biogas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Conversion'!$E$3:$K$3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4-4E1B-A1D7-126531A47C6A}"/>
            </c:ext>
          </c:extLst>
        </c:ser>
        <c:ser>
          <c:idx val="1"/>
          <c:order val="1"/>
          <c:tx>
            <c:strRef>
              <c:f>'Biogas Conversion'!$C$4</c:f>
              <c:strCache>
                <c:ptCount val="1"/>
                <c:pt idx="0">
                  <c:v>BioWaste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'Biogas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4-4E1B-A1D7-126531A47C6A}"/>
            </c:ext>
          </c:extLst>
        </c:ser>
        <c:ser>
          <c:idx val="2"/>
          <c:order val="2"/>
          <c:tx>
            <c:strRef>
              <c:f>'Biogas Conversion'!$C$5</c:f>
              <c:strCache>
                <c:ptCount val="1"/>
                <c:pt idx="0">
                  <c:v>Cornsilage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'Biogas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4-4E1B-A1D7-126531A47C6A}"/>
            </c:ext>
          </c:extLst>
        </c:ser>
        <c:ser>
          <c:idx val="3"/>
          <c:order val="3"/>
          <c:tx>
            <c:strRef>
              <c:f>'Biogas Conversion'!$C$6</c:f>
              <c:strCache>
                <c:ptCount val="1"/>
                <c:pt idx="0">
                  <c:v>Grasssilage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'Biogas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4-4E1B-A1D7-126531A47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8528"/>
        <c:axId val="423957568"/>
      </c:areaChart>
      <c:catAx>
        <c:axId val="423638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57568"/>
        <c:crosses val="autoZero"/>
        <c:auto val="1"/>
        <c:lblAlgn val="ctr"/>
        <c:lblOffset val="100"/>
        <c:noMultiLvlLbl val="0"/>
      </c:catAx>
      <c:valAx>
        <c:axId val="42395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Biogas Source [GWh]</a:t>
                </a:r>
              </a:p>
            </c:rich>
          </c:tx>
          <c:layout>
            <c:manualLayout>
              <c:xMode val="edge"/>
              <c:yMode val="edge"/>
              <c:x val="0"/>
              <c:y val="0.161642094441458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661352184991476"/>
          <c:y val="0.34986300302966578"/>
          <c:w val="0.18047443339655536"/>
          <c:h val="0.32562335958005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Allokation von Biogas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838156794277367"/>
          <c:y val="0.16557260129717827"/>
          <c:w val="0.61015489803862621"/>
          <c:h val="0.63739582101786818"/>
        </c:manualLayout>
      </c:layout>
      <c:areaChart>
        <c:grouping val="stacked"/>
        <c:varyColors val="0"/>
        <c:ser>
          <c:idx val="0"/>
          <c:order val="0"/>
          <c:tx>
            <c:strRef>
              <c:f>'Biogas Conversion'!$B$11</c:f>
              <c:strCache>
                <c:ptCount val="1"/>
                <c:pt idx="0">
                  <c:v>Biogas-BHKW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'Biogas Conversion'!$E$10:$K$10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Conversion'!$E$11:$K$11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5-4E8F-ACEE-BD9FF6E5EA76}"/>
            </c:ext>
          </c:extLst>
        </c:ser>
        <c:ser>
          <c:idx val="1"/>
          <c:order val="1"/>
          <c:tx>
            <c:strRef>
              <c:f>'Biogas Conversion'!$B$12</c:f>
              <c:strCache>
                <c:ptCount val="1"/>
                <c:pt idx="0">
                  <c:v>Methanisierung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'Biogas Conversion'!$E$10:$K$10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Conversion'!$E$12:$K$12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75-4E8F-ACEE-BD9FF6E5E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40064"/>
        <c:axId val="423959872"/>
      </c:areaChart>
      <c:catAx>
        <c:axId val="423640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59872"/>
        <c:crosses val="autoZero"/>
        <c:auto val="1"/>
        <c:lblAlgn val="ctr"/>
        <c:lblOffset val="100"/>
        <c:noMultiLvlLbl val="0"/>
      </c:catAx>
      <c:valAx>
        <c:axId val="42395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 b="1"/>
                  <a:t>Biogasallokation</a:t>
                </a:r>
                <a:r>
                  <a:rPr lang="de-DE" sz="1600" b="1" baseline="0"/>
                  <a:t> </a:t>
                </a:r>
                <a:r>
                  <a:rPr lang="de-DE" sz="1600" b="1"/>
                  <a:t>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4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309530141331462"/>
          <c:y val="0.41910984531188922"/>
          <c:w val="0.2252239835659309"/>
          <c:h val="0.167516294505739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Nutzung des Biogaspotenzials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117723240799281"/>
          <c:y val="0.16164209444145891"/>
          <c:w val="0.64689372952468538"/>
          <c:h val="0.61868859864327042"/>
        </c:manualLayout>
      </c:layout>
      <c:areaChart>
        <c:grouping val="stacked"/>
        <c:varyColors val="0"/>
        <c:ser>
          <c:idx val="0"/>
          <c:order val="0"/>
          <c:tx>
            <c:strRef>
              <c:f>'Biogas Conversion'!$B$3</c:f>
              <c:strCache>
                <c:ptCount val="1"/>
                <c:pt idx="0">
                  <c:v>Gülle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'Biogas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Conversion'!$E$3:$K$3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3-4548-96D9-9445D3BA6ECB}"/>
            </c:ext>
          </c:extLst>
        </c:ser>
        <c:ser>
          <c:idx val="1"/>
          <c:order val="1"/>
          <c:tx>
            <c:strRef>
              <c:f>'Biogas Conversion'!$B$4</c:f>
              <c:strCache>
                <c:ptCount val="1"/>
                <c:pt idx="0">
                  <c:v>Bioabfall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'Biogas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3-4548-96D9-9445D3BA6ECB}"/>
            </c:ext>
          </c:extLst>
        </c:ser>
        <c:ser>
          <c:idx val="2"/>
          <c:order val="2"/>
          <c:tx>
            <c:strRef>
              <c:f>'Biogas Conversion'!$B$5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'Biogas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3-4548-96D9-9445D3BA6ECB}"/>
            </c:ext>
          </c:extLst>
        </c:ser>
        <c:ser>
          <c:idx val="3"/>
          <c:order val="3"/>
          <c:tx>
            <c:strRef>
              <c:f>'Biogas Conversion'!$B$6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'Biogas Conversion'!$E$2:$K$2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'Biogas Conversion'!$E$6:$K$6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03-4548-96D9-9445D3BA6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40576"/>
        <c:axId val="424036032"/>
      </c:areaChart>
      <c:catAx>
        <c:axId val="42364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036032"/>
        <c:crosses val="autoZero"/>
        <c:auto val="1"/>
        <c:lblAlgn val="ctr"/>
        <c:lblOffset val="100"/>
        <c:noMultiLvlLbl val="0"/>
      </c:catAx>
      <c:valAx>
        <c:axId val="42403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Biogaspotenzial [GWh]</a:t>
                </a:r>
              </a:p>
            </c:rich>
          </c:tx>
          <c:layout>
            <c:manualLayout>
              <c:xMode val="edge"/>
              <c:yMode val="edge"/>
              <c:x val="0"/>
              <c:y val="0.1616420944414589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40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661352184991476"/>
          <c:y val="0.34986300302966578"/>
          <c:w val="0.18047443339655536"/>
          <c:h val="0.32562335958005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Biomass Fuel Production</a:t>
            </a:r>
          </a:p>
        </c:rich>
      </c:tx>
      <c:layout>
        <c:manualLayout>
          <c:xMode val="edge"/>
          <c:yMode val="edge"/>
          <c:x val="0.37161458333333336"/>
          <c:y val="2.90644868301544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223739070832706"/>
          <c:y val="0.14842884421463665"/>
          <c:w val="0.58852968219736879"/>
          <c:h val="0.67345906012429646"/>
        </c:manualLayout>
      </c:layout>
      <c:areaChart>
        <c:grouping val="stacked"/>
        <c:varyColors val="0"/>
        <c:ser>
          <c:idx val="0"/>
          <c:order val="0"/>
          <c:tx>
            <c:strRef>
              <c:f>'Biomasse - Produktion'!$C$53</c:f>
              <c:strCache>
                <c:ptCount val="1"/>
                <c:pt idx="0">
                  <c:v>Diesel (Straw)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Produktion'!$E$53:$K$53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9-4A55-9ED7-EB8BA65AE688}"/>
            </c:ext>
          </c:extLst>
        </c:ser>
        <c:ser>
          <c:idx val="1"/>
          <c:order val="1"/>
          <c:tx>
            <c:strRef>
              <c:f>'Biomasse - Produktion'!$C$54</c:f>
              <c:strCache>
                <c:ptCount val="1"/>
                <c:pt idx="0">
                  <c:v>Gasoline (Straw)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Produktion'!$E$54:$K$54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A9-4A55-9ED7-EB8BA65AE688}"/>
            </c:ext>
          </c:extLst>
        </c:ser>
        <c:ser>
          <c:idx val="2"/>
          <c:order val="2"/>
          <c:tx>
            <c:strRef>
              <c:f>'Biomasse - Produktion'!$C$55</c:f>
              <c:strCache>
                <c:ptCount val="1"/>
                <c:pt idx="0">
                  <c:v>Kerosene (Straw)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Produktion'!$E$55:$K$55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A9-4A55-9ED7-EB8BA65AE688}"/>
            </c:ext>
          </c:extLst>
        </c:ser>
        <c:ser>
          <c:idx val="3"/>
          <c:order val="3"/>
          <c:tx>
            <c:strRef>
              <c:f>'Biomasse - Produktion'!$C$56</c:f>
              <c:strCache>
                <c:ptCount val="1"/>
                <c:pt idx="0">
                  <c:v>Diesel (Wood)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Produktion'!$E$56:$K$56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A9-4A55-9ED7-EB8BA65AE688}"/>
            </c:ext>
          </c:extLst>
        </c:ser>
        <c:ser>
          <c:idx val="4"/>
          <c:order val="4"/>
          <c:tx>
            <c:strRef>
              <c:f>'Biomasse - Produktion'!$C$57</c:f>
              <c:strCache>
                <c:ptCount val="1"/>
                <c:pt idx="0">
                  <c:v>Gasoline (Wood)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Produktion'!$E$57:$K$57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A9-4A55-9ED7-EB8BA65AE688}"/>
            </c:ext>
          </c:extLst>
        </c:ser>
        <c:ser>
          <c:idx val="5"/>
          <c:order val="5"/>
          <c:tx>
            <c:strRef>
              <c:f>'Biomasse - Produktion'!$C$58</c:f>
              <c:strCache>
                <c:ptCount val="1"/>
                <c:pt idx="0">
                  <c:v>Kerosene (Wood)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Produktion'!$E$58:$K$58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A9-4A55-9ED7-EB8BA65AE688}"/>
            </c:ext>
          </c:extLst>
        </c:ser>
        <c:ser>
          <c:idx val="6"/>
          <c:order val="6"/>
          <c:tx>
            <c:strRef>
              <c:f>'Biomasse - Produktion'!$C$59</c:f>
              <c:strCache>
                <c:ptCount val="1"/>
                <c:pt idx="0">
                  <c:v>Diesel (Pyro)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Produktion'!$E$59:$K$59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A9-4A55-9ED7-EB8BA65AE688}"/>
            </c:ext>
          </c:extLst>
        </c:ser>
        <c:ser>
          <c:idx val="8"/>
          <c:order val="7"/>
          <c:tx>
            <c:strRef>
              <c:f>'Biomasse - Produktion'!$C$60</c:f>
              <c:strCache>
                <c:ptCount val="1"/>
                <c:pt idx="0">
                  <c:v>Kerosene (Pyro)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Produktion'!$E$60:$K$60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A9-4A55-9ED7-EB8BA65AE688}"/>
            </c:ext>
          </c:extLst>
        </c:ser>
        <c:ser>
          <c:idx val="9"/>
          <c:order val="8"/>
          <c:tx>
            <c:strRef>
              <c:f>'Biomasse - Produktion'!$C$61</c:f>
              <c:strCache>
                <c:ptCount val="1"/>
                <c:pt idx="0">
                  <c:v>LPG (Pyro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Produktion'!$E$61:$K$61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A9-4A55-9ED7-EB8BA65AE688}"/>
            </c:ext>
          </c:extLst>
        </c:ser>
        <c:ser>
          <c:idx val="10"/>
          <c:order val="9"/>
          <c:tx>
            <c:strRef>
              <c:f>'Biomasse - Produktion'!$C$62</c:f>
              <c:strCache>
                <c:ptCount val="1"/>
                <c:pt idx="0">
                  <c:v>Gasoline (Pyro)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Produktion'!$E$62:$K$62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A9-4A55-9ED7-EB8BA65AE688}"/>
            </c:ext>
          </c:extLst>
        </c:ser>
        <c:ser>
          <c:idx val="11"/>
          <c:order val="10"/>
          <c:tx>
            <c:strRef>
              <c:f>'Biomasse - Produktion'!$C$63</c:f>
              <c:strCache>
                <c:ptCount val="1"/>
                <c:pt idx="0">
                  <c:v>Diesel (Rape)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Produktion'!$E$63:$K$63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86E-8E38-8AF104A3FE60}"/>
            </c:ext>
          </c:extLst>
        </c:ser>
        <c:ser>
          <c:idx val="12"/>
          <c:order val="11"/>
          <c:tx>
            <c:strRef>
              <c:f>'Biomasse - Produktion'!$C$64</c:f>
              <c:strCache>
                <c:ptCount val="1"/>
                <c:pt idx="0">
                  <c:v>BioEthanol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Produktion'!$E$64:$K$64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3E-486E-8E38-8AF104A3F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91680"/>
        <c:axId val="424038336"/>
      </c:areaChart>
      <c:catAx>
        <c:axId val="42439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038336"/>
        <c:crosses val="autoZero"/>
        <c:auto val="1"/>
        <c:lblAlgn val="ctr"/>
        <c:lblOffset val="100"/>
        <c:noMultiLvlLbl val="0"/>
      </c:catAx>
      <c:valAx>
        <c:axId val="4240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Fuel Production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91680"/>
        <c:crosses val="autoZero"/>
        <c:crossBetween val="midCat"/>
        <c:majorUnit val="25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882264001438237"/>
          <c:y val="9.2122828908681481E-2"/>
          <c:w val="0.24706702288302934"/>
          <c:h val="0.889353502844505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Biomass Heat Production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14036745406824"/>
          <c:y val="0.14691805484113485"/>
          <c:w val="0.62972320717974761"/>
          <c:h val="0.68326382569013044"/>
        </c:manualLayout>
      </c:layout>
      <c:areaChart>
        <c:grouping val="stacked"/>
        <c:varyColors val="0"/>
        <c:ser>
          <c:idx val="0"/>
          <c:order val="0"/>
          <c:tx>
            <c:strRef>
              <c:f>'Biomasse - Produktion'!$N$21</c:f>
              <c:strCache>
                <c:ptCount val="1"/>
                <c:pt idx="0">
                  <c:v>BiogasCHP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Produktion'!$O$21:$U$21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8-4FB2-B95D-AA4331F405B2}"/>
            </c:ext>
          </c:extLst>
        </c:ser>
        <c:ser>
          <c:idx val="1"/>
          <c:order val="1"/>
          <c:tx>
            <c:strRef>
              <c:f>'Biomasse - Produktion'!$N$22</c:f>
              <c:strCache>
                <c:ptCount val="1"/>
                <c:pt idx="0">
                  <c:v>PelletBoiler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Produktion'!$O$22:$U$22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78-4FB2-B95D-AA4331F405B2}"/>
            </c:ext>
          </c:extLst>
        </c:ser>
        <c:ser>
          <c:idx val="2"/>
          <c:order val="2"/>
          <c:tx>
            <c:strRef>
              <c:f>'Biomasse - Produktion'!$N$23</c:f>
              <c:strCache>
                <c:ptCount val="1"/>
                <c:pt idx="0">
                  <c:v>PelletHP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Produktion'!$O$23:$U$23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78-4FB2-B95D-AA4331F405B2}"/>
            </c:ext>
          </c:extLst>
        </c:ser>
        <c:ser>
          <c:idx val="3"/>
          <c:order val="3"/>
          <c:tx>
            <c:strRef>
              <c:f>'Biomasse - Produktion'!$N$24</c:f>
              <c:strCache>
                <c:ptCount val="1"/>
                <c:pt idx="0">
                  <c:v>PelletMiniCHP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Produktion'!$O$24:$U$24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78-4FB2-B95D-AA4331F405B2}"/>
            </c:ext>
          </c:extLst>
        </c:ser>
        <c:ser>
          <c:idx val="4"/>
          <c:order val="4"/>
          <c:tx>
            <c:strRef>
              <c:f>'Biomasse - Produktion'!$N$25</c:f>
              <c:strCache>
                <c:ptCount val="1"/>
                <c:pt idx="0">
                  <c:v>StrawCHP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Produktion'!$O$25:$U$25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78-4FB2-B95D-AA4331F405B2}"/>
            </c:ext>
          </c:extLst>
        </c:ser>
        <c:ser>
          <c:idx val="5"/>
          <c:order val="5"/>
          <c:tx>
            <c:strRef>
              <c:f>'Biomasse - Produktion'!$N$26</c:f>
              <c:strCache>
                <c:ptCount val="1"/>
                <c:pt idx="0">
                  <c:v>StrawHP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Produktion'!$O$26:$U$26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78-4FB2-B95D-AA4331F405B2}"/>
            </c:ext>
          </c:extLst>
        </c:ser>
        <c:ser>
          <c:idx val="6"/>
          <c:order val="6"/>
          <c:tx>
            <c:strRef>
              <c:f>'Biomasse - Produktion'!$N$27</c:f>
              <c:strCache>
                <c:ptCount val="1"/>
                <c:pt idx="0">
                  <c:v>WoodCHP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Produktion'!$O$27:$U$27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78-4FB2-B95D-AA4331F405B2}"/>
            </c:ext>
          </c:extLst>
        </c:ser>
        <c:ser>
          <c:idx val="7"/>
          <c:order val="7"/>
          <c:tx>
            <c:strRef>
              <c:f>'Biomasse - Produktion'!$N$28</c:f>
              <c:strCache>
                <c:ptCount val="1"/>
                <c:pt idx="0">
                  <c:v>WoodHP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Produktion'!$O$28:$U$28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78-4FB2-B95D-AA4331F405B2}"/>
            </c:ext>
          </c:extLst>
        </c:ser>
        <c:ser>
          <c:idx val="8"/>
          <c:order val="8"/>
          <c:tx>
            <c:strRef>
              <c:f>'Biomasse - Produktion'!$N$29</c:f>
              <c:strCache>
                <c:ptCount val="1"/>
                <c:pt idx="0">
                  <c:v>WoodStove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Produktion'!$O$29:$U$29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78-4FB2-B95D-AA4331F405B2}"/>
            </c:ext>
          </c:extLst>
        </c:ser>
        <c:ser>
          <c:idx val="9"/>
          <c:order val="9"/>
          <c:tx>
            <c:strRef>
              <c:f>'Biomasse - Produktion'!$N$30</c:f>
              <c:strCache>
                <c:ptCount val="1"/>
                <c:pt idx="0">
                  <c:v>Furnaces</c:v>
                </c:pt>
              </c:strCache>
            </c:strRef>
          </c:tx>
          <c:spPr>
            <a:ln w="25400">
              <a:noFill/>
            </a:ln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Produktion'!$O$30:$U$30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0-4FE4-9075-725A9B564C81}"/>
            </c:ext>
          </c:extLst>
        </c:ser>
        <c:ser>
          <c:idx val="10"/>
          <c:order val="10"/>
          <c:tx>
            <c:strRef>
              <c:f>'Biomasse - Produktion'!$N$31</c:f>
              <c:strCache>
                <c:ptCount val="1"/>
                <c:pt idx="0">
                  <c:v>Biocoal</c:v>
                </c:pt>
              </c:strCache>
            </c:strRef>
          </c:tx>
          <c:spPr>
            <a:ln w="25400">
              <a:noFill/>
            </a:ln>
          </c:spPr>
          <c:val>
            <c:numRef>
              <c:f>'Biomasse - Produktion'!$O$31:$U$31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D-45ED-95E5-82D7C5D21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49504"/>
        <c:axId val="424041792"/>
      </c:areaChart>
      <c:catAx>
        <c:axId val="42254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041792"/>
        <c:crosses val="autoZero"/>
        <c:auto val="1"/>
        <c:lblAlgn val="ctr"/>
        <c:lblOffset val="100"/>
        <c:noMultiLvlLbl val="0"/>
      </c:catAx>
      <c:valAx>
        <c:axId val="4240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 b="1"/>
                  <a:t>Heat Production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4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286244518801474"/>
          <c:y val="0.17289884347108428"/>
          <c:w val="0.20713755481198523"/>
          <c:h val="0.792444269081072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Biomass Power Production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590591873690205"/>
          <c:y val="0.1496521588647573"/>
          <c:w val="0.64493818117696533"/>
          <c:h val="0.65552450174497423"/>
        </c:manualLayout>
      </c:layout>
      <c:areaChart>
        <c:grouping val="stacked"/>
        <c:varyColors val="0"/>
        <c:ser>
          <c:idx val="0"/>
          <c:order val="0"/>
          <c:tx>
            <c:strRef>
              <c:f>'Biomasse - Produktion'!$N$5</c:f>
              <c:strCache>
                <c:ptCount val="1"/>
                <c:pt idx="0">
                  <c:v>BiogasCHP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Produktion'!$O$5:$U$5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B-4771-AAEA-B064BED62AA9}"/>
            </c:ext>
          </c:extLst>
        </c:ser>
        <c:ser>
          <c:idx val="1"/>
          <c:order val="1"/>
          <c:tx>
            <c:strRef>
              <c:f>'Biomasse - Produktion'!$N$6</c:f>
              <c:strCache>
                <c:ptCount val="1"/>
                <c:pt idx="0">
                  <c:v>PelletMiniCHP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Produktion'!$O$6:$U$6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B-4771-AAEA-B064BED62AA9}"/>
            </c:ext>
          </c:extLst>
        </c:ser>
        <c:ser>
          <c:idx val="2"/>
          <c:order val="2"/>
          <c:tx>
            <c:strRef>
              <c:f>'Biomasse - Produktion'!$N$7</c:f>
              <c:strCache>
                <c:ptCount val="1"/>
                <c:pt idx="0">
                  <c:v>StrawCHP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Produktion'!$O$7:$U$7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5B-4771-AAEA-B064BED62AA9}"/>
            </c:ext>
          </c:extLst>
        </c:ser>
        <c:ser>
          <c:idx val="3"/>
          <c:order val="3"/>
          <c:tx>
            <c:strRef>
              <c:f>'Biomasse - Produktion'!$N$8</c:f>
              <c:strCache>
                <c:ptCount val="1"/>
                <c:pt idx="0">
                  <c:v>WoodCCS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Produktion'!$O$8:$U$8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B-4771-AAEA-B064BED62AA9}"/>
            </c:ext>
          </c:extLst>
        </c:ser>
        <c:ser>
          <c:idx val="4"/>
          <c:order val="4"/>
          <c:tx>
            <c:strRef>
              <c:f>'Biomasse - Produktion'!$N$9</c:f>
              <c:strCache>
                <c:ptCount val="1"/>
                <c:pt idx="0">
                  <c:v>WoodPP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Produktion'!$O$9:$U$9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5B-4771-AAEA-B064BED62AA9}"/>
            </c:ext>
          </c:extLst>
        </c:ser>
        <c:ser>
          <c:idx val="5"/>
          <c:order val="5"/>
          <c:tx>
            <c:strRef>
              <c:f>'Biomasse - Produktion'!$N$10</c:f>
              <c:strCache>
                <c:ptCount val="1"/>
                <c:pt idx="0">
                  <c:v>WoodCHP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Produktion'!$O$10:$U$10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5B-4771-AAEA-B064BED62AA9}"/>
            </c:ext>
          </c:extLst>
        </c:ser>
        <c:ser>
          <c:idx val="6"/>
          <c:order val="6"/>
          <c:tx>
            <c:strRef>
              <c:f>'Biomasse - Produktion'!$N$11</c:f>
              <c:strCache>
                <c:ptCount val="1"/>
                <c:pt idx="0">
                  <c:v>BM-to-Fuel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Produktion'!$O$11:$U$11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5B-4771-AAEA-B064BED62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48480"/>
        <c:axId val="424289984"/>
      </c:areaChart>
      <c:catAx>
        <c:axId val="42254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89984"/>
        <c:crosses val="autoZero"/>
        <c:auto val="1"/>
        <c:lblAlgn val="ctr"/>
        <c:lblOffset val="100"/>
        <c:noMultiLvlLbl val="0"/>
      </c:catAx>
      <c:valAx>
        <c:axId val="424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Power Production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4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577217576485115"/>
          <c:y val="0.27776816359493528"/>
          <c:w val="0.19915332288890242"/>
          <c:h val="0.46215857633180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Biomasse</a:t>
            </a:r>
            <a:r>
              <a:rPr lang="en-US" sz="1800" b="1" baseline="0"/>
              <a:t>konversion zu elektr. Energie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468788167139526"/>
          <c:y val="0.1496521588647573"/>
          <c:w val="0.56231565757048174"/>
          <c:h val="0.65552450174497423"/>
        </c:manualLayout>
      </c:layout>
      <c:areaChart>
        <c:grouping val="stacked"/>
        <c:varyColors val="0"/>
        <c:ser>
          <c:idx val="0"/>
          <c:order val="0"/>
          <c:tx>
            <c:strRef>
              <c:f>'Biomasse - Produktion'!$M$5</c:f>
              <c:strCache>
                <c:ptCount val="1"/>
                <c:pt idx="0">
                  <c:v>Biogas-BHKW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Produktion'!$O$5:$U$5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7-454F-8CD9-A391107AC8DB}"/>
            </c:ext>
          </c:extLst>
        </c:ser>
        <c:ser>
          <c:idx val="1"/>
          <c:order val="1"/>
          <c:tx>
            <c:strRef>
              <c:f>'Biomasse - Produktion'!$M$6</c:f>
              <c:strCache>
                <c:ptCount val="1"/>
                <c:pt idx="0">
                  <c:v>PelletMini-BHKW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Produktion'!$O$6:$U$6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F7-454F-8CD9-A391107AC8DB}"/>
            </c:ext>
          </c:extLst>
        </c:ser>
        <c:ser>
          <c:idx val="2"/>
          <c:order val="2"/>
          <c:tx>
            <c:strRef>
              <c:f>'Biomasse - Produktion'!$M$7</c:f>
              <c:strCache>
                <c:ptCount val="1"/>
                <c:pt idx="0">
                  <c:v>Stroh KWK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Produktion'!$O$7:$U$7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F7-454F-8CD9-A391107AC8DB}"/>
            </c:ext>
          </c:extLst>
        </c:ser>
        <c:ser>
          <c:idx val="3"/>
          <c:order val="3"/>
          <c:tx>
            <c:strRef>
              <c:f>'Biomasse - Produktion'!$M$8</c:f>
              <c:strCache>
                <c:ptCount val="1"/>
                <c:pt idx="0">
                  <c:v>CC-Holzkraftwerk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Produktion'!$O$8:$U$8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F7-454F-8CD9-A391107AC8DB}"/>
            </c:ext>
          </c:extLst>
        </c:ser>
        <c:ser>
          <c:idx val="4"/>
          <c:order val="4"/>
          <c:tx>
            <c:strRef>
              <c:f>'Biomasse - Produktion'!$M$9</c:f>
              <c:strCache>
                <c:ptCount val="1"/>
                <c:pt idx="0">
                  <c:v>Holzkraftwerk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Produktion'!$O$9:$U$9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F7-454F-8CD9-A391107AC8DB}"/>
            </c:ext>
          </c:extLst>
        </c:ser>
        <c:ser>
          <c:idx val="5"/>
          <c:order val="5"/>
          <c:tx>
            <c:strRef>
              <c:f>'Biomasse - Produktion'!$M$10</c:f>
              <c:strCache>
                <c:ptCount val="1"/>
                <c:pt idx="0">
                  <c:v>Holz KWK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Produktion'!$O$10:$U$10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F7-454F-8CD9-A391107AC8DB}"/>
            </c:ext>
          </c:extLst>
        </c:ser>
        <c:ser>
          <c:idx val="6"/>
          <c:order val="6"/>
          <c:tx>
            <c:strRef>
              <c:f>'Biomasse - Produktion'!$M$11</c:f>
              <c:strCache>
                <c:ptCount val="1"/>
                <c:pt idx="0">
                  <c:v>FT-Synthese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Produktion'!$O$4:$U$4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Produktion'!$O$11:$U$11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F7-454F-8CD9-A391107A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107968"/>
        <c:axId val="424292288"/>
      </c:areaChart>
      <c:catAx>
        <c:axId val="425107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92288"/>
        <c:crosses val="autoZero"/>
        <c:auto val="1"/>
        <c:lblAlgn val="ctr"/>
        <c:lblOffset val="100"/>
        <c:noMultiLvlLbl val="0"/>
      </c:catAx>
      <c:valAx>
        <c:axId val="4242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Umwandlung zu elektr. Energie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0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012840688708281"/>
          <c:y val="0.1411020290826468"/>
          <c:w val="0.25479713520164204"/>
          <c:h val="0.653490978353274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Biomassekonversion zu Wärmenergie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9013669145263376"/>
          <c:y val="0.14691805484113485"/>
          <c:w val="0.54046880643872908"/>
          <c:h val="0.68326382569013044"/>
        </c:manualLayout>
      </c:layout>
      <c:areaChart>
        <c:grouping val="stacked"/>
        <c:varyColors val="0"/>
        <c:ser>
          <c:idx val="0"/>
          <c:order val="0"/>
          <c:tx>
            <c:strRef>
              <c:f>'Biomasse - Produktion'!$M$21</c:f>
              <c:strCache>
                <c:ptCount val="1"/>
                <c:pt idx="0">
                  <c:v>Biogas-BHKW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Produktion'!$O$21:$U$21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2-4A88-B00C-1E7A2E3DC0BF}"/>
            </c:ext>
          </c:extLst>
        </c:ser>
        <c:ser>
          <c:idx val="1"/>
          <c:order val="1"/>
          <c:tx>
            <c:strRef>
              <c:f>'Biomasse - Produktion'!$M$22</c:f>
              <c:strCache>
                <c:ptCount val="1"/>
                <c:pt idx="0">
                  <c:v>Pellet Boiler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Produktion'!$O$22:$U$22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2-4A88-B00C-1E7A2E3DC0BF}"/>
            </c:ext>
          </c:extLst>
        </c:ser>
        <c:ser>
          <c:idx val="2"/>
          <c:order val="2"/>
          <c:tx>
            <c:strRef>
              <c:f>'Biomasse - Produktion'!$M$23</c:f>
              <c:strCache>
                <c:ptCount val="1"/>
                <c:pt idx="0">
                  <c:v>Pelletheizwerk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Produktion'!$O$23:$U$23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2-4A88-B00C-1E7A2E3DC0BF}"/>
            </c:ext>
          </c:extLst>
        </c:ser>
        <c:ser>
          <c:idx val="3"/>
          <c:order val="3"/>
          <c:tx>
            <c:strRef>
              <c:f>'Biomasse - Produktion'!$M$24</c:f>
              <c:strCache>
                <c:ptCount val="1"/>
                <c:pt idx="0">
                  <c:v>PelletMini-BHKW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Produktion'!$O$24:$U$24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52-4A88-B00C-1E7A2E3DC0BF}"/>
            </c:ext>
          </c:extLst>
        </c:ser>
        <c:ser>
          <c:idx val="4"/>
          <c:order val="4"/>
          <c:tx>
            <c:strRef>
              <c:f>'Biomasse - Produktion'!$M$25</c:f>
              <c:strCache>
                <c:ptCount val="1"/>
                <c:pt idx="0">
                  <c:v>Stroh KWK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Produktion'!$O$25:$U$25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52-4A88-B00C-1E7A2E3DC0BF}"/>
            </c:ext>
          </c:extLst>
        </c:ser>
        <c:ser>
          <c:idx val="5"/>
          <c:order val="5"/>
          <c:tx>
            <c:strRef>
              <c:f>'Biomasse - Produktion'!$M$26</c:f>
              <c:strCache>
                <c:ptCount val="1"/>
                <c:pt idx="0">
                  <c:v>Strohheizwerk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Produktion'!$O$26:$U$26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52-4A88-B00C-1E7A2E3DC0BF}"/>
            </c:ext>
          </c:extLst>
        </c:ser>
        <c:ser>
          <c:idx val="6"/>
          <c:order val="6"/>
          <c:tx>
            <c:strRef>
              <c:f>'Biomasse - Produktion'!$M$27</c:f>
              <c:strCache>
                <c:ptCount val="1"/>
                <c:pt idx="0">
                  <c:v>Holz KWK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Produktion'!$O$27:$U$27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52-4A88-B00C-1E7A2E3DC0BF}"/>
            </c:ext>
          </c:extLst>
        </c:ser>
        <c:ser>
          <c:idx val="7"/>
          <c:order val="7"/>
          <c:tx>
            <c:strRef>
              <c:f>'Biomasse - Produktion'!$M$28</c:f>
              <c:strCache>
                <c:ptCount val="1"/>
                <c:pt idx="0">
                  <c:v>Holzheizwerk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Produktion'!$O$28:$U$28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52-4A88-B00C-1E7A2E3DC0BF}"/>
            </c:ext>
          </c:extLst>
        </c:ser>
        <c:ser>
          <c:idx val="8"/>
          <c:order val="8"/>
          <c:tx>
            <c:strRef>
              <c:f>'Biomasse - Produktion'!$M$29</c:f>
              <c:strCache>
                <c:ptCount val="1"/>
                <c:pt idx="0">
                  <c:v>Kaminofen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Produktion'!$O$29:$U$29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52-4A88-B00C-1E7A2E3DC0BF}"/>
            </c:ext>
          </c:extLst>
        </c:ser>
        <c:ser>
          <c:idx val="9"/>
          <c:order val="9"/>
          <c:tx>
            <c:strRef>
              <c:f>'Biomasse - Produktion'!$M$30</c:f>
              <c:strCache>
                <c:ptCount val="1"/>
                <c:pt idx="0">
                  <c:v>Industriefeuerung</c:v>
                </c:pt>
              </c:strCache>
            </c:strRef>
          </c:tx>
          <c:spPr>
            <a:ln w="25400">
              <a:noFill/>
            </a:ln>
          </c:spPr>
          <c:cat>
            <c:numRef>
              <c:f>'Biomasse - Produktion'!$O$20:$U$20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Produktion'!$O$30:$U$30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52-4A88-B00C-1E7A2E3DC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109504"/>
        <c:axId val="424294592"/>
      </c:areaChart>
      <c:catAx>
        <c:axId val="42510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94592"/>
        <c:crosses val="autoZero"/>
        <c:auto val="1"/>
        <c:lblAlgn val="ctr"/>
        <c:lblOffset val="100"/>
        <c:noMultiLvlLbl val="0"/>
      </c:catAx>
      <c:valAx>
        <c:axId val="42429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 b="1"/>
                  <a:t>Umwandlung</a:t>
                </a:r>
                <a:r>
                  <a:rPr lang="de-DE" sz="1600" b="1" baseline="0"/>
                  <a:t> zu Wärmeenergie </a:t>
                </a:r>
                <a:r>
                  <a:rPr lang="de-DE" sz="1600" b="1"/>
                  <a:t>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0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06569952067027"/>
          <c:y val="0.13653664998569837"/>
          <c:w val="0.25765895930762656"/>
          <c:h val="0.678653567197617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Biokraftstoffproduktion</a:t>
            </a:r>
          </a:p>
        </c:rich>
      </c:tx>
      <c:layout>
        <c:manualLayout>
          <c:xMode val="edge"/>
          <c:yMode val="edge"/>
          <c:x val="0.37161458333333336"/>
          <c:y val="2.90644868301544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223739070832706"/>
          <c:y val="0.14842884421463665"/>
          <c:w val="0.58852968219736879"/>
          <c:h val="0.67345906012429646"/>
        </c:manualLayout>
      </c:layout>
      <c:areaChart>
        <c:grouping val="stacked"/>
        <c:varyColors val="0"/>
        <c:ser>
          <c:idx val="0"/>
          <c:order val="0"/>
          <c:tx>
            <c:strRef>
              <c:f>'Biomasse - Produktion'!$B$53</c:f>
              <c:strCache>
                <c:ptCount val="1"/>
                <c:pt idx="0">
                  <c:v>Diesel (Stroh)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Produktion'!$E$53:$K$53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F-4EF2-8CB9-30C15E8CC4DD}"/>
            </c:ext>
          </c:extLst>
        </c:ser>
        <c:ser>
          <c:idx val="1"/>
          <c:order val="1"/>
          <c:tx>
            <c:strRef>
              <c:f>'Biomasse - Produktion'!$B$54</c:f>
              <c:strCache>
                <c:ptCount val="1"/>
                <c:pt idx="0">
                  <c:v>Benzin (Stroh)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Produktion'!$E$54:$K$54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3F-4EF2-8CB9-30C15E8CC4DD}"/>
            </c:ext>
          </c:extLst>
        </c:ser>
        <c:ser>
          <c:idx val="2"/>
          <c:order val="2"/>
          <c:tx>
            <c:strRef>
              <c:f>'Biomasse - Produktion'!$B$55</c:f>
              <c:strCache>
                <c:ptCount val="1"/>
                <c:pt idx="0">
                  <c:v>Kerosin (Stroh)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Produktion'!$E$55:$K$55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3F-4EF2-8CB9-30C15E8CC4DD}"/>
            </c:ext>
          </c:extLst>
        </c:ser>
        <c:ser>
          <c:idx val="3"/>
          <c:order val="3"/>
          <c:tx>
            <c:strRef>
              <c:f>'Biomasse - Produktion'!$B$56</c:f>
              <c:strCache>
                <c:ptCount val="1"/>
                <c:pt idx="0">
                  <c:v>Diesel (Holz)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Produktion'!$E$56:$K$56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3F-4EF2-8CB9-30C15E8CC4DD}"/>
            </c:ext>
          </c:extLst>
        </c:ser>
        <c:ser>
          <c:idx val="4"/>
          <c:order val="4"/>
          <c:tx>
            <c:strRef>
              <c:f>'Biomasse - Produktion'!$B$57</c:f>
              <c:strCache>
                <c:ptCount val="1"/>
                <c:pt idx="0">
                  <c:v>Benzin (Holz)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Produktion'!$E$57:$K$57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3F-4EF2-8CB9-30C15E8CC4DD}"/>
            </c:ext>
          </c:extLst>
        </c:ser>
        <c:ser>
          <c:idx val="5"/>
          <c:order val="5"/>
          <c:tx>
            <c:strRef>
              <c:f>'Biomasse - Produktion'!$B$58</c:f>
              <c:strCache>
                <c:ptCount val="1"/>
                <c:pt idx="0">
                  <c:v>Kerosin (Holz)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Produktion'!$E$58:$K$58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3F-4EF2-8CB9-30C15E8CC4DD}"/>
            </c:ext>
          </c:extLst>
        </c:ser>
        <c:ser>
          <c:idx val="6"/>
          <c:order val="6"/>
          <c:tx>
            <c:strRef>
              <c:f>'Biomasse - Produktion'!$B$59</c:f>
              <c:strCache>
                <c:ptCount val="1"/>
                <c:pt idx="0">
                  <c:v>Diesel (Pyrolyse)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Produktion'!$E$59:$K$59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3F-4EF2-8CB9-30C15E8CC4DD}"/>
            </c:ext>
          </c:extLst>
        </c:ser>
        <c:ser>
          <c:idx val="8"/>
          <c:order val="7"/>
          <c:tx>
            <c:strRef>
              <c:f>'Biomasse - Produktion'!$B$60</c:f>
              <c:strCache>
                <c:ptCount val="1"/>
                <c:pt idx="0">
                  <c:v>Kerosin (Pyrolyse)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Produktion'!$E$60:$K$60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3F-4EF2-8CB9-30C15E8CC4DD}"/>
            </c:ext>
          </c:extLst>
        </c:ser>
        <c:ser>
          <c:idx val="9"/>
          <c:order val="8"/>
          <c:tx>
            <c:strRef>
              <c:f>'Biomasse - Produktion'!$B$61</c:f>
              <c:strCache>
                <c:ptCount val="1"/>
                <c:pt idx="0">
                  <c:v>LPG (Pyrolyse)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Produktion'!$E$61:$K$61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3F-4EF2-8CB9-30C15E8CC4DD}"/>
            </c:ext>
          </c:extLst>
        </c:ser>
        <c:ser>
          <c:idx val="10"/>
          <c:order val="9"/>
          <c:tx>
            <c:strRef>
              <c:f>'Biomasse - Produktion'!$B$62</c:f>
              <c:strCache>
                <c:ptCount val="1"/>
                <c:pt idx="0">
                  <c:v>Benzin (Pyrolyse)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Produktion'!$E$62:$K$62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3F-4EF2-8CB9-30C15E8CC4DD}"/>
            </c:ext>
          </c:extLst>
        </c:ser>
        <c:ser>
          <c:idx val="11"/>
          <c:order val="10"/>
          <c:tx>
            <c:strRef>
              <c:f>'Biomasse - Produktion'!$B$63</c:f>
              <c:strCache>
                <c:ptCount val="1"/>
                <c:pt idx="0">
                  <c:v>Diesel (Rapsöl)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Produktion'!$E$63:$K$63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3F-4EF2-8CB9-30C15E8CC4DD}"/>
            </c:ext>
          </c:extLst>
        </c:ser>
        <c:ser>
          <c:idx val="12"/>
          <c:order val="11"/>
          <c:tx>
            <c:strRef>
              <c:f>'Biomasse - Produktion'!$B$64</c:f>
              <c:strCache>
                <c:ptCount val="1"/>
                <c:pt idx="0">
                  <c:v>Bioethanol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cat>
            <c:numRef>
              <c:f>'Biomasse - Produktion'!$E$52:$K$52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Produktion'!$E$64:$K$64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3F-4EF2-8CB9-30C15E8CC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022464"/>
        <c:axId val="424862272"/>
      </c:areaChart>
      <c:catAx>
        <c:axId val="425022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2272"/>
        <c:crosses val="autoZero"/>
        <c:auto val="1"/>
        <c:lblAlgn val="ctr"/>
        <c:lblOffset val="100"/>
        <c:noMultiLvlLbl val="0"/>
      </c:catAx>
      <c:valAx>
        <c:axId val="4248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Kraftstoffproduktion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22464"/>
        <c:crosses val="autoZero"/>
        <c:crossBetween val="midCat"/>
        <c:majorUnit val="25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31053379474062"/>
          <c:y val="9.2122828908681481E-2"/>
          <c:w val="0.2327843394575678"/>
          <c:h val="0.81718973652883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Biomassenutzung je Sektor</a:t>
            </a:r>
            <a:r>
              <a:rPr lang="en-US" baseline="0"/>
              <a:t> in TWh</a:t>
            </a:r>
            <a:endParaRPr lang="en-US"/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1-DCF7-4AF5-94D0-8918E4C12F31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DCF7-4AF5-94D0-8918E4C12F31}"/>
              </c:ext>
            </c:extLst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DCF7-4AF5-94D0-8918E4C12F31}"/>
              </c:ext>
            </c:extLst>
          </c:dPt>
          <c:dPt>
            <c:idx val="3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DCF7-4AF5-94D0-8918E4C12F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'Biomasse - Nutzung'!$K$4:$K$7</c:f>
              <c:strCache>
                <c:ptCount val="4"/>
                <c:pt idx="0">
                  <c:v>Energie</c:v>
                </c:pt>
                <c:pt idx="1">
                  <c:v>Gebäude</c:v>
                </c:pt>
                <c:pt idx="2">
                  <c:v>Industrie</c:v>
                </c:pt>
                <c:pt idx="3">
                  <c:v>Verkehr</c:v>
                </c:pt>
              </c:strCache>
            </c:strRef>
          </c:cat>
          <c:val>
            <c:numRef>
              <c:f>'Biomasse - Nutzung'!$L$4:$L$7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F7-4AF5-94D0-8918E4C12F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0.69777865266841632"/>
          <c:y val="0.20293598716827063"/>
          <c:w val="0.2855546806649169"/>
          <c:h val="0.5570909886264217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Biomass Carrier from Residues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81269409312504"/>
          <c:y val="0.14576188253714939"/>
          <c:w val="0.6502622193472275"/>
          <c:h val="0.65764567430983178"/>
        </c:manualLayout>
      </c:layout>
      <c:areaChart>
        <c:grouping val="stacked"/>
        <c:varyColors val="0"/>
        <c:ser>
          <c:idx val="0"/>
          <c:order val="0"/>
          <c:tx>
            <c:strRef>
              <c:f>'Biomasse - Sources'!$C$3</c:f>
              <c:strCache>
                <c:ptCount val="1"/>
                <c:pt idx="0">
                  <c:v>Bio Waste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Sources'!$E$3:$K$3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A-4F2E-8DB6-553F9E6A9612}"/>
            </c:ext>
          </c:extLst>
        </c:ser>
        <c:ser>
          <c:idx val="1"/>
          <c:order val="1"/>
          <c:tx>
            <c:strRef>
              <c:f>'Biomasse - Sources'!$C$4</c:f>
              <c:strCache>
                <c:ptCount val="1"/>
                <c:pt idx="0">
                  <c:v>IWR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A-4F2E-8DB6-553F9E6A9612}"/>
            </c:ext>
          </c:extLst>
        </c:ser>
        <c:ser>
          <c:idx val="2"/>
          <c:order val="2"/>
          <c:tx>
            <c:strRef>
              <c:f>'Biomasse - Sources'!$C$5</c:f>
              <c:strCache>
                <c:ptCount val="1"/>
                <c:pt idx="0">
                  <c:v>Pellet Import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A-4F2E-8DB6-553F9E6A9612}"/>
            </c:ext>
          </c:extLst>
        </c:ser>
        <c:ser>
          <c:idx val="3"/>
          <c:order val="3"/>
          <c:tx>
            <c:strRef>
              <c:f>'Biomasse - Sources'!$C$6</c:f>
              <c:strCache>
                <c:ptCount val="1"/>
                <c:pt idx="0">
                  <c:v>Slurry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0A-4F2E-8DB6-553F9E6A9612}"/>
            </c:ext>
          </c:extLst>
        </c:ser>
        <c:ser>
          <c:idx val="4"/>
          <c:order val="4"/>
          <c:tx>
            <c:strRef>
              <c:f>'Biomasse - Sources'!$C$7</c:f>
              <c:strCache>
                <c:ptCount val="1"/>
                <c:pt idx="0">
                  <c:v>Straw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0A-4F2E-8DB6-553F9E6A9612}"/>
            </c:ext>
          </c:extLst>
        </c:ser>
        <c:ser>
          <c:idx val="5"/>
          <c:order val="5"/>
          <c:tx>
            <c:strRef>
              <c:f>'Biomasse - Sources'!$C$8</c:f>
              <c:strCache>
                <c:ptCount val="1"/>
                <c:pt idx="0">
                  <c:v>Waste Wood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Sources'!$E$8:$K$8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0A-4F2E-8DB6-553F9E6A9612}"/>
            </c:ext>
          </c:extLst>
        </c:ser>
        <c:ser>
          <c:idx val="6"/>
          <c:order val="6"/>
          <c:tx>
            <c:strRef>
              <c:f>'Biomasse - Sources'!$C$9</c:f>
              <c:strCache>
                <c:ptCount val="1"/>
                <c:pt idx="0">
                  <c:v>Forresty Wood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Sources'!$E$9:$K$9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0A-4F2E-8DB6-553F9E6A9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67296"/>
        <c:axId val="424866880"/>
      </c:areaChart>
      <c:catAx>
        <c:axId val="42456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6880"/>
        <c:crosses val="autoZero"/>
        <c:auto val="1"/>
        <c:lblAlgn val="ctr"/>
        <c:lblOffset val="100"/>
        <c:noMultiLvlLbl val="0"/>
      </c:catAx>
      <c:valAx>
        <c:axId val="42486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Energy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0991327925369105"/>
          <c:y val="0.2781901306313766"/>
          <c:w val="0.18753888058610238"/>
          <c:h val="0.44774995859743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Biomass Carrier from Energycrops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79685444317384"/>
          <c:y val="0.15632920419713284"/>
          <c:w val="0.61162686293557866"/>
          <c:h val="0.64080524883809176"/>
        </c:manualLayout>
      </c:layout>
      <c:areaChart>
        <c:grouping val="stacked"/>
        <c:varyColors val="0"/>
        <c:ser>
          <c:idx val="0"/>
          <c:order val="0"/>
          <c:tx>
            <c:strRef>
              <c:f>'Biomasse - Sources'!$C$13</c:f>
              <c:strCache>
                <c:ptCount val="1"/>
                <c:pt idx="0">
                  <c:v>KUP on Cropland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Sources'!$E$13:$K$13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4-432E-A72B-1CAD0D551603}"/>
            </c:ext>
          </c:extLst>
        </c:ser>
        <c:ser>
          <c:idx val="1"/>
          <c:order val="1"/>
          <c:tx>
            <c:strRef>
              <c:f>'Biomasse - Sources'!$C$14</c:f>
              <c:strCache>
                <c:ptCount val="1"/>
                <c:pt idx="0">
                  <c:v>Cornsilage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Sources'!$E$14:$K$14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4-432E-A72B-1CAD0D551603}"/>
            </c:ext>
          </c:extLst>
        </c:ser>
        <c:ser>
          <c:idx val="2"/>
          <c:order val="2"/>
          <c:tx>
            <c:strRef>
              <c:f>'Biomasse - Sources'!$C$15</c:f>
              <c:strCache>
                <c:ptCount val="1"/>
                <c:pt idx="0">
                  <c:v>Rapeoil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Sources'!$E$15:$K$15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4-432E-A72B-1CAD0D551603}"/>
            </c:ext>
          </c:extLst>
        </c:ser>
        <c:ser>
          <c:idx val="3"/>
          <c:order val="3"/>
          <c:tx>
            <c:strRef>
              <c:f>'Biomasse - Sources'!$C$16</c:f>
              <c:strCache>
                <c:ptCount val="1"/>
                <c:pt idx="0">
                  <c:v>SugarBeet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Sources'!$E$16:$K$16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4-432E-A72B-1CAD0D551603}"/>
            </c:ext>
          </c:extLst>
        </c:ser>
        <c:ser>
          <c:idx val="4"/>
          <c:order val="4"/>
          <c:tx>
            <c:strRef>
              <c:f>'Biomasse - Sources'!$C$17</c:f>
              <c:strCache>
                <c:ptCount val="1"/>
                <c:pt idx="0">
                  <c:v>KUP on Grassland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Sources'!$E$17:$K$17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C4-432E-A72B-1CAD0D551603}"/>
            </c:ext>
          </c:extLst>
        </c:ser>
        <c:ser>
          <c:idx val="5"/>
          <c:order val="5"/>
          <c:tx>
            <c:strRef>
              <c:f>'Biomasse - Sources'!$C$18</c:f>
              <c:strCache>
                <c:ptCount val="1"/>
                <c:pt idx="0">
                  <c:v>Grasssilage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Sources'!$E$18:$K$18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C4-432E-A72B-1CAD0D55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68320"/>
        <c:axId val="424869184"/>
      </c:areaChart>
      <c:catAx>
        <c:axId val="424568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9184"/>
        <c:crosses val="autoZero"/>
        <c:auto val="1"/>
        <c:lblAlgn val="ctr"/>
        <c:lblOffset val="100"/>
        <c:noMultiLvlLbl val="0"/>
      </c:catAx>
      <c:valAx>
        <c:axId val="42486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/>
                  <a:t>Energy [GWh]</a:t>
                </a:r>
              </a:p>
            </c:rich>
          </c:tx>
          <c:layout>
            <c:manualLayout>
              <c:xMode val="edge"/>
              <c:yMode val="edge"/>
              <c:x val="1.183063076994063E-2"/>
              <c:y val="0.3119950375013119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68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103001341218314"/>
          <c:y val="0.22016916630560274"/>
          <c:w val="0.22746192239098378"/>
          <c:h val="0.6089421858138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/>
              <a:t>Energetische Nutzung von Reststoffen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81269409312504"/>
          <c:y val="0.14576188253714939"/>
          <c:w val="0.6502622193472275"/>
          <c:h val="0.65764567430983178"/>
        </c:manualLayout>
      </c:layout>
      <c:areaChart>
        <c:grouping val="stacked"/>
        <c:varyColors val="0"/>
        <c:ser>
          <c:idx val="0"/>
          <c:order val="0"/>
          <c:tx>
            <c:strRef>
              <c:f>'Biomasse - Sources'!$B$3</c:f>
              <c:strCache>
                <c:ptCount val="1"/>
                <c:pt idx="0">
                  <c:v>Bioabfall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Sources'!$E$3:$K$3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C-4AC5-8FEF-02DA6D7ADB5F}"/>
            </c:ext>
          </c:extLst>
        </c:ser>
        <c:ser>
          <c:idx val="1"/>
          <c:order val="1"/>
          <c:tx>
            <c:strRef>
              <c:f>'Biomasse - Sources'!$B$4</c:f>
              <c:strCache>
                <c:ptCount val="1"/>
                <c:pt idx="0">
                  <c:v>Industrierestholz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Sources'!$E$4:$K$4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C-4AC5-8FEF-02DA6D7ADB5F}"/>
            </c:ext>
          </c:extLst>
        </c:ser>
        <c:ser>
          <c:idx val="2"/>
          <c:order val="2"/>
          <c:tx>
            <c:strRef>
              <c:f>'Biomasse - Sources'!$B$5</c:f>
              <c:strCache>
                <c:ptCount val="1"/>
                <c:pt idx="0">
                  <c:v>Pellet Import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Sources'!$E$5:$K$5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C-4AC5-8FEF-02DA6D7ADB5F}"/>
            </c:ext>
          </c:extLst>
        </c:ser>
        <c:ser>
          <c:idx val="3"/>
          <c:order val="3"/>
          <c:tx>
            <c:strRef>
              <c:f>'Biomasse - Sources'!$B$6</c:f>
              <c:strCache>
                <c:ptCount val="1"/>
                <c:pt idx="0">
                  <c:v>Gülle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Sources'!$E$6:$K$6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C-4AC5-8FEF-02DA6D7ADB5F}"/>
            </c:ext>
          </c:extLst>
        </c:ser>
        <c:ser>
          <c:idx val="4"/>
          <c:order val="4"/>
          <c:tx>
            <c:strRef>
              <c:f>'Biomasse - Sources'!$B$7</c:f>
              <c:strCache>
                <c:ptCount val="1"/>
                <c:pt idx="0">
                  <c:v>Stroh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Sources'!$E$7:$K$7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7C-4AC5-8FEF-02DA6D7ADB5F}"/>
            </c:ext>
          </c:extLst>
        </c:ser>
        <c:ser>
          <c:idx val="5"/>
          <c:order val="5"/>
          <c:tx>
            <c:strRef>
              <c:f>'Biomasse - Sources'!$B$8</c:f>
              <c:strCache>
                <c:ptCount val="1"/>
                <c:pt idx="0">
                  <c:v>Altholz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Sources'!$E$8:$K$8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7C-4AC5-8FEF-02DA6D7ADB5F}"/>
            </c:ext>
          </c:extLst>
        </c:ser>
        <c:ser>
          <c:idx val="6"/>
          <c:order val="6"/>
          <c:tx>
            <c:strRef>
              <c:f>'Biomasse - Sources'!$B$9</c:f>
              <c:strCache>
                <c:ptCount val="1"/>
                <c:pt idx="0">
                  <c:v>Waldrestholz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'Biomasse - Sources'!$E$2:$K$2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Sources'!$E$9:$K$9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7C-4AC5-8FEF-02DA6D7AD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74880"/>
        <c:axId val="425379520"/>
      </c:areaChart>
      <c:catAx>
        <c:axId val="42527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79520"/>
        <c:crosses val="autoZero"/>
        <c:auto val="1"/>
        <c:lblAlgn val="ctr"/>
        <c:lblOffset val="100"/>
        <c:noMultiLvlLbl val="0"/>
      </c:catAx>
      <c:valAx>
        <c:axId val="42537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Energiemenge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7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0991327925369105"/>
          <c:y val="0.2781901306313766"/>
          <c:w val="0.18753888058610238"/>
          <c:h val="0.44774995859743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Energetische Nutzung von Anbaubiomasse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79685444317384"/>
          <c:y val="0.15632920419713284"/>
          <c:w val="0.61162686293557866"/>
          <c:h val="0.64080524883809176"/>
        </c:manualLayout>
      </c:layout>
      <c:areaChart>
        <c:grouping val="stacked"/>
        <c:varyColors val="0"/>
        <c:ser>
          <c:idx val="0"/>
          <c:order val="0"/>
          <c:tx>
            <c:strRef>
              <c:f>'Biomasse - Sources'!$B$13</c:f>
              <c:strCache>
                <c:ptCount val="1"/>
                <c:pt idx="0">
                  <c:v>KUP (Ackerland)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Sources'!$E$13:$K$13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4-433D-831D-CC0B245D08B2}"/>
            </c:ext>
          </c:extLst>
        </c:ser>
        <c:ser>
          <c:idx val="1"/>
          <c:order val="1"/>
          <c:tx>
            <c:strRef>
              <c:f>'Biomasse - Sources'!$B$14</c:f>
              <c:strCache>
                <c:ptCount val="1"/>
                <c:pt idx="0">
                  <c:v>Maissilage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Sources'!$E$14:$K$14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4-433D-831D-CC0B245D08B2}"/>
            </c:ext>
          </c:extLst>
        </c:ser>
        <c:ser>
          <c:idx val="2"/>
          <c:order val="2"/>
          <c:tx>
            <c:strRef>
              <c:f>'Biomasse - Sources'!$B$15</c:f>
              <c:strCache>
                <c:ptCount val="1"/>
                <c:pt idx="0">
                  <c:v>Rapsöl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Sources'!$E$15:$K$15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E4-433D-831D-CC0B245D08B2}"/>
            </c:ext>
          </c:extLst>
        </c:ser>
        <c:ser>
          <c:idx val="3"/>
          <c:order val="3"/>
          <c:tx>
            <c:strRef>
              <c:f>'Biomasse - Sources'!$B$16</c:f>
              <c:strCache>
                <c:ptCount val="1"/>
                <c:pt idx="0">
                  <c:v>Zuckerrüben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Sources'!$E$16:$K$16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E4-433D-831D-CC0B245D08B2}"/>
            </c:ext>
          </c:extLst>
        </c:ser>
        <c:ser>
          <c:idx val="4"/>
          <c:order val="4"/>
          <c:tx>
            <c:strRef>
              <c:f>'Biomasse - Sources'!$B$17</c:f>
              <c:strCache>
                <c:ptCount val="1"/>
                <c:pt idx="0">
                  <c:v>KUP (Grasland)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Sources'!$E$17:$K$17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E4-433D-831D-CC0B245D08B2}"/>
            </c:ext>
          </c:extLst>
        </c:ser>
        <c:ser>
          <c:idx val="5"/>
          <c:order val="5"/>
          <c:tx>
            <c:strRef>
              <c:f>'Biomasse - Sources'!$B$18</c:f>
              <c:strCache>
                <c:ptCount val="1"/>
                <c:pt idx="0">
                  <c:v>Grassilage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'Biomasse - Sources'!$E$12:$K$12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'Biomasse - Sources'!$E$18:$K$18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E4-433D-831D-CC0B245D0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975808"/>
        <c:axId val="425381824"/>
      </c:areaChart>
      <c:catAx>
        <c:axId val="42597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Jahr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81824"/>
        <c:crosses val="autoZero"/>
        <c:auto val="1"/>
        <c:lblAlgn val="ctr"/>
        <c:lblOffset val="100"/>
        <c:noMultiLvlLbl val="0"/>
      </c:catAx>
      <c:valAx>
        <c:axId val="42538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/>
                  <a:t>Energiemenge [GWh]</a:t>
                </a:r>
              </a:p>
            </c:rich>
          </c:tx>
          <c:layout>
            <c:manualLayout>
              <c:xMode val="edge"/>
              <c:yMode val="edge"/>
              <c:x val="1.183063076994063E-2"/>
              <c:y val="0.3119950375013119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7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388176477410332"/>
          <c:y val="0.22016916630560274"/>
          <c:w val="0.21461005395981758"/>
          <c:h val="0.6089421858138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806756272401435"/>
          <c:y val="9.2113888888888905E-3"/>
          <c:w val="0.59174157706093189"/>
          <c:h val="0.9233099999999999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Studienvergleich!$B$35</c:f>
              <c:strCache>
                <c:ptCount val="1"/>
                <c:pt idx="0">
                  <c:v>Buildings&amp;GHD</c:v>
                </c:pt>
              </c:strCache>
            </c:strRef>
          </c:tx>
          <c:invertIfNegative val="0"/>
          <c:cat>
            <c:strRef>
              <c:f>Studienvergleich!$C$2:$AV$2</c:f>
              <c:strCache>
                <c:ptCount val="46"/>
                <c:pt idx="0">
                  <c:v>AGEB für 2013</c:v>
                </c:pt>
                <c:pt idx="1">
                  <c:v>BMU (2009) - 80%</c:v>
                </c:pt>
                <c:pt idx="2">
                  <c:v>UBA (2010) - 100% EE *</c:v>
                </c:pt>
                <c:pt idx="3">
                  <c:v>DLR (2011) - Szenario A - 80%</c:v>
                </c:pt>
                <c:pt idx="4">
                  <c:v>DLR (2011) - Szenario B - 80%</c:v>
                </c:pt>
                <c:pt idx="5">
                  <c:v>DLR (2011) - 95%</c:v>
                </c:pt>
                <c:pt idx="6">
                  <c:v>IWES (2014) - 80% *</c:v>
                </c:pt>
                <c:pt idx="7">
                  <c:v>Energiemärkte (2014) - Ref</c:v>
                </c:pt>
                <c:pt idx="8">
                  <c:v>Energiemärkte (2014) - 80 %</c:v>
                </c:pt>
                <c:pt idx="9">
                  <c:v>Ökoinstitut (2015) - Ref</c:v>
                </c:pt>
                <c:pt idx="10">
                  <c:v>Ökoinstitut (2015) - 80 %</c:v>
                </c:pt>
                <c:pt idx="11">
                  <c:v>Ökoinstitut (2015) - 95 %</c:v>
                </c:pt>
                <c:pt idx="12">
                  <c:v>HTW Berlin (2016) - 100%</c:v>
                </c:pt>
                <c:pt idx="13">
                  <c:v>ISE (2016) - 80%</c:v>
                </c:pt>
                <c:pt idx="14">
                  <c:v>BMWi Langfrist (2017) - Ref</c:v>
                </c:pt>
                <c:pt idx="15">
                  <c:v>BMWi Langfrist (2017) - 80 %</c:v>
                </c:pt>
                <c:pt idx="16">
                  <c:v>UBA (2017) - 95 %</c:v>
                </c:pt>
                <c:pt idx="17">
                  <c:v>DENA (2018) - Ref</c:v>
                </c:pt>
                <c:pt idx="18">
                  <c:v>DENA (2018) - EL - 80 %</c:v>
                </c:pt>
                <c:pt idx="19">
                  <c:v>DENA (2018) - TM - 80 %</c:v>
                </c:pt>
                <c:pt idx="20">
                  <c:v>DENA (2018) - EL - 95 %</c:v>
                </c:pt>
                <c:pt idx="21">
                  <c:v>DENA (2018) - TM - 95 %</c:v>
                </c:pt>
                <c:pt idx="22">
                  <c:v>BDI (2018) - Ref</c:v>
                </c:pt>
                <c:pt idx="23">
                  <c:v>BDI (2018) - 80 %</c:v>
                </c:pt>
                <c:pt idx="24">
                  <c:v>BDI (2018) - 95 %</c:v>
                </c:pt>
                <c:pt idx="25">
                  <c:v>ewi (2018) - EEV - 80%</c:v>
                </c:pt>
                <c:pt idx="26">
                  <c:v>ewi (2018) - TO - 80%</c:v>
                </c:pt>
                <c:pt idx="27">
                  <c:v>UBA (2019) - GreenEE - 100%</c:v>
                </c:pt>
                <c:pt idx="28">
                  <c:v>UBA (2019) - GreenSupreme - 100%</c:v>
                </c:pt>
                <c:pt idx="29">
                  <c:v>ISE (2020) - Referenz - 95%</c:v>
                </c:pt>
                <c:pt idx="30">
                  <c:v>ISE (2020) - Inakzeptanz - 95%</c:v>
                </c:pt>
                <c:pt idx="31">
                  <c:v>ISE (2020) - Referenz - 100%</c:v>
                </c:pt>
                <c:pt idx="32">
                  <c:v>ISE (2020) - Update- 100%</c:v>
                </c:pt>
                <c:pt idx="33">
                  <c:v>ISE-KNES45</c:v>
                </c:pt>
                <c:pt idx="34">
                  <c:v>ISE (2021) - Beharrung - 2045 - 100%</c:v>
                </c:pt>
                <c:pt idx="35">
                  <c:v>ISE (2021) - Inakzeptanz - 2045 - 100%</c:v>
                </c:pt>
                <c:pt idx="36">
                  <c:v>ISE (2021) - Suffizenz - 2045 - 100%</c:v>
                </c:pt>
                <c:pt idx="37">
                  <c:v>AGORA (2020) - 2050 - 100%</c:v>
                </c:pt>
                <c:pt idx="38">
                  <c:v>AGORA-KNDE45</c:v>
                </c:pt>
                <c:pt idx="39">
                  <c:v>dena-LSKN</c:v>
                </c:pt>
                <c:pt idx="40">
                  <c:v>BDI-KPF2</c:v>
                </c:pt>
                <c:pt idx="41">
                  <c:v>Ariadne-REMIND</c:v>
                </c:pt>
                <c:pt idx="42">
                  <c:v>Ariadne-REMod</c:v>
                </c:pt>
                <c:pt idx="43">
                  <c:v>Ariadne-TIMES</c:v>
                </c:pt>
                <c:pt idx="44">
                  <c:v>BMWI-LFS3</c:v>
                </c:pt>
                <c:pt idx="45">
                  <c:v>IEK-3 (2019) - 80 %</c:v>
                </c:pt>
              </c:strCache>
            </c:strRef>
          </c:cat>
          <c:val>
            <c:numRef>
              <c:f>Studienvergleich!$C$35:$AV$35</c:f>
              <c:numCache>
                <c:formatCode>0</c:formatCode>
                <c:ptCount val="46"/>
                <c:pt idx="0" formatCode="General">
                  <c:v>1117</c:v>
                </c:pt>
                <c:pt idx="2">
                  <c:v>276</c:v>
                </c:pt>
                <c:pt idx="3">
                  <c:v>556</c:v>
                </c:pt>
                <c:pt idx="6">
                  <c:v>850</c:v>
                </c:pt>
                <c:pt idx="8" formatCode="General">
                  <c:v>649.40800000000002</c:v>
                </c:pt>
                <c:pt idx="10" formatCode="General">
                  <c:v>582.6880000000001</c:v>
                </c:pt>
                <c:pt idx="11" formatCode="General">
                  <c:v>483.44200000000006</c:v>
                </c:pt>
                <c:pt idx="14">
                  <c:v>748</c:v>
                </c:pt>
                <c:pt idx="15">
                  <c:v>542</c:v>
                </c:pt>
                <c:pt idx="16">
                  <c:v>555</c:v>
                </c:pt>
                <c:pt idx="17" formatCode="General">
                  <c:v>656</c:v>
                </c:pt>
                <c:pt idx="18">
                  <c:v>383</c:v>
                </c:pt>
                <c:pt idx="19">
                  <c:v>532</c:v>
                </c:pt>
                <c:pt idx="20">
                  <c:v>362</c:v>
                </c:pt>
                <c:pt idx="21">
                  <c:v>523</c:v>
                </c:pt>
                <c:pt idx="22">
                  <c:v>797</c:v>
                </c:pt>
                <c:pt idx="23">
                  <c:v>657</c:v>
                </c:pt>
                <c:pt idx="24">
                  <c:v>619</c:v>
                </c:pt>
                <c:pt idx="25">
                  <c:v>480</c:v>
                </c:pt>
                <c:pt idx="26">
                  <c:v>522</c:v>
                </c:pt>
                <c:pt idx="33">
                  <c:v>834</c:v>
                </c:pt>
                <c:pt idx="38">
                  <c:v>662.3</c:v>
                </c:pt>
                <c:pt idx="39">
                  <c:v>571</c:v>
                </c:pt>
                <c:pt idx="40">
                  <c:v>613</c:v>
                </c:pt>
                <c:pt idx="41">
                  <c:v>616.31100000000094</c:v>
                </c:pt>
                <c:pt idx="42">
                  <c:v>625</c:v>
                </c:pt>
                <c:pt idx="43">
                  <c:v>469</c:v>
                </c:pt>
                <c:pt idx="44">
                  <c:v>437.5440239906311</c:v>
                </c:pt>
                <c:pt idx="45" formatCode="General">
                  <c:v>496.58662017293022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D-475E-97B5-79D4402B4381}"/>
            </c:ext>
          </c:extLst>
        </c:ser>
        <c:ser>
          <c:idx val="1"/>
          <c:order val="1"/>
          <c:tx>
            <c:strRef>
              <c:f>Studienvergleich!$B$36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Studienvergleich!$C$2:$AV$2</c:f>
              <c:strCache>
                <c:ptCount val="46"/>
                <c:pt idx="0">
                  <c:v>AGEB für 2013</c:v>
                </c:pt>
                <c:pt idx="1">
                  <c:v>BMU (2009) - 80%</c:v>
                </c:pt>
                <c:pt idx="2">
                  <c:v>UBA (2010) - 100% EE *</c:v>
                </c:pt>
                <c:pt idx="3">
                  <c:v>DLR (2011) - Szenario A - 80%</c:v>
                </c:pt>
                <c:pt idx="4">
                  <c:v>DLR (2011) - Szenario B - 80%</c:v>
                </c:pt>
                <c:pt idx="5">
                  <c:v>DLR (2011) - 95%</c:v>
                </c:pt>
                <c:pt idx="6">
                  <c:v>IWES (2014) - 80% *</c:v>
                </c:pt>
                <c:pt idx="7">
                  <c:v>Energiemärkte (2014) - Ref</c:v>
                </c:pt>
                <c:pt idx="8">
                  <c:v>Energiemärkte (2014) - 80 %</c:v>
                </c:pt>
                <c:pt idx="9">
                  <c:v>Ökoinstitut (2015) - Ref</c:v>
                </c:pt>
                <c:pt idx="10">
                  <c:v>Ökoinstitut (2015) - 80 %</c:v>
                </c:pt>
                <c:pt idx="11">
                  <c:v>Ökoinstitut (2015) - 95 %</c:v>
                </c:pt>
                <c:pt idx="12">
                  <c:v>HTW Berlin (2016) - 100%</c:v>
                </c:pt>
                <c:pt idx="13">
                  <c:v>ISE (2016) - 80%</c:v>
                </c:pt>
                <c:pt idx="14">
                  <c:v>BMWi Langfrist (2017) - Ref</c:v>
                </c:pt>
                <c:pt idx="15">
                  <c:v>BMWi Langfrist (2017) - 80 %</c:v>
                </c:pt>
                <c:pt idx="16">
                  <c:v>UBA (2017) - 95 %</c:v>
                </c:pt>
                <c:pt idx="17">
                  <c:v>DENA (2018) - Ref</c:v>
                </c:pt>
                <c:pt idx="18">
                  <c:v>DENA (2018) - EL - 80 %</c:v>
                </c:pt>
                <c:pt idx="19">
                  <c:v>DENA (2018) - TM - 80 %</c:v>
                </c:pt>
                <c:pt idx="20">
                  <c:v>DENA (2018) - EL - 95 %</c:v>
                </c:pt>
                <c:pt idx="21">
                  <c:v>DENA (2018) - TM - 95 %</c:v>
                </c:pt>
                <c:pt idx="22">
                  <c:v>BDI (2018) - Ref</c:v>
                </c:pt>
                <c:pt idx="23">
                  <c:v>BDI (2018) - 80 %</c:v>
                </c:pt>
                <c:pt idx="24">
                  <c:v>BDI (2018) - 95 %</c:v>
                </c:pt>
                <c:pt idx="25">
                  <c:v>ewi (2018) - EEV - 80%</c:v>
                </c:pt>
                <c:pt idx="26">
                  <c:v>ewi (2018) - TO - 80%</c:v>
                </c:pt>
                <c:pt idx="27">
                  <c:v>UBA (2019) - GreenEE - 100%</c:v>
                </c:pt>
                <c:pt idx="28">
                  <c:v>UBA (2019) - GreenSupreme - 100%</c:v>
                </c:pt>
                <c:pt idx="29">
                  <c:v>ISE (2020) - Referenz - 95%</c:v>
                </c:pt>
                <c:pt idx="30">
                  <c:v>ISE (2020) - Inakzeptanz - 95%</c:v>
                </c:pt>
                <c:pt idx="31">
                  <c:v>ISE (2020) - Referenz - 100%</c:v>
                </c:pt>
                <c:pt idx="32">
                  <c:v>ISE (2020) - Update- 100%</c:v>
                </c:pt>
                <c:pt idx="33">
                  <c:v>ISE-KNES45</c:v>
                </c:pt>
                <c:pt idx="34">
                  <c:v>ISE (2021) - Beharrung - 2045 - 100%</c:v>
                </c:pt>
                <c:pt idx="35">
                  <c:v>ISE (2021) - Inakzeptanz - 2045 - 100%</c:v>
                </c:pt>
                <c:pt idx="36">
                  <c:v>ISE (2021) - Suffizenz - 2045 - 100%</c:v>
                </c:pt>
                <c:pt idx="37">
                  <c:v>AGORA (2020) - 2050 - 100%</c:v>
                </c:pt>
                <c:pt idx="38">
                  <c:v>AGORA-KNDE45</c:v>
                </c:pt>
                <c:pt idx="39">
                  <c:v>dena-LSKN</c:v>
                </c:pt>
                <c:pt idx="40">
                  <c:v>BDI-KPF2</c:v>
                </c:pt>
                <c:pt idx="41">
                  <c:v>Ariadne-REMIND</c:v>
                </c:pt>
                <c:pt idx="42">
                  <c:v>Ariadne-REMod</c:v>
                </c:pt>
                <c:pt idx="43">
                  <c:v>Ariadne-TIMES</c:v>
                </c:pt>
                <c:pt idx="44">
                  <c:v>BMWI-LFS3</c:v>
                </c:pt>
                <c:pt idx="45">
                  <c:v>IEK-3 (2019) - 80 %</c:v>
                </c:pt>
              </c:strCache>
            </c:strRef>
          </c:cat>
          <c:val>
            <c:numRef>
              <c:f>Studienvergleich!$C$36:$AV$36</c:f>
              <c:numCache>
                <c:formatCode>0</c:formatCode>
                <c:ptCount val="46"/>
                <c:pt idx="0" formatCode="General">
                  <c:v>709</c:v>
                </c:pt>
                <c:pt idx="2">
                  <c:v>498</c:v>
                </c:pt>
                <c:pt idx="3">
                  <c:v>444.80000000000007</c:v>
                </c:pt>
                <c:pt idx="6">
                  <c:v>1000</c:v>
                </c:pt>
                <c:pt idx="8" formatCode="General">
                  <c:v>599.09</c:v>
                </c:pt>
                <c:pt idx="10" formatCode="General">
                  <c:v>488.16800000000006</c:v>
                </c:pt>
                <c:pt idx="11" formatCode="General">
                  <c:v>400.32000000000005</c:v>
                </c:pt>
                <c:pt idx="14">
                  <c:v>631</c:v>
                </c:pt>
                <c:pt idx="15">
                  <c:v>540</c:v>
                </c:pt>
                <c:pt idx="16">
                  <c:v>754</c:v>
                </c:pt>
                <c:pt idx="17" formatCode="General">
                  <c:v>815</c:v>
                </c:pt>
                <c:pt idx="18">
                  <c:v>837</c:v>
                </c:pt>
                <c:pt idx="19">
                  <c:v>741</c:v>
                </c:pt>
                <c:pt idx="20">
                  <c:v>781</c:v>
                </c:pt>
                <c:pt idx="21">
                  <c:v>673</c:v>
                </c:pt>
                <c:pt idx="22">
                  <c:v>669</c:v>
                </c:pt>
                <c:pt idx="23">
                  <c:v>559</c:v>
                </c:pt>
                <c:pt idx="24">
                  <c:v>580</c:v>
                </c:pt>
                <c:pt idx="25">
                  <c:v>833</c:v>
                </c:pt>
                <c:pt idx="26">
                  <c:v>833</c:v>
                </c:pt>
                <c:pt idx="33">
                  <c:v>591</c:v>
                </c:pt>
                <c:pt idx="38">
                  <c:v>601.4</c:v>
                </c:pt>
                <c:pt idx="39">
                  <c:v>578</c:v>
                </c:pt>
                <c:pt idx="40">
                  <c:v>612</c:v>
                </c:pt>
                <c:pt idx="41">
                  <c:v>446</c:v>
                </c:pt>
                <c:pt idx="42">
                  <c:v>549</c:v>
                </c:pt>
                <c:pt idx="43">
                  <c:v>333</c:v>
                </c:pt>
                <c:pt idx="44">
                  <c:v>536</c:v>
                </c:pt>
                <c:pt idx="45" formatCode="General">
                  <c:v>1094.9650810588148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1D-475E-97B5-79D4402B4381}"/>
            </c:ext>
          </c:extLst>
        </c:ser>
        <c:ser>
          <c:idx val="2"/>
          <c:order val="2"/>
          <c:tx>
            <c:strRef>
              <c:f>Studienvergleich!$B$37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Studienvergleich!$C$2:$AV$2</c:f>
              <c:strCache>
                <c:ptCount val="46"/>
                <c:pt idx="0">
                  <c:v>AGEB für 2013</c:v>
                </c:pt>
                <c:pt idx="1">
                  <c:v>BMU (2009) - 80%</c:v>
                </c:pt>
                <c:pt idx="2">
                  <c:v>UBA (2010) - 100% EE *</c:v>
                </c:pt>
                <c:pt idx="3">
                  <c:v>DLR (2011) - Szenario A - 80%</c:v>
                </c:pt>
                <c:pt idx="4">
                  <c:v>DLR (2011) - Szenario B - 80%</c:v>
                </c:pt>
                <c:pt idx="5">
                  <c:v>DLR (2011) - 95%</c:v>
                </c:pt>
                <c:pt idx="6">
                  <c:v>IWES (2014) - 80% *</c:v>
                </c:pt>
                <c:pt idx="7">
                  <c:v>Energiemärkte (2014) - Ref</c:v>
                </c:pt>
                <c:pt idx="8">
                  <c:v>Energiemärkte (2014) - 80 %</c:v>
                </c:pt>
                <c:pt idx="9">
                  <c:v>Ökoinstitut (2015) - Ref</c:v>
                </c:pt>
                <c:pt idx="10">
                  <c:v>Ökoinstitut (2015) - 80 %</c:v>
                </c:pt>
                <c:pt idx="11">
                  <c:v>Ökoinstitut (2015) - 95 %</c:v>
                </c:pt>
                <c:pt idx="12">
                  <c:v>HTW Berlin (2016) - 100%</c:v>
                </c:pt>
                <c:pt idx="13">
                  <c:v>ISE (2016) - 80%</c:v>
                </c:pt>
                <c:pt idx="14">
                  <c:v>BMWi Langfrist (2017) - Ref</c:v>
                </c:pt>
                <c:pt idx="15">
                  <c:v>BMWi Langfrist (2017) - 80 %</c:v>
                </c:pt>
                <c:pt idx="16">
                  <c:v>UBA (2017) - 95 %</c:v>
                </c:pt>
                <c:pt idx="17">
                  <c:v>DENA (2018) - Ref</c:v>
                </c:pt>
                <c:pt idx="18">
                  <c:v>DENA (2018) - EL - 80 %</c:v>
                </c:pt>
                <c:pt idx="19">
                  <c:v>DENA (2018) - TM - 80 %</c:v>
                </c:pt>
                <c:pt idx="20">
                  <c:v>DENA (2018) - EL - 95 %</c:v>
                </c:pt>
                <c:pt idx="21">
                  <c:v>DENA (2018) - TM - 95 %</c:v>
                </c:pt>
                <c:pt idx="22">
                  <c:v>BDI (2018) - Ref</c:v>
                </c:pt>
                <c:pt idx="23">
                  <c:v>BDI (2018) - 80 %</c:v>
                </c:pt>
                <c:pt idx="24">
                  <c:v>BDI (2018) - 95 %</c:v>
                </c:pt>
                <c:pt idx="25">
                  <c:v>ewi (2018) - EEV - 80%</c:v>
                </c:pt>
                <c:pt idx="26">
                  <c:v>ewi (2018) - TO - 80%</c:v>
                </c:pt>
                <c:pt idx="27">
                  <c:v>UBA (2019) - GreenEE - 100%</c:v>
                </c:pt>
                <c:pt idx="28">
                  <c:v>UBA (2019) - GreenSupreme - 100%</c:v>
                </c:pt>
                <c:pt idx="29">
                  <c:v>ISE (2020) - Referenz - 95%</c:v>
                </c:pt>
                <c:pt idx="30">
                  <c:v>ISE (2020) - Inakzeptanz - 95%</c:v>
                </c:pt>
                <c:pt idx="31">
                  <c:v>ISE (2020) - Referenz - 100%</c:v>
                </c:pt>
                <c:pt idx="32">
                  <c:v>ISE (2020) - Update- 100%</c:v>
                </c:pt>
                <c:pt idx="33">
                  <c:v>ISE-KNES45</c:v>
                </c:pt>
                <c:pt idx="34">
                  <c:v>ISE (2021) - Beharrung - 2045 - 100%</c:v>
                </c:pt>
                <c:pt idx="35">
                  <c:v>ISE (2021) - Inakzeptanz - 2045 - 100%</c:v>
                </c:pt>
                <c:pt idx="36">
                  <c:v>ISE (2021) - Suffizenz - 2045 - 100%</c:v>
                </c:pt>
                <c:pt idx="37">
                  <c:v>AGORA (2020) - 2050 - 100%</c:v>
                </c:pt>
                <c:pt idx="38">
                  <c:v>AGORA-KNDE45</c:v>
                </c:pt>
                <c:pt idx="39">
                  <c:v>dena-LSKN</c:v>
                </c:pt>
                <c:pt idx="40">
                  <c:v>BDI-KPF2</c:v>
                </c:pt>
                <c:pt idx="41">
                  <c:v>Ariadne-REMIND</c:v>
                </c:pt>
                <c:pt idx="42">
                  <c:v>Ariadne-REMod</c:v>
                </c:pt>
                <c:pt idx="43">
                  <c:v>Ariadne-TIMES</c:v>
                </c:pt>
                <c:pt idx="44">
                  <c:v>BMWI-LFS3</c:v>
                </c:pt>
                <c:pt idx="45">
                  <c:v>IEK-3 (2019) - 80 %</c:v>
                </c:pt>
              </c:strCache>
            </c:strRef>
          </c:cat>
          <c:val>
            <c:numRef>
              <c:f>Studienvergleich!$C$37:$AV$37</c:f>
              <c:numCache>
                <c:formatCode>0</c:formatCode>
                <c:ptCount val="46"/>
                <c:pt idx="0" formatCode="General">
                  <c:v>726</c:v>
                </c:pt>
                <c:pt idx="2">
                  <c:v>71.7</c:v>
                </c:pt>
                <c:pt idx="3">
                  <c:v>417.00000000000006</c:v>
                </c:pt>
                <c:pt idx="6">
                  <c:v>330</c:v>
                </c:pt>
                <c:pt idx="8" formatCode="General">
                  <c:v>529.31200000000001</c:v>
                </c:pt>
                <c:pt idx="10" formatCode="General">
                  <c:v>282.44800000000004</c:v>
                </c:pt>
                <c:pt idx="11" formatCode="General">
                  <c:v>224.90200000000002</c:v>
                </c:pt>
                <c:pt idx="14">
                  <c:v>600</c:v>
                </c:pt>
                <c:pt idx="15">
                  <c:v>400</c:v>
                </c:pt>
                <c:pt idx="16">
                  <c:v>299</c:v>
                </c:pt>
                <c:pt idx="17" formatCode="General">
                  <c:v>470</c:v>
                </c:pt>
                <c:pt idx="18">
                  <c:v>331</c:v>
                </c:pt>
                <c:pt idx="19">
                  <c:v>401</c:v>
                </c:pt>
                <c:pt idx="20">
                  <c:v>331</c:v>
                </c:pt>
                <c:pt idx="21">
                  <c:v>401</c:v>
                </c:pt>
                <c:pt idx="22">
                  <c:v>574</c:v>
                </c:pt>
                <c:pt idx="23">
                  <c:v>441</c:v>
                </c:pt>
                <c:pt idx="24">
                  <c:v>390</c:v>
                </c:pt>
                <c:pt idx="25">
                  <c:v>339</c:v>
                </c:pt>
                <c:pt idx="26">
                  <c:v>406</c:v>
                </c:pt>
                <c:pt idx="33">
                  <c:v>351</c:v>
                </c:pt>
                <c:pt idx="38">
                  <c:v>334.1</c:v>
                </c:pt>
                <c:pt idx="39">
                  <c:v>328</c:v>
                </c:pt>
                <c:pt idx="40">
                  <c:v>376</c:v>
                </c:pt>
                <c:pt idx="41">
                  <c:v>464.99416666666701</c:v>
                </c:pt>
                <c:pt idx="42">
                  <c:v>489.10612832390399</c:v>
                </c:pt>
                <c:pt idx="43">
                  <c:v>482.3</c:v>
                </c:pt>
                <c:pt idx="44">
                  <c:v>375.10157092646114</c:v>
                </c:pt>
                <c:pt idx="45" formatCode="General">
                  <c:v>352.10204969314429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1D-475E-97B5-79D4402B4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978368"/>
        <c:axId val="425384128"/>
      </c:barChart>
      <c:catAx>
        <c:axId val="4259783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25384128"/>
        <c:crosses val="autoZero"/>
        <c:auto val="1"/>
        <c:lblAlgn val="ctr"/>
        <c:lblOffset val="100"/>
        <c:noMultiLvlLbl val="0"/>
      </c:catAx>
      <c:valAx>
        <c:axId val="4253841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Endenergiebedarf in</a:t>
                </a:r>
                <a:r>
                  <a:rPr lang="de-DE" baseline="0"/>
                  <a:t> TWh/a</a:t>
                </a:r>
                <a:endParaRPr lang="de-DE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25978368"/>
        <c:crosses val="autoZero"/>
        <c:crossBetween val="between"/>
      </c:valAx>
      <c:spPr>
        <a:solidFill>
          <a:sysClr val="window" lastClr="FFFFFF"/>
        </a:solidFill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1744534050179209"/>
          <c:y val="0.73768305555555558"/>
          <c:w val="0.25296684587813623"/>
          <c:h val="0.14828124894885225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659247995649499E-2"/>
          <c:y val="5.3641511762985108E-2"/>
          <c:w val="0.71201922222222214"/>
          <c:h val="0.9162544444444444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Studienvergleich!$B$68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(Studienvergleich!$D$68:$F$68,Studienvergleich!$I$68,Studienvergleich!$K$68,Studienvergleich!$N$68:$P$68,Studienvergleich!$R$68:$S$68,Studienvergleich!$U$68,Studienvergleich!$Z$68,Studienvergleich!$AB$68,Studienvergleich!$AV$68)</c:f>
              <c:numCache>
                <c:formatCode>0</c:formatCode>
                <c:ptCount val="14"/>
                <c:pt idx="0">
                  <c:v>34</c:v>
                </c:pt>
                <c:pt idx="1">
                  <c:v>120</c:v>
                </c:pt>
                <c:pt idx="2">
                  <c:v>67.2</c:v>
                </c:pt>
                <c:pt idx="3">
                  <c:v>200</c:v>
                </c:pt>
                <c:pt idx="4" formatCode="General">
                  <c:v>75</c:v>
                </c:pt>
                <c:pt idx="5" formatCode="General">
                  <c:v>130</c:v>
                </c:pt>
                <c:pt idx="6" formatCode="General">
                  <c:v>415</c:v>
                </c:pt>
                <c:pt idx="7" formatCode="General">
                  <c:v>147</c:v>
                </c:pt>
                <c:pt idx="8">
                  <c:v>69.3</c:v>
                </c:pt>
                <c:pt idx="9">
                  <c:v>236</c:v>
                </c:pt>
                <c:pt idx="10">
                  <c:v>114</c:v>
                </c:pt>
                <c:pt idx="11">
                  <c:v>105</c:v>
                </c:pt>
                <c:pt idx="12">
                  <c:v>102</c:v>
                </c:pt>
                <c:pt idx="13" formatCode="General">
                  <c:v>182.2670495559758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E-4AAC-8F41-4365E8B5E408}"/>
            </c:ext>
          </c:extLst>
        </c:ser>
        <c:ser>
          <c:idx val="1"/>
          <c:order val="1"/>
          <c:tx>
            <c:strRef>
              <c:f>Studienvergleich!$B$69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(Studienvergleich!$D$69:$F$69,Studienvergleich!$I$69,Studienvergleich!$K$69,Studienvergleich!$N$69:$P$69,Studienvergleich!$R$69:$S$69,Studienvergleich!$U$69,Studienvergleich!$Z$69,Studienvergleich!$AB$69,Studienvergleich!$AV$69)</c:f>
              <c:numCache>
                <c:formatCode>0</c:formatCode>
                <c:ptCount val="14"/>
                <c:pt idx="0">
                  <c:v>39</c:v>
                </c:pt>
                <c:pt idx="1">
                  <c:v>60</c:v>
                </c:pt>
                <c:pt idx="2">
                  <c:v>50.8</c:v>
                </c:pt>
                <c:pt idx="3">
                  <c:v>180</c:v>
                </c:pt>
                <c:pt idx="4" formatCode="General">
                  <c:v>64</c:v>
                </c:pt>
                <c:pt idx="5" formatCode="General">
                  <c:v>150</c:v>
                </c:pt>
                <c:pt idx="6" formatCode="General">
                  <c:v>199</c:v>
                </c:pt>
                <c:pt idx="7" formatCode="General">
                  <c:v>120</c:v>
                </c:pt>
                <c:pt idx="8">
                  <c:v>75.400000000000006</c:v>
                </c:pt>
                <c:pt idx="9">
                  <c:v>135</c:v>
                </c:pt>
                <c:pt idx="10">
                  <c:v>171</c:v>
                </c:pt>
                <c:pt idx="11">
                  <c:v>97</c:v>
                </c:pt>
                <c:pt idx="12">
                  <c:v>151</c:v>
                </c:pt>
                <c:pt idx="13" formatCode="General">
                  <c:v>220.84303395231098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CE-4AAC-8F41-4365E8B5E408}"/>
            </c:ext>
          </c:extLst>
        </c:ser>
        <c:ser>
          <c:idx val="2"/>
          <c:order val="2"/>
          <c:tx>
            <c:strRef>
              <c:f>Studienvergleich!$B$70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(Studienvergleich!$D$70:$F$70,Studienvergleich!$I$70,Studienvergleich!$K$70,Studienvergleich!$N$70:$P$70,Studienvergleich!$R$70:$S$70,Studienvergleich!$U$70,Studienvergleich!$Z$70,Studienvergleich!$AB$70,Studienvergleich!$AV$70)</c:f>
              <c:numCache>
                <c:formatCode>0</c:formatCode>
                <c:ptCount val="14"/>
                <c:pt idx="0">
                  <c:v>37</c:v>
                </c:pt>
                <c:pt idx="1">
                  <c:v>45</c:v>
                </c:pt>
                <c:pt idx="2">
                  <c:v>32</c:v>
                </c:pt>
                <c:pt idx="3">
                  <c:v>50</c:v>
                </c:pt>
                <c:pt idx="4" formatCode="General">
                  <c:v>21</c:v>
                </c:pt>
                <c:pt idx="5" formatCode="General">
                  <c:v>45</c:v>
                </c:pt>
                <c:pt idx="6" formatCode="General">
                  <c:v>76</c:v>
                </c:pt>
                <c:pt idx="7" formatCode="General">
                  <c:v>32</c:v>
                </c:pt>
                <c:pt idx="8">
                  <c:v>15</c:v>
                </c:pt>
                <c:pt idx="9">
                  <c:v>24</c:v>
                </c:pt>
                <c:pt idx="10">
                  <c:v>19</c:v>
                </c:pt>
                <c:pt idx="11">
                  <c:v>47</c:v>
                </c:pt>
                <c:pt idx="12">
                  <c:v>15</c:v>
                </c:pt>
                <c:pt idx="13" formatCode="General">
                  <c:v>40.246674428597004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CE-4AAC-8F41-4365E8B5E408}"/>
            </c:ext>
          </c:extLst>
        </c:ser>
        <c:ser>
          <c:idx val="3"/>
          <c:order val="3"/>
          <c:tx>
            <c:strRef>
              <c:f>Studienvergleich!$B$71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(Studienvergleich!$D$71:$F$71,Studienvergleich!$I$71,Studienvergleich!$K$71,Studienvergleich!$N$71:$P$71,Studienvergleich!$R$71:$S$71,Studienvergleich!$U$71,Studienvergleich!$Z$71,Studienvergleich!$AB$71,Studienvergleich!$AV$71)</c:f>
              <c:numCache>
                <c:formatCode>0</c:formatCode>
                <c:ptCount val="14"/>
                <c:pt idx="0">
                  <c:v>8.6999999999999993</c:v>
                </c:pt>
                <c:pt idx="1">
                  <c:v>23.3</c:v>
                </c:pt>
                <c:pt idx="2">
                  <c:v>10.4</c:v>
                </c:pt>
                <c:pt idx="3">
                  <c:v>50</c:v>
                </c:pt>
                <c:pt idx="4" formatCode="General">
                  <c:v>8</c:v>
                </c:pt>
                <c:pt idx="5" formatCode="General">
                  <c:v>0.4</c:v>
                </c:pt>
                <c:pt idx="6" formatCode="General">
                  <c:v>20</c:v>
                </c:pt>
                <c:pt idx="7" formatCode="General">
                  <c:v>0</c:v>
                </c:pt>
                <c:pt idx="8">
                  <c:v>6.1</c:v>
                </c:pt>
                <c:pt idx="9">
                  <c:v>0</c:v>
                </c:pt>
                <c:pt idx="10">
                  <c:v>10</c:v>
                </c:pt>
                <c:pt idx="11">
                  <c:v>7</c:v>
                </c:pt>
                <c:pt idx="12">
                  <c:v>8</c:v>
                </c:pt>
                <c:pt idx="13" formatCode="General">
                  <c:v>24.137459774606079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CE-4AAC-8F41-4365E8B5E408}"/>
            </c:ext>
          </c:extLst>
        </c:ser>
        <c:ser>
          <c:idx val="4"/>
          <c:order val="4"/>
          <c:tx>
            <c:strRef>
              <c:f>Studienvergleich!$B$72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(Studienvergleich!$D$72:$F$72,Studienvergleich!$I$72,Studienvergleich!$K$72,Studienvergleich!$N$72:$P$72,Studienvergleich!$R$72:$S$72,Studienvergleich!$U$72,Studienvergleich!$Z$72,Studienvergleich!$AB$72,Studienvergleich!$AV$72)</c:f>
              <c:numCache>
                <c:formatCode>0</c:formatCode>
                <c:ptCount val="14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</c:v>
                </c:pt>
                <c:pt idx="4" formatCode="General">
                  <c:v>4</c:v>
                </c:pt>
                <c:pt idx="5" formatCode="General">
                  <c:v>5.8</c:v>
                </c:pt>
                <c:pt idx="6" formatCode="General">
                  <c:v>7</c:v>
                </c:pt>
                <c:pt idx="7" formatCode="General">
                  <c:v>5</c:v>
                </c:pt>
                <c:pt idx="8">
                  <c:v>4.4000000000000004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  <c:pt idx="12">
                  <c:v>5</c:v>
                </c:pt>
                <c:pt idx="13" formatCode="General">
                  <c:v>3.3323642120599999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CE-4AAC-8F41-4365E8B5E408}"/>
            </c:ext>
          </c:extLst>
        </c:ser>
        <c:ser>
          <c:idx val="7"/>
          <c:order val="5"/>
          <c:tx>
            <c:strRef>
              <c:f>Studienvergleich!$B$79</c:f>
              <c:strCache>
                <c:ptCount val="1"/>
                <c:pt idx="0">
                  <c:v>Photovoltaics [TWh]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(Studienvergleich!$D$79:$F$79,Studienvergleich!$I$79,Studienvergleich!$K$79,Studienvergleich!$N$79:$P$79,Studienvergleich!$R$79:$S$79,Studienvergleich!$U$79,Studienvergleich!$Z$79,Studienvergleich!$AB$79,Studienvergleich!$AV$79)</c:f>
              <c:numCache>
                <c:formatCode>0</c:formatCode>
                <c:ptCount val="14"/>
                <c:pt idx="0">
                  <c:v>-32.5</c:v>
                </c:pt>
                <c:pt idx="1">
                  <c:v>-104</c:v>
                </c:pt>
                <c:pt idx="2">
                  <c:v>-63.8</c:v>
                </c:pt>
                <c:pt idx="3">
                  <c:v>-190</c:v>
                </c:pt>
                <c:pt idx="4" formatCode="General">
                  <c:v>-73</c:v>
                </c:pt>
                <c:pt idx="5" formatCode="General">
                  <c:v>-123.4</c:v>
                </c:pt>
                <c:pt idx="6" formatCode="General">
                  <c:v>-394</c:v>
                </c:pt>
                <c:pt idx="7" formatCode="General">
                  <c:v>-143</c:v>
                </c:pt>
                <c:pt idx="8">
                  <c:v>-63.2</c:v>
                </c:pt>
                <c:pt idx="9">
                  <c:v>-233</c:v>
                </c:pt>
                <c:pt idx="10">
                  <c:v>-116</c:v>
                </c:pt>
                <c:pt idx="11">
                  <c:v>-100</c:v>
                </c:pt>
                <c:pt idx="12">
                  <c:v>-100</c:v>
                </c:pt>
                <c:pt idx="13" formatCode="General">
                  <c:v>-202.75461983831769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CE-4AAC-8F41-4365E8B5E408}"/>
            </c:ext>
          </c:extLst>
        </c:ser>
        <c:ser>
          <c:idx val="8"/>
          <c:order val="6"/>
          <c:tx>
            <c:strRef>
              <c:f>Studienvergleich!$B$80</c:f>
              <c:strCache>
                <c:ptCount val="1"/>
                <c:pt idx="0">
                  <c:v>Wind (Onshore) [TWh]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(Studienvergleich!$D$80:$F$80,Studienvergleich!$I$80,Studienvergleich!$K$80,Studienvergleich!$N$80:$P$80,Studienvergleich!$R$80:$S$80,Studienvergleich!$U$80,Studienvergleich!$Z$80,Studienvergleich!$AB$80,Studienvergleich!$AV$80)</c:f>
              <c:numCache>
                <c:formatCode>0</c:formatCode>
                <c:ptCount val="14"/>
                <c:pt idx="0">
                  <c:v>-85.8</c:v>
                </c:pt>
                <c:pt idx="1">
                  <c:v>-170</c:v>
                </c:pt>
                <c:pt idx="2">
                  <c:v>-132</c:v>
                </c:pt>
                <c:pt idx="3">
                  <c:v>-486</c:v>
                </c:pt>
                <c:pt idx="4" formatCode="General">
                  <c:v>-136</c:v>
                </c:pt>
                <c:pt idx="5" formatCode="General">
                  <c:v>-389.8</c:v>
                </c:pt>
                <c:pt idx="6" formatCode="General">
                  <c:v>-498</c:v>
                </c:pt>
                <c:pt idx="7" formatCode="General">
                  <c:v>-218</c:v>
                </c:pt>
                <c:pt idx="8">
                  <c:v>-266</c:v>
                </c:pt>
                <c:pt idx="9">
                  <c:v>-435</c:v>
                </c:pt>
                <c:pt idx="10">
                  <c:v>-471</c:v>
                </c:pt>
                <c:pt idx="11">
                  <c:v>-208</c:v>
                </c:pt>
                <c:pt idx="12">
                  <c:v>-318</c:v>
                </c:pt>
                <c:pt idx="13" formatCode="General">
                  <c:v>-289.97760313350369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CE-4AAC-8F41-4365E8B5E408}"/>
            </c:ext>
          </c:extLst>
        </c:ser>
        <c:ser>
          <c:idx val="9"/>
          <c:order val="7"/>
          <c:tx>
            <c:strRef>
              <c:f>Studienvergleich!$B$81</c:f>
              <c:strCache>
                <c:ptCount val="1"/>
                <c:pt idx="0">
                  <c:v>Wind (Offshore) [TWh]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(Studienvergleich!$D$81:$F$81,Studienvergleich!$I$81,Studienvergleich!$K$81,Studienvergleich!$N$81:$P$81,Studienvergleich!$R$81:$S$81,Studienvergleich!$U$81,Studienvergleich!$Z$81,Studienvergleich!$AB$81,Studienvergleich!$AV$81)</c:f>
              <c:numCache>
                <c:formatCode>0</c:formatCode>
                <c:ptCount val="14"/>
                <c:pt idx="0">
                  <c:v>-142.5</c:v>
                </c:pt>
                <c:pt idx="1">
                  <c:v>-177</c:v>
                </c:pt>
                <c:pt idx="2">
                  <c:v>-128</c:v>
                </c:pt>
                <c:pt idx="3">
                  <c:v>-240</c:v>
                </c:pt>
                <c:pt idx="4" formatCode="General">
                  <c:v>-73</c:v>
                </c:pt>
                <c:pt idx="5" formatCode="General">
                  <c:v>-180</c:v>
                </c:pt>
                <c:pt idx="6" formatCode="General">
                  <c:v>-343</c:v>
                </c:pt>
                <c:pt idx="7" formatCode="General">
                  <c:v>-112</c:v>
                </c:pt>
                <c:pt idx="8">
                  <c:v>-69.099999999999994</c:v>
                </c:pt>
                <c:pt idx="9">
                  <c:v>-70</c:v>
                </c:pt>
                <c:pt idx="10">
                  <c:v>-80</c:v>
                </c:pt>
                <c:pt idx="11">
                  <c:v>-188</c:v>
                </c:pt>
                <c:pt idx="12">
                  <c:v>-54</c:v>
                </c:pt>
                <c:pt idx="13" formatCode="General">
                  <c:v>-200.24980752719082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CE-4AAC-8F41-4365E8B5E408}"/>
            </c:ext>
          </c:extLst>
        </c:ser>
        <c:ser>
          <c:idx val="10"/>
          <c:order val="8"/>
          <c:tx>
            <c:strRef>
              <c:f>Studienvergleich!$B$82</c:f>
              <c:strCache>
                <c:ptCount val="1"/>
                <c:pt idx="0">
                  <c:v>Bioenergy [TWh]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(Studienvergleich!$D$82:$F$82,Studienvergleich!$I$82,Studienvergleich!$K$82,Studienvergleich!$N$82:$P$82,Studienvergleich!$R$82:$S$82,Studienvergleich!$U$82,Studienvergleich!$Z$82,Studienvergleich!$AB$82,Studienvergleich!$AV$82)</c:f>
              <c:numCache>
                <c:formatCode>0</c:formatCode>
                <c:ptCount val="14"/>
                <c:pt idx="0">
                  <c:v>-56.6</c:v>
                </c:pt>
                <c:pt idx="1">
                  <c:v>-11</c:v>
                </c:pt>
                <c:pt idx="2">
                  <c:v>-59.2</c:v>
                </c:pt>
                <c:pt idx="3">
                  <c:v>-50</c:v>
                </c:pt>
                <c:pt idx="4" formatCode="General">
                  <c:v>-48</c:v>
                </c:pt>
                <c:pt idx="5" formatCode="General">
                  <c:v>-3.8</c:v>
                </c:pt>
                <c:pt idx="6" formatCode="General">
                  <c:v>-58</c:v>
                </c:pt>
                <c:pt idx="7" formatCode="General">
                  <c:v>0</c:v>
                </c:pt>
                <c:pt idx="8">
                  <c:v>-25.8</c:v>
                </c:pt>
                <c:pt idx="9">
                  <c:v>0</c:v>
                </c:pt>
                <c:pt idx="10">
                  <c:v>-49</c:v>
                </c:pt>
                <c:pt idx="11">
                  <c:v>-33</c:v>
                </c:pt>
                <c:pt idx="12">
                  <c:v>-45.8</c:v>
                </c:pt>
                <c:pt idx="13" formatCode="General">
                  <c:v>-50.314911967165891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CE-4AAC-8F41-4365E8B5E408}"/>
            </c:ext>
          </c:extLst>
        </c:ser>
        <c:ser>
          <c:idx val="11"/>
          <c:order val="9"/>
          <c:tx>
            <c:strRef>
              <c:f>Studienvergleich!$B$83</c:f>
              <c:strCache>
                <c:ptCount val="1"/>
                <c:pt idx="0">
                  <c:v>Hydropower [TWh]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(Studienvergleich!$D$2:$F$2,Studienvergleich!$I$2,Studienvergleich!$K$2,Studienvergleich!$N$2:$P$2,Studienvergleich!$R$2:$S$2,Studienvergleich!$U$2,Studienvergleich!$Z$2,Studienvergleich!$AB$2,Studienvergleich!$AV$2)</c:f>
              <c:strCache>
                <c:ptCount val="14"/>
                <c:pt idx="0">
                  <c:v>BMU (2009) - 80%</c:v>
                </c:pt>
                <c:pt idx="1">
                  <c:v>UBA (2010) - 100% EE *</c:v>
                </c:pt>
                <c:pt idx="2">
                  <c:v>DLR (2011) - Szenario A - 80%</c:v>
                </c:pt>
                <c:pt idx="3">
                  <c:v>IWES (2014) - 80% *</c:v>
                </c:pt>
                <c:pt idx="4">
                  <c:v>Energiemärkte (2014) - 80 %</c:v>
                </c:pt>
                <c:pt idx="5">
                  <c:v>Ökoinstitut (2015) - 95 %</c:v>
                </c:pt>
                <c:pt idx="6">
                  <c:v>HTW Berlin (2016) - 100%</c:v>
                </c:pt>
                <c:pt idx="7">
                  <c:v>ISE (2016) - 80%</c:v>
                </c:pt>
                <c:pt idx="8">
                  <c:v>BMWi Langfrist (2017) - 80 %</c:v>
                </c:pt>
                <c:pt idx="9">
                  <c:v>UBA (2017) - 95 %</c:v>
                </c:pt>
                <c:pt idx="10">
                  <c:v>DENA (2018) - EL - 80 %</c:v>
                </c:pt>
                <c:pt idx="11">
                  <c:v>BDI (2018) - 80 %</c:v>
                </c:pt>
                <c:pt idx="12">
                  <c:v>ewi (2018) - EEV - 80%</c:v>
                </c:pt>
                <c:pt idx="13">
                  <c:v>IEK-3 (2019) - 80 %</c:v>
                </c:pt>
              </c:strCache>
            </c:strRef>
          </c:cat>
          <c:val>
            <c:numRef>
              <c:f>(Studienvergleich!$D$83:$F$83,Studienvergleich!$I$83,Studienvergleich!$K$83,Studienvergleich!$N$83:$P$83,Studienvergleich!$R$83:$S$83,Studienvergleich!$U$83,Studienvergleich!$Z$83,Studienvergleich!$AB$83,Studienvergleich!$AV$83)</c:f>
              <c:numCache>
                <c:formatCode>0</c:formatCode>
                <c:ptCount val="14"/>
                <c:pt idx="0">
                  <c:v>-25</c:v>
                </c:pt>
                <c:pt idx="1">
                  <c:v>-22</c:v>
                </c:pt>
                <c:pt idx="2">
                  <c:v>-25</c:v>
                </c:pt>
                <c:pt idx="3">
                  <c:v>-24</c:v>
                </c:pt>
                <c:pt idx="4" formatCode="General">
                  <c:v>-19</c:v>
                </c:pt>
                <c:pt idx="5" formatCode="General">
                  <c:v>-24.7</c:v>
                </c:pt>
                <c:pt idx="6" formatCode="General">
                  <c:v>-27</c:v>
                </c:pt>
                <c:pt idx="7" formatCode="General">
                  <c:v>-21</c:v>
                </c:pt>
                <c:pt idx="8">
                  <c:v>-18.100000000000001</c:v>
                </c:pt>
                <c:pt idx="9">
                  <c:v>-24</c:v>
                </c:pt>
                <c:pt idx="10">
                  <c:v>-24</c:v>
                </c:pt>
                <c:pt idx="11">
                  <c:v>-21</c:v>
                </c:pt>
                <c:pt idx="12">
                  <c:v>-18.8</c:v>
                </c:pt>
                <c:pt idx="13" formatCode="General">
                  <c:v>-24.408202027414088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CE-4AAC-8F41-4365E8B5E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121600"/>
        <c:axId val="412033600"/>
      </c:barChart>
      <c:catAx>
        <c:axId val="412121600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12033600"/>
        <c:crosses val="max"/>
        <c:auto val="1"/>
        <c:lblAlgn val="ctr"/>
        <c:lblOffset val="1000"/>
        <c:noMultiLvlLbl val="0"/>
      </c:catAx>
      <c:valAx>
        <c:axId val="412033600"/>
        <c:scaling>
          <c:orientation val="minMax"/>
        </c:scaling>
        <c:delete val="0"/>
        <c:axPos val="b"/>
        <c:majorGridlines/>
        <c:numFmt formatCode="#,##0;[Red]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12121600"/>
        <c:crosses val="autoZero"/>
        <c:crossBetween val="between"/>
      </c:valAx>
      <c:spPr>
        <a:solidFill>
          <a:sysClr val="window" lastClr="FFFFFF"/>
        </a:solidFill>
        <a:ln>
          <a:solidFill>
            <a:schemeClr val="tx1"/>
          </a:solidFill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4.8487666666666665E-2"/>
          <c:y val="1.7781222222222223E-2"/>
          <c:w val="0.14657266666666666"/>
          <c:h val="0.31562333333333326"/>
        </c:manualLayout>
      </c:layout>
      <c:overlay val="0"/>
      <c:spPr>
        <a:solidFill>
          <a:sysClr val="window" lastClr="FFFFFF"/>
        </a:solidFill>
        <a:ln>
          <a:noFill/>
        </a:ln>
      </c:spPr>
    </c:legend>
    <c:plotVisOnly val="0"/>
    <c:dispBlanksAs val="zero"/>
    <c:showDLblsOverMax val="0"/>
  </c:chart>
  <c:spPr>
    <a:ln>
      <a:noFill/>
    </a:ln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974444444444459E-2"/>
          <c:y val="9.2113888888888905E-3"/>
          <c:w val="0.71201922222222214"/>
          <c:h val="0.91625444444444448"/>
        </c:manualLayout>
      </c:layout>
      <c:radarChart>
        <c:radarStyle val="marker"/>
        <c:varyColors val="0"/>
        <c:ser>
          <c:idx val="0"/>
          <c:order val="0"/>
          <c:tx>
            <c:strRef>
              <c:f>Studienvergleich!$D$2</c:f>
              <c:strCache>
                <c:ptCount val="1"/>
                <c:pt idx="0">
                  <c:v>BMU (2009) - 80%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Studienvergleich!$D$68:$D$70</c:f>
              <c:numCache>
                <c:formatCode>0</c:formatCode>
                <c:ptCount val="3"/>
                <c:pt idx="0">
                  <c:v>34</c:v>
                </c:pt>
                <c:pt idx="1">
                  <c:v>39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6-4C59-B4A4-3CD81A63EE92}"/>
            </c:ext>
          </c:extLst>
        </c:ser>
        <c:ser>
          <c:idx val="1"/>
          <c:order val="1"/>
          <c:tx>
            <c:strRef>
              <c:f>Studienvergleich!$E$2</c:f>
              <c:strCache>
                <c:ptCount val="1"/>
                <c:pt idx="0">
                  <c:v>UBA (2010) - 100% EE *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Studienvergleich!$E$68:$E$70</c:f>
              <c:numCache>
                <c:formatCode>0</c:formatCode>
                <c:ptCount val="3"/>
                <c:pt idx="0">
                  <c:v>120</c:v>
                </c:pt>
                <c:pt idx="1">
                  <c:v>60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06-4C59-B4A4-3CD81A63EE92}"/>
            </c:ext>
          </c:extLst>
        </c:ser>
        <c:ser>
          <c:idx val="2"/>
          <c:order val="2"/>
          <c:tx>
            <c:strRef>
              <c:f>Studienvergleich!$F$2</c:f>
              <c:strCache>
                <c:ptCount val="1"/>
                <c:pt idx="0">
                  <c:v>DLR (2011) - Szenario A - 80%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Studienvergleich!$F$68:$F$70</c:f>
              <c:numCache>
                <c:formatCode>0</c:formatCode>
                <c:ptCount val="3"/>
                <c:pt idx="0">
                  <c:v>67.2</c:v>
                </c:pt>
                <c:pt idx="1">
                  <c:v>50.8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06-4C59-B4A4-3CD81A63EE92}"/>
            </c:ext>
          </c:extLst>
        </c:ser>
        <c:ser>
          <c:idx val="3"/>
          <c:order val="3"/>
          <c:tx>
            <c:strRef>
              <c:f>Studienvergleich!$I$2</c:f>
              <c:strCache>
                <c:ptCount val="1"/>
                <c:pt idx="0">
                  <c:v>IWES (2014) - 80% *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Studienvergleich!$I$68:$I$70</c:f>
              <c:numCache>
                <c:formatCode>0</c:formatCode>
                <c:ptCount val="3"/>
                <c:pt idx="0">
                  <c:v>200</c:v>
                </c:pt>
                <c:pt idx="1">
                  <c:v>180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06-4C59-B4A4-3CD81A63EE92}"/>
            </c:ext>
          </c:extLst>
        </c:ser>
        <c:ser>
          <c:idx val="4"/>
          <c:order val="4"/>
          <c:tx>
            <c:strRef>
              <c:f>Studienvergleich!$K$2</c:f>
              <c:strCache>
                <c:ptCount val="1"/>
                <c:pt idx="0">
                  <c:v>Energiemärkte (2014) - 80 %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Studienvergleich!$K$68:$K$70</c:f>
              <c:numCache>
                <c:formatCode>General</c:formatCode>
                <c:ptCount val="3"/>
                <c:pt idx="0">
                  <c:v>75</c:v>
                </c:pt>
                <c:pt idx="1">
                  <c:v>64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06-4C59-B4A4-3CD81A63EE92}"/>
            </c:ext>
          </c:extLst>
        </c:ser>
        <c:ser>
          <c:idx val="5"/>
          <c:order val="5"/>
          <c:tx>
            <c:strRef>
              <c:f>Studienvergleich!$N$2</c:f>
              <c:strCache>
                <c:ptCount val="1"/>
                <c:pt idx="0">
                  <c:v>Ökoinstitut (2015) - 95 %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Studienvergleich!$N$68:$N$70</c:f>
              <c:numCache>
                <c:formatCode>General</c:formatCode>
                <c:ptCount val="3"/>
                <c:pt idx="0">
                  <c:v>130</c:v>
                </c:pt>
                <c:pt idx="1">
                  <c:v>150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06-4C59-B4A4-3CD81A63EE92}"/>
            </c:ext>
          </c:extLst>
        </c:ser>
        <c:ser>
          <c:idx val="6"/>
          <c:order val="6"/>
          <c:tx>
            <c:strRef>
              <c:f>Studienvergleich!$O$2</c:f>
              <c:strCache>
                <c:ptCount val="1"/>
                <c:pt idx="0">
                  <c:v>HTW Berlin (2016) - 100%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Studienvergleich!$O$68:$O$70</c:f>
              <c:numCache>
                <c:formatCode>General</c:formatCode>
                <c:ptCount val="3"/>
                <c:pt idx="0">
                  <c:v>415</c:v>
                </c:pt>
                <c:pt idx="1">
                  <c:v>199</c:v>
                </c:pt>
                <c:pt idx="2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06-4C59-B4A4-3CD81A63EE92}"/>
            </c:ext>
          </c:extLst>
        </c:ser>
        <c:ser>
          <c:idx val="7"/>
          <c:order val="7"/>
          <c:tx>
            <c:strRef>
              <c:f>Studienvergleich!$P$2</c:f>
              <c:strCache>
                <c:ptCount val="1"/>
                <c:pt idx="0">
                  <c:v>ISE (2016) - 80%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Studienvergleich!$P$68:$P$70</c:f>
              <c:numCache>
                <c:formatCode>General</c:formatCode>
                <c:ptCount val="3"/>
                <c:pt idx="0">
                  <c:v>147</c:v>
                </c:pt>
                <c:pt idx="1">
                  <c:v>120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06-4C59-B4A4-3CD81A63EE92}"/>
            </c:ext>
          </c:extLst>
        </c:ser>
        <c:ser>
          <c:idx val="8"/>
          <c:order val="8"/>
          <c:tx>
            <c:strRef>
              <c:f>Studienvergleich!$R$2</c:f>
              <c:strCache>
                <c:ptCount val="1"/>
                <c:pt idx="0">
                  <c:v>BMWi Langfrist (2017) - 80 %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Studienvergleich!$R$68:$R$70</c:f>
              <c:numCache>
                <c:formatCode>0</c:formatCode>
                <c:ptCount val="3"/>
                <c:pt idx="0">
                  <c:v>69.3</c:v>
                </c:pt>
                <c:pt idx="1">
                  <c:v>75.400000000000006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06-4C59-B4A4-3CD81A63EE92}"/>
            </c:ext>
          </c:extLst>
        </c:ser>
        <c:ser>
          <c:idx val="9"/>
          <c:order val="9"/>
          <c:tx>
            <c:strRef>
              <c:f>Studienvergleich!$S$2</c:f>
              <c:strCache>
                <c:ptCount val="1"/>
                <c:pt idx="0">
                  <c:v>UBA (2017) - 95 %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Studienvergleich!$S$68:$S$70</c:f>
              <c:numCache>
                <c:formatCode>0</c:formatCode>
                <c:ptCount val="3"/>
                <c:pt idx="0">
                  <c:v>236</c:v>
                </c:pt>
                <c:pt idx="1">
                  <c:v>135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06-4C59-B4A4-3CD81A63EE92}"/>
            </c:ext>
          </c:extLst>
        </c:ser>
        <c:ser>
          <c:idx val="10"/>
          <c:order val="10"/>
          <c:tx>
            <c:strRef>
              <c:f>Studienvergleich!$U$2</c:f>
              <c:strCache>
                <c:ptCount val="1"/>
                <c:pt idx="0">
                  <c:v>DENA (2018) - EL - 80 %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Studienvergleich!$U$68:$U$70</c:f>
              <c:numCache>
                <c:formatCode>0</c:formatCode>
                <c:ptCount val="3"/>
                <c:pt idx="0">
                  <c:v>114</c:v>
                </c:pt>
                <c:pt idx="1">
                  <c:v>171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06-4C59-B4A4-3CD81A63EE92}"/>
            </c:ext>
          </c:extLst>
        </c:ser>
        <c:ser>
          <c:idx val="11"/>
          <c:order val="11"/>
          <c:tx>
            <c:strRef>
              <c:f>Studienvergleich!$Z$2</c:f>
              <c:strCache>
                <c:ptCount val="1"/>
                <c:pt idx="0">
                  <c:v>BDI (2018) - 80 %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Studienvergleich!$Z$68:$Z$70</c:f>
              <c:numCache>
                <c:formatCode>0</c:formatCode>
                <c:ptCount val="3"/>
                <c:pt idx="0">
                  <c:v>105</c:v>
                </c:pt>
                <c:pt idx="1">
                  <c:v>97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06-4C59-B4A4-3CD81A63EE92}"/>
            </c:ext>
          </c:extLst>
        </c:ser>
        <c:ser>
          <c:idx val="12"/>
          <c:order val="12"/>
          <c:tx>
            <c:strRef>
              <c:f>Studienvergleich!$AB$2</c:f>
              <c:strCache>
                <c:ptCount val="1"/>
                <c:pt idx="0">
                  <c:v>ewi (2018) - EEV - 80%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Studienvergleich!$AB$68:$AB$70</c:f>
              <c:numCache>
                <c:formatCode>0</c:formatCode>
                <c:ptCount val="3"/>
                <c:pt idx="0">
                  <c:v>102</c:v>
                </c:pt>
                <c:pt idx="1">
                  <c:v>151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06-4C59-B4A4-3CD81A63EE92}"/>
            </c:ext>
          </c:extLst>
        </c:ser>
        <c:ser>
          <c:idx val="13"/>
          <c:order val="13"/>
          <c:tx>
            <c:strRef>
              <c:f>Studienvergleich!$AV$2</c:f>
              <c:strCache>
                <c:ptCount val="1"/>
                <c:pt idx="0">
                  <c:v>IEK-3 (2019) - 80 %</c:v>
                </c:pt>
              </c:strCache>
            </c:strRef>
          </c:tx>
          <c:cat>
            <c:strRef>
              <c:f>Studienvergleich!$B$68:$B$70</c:f>
              <c:strCache>
                <c:ptCount val="3"/>
                <c:pt idx="0">
                  <c:v>Photovoltaik</c:v>
                </c:pt>
                <c:pt idx="1">
                  <c:v>Wind (Onshore)</c:v>
                </c:pt>
                <c:pt idx="2">
                  <c:v>Wind (Offshore)</c:v>
                </c:pt>
              </c:strCache>
            </c:strRef>
          </c:cat>
          <c:val>
            <c:numRef>
              <c:f>Studienvergleich!$AV$68:$AV$70</c:f>
              <c:numCache>
                <c:formatCode>General</c:formatCode>
                <c:ptCount val="3"/>
                <c:pt idx="0">
                  <c:v>182.2670495559758</c:v>
                </c:pt>
                <c:pt idx="1">
                  <c:v>220.84303395231098</c:v>
                </c:pt>
                <c:pt idx="2">
                  <c:v>40.246674428597004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06-4C59-B4A4-3CD81A63E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19040"/>
        <c:axId val="412035904"/>
      </c:radarChart>
      <c:catAx>
        <c:axId val="412119040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12035904"/>
        <c:crosses val="max"/>
        <c:auto val="1"/>
        <c:lblAlgn val="ctr"/>
        <c:lblOffset val="1000"/>
        <c:noMultiLvlLbl val="0"/>
      </c:catAx>
      <c:valAx>
        <c:axId val="412035904"/>
        <c:scaling>
          <c:orientation val="minMax"/>
        </c:scaling>
        <c:delete val="0"/>
        <c:axPos val="l"/>
        <c:majorGridlines/>
        <c:numFmt formatCode="#,##0;[Red]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12119040"/>
        <c:crosses val="autoZero"/>
        <c:crossBetween val="between"/>
      </c:valAx>
      <c:spPr>
        <a:solidFill>
          <a:sysClr val="window" lastClr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"/>
          <c:y val="2.2484999999999998E-2"/>
          <c:w val="0.24684644444444445"/>
          <c:h val="0.67172129629629629"/>
        </c:manualLayout>
      </c:layout>
      <c:overlay val="0"/>
      <c:spPr>
        <a:solidFill>
          <a:sysClr val="window" lastClr="FFFFFF"/>
        </a:solidFill>
        <a:ln>
          <a:noFill/>
        </a:ln>
      </c:spPr>
    </c:legend>
    <c:plotVisOnly val="0"/>
    <c:dispBlanksAs val="zero"/>
    <c:showDLblsOverMax val="0"/>
  </c:chart>
  <c:spPr>
    <a:ln>
      <a:noFill/>
    </a:ln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806756272401435"/>
          <c:y val="9.2113888888888905E-3"/>
          <c:w val="0.59174157706093189"/>
          <c:h val="0.9233099999999999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Studienvergleich!$B$89</c:f>
              <c:strCache>
                <c:ptCount val="1"/>
                <c:pt idx="0">
                  <c:v>Import</c:v>
                </c:pt>
              </c:strCache>
            </c:strRef>
          </c:tx>
          <c:invertIfNegative val="0"/>
          <c:cat>
            <c:strRef>
              <c:f>Studienvergleich!$C$2:$AV$2</c:f>
              <c:strCache>
                <c:ptCount val="46"/>
                <c:pt idx="0">
                  <c:v>AGEB für 2013</c:v>
                </c:pt>
                <c:pt idx="1">
                  <c:v>BMU (2009) - 80%</c:v>
                </c:pt>
                <c:pt idx="2">
                  <c:v>UBA (2010) - 100% EE *</c:v>
                </c:pt>
                <c:pt idx="3">
                  <c:v>DLR (2011) - Szenario A - 80%</c:v>
                </c:pt>
                <c:pt idx="4">
                  <c:v>DLR (2011) - Szenario B - 80%</c:v>
                </c:pt>
                <c:pt idx="5">
                  <c:v>DLR (2011) - 95%</c:v>
                </c:pt>
                <c:pt idx="6">
                  <c:v>IWES (2014) - 80% *</c:v>
                </c:pt>
                <c:pt idx="7">
                  <c:v>Energiemärkte (2014) - Ref</c:v>
                </c:pt>
                <c:pt idx="8">
                  <c:v>Energiemärkte (2014) - 80 %</c:v>
                </c:pt>
                <c:pt idx="9">
                  <c:v>Ökoinstitut (2015) - Ref</c:v>
                </c:pt>
                <c:pt idx="10">
                  <c:v>Ökoinstitut (2015) - 80 %</c:v>
                </c:pt>
                <c:pt idx="11">
                  <c:v>Ökoinstitut (2015) - 95 %</c:v>
                </c:pt>
                <c:pt idx="12">
                  <c:v>HTW Berlin (2016) - 100%</c:v>
                </c:pt>
                <c:pt idx="13">
                  <c:v>ISE (2016) - 80%</c:v>
                </c:pt>
                <c:pt idx="14">
                  <c:v>BMWi Langfrist (2017) - Ref</c:v>
                </c:pt>
                <c:pt idx="15">
                  <c:v>BMWi Langfrist (2017) - 80 %</c:v>
                </c:pt>
                <c:pt idx="16">
                  <c:v>UBA (2017) - 95 %</c:v>
                </c:pt>
                <c:pt idx="17">
                  <c:v>DENA (2018) - Ref</c:v>
                </c:pt>
                <c:pt idx="18">
                  <c:v>DENA (2018) - EL - 80 %</c:v>
                </c:pt>
                <c:pt idx="19">
                  <c:v>DENA (2018) - TM - 80 %</c:v>
                </c:pt>
                <c:pt idx="20">
                  <c:v>DENA (2018) - EL - 95 %</c:v>
                </c:pt>
                <c:pt idx="21">
                  <c:v>DENA (2018) - TM - 95 %</c:v>
                </c:pt>
                <c:pt idx="22">
                  <c:v>BDI (2018) - Ref</c:v>
                </c:pt>
                <c:pt idx="23">
                  <c:v>BDI (2018) - 80 %</c:v>
                </c:pt>
                <c:pt idx="24">
                  <c:v>BDI (2018) - 95 %</c:v>
                </c:pt>
                <c:pt idx="25">
                  <c:v>ewi (2018) - EEV - 80%</c:v>
                </c:pt>
                <c:pt idx="26">
                  <c:v>ewi (2018) - TO - 80%</c:v>
                </c:pt>
                <c:pt idx="27">
                  <c:v>UBA (2019) - GreenEE - 100%</c:v>
                </c:pt>
                <c:pt idx="28">
                  <c:v>UBA (2019) - GreenSupreme - 100%</c:v>
                </c:pt>
                <c:pt idx="29">
                  <c:v>ISE (2020) - Referenz - 95%</c:v>
                </c:pt>
                <c:pt idx="30">
                  <c:v>ISE (2020) - Inakzeptanz - 95%</c:v>
                </c:pt>
                <c:pt idx="31">
                  <c:v>ISE (2020) - Referenz - 100%</c:v>
                </c:pt>
                <c:pt idx="32">
                  <c:v>ISE (2020) - Update- 100%</c:v>
                </c:pt>
                <c:pt idx="33">
                  <c:v>ISE-KNES45</c:v>
                </c:pt>
                <c:pt idx="34">
                  <c:v>ISE (2021) - Beharrung - 2045 - 100%</c:v>
                </c:pt>
                <c:pt idx="35">
                  <c:v>ISE (2021) - Inakzeptanz - 2045 - 100%</c:v>
                </c:pt>
                <c:pt idx="36">
                  <c:v>ISE (2021) - Suffizenz - 2045 - 100%</c:v>
                </c:pt>
                <c:pt idx="37">
                  <c:v>AGORA (2020) - 2050 - 100%</c:v>
                </c:pt>
                <c:pt idx="38">
                  <c:v>AGORA-KNDE45</c:v>
                </c:pt>
                <c:pt idx="39">
                  <c:v>dena-LSKN</c:v>
                </c:pt>
                <c:pt idx="40">
                  <c:v>BDI-KPF2</c:v>
                </c:pt>
                <c:pt idx="41">
                  <c:v>Ariadne-REMIND</c:v>
                </c:pt>
                <c:pt idx="42">
                  <c:v>Ariadne-REMod</c:v>
                </c:pt>
                <c:pt idx="43">
                  <c:v>Ariadne-TIMES</c:v>
                </c:pt>
                <c:pt idx="44">
                  <c:v>BMWI-LFS3</c:v>
                </c:pt>
                <c:pt idx="45">
                  <c:v>IEK-3 (2019) - 80 %</c:v>
                </c:pt>
              </c:strCache>
            </c:strRef>
          </c:cat>
          <c:val>
            <c:numRef>
              <c:f>Studienvergleich!$C$89:$AV$89</c:f>
              <c:numCache>
                <c:formatCode>0</c:formatCode>
                <c:ptCount val="46"/>
                <c:pt idx="1">
                  <c:v>-123.2</c:v>
                </c:pt>
                <c:pt idx="2">
                  <c:v>-29.5</c:v>
                </c:pt>
                <c:pt idx="3">
                  <c:v>-62</c:v>
                </c:pt>
                <c:pt idx="6">
                  <c:v>0</c:v>
                </c:pt>
                <c:pt idx="8" formatCode="General">
                  <c:v>0</c:v>
                </c:pt>
                <c:pt idx="10" formatCode="General">
                  <c:v>-6.3</c:v>
                </c:pt>
                <c:pt idx="11" formatCode="General">
                  <c:v>-15.5</c:v>
                </c:pt>
                <c:pt idx="12" formatCode="General">
                  <c:v>0</c:v>
                </c:pt>
                <c:pt idx="13" formatCode="General">
                  <c:v>-2</c:v>
                </c:pt>
                <c:pt idx="17" formatCode="General">
                  <c:v>0</c:v>
                </c:pt>
                <c:pt idx="18">
                  <c:v>-15</c:v>
                </c:pt>
                <c:pt idx="19">
                  <c:v>0</c:v>
                </c:pt>
                <c:pt idx="20">
                  <c:v>-136</c:v>
                </c:pt>
                <c:pt idx="21">
                  <c:v>0</c:v>
                </c:pt>
                <c:pt idx="22">
                  <c:v>-60</c:v>
                </c:pt>
                <c:pt idx="23">
                  <c:v>-68</c:v>
                </c:pt>
                <c:pt idx="24">
                  <c:v>-82</c:v>
                </c:pt>
                <c:pt idx="25">
                  <c:v>-163</c:v>
                </c:pt>
                <c:pt idx="26">
                  <c:v>-25</c:v>
                </c:pt>
                <c:pt idx="33">
                  <c:v>-19</c:v>
                </c:pt>
                <c:pt idx="45" formatCode="General">
                  <c:v>-82.470811288803446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E-4A33-A310-6B98D1ADF335}"/>
            </c:ext>
          </c:extLst>
        </c:ser>
        <c:ser>
          <c:idx val="1"/>
          <c:order val="1"/>
          <c:tx>
            <c:strRef>
              <c:f>Studienvergleich!$B$90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Studienvergleich!$C$2:$AV$2</c:f>
              <c:strCache>
                <c:ptCount val="46"/>
                <c:pt idx="0">
                  <c:v>AGEB für 2013</c:v>
                </c:pt>
                <c:pt idx="1">
                  <c:v>BMU (2009) - 80%</c:v>
                </c:pt>
                <c:pt idx="2">
                  <c:v>UBA (2010) - 100% EE *</c:v>
                </c:pt>
                <c:pt idx="3">
                  <c:v>DLR (2011) - Szenario A - 80%</c:v>
                </c:pt>
                <c:pt idx="4">
                  <c:v>DLR (2011) - Szenario B - 80%</c:v>
                </c:pt>
                <c:pt idx="5">
                  <c:v>DLR (2011) - 95%</c:v>
                </c:pt>
                <c:pt idx="6">
                  <c:v>IWES (2014) - 80% *</c:v>
                </c:pt>
                <c:pt idx="7">
                  <c:v>Energiemärkte (2014) - Ref</c:v>
                </c:pt>
                <c:pt idx="8">
                  <c:v>Energiemärkte (2014) - 80 %</c:v>
                </c:pt>
                <c:pt idx="9">
                  <c:v>Ökoinstitut (2015) - Ref</c:v>
                </c:pt>
                <c:pt idx="10">
                  <c:v>Ökoinstitut (2015) - 80 %</c:v>
                </c:pt>
                <c:pt idx="11">
                  <c:v>Ökoinstitut (2015) - 95 %</c:v>
                </c:pt>
                <c:pt idx="12">
                  <c:v>HTW Berlin (2016) - 100%</c:v>
                </c:pt>
                <c:pt idx="13">
                  <c:v>ISE (2016) - 80%</c:v>
                </c:pt>
                <c:pt idx="14">
                  <c:v>BMWi Langfrist (2017) - Ref</c:v>
                </c:pt>
                <c:pt idx="15">
                  <c:v>BMWi Langfrist (2017) - 80 %</c:v>
                </c:pt>
                <c:pt idx="16">
                  <c:v>UBA (2017) - 95 %</c:v>
                </c:pt>
                <c:pt idx="17">
                  <c:v>DENA (2018) - Ref</c:v>
                </c:pt>
                <c:pt idx="18">
                  <c:v>DENA (2018) - EL - 80 %</c:v>
                </c:pt>
                <c:pt idx="19">
                  <c:v>DENA (2018) - TM - 80 %</c:v>
                </c:pt>
                <c:pt idx="20">
                  <c:v>DENA (2018) - EL - 95 %</c:v>
                </c:pt>
                <c:pt idx="21">
                  <c:v>DENA (2018) - TM - 95 %</c:v>
                </c:pt>
                <c:pt idx="22">
                  <c:v>BDI (2018) - Ref</c:v>
                </c:pt>
                <c:pt idx="23">
                  <c:v>BDI (2018) - 80 %</c:v>
                </c:pt>
                <c:pt idx="24">
                  <c:v>BDI (2018) - 95 %</c:v>
                </c:pt>
                <c:pt idx="25">
                  <c:v>ewi (2018) - EEV - 80%</c:v>
                </c:pt>
                <c:pt idx="26">
                  <c:v>ewi (2018) - TO - 80%</c:v>
                </c:pt>
                <c:pt idx="27">
                  <c:v>UBA (2019) - GreenEE - 100%</c:v>
                </c:pt>
                <c:pt idx="28">
                  <c:v>UBA (2019) - GreenSupreme - 100%</c:v>
                </c:pt>
                <c:pt idx="29">
                  <c:v>ISE (2020) - Referenz - 95%</c:v>
                </c:pt>
                <c:pt idx="30">
                  <c:v>ISE (2020) - Inakzeptanz - 95%</c:v>
                </c:pt>
                <c:pt idx="31">
                  <c:v>ISE (2020) - Referenz - 100%</c:v>
                </c:pt>
                <c:pt idx="32">
                  <c:v>ISE (2020) - Update- 100%</c:v>
                </c:pt>
                <c:pt idx="33">
                  <c:v>ISE-KNES45</c:v>
                </c:pt>
                <c:pt idx="34">
                  <c:v>ISE (2021) - Beharrung - 2045 - 100%</c:v>
                </c:pt>
                <c:pt idx="35">
                  <c:v>ISE (2021) - Inakzeptanz - 2045 - 100%</c:v>
                </c:pt>
                <c:pt idx="36">
                  <c:v>ISE (2021) - Suffizenz - 2045 - 100%</c:v>
                </c:pt>
                <c:pt idx="37">
                  <c:v>AGORA (2020) - 2050 - 100%</c:v>
                </c:pt>
                <c:pt idx="38">
                  <c:v>AGORA-KNDE45</c:v>
                </c:pt>
                <c:pt idx="39">
                  <c:v>dena-LSKN</c:v>
                </c:pt>
                <c:pt idx="40">
                  <c:v>BDI-KPF2</c:v>
                </c:pt>
                <c:pt idx="41">
                  <c:v>Ariadne-REMIND</c:v>
                </c:pt>
                <c:pt idx="42">
                  <c:v>Ariadne-REMod</c:v>
                </c:pt>
                <c:pt idx="43">
                  <c:v>Ariadne-TIMES</c:v>
                </c:pt>
                <c:pt idx="44">
                  <c:v>BMWI-LFS3</c:v>
                </c:pt>
                <c:pt idx="45">
                  <c:v>IEK-3 (2019) - 80 %</c:v>
                </c:pt>
              </c:strCache>
            </c:strRef>
          </c:cat>
          <c:val>
            <c:numRef>
              <c:f>Studienvergleich!$C$90:$AV$90</c:f>
              <c:numCache>
                <c:formatCode>0</c:formatCode>
                <c:ptCount val="46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6">
                  <c:v>0</c:v>
                </c:pt>
                <c:pt idx="8" formatCode="General">
                  <c:v>7</c:v>
                </c:pt>
                <c:pt idx="10" formatCode="General">
                  <c:v>7.9</c:v>
                </c:pt>
                <c:pt idx="11" formatCode="General">
                  <c:v>8.5</c:v>
                </c:pt>
                <c:pt idx="12" formatCode="General">
                  <c:v>0</c:v>
                </c:pt>
                <c:pt idx="13" formatCode="General">
                  <c:v>11</c:v>
                </c:pt>
                <c:pt idx="17" formatCode="General">
                  <c:v>44</c:v>
                </c:pt>
                <c:pt idx="18">
                  <c:v>0</c:v>
                </c:pt>
                <c:pt idx="19">
                  <c:v>22</c:v>
                </c:pt>
                <c:pt idx="20">
                  <c:v>0</c:v>
                </c:pt>
                <c:pt idx="21">
                  <c:v>29</c:v>
                </c:pt>
                <c:pt idx="22">
                  <c:v>95</c:v>
                </c:pt>
                <c:pt idx="23">
                  <c:v>92</c:v>
                </c:pt>
                <c:pt idx="24">
                  <c:v>86</c:v>
                </c:pt>
                <c:pt idx="25">
                  <c:v>0</c:v>
                </c:pt>
                <c:pt idx="26">
                  <c:v>0</c:v>
                </c:pt>
                <c:pt idx="33">
                  <c:v>-53</c:v>
                </c:pt>
                <c:pt idx="45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E-4A33-A310-6B98D1ADF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574912"/>
        <c:axId val="412039360"/>
      </c:barChart>
      <c:catAx>
        <c:axId val="42557491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high"/>
        <c:spPr>
          <a:ln>
            <a:solidFill>
              <a:schemeClr val="tx1"/>
            </a:solidFill>
          </a:ln>
        </c:spPr>
        <c:crossAx val="412039360"/>
        <c:crosses val="autoZero"/>
        <c:auto val="1"/>
        <c:lblAlgn val="ctr"/>
        <c:lblOffset val="100"/>
        <c:noMultiLvlLbl val="0"/>
      </c:catAx>
      <c:valAx>
        <c:axId val="4120393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Im-/Export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#,##0;[Red]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25574912"/>
        <c:crosses val="autoZero"/>
        <c:crossBetween val="between"/>
      </c:valAx>
      <c:spPr>
        <a:solidFill>
          <a:sysClr val="window" lastClr="FFFFFF"/>
        </a:solidFill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9.8360829143030376E-2"/>
          <c:y val="0.40846787543139301"/>
          <c:w val="0.10634000103516937"/>
          <c:h val="6.4897628878419572E-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8216856841561458"/>
          <c:y val="9.2113888888888905E-3"/>
          <c:w val="0.55764059853761372"/>
          <c:h val="0.9233099999999999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Studienvergleich!$B$42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Studienvergleich!$Q$2:$AV$2</c:f>
              <c:strCache>
                <c:ptCount val="32"/>
                <c:pt idx="0">
                  <c:v>BMWi Langfrist (2017) - Ref</c:v>
                </c:pt>
                <c:pt idx="1">
                  <c:v>BMWi Langfrist (2017) - 80 %</c:v>
                </c:pt>
                <c:pt idx="2">
                  <c:v>UBA (2017) - 95 %</c:v>
                </c:pt>
                <c:pt idx="3">
                  <c:v>DENA (2018) - Ref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Ref</c:v>
                </c:pt>
                <c:pt idx="9">
                  <c:v>BDI (2018) - 80 %</c:v>
                </c:pt>
                <c:pt idx="10">
                  <c:v>BDI (2018) - 95 %</c:v>
                </c:pt>
                <c:pt idx="11">
                  <c:v>ewi (2018) - EEV - 80%</c:v>
                </c:pt>
                <c:pt idx="12">
                  <c:v>ewi (2018) - TO - 80%</c:v>
                </c:pt>
                <c:pt idx="13">
                  <c:v>UBA (2019) - GreenEE - 100%</c:v>
                </c:pt>
                <c:pt idx="14">
                  <c:v>UBA (2019) - GreenSupreme - 100%</c:v>
                </c:pt>
                <c:pt idx="15">
                  <c:v>ISE (2020) - Referenz - 95%</c:v>
                </c:pt>
                <c:pt idx="16">
                  <c:v>ISE (2020) - Inakzeptanz - 95%</c:v>
                </c:pt>
                <c:pt idx="17">
                  <c:v>ISE (2020) - Referenz - 100%</c:v>
                </c:pt>
                <c:pt idx="18">
                  <c:v>ISE (2020) - Update- 100%</c:v>
                </c:pt>
                <c:pt idx="19">
                  <c:v>ISE-KNES45</c:v>
                </c:pt>
                <c:pt idx="20">
                  <c:v>ISE (2021) - Beharrung - 2045 - 100%</c:v>
                </c:pt>
                <c:pt idx="21">
                  <c:v>ISE (2021) - Inakzeptanz - 2045 - 100%</c:v>
                </c:pt>
                <c:pt idx="22">
                  <c:v>ISE (2021) - Suffizenz - 2045 - 100%</c:v>
                </c:pt>
                <c:pt idx="23">
                  <c:v>AGORA (2020) - 2050 - 100%</c:v>
                </c:pt>
                <c:pt idx="24">
                  <c:v>AGORA-KNDE45</c:v>
                </c:pt>
                <c:pt idx="25">
                  <c:v>dena-LSKN</c:v>
                </c:pt>
                <c:pt idx="26">
                  <c:v>BDI-KPF2</c:v>
                </c:pt>
                <c:pt idx="27">
                  <c:v>Ariadne-REMIND</c:v>
                </c:pt>
                <c:pt idx="28">
                  <c:v>Ariadne-REMod</c:v>
                </c:pt>
                <c:pt idx="29">
                  <c:v>Ariadne-TIMES</c:v>
                </c:pt>
                <c:pt idx="30">
                  <c:v>BMWI-LFS3</c:v>
                </c:pt>
                <c:pt idx="31">
                  <c:v>IEK-3 (2019) - 80 %</c:v>
                </c:pt>
              </c:strCache>
            </c:strRef>
          </c:cat>
          <c:val>
            <c:numRef>
              <c:f>Studienvergleich!$Q$42:$AV$42</c:f>
              <c:numCache>
                <c:formatCode>0</c:formatCode>
                <c:ptCount val="32"/>
                <c:pt idx="0">
                  <c:v>214.9</c:v>
                </c:pt>
                <c:pt idx="1">
                  <c:v>34.799999999999997</c:v>
                </c:pt>
                <c:pt idx="2">
                  <c:v>0</c:v>
                </c:pt>
                <c:pt idx="3" formatCode="General">
                  <c:v>104</c:v>
                </c:pt>
                <c:pt idx="4" formatCode="General">
                  <c:v>76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122</c:v>
                </c:pt>
                <c:pt idx="9">
                  <c:v>45</c:v>
                </c:pt>
                <c:pt idx="10">
                  <c:v>1</c:v>
                </c:pt>
                <c:pt idx="11">
                  <c:v>21</c:v>
                </c:pt>
                <c:pt idx="12">
                  <c:v>14</c:v>
                </c:pt>
                <c:pt idx="19">
                  <c:v>0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2.17</c:v>
                </c:pt>
                <c:pt idx="28">
                  <c:v>0</c:v>
                </c:pt>
                <c:pt idx="29">
                  <c:v>8</c:v>
                </c:pt>
                <c:pt idx="30">
                  <c:v>0</c:v>
                </c:pt>
                <c:pt idx="31" formatCode="General">
                  <c:v>6.668522372535743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4-4C21-A687-96E67BF388A3}"/>
            </c:ext>
          </c:extLst>
        </c:ser>
        <c:ser>
          <c:idx val="1"/>
          <c:order val="1"/>
          <c:tx>
            <c:strRef>
              <c:f>Studienvergleich!$B$43</c:f>
              <c:strCache>
                <c:ptCount val="1"/>
                <c:pt idx="0">
                  <c:v>Buildings, GHD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Studienvergleich!$Q$2:$AV$2</c:f>
              <c:strCache>
                <c:ptCount val="32"/>
                <c:pt idx="0">
                  <c:v>BMWi Langfrist (2017) - Ref</c:v>
                </c:pt>
                <c:pt idx="1">
                  <c:v>BMWi Langfrist (2017) - 80 %</c:v>
                </c:pt>
                <c:pt idx="2">
                  <c:v>UBA (2017) - 95 %</c:v>
                </c:pt>
                <c:pt idx="3">
                  <c:v>DENA (2018) - Ref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Ref</c:v>
                </c:pt>
                <c:pt idx="9">
                  <c:v>BDI (2018) - 80 %</c:v>
                </c:pt>
                <c:pt idx="10">
                  <c:v>BDI (2018) - 95 %</c:v>
                </c:pt>
                <c:pt idx="11">
                  <c:v>ewi (2018) - EEV - 80%</c:v>
                </c:pt>
                <c:pt idx="12">
                  <c:v>ewi (2018) - TO - 80%</c:v>
                </c:pt>
                <c:pt idx="13">
                  <c:v>UBA (2019) - GreenEE - 100%</c:v>
                </c:pt>
                <c:pt idx="14">
                  <c:v>UBA (2019) - GreenSupreme - 100%</c:v>
                </c:pt>
                <c:pt idx="15">
                  <c:v>ISE (2020) - Referenz - 95%</c:v>
                </c:pt>
                <c:pt idx="16">
                  <c:v>ISE (2020) - Inakzeptanz - 95%</c:v>
                </c:pt>
                <c:pt idx="17">
                  <c:v>ISE (2020) - Referenz - 100%</c:v>
                </c:pt>
                <c:pt idx="18">
                  <c:v>ISE (2020) - Update- 100%</c:v>
                </c:pt>
                <c:pt idx="19">
                  <c:v>ISE-KNES45</c:v>
                </c:pt>
                <c:pt idx="20">
                  <c:v>ISE (2021) - Beharrung - 2045 - 100%</c:v>
                </c:pt>
                <c:pt idx="21">
                  <c:v>ISE (2021) - Inakzeptanz - 2045 - 100%</c:v>
                </c:pt>
                <c:pt idx="22">
                  <c:v>ISE (2021) - Suffizenz - 2045 - 100%</c:v>
                </c:pt>
                <c:pt idx="23">
                  <c:v>AGORA (2020) - 2050 - 100%</c:v>
                </c:pt>
                <c:pt idx="24">
                  <c:v>AGORA-KNDE45</c:v>
                </c:pt>
                <c:pt idx="25">
                  <c:v>dena-LSKN</c:v>
                </c:pt>
                <c:pt idx="26">
                  <c:v>BDI-KPF2</c:v>
                </c:pt>
                <c:pt idx="27">
                  <c:v>Ariadne-REMIND</c:v>
                </c:pt>
                <c:pt idx="28">
                  <c:v>Ariadne-REMod</c:v>
                </c:pt>
                <c:pt idx="29">
                  <c:v>Ariadne-TIMES</c:v>
                </c:pt>
                <c:pt idx="30">
                  <c:v>BMWI-LFS3</c:v>
                </c:pt>
                <c:pt idx="31">
                  <c:v>IEK-3 (2019) - 80 %</c:v>
                </c:pt>
              </c:strCache>
            </c:strRef>
          </c:cat>
          <c:val>
            <c:numRef>
              <c:f>Studienvergleich!$Q$43:$AV$43</c:f>
              <c:numCache>
                <c:formatCode>0</c:formatCode>
                <c:ptCount val="32"/>
                <c:pt idx="0">
                  <c:v>52.1</c:v>
                </c:pt>
                <c:pt idx="1">
                  <c:v>29.4</c:v>
                </c:pt>
                <c:pt idx="2">
                  <c:v>0</c:v>
                </c:pt>
                <c:pt idx="3" formatCode="General">
                  <c:v>61</c:v>
                </c:pt>
                <c:pt idx="4" formatCode="General">
                  <c:v>5</c:v>
                </c:pt>
                <c:pt idx="5">
                  <c:v>40</c:v>
                </c:pt>
                <c:pt idx="6">
                  <c:v>0</c:v>
                </c:pt>
                <c:pt idx="7">
                  <c:v>0</c:v>
                </c:pt>
                <c:pt idx="8">
                  <c:v>62</c:v>
                </c:pt>
                <c:pt idx="9">
                  <c:v>16</c:v>
                </c:pt>
                <c:pt idx="10">
                  <c:v>0</c:v>
                </c:pt>
                <c:pt idx="11">
                  <c:v>30</c:v>
                </c:pt>
                <c:pt idx="12">
                  <c:v>35</c:v>
                </c:pt>
                <c:pt idx="19">
                  <c:v>0</c:v>
                </c:pt>
                <c:pt idx="24">
                  <c:v>2.5872389760644614</c:v>
                </c:pt>
                <c:pt idx="25">
                  <c:v>2</c:v>
                </c:pt>
                <c:pt idx="26">
                  <c:v>0</c:v>
                </c:pt>
                <c:pt idx="27">
                  <c:v>0.4834021</c:v>
                </c:pt>
                <c:pt idx="28">
                  <c:v>0</c:v>
                </c:pt>
                <c:pt idx="29">
                  <c:v>1.4999999999999999E-2</c:v>
                </c:pt>
                <c:pt idx="30">
                  <c:v>0</c:v>
                </c:pt>
                <c:pt idx="31" formatCode="General">
                  <c:v>10.504450842227008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64-4C21-A687-96E67BF388A3}"/>
            </c:ext>
          </c:extLst>
        </c:ser>
        <c:ser>
          <c:idx val="2"/>
          <c:order val="2"/>
          <c:tx>
            <c:strRef>
              <c:f>Studienvergleich!$B$44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Studienvergleich!$Q$2:$AV$2</c:f>
              <c:strCache>
                <c:ptCount val="32"/>
                <c:pt idx="0">
                  <c:v>BMWi Langfrist (2017) - Ref</c:v>
                </c:pt>
                <c:pt idx="1">
                  <c:v>BMWi Langfrist (2017) - 80 %</c:v>
                </c:pt>
                <c:pt idx="2">
                  <c:v>UBA (2017) - 95 %</c:v>
                </c:pt>
                <c:pt idx="3">
                  <c:v>DENA (2018) - Ref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Ref</c:v>
                </c:pt>
                <c:pt idx="9">
                  <c:v>BDI (2018) - 80 %</c:v>
                </c:pt>
                <c:pt idx="10">
                  <c:v>BDI (2018) - 95 %</c:v>
                </c:pt>
                <c:pt idx="11">
                  <c:v>ewi (2018) - EEV - 80%</c:v>
                </c:pt>
                <c:pt idx="12">
                  <c:v>ewi (2018) - TO - 80%</c:v>
                </c:pt>
                <c:pt idx="13">
                  <c:v>UBA (2019) - GreenEE - 100%</c:v>
                </c:pt>
                <c:pt idx="14">
                  <c:v>UBA (2019) - GreenSupreme - 100%</c:v>
                </c:pt>
                <c:pt idx="15">
                  <c:v>ISE (2020) - Referenz - 95%</c:v>
                </c:pt>
                <c:pt idx="16">
                  <c:v>ISE (2020) - Inakzeptanz - 95%</c:v>
                </c:pt>
                <c:pt idx="17">
                  <c:v>ISE (2020) - Referenz - 100%</c:v>
                </c:pt>
                <c:pt idx="18">
                  <c:v>ISE (2020) - Update- 100%</c:v>
                </c:pt>
                <c:pt idx="19">
                  <c:v>ISE-KNES45</c:v>
                </c:pt>
                <c:pt idx="20">
                  <c:v>ISE (2021) - Beharrung - 2045 - 100%</c:v>
                </c:pt>
                <c:pt idx="21">
                  <c:v>ISE (2021) - Inakzeptanz - 2045 - 100%</c:v>
                </c:pt>
                <c:pt idx="22">
                  <c:v>ISE (2021) - Suffizenz - 2045 - 100%</c:v>
                </c:pt>
                <c:pt idx="23">
                  <c:v>AGORA (2020) - 2050 - 100%</c:v>
                </c:pt>
                <c:pt idx="24">
                  <c:v>AGORA-KNDE45</c:v>
                </c:pt>
                <c:pt idx="25">
                  <c:v>dena-LSKN</c:v>
                </c:pt>
                <c:pt idx="26">
                  <c:v>BDI-KPF2</c:v>
                </c:pt>
                <c:pt idx="27">
                  <c:v>Ariadne-REMIND</c:v>
                </c:pt>
                <c:pt idx="28">
                  <c:v>Ariadne-REMod</c:v>
                </c:pt>
                <c:pt idx="29">
                  <c:v>Ariadne-TIMES</c:v>
                </c:pt>
                <c:pt idx="30">
                  <c:v>BMWI-LFS3</c:v>
                </c:pt>
                <c:pt idx="31">
                  <c:v>IEK-3 (2019) - 80 %</c:v>
                </c:pt>
              </c:strCache>
            </c:strRef>
          </c:cat>
          <c:val>
            <c:numRef>
              <c:f>Studienvergleich!$Q$44:$AV$44</c:f>
              <c:numCache>
                <c:formatCode>0</c:formatCode>
                <c:ptCount val="32"/>
                <c:pt idx="0">
                  <c:v>127.19999999999999</c:v>
                </c:pt>
                <c:pt idx="1">
                  <c:v>51.8</c:v>
                </c:pt>
                <c:pt idx="2">
                  <c:v>10</c:v>
                </c:pt>
                <c:pt idx="3" formatCode="General">
                  <c:v>155</c:v>
                </c:pt>
                <c:pt idx="4" formatCode="General">
                  <c:v>98</c:v>
                </c:pt>
                <c:pt idx="5">
                  <c:v>134</c:v>
                </c:pt>
                <c:pt idx="6">
                  <c:v>27</c:v>
                </c:pt>
                <c:pt idx="7">
                  <c:v>27</c:v>
                </c:pt>
                <c:pt idx="8">
                  <c:v>148</c:v>
                </c:pt>
                <c:pt idx="9">
                  <c:v>98</c:v>
                </c:pt>
                <c:pt idx="10">
                  <c:v>15</c:v>
                </c:pt>
                <c:pt idx="11">
                  <c:v>109</c:v>
                </c:pt>
                <c:pt idx="12">
                  <c:v>119</c:v>
                </c:pt>
                <c:pt idx="19">
                  <c:v>0</c:v>
                </c:pt>
                <c:pt idx="24">
                  <c:v>14</c:v>
                </c:pt>
                <c:pt idx="25">
                  <c:v>24</c:v>
                </c:pt>
                <c:pt idx="26">
                  <c:v>10</c:v>
                </c:pt>
                <c:pt idx="27">
                  <c:v>2.7017652000000005</c:v>
                </c:pt>
                <c:pt idx="28">
                  <c:v>0</c:v>
                </c:pt>
                <c:pt idx="29">
                  <c:v>11.167999999999999</c:v>
                </c:pt>
                <c:pt idx="30">
                  <c:v>8</c:v>
                </c:pt>
                <c:pt idx="31" formatCode="General">
                  <c:v>66.341589120273071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64-4C21-A687-96E67BF388A3}"/>
            </c:ext>
          </c:extLst>
        </c:ser>
        <c:ser>
          <c:idx val="3"/>
          <c:order val="3"/>
          <c:tx>
            <c:strRef>
              <c:f>Studienvergleich!$B$45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Studienvergleich!$Q$2:$AV$2</c:f>
              <c:strCache>
                <c:ptCount val="32"/>
                <c:pt idx="0">
                  <c:v>BMWi Langfrist (2017) - Ref</c:v>
                </c:pt>
                <c:pt idx="1">
                  <c:v>BMWi Langfrist (2017) - 80 %</c:v>
                </c:pt>
                <c:pt idx="2">
                  <c:v>UBA (2017) - 95 %</c:v>
                </c:pt>
                <c:pt idx="3">
                  <c:v>DENA (2018) - Ref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Ref</c:v>
                </c:pt>
                <c:pt idx="9">
                  <c:v>BDI (2018) - 80 %</c:v>
                </c:pt>
                <c:pt idx="10">
                  <c:v>BDI (2018) - 95 %</c:v>
                </c:pt>
                <c:pt idx="11">
                  <c:v>ewi (2018) - EEV - 80%</c:v>
                </c:pt>
                <c:pt idx="12">
                  <c:v>ewi (2018) - TO - 80%</c:v>
                </c:pt>
                <c:pt idx="13">
                  <c:v>UBA (2019) - GreenEE - 100%</c:v>
                </c:pt>
                <c:pt idx="14">
                  <c:v>UBA (2019) - GreenSupreme - 100%</c:v>
                </c:pt>
                <c:pt idx="15">
                  <c:v>ISE (2020) - Referenz - 95%</c:v>
                </c:pt>
                <c:pt idx="16">
                  <c:v>ISE (2020) - Inakzeptanz - 95%</c:v>
                </c:pt>
                <c:pt idx="17">
                  <c:v>ISE (2020) - Referenz - 100%</c:v>
                </c:pt>
                <c:pt idx="18">
                  <c:v>ISE (2020) - Update- 100%</c:v>
                </c:pt>
                <c:pt idx="19">
                  <c:v>ISE-KNES45</c:v>
                </c:pt>
                <c:pt idx="20">
                  <c:v>ISE (2021) - Beharrung - 2045 - 100%</c:v>
                </c:pt>
                <c:pt idx="21">
                  <c:v>ISE (2021) - Inakzeptanz - 2045 - 100%</c:v>
                </c:pt>
                <c:pt idx="22">
                  <c:v>ISE (2021) - Suffizenz - 2045 - 100%</c:v>
                </c:pt>
                <c:pt idx="23">
                  <c:v>AGORA (2020) - 2050 - 100%</c:v>
                </c:pt>
                <c:pt idx="24">
                  <c:v>AGORA-KNDE45</c:v>
                </c:pt>
                <c:pt idx="25">
                  <c:v>dena-LSKN</c:v>
                </c:pt>
                <c:pt idx="26">
                  <c:v>BDI-KPF2</c:v>
                </c:pt>
                <c:pt idx="27">
                  <c:v>Ariadne-REMIND</c:v>
                </c:pt>
                <c:pt idx="28">
                  <c:v>Ariadne-REMod</c:v>
                </c:pt>
                <c:pt idx="29">
                  <c:v>Ariadne-TIMES</c:v>
                </c:pt>
                <c:pt idx="30">
                  <c:v>BMWI-LFS3</c:v>
                </c:pt>
                <c:pt idx="31">
                  <c:v>IEK-3 (2019) - 80 %</c:v>
                </c:pt>
              </c:strCache>
            </c:strRef>
          </c:cat>
          <c:val>
            <c:numRef>
              <c:f>Studienvergleich!$Q$45:$AV$45</c:f>
              <c:numCache>
                <c:formatCode>0</c:formatCode>
                <c:ptCount val="32"/>
                <c:pt idx="0">
                  <c:v>78.400000000000006</c:v>
                </c:pt>
                <c:pt idx="1">
                  <c:v>26.2</c:v>
                </c:pt>
                <c:pt idx="2">
                  <c:v>0</c:v>
                </c:pt>
                <c:pt idx="3" formatCode="General">
                  <c:v>99</c:v>
                </c:pt>
                <c:pt idx="4" formatCode="General">
                  <c:v>20</c:v>
                </c:pt>
                <c:pt idx="5">
                  <c:v>21</c:v>
                </c:pt>
                <c:pt idx="6">
                  <c:v>0</c:v>
                </c:pt>
                <c:pt idx="7">
                  <c:v>0</c:v>
                </c:pt>
                <c:pt idx="8">
                  <c:v>92</c:v>
                </c:pt>
                <c:pt idx="9">
                  <c:v>45</c:v>
                </c:pt>
                <c:pt idx="10">
                  <c:v>0</c:v>
                </c:pt>
                <c:pt idx="11">
                  <c:v>30</c:v>
                </c:pt>
                <c:pt idx="12">
                  <c:v>22</c:v>
                </c:pt>
                <c:pt idx="19">
                  <c:v>0</c:v>
                </c:pt>
                <c:pt idx="24">
                  <c:v>2.7921055087240382E-2</c:v>
                </c:pt>
                <c:pt idx="25">
                  <c:v>0</c:v>
                </c:pt>
                <c:pt idx="26">
                  <c:v>0</c:v>
                </c:pt>
                <c:pt idx="27">
                  <c:v>0.34322979999999997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 formatCode="General">
                  <c:v>1.1399205698685683E-3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64-4C21-A687-96E67BF388A3}"/>
            </c:ext>
          </c:extLst>
        </c:ser>
        <c:ser>
          <c:idx val="4"/>
          <c:order val="4"/>
          <c:tx>
            <c:strRef>
              <c:f>Studienvergleich!$B$48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Studienvergleich!$Q$2:$AV$2</c:f>
              <c:strCache>
                <c:ptCount val="32"/>
                <c:pt idx="0">
                  <c:v>BMWi Langfrist (2017) - Ref</c:v>
                </c:pt>
                <c:pt idx="1">
                  <c:v>BMWi Langfrist (2017) - 80 %</c:v>
                </c:pt>
                <c:pt idx="2">
                  <c:v>UBA (2017) - 95 %</c:v>
                </c:pt>
                <c:pt idx="3">
                  <c:v>DENA (2018) - Ref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Ref</c:v>
                </c:pt>
                <c:pt idx="9">
                  <c:v>BDI (2018) - 80 %</c:v>
                </c:pt>
                <c:pt idx="10">
                  <c:v>BDI (2018) - 95 %</c:v>
                </c:pt>
                <c:pt idx="11">
                  <c:v>ewi (2018) - EEV - 80%</c:v>
                </c:pt>
                <c:pt idx="12">
                  <c:v>ewi (2018) - TO - 80%</c:v>
                </c:pt>
                <c:pt idx="13">
                  <c:v>UBA (2019) - GreenEE - 100%</c:v>
                </c:pt>
                <c:pt idx="14">
                  <c:v>UBA (2019) - GreenSupreme - 100%</c:v>
                </c:pt>
                <c:pt idx="15">
                  <c:v>ISE (2020) - Referenz - 95%</c:v>
                </c:pt>
                <c:pt idx="16">
                  <c:v>ISE (2020) - Inakzeptanz - 95%</c:v>
                </c:pt>
                <c:pt idx="17">
                  <c:v>ISE (2020) - Referenz - 100%</c:v>
                </c:pt>
                <c:pt idx="18">
                  <c:v>ISE (2020) - Update- 100%</c:v>
                </c:pt>
                <c:pt idx="19">
                  <c:v>ISE-KNES45</c:v>
                </c:pt>
                <c:pt idx="20">
                  <c:v>ISE (2021) - Beharrung - 2045 - 100%</c:v>
                </c:pt>
                <c:pt idx="21">
                  <c:v>ISE (2021) - Inakzeptanz - 2045 - 100%</c:v>
                </c:pt>
                <c:pt idx="22">
                  <c:v>ISE (2021) - Suffizenz - 2045 - 100%</c:v>
                </c:pt>
                <c:pt idx="23">
                  <c:v>AGORA (2020) - 2050 - 100%</c:v>
                </c:pt>
                <c:pt idx="24">
                  <c:v>AGORA-KNDE45</c:v>
                </c:pt>
                <c:pt idx="25">
                  <c:v>dena-LSKN</c:v>
                </c:pt>
                <c:pt idx="26">
                  <c:v>BDI-KPF2</c:v>
                </c:pt>
                <c:pt idx="27">
                  <c:v>Ariadne-REMIND</c:v>
                </c:pt>
                <c:pt idx="28">
                  <c:v>Ariadne-REMod</c:v>
                </c:pt>
                <c:pt idx="29">
                  <c:v>Ariadne-TIMES</c:v>
                </c:pt>
                <c:pt idx="30">
                  <c:v>BMWI-LFS3</c:v>
                </c:pt>
                <c:pt idx="31">
                  <c:v>IEK-3 (2019) - 80 %</c:v>
                </c:pt>
              </c:strCache>
            </c:strRef>
          </c:cat>
          <c:val>
            <c:numRef>
              <c:f>Studienvergleich!$Q$48:$AV$48</c:f>
              <c:numCache>
                <c:formatCode>0</c:formatCode>
                <c:ptCount val="32"/>
                <c:pt idx="0">
                  <c:v>72</c:v>
                </c:pt>
                <c:pt idx="1">
                  <c:v>67</c:v>
                </c:pt>
                <c:pt idx="2">
                  <c:v>30</c:v>
                </c:pt>
                <c:pt idx="3" formatCode="General">
                  <c:v>51</c:v>
                </c:pt>
                <c:pt idx="4" formatCode="General">
                  <c:v>51</c:v>
                </c:pt>
                <c:pt idx="5">
                  <c:v>51</c:v>
                </c:pt>
                <c:pt idx="6">
                  <c:v>37</c:v>
                </c:pt>
                <c:pt idx="7">
                  <c:v>37</c:v>
                </c:pt>
                <c:pt idx="11">
                  <c:v>60</c:v>
                </c:pt>
                <c:pt idx="12">
                  <c:v>60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64-4C21-A687-96E67BF38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576448"/>
        <c:axId val="426361408"/>
      </c:barChart>
      <c:catAx>
        <c:axId val="42557644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26361408"/>
        <c:crosses val="autoZero"/>
        <c:auto val="1"/>
        <c:lblAlgn val="ctr"/>
        <c:lblOffset val="100"/>
        <c:noMultiLvlLbl val="0"/>
      </c:catAx>
      <c:valAx>
        <c:axId val="426361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CO2-Emissionen in 2050 in</a:t>
                </a:r>
                <a:r>
                  <a:rPr lang="de-DE" baseline="0"/>
                  <a:t> Mio. t/a</a:t>
                </a:r>
                <a:endParaRPr lang="de-DE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25576448"/>
        <c:crosses val="autoZero"/>
        <c:crossBetween val="between"/>
      </c:valAx>
      <c:spPr>
        <a:solidFill>
          <a:sysClr val="window" lastClr="FFFFFF"/>
        </a:solidFill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2205674940824505"/>
          <c:y val="0.48641501136648579"/>
          <c:w val="0.20009173146382378"/>
          <c:h val="0.16039652362619708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8731079117192643"/>
          <c:y val="9.2113888888888905E-3"/>
          <c:w val="0.45092547738350314"/>
          <c:h val="0.9233099999999999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Studienvergleich!$B$59</c:f>
              <c:strCache>
                <c:ptCount val="1"/>
                <c:pt idx="0">
                  <c:v>Diesel (inkl. Biodiesel)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(Studienvergleich!$F$2,Studienvergleich!$M$2:$N$2,Studienvergleich!$R$2,Studienvergleich!$U$2:$X$2,Studienvergleich!$Z$2:$AV$2)</c:f>
              <c:strCache>
                <c:ptCount val="31"/>
                <c:pt idx="0">
                  <c:v>DLR (2011) - Szenario A - 80%</c:v>
                </c:pt>
                <c:pt idx="1">
                  <c:v>Ökoinstitut (2015) - 80 %</c:v>
                </c:pt>
                <c:pt idx="2">
                  <c:v>Ökoinstitut (2015) - 95 %</c:v>
                </c:pt>
                <c:pt idx="3">
                  <c:v>BMWi Langfrist (2017) - 80 %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- 80 %</c:v>
                </c:pt>
                <c:pt idx="9">
                  <c:v>BDI (2018) - 95 %</c:v>
                </c:pt>
                <c:pt idx="10">
                  <c:v>ewi (2018) - EEV - 80%</c:v>
                </c:pt>
                <c:pt idx="11">
                  <c:v>ewi (2018) - TO - 80%</c:v>
                </c:pt>
                <c:pt idx="12">
                  <c:v>UBA (2019) - GreenEE - 100%</c:v>
                </c:pt>
                <c:pt idx="13">
                  <c:v>UBA (2019) - GreenSupreme - 100%</c:v>
                </c:pt>
                <c:pt idx="14">
                  <c:v>ISE (2020) - Referenz - 95%</c:v>
                </c:pt>
                <c:pt idx="15">
                  <c:v>ISE (2020) - Inakzeptanz - 95%</c:v>
                </c:pt>
                <c:pt idx="16">
                  <c:v>ISE (2020) - Referenz - 100%</c:v>
                </c:pt>
                <c:pt idx="17">
                  <c:v>ISE (2020) - Update- 100%</c:v>
                </c:pt>
                <c:pt idx="18">
                  <c:v>ISE-KNES45</c:v>
                </c:pt>
                <c:pt idx="19">
                  <c:v>ISE (2021) - Beharrung - 2045 - 100%</c:v>
                </c:pt>
                <c:pt idx="20">
                  <c:v>ISE (2021) - Inakzeptanz - 2045 - 100%</c:v>
                </c:pt>
                <c:pt idx="21">
                  <c:v>ISE (2021) - Suffizenz - 2045 - 100%</c:v>
                </c:pt>
                <c:pt idx="22">
                  <c:v>AGORA (2020) - 2050 - 100%</c:v>
                </c:pt>
                <c:pt idx="23">
                  <c:v>AGORA-KNDE45</c:v>
                </c:pt>
                <c:pt idx="24">
                  <c:v>dena-LSKN</c:v>
                </c:pt>
                <c:pt idx="25">
                  <c:v>BDI-KPF2</c:v>
                </c:pt>
                <c:pt idx="26">
                  <c:v>Ariadne-REMIND</c:v>
                </c:pt>
                <c:pt idx="27">
                  <c:v>Ariadne-REMod</c:v>
                </c:pt>
                <c:pt idx="28">
                  <c:v>Ariadne-TIMES</c:v>
                </c:pt>
                <c:pt idx="29">
                  <c:v>BMWI-LFS3</c:v>
                </c:pt>
                <c:pt idx="30">
                  <c:v>IEK-3 (2019) - 80 %</c:v>
                </c:pt>
              </c:strCache>
            </c:strRef>
          </c:cat>
          <c:val>
            <c:numRef>
              <c:f>(Studienvergleich!$F$59,Studienvergleich!$M$59:$N$59,Studienvergleich!$R$59,Studienvergleich!$U$59:$X$59,Studienvergleich!$Z$59:$AV$59)</c:f>
              <c:numCache>
                <c:formatCode>0%</c:formatCode>
                <c:ptCount val="31"/>
                <c:pt idx="0">
                  <c:v>8.4000000000000005E-2</c:v>
                </c:pt>
                <c:pt idx="1">
                  <c:v>6.5000000000000002E-2</c:v>
                </c:pt>
                <c:pt idx="2">
                  <c:v>1.4500000000000001E-2</c:v>
                </c:pt>
                <c:pt idx="3">
                  <c:v>0.05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7.3200000000000001E-2</c:v>
                </c:pt>
                <c:pt idx="9">
                  <c:v>4.9000000000000002E-2</c:v>
                </c:pt>
                <c:pt idx="10">
                  <c:v>0</c:v>
                </c:pt>
                <c:pt idx="11">
                  <c:v>0</c:v>
                </c:pt>
                <c:pt idx="30">
                  <c:v>2.4469426947136476E-2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8-4508-85F7-C1BABF0C73E8}"/>
            </c:ext>
          </c:extLst>
        </c:ser>
        <c:ser>
          <c:idx val="7"/>
          <c:order val="1"/>
          <c:tx>
            <c:strRef>
              <c:f>Studienvergleich!$B$60</c:f>
              <c:strCache>
                <c:ptCount val="1"/>
                <c:pt idx="0">
                  <c:v>Otto (inkl. Bioethanol)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(Studienvergleich!$F$2,Studienvergleich!$M$2:$N$2,Studienvergleich!$R$2,Studienvergleich!$U$2:$X$2,Studienvergleich!$Z$2:$AV$2)</c:f>
              <c:strCache>
                <c:ptCount val="31"/>
                <c:pt idx="0">
                  <c:v>DLR (2011) - Szenario A - 80%</c:v>
                </c:pt>
                <c:pt idx="1">
                  <c:v>Ökoinstitut (2015) - 80 %</c:v>
                </c:pt>
                <c:pt idx="2">
                  <c:v>Ökoinstitut (2015) - 95 %</c:v>
                </c:pt>
                <c:pt idx="3">
                  <c:v>BMWi Langfrist (2017) - 80 %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- 80 %</c:v>
                </c:pt>
                <c:pt idx="9">
                  <c:v>BDI (2018) - 95 %</c:v>
                </c:pt>
                <c:pt idx="10">
                  <c:v>ewi (2018) - EEV - 80%</c:v>
                </c:pt>
                <c:pt idx="11">
                  <c:v>ewi (2018) - TO - 80%</c:v>
                </c:pt>
                <c:pt idx="12">
                  <c:v>UBA (2019) - GreenEE - 100%</c:v>
                </c:pt>
                <c:pt idx="13">
                  <c:v>UBA (2019) - GreenSupreme - 100%</c:v>
                </c:pt>
                <c:pt idx="14">
                  <c:v>ISE (2020) - Referenz - 95%</c:v>
                </c:pt>
                <c:pt idx="15">
                  <c:v>ISE (2020) - Inakzeptanz - 95%</c:v>
                </c:pt>
                <c:pt idx="16">
                  <c:v>ISE (2020) - Referenz - 100%</c:v>
                </c:pt>
                <c:pt idx="17">
                  <c:v>ISE (2020) - Update- 100%</c:v>
                </c:pt>
                <c:pt idx="18">
                  <c:v>ISE-KNES45</c:v>
                </c:pt>
                <c:pt idx="19">
                  <c:v>ISE (2021) - Beharrung - 2045 - 100%</c:v>
                </c:pt>
                <c:pt idx="20">
                  <c:v>ISE (2021) - Inakzeptanz - 2045 - 100%</c:v>
                </c:pt>
                <c:pt idx="21">
                  <c:v>ISE (2021) - Suffizenz - 2045 - 100%</c:v>
                </c:pt>
                <c:pt idx="22">
                  <c:v>AGORA (2020) - 2050 - 100%</c:v>
                </c:pt>
                <c:pt idx="23">
                  <c:v>AGORA-KNDE45</c:v>
                </c:pt>
                <c:pt idx="24">
                  <c:v>dena-LSKN</c:v>
                </c:pt>
                <c:pt idx="25">
                  <c:v>BDI-KPF2</c:v>
                </c:pt>
                <c:pt idx="26">
                  <c:v>Ariadne-REMIND</c:v>
                </c:pt>
                <c:pt idx="27">
                  <c:v>Ariadne-REMod</c:v>
                </c:pt>
                <c:pt idx="28">
                  <c:v>Ariadne-TIMES</c:v>
                </c:pt>
                <c:pt idx="29">
                  <c:v>BMWI-LFS3</c:v>
                </c:pt>
                <c:pt idx="30">
                  <c:v>IEK-3 (2019) - 80 %</c:v>
                </c:pt>
              </c:strCache>
            </c:strRef>
          </c:cat>
          <c:val>
            <c:numRef>
              <c:f>(Studienvergleich!$F$60,Studienvergleich!$M$60:$N$60,Studienvergleich!$R$60,Studienvergleich!$U$60:$X$60,Studienvergleich!$Z$60:$AV$60)</c:f>
              <c:numCache>
                <c:formatCode>0%</c:formatCode>
                <c:ptCount val="31"/>
                <c:pt idx="0">
                  <c:v>0.183</c:v>
                </c:pt>
                <c:pt idx="1">
                  <c:v>8.3000000000000004E-2</c:v>
                </c:pt>
                <c:pt idx="2">
                  <c:v>2.8000000000000001E-2</c:v>
                </c:pt>
                <c:pt idx="3">
                  <c:v>0.21</c:v>
                </c:pt>
                <c:pt idx="4">
                  <c:v>5.0000000000000001E-3</c:v>
                </c:pt>
                <c:pt idx="5">
                  <c:v>0</c:v>
                </c:pt>
                <c:pt idx="6">
                  <c:v>5.0000000000000001E-3</c:v>
                </c:pt>
                <c:pt idx="7">
                  <c:v>0</c:v>
                </c:pt>
                <c:pt idx="8">
                  <c:v>9.7600000000000006E-2</c:v>
                </c:pt>
                <c:pt idx="9">
                  <c:v>2.4E-2</c:v>
                </c:pt>
                <c:pt idx="10">
                  <c:v>0</c:v>
                </c:pt>
                <c:pt idx="11">
                  <c:v>0</c:v>
                </c:pt>
                <c:pt idx="30">
                  <c:v>0.20930221891387335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8-4508-85F7-C1BABF0C73E8}"/>
            </c:ext>
          </c:extLst>
        </c:ser>
        <c:ser>
          <c:idx val="14"/>
          <c:order val="2"/>
          <c:tx>
            <c:strRef>
              <c:f>Studienvergleich!$B$63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(Studienvergleich!$F$2,Studienvergleich!$M$2:$N$2,Studienvergleich!$R$2,Studienvergleich!$U$2:$X$2,Studienvergleich!$Z$2:$AV$2)</c:f>
              <c:strCache>
                <c:ptCount val="31"/>
                <c:pt idx="0">
                  <c:v>DLR (2011) - Szenario A - 80%</c:v>
                </c:pt>
                <c:pt idx="1">
                  <c:v>Ökoinstitut (2015) - 80 %</c:v>
                </c:pt>
                <c:pt idx="2">
                  <c:v>Ökoinstitut (2015) - 95 %</c:v>
                </c:pt>
                <c:pt idx="3">
                  <c:v>BMWi Langfrist (2017) - 80 %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- 80 %</c:v>
                </c:pt>
                <c:pt idx="9">
                  <c:v>BDI (2018) - 95 %</c:v>
                </c:pt>
                <c:pt idx="10">
                  <c:v>ewi (2018) - EEV - 80%</c:v>
                </c:pt>
                <c:pt idx="11">
                  <c:v>ewi (2018) - TO - 80%</c:v>
                </c:pt>
                <c:pt idx="12">
                  <c:v>UBA (2019) - GreenEE - 100%</c:v>
                </c:pt>
                <c:pt idx="13">
                  <c:v>UBA (2019) - GreenSupreme - 100%</c:v>
                </c:pt>
                <c:pt idx="14">
                  <c:v>ISE (2020) - Referenz - 95%</c:v>
                </c:pt>
                <c:pt idx="15">
                  <c:v>ISE (2020) - Inakzeptanz - 95%</c:v>
                </c:pt>
                <c:pt idx="16">
                  <c:v>ISE (2020) - Referenz - 100%</c:v>
                </c:pt>
                <c:pt idx="17">
                  <c:v>ISE (2020) - Update- 100%</c:v>
                </c:pt>
                <c:pt idx="18">
                  <c:v>ISE-KNES45</c:v>
                </c:pt>
                <c:pt idx="19">
                  <c:v>ISE (2021) - Beharrung - 2045 - 100%</c:v>
                </c:pt>
                <c:pt idx="20">
                  <c:v>ISE (2021) - Inakzeptanz - 2045 - 100%</c:v>
                </c:pt>
                <c:pt idx="21">
                  <c:v>ISE (2021) - Suffizenz - 2045 - 100%</c:v>
                </c:pt>
                <c:pt idx="22">
                  <c:v>AGORA (2020) - 2050 - 100%</c:v>
                </c:pt>
                <c:pt idx="23">
                  <c:v>AGORA-KNDE45</c:v>
                </c:pt>
                <c:pt idx="24">
                  <c:v>dena-LSKN</c:v>
                </c:pt>
                <c:pt idx="25">
                  <c:v>BDI-KPF2</c:v>
                </c:pt>
                <c:pt idx="26">
                  <c:v>Ariadne-REMIND</c:v>
                </c:pt>
                <c:pt idx="27">
                  <c:v>Ariadne-REMod</c:v>
                </c:pt>
                <c:pt idx="28">
                  <c:v>Ariadne-TIMES</c:v>
                </c:pt>
                <c:pt idx="29">
                  <c:v>BMWI-LFS3</c:v>
                </c:pt>
                <c:pt idx="30">
                  <c:v>IEK-3 (2019) - 80 %</c:v>
                </c:pt>
              </c:strCache>
            </c:strRef>
          </c:cat>
          <c:val>
            <c:numRef>
              <c:f>(Studienvergleich!$F$63,Studienvergleich!$M$63:$N$63,Studienvergleich!$R$63,Studienvergleich!$U$63:$X$63,Studienvergleich!$Z$63:$AV$63)</c:f>
              <c:numCache>
                <c:formatCode>0%</c:formatCode>
                <c:ptCount val="31"/>
                <c:pt idx="0">
                  <c:v>0</c:v>
                </c:pt>
                <c:pt idx="1">
                  <c:v>8.3099999999999993E-2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5.3999999999999999E-2</c:v>
                </c:pt>
                <c:pt idx="6">
                  <c:v>0</c:v>
                </c:pt>
                <c:pt idx="7">
                  <c:v>5.3999999999999999E-2</c:v>
                </c:pt>
                <c:pt idx="8">
                  <c:v>7.2999999999999995E-2</c:v>
                </c:pt>
                <c:pt idx="9">
                  <c:v>4.9000000000000002E-2</c:v>
                </c:pt>
                <c:pt idx="10">
                  <c:v>0</c:v>
                </c:pt>
                <c:pt idx="11">
                  <c:v>0.11799999999999999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8-4508-85F7-C1BABF0C73E8}"/>
            </c:ext>
          </c:extLst>
        </c:ser>
        <c:ser>
          <c:idx val="15"/>
          <c:order val="3"/>
          <c:tx>
            <c:strRef>
              <c:f>Studienvergleich!$B$64</c:f>
              <c:strCache>
                <c:ptCount val="1"/>
                <c:pt idx="0">
                  <c:v>Hybrid</c:v>
                </c:pt>
              </c:strCache>
            </c:strRef>
          </c:tx>
          <c:spPr>
            <a:pattFill prst="ltUpDiag">
              <a:fgClr>
                <a:schemeClr val="bg1"/>
              </a:fgClr>
              <a:bgClr>
                <a:schemeClr val="tx1"/>
              </a:bgClr>
            </a:pattFill>
          </c:spPr>
          <c:invertIfNegative val="0"/>
          <c:cat>
            <c:strRef>
              <c:f>(Studienvergleich!$F$2,Studienvergleich!$M$2:$N$2,Studienvergleich!$R$2,Studienvergleich!$U$2:$X$2,Studienvergleich!$Z$2:$AV$2)</c:f>
              <c:strCache>
                <c:ptCount val="31"/>
                <c:pt idx="0">
                  <c:v>DLR (2011) - Szenario A - 80%</c:v>
                </c:pt>
                <c:pt idx="1">
                  <c:v>Ökoinstitut (2015) - 80 %</c:v>
                </c:pt>
                <c:pt idx="2">
                  <c:v>Ökoinstitut (2015) - 95 %</c:v>
                </c:pt>
                <c:pt idx="3">
                  <c:v>BMWi Langfrist (2017) - 80 %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- 80 %</c:v>
                </c:pt>
                <c:pt idx="9">
                  <c:v>BDI (2018) - 95 %</c:v>
                </c:pt>
                <c:pt idx="10">
                  <c:v>ewi (2018) - EEV - 80%</c:v>
                </c:pt>
                <c:pt idx="11">
                  <c:v>ewi (2018) - TO - 80%</c:v>
                </c:pt>
                <c:pt idx="12">
                  <c:v>UBA (2019) - GreenEE - 100%</c:v>
                </c:pt>
                <c:pt idx="13">
                  <c:v>UBA (2019) - GreenSupreme - 100%</c:v>
                </c:pt>
                <c:pt idx="14">
                  <c:v>ISE (2020) - Referenz - 95%</c:v>
                </c:pt>
                <c:pt idx="15">
                  <c:v>ISE (2020) - Inakzeptanz - 95%</c:v>
                </c:pt>
                <c:pt idx="16">
                  <c:v>ISE (2020) - Referenz - 100%</c:v>
                </c:pt>
                <c:pt idx="17">
                  <c:v>ISE (2020) - Update- 100%</c:v>
                </c:pt>
                <c:pt idx="18">
                  <c:v>ISE-KNES45</c:v>
                </c:pt>
                <c:pt idx="19">
                  <c:v>ISE (2021) - Beharrung - 2045 - 100%</c:v>
                </c:pt>
                <c:pt idx="20">
                  <c:v>ISE (2021) - Inakzeptanz - 2045 - 100%</c:v>
                </c:pt>
                <c:pt idx="21">
                  <c:v>ISE (2021) - Suffizenz - 2045 - 100%</c:v>
                </c:pt>
                <c:pt idx="22">
                  <c:v>AGORA (2020) - 2050 - 100%</c:v>
                </c:pt>
                <c:pt idx="23">
                  <c:v>AGORA-KNDE45</c:v>
                </c:pt>
                <c:pt idx="24">
                  <c:v>dena-LSKN</c:v>
                </c:pt>
                <c:pt idx="25">
                  <c:v>BDI-KPF2</c:v>
                </c:pt>
                <c:pt idx="26">
                  <c:v>Ariadne-REMIND</c:v>
                </c:pt>
                <c:pt idx="27">
                  <c:v>Ariadne-REMod</c:v>
                </c:pt>
                <c:pt idx="28">
                  <c:v>Ariadne-TIMES</c:v>
                </c:pt>
                <c:pt idx="29">
                  <c:v>BMWI-LFS3</c:v>
                </c:pt>
                <c:pt idx="30">
                  <c:v>IEK-3 (2019) - 80 %</c:v>
                </c:pt>
              </c:strCache>
            </c:strRef>
          </c:cat>
          <c:val>
            <c:numRef>
              <c:f>(Studienvergleich!$F$64,Studienvergleich!$M$64:$N$64,Studienvergleich!$R$64,Studienvergleich!$U$64:$X$64,Studienvergleich!$Z$64:$AV$64)</c:f>
              <c:numCache>
                <c:formatCode>0%</c:formatCode>
                <c:ptCount val="31"/>
                <c:pt idx="0">
                  <c:v>0.19950000000000001</c:v>
                </c:pt>
                <c:pt idx="1">
                  <c:v>0.26150000000000007</c:v>
                </c:pt>
                <c:pt idx="2">
                  <c:v>0.28549999999999998</c:v>
                </c:pt>
                <c:pt idx="3">
                  <c:v>0.36</c:v>
                </c:pt>
                <c:pt idx="4">
                  <c:v>0.13</c:v>
                </c:pt>
                <c:pt idx="5">
                  <c:v>0.376</c:v>
                </c:pt>
                <c:pt idx="6">
                  <c:v>0.13</c:v>
                </c:pt>
                <c:pt idx="7">
                  <c:v>0.376</c:v>
                </c:pt>
                <c:pt idx="8">
                  <c:v>0.22020000000000006</c:v>
                </c:pt>
                <c:pt idx="9">
                  <c:v>0.14599999999999991</c:v>
                </c:pt>
                <c:pt idx="10">
                  <c:v>0.28999999999999992</c:v>
                </c:pt>
                <c:pt idx="11">
                  <c:v>0.46699999999999997</c:v>
                </c:pt>
                <c:pt idx="30">
                  <c:v>0.25985487510910688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8-4508-85F7-C1BABF0C73E8}"/>
            </c:ext>
          </c:extLst>
        </c:ser>
        <c:ser>
          <c:idx val="11"/>
          <c:order val="4"/>
          <c:tx>
            <c:strRef>
              <c:f>Studienvergleich!$B$62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(Studienvergleich!$F$2,Studienvergleich!$M$2:$N$2,Studienvergleich!$R$2,Studienvergleich!$U$2:$X$2,Studienvergleich!$Z$2:$AV$2)</c:f>
              <c:strCache>
                <c:ptCount val="31"/>
                <c:pt idx="0">
                  <c:v>DLR (2011) - Szenario A - 80%</c:v>
                </c:pt>
                <c:pt idx="1">
                  <c:v>Ökoinstitut (2015) - 80 %</c:v>
                </c:pt>
                <c:pt idx="2">
                  <c:v>Ökoinstitut (2015) - 95 %</c:v>
                </c:pt>
                <c:pt idx="3">
                  <c:v>BMWi Langfrist (2017) - 80 %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- 80 %</c:v>
                </c:pt>
                <c:pt idx="9">
                  <c:v>BDI (2018) - 95 %</c:v>
                </c:pt>
                <c:pt idx="10">
                  <c:v>ewi (2018) - EEV - 80%</c:v>
                </c:pt>
                <c:pt idx="11">
                  <c:v>ewi (2018) - TO - 80%</c:v>
                </c:pt>
                <c:pt idx="12">
                  <c:v>UBA (2019) - GreenEE - 100%</c:v>
                </c:pt>
                <c:pt idx="13">
                  <c:v>UBA (2019) - GreenSupreme - 100%</c:v>
                </c:pt>
                <c:pt idx="14">
                  <c:v>ISE (2020) - Referenz - 95%</c:v>
                </c:pt>
                <c:pt idx="15">
                  <c:v>ISE (2020) - Inakzeptanz - 95%</c:v>
                </c:pt>
                <c:pt idx="16">
                  <c:v>ISE (2020) - Referenz - 100%</c:v>
                </c:pt>
                <c:pt idx="17">
                  <c:v>ISE (2020) - Update- 100%</c:v>
                </c:pt>
                <c:pt idx="18">
                  <c:v>ISE-KNES45</c:v>
                </c:pt>
                <c:pt idx="19">
                  <c:v>ISE (2021) - Beharrung - 2045 - 100%</c:v>
                </c:pt>
                <c:pt idx="20">
                  <c:v>ISE (2021) - Inakzeptanz - 2045 - 100%</c:v>
                </c:pt>
                <c:pt idx="21">
                  <c:v>ISE (2021) - Suffizenz - 2045 - 100%</c:v>
                </c:pt>
                <c:pt idx="22">
                  <c:v>AGORA (2020) - 2050 - 100%</c:v>
                </c:pt>
                <c:pt idx="23">
                  <c:v>AGORA-KNDE45</c:v>
                </c:pt>
                <c:pt idx="24">
                  <c:v>dena-LSKN</c:v>
                </c:pt>
                <c:pt idx="25">
                  <c:v>BDI-KPF2</c:v>
                </c:pt>
                <c:pt idx="26">
                  <c:v>Ariadne-REMIND</c:v>
                </c:pt>
                <c:pt idx="27">
                  <c:v>Ariadne-REMod</c:v>
                </c:pt>
                <c:pt idx="28">
                  <c:v>Ariadne-TIMES</c:v>
                </c:pt>
                <c:pt idx="29">
                  <c:v>BMWI-LFS3</c:v>
                </c:pt>
                <c:pt idx="30">
                  <c:v>IEK-3 (2019) - 80 %</c:v>
                </c:pt>
              </c:strCache>
            </c:strRef>
          </c:cat>
          <c:val>
            <c:numRef>
              <c:f>(Studienvergleich!$F$62,Studienvergleich!$M$62:$N$62,Studienvergleich!$R$62,Studienvergleich!$U$62:$X$62,Studienvergleich!$Z$62:$AV$62)</c:f>
              <c:numCache>
                <c:formatCode>0%</c:formatCode>
                <c:ptCount val="31"/>
                <c:pt idx="0">
                  <c:v>0.30399999999999999</c:v>
                </c:pt>
                <c:pt idx="1">
                  <c:v>0.50739999999999996</c:v>
                </c:pt>
                <c:pt idx="2">
                  <c:v>0.67200000000000004</c:v>
                </c:pt>
                <c:pt idx="3">
                  <c:v>0.37</c:v>
                </c:pt>
                <c:pt idx="4">
                  <c:v>0.71</c:v>
                </c:pt>
                <c:pt idx="5">
                  <c:v>0.28499999999999998</c:v>
                </c:pt>
                <c:pt idx="6">
                  <c:v>0.71</c:v>
                </c:pt>
                <c:pt idx="7">
                  <c:v>0.28499999999999998</c:v>
                </c:pt>
                <c:pt idx="8">
                  <c:v>0.51200000000000001</c:v>
                </c:pt>
                <c:pt idx="9">
                  <c:v>0.68300000000000005</c:v>
                </c:pt>
                <c:pt idx="10">
                  <c:v>0.66</c:v>
                </c:pt>
                <c:pt idx="11">
                  <c:v>0.25</c:v>
                </c:pt>
                <c:pt idx="30">
                  <c:v>0.20670536221569363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28-4508-85F7-C1BABF0C73E8}"/>
            </c:ext>
          </c:extLst>
        </c:ser>
        <c:ser>
          <c:idx val="8"/>
          <c:order val="5"/>
          <c:tx>
            <c:strRef>
              <c:f>Studienvergleich!$B$61</c:f>
              <c:strCache>
                <c:ptCount val="1"/>
                <c:pt idx="0">
                  <c:v>Brennstoffzellen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(Studienvergleich!$F$2,Studienvergleich!$M$2:$N$2,Studienvergleich!$R$2,Studienvergleich!$U$2:$X$2,Studienvergleich!$Z$2:$AV$2)</c:f>
              <c:strCache>
                <c:ptCount val="31"/>
                <c:pt idx="0">
                  <c:v>DLR (2011) - Szenario A - 80%</c:v>
                </c:pt>
                <c:pt idx="1">
                  <c:v>Ökoinstitut (2015) - 80 %</c:v>
                </c:pt>
                <c:pt idx="2">
                  <c:v>Ökoinstitut (2015) - 95 %</c:v>
                </c:pt>
                <c:pt idx="3">
                  <c:v>BMWi Langfrist (2017) - 80 %</c:v>
                </c:pt>
                <c:pt idx="4">
                  <c:v>DENA (2018) - EL - 80 %</c:v>
                </c:pt>
                <c:pt idx="5">
                  <c:v>DENA (2018) - TM - 80 %</c:v>
                </c:pt>
                <c:pt idx="6">
                  <c:v>DENA (2018) - EL - 95 %</c:v>
                </c:pt>
                <c:pt idx="7">
                  <c:v>DENA (2018) - TM - 95 %</c:v>
                </c:pt>
                <c:pt idx="8">
                  <c:v>BDI (2018) - 80 %</c:v>
                </c:pt>
                <c:pt idx="9">
                  <c:v>BDI (2018) - 95 %</c:v>
                </c:pt>
                <c:pt idx="10">
                  <c:v>ewi (2018) - EEV - 80%</c:v>
                </c:pt>
                <c:pt idx="11">
                  <c:v>ewi (2018) - TO - 80%</c:v>
                </c:pt>
                <c:pt idx="12">
                  <c:v>UBA (2019) - GreenEE - 100%</c:v>
                </c:pt>
                <c:pt idx="13">
                  <c:v>UBA (2019) - GreenSupreme - 100%</c:v>
                </c:pt>
                <c:pt idx="14">
                  <c:v>ISE (2020) - Referenz - 95%</c:v>
                </c:pt>
                <c:pt idx="15">
                  <c:v>ISE (2020) - Inakzeptanz - 95%</c:v>
                </c:pt>
                <c:pt idx="16">
                  <c:v>ISE (2020) - Referenz - 100%</c:v>
                </c:pt>
                <c:pt idx="17">
                  <c:v>ISE (2020) - Update- 100%</c:v>
                </c:pt>
                <c:pt idx="18">
                  <c:v>ISE-KNES45</c:v>
                </c:pt>
                <c:pt idx="19">
                  <c:v>ISE (2021) - Beharrung - 2045 - 100%</c:v>
                </c:pt>
                <c:pt idx="20">
                  <c:v>ISE (2021) - Inakzeptanz - 2045 - 100%</c:v>
                </c:pt>
                <c:pt idx="21">
                  <c:v>ISE (2021) - Suffizenz - 2045 - 100%</c:v>
                </c:pt>
                <c:pt idx="22">
                  <c:v>AGORA (2020) - 2050 - 100%</c:v>
                </c:pt>
                <c:pt idx="23">
                  <c:v>AGORA-KNDE45</c:v>
                </c:pt>
                <c:pt idx="24">
                  <c:v>dena-LSKN</c:v>
                </c:pt>
                <c:pt idx="25">
                  <c:v>BDI-KPF2</c:v>
                </c:pt>
                <c:pt idx="26">
                  <c:v>Ariadne-REMIND</c:v>
                </c:pt>
                <c:pt idx="27">
                  <c:v>Ariadne-REMod</c:v>
                </c:pt>
                <c:pt idx="28">
                  <c:v>Ariadne-TIMES</c:v>
                </c:pt>
                <c:pt idx="29">
                  <c:v>BMWI-LFS3</c:v>
                </c:pt>
                <c:pt idx="30">
                  <c:v>IEK-3 (2019) - 80 %</c:v>
                </c:pt>
              </c:strCache>
            </c:strRef>
          </c:cat>
          <c:val>
            <c:numRef>
              <c:f>(Studienvergleich!$F$61,Studienvergleich!$M$61:$N$61,Studienvergleich!$R$61,Studienvergleich!$U$61:$X$61,Studienvergleich!$Z$61:$AV$61)</c:f>
              <c:numCache>
                <c:formatCode>0%</c:formatCode>
                <c:ptCount val="31"/>
                <c:pt idx="0">
                  <c:v>0.22800000000000001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0.155</c:v>
                </c:pt>
                <c:pt idx="5">
                  <c:v>0.28499999999999998</c:v>
                </c:pt>
                <c:pt idx="6">
                  <c:v>0.155</c:v>
                </c:pt>
                <c:pt idx="7">
                  <c:v>0.28499999999999998</c:v>
                </c:pt>
                <c:pt idx="8">
                  <c:v>2.4E-2</c:v>
                </c:pt>
                <c:pt idx="9">
                  <c:v>4.9000000000000002E-2</c:v>
                </c:pt>
                <c:pt idx="10">
                  <c:v>0.05</c:v>
                </c:pt>
                <c:pt idx="11">
                  <c:v>0.16500000000000001</c:v>
                </c:pt>
                <c:pt idx="30">
                  <c:v>0.29966811681418964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28-4508-85F7-C1BABF0C7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577984"/>
        <c:axId val="426363712"/>
      </c:barChart>
      <c:catAx>
        <c:axId val="4255779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26363712"/>
        <c:crosses val="autoZero"/>
        <c:auto val="1"/>
        <c:lblAlgn val="ctr"/>
        <c:lblOffset val="100"/>
        <c:noMultiLvlLbl val="0"/>
      </c:catAx>
      <c:valAx>
        <c:axId val="426363712"/>
        <c:scaling>
          <c:orientation val="minMax"/>
          <c:max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PKW Bestand in 2050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25577984"/>
        <c:crosses val="autoZero"/>
        <c:crossBetween val="between"/>
      </c:valAx>
      <c:spPr>
        <a:solidFill>
          <a:sysClr val="window" lastClr="FFFFFF"/>
        </a:solidFill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6293091490324283"/>
          <c:y val="0.36181679976294623"/>
          <c:w val="0.21222999129313952"/>
          <c:h val="0.19683281852249765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79732746195538E-2"/>
          <c:y val="0.22650707712996726"/>
          <c:w val="0.76179908363224869"/>
          <c:h val="0.916254444444444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Studienvergleich!$B$68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(Studienvergleich!$W$2:$X$2,Studienvergleich!$AA$2,Studienvergleich!$AD$2:$AO$2,Studienvergleich!$AW$2:$AY$2)</c15:sqref>
                  </c15:fullRef>
                </c:ext>
              </c:extLst>
              <c:f>(Studienvergleich!$W$2:$X$2,Studienvergleich!$AA$2,Studienvergleich!$AD$2:$AG$2,Studienvergleich!$AI$2:$AM$2,Studienvergleich!$AO$2,Studienvergleich!$AW$2:$AY$2)</c:f>
              <c:strCache>
                <c:ptCount val="16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ISE (2020) - Inakzeptanz - 95%</c:v>
                </c:pt>
                <c:pt idx="7">
                  <c:v>ISE (2020) - Update- 100%</c:v>
                </c:pt>
                <c:pt idx="8">
                  <c:v>ISE-KNES45</c:v>
                </c:pt>
                <c:pt idx="9">
                  <c:v>ISE (2021) - Beharrung - 2045 - 100%</c:v>
                </c:pt>
                <c:pt idx="10">
                  <c:v>ISE (2021) - Inakzeptanz - 2045 - 100%</c:v>
                </c:pt>
                <c:pt idx="11">
                  <c:v>ISE (2021) - Suffizenz - 2045 - 100%</c:v>
                </c:pt>
                <c:pt idx="12">
                  <c:v>AGORA-KNDE45</c:v>
                </c:pt>
                <c:pt idx="13">
                  <c:v>IEK-3 (2019) - 95 %</c:v>
                </c:pt>
                <c:pt idx="14">
                  <c:v>IEK-3 (2021) - H2NRW- 95%</c:v>
                </c:pt>
                <c:pt idx="15">
                  <c:v>IEK-3 KSG 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(Studienvergleich!$W$68:$X$68,Studienvergleich!$AA$68,Studienvergleich!$AD$68:$AO$68,Studienvergleich!$AW$68:$AY$68)</c15:sqref>
                  </c15:fullRef>
                </c:ext>
              </c:extLst>
              <c:f>(Studienvergleich!$W$68:$X$68,Studienvergleich!$AA$68,Studienvergleich!$AD$68:$AG$68,Studienvergleich!$AI$68:$AM$68,Studienvergleich!$AO$68,Studienvergleich!$AW$68:$AY$68)</c:f>
              <c:numCache>
                <c:formatCode>0</c:formatCode>
                <c:ptCount val="16"/>
                <c:pt idx="0">
                  <c:v>165</c:v>
                </c:pt>
                <c:pt idx="1">
                  <c:v>114</c:v>
                </c:pt>
                <c:pt idx="2">
                  <c:v>130</c:v>
                </c:pt>
                <c:pt idx="3">
                  <c:v>173</c:v>
                </c:pt>
                <c:pt idx="4">
                  <c:v>131</c:v>
                </c:pt>
                <c:pt idx="5">
                  <c:v>415</c:v>
                </c:pt>
                <c:pt idx="6">
                  <c:v>645</c:v>
                </c:pt>
                <c:pt idx="7">
                  <c:v>449</c:v>
                </c:pt>
                <c:pt idx="8">
                  <c:v>429.08</c:v>
                </c:pt>
                <c:pt idx="9">
                  <c:v>347.61</c:v>
                </c:pt>
                <c:pt idx="10">
                  <c:v>659.78</c:v>
                </c:pt>
                <c:pt idx="11">
                  <c:v>331.13</c:v>
                </c:pt>
                <c:pt idx="12">
                  <c:v>384.89800000000002</c:v>
                </c:pt>
                <c:pt idx="13" formatCode="General">
                  <c:v>167.15021868793099</c:v>
                </c:pt>
                <c:pt idx="14" formatCode="General">
                  <c:v>210.46</c:v>
                </c:pt>
                <c:pt idx="15" formatCode="General">
                  <c:v>448.55337960552799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7-4A44-B835-931921F38355}"/>
            </c:ext>
          </c:extLst>
        </c:ser>
        <c:ser>
          <c:idx val="1"/>
          <c:order val="1"/>
          <c:tx>
            <c:strRef>
              <c:f>Studienvergleich!$B$69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(Studienvergleich!$W$2:$X$2,Studienvergleich!$AA$2,Studienvergleich!$AD$2:$AO$2,Studienvergleich!$AW$2:$AY$2)</c15:sqref>
                  </c15:fullRef>
                </c:ext>
              </c:extLst>
              <c:f>(Studienvergleich!$W$2:$X$2,Studienvergleich!$AA$2,Studienvergleich!$AD$2:$AG$2,Studienvergleich!$AI$2:$AM$2,Studienvergleich!$AO$2,Studienvergleich!$AW$2:$AY$2)</c:f>
              <c:strCache>
                <c:ptCount val="16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ISE (2020) - Inakzeptanz - 95%</c:v>
                </c:pt>
                <c:pt idx="7">
                  <c:v>ISE (2020) - Update- 100%</c:v>
                </c:pt>
                <c:pt idx="8">
                  <c:v>ISE-KNES45</c:v>
                </c:pt>
                <c:pt idx="9">
                  <c:v>ISE (2021) - Beharrung - 2045 - 100%</c:v>
                </c:pt>
                <c:pt idx="10">
                  <c:v>ISE (2021) - Inakzeptanz - 2045 - 100%</c:v>
                </c:pt>
                <c:pt idx="11">
                  <c:v>ISE (2021) - Suffizenz - 2045 - 100%</c:v>
                </c:pt>
                <c:pt idx="12">
                  <c:v>AGORA-KNDE45</c:v>
                </c:pt>
                <c:pt idx="13">
                  <c:v>IEK-3 (2019) - 95 %</c:v>
                </c:pt>
                <c:pt idx="14">
                  <c:v>IEK-3 (2021) - H2NRW- 95%</c:v>
                </c:pt>
                <c:pt idx="15">
                  <c:v>IEK-3 KSG 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(Studienvergleich!$W$69:$X$69,Studienvergleich!$AA$69,Studienvergleich!$AD$69:$AO$69,Studienvergleich!$AW$69:$AY$69)</c15:sqref>
                  </c15:fullRef>
                </c:ext>
              </c:extLst>
              <c:f>(Studienvergleich!$W$69:$X$69,Studienvergleich!$AA$69,Studienvergleich!$AD$69:$AG$69,Studienvergleich!$AI$69:$AM$69,Studienvergleich!$AO$69,Studienvergleich!$AW$69:$AY$69)</c:f>
              <c:numCache>
                <c:formatCode>0</c:formatCode>
                <c:ptCount val="16"/>
                <c:pt idx="0">
                  <c:v>179</c:v>
                </c:pt>
                <c:pt idx="1">
                  <c:v>171</c:v>
                </c:pt>
                <c:pt idx="2">
                  <c:v>102</c:v>
                </c:pt>
                <c:pt idx="3">
                  <c:v>128</c:v>
                </c:pt>
                <c:pt idx="4">
                  <c:v>127</c:v>
                </c:pt>
                <c:pt idx="5">
                  <c:v>189</c:v>
                </c:pt>
                <c:pt idx="6">
                  <c:v>87</c:v>
                </c:pt>
                <c:pt idx="7">
                  <c:v>221</c:v>
                </c:pt>
                <c:pt idx="8">
                  <c:v>198.838947170978</c:v>
                </c:pt>
                <c:pt idx="9">
                  <c:v>158.13999999999999</c:v>
                </c:pt>
                <c:pt idx="10">
                  <c:v>76.13</c:v>
                </c:pt>
                <c:pt idx="11">
                  <c:v>185.06</c:v>
                </c:pt>
                <c:pt idx="12">
                  <c:v>145.09822799999998</c:v>
                </c:pt>
                <c:pt idx="13" formatCode="General">
                  <c:v>230.68986381639502</c:v>
                </c:pt>
                <c:pt idx="14" formatCode="General">
                  <c:v>198.54</c:v>
                </c:pt>
                <c:pt idx="15" formatCode="General">
                  <c:v>212.76286081418567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87-4A44-B835-931921F38355}"/>
            </c:ext>
          </c:extLst>
        </c:ser>
        <c:ser>
          <c:idx val="2"/>
          <c:order val="2"/>
          <c:tx>
            <c:strRef>
              <c:f>Studienvergleich!$B$70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(Studienvergleich!$W$2:$X$2,Studienvergleich!$AA$2,Studienvergleich!$AD$2:$AO$2,Studienvergleich!$AW$2:$AY$2)</c15:sqref>
                  </c15:fullRef>
                </c:ext>
              </c:extLst>
              <c:f>(Studienvergleich!$W$2:$X$2,Studienvergleich!$AA$2,Studienvergleich!$AD$2:$AG$2,Studienvergleich!$AI$2:$AM$2,Studienvergleich!$AO$2,Studienvergleich!$AW$2:$AY$2)</c:f>
              <c:strCache>
                <c:ptCount val="16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ISE (2020) - Inakzeptanz - 95%</c:v>
                </c:pt>
                <c:pt idx="7">
                  <c:v>ISE (2020) - Update- 100%</c:v>
                </c:pt>
                <c:pt idx="8">
                  <c:v>ISE-KNES45</c:v>
                </c:pt>
                <c:pt idx="9">
                  <c:v>ISE (2021) - Beharrung - 2045 - 100%</c:v>
                </c:pt>
                <c:pt idx="10">
                  <c:v>ISE (2021) - Inakzeptanz - 2045 - 100%</c:v>
                </c:pt>
                <c:pt idx="11">
                  <c:v>ISE (2021) - Suffizenz - 2045 - 100%</c:v>
                </c:pt>
                <c:pt idx="12">
                  <c:v>AGORA-KNDE45</c:v>
                </c:pt>
                <c:pt idx="13">
                  <c:v>IEK-3 (2019) - 95 %</c:v>
                </c:pt>
                <c:pt idx="14">
                  <c:v>IEK-3 (2021) - H2NRW- 95%</c:v>
                </c:pt>
                <c:pt idx="15">
                  <c:v>IEK-3 KSG 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(Studienvergleich!$W$70:$X$70,Studienvergleich!$AA$70,Studienvergleich!$AD$70:$AO$70,Studienvergleich!$AW$70:$AY$70)</c15:sqref>
                  </c15:fullRef>
                </c:ext>
              </c:extLst>
              <c:f>(Studienvergleich!$W$70:$X$70,Studienvergleich!$AA$70,Studienvergleich!$AD$70:$AG$70,Studienvergleich!$AI$70:$AM$70,Studienvergleich!$AO$70,Studienvergleich!$AW$70:$AY$70)</c:f>
              <c:numCache>
                <c:formatCode>0</c:formatCode>
                <c:ptCount val="16"/>
                <c:pt idx="0">
                  <c:v>33</c:v>
                </c:pt>
                <c:pt idx="1">
                  <c:v>26</c:v>
                </c:pt>
                <c:pt idx="2">
                  <c:v>60</c:v>
                </c:pt>
                <c:pt idx="3">
                  <c:v>32</c:v>
                </c:pt>
                <c:pt idx="4">
                  <c:v>32</c:v>
                </c:pt>
                <c:pt idx="5">
                  <c:v>76</c:v>
                </c:pt>
                <c:pt idx="6">
                  <c:v>38</c:v>
                </c:pt>
                <c:pt idx="7">
                  <c:v>76</c:v>
                </c:pt>
                <c:pt idx="8">
                  <c:v>65.982947782523993</c:v>
                </c:pt>
                <c:pt idx="9">
                  <c:v>61.32</c:v>
                </c:pt>
                <c:pt idx="10">
                  <c:v>34.19</c:v>
                </c:pt>
                <c:pt idx="11">
                  <c:v>45.86</c:v>
                </c:pt>
                <c:pt idx="12">
                  <c:v>70.244</c:v>
                </c:pt>
                <c:pt idx="13" formatCode="General">
                  <c:v>33.471374882923996</c:v>
                </c:pt>
                <c:pt idx="14" formatCode="General">
                  <c:v>60</c:v>
                </c:pt>
                <c:pt idx="15" formatCode="General">
                  <c:v>72.338651959898911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87-4A44-B835-931921F38355}"/>
            </c:ext>
          </c:extLst>
        </c:ser>
        <c:ser>
          <c:idx val="3"/>
          <c:order val="3"/>
          <c:tx>
            <c:strRef>
              <c:f>Studienvergleich!$B$71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(Studienvergleich!$W$2:$X$2,Studienvergleich!$AA$2,Studienvergleich!$AD$2:$AO$2,Studienvergleich!$AW$2:$AY$2)</c15:sqref>
                  </c15:fullRef>
                </c:ext>
              </c:extLst>
              <c:f>(Studienvergleich!$W$2:$X$2,Studienvergleich!$AA$2,Studienvergleich!$AD$2:$AG$2,Studienvergleich!$AI$2:$AM$2,Studienvergleich!$AO$2,Studienvergleich!$AW$2:$AY$2)</c:f>
              <c:strCache>
                <c:ptCount val="16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ISE (2020) - Inakzeptanz - 95%</c:v>
                </c:pt>
                <c:pt idx="7">
                  <c:v>ISE (2020) - Update- 100%</c:v>
                </c:pt>
                <c:pt idx="8">
                  <c:v>ISE-KNES45</c:v>
                </c:pt>
                <c:pt idx="9">
                  <c:v>ISE (2021) - Beharrung - 2045 - 100%</c:v>
                </c:pt>
                <c:pt idx="10">
                  <c:v>ISE (2021) - Inakzeptanz - 2045 - 100%</c:v>
                </c:pt>
                <c:pt idx="11">
                  <c:v>ISE (2021) - Suffizenz - 2045 - 100%</c:v>
                </c:pt>
                <c:pt idx="12">
                  <c:v>AGORA-KNDE45</c:v>
                </c:pt>
                <c:pt idx="13">
                  <c:v>IEK-3 (2019) - 95 %</c:v>
                </c:pt>
                <c:pt idx="14">
                  <c:v>IEK-3 (2021) - H2NRW- 95%</c:v>
                </c:pt>
                <c:pt idx="15">
                  <c:v>IEK-3 KSG 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(Studienvergleich!$W$71:$X$71,Studienvergleich!$AA$71,Studienvergleich!$AD$71:$AO$71,Studienvergleich!$AW$71:$AY$71)</c15:sqref>
                  </c15:fullRef>
                </c:ext>
              </c:extLst>
              <c:f>(Studienvergleich!$W$71:$X$71,Studienvergleich!$AA$71,Studienvergleich!$AD$71:$AG$71,Studienvergleich!$AI$71:$AM$71,Studienvergleich!$AO$71,Studienvergleich!$AW$71:$AY$71)</c:f>
              <c:numCache>
                <c:formatCode>0</c:formatCode>
                <c:ptCount val="16"/>
                <c:pt idx="0">
                  <c:v>10</c:v>
                </c:pt>
                <c:pt idx="1">
                  <c:v>20</c:v>
                </c:pt>
                <c:pt idx="2">
                  <c:v>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2">
                  <c:v>2.1870000000000003</c:v>
                </c:pt>
                <c:pt idx="13" formatCode="General">
                  <c:v>6.8630249346373313</c:v>
                </c:pt>
                <c:pt idx="14" formatCode="General">
                  <c:v>8.18</c:v>
                </c:pt>
                <c:pt idx="15" formatCode="General">
                  <c:v>19.453254599023431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87-4A44-B835-931921F38355}"/>
            </c:ext>
          </c:extLst>
        </c:ser>
        <c:ser>
          <c:idx val="4"/>
          <c:order val="4"/>
          <c:tx>
            <c:strRef>
              <c:f>Studienvergleich!$B$72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(Studienvergleich!$W$2:$X$2,Studienvergleich!$AA$2,Studienvergleich!$AD$2:$AO$2,Studienvergleich!$AW$2:$AY$2)</c15:sqref>
                  </c15:fullRef>
                </c:ext>
              </c:extLst>
              <c:f>(Studienvergleich!$W$2:$X$2,Studienvergleich!$AA$2,Studienvergleich!$AD$2:$AG$2,Studienvergleich!$AI$2:$AM$2,Studienvergleich!$AO$2,Studienvergleich!$AW$2:$AY$2)</c:f>
              <c:strCache>
                <c:ptCount val="16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ISE (2020) - Inakzeptanz - 95%</c:v>
                </c:pt>
                <c:pt idx="7">
                  <c:v>ISE (2020) - Update- 100%</c:v>
                </c:pt>
                <c:pt idx="8">
                  <c:v>ISE-KNES45</c:v>
                </c:pt>
                <c:pt idx="9">
                  <c:v>ISE (2021) - Beharrung - 2045 - 100%</c:v>
                </c:pt>
                <c:pt idx="10">
                  <c:v>ISE (2021) - Inakzeptanz - 2045 - 100%</c:v>
                </c:pt>
                <c:pt idx="11">
                  <c:v>ISE (2021) - Suffizenz - 2045 - 100%</c:v>
                </c:pt>
                <c:pt idx="12">
                  <c:v>AGORA-KNDE45</c:v>
                </c:pt>
                <c:pt idx="13">
                  <c:v>IEK-3 (2019) - 95 %</c:v>
                </c:pt>
                <c:pt idx="14">
                  <c:v>IEK-3 (2021) - H2NRW- 95%</c:v>
                </c:pt>
                <c:pt idx="15">
                  <c:v>IEK-3 KSG 2045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(Studienvergleich!$W$72:$X$72,Studienvergleich!$AA$72,Studienvergleich!$AD$72:$AO$72,Studienvergleich!$AW$72:$AY$72)</c15:sqref>
                  </c15:fullRef>
                </c:ext>
              </c:extLst>
              <c:f>(Studienvergleich!$W$72:$X$72,Studienvergleich!$AA$72,Studienvergleich!$AD$72:$AG$72,Studienvergleich!$AI$72:$AM$72,Studienvergleich!$AO$72,Studienvergleich!$AW$72:$AY$72)</c:f>
              <c:numCache>
                <c:formatCode>0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7</c:v>
                </c:pt>
                <c:pt idx="3">
                  <c:v>5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2">
                  <c:v>5.742</c:v>
                </c:pt>
                <c:pt idx="13" formatCode="General">
                  <c:v>3.2246749568099999</c:v>
                </c:pt>
                <c:pt idx="14" formatCode="General">
                  <c:v>5.6</c:v>
                </c:pt>
                <c:pt idx="15" formatCode="General">
                  <c:v>3.226727087221855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87-4A44-B835-931921F38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121600"/>
        <c:axId val="412033600"/>
        <c:extLst>
          <c:ext xmlns:c15="http://schemas.microsoft.com/office/drawing/2012/chart" uri="{02D57815-91ED-43cb-92C2-25804820EDAC}">
            <c15:filteredBarSeries>
              <c15:ser>
                <c:idx val="7"/>
                <c:order val="5"/>
                <c:tx>
                  <c:strRef>
                    <c:extLst>
                      <c:ext uri="{02D57815-91ED-43cb-92C2-25804820EDAC}">
                        <c15:formulaRef>
                          <c15:sqref>Studienvergleich!$B$79</c15:sqref>
                        </c15:formulaRef>
                      </c:ext>
                    </c:extLst>
                    <c:strCache>
                      <c:ptCount val="1"/>
                      <c:pt idx="0">
                        <c:v>Photovoltaics [TWh]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(Studienvergleich!$W$2:$X$2,Studienvergleich!$AA$2,Studienvergleich!$AD$2:$AO$2,Studienvergleich!$AW$2:$AY$2)</c15:sqref>
                        </c15:fullRef>
                        <c15:formulaRef>
                          <c15:sqref>(Studienvergleich!$W$2:$X$2,Studienvergleich!$AA$2,Studienvergleich!$AD$2:$AG$2,Studienvergleich!$AI$2:$AM$2,Studienvergleich!$AO$2,Studienvergleich!$AW$2:$AY$2)</c15:sqref>
                        </c15:formulaRef>
                      </c:ext>
                    </c:extLst>
                    <c:strCache>
                      <c:ptCount val="16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ISE (2020) - Inakzeptanz - 95%</c:v>
                      </c:pt>
                      <c:pt idx="7">
                        <c:v>ISE (2020) - Update- 100%</c:v>
                      </c:pt>
                      <c:pt idx="8">
                        <c:v>ISE-KNES45</c:v>
                      </c:pt>
                      <c:pt idx="9">
                        <c:v>ISE (2021) - Beharrung - 2045 - 100%</c:v>
                      </c:pt>
                      <c:pt idx="10">
                        <c:v>ISE (2021) - Inakzeptanz - 2045 - 100%</c:v>
                      </c:pt>
                      <c:pt idx="11">
                        <c:v>ISE (2021) - Suffizenz - 2045 - 100%</c:v>
                      </c:pt>
                      <c:pt idx="12">
                        <c:v>AGORA-KNDE45</c:v>
                      </c:pt>
                      <c:pt idx="13">
                        <c:v>IEK-3 (2019) - 95 %</c:v>
                      </c:pt>
                      <c:pt idx="14">
                        <c:v>IEK-3 (2021) - H2NRW- 95%</c:v>
                      </c:pt>
                      <c:pt idx="15">
                        <c:v>IEK-3 KSG 2045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(Studienvergleich!$D$79:$F$79,Studienvergleich!$I$79,Studienvergleich!$K$79,Studienvergleich!$N$79:$P$79,Studienvergleich!$R$79:$S$79,Studienvergleich!$U$79,Studienvergleich!$Z$79,Studienvergleich!$AB$79,Studienvergleich!$AV$79)</c15:sqref>
                        </c15:fullRef>
                        <c15:formulaRef>
                          <c15:sqref>(Studienvergleich!$D$79:$F$79,Studienvergleich!$I$79,Studienvergleich!$K$79,Studienvergleich!$N$79:$O$79,Studienvergleich!$R$79:$S$79,Studienvergleich!$U$79,Studienvergleich!$Z$79,Studienvergleich!$AB$79)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-32.5</c:v>
                      </c:pt>
                      <c:pt idx="1">
                        <c:v>-104</c:v>
                      </c:pt>
                      <c:pt idx="2">
                        <c:v>-63.8</c:v>
                      </c:pt>
                      <c:pt idx="3">
                        <c:v>-190</c:v>
                      </c:pt>
                      <c:pt idx="4" formatCode="General">
                        <c:v>-73</c:v>
                      </c:pt>
                      <c:pt idx="5" formatCode="General">
                        <c:v>-123.4</c:v>
                      </c:pt>
                      <c:pt idx="6" formatCode="General">
                        <c:v>-394</c:v>
                      </c:pt>
                      <c:pt idx="7">
                        <c:v>-63.2</c:v>
                      </c:pt>
                      <c:pt idx="8">
                        <c:v>-233</c:v>
                      </c:pt>
                      <c:pt idx="9">
                        <c:v>-116</c:v>
                      </c:pt>
                      <c:pt idx="10">
                        <c:v>-100</c:v>
                      </c:pt>
                      <c:pt idx="11">
                        <c:v>-100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3487-4A44-B835-931921F38355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Studienvergleich!$B$80</c15:sqref>
                        </c15:formulaRef>
                      </c:ext>
                    </c:extLst>
                    <c:strCache>
                      <c:ptCount val="1"/>
                      <c:pt idx="0">
                        <c:v>Wind (Onshore) [TWh]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(Studienvergleich!$W$2:$X$2,Studienvergleich!$AA$2,Studienvergleich!$AD$2:$AO$2,Studienvergleich!$AW$2:$AY$2)</c15:sqref>
                        </c15:fullRef>
                        <c15:formulaRef>
                          <c15:sqref>(Studienvergleich!$W$2:$X$2,Studienvergleich!$AA$2,Studienvergleich!$AD$2:$AG$2,Studienvergleich!$AI$2:$AM$2,Studienvergleich!$AO$2,Studienvergleich!$AW$2:$AY$2)</c15:sqref>
                        </c15:formulaRef>
                      </c:ext>
                    </c:extLst>
                    <c:strCache>
                      <c:ptCount val="16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ISE (2020) - Inakzeptanz - 95%</c:v>
                      </c:pt>
                      <c:pt idx="7">
                        <c:v>ISE (2020) - Update- 100%</c:v>
                      </c:pt>
                      <c:pt idx="8">
                        <c:v>ISE-KNES45</c:v>
                      </c:pt>
                      <c:pt idx="9">
                        <c:v>ISE (2021) - Beharrung - 2045 - 100%</c:v>
                      </c:pt>
                      <c:pt idx="10">
                        <c:v>ISE (2021) - Inakzeptanz - 2045 - 100%</c:v>
                      </c:pt>
                      <c:pt idx="11">
                        <c:v>ISE (2021) - Suffizenz - 2045 - 100%</c:v>
                      </c:pt>
                      <c:pt idx="12">
                        <c:v>AGORA-KNDE45</c:v>
                      </c:pt>
                      <c:pt idx="13">
                        <c:v>IEK-3 (2019) - 95 %</c:v>
                      </c:pt>
                      <c:pt idx="14">
                        <c:v>IEK-3 (2021) - H2NRW- 95%</c:v>
                      </c:pt>
                      <c:pt idx="15">
                        <c:v>IEK-3 KSG 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(Studienvergleich!$D$80:$F$80,Studienvergleich!$I$80,Studienvergleich!$K$80,Studienvergleich!$N$80:$P$80,Studienvergleich!$R$80:$S$80,Studienvergleich!$U$80,Studienvergleich!$Z$80,Studienvergleich!$AB$80,Studienvergleich!$AV$80)</c15:sqref>
                        </c15:fullRef>
                        <c15:formulaRef>
                          <c15:sqref>(Studienvergleich!$D$80:$F$80,Studienvergleich!$I$80,Studienvergleich!$K$80,Studienvergleich!$N$80:$O$80,Studienvergleich!$R$80:$S$80,Studienvergleich!$U$80,Studienvergleich!$Z$80,Studienvergleich!$AB$80)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-85.8</c:v>
                      </c:pt>
                      <c:pt idx="1">
                        <c:v>-170</c:v>
                      </c:pt>
                      <c:pt idx="2">
                        <c:v>-132</c:v>
                      </c:pt>
                      <c:pt idx="3">
                        <c:v>-486</c:v>
                      </c:pt>
                      <c:pt idx="4" formatCode="General">
                        <c:v>-136</c:v>
                      </c:pt>
                      <c:pt idx="5" formatCode="General">
                        <c:v>-389.8</c:v>
                      </c:pt>
                      <c:pt idx="6" formatCode="General">
                        <c:v>-498</c:v>
                      </c:pt>
                      <c:pt idx="7">
                        <c:v>-266</c:v>
                      </c:pt>
                      <c:pt idx="8">
                        <c:v>-435</c:v>
                      </c:pt>
                      <c:pt idx="9">
                        <c:v>-471</c:v>
                      </c:pt>
                      <c:pt idx="10">
                        <c:v>-208</c:v>
                      </c:pt>
                      <c:pt idx="11">
                        <c:v>-318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87-4A44-B835-931921F38355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Studienvergleich!$B$81</c15:sqref>
                        </c15:formulaRef>
                      </c:ext>
                    </c:extLst>
                    <c:strCache>
                      <c:ptCount val="1"/>
                      <c:pt idx="0">
                        <c:v>Wind (Offshore) [TWh]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(Studienvergleich!$W$2:$X$2,Studienvergleich!$AA$2,Studienvergleich!$AD$2:$AO$2,Studienvergleich!$AW$2:$AY$2)</c15:sqref>
                        </c15:fullRef>
                        <c15:formulaRef>
                          <c15:sqref>(Studienvergleich!$W$2:$X$2,Studienvergleich!$AA$2,Studienvergleich!$AD$2:$AG$2,Studienvergleich!$AI$2:$AM$2,Studienvergleich!$AO$2,Studienvergleich!$AW$2:$AY$2)</c15:sqref>
                        </c15:formulaRef>
                      </c:ext>
                    </c:extLst>
                    <c:strCache>
                      <c:ptCount val="16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ISE (2020) - Inakzeptanz - 95%</c:v>
                      </c:pt>
                      <c:pt idx="7">
                        <c:v>ISE (2020) - Update- 100%</c:v>
                      </c:pt>
                      <c:pt idx="8">
                        <c:v>ISE-KNES45</c:v>
                      </c:pt>
                      <c:pt idx="9">
                        <c:v>ISE (2021) - Beharrung - 2045 - 100%</c:v>
                      </c:pt>
                      <c:pt idx="10">
                        <c:v>ISE (2021) - Inakzeptanz - 2045 - 100%</c:v>
                      </c:pt>
                      <c:pt idx="11">
                        <c:v>ISE (2021) - Suffizenz - 2045 - 100%</c:v>
                      </c:pt>
                      <c:pt idx="12">
                        <c:v>AGORA-KNDE45</c:v>
                      </c:pt>
                      <c:pt idx="13">
                        <c:v>IEK-3 (2019) - 95 %</c:v>
                      </c:pt>
                      <c:pt idx="14">
                        <c:v>IEK-3 (2021) - H2NRW- 95%</c:v>
                      </c:pt>
                      <c:pt idx="15">
                        <c:v>IEK-3 KSG 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(Studienvergleich!$D$81:$F$81,Studienvergleich!$I$81,Studienvergleich!$K$81,Studienvergleich!$N$81:$P$81,Studienvergleich!$R$81:$S$81,Studienvergleich!$U$81,Studienvergleich!$Z$81,Studienvergleich!$AB$81,Studienvergleich!$AV$81)</c15:sqref>
                        </c15:fullRef>
                        <c15:formulaRef>
                          <c15:sqref>(Studienvergleich!$D$81:$F$81,Studienvergleich!$I$81,Studienvergleich!$K$81,Studienvergleich!$N$81:$O$81,Studienvergleich!$R$81:$S$81,Studienvergleich!$U$81,Studienvergleich!$Z$81,Studienvergleich!$AB$81)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-142.5</c:v>
                      </c:pt>
                      <c:pt idx="1">
                        <c:v>-177</c:v>
                      </c:pt>
                      <c:pt idx="2">
                        <c:v>-128</c:v>
                      </c:pt>
                      <c:pt idx="3">
                        <c:v>-240</c:v>
                      </c:pt>
                      <c:pt idx="4" formatCode="General">
                        <c:v>-73</c:v>
                      </c:pt>
                      <c:pt idx="5" formatCode="General">
                        <c:v>-180</c:v>
                      </c:pt>
                      <c:pt idx="6" formatCode="General">
                        <c:v>-343</c:v>
                      </c:pt>
                      <c:pt idx="7">
                        <c:v>-69.099999999999994</c:v>
                      </c:pt>
                      <c:pt idx="8">
                        <c:v>-70</c:v>
                      </c:pt>
                      <c:pt idx="9">
                        <c:v>-80</c:v>
                      </c:pt>
                      <c:pt idx="10">
                        <c:v>-188</c:v>
                      </c:pt>
                      <c:pt idx="11">
                        <c:v>-54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487-4A44-B835-931921F38355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Studienvergleich!$B$82</c15:sqref>
                        </c15:formulaRef>
                      </c:ext>
                    </c:extLst>
                    <c:strCache>
                      <c:ptCount val="1"/>
                      <c:pt idx="0">
                        <c:v>Bioenergy [TWh]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(Studienvergleich!$W$2:$X$2,Studienvergleich!$AA$2,Studienvergleich!$AD$2:$AO$2,Studienvergleich!$AW$2:$AY$2)</c15:sqref>
                        </c15:fullRef>
                        <c15:formulaRef>
                          <c15:sqref>(Studienvergleich!$W$2:$X$2,Studienvergleich!$AA$2,Studienvergleich!$AD$2:$AG$2,Studienvergleich!$AI$2:$AM$2,Studienvergleich!$AO$2,Studienvergleich!$AW$2:$AY$2)</c15:sqref>
                        </c15:formulaRef>
                      </c:ext>
                    </c:extLst>
                    <c:strCache>
                      <c:ptCount val="16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ISE (2020) - Inakzeptanz - 95%</c:v>
                      </c:pt>
                      <c:pt idx="7">
                        <c:v>ISE (2020) - Update- 100%</c:v>
                      </c:pt>
                      <c:pt idx="8">
                        <c:v>ISE-KNES45</c:v>
                      </c:pt>
                      <c:pt idx="9">
                        <c:v>ISE (2021) - Beharrung - 2045 - 100%</c:v>
                      </c:pt>
                      <c:pt idx="10">
                        <c:v>ISE (2021) - Inakzeptanz - 2045 - 100%</c:v>
                      </c:pt>
                      <c:pt idx="11">
                        <c:v>ISE (2021) - Suffizenz - 2045 - 100%</c:v>
                      </c:pt>
                      <c:pt idx="12">
                        <c:v>AGORA-KNDE45</c:v>
                      </c:pt>
                      <c:pt idx="13">
                        <c:v>IEK-3 (2019) - 95 %</c:v>
                      </c:pt>
                      <c:pt idx="14">
                        <c:v>IEK-3 (2021) - H2NRW- 95%</c:v>
                      </c:pt>
                      <c:pt idx="15">
                        <c:v>IEK-3 KSG 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(Studienvergleich!$D$82:$F$82,Studienvergleich!$I$82,Studienvergleich!$K$82,Studienvergleich!$N$82:$P$82,Studienvergleich!$R$82:$S$82,Studienvergleich!$U$82,Studienvergleich!$Z$82,Studienvergleich!$AB$82,Studienvergleich!$AV$82)</c15:sqref>
                        </c15:fullRef>
                        <c15:formulaRef>
                          <c15:sqref>(Studienvergleich!$D$82:$F$82,Studienvergleich!$I$82,Studienvergleich!$K$82,Studienvergleich!$N$82:$O$82,Studienvergleich!$R$82:$S$82,Studienvergleich!$U$82,Studienvergleich!$Z$82,Studienvergleich!$AB$82)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-56.6</c:v>
                      </c:pt>
                      <c:pt idx="1">
                        <c:v>-11</c:v>
                      </c:pt>
                      <c:pt idx="2">
                        <c:v>-59.2</c:v>
                      </c:pt>
                      <c:pt idx="3">
                        <c:v>-50</c:v>
                      </c:pt>
                      <c:pt idx="4" formatCode="General">
                        <c:v>-48</c:v>
                      </c:pt>
                      <c:pt idx="5" formatCode="General">
                        <c:v>-3.8</c:v>
                      </c:pt>
                      <c:pt idx="6" formatCode="General">
                        <c:v>-58</c:v>
                      </c:pt>
                      <c:pt idx="7">
                        <c:v>-25.8</c:v>
                      </c:pt>
                      <c:pt idx="8">
                        <c:v>0</c:v>
                      </c:pt>
                      <c:pt idx="9">
                        <c:v>-49</c:v>
                      </c:pt>
                      <c:pt idx="10">
                        <c:v>-33</c:v>
                      </c:pt>
                      <c:pt idx="11">
                        <c:v>-45.8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87-4A44-B835-931921F38355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Studienvergleich!$B$83</c15:sqref>
                        </c15:formulaRef>
                      </c:ext>
                    </c:extLst>
                    <c:strCache>
                      <c:ptCount val="1"/>
                      <c:pt idx="0">
                        <c:v>Hydropower [TWh]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(Studienvergleich!$W$2:$X$2,Studienvergleich!$AA$2,Studienvergleich!$AD$2:$AO$2,Studienvergleich!$AW$2:$AY$2)</c15:sqref>
                        </c15:fullRef>
                        <c15:formulaRef>
                          <c15:sqref>(Studienvergleich!$W$2:$X$2,Studienvergleich!$AA$2,Studienvergleich!$AD$2:$AG$2,Studienvergleich!$AI$2:$AM$2,Studienvergleich!$AO$2,Studienvergleich!$AW$2:$AY$2)</c15:sqref>
                        </c15:formulaRef>
                      </c:ext>
                    </c:extLst>
                    <c:strCache>
                      <c:ptCount val="16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ISE (2020) - Inakzeptanz - 95%</c:v>
                      </c:pt>
                      <c:pt idx="7">
                        <c:v>ISE (2020) - Update- 100%</c:v>
                      </c:pt>
                      <c:pt idx="8">
                        <c:v>ISE-KNES45</c:v>
                      </c:pt>
                      <c:pt idx="9">
                        <c:v>ISE (2021) - Beharrung - 2045 - 100%</c:v>
                      </c:pt>
                      <c:pt idx="10">
                        <c:v>ISE (2021) - Inakzeptanz - 2045 - 100%</c:v>
                      </c:pt>
                      <c:pt idx="11">
                        <c:v>ISE (2021) - Suffizenz - 2045 - 100%</c:v>
                      </c:pt>
                      <c:pt idx="12">
                        <c:v>AGORA-KNDE45</c:v>
                      </c:pt>
                      <c:pt idx="13">
                        <c:v>IEK-3 (2019) - 95 %</c:v>
                      </c:pt>
                      <c:pt idx="14">
                        <c:v>IEK-3 (2021) - H2NRW- 95%</c:v>
                      </c:pt>
                      <c:pt idx="15">
                        <c:v>IEK-3 KSG 2045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(Studienvergleich!$D$83:$F$83,Studienvergleich!$I$83,Studienvergleich!$K$83,Studienvergleich!$N$83:$P$83,Studienvergleich!$R$83:$S$83,Studienvergleich!$U$83,Studienvergleich!$Z$83,Studienvergleich!$AB$83,Studienvergleich!$AV$83)</c15:sqref>
                        </c15:fullRef>
                        <c15:formulaRef>
                          <c15:sqref>(Studienvergleich!$D$83:$F$83,Studienvergleich!$I$83,Studienvergleich!$K$83,Studienvergleich!$N$83:$O$83,Studienvergleich!$R$83:$S$83,Studienvergleich!$U$83,Studienvergleich!$Z$83,Studienvergleich!$AB$83)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-25</c:v>
                      </c:pt>
                      <c:pt idx="1">
                        <c:v>-22</c:v>
                      </c:pt>
                      <c:pt idx="2">
                        <c:v>-25</c:v>
                      </c:pt>
                      <c:pt idx="3">
                        <c:v>-24</c:v>
                      </c:pt>
                      <c:pt idx="4" formatCode="General">
                        <c:v>-19</c:v>
                      </c:pt>
                      <c:pt idx="5" formatCode="General">
                        <c:v>-24.7</c:v>
                      </c:pt>
                      <c:pt idx="6" formatCode="General">
                        <c:v>-27</c:v>
                      </c:pt>
                      <c:pt idx="7">
                        <c:v>-18.100000000000001</c:v>
                      </c:pt>
                      <c:pt idx="8">
                        <c:v>-24</c:v>
                      </c:pt>
                      <c:pt idx="9">
                        <c:v>-24</c:v>
                      </c:pt>
                      <c:pt idx="10">
                        <c:v>-21</c:v>
                      </c:pt>
                      <c:pt idx="11">
                        <c:v>-18.8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487-4A44-B835-931921F38355}"/>
                  </c:ext>
                </c:extLst>
              </c15:ser>
            </c15:filteredBarSeries>
          </c:ext>
        </c:extLst>
      </c:barChart>
      <c:catAx>
        <c:axId val="412121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12033600"/>
        <c:crossesAt val="0"/>
        <c:auto val="1"/>
        <c:lblAlgn val="ctr"/>
        <c:lblOffset val="1000"/>
        <c:noMultiLvlLbl val="0"/>
      </c:catAx>
      <c:valAx>
        <c:axId val="412033600"/>
        <c:scaling>
          <c:orientation val="minMax"/>
          <c:max val="8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Installierte Kapazitäten in GW</a:t>
                </a:r>
              </a:p>
            </c:rich>
          </c:tx>
          <c:overlay val="0"/>
        </c:title>
        <c:numFmt formatCode="#,##0;[Red]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12121600"/>
        <c:crosses val="autoZero"/>
        <c:crossBetween val="between"/>
      </c:valAx>
      <c:spPr>
        <a:solidFill>
          <a:sysClr val="window" lastClr="FFFFFF"/>
        </a:solidFill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84617825801727931"/>
          <c:y val="0.10674904276376711"/>
          <c:w val="0.15254021486025673"/>
          <c:h val="0.41484432281423511"/>
        </c:manualLayout>
      </c:layout>
      <c:overlay val="0"/>
      <c:spPr>
        <a:solidFill>
          <a:sysClr val="window" lastClr="FFFFFF"/>
        </a:solidFill>
        <a:ln>
          <a:noFill/>
        </a:ln>
      </c:spPr>
    </c:legend>
    <c:plotVisOnly val="0"/>
    <c:dispBlanksAs val="zero"/>
    <c:showDLblsOverMax val="0"/>
  </c:chart>
  <c:spPr>
    <a:ln>
      <a:noFill/>
    </a:ln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79732746195538E-2"/>
          <c:y val="0.22650707712996726"/>
          <c:w val="0.76179908363224869"/>
          <c:h val="0.916254444444444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Studienvergleich!$B$68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(Studienvergleich!$W$2:$X$2,Studienvergleich!$AA$2,Studienvergleich!$AD$2:$AF$2,Studienvergleich!$AN$2:$AO$2,Studienvergleich!$AW$2:$AX$2)</c15:sqref>
                  </c15:fullRef>
                </c:ext>
              </c:extLst>
              <c:f>(Studienvergleich!$W$2:$X$2,Studienvergleich!$AA$2,Studienvergleich!$AD$2:$AF$2,Studienvergleich!$AN$2:$AO$2,Studienvergleich!$AW$2:$AX$2)</c:f>
              <c:strCache>
                <c:ptCount val="10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AGORA (2020) - 2050 - 100%</c:v>
                </c:pt>
                <c:pt idx="7">
                  <c:v>AGORA-KNDE45</c:v>
                </c:pt>
                <c:pt idx="8">
                  <c:v>IEK-3 (2019) - 95 %</c:v>
                </c:pt>
                <c:pt idx="9">
                  <c:v>IEK-3 (2021) - H2NRW- 95%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(Studienvergleich!$W$79:$X$79,Studienvergleich!$AA$79,Studienvergleich!$AD$79:$AF$79,Studienvergleich!$AN$79:$AO$79,Studienvergleich!$AW$79:$AX$79)</c15:sqref>
                  </c15:fullRef>
                </c:ext>
              </c:extLst>
              <c:f>(Studienvergleich!$W$79:$X$79,Studienvergleich!$AA$79,Studienvergleich!$AD$79:$AF$79,Studienvergleich!$AN$79:$AO$79,Studienvergleich!$AW$79:$AX$79)</c:f>
              <c:numCache>
                <c:formatCode>0</c:formatCode>
                <c:ptCount val="10"/>
                <c:pt idx="0">
                  <c:v>168</c:v>
                </c:pt>
                <c:pt idx="1">
                  <c:v>116</c:v>
                </c:pt>
                <c:pt idx="2">
                  <c:v>114</c:v>
                </c:pt>
                <c:pt idx="3">
                  <c:v>170</c:v>
                </c:pt>
                <c:pt idx="4">
                  <c:v>130</c:v>
                </c:pt>
                <c:pt idx="5">
                  <c:v>400</c:v>
                </c:pt>
                <c:pt idx="6">
                  <c:v>331</c:v>
                </c:pt>
                <c:pt idx="7">
                  <c:v>-354.87585496094698</c:v>
                </c:pt>
                <c:pt idx="8" formatCode="General">
                  <c:v>193.196</c:v>
                </c:pt>
                <c:pt idx="9" formatCode="General">
                  <c:v>236.23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32-471C-98C2-685569346C16}"/>
            </c:ext>
          </c:extLst>
        </c:ser>
        <c:ser>
          <c:idx val="1"/>
          <c:order val="1"/>
          <c:tx>
            <c:strRef>
              <c:f>Studienvergleich!$B$69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(Studienvergleich!$W$2:$X$2,Studienvergleich!$AA$2,Studienvergleich!$AD$2:$AF$2,Studienvergleich!$AN$2:$AO$2,Studienvergleich!$AW$2:$AX$2)</c15:sqref>
                  </c15:fullRef>
                </c:ext>
              </c:extLst>
              <c:f>(Studienvergleich!$W$2:$X$2,Studienvergleich!$AA$2,Studienvergleich!$AD$2:$AF$2,Studienvergleich!$AN$2:$AO$2,Studienvergleich!$AW$2:$AX$2)</c:f>
              <c:strCache>
                <c:ptCount val="10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AGORA (2020) - 2050 - 100%</c:v>
                </c:pt>
                <c:pt idx="7">
                  <c:v>AGORA-KNDE45</c:v>
                </c:pt>
                <c:pt idx="8">
                  <c:v>IEK-3 (2019) - 95 %</c:v>
                </c:pt>
                <c:pt idx="9">
                  <c:v>IEK-3 (2021) - H2NRW- 95%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(Studienvergleich!$W$80:$X$80,Studienvergleich!$AA$80,Studienvergleich!$AD$80:$AF$80,Studienvergleich!$AN$80:$AO$80,Studienvergleich!$AW$80:$AX$80)</c15:sqref>
                  </c15:fullRef>
                </c:ext>
              </c:extLst>
              <c:f>(Studienvergleich!$W$80:$X$80,Studienvergleich!$AA$80,Studienvergleich!$AD$80:$AF$80,Studienvergleich!$AN$80:$AO$80,Studienvergleich!$AW$80:$AX$80)</c:f>
              <c:numCache>
                <c:formatCode>0</c:formatCode>
                <c:ptCount val="10"/>
                <c:pt idx="0">
                  <c:v>494</c:v>
                </c:pt>
                <c:pt idx="1">
                  <c:v>471</c:v>
                </c:pt>
                <c:pt idx="2">
                  <c:v>215</c:v>
                </c:pt>
                <c:pt idx="3">
                  <c:v>425</c:v>
                </c:pt>
                <c:pt idx="4">
                  <c:v>425</c:v>
                </c:pt>
                <c:pt idx="5">
                  <c:v>500</c:v>
                </c:pt>
                <c:pt idx="6">
                  <c:v>288</c:v>
                </c:pt>
                <c:pt idx="7">
                  <c:v>-308.73619020000001</c:v>
                </c:pt>
                <c:pt idx="8" formatCode="General">
                  <c:v>543.24</c:v>
                </c:pt>
                <c:pt idx="9" formatCode="General">
                  <c:v>375.47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32-471C-98C2-685569346C16}"/>
            </c:ext>
          </c:extLst>
        </c:ser>
        <c:ser>
          <c:idx val="2"/>
          <c:order val="2"/>
          <c:tx>
            <c:strRef>
              <c:f>Studienvergleich!$B$70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(Studienvergleich!$W$2:$X$2,Studienvergleich!$AA$2,Studienvergleich!$AD$2:$AF$2,Studienvergleich!$AN$2:$AO$2,Studienvergleich!$AW$2:$AX$2)</c15:sqref>
                  </c15:fullRef>
                </c:ext>
              </c:extLst>
              <c:f>(Studienvergleich!$W$2:$X$2,Studienvergleich!$AA$2,Studienvergleich!$AD$2:$AF$2,Studienvergleich!$AN$2:$AO$2,Studienvergleich!$AW$2:$AX$2)</c:f>
              <c:strCache>
                <c:ptCount val="10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AGORA (2020) - 2050 - 100%</c:v>
                </c:pt>
                <c:pt idx="7">
                  <c:v>AGORA-KNDE45</c:v>
                </c:pt>
                <c:pt idx="8">
                  <c:v>IEK-3 (2019) - 95 %</c:v>
                </c:pt>
                <c:pt idx="9">
                  <c:v>IEK-3 (2021) - H2NRW- 95%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(Studienvergleich!$W$81:$X$81,Studienvergleich!$AA$81,Studienvergleich!$AD$81:$AF$81,Studienvergleich!$AN$81:$AO$81,Studienvergleich!$AW$81:$AX$81)</c15:sqref>
                  </c15:fullRef>
                </c:ext>
              </c:extLst>
              <c:f>(Studienvergleich!$W$81:$X$81,Studienvergleich!$AA$81,Studienvergleich!$AD$81:$AF$81,Studienvergleich!$AN$81:$AO$81,Studienvergleich!$AW$81:$AX$81)</c:f>
              <c:numCache>
                <c:formatCode>0</c:formatCode>
                <c:ptCount val="10"/>
                <c:pt idx="0">
                  <c:v>144</c:v>
                </c:pt>
                <c:pt idx="1">
                  <c:v>110</c:v>
                </c:pt>
                <c:pt idx="2">
                  <c:v>258</c:v>
                </c:pt>
                <c:pt idx="3">
                  <c:v>130</c:v>
                </c:pt>
                <c:pt idx="4">
                  <c:v>130</c:v>
                </c:pt>
                <c:pt idx="5">
                  <c:v>370</c:v>
                </c:pt>
                <c:pt idx="6">
                  <c:v>254</c:v>
                </c:pt>
                <c:pt idx="7">
                  <c:v>-252.37559999999999</c:v>
                </c:pt>
                <c:pt idx="8" formatCode="General">
                  <c:v>154.16999999999999</c:v>
                </c:pt>
                <c:pt idx="9" formatCode="General">
                  <c:v>277.49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32-471C-98C2-685569346C16}"/>
            </c:ext>
          </c:extLst>
        </c:ser>
        <c:ser>
          <c:idx val="3"/>
          <c:order val="3"/>
          <c:tx>
            <c:strRef>
              <c:f>Studienvergleich!$B$71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(Studienvergleich!$W$2:$X$2,Studienvergleich!$AA$2,Studienvergleich!$AD$2:$AF$2,Studienvergleich!$AN$2:$AO$2,Studienvergleich!$AW$2:$AX$2)</c15:sqref>
                  </c15:fullRef>
                </c:ext>
              </c:extLst>
              <c:f>(Studienvergleich!$W$2:$X$2,Studienvergleich!$AA$2,Studienvergleich!$AD$2:$AF$2,Studienvergleich!$AN$2:$AO$2,Studienvergleich!$AW$2:$AX$2)</c:f>
              <c:strCache>
                <c:ptCount val="10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AGORA (2020) - 2050 - 100%</c:v>
                </c:pt>
                <c:pt idx="7">
                  <c:v>AGORA-KNDE45</c:v>
                </c:pt>
                <c:pt idx="8">
                  <c:v>IEK-3 (2019) - 95 %</c:v>
                </c:pt>
                <c:pt idx="9">
                  <c:v>IEK-3 (2021) - H2NRW- 95%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(Studienvergleich!$W$82:$X$82,Studienvergleich!$AA$82,Studienvergleich!$AD$82:$AF$82,Studienvergleich!$AN$82:$AO$82,Studienvergleich!$AW$82:$AX$82)</c15:sqref>
                  </c15:fullRef>
                </c:ext>
              </c:extLst>
              <c:f>(Studienvergleich!$W$82:$X$82,Studienvergleich!$AA$82,Studienvergleich!$AD$82:$AF$82,Studienvergleich!$AN$82:$AO$82,Studienvergleich!$AW$82:$AX$82)</c:f>
              <c:numCache>
                <c:formatCode>0</c:formatCode>
                <c:ptCount val="10"/>
                <c:pt idx="0">
                  <c:v>49</c:v>
                </c:pt>
                <c:pt idx="1">
                  <c:v>49</c:v>
                </c:pt>
                <c:pt idx="2">
                  <c:v>27</c:v>
                </c:pt>
                <c:pt idx="6">
                  <c:v>4</c:v>
                </c:pt>
                <c:pt idx="7">
                  <c:v>-10.125999999999999</c:v>
                </c:pt>
                <c:pt idx="8" formatCode="General">
                  <c:v>25.693999999999999</c:v>
                </c:pt>
                <c:pt idx="9" formatCode="General">
                  <c:v>18.09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32-471C-98C2-685569346C16}"/>
            </c:ext>
          </c:extLst>
        </c:ser>
        <c:ser>
          <c:idx val="4"/>
          <c:order val="4"/>
          <c:tx>
            <c:strRef>
              <c:f>Studienvergleich!$B$72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(Studienvergleich!$W$2:$X$2,Studienvergleich!$AA$2,Studienvergleich!$AD$2:$AF$2,Studienvergleich!$AN$2:$AO$2,Studienvergleich!$AW$2:$AX$2)</c15:sqref>
                  </c15:fullRef>
                </c:ext>
              </c:extLst>
              <c:f>(Studienvergleich!$W$2:$X$2,Studienvergleich!$AA$2,Studienvergleich!$AD$2:$AF$2,Studienvergleich!$AN$2:$AO$2,Studienvergleich!$AW$2:$AX$2)</c:f>
              <c:strCache>
                <c:ptCount val="10"/>
                <c:pt idx="0">
                  <c:v>DENA (2018) - EL - 95 %</c:v>
                </c:pt>
                <c:pt idx="1">
                  <c:v>DENA (2018) - TM - 95 %</c:v>
                </c:pt>
                <c:pt idx="2">
                  <c:v>BDI (2018) - 95 %</c:v>
                </c:pt>
                <c:pt idx="3">
                  <c:v>UBA (2019) - GreenEE - 100%</c:v>
                </c:pt>
                <c:pt idx="4">
                  <c:v>UBA (2019) - GreenSupreme - 100%</c:v>
                </c:pt>
                <c:pt idx="5">
                  <c:v>ISE (2020) - Referenz - 95%</c:v>
                </c:pt>
                <c:pt idx="6">
                  <c:v>AGORA (2020) - 2050 - 100%</c:v>
                </c:pt>
                <c:pt idx="7">
                  <c:v>AGORA-KNDE45</c:v>
                </c:pt>
                <c:pt idx="8">
                  <c:v>IEK-3 (2019) - 95 %</c:v>
                </c:pt>
                <c:pt idx="9">
                  <c:v>IEK-3 (2021) - H2NRW- 95%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(Studienvergleich!$W$83:$X$83,Studienvergleich!$AA$83,Studienvergleich!$AD$83:$AF$83,Studienvergleich!$AN$83:$AO$83,Studienvergleich!$AW$83:$AX$83)</c15:sqref>
                  </c15:fullRef>
                </c:ext>
              </c:extLst>
              <c:f>(Studienvergleich!$W$83:$X$83,Studienvergleich!$AA$83,Studienvergleich!$AD$83:$AF$83,Studienvergleich!$AN$83:$AO$83,Studienvergleich!$AW$83:$AX$83)</c:f>
              <c:numCache>
                <c:formatCode>0</c:formatCode>
                <c:ptCount val="10"/>
                <c:pt idx="0">
                  <c:v>24</c:v>
                </c:pt>
                <c:pt idx="1">
                  <c:v>24</c:v>
                </c:pt>
                <c:pt idx="2">
                  <c:v>21</c:v>
                </c:pt>
                <c:pt idx="3">
                  <c:v>25</c:v>
                </c:pt>
                <c:pt idx="4">
                  <c:v>25</c:v>
                </c:pt>
                <c:pt idx="6">
                  <c:v>21</c:v>
                </c:pt>
                <c:pt idx="7">
                  <c:v>-20.671199999999999</c:v>
                </c:pt>
                <c:pt idx="8" formatCode="General">
                  <c:v>23.88</c:v>
                </c:pt>
                <c:pt idx="9" formatCode="General">
                  <c:v>24.46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32-471C-98C2-685569346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121600"/>
        <c:axId val="412033600"/>
        <c:extLst>
          <c:ext xmlns:c15="http://schemas.microsoft.com/office/drawing/2012/chart" uri="{02D57815-91ED-43cb-92C2-25804820EDAC}">
            <c15:filteredBarSeries>
              <c15:ser>
                <c:idx val="7"/>
                <c:order val="5"/>
                <c:tx>
                  <c:strRef>
                    <c:extLst>
                      <c:ext uri="{02D57815-91ED-43cb-92C2-25804820EDAC}">
                        <c15:formulaRef>
                          <c15:sqref>Studienvergleich!$B$79</c15:sqref>
                        </c15:formulaRef>
                      </c:ext>
                    </c:extLst>
                    <c:strCache>
                      <c:ptCount val="1"/>
                      <c:pt idx="0">
                        <c:v>Photovoltaics [TWh]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(Studienvergleich!$W$2:$X$2,Studienvergleich!$AA$2,Studienvergleich!$AD$2:$AF$2,Studienvergleich!$AN$2:$AO$2,Studienvergleich!$AW$2:$AX$2)</c15:sqref>
                        </c15:fullRef>
                        <c15:formulaRef>
                          <c15:sqref>(Studienvergleich!$W$2:$X$2,Studienvergleich!$AA$2,Studienvergleich!$AD$2:$AF$2,Studienvergleich!$AN$2:$AO$2,Studienvergleich!$AW$2:$AX$2)</c15:sqref>
                        </c15:formulaRef>
                      </c:ext>
                    </c:extLst>
                    <c:strCache>
                      <c:ptCount val="10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AGORA (2020) - 2050 - 100%</c:v>
                      </c:pt>
                      <c:pt idx="7">
                        <c:v>AGORA-KNDE45</c:v>
                      </c:pt>
                      <c:pt idx="8">
                        <c:v>IEK-3 (2019) - 95 %</c:v>
                      </c:pt>
                      <c:pt idx="9">
                        <c:v>IEK-3 (2021) - H2NRW- 95%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(Studienvergleich!$D$79:$F$79,Studienvergleich!$I$79,Studienvergleich!$K$79,Studienvergleich!$N$79:$P$79,Studienvergleich!$R$79:$S$79,Studienvergleich!$U$79,Studienvergleich!$Z$79,Studienvergleich!$AB$79,Studienvergleich!$AV$79)</c15:sqref>
                        </c15:fullRef>
                        <c15:formulaRef>
                          <c15:sqref>(Studienvergleich!$D$79:$F$79,Studienvergleich!$I$79,Studienvergleich!$K$79,Studienvergleich!$N$79:$P$79,Studienvergleich!$R$79:$S$79,Studienvergleich!$U$79,Studienvergleich!$Z$79)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-32.5</c:v>
                      </c:pt>
                      <c:pt idx="1">
                        <c:v>-104</c:v>
                      </c:pt>
                      <c:pt idx="2">
                        <c:v>-63.8</c:v>
                      </c:pt>
                      <c:pt idx="3">
                        <c:v>-190</c:v>
                      </c:pt>
                      <c:pt idx="4" formatCode="General">
                        <c:v>-73</c:v>
                      </c:pt>
                      <c:pt idx="5" formatCode="General">
                        <c:v>-123.4</c:v>
                      </c:pt>
                      <c:pt idx="6" formatCode="General">
                        <c:v>-394</c:v>
                      </c:pt>
                      <c:pt idx="7" formatCode="General">
                        <c:v>-143</c:v>
                      </c:pt>
                      <c:pt idx="8">
                        <c:v>-63.2</c:v>
                      </c:pt>
                      <c:pt idx="9">
                        <c:v>-233</c:v>
                      </c:pt>
                      <c:pt idx="10">
                        <c:v>-116</c:v>
                      </c:pt>
                      <c:pt idx="11">
                        <c:v>-100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2332-471C-98C2-685569346C16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Studienvergleich!$B$80</c15:sqref>
                        </c15:formulaRef>
                      </c:ext>
                    </c:extLst>
                    <c:strCache>
                      <c:ptCount val="1"/>
                      <c:pt idx="0">
                        <c:v>Wind (Onshore) [TWh]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(Studienvergleich!$W$2:$X$2,Studienvergleich!$AA$2,Studienvergleich!$AD$2:$AF$2,Studienvergleich!$AN$2:$AO$2,Studienvergleich!$AW$2:$AX$2)</c15:sqref>
                        </c15:fullRef>
                        <c15:formulaRef>
                          <c15:sqref>(Studienvergleich!$W$2:$X$2,Studienvergleich!$AA$2,Studienvergleich!$AD$2:$AF$2,Studienvergleich!$AN$2:$AO$2,Studienvergleich!$AW$2:$AX$2)</c15:sqref>
                        </c15:formulaRef>
                      </c:ext>
                    </c:extLst>
                    <c:strCache>
                      <c:ptCount val="10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AGORA (2020) - 2050 - 100%</c:v>
                      </c:pt>
                      <c:pt idx="7">
                        <c:v>AGORA-KNDE45</c:v>
                      </c:pt>
                      <c:pt idx="8">
                        <c:v>IEK-3 (2019) - 95 %</c:v>
                      </c:pt>
                      <c:pt idx="9">
                        <c:v>IEK-3 (2021) - H2NRW- 95%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(Studienvergleich!$D$80:$F$80,Studienvergleich!$I$80,Studienvergleich!$K$80,Studienvergleich!$N$80:$P$80,Studienvergleich!$R$80:$S$80,Studienvergleich!$U$80,Studienvergleich!$Z$80,Studienvergleich!$AB$80,Studienvergleich!$AV$80)</c15:sqref>
                        </c15:fullRef>
                        <c15:formulaRef>
                          <c15:sqref>(Studienvergleich!$D$80:$F$80,Studienvergleich!$I$80,Studienvergleich!$K$80,Studienvergleich!$N$80:$P$80,Studienvergleich!$R$80:$S$80,Studienvergleich!$U$80,Studienvergleich!$Z$80)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-85.8</c:v>
                      </c:pt>
                      <c:pt idx="1">
                        <c:v>-170</c:v>
                      </c:pt>
                      <c:pt idx="2">
                        <c:v>-132</c:v>
                      </c:pt>
                      <c:pt idx="3">
                        <c:v>-486</c:v>
                      </c:pt>
                      <c:pt idx="4" formatCode="General">
                        <c:v>-136</c:v>
                      </c:pt>
                      <c:pt idx="5" formatCode="General">
                        <c:v>-389.8</c:v>
                      </c:pt>
                      <c:pt idx="6" formatCode="General">
                        <c:v>-498</c:v>
                      </c:pt>
                      <c:pt idx="7" formatCode="General">
                        <c:v>-218</c:v>
                      </c:pt>
                      <c:pt idx="8">
                        <c:v>-266</c:v>
                      </c:pt>
                      <c:pt idx="9">
                        <c:v>-435</c:v>
                      </c:pt>
                      <c:pt idx="10">
                        <c:v>-471</c:v>
                      </c:pt>
                      <c:pt idx="11">
                        <c:v>-208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32-471C-98C2-685569346C16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Studienvergleich!$B$81</c15:sqref>
                        </c15:formulaRef>
                      </c:ext>
                    </c:extLst>
                    <c:strCache>
                      <c:ptCount val="1"/>
                      <c:pt idx="0">
                        <c:v>Wind (Offshore) [TWh]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(Studienvergleich!$W$2:$X$2,Studienvergleich!$AA$2,Studienvergleich!$AD$2:$AF$2,Studienvergleich!$AN$2:$AO$2,Studienvergleich!$AW$2:$AX$2)</c15:sqref>
                        </c15:fullRef>
                        <c15:formulaRef>
                          <c15:sqref>(Studienvergleich!$W$2:$X$2,Studienvergleich!$AA$2,Studienvergleich!$AD$2:$AF$2,Studienvergleich!$AN$2:$AO$2,Studienvergleich!$AW$2:$AX$2)</c15:sqref>
                        </c15:formulaRef>
                      </c:ext>
                    </c:extLst>
                    <c:strCache>
                      <c:ptCount val="10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AGORA (2020) - 2050 - 100%</c:v>
                      </c:pt>
                      <c:pt idx="7">
                        <c:v>AGORA-KNDE45</c:v>
                      </c:pt>
                      <c:pt idx="8">
                        <c:v>IEK-3 (2019) - 95 %</c:v>
                      </c:pt>
                      <c:pt idx="9">
                        <c:v>IEK-3 (2021) - H2NRW- 95%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(Studienvergleich!$D$81:$F$81,Studienvergleich!$I$81,Studienvergleich!$K$81,Studienvergleich!$N$81:$P$81,Studienvergleich!$R$81:$S$81,Studienvergleich!$U$81,Studienvergleich!$Z$81,Studienvergleich!$AB$81,Studienvergleich!$AV$81)</c15:sqref>
                        </c15:fullRef>
                        <c15:formulaRef>
                          <c15:sqref>(Studienvergleich!$D$81:$F$81,Studienvergleich!$I$81,Studienvergleich!$K$81,Studienvergleich!$N$81:$P$81,Studienvergleich!$R$81:$S$81,Studienvergleich!$U$81,Studienvergleich!$Z$81)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-142.5</c:v>
                      </c:pt>
                      <c:pt idx="1">
                        <c:v>-177</c:v>
                      </c:pt>
                      <c:pt idx="2">
                        <c:v>-128</c:v>
                      </c:pt>
                      <c:pt idx="3">
                        <c:v>-240</c:v>
                      </c:pt>
                      <c:pt idx="4" formatCode="General">
                        <c:v>-73</c:v>
                      </c:pt>
                      <c:pt idx="5" formatCode="General">
                        <c:v>-180</c:v>
                      </c:pt>
                      <c:pt idx="6" formatCode="General">
                        <c:v>-343</c:v>
                      </c:pt>
                      <c:pt idx="7" formatCode="General">
                        <c:v>-112</c:v>
                      </c:pt>
                      <c:pt idx="8">
                        <c:v>-69.099999999999994</c:v>
                      </c:pt>
                      <c:pt idx="9">
                        <c:v>-70</c:v>
                      </c:pt>
                      <c:pt idx="10">
                        <c:v>-80</c:v>
                      </c:pt>
                      <c:pt idx="11">
                        <c:v>-188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332-471C-98C2-685569346C16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Studienvergleich!$B$82</c15:sqref>
                        </c15:formulaRef>
                      </c:ext>
                    </c:extLst>
                    <c:strCache>
                      <c:ptCount val="1"/>
                      <c:pt idx="0">
                        <c:v>Bioenergy [TWh]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(Studienvergleich!$W$2:$X$2,Studienvergleich!$AA$2,Studienvergleich!$AD$2:$AF$2,Studienvergleich!$AN$2:$AO$2,Studienvergleich!$AW$2:$AX$2)</c15:sqref>
                        </c15:fullRef>
                        <c15:formulaRef>
                          <c15:sqref>(Studienvergleich!$W$2:$X$2,Studienvergleich!$AA$2,Studienvergleich!$AD$2:$AF$2,Studienvergleich!$AN$2:$AO$2,Studienvergleich!$AW$2:$AX$2)</c15:sqref>
                        </c15:formulaRef>
                      </c:ext>
                    </c:extLst>
                    <c:strCache>
                      <c:ptCount val="10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AGORA (2020) - 2050 - 100%</c:v>
                      </c:pt>
                      <c:pt idx="7">
                        <c:v>AGORA-KNDE45</c:v>
                      </c:pt>
                      <c:pt idx="8">
                        <c:v>IEK-3 (2019) - 95 %</c:v>
                      </c:pt>
                      <c:pt idx="9">
                        <c:v>IEK-3 (2021) - H2NRW- 95%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(Studienvergleich!$D$82:$F$82,Studienvergleich!$I$82,Studienvergleich!$K$82,Studienvergleich!$N$82:$P$82,Studienvergleich!$R$82:$S$82,Studienvergleich!$U$82,Studienvergleich!$Z$82,Studienvergleich!$AB$82,Studienvergleich!$AV$82)</c15:sqref>
                        </c15:fullRef>
                        <c15:formulaRef>
                          <c15:sqref>(Studienvergleich!$D$82:$F$82,Studienvergleich!$I$82,Studienvergleich!$K$82,Studienvergleich!$N$82:$P$82,Studienvergleich!$R$82:$S$82,Studienvergleich!$U$82,Studienvergleich!$Z$82)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-56.6</c:v>
                      </c:pt>
                      <c:pt idx="1">
                        <c:v>-11</c:v>
                      </c:pt>
                      <c:pt idx="2">
                        <c:v>-59.2</c:v>
                      </c:pt>
                      <c:pt idx="3">
                        <c:v>-50</c:v>
                      </c:pt>
                      <c:pt idx="4" formatCode="General">
                        <c:v>-48</c:v>
                      </c:pt>
                      <c:pt idx="5" formatCode="General">
                        <c:v>-3.8</c:v>
                      </c:pt>
                      <c:pt idx="6" formatCode="General">
                        <c:v>-58</c:v>
                      </c:pt>
                      <c:pt idx="7" formatCode="General">
                        <c:v>0</c:v>
                      </c:pt>
                      <c:pt idx="8">
                        <c:v>-25.8</c:v>
                      </c:pt>
                      <c:pt idx="9">
                        <c:v>0</c:v>
                      </c:pt>
                      <c:pt idx="10">
                        <c:v>-49</c:v>
                      </c:pt>
                      <c:pt idx="11">
                        <c:v>-33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32-471C-98C2-685569346C16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Studienvergleich!$B$83</c15:sqref>
                        </c15:formulaRef>
                      </c:ext>
                    </c:extLst>
                    <c:strCache>
                      <c:ptCount val="1"/>
                      <c:pt idx="0">
                        <c:v>Hydropower [TWh]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(Studienvergleich!$W$2:$X$2,Studienvergleich!$AA$2,Studienvergleich!$AD$2:$AF$2,Studienvergleich!$AN$2:$AO$2,Studienvergleich!$AW$2:$AX$2)</c15:sqref>
                        </c15:fullRef>
                        <c15:formulaRef>
                          <c15:sqref>(Studienvergleich!$W$2:$X$2,Studienvergleich!$AA$2,Studienvergleich!$AD$2:$AF$2,Studienvergleich!$AN$2:$AO$2,Studienvergleich!$AW$2:$AX$2)</c15:sqref>
                        </c15:formulaRef>
                      </c:ext>
                    </c:extLst>
                    <c:strCache>
                      <c:ptCount val="10"/>
                      <c:pt idx="0">
                        <c:v>DENA (2018) - EL - 95 %</c:v>
                      </c:pt>
                      <c:pt idx="1">
                        <c:v>DENA (2018) - TM - 95 %</c:v>
                      </c:pt>
                      <c:pt idx="2">
                        <c:v>BDI (2018) - 95 %</c:v>
                      </c:pt>
                      <c:pt idx="3">
                        <c:v>UBA (2019) - GreenEE - 100%</c:v>
                      </c:pt>
                      <c:pt idx="4">
                        <c:v>UBA (2019) - GreenSupreme - 100%</c:v>
                      </c:pt>
                      <c:pt idx="5">
                        <c:v>ISE (2020) - Referenz - 95%</c:v>
                      </c:pt>
                      <c:pt idx="6">
                        <c:v>AGORA (2020) - 2050 - 100%</c:v>
                      </c:pt>
                      <c:pt idx="7">
                        <c:v>AGORA-KNDE45</c:v>
                      </c:pt>
                      <c:pt idx="8">
                        <c:v>IEK-3 (2019) - 95 %</c:v>
                      </c:pt>
                      <c:pt idx="9">
                        <c:v>IEK-3 (2021) - H2NRW- 95%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(Studienvergleich!$D$83:$F$83,Studienvergleich!$I$83,Studienvergleich!$K$83,Studienvergleich!$N$83:$P$83,Studienvergleich!$R$83:$S$83,Studienvergleich!$U$83,Studienvergleich!$Z$83,Studienvergleich!$AB$83,Studienvergleich!$AV$83)</c15:sqref>
                        </c15:fullRef>
                        <c15:formulaRef>
                          <c15:sqref>(Studienvergleich!$D$83:$F$83,Studienvergleich!$I$83,Studienvergleich!$K$83,Studienvergleich!$N$83:$P$83,Studienvergleich!$R$83:$S$83,Studienvergleich!$U$83,Studienvergleich!$Z$83)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-25</c:v>
                      </c:pt>
                      <c:pt idx="1">
                        <c:v>-22</c:v>
                      </c:pt>
                      <c:pt idx="2">
                        <c:v>-25</c:v>
                      </c:pt>
                      <c:pt idx="3">
                        <c:v>-24</c:v>
                      </c:pt>
                      <c:pt idx="4" formatCode="General">
                        <c:v>-19</c:v>
                      </c:pt>
                      <c:pt idx="5" formatCode="General">
                        <c:v>-24.7</c:v>
                      </c:pt>
                      <c:pt idx="6" formatCode="General">
                        <c:v>-27</c:v>
                      </c:pt>
                      <c:pt idx="7" formatCode="General">
                        <c:v>-21</c:v>
                      </c:pt>
                      <c:pt idx="8">
                        <c:v>-18.100000000000001</c:v>
                      </c:pt>
                      <c:pt idx="9">
                        <c:v>-24</c:v>
                      </c:pt>
                      <c:pt idx="10">
                        <c:v>-24</c:v>
                      </c:pt>
                      <c:pt idx="11">
                        <c:v>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332-471C-98C2-685569346C16}"/>
                  </c:ext>
                </c:extLst>
              </c15:ser>
            </c15:filteredBarSeries>
          </c:ext>
        </c:extLst>
      </c:barChart>
      <c:catAx>
        <c:axId val="412121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12033600"/>
        <c:crossesAt val="0"/>
        <c:auto val="1"/>
        <c:lblAlgn val="ctr"/>
        <c:lblOffset val="1000"/>
        <c:noMultiLvlLbl val="0"/>
      </c:catAx>
      <c:valAx>
        <c:axId val="412033600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  Stromerzeugung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#,##0;[Red]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12121600"/>
        <c:crosses val="autoZero"/>
        <c:crossBetween val="between"/>
      </c:valAx>
      <c:spPr>
        <a:solidFill>
          <a:sysClr val="window" lastClr="FFFFFF"/>
        </a:solidFill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84617825801727931"/>
          <c:y val="0.10674904276376711"/>
          <c:w val="0.15254021486025673"/>
          <c:h val="0.41484432281423511"/>
        </c:manualLayout>
      </c:layout>
      <c:overlay val="0"/>
      <c:spPr>
        <a:solidFill>
          <a:sysClr val="window" lastClr="FFFFFF"/>
        </a:solidFill>
        <a:ln>
          <a:noFill/>
        </a:ln>
      </c:spPr>
    </c:legend>
    <c:plotVisOnly val="0"/>
    <c:dispBlanksAs val="zero"/>
    <c:showDLblsOverMax val="0"/>
  </c:chart>
  <c:spPr>
    <a:ln>
      <a:noFill/>
    </a:ln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63549369222577"/>
          <c:y val="6.1460416666666663E-2"/>
          <c:w val="0.65750235479161878"/>
          <c:h val="0.61589686484398698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Studienvergleich!$A$36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(Studienvergleich!$AZ$36,Studienvergleich!$AO$36:$AQ$36,Studienvergleich!$AJ$36,Studienvergleich!$AR$36:$AU$36,Studienvergleich!$AY$36)</c:f>
              <c:numCache>
                <c:formatCode>0</c:formatCode>
                <c:ptCount val="10"/>
                <c:pt idx="0" formatCode="General">
                  <c:v>704.44444444444446</c:v>
                </c:pt>
                <c:pt idx="1">
                  <c:v>601.4</c:v>
                </c:pt>
                <c:pt idx="2">
                  <c:v>578</c:v>
                </c:pt>
                <c:pt idx="3">
                  <c:v>612</c:v>
                </c:pt>
                <c:pt idx="4">
                  <c:v>591</c:v>
                </c:pt>
                <c:pt idx="5">
                  <c:v>446</c:v>
                </c:pt>
                <c:pt idx="6">
                  <c:v>549</c:v>
                </c:pt>
                <c:pt idx="7">
                  <c:v>333</c:v>
                </c:pt>
                <c:pt idx="8">
                  <c:v>536</c:v>
                </c:pt>
                <c:pt idx="9" formatCode="General">
                  <c:v>962.93464540511968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3-4192-9604-C7115F00165F}"/>
            </c:ext>
          </c:extLst>
        </c:ser>
        <c:ser>
          <c:idx val="0"/>
          <c:order val="2"/>
          <c:tx>
            <c:strRef>
              <c:f>Studienvergleich!$A$35</c:f>
              <c:strCache>
                <c:ptCount val="1"/>
                <c:pt idx="0">
                  <c:v>Gebäude &amp; GHD</c:v>
                </c:pt>
              </c:strCache>
            </c:strRef>
          </c:tx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(Studienvergleich!$AZ$35,Studienvergleich!$AO$35:$AQ$35,Studienvergleich!$AJ$35,Studienvergleich!$AR$35:$AU$35,Studienvergleich!$AY$35)</c:f>
              <c:numCache>
                <c:formatCode>0</c:formatCode>
                <c:ptCount val="10"/>
                <c:pt idx="0" formatCode="General">
                  <c:v>1041.6666666666667</c:v>
                </c:pt>
                <c:pt idx="1">
                  <c:v>662.3</c:v>
                </c:pt>
                <c:pt idx="2">
                  <c:v>571</c:v>
                </c:pt>
                <c:pt idx="3">
                  <c:v>613</c:v>
                </c:pt>
                <c:pt idx="4">
                  <c:v>834</c:v>
                </c:pt>
                <c:pt idx="5">
                  <c:v>616.31100000000094</c:v>
                </c:pt>
                <c:pt idx="6">
                  <c:v>625</c:v>
                </c:pt>
                <c:pt idx="7">
                  <c:v>469</c:v>
                </c:pt>
                <c:pt idx="8">
                  <c:v>437.5440239906311</c:v>
                </c:pt>
                <c:pt idx="9" formatCode="General">
                  <c:v>524.36327836880969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3-4192-9604-C7115F00165F}"/>
            </c:ext>
          </c:extLst>
        </c:ser>
        <c:ser>
          <c:idx val="3"/>
          <c:order val="4"/>
          <c:tx>
            <c:strRef>
              <c:f>Studienvergleich!$A$37</c:f>
              <c:strCache>
                <c:ptCount val="1"/>
                <c:pt idx="0">
                  <c:v>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(Studienvergleich!$AZ$37,Studienvergleich!$AO$37:$AQ$37,Studienvergleich!$AJ$37,Studienvergleich!$AR$37:$AU$37,Studienvergleich!$AY$37)</c:f>
              <c:numCache>
                <c:formatCode>0</c:formatCode>
                <c:ptCount val="10"/>
                <c:pt idx="0" formatCode="General">
                  <c:v>769.44444444444446</c:v>
                </c:pt>
                <c:pt idx="1">
                  <c:v>334.1</c:v>
                </c:pt>
                <c:pt idx="2">
                  <c:v>328</c:v>
                </c:pt>
                <c:pt idx="3">
                  <c:v>376</c:v>
                </c:pt>
                <c:pt idx="4">
                  <c:v>351</c:v>
                </c:pt>
                <c:pt idx="5">
                  <c:v>464.99416666666701</c:v>
                </c:pt>
                <c:pt idx="6">
                  <c:v>489.10612832390399</c:v>
                </c:pt>
                <c:pt idx="7">
                  <c:v>482.3</c:v>
                </c:pt>
                <c:pt idx="8">
                  <c:v>375.10157092646114</c:v>
                </c:pt>
                <c:pt idx="9" formatCode="General">
                  <c:v>303.48640004790445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3-4192-9604-C7115F00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936512"/>
        <c:axId val="225625792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'[2]Endenergiebedarf nach Sektor'!$C$7</c15:sqref>
                        </c15:formulaRef>
                      </c:ext>
                    </c:extLst>
                    <c:strCache>
                      <c:ptCount val="1"/>
                      <c:pt idx="0">
                        <c:v>Industrie (n-energ.)</c:v>
                      </c:pt>
                    </c:strCache>
                  </c:strRef>
                </c:tx>
                <c:spPr>
                  <a:solidFill>
                    <a:schemeClr val="bg1">
                      <a:lumMod val="65000"/>
                    </a:schemeClr>
                  </a:solidFill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(Studienvergleich!$AZ$2,Studienvergleich!$AO$2:$AQ$2,Studienvergleich!$AJ$2,Studienvergleich!$AR$2:$AU$2,Studienvergleich!$AY$2)</c15:sqref>
                        </c15:formulaRef>
                      </c:ext>
                    </c:extLst>
                    <c:strCache>
                      <c:ptCount val="10"/>
                      <c:pt idx="0">
                        <c:v>Status Quo (2019)</c:v>
                      </c:pt>
                      <c:pt idx="1">
                        <c:v>AGORA-KNDE45</c:v>
                      </c:pt>
                      <c:pt idx="2">
                        <c:v>dena-LSKN</c:v>
                      </c:pt>
                      <c:pt idx="3">
                        <c:v>BDI-KPF2</c:v>
                      </c:pt>
                      <c:pt idx="4">
                        <c:v>ISE-KNES45</c:v>
                      </c:pt>
                      <c:pt idx="5">
                        <c:v>Ariadne-REMIND</c:v>
                      </c:pt>
                      <c:pt idx="6">
                        <c:v>Ariadne-REMod</c:v>
                      </c:pt>
                      <c:pt idx="7">
                        <c:v>Ariadne-TIMES</c:v>
                      </c:pt>
                      <c:pt idx="8">
                        <c:v>BMWI-LFS3</c:v>
                      </c:pt>
                      <c:pt idx="9">
                        <c:v>IEK-3 KSG 2045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'[2]Endenergiebedarf nach Sektor'!$E$7:$J$7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207111.31190966285</c:v>
                      </c:pt>
                      <c:pt idx="1">
                        <c:v>218734.84625512513</c:v>
                      </c:pt>
                      <c:pt idx="2">
                        <c:v>229496.34700529036</c:v>
                      </c:pt>
                      <c:pt idx="3">
                        <c:v>240163.07395346323</c:v>
                      </c:pt>
                      <c:pt idx="4">
                        <c:v>222640.24684853258</c:v>
                      </c:pt>
                      <c:pt idx="5">
                        <c:v>229932.40899992213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C8C3-4192-9604-C7115F00165F}"/>
                  </c:ext>
                </c:extLst>
              </c15:ser>
            </c15:filteredBarSeries>
            <c15:filteredBa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'[2]Endenergiebedarf nach Sektor'!$C$5</c15:sqref>
                        </c15:formulaRef>
                      </c:ext>
                    </c:extLst>
                    <c:strCache>
                      <c:ptCount val="1"/>
                      <c:pt idx="0">
                        <c:v>GHD</c:v>
                      </c:pt>
                    </c:strCache>
                  </c:strRef>
                </c:tx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(Studienvergleich!$AZ$2,Studienvergleich!$AO$2:$AQ$2,Studienvergleich!$AJ$2,Studienvergleich!$AR$2:$AU$2,Studienvergleich!$AY$2)</c15:sqref>
                        </c15:formulaRef>
                      </c:ext>
                    </c:extLst>
                    <c:strCache>
                      <c:ptCount val="10"/>
                      <c:pt idx="0">
                        <c:v>Status Quo (2019)</c:v>
                      </c:pt>
                      <c:pt idx="1">
                        <c:v>AGORA-KNDE45</c:v>
                      </c:pt>
                      <c:pt idx="2">
                        <c:v>dena-LSKN</c:v>
                      </c:pt>
                      <c:pt idx="3">
                        <c:v>BDI-KPF2</c:v>
                      </c:pt>
                      <c:pt idx="4">
                        <c:v>ISE-KNES45</c:v>
                      </c:pt>
                      <c:pt idx="5">
                        <c:v>Ariadne-REMIND</c:v>
                      </c:pt>
                      <c:pt idx="6">
                        <c:v>Ariadne-REMod</c:v>
                      </c:pt>
                      <c:pt idx="7">
                        <c:v>Ariadne-TIMES</c:v>
                      </c:pt>
                      <c:pt idx="8">
                        <c:v>BMWI-LFS3</c:v>
                      </c:pt>
                      <c:pt idx="9">
                        <c:v>IEK-3 KSG 2045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'[2]Endenergiebedarf nach Sektor'!$E$5:$J$5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440920.95258072921</c:v>
                      </c:pt>
                      <c:pt idx="1">
                        <c:v>388755.63342688634</c:v>
                      </c:pt>
                      <c:pt idx="2">
                        <c:v>340632.10331138817</c:v>
                      </c:pt>
                      <c:pt idx="3">
                        <c:v>291562.07825793943</c:v>
                      </c:pt>
                      <c:pt idx="4">
                        <c:v>265509.01725890063</c:v>
                      </c:pt>
                      <c:pt idx="5">
                        <c:v>247123.50213840255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8C3-4192-9604-C7115F00165F}"/>
                  </c:ext>
                </c:extLst>
              </c15:ser>
            </c15:filteredBarSeries>
          </c:ext>
        </c:extLst>
      </c:barChart>
      <c:catAx>
        <c:axId val="32793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25625792"/>
        <c:crosses val="autoZero"/>
        <c:auto val="1"/>
        <c:lblAlgn val="ctr"/>
        <c:lblOffset val="100"/>
        <c:noMultiLvlLbl val="0"/>
      </c:catAx>
      <c:valAx>
        <c:axId val="225625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Endenergiebedarf</a:t>
                </a:r>
                <a:r>
                  <a:rPr lang="de-DE" baseline="0"/>
                  <a:t> in TWh</a:t>
                </a:r>
                <a:endParaRPr lang="de-DE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7936512"/>
        <c:crosses val="autoZero"/>
        <c:crossBetween val="between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871368527998317"/>
          <c:y val="5.3832212850761951E-2"/>
          <c:w val="0.21286313453065375"/>
          <c:h val="0.79544733856881278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71342361012484E-2"/>
          <c:y val="1.7065158514861817E-2"/>
          <c:w val="0.91925743068614441"/>
          <c:h val="0.8998644735634031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Studienvergleich!$B$68</c:f>
              <c:strCache>
                <c:ptCount val="1"/>
                <c:pt idx="0">
                  <c:v>Photovoltaik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(Studienvergleich!$AY$68,Studienvergleich!$AU$68,Studienvergleich!$AT$68,Studienvergleich!$AS$68,Studienvergleich!$AR$68,Studienvergleich!$AJ$68,Studienvergleich!$AQ$68,Studienvergleich!$AP$68,Studienvergleich!$AO$68,Studienvergleich!$AZ$68)</c:f>
              <c:numCache>
                <c:formatCode>0</c:formatCode>
                <c:ptCount val="10"/>
                <c:pt idx="0" formatCode="General">
                  <c:v>448.55337960552799</c:v>
                </c:pt>
                <c:pt idx="1">
                  <c:v>289.5</c:v>
                </c:pt>
                <c:pt idx="2">
                  <c:v>278.93099999999998</c:v>
                </c:pt>
                <c:pt idx="3">
                  <c:v>456.30640107543701</c:v>
                </c:pt>
                <c:pt idx="4">
                  <c:v>329.2281327</c:v>
                </c:pt>
                <c:pt idx="5">
                  <c:v>429.08</c:v>
                </c:pt>
                <c:pt idx="6">
                  <c:v>230</c:v>
                </c:pt>
                <c:pt idx="7">
                  <c:v>260</c:v>
                </c:pt>
                <c:pt idx="8">
                  <c:v>384.89800000000002</c:v>
                </c:pt>
                <c:pt idx="9" formatCode="General">
                  <c:v>48.206000000000003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F-47F8-B857-B26F038494B2}"/>
            </c:ext>
          </c:extLst>
        </c:ser>
        <c:ser>
          <c:idx val="1"/>
          <c:order val="1"/>
          <c:tx>
            <c:strRef>
              <c:f>Studienvergleich!$B$69</c:f>
              <c:strCache>
                <c:ptCount val="1"/>
                <c:pt idx="0">
                  <c:v>Wind (Onshore)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(Studienvergleich!$AY$69,Studienvergleich!$AU$69,Studienvergleich!$AT$69,Studienvergleich!$AS$69,Studienvergleich!$AR$69,Studienvergleich!$AJ$69,Studienvergleich!$AQ$69,Studienvergleich!$AP$69,Studienvergleich!$AO$69,Studienvergleich!$AZ$69)</c:f>
              <c:numCache>
                <c:formatCode>0</c:formatCode>
                <c:ptCount val="10"/>
                <c:pt idx="0" formatCode="General">
                  <c:v>212.76286081418567</c:v>
                </c:pt>
                <c:pt idx="1">
                  <c:v>155</c:v>
                </c:pt>
                <c:pt idx="2">
                  <c:v>74.212999999999994</c:v>
                </c:pt>
                <c:pt idx="3">
                  <c:v>216.36935043087001</c:v>
                </c:pt>
                <c:pt idx="4">
                  <c:v>217.5153905</c:v>
                </c:pt>
                <c:pt idx="5">
                  <c:v>198.838947170978</c:v>
                </c:pt>
                <c:pt idx="6">
                  <c:v>180</c:v>
                </c:pt>
                <c:pt idx="7">
                  <c:v>124</c:v>
                </c:pt>
                <c:pt idx="8">
                  <c:v>145.09822799999998</c:v>
                </c:pt>
                <c:pt idx="9" formatCode="General">
                  <c:v>53.183999999999997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F-47F8-B857-B26F038494B2}"/>
            </c:ext>
          </c:extLst>
        </c:ser>
        <c:ser>
          <c:idx val="2"/>
          <c:order val="2"/>
          <c:tx>
            <c:strRef>
              <c:f>Studienvergleich!$B$70</c:f>
              <c:strCache>
                <c:ptCount val="1"/>
                <c:pt idx="0">
                  <c:v>Wind (Offshore)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(Studienvergleich!$AY$70,Studienvergleich!$AU$70,Studienvergleich!$AT$70,Studienvergleich!$AS$70,Studienvergleich!$AR$70,Studienvergleich!$AJ$70,Studienvergleich!$AQ$70,Studienvergleich!$AP$70,Studienvergleich!$AO$70,Studienvergleich!$AZ$70)</c:f>
              <c:numCache>
                <c:formatCode>0</c:formatCode>
                <c:ptCount val="10"/>
                <c:pt idx="0" formatCode="General">
                  <c:v>72.338651959898911</c:v>
                </c:pt>
                <c:pt idx="1">
                  <c:v>45</c:v>
                </c:pt>
                <c:pt idx="2">
                  <c:v>46.624000000000002</c:v>
                </c:pt>
                <c:pt idx="3">
                  <c:v>74.874676511887998</c:v>
                </c:pt>
                <c:pt idx="4">
                  <c:v>29.0913106</c:v>
                </c:pt>
                <c:pt idx="5">
                  <c:v>65.982947782523993</c:v>
                </c:pt>
                <c:pt idx="6">
                  <c:v>70</c:v>
                </c:pt>
                <c:pt idx="7">
                  <c:v>50</c:v>
                </c:pt>
                <c:pt idx="8">
                  <c:v>70.244</c:v>
                </c:pt>
                <c:pt idx="9" formatCode="General">
                  <c:v>7.5039999999999996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6F-47F8-B857-B26F038494B2}"/>
            </c:ext>
          </c:extLst>
        </c:ser>
        <c:ser>
          <c:idx val="3"/>
          <c:order val="3"/>
          <c:tx>
            <c:strRef>
              <c:f>Studienvergleich!$B$71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(Studienvergleich!$AY$71,Studienvergleich!$AU$71,Studienvergleich!$AT$71,Studienvergleich!$AS$71,Studienvergleich!$AR$71,Studienvergleich!$AJ$71,Studienvergleich!$AQ$71,Studienvergleich!$AP$71,Studienvergleich!$AO$71,Studienvergleich!$AZ$71)</c:f>
              <c:numCache>
                <c:formatCode>0</c:formatCode>
                <c:ptCount val="10"/>
                <c:pt idx="0" formatCode="General">
                  <c:v>19.453254599023431</c:v>
                </c:pt>
                <c:pt idx="1">
                  <c:v>0.8</c:v>
                </c:pt>
                <c:pt idx="2">
                  <c:v>8.952</c:v>
                </c:pt>
                <c:pt idx="3">
                  <c:v>1.289425262378</c:v>
                </c:pt>
                <c:pt idx="4">
                  <c:v>4.3770452000000004</c:v>
                </c:pt>
                <c:pt idx="6">
                  <c:v>6</c:v>
                </c:pt>
                <c:pt idx="7">
                  <c:v>8</c:v>
                </c:pt>
                <c:pt idx="8">
                  <c:v>2.1870000000000003</c:v>
                </c:pt>
                <c:pt idx="9" formatCode="General">
                  <c:v>7.9870000000000001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6F-47F8-B857-B26F038494B2}"/>
            </c:ext>
          </c:extLst>
        </c:ser>
        <c:ser>
          <c:idx val="4"/>
          <c:order val="4"/>
          <c:tx>
            <c:strRef>
              <c:f>Studienvergleich!$B$72</c:f>
              <c:strCache>
                <c:ptCount val="1"/>
                <c:pt idx="0">
                  <c:v>Wasserkraft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(Studienvergleich!$AY$72,Studienvergleich!$AU$72,Studienvergleich!$AT$72,Studienvergleich!$AS$72,Studienvergleich!$AR$72,Studienvergleich!$AJ$72,Studienvergleich!$AQ$72,Studienvergleich!$AP$72,Studienvergleich!$AO$72,Studienvergleich!$AZ$72)</c:f>
              <c:numCache>
                <c:formatCode>0</c:formatCode>
                <c:ptCount val="10"/>
                <c:pt idx="0" formatCode="General">
                  <c:v>3.226727087221855</c:v>
                </c:pt>
                <c:pt idx="1">
                  <c:v>5.2</c:v>
                </c:pt>
                <c:pt idx="2">
                  <c:v>12.289</c:v>
                </c:pt>
                <c:pt idx="3">
                  <c:v>4.6920000000000002</c:v>
                </c:pt>
                <c:pt idx="4">
                  <c:v>11.833768900000001</c:v>
                </c:pt>
                <c:pt idx="6">
                  <c:v>6</c:v>
                </c:pt>
                <c:pt idx="7">
                  <c:v>5</c:v>
                </c:pt>
                <c:pt idx="8">
                  <c:v>5.742</c:v>
                </c:pt>
                <c:pt idx="9" formatCode="General">
                  <c:v>5.2679999999999998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6F-47F8-B857-B26F038494B2}"/>
            </c:ext>
          </c:extLst>
        </c:ser>
        <c:ser>
          <c:idx val="5"/>
          <c:order val="5"/>
          <c:tx>
            <c:strRef>
              <c:f>Studienvergleich!$B$76</c:f>
              <c:strCache>
                <c:ptCount val="1"/>
                <c:pt idx="0">
                  <c:v>Gase</c:v>
                </c:pt>
              </c:strCache>
            </c:strRef>
          </c:tx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(Studienvergleich!$AY$76,Studienvergleich!$AU$76,Studienvergleich!$AT$76,Studienvergleich!$AS$76,Studienvergleich!$AR$76,Studienvergleich!$AJ$76,Studienvergleich!$AQ$76,Studienvergleich!$AP$76,Studienvergleich!$AO$76,Studienvergleich!$AZ$76)</c:f>
              <c:numCache>
                <c:formatCode>0</c:formatCode>
                <c:ptCount val="10"/>
                <c:pt idx="0">
                  <c:v>85.793362870502293</c:v>
                </c:pt>
                <c:pt idx="1">
                  <c:v>67.599999999999994</c:v>
                </c:pt>
                <c:pt idx="2">
                  <c:v>84.665999999999997</c:v>
                </c:pt>
                <c:pt idx="3">
                  <c:v>181.22407384346201</c:v>
                </c:pt>
                <c:pt idx="4">
                  <c:v>42.775172099999999</c:v>
                </c:pt>
                <c:pt idx="5">
                  <c:v>152</c:v>
                </c:pt>
                <c:pt idx="6">
                  <c:v>88</c:v>
                </c:pt>
                <c:pt idx="7">
                  <c:v>59</c:v>
                </c:pt>
                <c:pt idx="8">
                  <c:v>71</c:v>
                </c:pt>
                <c:pt idx="9">
                  <c:v>31.712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6F-47F8-B857-B26F038494B2}"/>
            </c:ext>
          </c:extLst>
        </c:ser>
        <c:ser>
          <c:idx val="12"/>
          <c:order val="6"/>
          <c:tx>
            <c:strRef>
              <c:f>Studienvergleich!$B$77</c:f>
              <c:strCache>
                <c:ptCount val="1"/>
                <c:pt idx="0">
                  <c:v>Sonstige (Abfall, Kohle, Atom, Geothermie)</c:v>
                </c:pt>
              </c:strCache>
            </c:strRef>
          </c:tx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(Studienvergleich!$AY$77,Studienvergleich!$AU$77,Studienvergleich!$AT$77,Studienvergleich!$AS$77,Studienvergleich!$AR$77,Studienvergleich!$AJ$77,Studienvergleich!$AQ$77,Studienvergleich!$AP$77,Studienvergleich!$AO$77,Studienvergleich!$AZ$77)</c:f>
              <c:numCache>
                <c:formatCode>0</c:formatCode>
                <c:ptCount val="10"/>
                <c:pt idx="0" formatCode="General">
                  <c:v>1.5511845517550968</c:v>
                </c:pt>
                <c:pt idx="1">
                  <c:v>3.5</c:v>
                </c:pt>
                <c:pt idx="2">
                  <c:v>7.3120000000000003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 formatCode="General">
                  <c:v>59.865000000000002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6F-47F8-B857-B26F038494B2}"/>
            </c:ext>
          </c:extLst>
        </c:ser>
        <c:ser>
          <c:idx val="7"/>
          <c:order val="7"/>
          <c:tx>
            <c:strRef>
              <c:f>Studienvergleich!$B$79</c:f>
              <c:strCache>
                <c:ptCount val="1"/>
                <c:pt idx="0">
                  <c:v>Photovoltaics [TWh]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(Studienvergleich!$AY$79,Studienvergleich!$AU$79,Studienvergleich!$AT$79,Studienvergleich!$AS$79,Studienvergleich!$AR$79,Studienvergleich!$AJ$79,Studienvergleich!$AQ$79,Studienvergleich!$AP$79,Studienvergleich!$AO$79,Studienvergleich!$AZ$79)</c:f>
              <c:numCache>
                <c:formatCode>0</c:formatCode>
                <c:ptCount val="10"/>
                <c:pt idx="0" formatCode="General">
                  <c:v>-469.62923549677026</c:v>
                </c:pt>
                <c:pt idx="1">
                  <c:v>-267.8</c:v>
                </c:pt>
                <c:pt idx="2">
                  <c:v>-304.43527777777803</c:v>
                </c:pt>
                <c:pt idx="3">
                  <c:v>-472.74607809999998</c:v>
                </c:pt>
                <c:pt idx="4">
                  <c:v>-328.76708333333403</c:v>
                </c:pt>
                <c:pt idx="5">
                  <c:v>-447</c:v>
                </c:pt>
                <c:pt idx="6">
                  <c:v>-240</c:v>
                </c:pt>
                <c:pt idx="7">
                  <c:v>-235</c:v>
                </c:pt>
                <c:pt idx="8">
                  <c:v>-354.87585496094698</c:v>
                </c:pt>
                <c:pt idx="9" formatCode="General">
                  <c:v>-43.51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6F-47F8-B857-B26F038494B2}"/>
            </c:ext>
          </c:extLst>
        </c:ser>
        <c:ser>
          <c:idx val="8"/>
          <c:order val="8"/>
          <c:tx>
            <c:strRef>
              <c:f>Studienvergleich!$B$80</c:f>
              <c:strCache>
                <c:ptCount val="1"/>
                <c:pt idx="0">
                  <c:v>Wind (Onshore) [TWh]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(Studienvergleich!$AY$80,Studienvergleich!$AU$80,Studienvergleich!$AT$80,Studienvergleich!$AS$80,Studienvergleich!$AR$80,Studienvergleich!$AJ$80,Studienvergleich!$AQ$80,Studienvergleich!$AP$80,Studienvergleich!$AO$80,Studienvergleich!$AZ$80)</c:f>
              <c:numCache>
                <c:formatCode>0</c:formatCode>
                <c:ptCount val="10"/>
                <c:pt idx="0" formatCode="General">
                  <c:v>-383.37475546022824</c:v>
                </c:pt>
                <c:pt idx="1">
                  <c:v>-413.26</c:v>
                </c:pt>
                <c:pt idx="2">
                  <c:v>-180.20416666666699</c:v>
                </c:pt>
                <c:pt idx="3">
                  <c:v>-542.32653890000097</c:v>
                </c:pt>
                <c:pt idx="4">
                  <c:v>-581.68013888888902</c:v>
                </c:pt>
                <c:pt idx="5">
                  <c:v>-816</c:v>
                </c:pt>
                <c:pt idx="6">
                  <c:v>-440</c:v>
                </c:pt>
                <c:pt idx="7">
                  <c:v>-303</c:v>
                </c:pt>
                <c:pt idx="8">
                  <c:v>-308.73619020000001</c:v>
                </c:pt>
                <c:pt idx="9" formatCode="General">
                  <c:v>-99.17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6F-47F8-B857-B26F038494B2}"/>
            </c:ext>
          </c:extLst>
        </c:ser>
        <c:ser>
          <c:idx val="9"/>
          <c:order val="9"/>
          <c:tx>
            <c:strRef>
              <c:f>Studienvergleich!$B$81</c:f>
              <c:strCache>
                <c:ptCount val="1"/>
                <c:pt idx="0">
                  <c:v>Wind (Offshore) [TWh]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(Studienvergleich!$AY$81,Studienvergleich!$AU$81,Studienvergleich!$AT$81,Studienvergleich!$AS$81,Studienvergleich!$AR$81,Studienvergleich!$AJ$81,Studienvergleich!$AQ$81,Studienvergleich!$AP$81,Studienvergleich!$AO$81,Studienvergleich!$AZ$81)</c:f>
              <c:numCache>
                <c:formatCode>0</c:formatCode>
                <c:ptCount val="10"/>
                <c:pt idx="0" formatCode="General">
                  <c:v>-326.58033084524573</c:v>
                </c:pt>
                <c:pt idx="1">
                  <c:v>-196.62</c:v>
                </c:pt>
                <c:pt idx="2">
                  <c:v>-179.98249999999999</c:v>
                </c:pt>
                <c:pt idx="3">
                  <c:v>-360.42496640000002</c:v>
                </c:pt>
                <c:pt idx="4">
                  <c:v>-113.746527777778</c:v>
                </c:pt>
                <c:pt idx="6">
                  <c:v>-292</c:v>
                </c:pt>
                <c:pt idx="7">
                  <c:v>-199</c:v>
                </c:pt>
                <c:pt idx="8">
                  <c:v>-252.37559999999999</c:v>
                </c:pt>
                <c:pt idx="9" formatCode="General">
                  <c:v>-24.38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6F-47F8-B857-B26F038494B2}"/>
            </c:ext>
          </c:extLst>
        </c:ser>
        <c:ser>
          <c:idx val="10"/>
          <c:order val="10"/>
          <c:tx>
            <c:strRef>
              <c:f>Studienvergleich!$B$82</c:f>
              <c:strCache>
                <c:ptCount val="1"/>
                <c:pt idx="0">
                  <c:v>Bioenergy [TWh]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(Studienvergleich!$AY$82,Studienvergleich!$AU$82,Studienvergleich!$AT$82,Studienvergleich!$AS$82,Studienvergleich!$AR$82,Studienvergleich!$AJ$82,Studienvergleich!$AQ$82,Studienvergleich!$AP$82,Studienvergleich!$AO$82,Studienvergleich!$AZ$82)</c:f>
              <c:numCache>
                <c:formatCode>0</c:formatCode>
                <c:ptCount val="10"/>
                <c:pt idx="0" formatCode="General">
                  <c:v>-14.955450975428999</c:v>
                </c:pt>
                <c:pt idx="1">
                  <c:v>-2.2999999999999998</c:v>
                </c:pt>
                <c:pt idx="2">
                  <c:v>-34.786944444444501</c:v>
                </c:pt>
                <c:pt idx="3">
                  <c:v>-43.539316869218297</c:v>
                </c:pt>
                <c:pt idx="4">
                  <c:v>-13.517138888888899</c:v>
                </c:pt>
                <c:pt idx="5">
                  <c:v>0</c:v>
                </c:pt>
                <c:pt idx="6">
                  <c:v>-19.64</c:v>
                </c:pt>
                <c:pt idx="7">
                  <c:v>-21</c:v>
                </c:pt>
                <c:pt idx="8">
                  <c:v>-10.125999999999999</c:v>
                </c:pt>
                <c:pt idx="9" formatCode="General">
                  <c:v>-42.02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6F-47F8-B857-B26F038494B2}"/>
            </c:ext>
          </c:extLst>
        </c:ser>
        <c:ser>
          <c:idx val="11"/>
          <c:order val="11"/>
          <c:tx>
            <c:strRef>
              <c:f>Studienvergleich!$B$83</c:f>
              <c:strCache>
                <c:ptCount val="1"/>
                <c:pt idx="0">
                  <c:v>Hydropower [TWh]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(Studienvergleich!$AY$83,Studienvergleich!$AU$83,Studienvergleich!$AT$83,Studienvergleich!$AS$83,Studienvergleich!$AR$83,Studienvergleich!$AJ$83,Studienvergleich!$AQ$83,Studienvergleich!$AP$83,Studienvergleich!$AO$83,Studienvergleich!$AZ$83)</c:f>
              <c:numCache>
                <c:formatCode>0</c:formatCode>
                <c:ptCount val="10"/>
                <c:pt idx="0" formatCode="General">
                  <c:v>-24.057034908643811</c:v>
                </c:pt>
                <c:pt idx="1">
                  <c:v>-20.190000000000001</c:v>
                </c:pt>
                <c:pt idx="2">
                  <c:v>-19.899444444444502</c:v>
                </c:pt>
                <c:pt idx="3">
                  <c:v>-16.962176199999998</c:v>
                </c:pt>
                <c:pt idx="4">
                  <c:v>-25.915944444444499</c:v>
                </c:pt>
                <c:pt idx="5">
                  <c:v>-17</c:v>
                </c:pt>
                <c:pt idx="6">
                  <c:v>-1.64</c:v>
                </c:pt>
                <c:pt idx="7">
                  <c:v>-16</c:v>
                </c:pt>
                <c:pt idx="8">
                  <c:v>-20.671199999999999</c:v>
                </c:pt>
                <c:pt idx="9" formatCode="General">
                  <c:v>-15.83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B6F-47F8-B857-B26F038494B2}"/>
            </c:ext>
          </c:extLst>
        </c:ser>
        <c:ser>
          <c:idx val="6"/>
          <c:order val="12"/>
          <c:tx>
            <c:strRef>
              <c:f>Studienvergleich!$B$87</c:f>
              <c:strCache>
                <c:ptCount val="1"/>
                <c:pt idx="0">
                  <c:v>Gases [TWh]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(Studienvergleich!$AY$87,Studienvergleich!$AU$87,Studienvergleich!$AT$87,Studienvergleich!$AS$87,Studienvergleich!$AR$87,Studienvergleich!$AJ$87,Studienvergleich!$AQ$87,Studienvergleich!$AP$87,Studienvergleich!$AO$87,Studienvergleich!$AZ$87)</c:f>
              <c:numCache>
                <c:formatCode>0</c:formatCode>
                <c:ptCount val="10"/>
                <c:pt idx="0">
                  <c:v>-46.132999999999996</c:v>
                </c:pt>
                <c:pt idx="1">
                  <c:v>-42.21</c:v>
                </c:pt>
                <c:pt idx="2">
                  <c:v>-7.2877777777777908</c:v>
                </c:pt>
                <c:pt idx="3">
                  <c:v>-46.130364477042903</c:v>
                </c:pt>
                <c:pt idx="4">
                  <c:v>-37.496293389328201</c:v>
                </c:pt>
                <c:pt idx="5">
                  <c:v>-108</c:v>
                </c:pt>
                <c:pt idx="6">
                  <c:v>-67</c:v>
                </c:pt>
                <c:pt idx="7">
                  <c:v>-68</c:v>
                </c:pt>
                <c:pt idx="8">
                  <c:v>-60</c:v>
                </c:pt>
                <c:pt idx="9">
                  <c:v>-86.96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B6F-47F8-B857-B26F038494B2}"/>
            </c:ext>
          </c:extLst>
        </c:ser>
        <c:ser>
          <c:idx val="13"/>
          <c:order val="13"/>
          <c:tx>
            <c:strRef>
              <c:f>Studienvergleich!$B$88</c:f>
              <c:strCache>
                <c:ptCount val="1"/>
                <c:pt idx="0">
                  <c:v>Others (Fossil Fuels, Other RE, Storage Capacity) [TWh]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val>
            <c:numRef>
              <c:f>(Studienvergleich!$AY$88,Studienvergleich!$AU$88,Studienvergleich!$AT$88,Studienvergleich!$AS$88,Studienvergleich!$AR$88,Studienvergleich!$AJ$88,Studienvergleich!$AQ$88,Studienvergleich!$AP$88,Studienvergleich!$AO$88,Studienvergleich!$AZ$88)</c:f>
              <c:numCache>
                <c:formatCode>0</c:formatCode>
                <c:ptCount val="10"/>
                <c:pt idx="0" formatCode="General">
                  <c:v>-9.2279999999999998</c:v>
                </c:pt>
                <c:pt idx="2">
                  <c:v>-34.5</c:v>
                </c:pt>
                <c:pt idx="3">
                  <c:v>-4.5486316000000002</c:v>
                </c:pt>
                <c:pt idx="7">
                  <c:v>-1</c:v>
                </c:pt>
                <c:pt idx="8">
                  <c:v>-2</c:v>
                </c:pt>
                <c:pt idx="9" formatCode="General">
                  <c:v>-330.55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B6F-47F8-B857-B26F03849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100"/>
        <c:axId val="412121600"/>
        <c:axId val="412033600"/>
      </c:barChart>
      <c:catAx>
        <c:axId val="41212160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chemeClr val="tx1"/>
            </a:solidFill>
          </a:ln>
        </c:spPr>
        <c:crossAx val="412033600"/>
        <c:crossesAt val="0"/>
        <c:auto val="1"/>
        <c:lblAlgn val="ctr"/>
        <c:lblOffset val="1000"/>
        <c:noMultiLvlLbl val="0"/>
      </c:catAx>
      <c:valAx>
        <c:axId val="412033600"/>
        <c:scaling>
          <c:orientation val="minMax"/>
          <c:max val="1000"/>
          <c:min val="-1500"/>
        </c:scaling>
        <c:delete val="0"/>
        <c:axPos val="b"/>
        <c:majorGridlines>
          <c:spPr>
            <a:ln w="12700"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Stromerzeugung in TWh | Installierte Kapazitäten in GW</a:t>
                </a:r>
              </a:p>
            </c:rich>
          </c:tx>
          <c:layout>
            <c:manualLayout>
              <c:xMode val="edge"/>
              <c:yMode val="edge"/>
              <c:x val="0.51985798000907379"/>
              <c:y val="0.94644511347846227"/>
            </c:manualLayout>
          </c:layout>
          <c:overlay val="0"/>
        </c:title>
        <c:numFmt formatCode="#,##0;[Red]#,##0" sourceLinked="0"/>
        <c:majorTickMark val="out"/>
        <c:minorTickMark val="none"/>
        <c:tickLblPos val="nextTo"/>
        <c:spPr>
          <a:ln w="9525">
            <a:solidFill>
              <a:schemeClr val="tx1"/>
            </a:solidFill>
          </a:ln>
        </c:spPr>
        <c:crossAx val="412121600"/>
        <c:crosses val="autoZero"/>
        <c:crossBetween val="between"/>
        <c:majorUnit val="100"/>
      </c:valAx>
      <c:spPr>
        <a:solidFill>
          <a:sysClr val="window" lastClr="FFFFFF"/>
        </a:solidFill>
        <a:ln>
          <a:solidFill>
            <a:schemeClr val="tx1"/>
          </a:solidFill>
        </a:ln>
      </c:spPr>
    </c:plotArea>
    <c:legend>
      <c:legendPos val="b"/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overlay val="0"/>
      <c:spPr>
        <a:solidFill>
          <a:sysClr val="window" lastClr="FFFFFF"/>
        </a:solidFill>
        <a:ln>
          <a:noFill/>
        </a:ln>
      </c:spPr>
    </c:legend>
    <c:plotVisOnly val="0"/>
    <c:dispBlanksAs val="zero"/>
    <c:showDLblsOverMax val="0"/>
  </c:chart>
  <c:spPr>
    <a:ln>
      <a:noFill/>
    </a:ln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53910155697846"/>
          <c:y val="6.451723205816752E-2"/>
          <c:w val="0.64620798945595426"/>
          <c:h val="0.6978230889508289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Studienvergleich!$A$52</c:f>
              <c:strCache>
                <c:ptCount val="1"/>
                <c:pt idx="0">
                  <c:v>BECCS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(Studienvergleich!$AO$2:$AR$2,Studienvergleich!$AT$2:$AU$2,Studienvergleich!$AY$2)</c:f>
              <c:strCache>
                <c:ptCount val="7"/>
                <c:pt idx="0">
                  <c:v>AGORA-KNDE45</c:v>
                </c:pt>
                <c:pt idx="1">
                  <c:v>dena-LSKN</c:v>
                </c:pt>
                <c:pt idx="2">
                  <c:v>BDI-KPF2</c:v>
                </c:pt>
                <c:pt idx="3">
                  <c:v>Ariadne-REMIND</c:v>
                </c:pt>
                <c:pt idx="4">
                  <c:v>Ariadne-TIMES</c:v>
                </c:pt>
                <c:pt idx="5">
                  <c:v>BMWI-LFS3</c:v>
                </c:pt>
                <c:pt idx="6">
                  <c:v>IEK-3 KSG 2045</c:v>
                </c:pt>
              </c:strCache>
            </c:strRef>
          </c:cat>
          <c:val>
            <c:numRef>
              <c:f>(Studienvergleich!$AO$52:$AR$52,Studienvergleich!$AT$52:$AU$52,Studienvergleich!$AY$52)</c:f>
              <c:numCache>
                <c:formatCode>0</c:formatCode>
                <c:ptCount val="7"/>
                <c:pt idx="0">
                  <c:v>-37.200000000000003</c:v>
                </c:pt>
                <c:pt idx="1">
                  <c:v>-17</c:v>
                </c:pt>
                <c:pt idx="2">
                  <c:v>-20</c:v>
                </c:pt>
                <c:pt idx="3">
                  <c:v>-42</c:v>
                </c:pt>
                <c:pt idx="4">
                  <c:v>-46.6</c:v>
                </c:pt>
                <c:pt idx="6" formatCode="General">
                  <c:v>-19.89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7-423A-BA3E-C4D1A8E4831E}"/>
            </c:ext>
          </c:extLst>
        </c:ser>
        <c:ser>
          <c:idx val="8"/>
          <c:order val="1"/>
          <c:tx>
            <c:strRef>
              <c:f>Studienvergleich!$A$53</c:f>
              <c:strCache>
                <c:ptCount val="1"/>
                <c:pt idx="0">
                  <c:v>DACS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(Studienvergleich!$AO$2:$AR$2,Studienvergleich!$AT$2:$AU$2,Studienvergleich!$AY$2)</c:f>
              <c:strCache>
                <c:ptCount val="7"/>
                <c:pt idx="0">
                  <c:v>AGORA-KNDE45</c:v>
                </c:pt>
                <c:pt idx="1">
                  <c:v>dena-LSKN</c:v>
                </c:pt>
                <c:pt idx="2">
                  <c:v>BDI-KPF2</c:v>
                </c:pt>
                <c:pt idx="3">
                  <c:v>Ariadne-REMIND</c:v>
                </c:pt>
                <c:pt idx="4">
                  <c:v>Ariadne-TIMES</c:v>
                </c:pt>
                <c:pt idx="5">
                  <c:v>BMWI-LFS3</c:v>
                </c:pt>
                <c:pt idx="6">
                  <c:v>IEK-3 KSG 2045</c:v>
                </c:pt>
              </c:strCache>
            </c:strRef>
          </c:cat>
          <c:val>
            <c:numRef>
              <c:f>(Studienvergleich!$AO$53:$AR$53,Studienvergleich!$AT$53:$AU$53,Studienvergleich!$AY$53)</c:f>
              <c:numCache>
                <c:formatCode>0</c:formatCode>
                <c:ptCount val="7"/>
                <c:pt idx="0">
                  <c:v>-20</c:v>
                </c:pt>
                <c:pt idx="1">
                  <c:v>0</c:v>
                </c:pt>
                <c:pt idx="2">
                  <c:v>-14</c:v>
                </c:pt>
                <c:pt idx="3">
                  <c:v>0</c:v>
                </c:pt>
                <c:pt idx="4">
                  <c:v>0</c:v>
                </c:pt>
                <c:pt idx="5">
                  <c:v>-40</c:v>
                </c:pt>
                <c:pt idx="6" formatCode="General">
                  <c:v>-56.711523307974851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7-423A-BA3E-C4D1A8E4831E}"/>
            </c:ext>
          </c:extLst>
        </c:ser>
        <c:ser>
          <c:idx val="7"/>
          <c:order val="2"/>
          <c:tx>
            <c:strRef>
              <c:f>Studienvergleich!$A$54</c:f>
              <c:strCache>
                <c:ptCount val="1"/>
                <c:pt idx="0">
                  <c:v>Import grüne Chem.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val>
            <c:numRef>
              <c:f>(Studienvergleich!$AO$54:$AR$54,Studienvergleich!$AT$54:$AU$54,Studienvergleich!$AY$54)</c:f>
              <c:numCache>
                <c:formatCode>0</c:formatCode>
                <c:ptCount val="7"/>
                <c:pt idx="0">
                  <c:v>-7.4</c:v>
                </c:pt>
                <c:pt idx="1">
                  <c:v>-12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7-423A-BA3E-C4D1A8E4831E}"/>
            </c:ext>
          </c:extLst>
        </c:ser>
        <c:ser>
          <c:idx val="9"/>
          <c:order val="3"/>
          <c:tx>
            <c:strRef>
              <c:f>Studienvergleich!$A$55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val>
            <c:numRef>
              <c:f>(Studienvergleich!$AO$55:$AR$55,Studienvergleich!$AT$55:$AU$55,Studienvergleich!$AY$55)</c:f>
              <c:numCache>
                <c:formatCode>0</c:formatCode>
                <c:ptCount val="7"/>
                <c:pt idx="0">
                  <c:v>0</c:v>
                </c:pt>
                <c:pt idx="1">
                  <c:v>-41</c:v>
                </c:pt>
                <c:pt idx="2">
                  <c:v>-25</c:v>
                </c:pt>
                <c:pt idx="3">
                  <c:v>-3</c:v>
                </c:pt>
                <c:pt idx="5">
                  <c:v>-40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7-423A-BA3E-C4D1A8E4831E}"/>
            </c:ext>
          </c:extLst>
        </c:ser>
        <c:ser>
          <c:idx val="4"/>
          <c:order val="4"/>
          <c:tx>
            <c:strRef>
              <c:f>Studienvergleich!$A$42</c:f>
              <c:strCache>
                <c:ptCount val="1"/>
                <c:pt idx="0">
                  <c:v>Energiewirtschaft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(Studienvergleich!$AO$2:$AR$2,Studienvergleich!$AT$2:$AU$2,Studienvergleich!$AY$2)</c:f>
              <c:strCache>
                <c:ptCount val="7"/>
                <c:pt idx="0">
                  <c:v>AGORA-KNDE45</c:v>
                </c:pt>
                <c:pt idx="1">
                  <c:v>dena-LSKN</c:v>
                </c:pt>
                <c:pt idx="2">
                  <c:v>BDI-KPF2</c:v>
                </c:pt>
                <c:pt idx="3">
                  <c:v>Ariadne-REMIND</c:v>
                </c:pt>
                <c:pt idx="4">
                  <c:v>Ariadne-TIMES</c:v>
                </c:pt>
                <c:pt idx="5">
                  <c:v>BMWI-LFS3</c:v>
                </c:pt>
                <c:pt idx="6">
                  <c:v>IEK-3 KSG 2045</c:v>
                </c:pt>
              </c:strCache>
            </c:strRef>
          </c:cat>
          <c:val>
            <c:numRef>
              <c:f>(Studienvergleich!$AO$42:$AR$42,Studienvergleich!$AT$42:$AU$42,Studienvergleich!$AY$42)</c:f>
              <c:numCache>
                <c:formatCode>0</c:formatCode>
                <c:ptCount val="7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2.17</c:v>
                </c:pt>
                <c:pt idx="4">
                  <c:v>8</c:v>
                </c:pt>
                <c:pt idx="5">
                  <c:v>0</c:v>
                </c:pt>
                <c:pt idx="6" formatCode="General">
                  <c:v>0.53100000000000003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87-423A-BA3E-C4D1A8E4831E}"/>
            </c:ext>
          </c:extLst>
        </c:ser>
        <c:ser>
          <c:idx val="0"/>
          <c:order val="5"/>
          <c:tx>
            <c:strRef>
              <c:f>Studienvergleich!$A$44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(Studienvergleich!$AO$2:$AR$2,Studienvergleich!$AT$2:$AU$2,Studienvergleich!$AY$2)</c:f>
              <c:strCache>
                <c:ptCount val="7"/>
                <c:pt idx="0">
                  <c:v>AGORA-KNDE45</c:v>
                </c:pt>
                <c:pt idx="1">
                  <c:v>dena-LSKN</c:v>
                </c:pt>
                <c:pt idx="2">
                  <c:v>BDI-KPF2</c:v>
                </c:pt>
                <c:pt idx="3">
                  <c:v>Ariadne-REMIND</c:v>
                </c:pt>
                <c:pt idx="4">
                  <c:v>Ariadne-TIMES</c:v>
                </c:pt>
                <c:pt idx="5">
                  <c:v>BMWI-LFS3</c:v>
                </c:pt>
                <c:pt idx="6">
                  <c:v>IEK-3 KSG 2045</c:v>
                </c:pt>
              </c:strCache>
            </c:strRef>
          </c:cat>
          <c:val>
            <c:numRef>
              <c:f>(Studienvergleich!$AO$44:$AR$44,Studienvergleich!$AT$44:$AU$44,Studienvergleich!$AY$44)</c:f>
              <c:numCache>
                <c:formatCode>0</c:formatCode>
                <c:ptCount val="7"/>
                <c:pt idx="0">
                  <c:v>14</c:v>
                </c:pt>
                <c:pt idx="1">
                  <c:v>24</c:v>
                </c:pt>
                <c:pt idx="2">
                  <c:v>10</c:v>
                </c:pt>
                <c:pt idx="3">
                  <c:v>2.7017652000000005</c:v>
                </c:pt>
                <c:pt idx="4">
                  <c:v>11.167999999999999</c:v>
                </c:pt>
                <c:pt idx="5">
                  <c:v>8</c:v>
                </c:pt>
                <c:pt idx="6" formatCode="General">
                  <c:v>21.99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87-423A-BA3E-C4D1A8E4831E}"/>
            </c:ext>
          </c:extLst>
        </c:ser>
        <c:ser>
          <c:idx val="1"/>
          <c:order val="6"/>
          <c:tx>
            <c:strRef>
              <c:f>Studienvergleich!$A$43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cat>
            <c:strRef>
              <c:f>(Studienvergleich!$AO$2:$AR$2,Studienvergleich!$AT$2:$AU$2,Studienvergleich!$AY$2)</c:f>
              <c:strCache>
                <c:ptCount val="7"/>
                <c:pt idx="0">
                  <c:v>AGORA-KNDE45</c:v>
                </c:pt>
                <c:pt idx="1">
                  <c:v>dena-LSKN</c:v>
                </c:pt>
                <c:pt idx="2">
                  <c:v>BDI-KPF2</c:v>
                </c:pt>
                <c:pt idx="3">
                  <c:v>Ariadne-REMIND</c:v>
                </c:pt>
                <c:pt idx="4">
                  <c:v>Ariadne-TIMES</c:v>
                </c:pt>
                <c:pt idx="5">
                  <c:v>BMWI-LFS3</c:v>
                </c:pt>
                <c:pt idx="6">
                  <c:v>IEK-3 KSG 2045</c:v>
                </c:pt>
              </c:strCache>
            </c:strRef>
          </c:cat>
          <c:val>
            <c:numRef>
              <c:f>(Studienvergleich!$AO$43:$AR$43,Studienvergleich!$AT$43:$AU$43,Studienvergleich!$AY$43)</c:f>
              <c:numCache>
                <c:formatCode>0</c:formatCode>
                <c:ptCount val="7"/>
                <c:pt idx="0">
                  <c:v>2.5872389760644614</c:v>
                </c:pt>
                <c:pt idx="1">
                  <c:v>2</c:v>
                </c:pt>
                <c:pt idx="2">
                  <c:v>0</c:v>
                </c:pt>
                <c:pt idx="3">
                  <c:v>0.4834021</c:v>
                </c:pt>
                <c:pt idx="4">
                  <c:v>1.4999999999999999E-2</c:v>
                </c:pt>
                <c:pt idx="5">
                  <c:v>0</c:v>
                </c:pt>
                <c:pt idx="6" formatCode="General">
                  <c:v>3.7160000000000002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87-423A-BA3E-C4D1A8E4831E}"/>
            </c:ext>
          </c:extLst>
        </c:ser>
        <c:ser>
          <c:idx val="2"/>
          <c:order val="7"/>
          <c:tx>
            <c:strRef>
              <c:f>Studienvergleich!$A$45</c:f>
              <c:strCache>
                <c:ptCount val="1"/>
                <c:pt idx="0">
                  <c:v>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(Studienvergleich!$AO$2:$AR$2,Studienvergleich!$AT$2:$AU$2,Studienvergleich!$AY$2)</c:f>
              <c:strCache>
                <c:ptCount val="7"/>
                <c:pt idx="0">
                  <c:v>AGORA-KNDE45</c:v>
                </c:pt>
                <c:pt idx="1">
                  <c:v>dena-LSKN</c:v>
                </c:pt>
                <c:pt idx="2">
                  <c:v>BDI-KPF2</c:v>
                </c:pt>
                <c:pt idx="3">
                  <c:v>Ariadne-REMIND</c:v>
                </c:pt>
                <c:pt idx="4">
                  <c:v>Ariadne-TIMES</c:v>
                </c:pt>
                <c:pt idx="5">
                  <c:v>BMWI-LFS3</c:v>
                </c:pt>
                <c:pt idx="6">
                  <c:v>IEK-3 KSG 2045</c:v>
                </c:pt>
              </c:strCache>
            </c:strRef>
          </c:cat>
          <c:val>
            <c:numRef>
              <c:f>(Studienvergleich!$AO$45:$AR$45,Studienvergleich!$AT$45:$AU$45,Studienvergleich!$AY$45)</c:f>
              <c:numCache>
                <c:formatCode>0</c:formatCode>
                <c:ptCount val="7"/>
                <c:pt idx="0">
                  <c:v>2.7921055087240382E-2</c:v>
                </c:pt>
                <c:pt idx="1">
                  <c:v>0</c:v>
                </c:pt>
                <c:pt idx="2">
                  <c:v>0</c:v>
                </c:pt>
                <c:pt idx="3">
                  <c:v>0.34322979999999997</c:v>
                </c:pt>
                <c:pt idx="4">
                  <c:v>0</c:v>
                </c:pt>
                <c:pt idx="5">
                  <c:v>0</c:v>
                </c:pt>
                <c:pt idx="6" formatCode="General">
                  <c:v>0.36099999999999999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87-423A-BA3E-C4D1A8E4831E}"/>
            </c:ext>
          </c:extLst>
        </c:ser>
        <c:ser>
          <c:idx val="5"/>
          <c:order val="8"/>
          <c:tx>
            <c:strRef>
              <c:f>Studienvergleich!$A$46</c:f>
              <c:strCache>
                <c:ptCount val="1"/>
                <c:pt idx="0">
                  <c:v>Abfall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(Studienvergleich!$AO$2:$AR$2,Studienvergleich!$AT$2:$AU$2,Studienvergleich!$AY$2)</c:f>
              <c:strCache>
                <c:ptCount val="7"/>
                <c:pt idx="0">
                  <c:v>AGORA-KNDE45</c:v>
                </c:pt>
                <c:pt idx="1">
                  <c:v>dena-LSKN</c:v>
                </c:pt>
                <c:pt idx="2">
                  <c:v>BDI-KPF2</c:v>
                </c:pt>
                <c:pt idx="3">
                  <c:v>Ariadne-REMIND</c:v>
                </c:pt>
                <c:pt idx="4">
                  <c:v>Ariadne-TIMES</c:v>
                </c:pt>
                <c:pt idx="5">
                  <c:v>BMWI-LFS3</c:v>
                </c:pt>
                <c:pt idx="6">
                  <c:v>IEK-3 KSG 2045</c:v>
                </c:pt>
              </c:strCache>
            </c:strRef>
          </c:cat>
          <c:val>
            <c:numRef>
              <c:f>(Studienvergleich!$AO$46:$AR$46,Studienvergleich!$AT$46:$AU$46,Studienvergleich!$AY$46)</c:f>
              <c:numCache>
                <c:formatCode>0</c:formatCode>
                <c:ptCount val="7"/>
                <c:pt idx="0">
                  <c:v>2.1155285975351341</c:v>
                </c:pt>
                <c:pt idx="3">
                  <c:v>7.2205797</c:v>
                </c:pt>
                <c:pt idx="4">
                  <c:v>0</c:v>
                </c:pt>
                <c:pt idx="5">
                  <c:v>0</c:v>
                </c:pt>
                <c:pt idx="6" formatCode="General">
                  <c:v>2.4500000000000002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87-423A-BA3E-C4D1A8E4831E}"/>
            </c:ext>
          </c:extLst>
        </c:ser>
        <c:ser>
          <c:idx val="6"/>
          <c:order val="9"/>
          <c:tx>
            <c:strRef>
              <c:f>Studienvergleich!$A$47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</c:spPr>
          <c:invertIfNegative val="0"/>
          <c:cat>
            <c:strRef>
              <c:f>(Studienvergleich!$AO$2:$AR$2,Studienvergleich!$AT$2:$AU$2,Studienvergleich!$AY$2)</c:f>
              <c:strCache>
                <c:ptCount val="7"/>
                <c:pt idx="0">
                  <c:v>AGORA-KNDE45</c:v>
                </c:pt>
                <c:pt idx="1">
                  <c:v>dena-LSKN</c:v>
                </c:pt>
                <c:pt idx="2">
                  <c:v>BDI-KPF2</c:v>
                </c:pt>
                <c:pt idx="3">
                  <c:v>Ariadne-REMIND</c:v>
                </c:pt>
                <c:pt idx="4">
                  <c:v>Ariadne-TIMES</c:v>
                </c:pt>
                <c:pt idx="5">
                  <c:v>BMWI-LFS3</c:v>
                </c:pt>
                <c:pt idx="6">
                  <c:v>IEK-3 KSG 2045</c:v>
                </c:pt>
              </c:strCache>
            </c:strRef>
          </c:cat>
          <c:val>
            <c:numRef>
              <c:f>(Studienvergleich!$AO$47:$AR$47,Studienvergleich!$AT$47:$AU$47,Studienvergleich!$AY$47)</c:f>
              <c:numCache>
                <c:formatCode>0</c:formatCode>
                <c:ptCount val="7"/>
                <c:pt idx="0">
                  <c:v>40.740340843913465</c:v>
                </c:pt>
                <c:pt idx="1">
                  <c:v>42</c:v>
                </c:pt>
                <c:pt idx="2">
                  <c:v>48</c:v>
                </c:pt>
                <c:pt idx="3">
                  <c:v>30.331535599999999</c:v>
                </c:pt>
                <c:pt idx="4">
                  <c:v>25.753</c:v>
                </c:pt>
                <c:pt idx="5">
                  <c:v>53</c:v>
                </c:pt>
                <c:pt idx="6" formatCode="General">
                  <c:v>47.555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87-423A-BA3E-C4D1A8E48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363648"/>
        <c:axId val="326730880"/>
      </c:barChart>
      <c:catAx>
        <c:axId val="3263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6730880"/>
        <c:crosses val="autoZero"/>
        <c:auto val="1"/>
        <c:lblAlgn val="ctr"/>
        <c:lblOffset val="100"/>
        <c:noMultiLvlLbl val="0"/>
      </c:catAx>
      <c:valAx>
        <c:axId val="32673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THG-Emissionen in</a:t>
                </a:r>
                <a:r>
                  <a:rPr lang="en-US" baseline="0"/>
                  <a:t> </a:t>
                </a:r>
                <a:r>
                  <a:rPr lang="en-US"/>
                  <a:t>Mt CO</a:t>
                </a:r>
                <a:r>
                  <a:rPr lang="en-US" baseline="-25000"/>
                  <a:t>2äq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2636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280533690567377"/>
          <c:y val="3.986720750390628E-2"/>
          <c:w val="0.21179434525642224"/>
          <c:h val="0.59738378844488693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6868914183798769E-2"/>
          <c:y val="7.981704289422982E-2"/>
          <c:w val="0.70249760545745521"/>
          <c:h val="0.653232076842118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Studienvergleich!$A$94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rgbClr val="023D6B"/>
            </a:solidFill>
            <a:ln>
              <a:noFill/>
            </a:ln>
            <a:effectLst/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(Studienvergleich!$AZ$94,Studienvergleich!$AO$94:$AQ$94,Studienvergleich!$AJ$94,Studienvergleich!$AR$94:$AU$94,Studienvergleich!$AY$94)</c:f>
              <c:numCache>
                <c:formatCode>0</c:formatCode>
                <c:ptCount val="10"/>
                <c:pt idx="0" formatCode="General">
                  <c:v>125.3</c:v>
                </c:pt>
                <c:pt idx="1">
                  <c:v>62.439899294347995</c:v>
                </c:pt>
                <c:pt idx="2">
                  <c:v>145</c:v>
                </c:pt>
                <c:pt idx="3">
                  <c:v>186</c:v>
                </c:pt>
                <c:pt idx="4">
                  <c:v>341</c:v>
                </c:pt>
                <c:pt idx="5">
                  <c:v>435.98841666666698</c:v>
                </c:pt>
                <c:pt idx="6">
                  <c:v>380.21408335331802</c:v>
                </c:pt>
                <c:pt idx="7">
                  <c:v>272.02222222222298</c:v>
                </c:pt>
                <c:pt idx="8">
                  <c:v>138.16999389648433</c:v>
                </c:pt>
                <c:pt idx="9" formatCode="General">
                  <c:v>64.802950851689872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9-4054-A571-31CB1A761A90}"/>
            </c:ext>
          </c:extLst>
        </c:ser>
        <c:ser>
          <c:idx val="3"/>
          <c:order val="1"/>
          <c:tx>
            <c:strRef>
              <c:f>Studienvergleich!$A$95</c:f>
              <c:strCache>
                <c:ptCount val="1"/>
                <c:pt idx="0">
                  <c:v>GHD</c:v>
                </c:pt>
              </c:strCache>
            </c:strRef>
          </c:tx>
          <c:spPr>
            <a:solidFill>
              <a:srgbClr val="ADBDE3">
                <a:lumMod val="60000"/>
                <a:lumOff val="40000"/>
              </a:srgbClr>
            </a:solidFill>
            <a:ln w="25400">
              <a:noFill/>
            </a:ln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(Studienvergleich!$AZ$95,Studienvergleich!$AO$95:$AQ$95,Studienvergleich!$AJ$95,Studienvergleich!$AR$95:$AU$95,Studienvergleich!$AY$95)</c:f>
              <c:numCache>
                <c:formatCode>0</c:formatCode>
                <c:ptCount val="10"/>
                <c:pt idx="0" formatCode="General">
                  <c:v>146.69999999999999</c:v>
                </c:pt>
                <c:pt idx="1">
                  <c:v>130.30371954493205</c:v>
                </c:pt>
                <c:pt idx="2">
                  <c:v>158</c:v>
                </c:pt>
                <c:pt idx="8">
                  <c:v>110.53</c:v>
                </c:pt>
                <c:pt idx="9" formatCode="General">
                  <c:v>139.97136799676775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9-4054-A571-31CB1A761A90}"/>
            </c:ext>
          </c:extLst>
        </c:ser>
        <c:ser>
          <c:idx val="6"/>
          <c:order val="2"/>
          <c:tx>
            <c:strRef>
              <c:f>Studienvergleich!$A$96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(Studienvergleich!$AZ$96,Studienvergleich!$AO$96:$AQ$96,Studienvergleich!$AJ$96,Studienvergleich!$AR$96:$AU$96,Studienvergleich!$AY$96)</c:f>
              <c:numCache>
                <c:formatCode>0</c:formatCode>
                <c:ptCount val="10"/>
                <c:pt idx="0" formatCode="General">
                  <c:v>223.3</c:v>
                </c:pt>
                <c:pt idx="1">
                  <c:v>316.59995078227701</c:v>
                </c:pt>
                <c:pt idx="2">
                  <c:v>311</c:v>
                </c:pt>
                <c:pt idx="3">
                  <c:v>237</c:v>
                </c:pt>
                <c:pt idx="4">
                  <c:v>395</c:v>
                </c:pt>
                <c:pt idx="5">
                  <c:v>345.82322222222302</c:v>
                </c:pt>
                <c:pt idx="6">
                  <c:v>387.56999729932221</c:v>
                </c:pt>
                <c:pt idx="7">
                  <c:v>172.72277777777799</c:v>
                </c:pt>
                <c:pt idx="8">
                  <c:v>403.60000610351563</c:v>
                </c:pt>
                <c:pt idx="9" formatCode="General">
                  <c:v>346.64410757045209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B9-4054-A571-31CB1A761A90}"/>
            </c:ext>
          </c:extLst>
        </c:ser>
        <c:ser>
          <c:idx val="1"/>
          <c:order val="3"/>
          <c:tx>
            <c:strRef>
              <c:f>Studienvergleich!$A$97</c:f>
              <c:strCache>
                <c:ptCount val="1"/>
                <c:pt idx="0">
                  <c:v>Verkehr</c:v>
                </c:pt>
              </c:strCache>
            </c:strRef>
          </c:tx>
          <c:spPr>
            <a:solidFill>
              <a:srgbClr val="30A93B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(Studienvergleich!$AZ$97,Studienvergleich!$AO$97:$AQ$97,Studienvergleich!$AJ$97,Studienvergleich!$AR$97:$AU$97,Studienvergleich!$AY$97)</c:f>
              <c:numCache>
                <c:formatCode>0</c:formatCode>
                <c:ptCount val="10"/>
                <c:pt idx="0" formatCode="General">
                  <c:v>12</c:v>
                </c:pt>
                <c:pt idx="1">
                  <c:v>175</c:v>
                </c:pt>
                <c:pt idx="2">
                  <c:v>110</c:v>
                </c:pt>
                <c:pt idx="3">
                  <c:v>163</c:v>
                </c:pt>
                <c:pt idx="4">
                  <c:v>116</c:v>
                </c:pt>
                <c:pt idx="5">
                  <c:v>179.25880555555599</c:v>
                </c:pt>
                <c:pt idx="6">
                  <c:v>143.93344844736001</c:v>
                </c:pt>
                <c:pt idx="7">
                  <c:v>248.98</c:v>
                </c:pt>
                <c:pt idx="8">
                  <c:v>160.1</c:v>
                </c:pt>
                <c:pt idx="9" formatCode="General">
                  <c:v>73.009148723584971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B9-4054-A571-31CB1A761A90}"/>
            </c:ext>
          </c:extLst>
        </c:ser>
        <c:ser>
          <c:idx val="2"/>
          <c:order val="4"/>
          <c:tx>
            <c:strRef>
              <c:f>Studienvergleich!$A$98</c:f>
              <c:strCache>
                <c:ptCount val="1"/>
                <c:pt idx="0">
                  <c:v>Elektrolyse</c:v>
                </c:pt>
              </c:strCache>
            </c:strRef>
          </c:tx>
          <c:spPr>
            <a:solidFill>
              <a:srgbClr val="FFE9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(Studienvergleich!$AZ$98,Studienvergleich!$AO$98:$AQ$98,Studienvergleich!$AJ$98,Studienvergleich!$AR$98:$AU$98,Studienvergleich!$AY$98)</c:f>
              <c:numCache>
                <c:formatCode>0</c:formatCode>
                <c:ptCount val="10"/>
                <c:pt idx="1">
                  <c:v>149.85441894866281</c:v>
                </c:pt>
                <c:pt idx="2">
                  <c:v>88</c:v>
                </c:pt>
                <c:pt idx="3">
                  <c:v>155</c:v>
                </c:pt>
                <c:pt idx="4">
                  <c:v>302</c:v>
                </c:pt>
                <c:pt idx="5">
                  <c:v>88.786166666666801</c:v>
                </c:pt>
                <c:pt idx="6">
                  <c:v>263.17083120000001</c:v>
                </c:pt>
                <c:pt idx="7">
                  <c:v>35.9166666666667</c:v>
                </c:pt>
                <c:pt idx="8">
                  <c:v>130.4</c:v>
                </c:pt>
                <c:pt idx="9" formatCode="General">
                  <c:v>311.38007998765204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B9-4054-A571-31CB1A761A90}"/>
            </c:ext>
          </c:extLst>
        </c:ser>
        <c:ser>
          <c:idx val="5"/>
          <c:order val="5"/>
          <c:tx>
            <c:strRef>
              <c:f>Studienvergleich!$A$99</c:f>
              <c:strCache>
                <c:ptCount val="1"/>
                <c:pt idx="0">
                  <c:v>Wärmepumpen und PtH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(Studienvergleich!$AZ$99,Studienvergleich!$AO$99:$AQ$99,Studienvergleich!$AJ$99,Studienvergleich!$AR$99:$AU$99,Studienvergleich!$AY$99)</c:f>
              <c:numCache>
                <c:formatCode>0</c:formatCode>
                <c:ptCount val="10"/>
                <c:pt idx="1">
                  <c:v>82</c:v>
                </c:pt>
                <c:pt idx="2">
                  <c:v>17</c:v>
                </c:pt>
                <c:pt idx="3">
                  <c:v>252</c:v>
                </c:pt>
                <c:pt idx="4">
                  <c:v>74</c:v>
                </c:pt>
                <c:pt idx="5">
                  <c:v>43.196527777777803</c:v>
                </c:pt>
                <c:pt idx="6">
                  <c:v>134.24448810000001</c:v>
                </c:pt>
                <c:pt idx="7">
                  <c:v>116.555555555556</c:v>
                </c:pt>
                <c:pt idx="8">
                  <c:v>129.5</c:v>
                </c:pt>
                <c:pt idx="9" formatCode="General">
                  <c:v>207.84691728613879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B9-4054-A571-31CB1A761A90}"/>
            </c:ext>
          </c:extLst>
        </c:ser>
        <c:ser>
          <c:idx val="4"/>
          <c:order val="6"/>
          <c:tx>
            <c:strRef>
              <c:f>Studienvergleich!$A$100</c:f>
              <c:strCache>
                <c:ptCount val="1"/>
                <c:pt idx="0">
                  <c:v>DAC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(Studienvergleich!$AZ$100,Studienvergleich!$AO$100:$AQ$100,Studienvergleich!$AJ$100,Studienvergleich!$AR$100:$AU$100,Studienvergleich!$AY$100)</c:f>
              <c:numCache>
                <c:formatCode>0</c:formatCode>
                <c:ptCount val="10"/>
                <c:pt idx="1">
                  <c:v>20.67123312438784</c:v>
                </c:pt>
                <c:pt idx="2">
                  <c:v>0</c:v>
                </c:pt>
                <c:pt idx="9" formatCode="General">
                  <c:v>72.446139359493017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B9-4054-A571-31CB1A761A90}"/>
            </c:ext>
          </c:extLst>
        </c:ser>
        <c:ser>
          <c:idx val="7"/>
          <c:order val="7"/>
          <c:tx>
            <c:strRef>
              <c:f>Studienvergleich!$A$102</c:f>
              <c:strCache>
                <c:ptCount val="1"/>
                <c:pt idx="0">
                  <c:v>sonstige Umwandlung</c:v>
                </c:pt>
              </c:strCache>
            </c:strRef>
          </c:tx>
          <c:spPr>
            <a:solidFill>
              <a:srgbClr val="6D268E"/>
            </a:solidFill>
          </c:spPr>
          <c:invertIfNegative val="0"/>
          <c:cat>
            <c:strRef>
              <c:f>(Studienvergleich!$AZ$2,Studienvergleich!$AO$2:$AQ$2,Studienvergleich!$AJ$2,Studienvergleich!$AR$2:$AU$2,Studienvergleich!$AY$2)</c:f>
              <c:strCache>
                <c:ptCount val="10"/>
                <c:pt idx="0">
                  <c:v>Status Quo (2019)</c:v>
                </c:pt>
                <c:pt idx="1">
                  <c:v>AGORA-KNDE45</c:v>
                </c:pt>
                <c:pt idx="2">
                  <c:v>dena-LSKN</c:v>
                </c:pt>
                <c:pt idx="3">
                  <c:v>BDI-KPF2</c:v>
                </c:pt>
                <c:pt idx="4">
                  <c:v>ISE-KNES45</c:v>
                </c:pt>
                <c:pt idx="5">
                  <c:v>Ariadne-REMIND</c:v>
                </c:pt>
                <c:pt idx="6">
                  <c:v>Ariadne-REMod</c:v>
                </c:pt>
                <c:pt idx="7">
                  <c:v>Ariadne-TIMES</c:v>
                </c:pt>
                <c:pt idx="8">
                  <c:v>BMWI-LFS3</c:v>
                </c:pt>
                <c:pt idx="9">
                  <c:v>IEK-3 KSG 2045</c:v>
                </c:pt>
              </c:strCache>
            </c:strRef>
          </c:cat>
          <c:val>
            <c:numRef>
              <c:f>(Studienvergleich!$AZ$102,Studienvergleich!$AO$102:$AQ$102,Studienvergleich!$AJ$102,Studienvergleich!$AR$102:$AU$102,Studienvergleich!$AY$102)</c:f>
              <c:numCache>
                <c:formatCode>0</c:formatCode>
                <c:ptCount val="10"/>
                <c:pt idx="1">
                  <c:v>6</c:v>
                </c:pt>
                <c:pt idx="2">
                  <c:v>11</c:v>
                </c:pt>
                <c:pt idx="3">
                  <c:v>0</c:v>
                </c:pt>
                <c:pt idx="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B9-4054-A571-31CB1A761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633856"/>
        <c:axId val="360809600"/>
      </c:barChart>
      <c:catAx>
        <c:axId val="36063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60809600"/>
        <c:crosses val="autoZero"/>
        <c:auto val="1"/>
        <c:lblAlgn val="ctr"/>
        <c:lblOffset val="100"/>
        <c:noMultiLvlLbl val="0"/>
      </c:catAx>
      <c:valAx>
        <c:axId val="3608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Stromverbrauch in TWh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6063385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905213370672548"/>
          <c:y val="0.21784221994575281"/>
          <c:w val="0.20232668346286833"/>
          <c:h val="0.5797990739761450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71342361012484E-2"/>
          <c:y val="1.7065158514861817E-2"/>
          <c:w val="0.91925743068614441"/>
          <c:h val="0.89986447356340316"/>
        </c:manualLayout>
      </c:layout>
      <c:barChart>
        <c:barDir val="bar"/>
        <c:grouping val="stacked"/>
        <c:varyColors val="0"/>
        <c:ser>
          <c:idx val="7"/>
          <c:order val="0"/>
          <c:tx>
            <c:strRef>
              <c:f>Studienvergleich!$A$111</c:f>
              <c:strCache>
                <c:ptCount val="1"/>
                <c:pt idx="0">
                  <c:v>Energie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(Studienvergleich!$AY$111,Studienvergleich!$AU$111,Studienvergleich!$AT$111,Studienvergleich!$AS$111,Studienvergleich!$AR$111,Studienvergleich!$AJ$111,Studienvergleich!$AQ$111,Studienvergleich!$AP$111,Studienvergleich!$AO$111)</c:f>
              <c:numCache>
                <c:formatCode>0</c:formatCode>
                <c:ptCount val="9"/>
                <c:pt idx="0" formatCode="General">
                  <c:v>-23.803984068226999</c:v>
                </c:pt>
                <c:pt idx="1">
                  <c:v>-86.7</c:v>
                </c:pt>
                <c:pt idx="2">
                  <c:v>-205.944444444444</c:v>
                </c:pt>
                <c:pt idx="3">
                  <c:v>-77.811344426856294</c:v>
                </c:pt>
                <c:pt idx="4">
                  <c:v>-134.74313888888901</c:v>
                </c:pt>
                <c:pt idx="5">
                  <c:v>-6.3</c:v>
                </c:pt>
                <c:pt idx="6">
                  <c:v>-92</c:v>
                </c:pt>
                <c:pt idx="7">
                  <c:v>-130</c:v>
                </c:pt>
                <c:pt idx="8">
                  <c:v>-152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2-4114-9BDB-FA00D03033EB}"/>
            </c:ext>
          </c:extLst>
        </c:ser>
        <c:ser>
          <c:idx val="8"/>
          <c:order val="1"/>
          <c:tx>
            <c:strRef>
              <c:f>Studienvergleich!$A$112</c:f>
              <c:strCache>
                <c:ptCount val="1"/>
                <c:pt idx="0">
                  <c:v>Gebäude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(Studienvergleich!$AY$112,Studienvergleich!$AU$112,Studienvergleich!$AT$112,Studienvergleich!$AS$112,Studienvergleich!$AR$112,Studienvergleich!$AJ$112,Studienvergleich!$AQ$112,Studienvergleich!$AP$112,Studienvergleich!$AO$112)</c:f>
              <c:numCache>
                <c:formatCode>0</c:formatCode>
                <c:ptCount val="9"/>
                <c:pt idx="0" formatCode="General">
                  <c:v>-3.84717486061446</c:v>
                </c:pt>
                <c:pt idx="1">
                  <c:v>0</c:v>
                </c:pt>
                <c:pt idx="2">
                  <c:v>0</c:v>
                </c:pt>
                <c:pt idx="3">
                  <c:v>-7.2726300380332596</c:v>
                </c:pt>
                <c:pt idx="4">
                  <c:v>0</c:v>
                </c:pt>
                <c:pt idx="5">
                  <c:v>-34.5</c:v>
                </c:pt>
                <c:pt idx="6">
                  <c:v>0</c:v>
                </c:pt>
                <c:pt idx="7">
                  <c:v>-79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92-4114-9BDB-FA00D03033EB}"/>
            </c:ext>
          </c:extLst>
        </c:ser>
        <c:ser>
          <c:idx val="9"/>
          <c:order val="2"/>
          <c:tx>
            <c:strRef>
              <c:f>Studienvergleich!$A$113</c:f>
              <c:strCache>
                <c:ptCount val="1"/>
                <c:pt idx="0">
                  <c:v>Industrie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(Studienvergleich!$AY$113,Studienvergleich!$AU$113,Studienvergleich!$AT$113,Studienvergleich!$AS$113,Studienvergleich!$AR$113,Studienvergleich!$AJ$113,Studienvergleich!$AQ$113,Studienvergleich!$AP$113,Studienvergleich!$AO$113)</c:f>
              <c:numCache>
                <c:formatCode>0</c:formatCode>
                <c:ptCount val="9"/>
                <c:pt idx="0" formatCode="General">
                  <c:v>-267.21548012339099</c:v>
                </c:pt>
                <c:pt idx="1">
                  <c:v>-156</c:v>
                </c:pt>
                <c:pt idx="2">
                  <c:v>-6.3663888888888902</c:v>
                </c:pt>
                <c:pt idx="3">
                  <c:v>-159.79202141752199</c:v>
                </c:pt>
                <c:pt idx="4">
                  <c:v>-65.530666666666704</c:v>
                </c:pt>
                <c:pt idx="5">
                  <c:v>-83.8</c:v>
                </c:pt>
                <c:pt idx="6">
                  <c:v>-104</c:v>
                </c:pt>
                <c:pt idx="7">
                  <c:v>-191</c:v>
                </c:pt>
                <c:pt idx="8">
                  <c:v>-74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92-4114-9BDB-FA00D03033EB}"/>
            </c:ext>
          </c:extLst>
        </c:ser>
        <c:ser>
          <c:idx val="10"/>
          <c:order val="3"/>
          <c:tx>
            <c:strRef>
              <c:f>Studienvergleich!$A$114</c:f>
              <c:strCache>
                <c:ptCount val="1"/>
                <c:pt idx="0">
                  <c:v>Verkehr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(Studienvergleich!$AY$114,Studienvergleich!$AU$114,Studienvergleich!$AT$114,Studienvergleich!$AS$114,Studienvergleich!$AR$114,Studienvergleich!$AJ$114,Studienvergleich!$AQ$114,Studienvergleich!$AP$114,Studienvergleich!$AO$114)</c:f>
              <c:numCache>
                <c:formatCode>0</c:formatCode>
                <c:ptCount val="9"/>
                <c:pt idx="0" formatCode="General">
                  <c:v>-116.93978066578499</c:v>
                </c:pt>
                <c:pt idx="1">
                  <c:v>-19.3</c:v>
                </c:pt>
                <c:pt idx="2">
                  <c:v>-107</c:v>
                </c:pt>
                <c:pt idx="3">
                  <c:v>-90.634464000000094</c:v>
                </c:pt>
                <c:pt idx="4">
                  <c:v>-14.841944444444501</c:v>
                </c:pt>
                <c:pt idx="5">
                  <c:v>-172.1</c:v>
                </c:pt>
                <c:pt idx="6">
                  <c:v>-41</c:v>
                </c:pt>
                <c:pt idx="7">
                  <c:v>-59</c:v>
                </c:pt>
                <c:pt idx="8">
                  <c:v>-39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92-4114-9BDB-FA00D03033EB}"/>
            </c:ext>
          </c:extLst>
        </c:ser>
        <c:ser>
          <c:idx val="0"/>
          <c:order val="4"/>
          <c:tx>
            <c:strRef>
              <c:f>Studienvergleich!$A$105</c:f>
              <c:strCache>
                <c:ptCount val="1"/>
                <c:pt idx="0">
                  <c:v>Elektrolyse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(Studienvergleich!$AY$105,Studienvergleich!$AU$105,Studienvergleich!$AT$105,Studienvergleich!$AS$105,Studienvergleich!$AR$105,Studienvergleich!$AJ$105,Studienvergleich!$AQ$105,Studienvergleich!$AP$105,Studienvergleich!$AO$105)</c:f>
              <c:numCache>
                <c:formatCode>0</c:formatCode>
                <c:ptCount val="9"/>
                <c:pt idx="0" formatCode="General">
                  <c:v>213.41063322616603</c:v>
                </c:pt>
                <c:pt idx="1">
                  <c:v>92.4</c:v>
                </c:pt>
                <c:pt idx="2">
                  <c:v>27.869722222222201</c:v>
                </c:pt>
                <c:pt idx="3">
                  <c:v>169.204361426856</c:v>
                </c:pt>
                <c:pt idx="4">
                  <c:v>63.038166666666697</c:v>
                </c:pt>
                <c:pt idx="5">
                  <c:v>201.3</c:v>
                </c:pt>
                <c:pt idx="6">
                  <c:v>138</c:v>
                </c:pt>
                <c:pt idx="7">
                  <c:v>60</c:v>
                </c:pt>
                <c:pt idx="8">
                  <c:v>95.623473959335172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92-4114-9BDB-FA00D03033EB}"/>
            </c:ext>
          </c:extLst>
        </c:ser>
        <c:ser>
          <c:idx val="1"/>
          <c:order val="5"/>
          <c:tx>
            <c:strRef>
              <c:f>Studienvergleich!$A$106</c:f>
              <c:strCache>
                <c:ptCount val="1"/>
                <c:pt idx="0">
                  <c:v>Biomasse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(Studienvergleich!$AY$106,Studienvergleich!$AU$106,Studienvergleich!$AT$106,Studienvergleich!$AS$106,Studienvergleich!$AR$106,Studienvergleich!$AJ$106,Studienvergleich!$AQ$106,Studienvergleich!$AP$106,Studienvergleich!$AO$106)</c:f>
              <c:numCache>
                <c:formatCode>0</c:formatCode>
                <c:ptCount val="9"/>
                <c:pt idx="0" formatCode="General">
                  <c:v>0</c:v>
                </c:pt>
                <c:pt idx="2">
                  <c:v>162.70444444444479</c:v>
                </c:pt>
                <c:pt idx="4">
                  <c:v>0</c:v>
                </c:pt>
                <c:pt idx="5">
                  <c:v>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92-4114-9BDB-FA00D03033EB}"/>
            </c:ext>
          </c:extLst>
        </c:ser>
        <c:ser>
          <c:idx val="2"/>
          <c:order val="6"/>
          <c:tx>
            <c:strRef>
              <c:f>Studienvergleich!$A$107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(Studienvergleich!$AY$107,Studienvergleich!$AU$107,Studienvergleich!$AT$107,Studienvergleich!$AS$107,Studienvergleich!$AR$107,Studienvergleich!$AJ$107,Studienvergleich!$AQ$107,Studienvergleich!$AP$107,Studienvergleich!$AO$107)</c:f>
              <c:numCache>
                <c:formatCode>0</c:formatCode>
                <c:ptCount val="9"/>
                <c:pt idx="0" formatCode="General">
                  <c:v>195.91568708967151</c:v>
                </c:pt>
                <c:pt idx="1">
                  <c:v>169.9</c:v>
                </c:pt>
                <c:pt idx="2">
                  <c:v>127.222222222222</c:v>
                </c:pt>
                <c:pt idx="3">
                  <c:v>178.60891505555566</c:v>
                </c:pt>
                <c:pt idx="4">
                  <c:v>150</c:v>
                </c:pt>
                <c:pt idx="5">
                  <c:v>122.8</c:v>
                </c:pt>
                <c:pt idx="6">
                  <c:v>99</c:v>
                </c:pt>
                <c:pt idx="7">
                  <c:v>398</c:v>
                </c:pt>
                <c:pt idx="8">
                  <c:v>169.31730406715377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92-4114-9BDB-FA00D03033EB}"/>
            </c:ext>
          </c:extLst>
        </c:ser>
        <c:ser>
          <c:idx val="3"/>
          <c:order val="7"/>
          <c:tx>
            <c:strRef>
              <c:f>Studienvergleich!$A$108</c:f>
              <c:strCache>
                <c:ptCount val="1"/>
                <c:pt idx="0">
                  <c:v>Sonstige (fossil, Chlor)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cat>
            <c:strRef>
              <c:f>(Studienvergleich!$AY$2,Studienvergleich!$AU$2,Studienvergleich!$AT$2,Studienvergleich!$AS$2,Studienvergleich!$AR$2,Studienvergleich!$AJ$2,Studienvergleich!$AQ$2,Studienvergleich!$AP$2,Studienvergleich!$AO$2,Studienvergleich!$AZ$2)</c:f>
              <c:strCache>
                <c:ptCount val="10"/>
                <c:pt idx="0">
                  <c:v>IEK-3 KSG 2045</c:v>
                </c:pt>
                <c:pt idx="1">
                  <c:v>BMWI-LFS3</c:v>
                </c:pt>
                <c:pt idx="2">
                  <c:v>Ariadne-TIMES</c:v>
                </c:pt>
                <c:pt idx="3">
                  <c:v>Ariadne-REMod</c:v>
                </c:pt>
                <c:pt idx="4">
                  <c:v>Ariadne-REMIND</c:v>
                </c:pt>
                <c:pt idx="5">
                  <c:v>ISE-KNES45</c:v>
                </c:pt>
                <c:pt idx="6">
                  <c:v>BDI-KPF2</c:v>
                </c:pt>
                <c:pt idx="7">
                  <c:v>dena-LSKN</c:v>
                </c:pt>
                <c:pt idx="8">
                  <c:v>AGORA-KNDE45</c:v>
                </c:pt>
                <c:pt idx="9">
                  <c:v>Status Quo (2019)</c:v>
                </c:pt>
              </c:strCache>
            </c:strRef>
          </c:cat>
          <c:val>
            <c:numRef>
              <c:f>(Studienvergleich!$AY$108,Studienvergleich!$AU$108,Studienvergleich!$AT$108,Studienvergleich!$AS$108,Studienvergleich!$AR$108,Studienvergleich!$AJ$108,Studienvergleich!$AQ$108,Studienvergleich!$AP$108,Studienvergleich!$AO$108)</c:f>
              <c:numCache>
                <c:formatCode>0</c:formatCode>
                <c:ptCount val="9"/>
                <c:pt idx="0" formatCode="General">
                  <c:v>5.1090282264449352</c:v>
                </c:pt>
                <c:pt idx="3">
                  <c:v>11.775985999999932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92-4114-9BDB-FA00D0303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100"/>
        <c:axId val="412121600"/>
        <c:axId val="412033600"/>
      </c:barChart>
      <c:catAx>
        <c:axId val="41212160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chemeClr val="tx1"/>
            </a:solidFill>
          </a:ln>
        </c:spPr>
        <c:crossAx val="412033600"/>
        <c:crossesAt val="0"/>
        <c:auto val="1"/>
        <c:lblAlgn val="ctr"/>
        <c:lblOffset val="1000"/>
        <c:noMultiLvlLbl val="0"/>
      </c:catAx>
      <c:valAx>
        <c:axId val="412033600"/>
        <c:scaling>
          <c:orientation val="minMax"/>
          <c:max val="500"/>
          <c:min val="-500"/>
        </c:scaling>
        <c:delete val="0"/>
        <c:axPos val="b"/>
        <c:majorGridlines>
          <c:spPr>
            <a:ln w="12700">
              <a:solidFill>
                <a:schemeClr val="bg1">
                  <a:lumMod val="50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Wasserstoffbedarf in TWh | Wasserstofferzeugung in TWh</a:t>
                </a:r>
              </a:p>
            </c:rich>
          </c:tx>
          <c:layout>
            <c:manualLayout>
              <c:xMode val="edge"/>
              <c:yMode val="edge"/>
              <c:x val="0.42745136869944295"/>
              <c:y val="0.94644515178076072"/>
            </c:manualLayout>
          </c:layout>
          <c:overlay val="0"/>
        </c:title>
        <c:numFmt formatCode="#,##0;[Red]#,##0" sourceLinked="0"/>
        <c:majorTickMark val="out"/>
        <c:minorTickMark val="none"/>
        <c:tickLblPos val="nextTo"/>
        <c:spPr>
          <a:ln w="9525">
            <a:solidFill>
              <a:schemeClr val="tx1"/>
            </a:solidFill>
          </a:ln>
        </c:spPr>
        <c:crossAx val="412121600"/>
        <c:crosses val="autoZero"/>
        <c:crossBetween val="between"/>
        <c:majorUnit val="100"/>
      </c:valAx>
      <c:spPr>
        <a:solidFill>
          <a:sysClr val="window" lastClr="FFFFFF"/>
        </a:solidFill>
        <a:ln>
          <a:solidFill>
            <a:schemeClr val="tx1"/>
          </a:solidFill>
        </a:ln>
      </c:spPr>
    </c:plotArea>
    <c:legend>
      <c:legendPos val="b"/>
      <c:layout>
        <c:manualLayout>
          <c:xMode val="edge"/>
          <c:yMode val="edge"/>
          <c:x val="0.32894651426908317"/>
          <c:y val="0.95777552036482561"/>
          <c:w val="0.52209893610626912"/>
          <c:h val="4.2224479635174353E-2"/>
        </c:manualLayout>
      </c:layout>
      <c:overlay val="0"/>
    </c:legend>
    <c:plotVisOnly val="0"/>
    <c:dispBlanksAs val="zero"/>
    <c:showDLblsOverMax val="0"/>
  </c:chart>
  <c:spPr>
    <a:ln>
      <a:noFill/>
    </a:ln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7.xml"/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12" Type="http://schemas.openxmlformats.org/officeDocument/2006/relationships/chart" Target="../charts/chart61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11" Type="http://schemas.openxmlformats.org/officeDocument/2006/relationships/chart" Target="../charts/chart60.xml"/><Relationship Id="rId5" Type="http://schemas.openxmlformats.org/officeDocument/2006/relationships/chart" Target="../charts/chart54.xml"/><Relationship Id="rId10" Type="http://schemas.openxmlformats.org/officeDocument/2006/relationships/chart" Target="../charts/chart59.xml"/><Relationship Id="rId4" Type="http://schemas.openxmlformats.org/officeDocument/2006/relationships/chart" Target="../charts/chart53.xml"/><Relationship Id="rId9" Type="http://schemas.openxmlformats.org/officeDocument/2006/relationships/chart" Target="../charts/chart5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6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Relationship Id="rId4" Type="http://schemas.openxmlformats.org/officeDocument/2006/relationships/chart" Target="../charts/chart87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Relationship Id="rId4" Type="http://schemas.openxmlformats.org/officeDocument/2006/relationships/chart" Target="../charts/chart93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1.xml"/><Relationship Id="rId13" Type="http://schemas.openxmlformats.org/officeDocument/2006/relationships/chart" Target="../charts/chart106.xml"/><Relationship Id="rId18" Type="http://schemas.openxmlformats.org/officeDocument/2006/relationships/chart" Target="../charts/chart111.xml"/><Relationship Id="rId3" Type="http://schemas.openxmlformats.org/officeDocument/2006/relationships/chart" Target="../charts/chart96.xml"/><Relationship Id="rId7" Type="http://schemas.openxmlformats.org/officeDocument/2006/relationships/chart" Target="../charts/chart100.xml"/><Relationship Id="rId12" Type="http://schemas.openxmlformats.org/officeDocument/2006/relationships/chart" Target="../charts/chart105.xml"/><Relationship Id="rId17" Type="http://schemas.openxmlformats.org/officeDocument/2006/relationships/chart" Target="../charts/chart110.xml"/><Relationship Id="rId2" Type="http://schemas.openxmlformats.org/officeDocument/2006/relationships/chart" Target="../charts/chart95.xml"/><Relationship Id="rId16" Type="http://schemas.openxmlformats.org/officeDocument/2006/relationships/chart" Target="../charts/chart109.xml"/><Relationship Id="rId20" Type="http://schemas.openxmlformats.org/officeDocument/2006/relationships/chart" Target="../charts/chart113.xml"/><Relationship Id="rId1" Type="http://schemas.openxmlformats.org/officeDocument/2006/relationships/chart" Target="../charts/chart94.xml"/><Relationship Id="rId6" Type="http://schemas.openxmlformats.org/officeDocument/2006/relationships/chart" Target="../charts/chart99.xml"/><Relationship Id="rId11" Type="http://schemas.openxmlformats.org/officeDocument/2006/relationships/chart" Target="../charts/chart104.xml"/><Relationship Id="rId5" Type="http://schemas.openxmlformats.org/officeDocument/2006/relationships/chart" Target="../charts/chart98.xml"/><Relationship Id="rId15" Type="http://schemas.openxmlformats.org/officeDocument/2006/relationships/chart" Target="../charts/chart108.xml"/><Relationship Id="rId10" Type="http://schemas.openxmlformats.org/officeDocument/2006/relationships/chart" Target="../charts/chart103.xml"/><Relationship Id="rId19" Type="http://schemas.openxmlformats.org/officeDocument/2006/relationships/chart" Target="../charts/chart112.xml"/><Relationship Id="rId4" Type="http://schemas.openxmlformats.org/officeDocument/2006/relationships/chart" Target="../charts/chart97.xml"/><Relationship Id="rId9" Type="http://schemas.openxmlformats.org/officeDocument/2006/relationships/chart" Target="../charts/chart102.xml"/><Relationship Id="rId14" Type="http://schemas.openxmlformats.org/officeDocument/2006/relationships/chart" Target="../charts/chart107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1.xml"/><Relationship Id="rId13" Type="http://schemas.openxmlformats.org/officeDocument/2006/relationships/chart" Target="../charts/chart126.xml"/><Relationship Id="rId3" Type="http://schemas.openxmlformats.org/officeDocument/2006/relationships/chart" Target="../charts/chart116.xml"/><Relationship Id="rId7" Type="http://schemas.openxmlformats.org/officeDocument/2006/relationships/chart" Target="../charts/chart120.xml"/><Relationship Id="rId12" Type="http://schemas.openxmlformats.org/officeDocument/2006/relationships/chart" Target="../charts/chart125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Relationship Id="rId6" Type="http://schemas.openxmlformats.org/officeDocument/2006/relationships/chart" Target="../charts/chart119.xml"/><Relationship Id="rId11" Type="http://schemas.openxmlformats.org/officeDocument/2006/relationships/chart" Target="../charts/chart124.xml"/><Relationship Id="rId5" Type="http://schemas.openxmlformats.org/officeDocument/2006/relationships/chart" Target="../charts/chart118.xml"/><Relationship Id="rId10" Type="http://schemas.openxmlformats.org/officeDocument/2006/relationships/chart" Target="../charts/chart123.xml"/><Relationship Id="rId4" Type="http://schemas.openxmlformats.org/officeDocument/2006/relationships/chart" Target="../charts/chart117.xml"/><Relationship Id="rId9" Type="http://schemas.openxmlformats.org/officeDocument/2006/relationships/chart" Target="../charts/chart122.xml"/><Relationship Id="rId14" Type="http://schemas.openxmlformats.org/officeDocument/2006/relationships/chart" Target="../charts/chart1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5.xml"/><Relationship Id="rId3" Type="http://schemas.openxmlformats.org/officeDocument/2006/relationships/chart" Target="../charts/chart130.xml"/><Relationship Id="rId7" Type="http://schemas.openxmlformats.org/officeDocument/2006/relationships/chart" Target="../charts/chart134.xml"/><Relationship Id="rId2" Type="http://schemas.openxmlformats.org/officeDocument/2006/relationships/chart" Target="../charts/chart129.xml"/><Relationship Id="rId1" Type="http://schemas.openxmlformats.org/officeDocument/2006/relationships/chart" Target="../charts/chart128.xml"/><Relationship Id="rId6" Type="http://schemas.openxmlformats.org/officeDocument/2006/relationships/chart" Target="../charts/chart133.xml"/><Relationship Id="rId5" Type="http://schemas.openxmlformats.org/officeDocument/2006/relationships/chart" Target="../charts/chart132.xml"/><Relationship Id="rId4" Type="http://schemas.openxmlformats.org/officeDocument/2006/relationships/chart" Target="../charts/chart13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6" Type="http://schemas.openxmlformats.org/officeDocument/2006/relationships/chart" Target="../charts/chart141.xml"/><Relationship Id="rId5" Type="http://schemas.openxmlformats.org/officeDocument/2006/relationships/chart" Target="../charts/chart140.xml"/><Relationship Id="rId4" Type="http://schemas.openxmlformats.org/officeDocument/2006/relationships/chart" Target="../charts/chart139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9.xml"/><Relationship Id="rId13" Type="http://schemas.openxmlformats.org/officeDocument/2006/relationships/chart" Target="../charts/chart154.xml"/><Relationship Id="rId18" Type="http://schemas.openxmlformats.org/officeDocument/2006/relationships/chart" Target="../charts/chart159.xml"/><Relationship Id="rId3" Type="http://schemas.openxmlformats.org/officeDocument/2006/relationships/chart" Target="../charts/chart144.xml"/><Relationship Id="rId21" Type="http://schemas.openxmlformats.org/officeDocument/2006/relationships/chart" Target="../charts/chart162.xml"/><Relationship Id="rId7" Type="http://schemas.openxmlformats.org/officeDocument/2006/relationships/chart" Target="../charts/chart148.xml"/><Relationship Id="rId12" Type="http://schemas.openxmlformats.org/officeDocument/2006/relationships/chart" Target="../charts/chart153.xml"/><Relationship Id="rId17" Type="http://schemas.openxmlformats.org/officeDocument/2006/relationships/chart" Target="../charts/chart158.xml"/><Relationship Id="rId25" Type="http://schemas.openxmlformats.org/officeDocument/2006/relationships/chart" Target="../charts/chart166.xml"/><Relationship Id="rId2" Type="http://schemas.openxmlformats.org/officeDocument/2006/relationships/chart" Target="../charts/chart143.xml"/><Relationship Id="rId16" Type="http://schemas.openxmlformats.org/officeDocument/2006/relationships/chart" Target="../charts/chart157.xml"/><Relationship Id="rId20" Type="http://schemas.openxmlformats.org/officeDocument/2006/relationships/chart" Target="../charts/chart161.xml"/><Relationship Id="rId1" Type="http://schemas.openxmlformats.org/officeDocument/2006/relationships/chart" Target="../charts/chart142.xml"/><Relationship Id="rId6" Type="http://schemas.openxmlformats.org/officeDocument/2006/relationships/chart" Target="../charts/chart147.xml"/><Relationship Id="rId11" Type="http://schemas.openxmlformats.org/officeDocument/2006/relationships/chart" Target="../charts/chart152.xml"/><Relationship Id="rId24" Type="http://schemas.openxmlformats.org/officeDocument/2006/relationships/chart" Target="../charts/chart165.xml"/><Relationship Id="rId5" Type="http://schemas.openxmlformats.org/officeDocument/2006/relationships/chart" Target="../charts/chart146.xml"/><Relationship Id="rId15" Type="http://schemas.openxmlformats.org/officeDocument/2006/relationships/chart" Target="../charts/chart156.xml"/><Relationship Id="rId23" Type="http://schemas.openxmlformats.org/officeDocument/2006/relationships/chart" Target="../charts/chart164.xml"/><Relationship Id="rId10" Type="http://schemas.openxmlformats.org/officeDocument/2006/relationships/chart" Target="../charts/chart151.xml"/><Relationship Id="rId19" Type="http://schemas.openxmlformats.org/officeDocument/2006/relationships/chart" Target="../charts/chart160.xml"/><Relationship Id="rId4" Type="http://schemas.openxmlformats.org/officeDocument/2006/relationships/chart" Target="../charts/chart145.xml"/><Relationship Id="rId9" Type="http://schemas.openxmlformats.org/officeDocument/2006/relationships/chart" Target="../charts/chart150.xml"/><Relationship Id="rId14" Type="http://schemas.openxmlformats.org/officeDocument/2006/relationships/chart" Target="../charts/chart155.xml"/><Relationship Id="rId22" Type="http://schemas.openxmlformats.org/officeDocument/2006/relationships/chart" Target="../charts/chart16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9.xml"/><Relationship Id="rId2" Type="http://schemas.openxmlformats.org/officeDocument/2006/relationships/chart" Target="../charts/chart168.xml"/><Relationship Id="rId1" Type="http://schemas.openxmlformats.org/officeDocument/2006/relationships/chart" Target="../charts/chart167.xml"/><Relationship Id="rId4" Type="http://schemas.openxmlformats.org/officeDocument/2006/relationships/chart" Target="../charts/chart170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3.xml"/><Relationship Id="rId2" Type="http://schemas.openxmlformats.org/officeDocument/2006/relationships/chart" Target="../charts/chart172.xml"/><Relationship Id="rId1" Type="http://schemas.openxmlformats.org/officeDocument/2006/relationships/chart" Target="../charts/chart171.xml"/><Relationship Id="rId6" Type="http://schemas.openxmlformats.org/officeDocument/2006/relationships/chart" Target="../charts/chart176.xml"/><Relationship Id="rId5" Type="http://schemas.openxmlformats.org/officeDocument/2006/relationships/chart" Target="../charts/chart175.xml"/><Relationship Id="rId4" Type="http://schemas.openxmlformats.org/officeDocument/2006/relationships/chart" Target="../charts/chart174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4.xml"/><Relationship Id="rId13" Type="http://schemas.openxmlformats.org/officeDocument/2006/relationships/chart" Target="../charts/chart189.xml"/><Relationship Id="rId18" Type="http://schemas.openxmlformats.org/officeDocument/2006/relationships/chart" Target="../charts/chart194.xml"/><Relationship Id="rId3" Type="http://schemas.openxmlformats.org/officeDocument/2006/relationships/chart" Target="../charts/chart179.xml"/><Relationship Id="rId21" Type="http://schemas.openxmlformats.org/officeDocument/2006/relationships/chart" Target="../charts/chart197.xml"/><Relationship Id="rId7" Type="http://schemas.openxmlformats.org/officeDocument/2006/relationships/chart" Target="../charts/chart183.xml"/><Relationship Id="rId12" Type="http://schemas.openxmlformats.org/officeDocument/2006/relationships/chart" Target="../charts/chart188.xml"/><Relationship Id="rId17" Type="http://schemas.openxmlformats.org/officeDocument/2006/relationships/chart" Target="../charts/chart193.xml"/><Relationship Id="rId2" Type="http://schemas.openxmlformats.org/officeDocument/2006/relationships/chart" Target="../charts/chart178.xml"/><Relationship Id="rId16" Type="http://schemas.openxmlformats.org/officeDocument/2006/relationships/chart" Target="../charts/chart192.xml"/><Relationship Id="rId20" Type="http://schemas.openxmlformats.org/officeDocument/2006/relationships/chart" Target="../charts/chart196.xml"/><Relationship Id="rId1" Type="http://schemas.openxmlformats.org/officeDocument/2006/relationships/chart" Target="../charts/chart177.xml"/><Relationship Id="rId6" Type="http://schemas.openxmlformats.org/officeDocument/2006/relationships/chart" Target="../charts/chart182.xml"/><Relationship Id="rId11" Type="http://schemas.openxmlformats.org/officeDocument/2006/relationships/chart" Target="../charts/chart187.xml"/><Relationship Id="rId5" Type="http://schemas.openxmlformats.org/officeDocument/2006/relationships/chart" Target="../charts/chart181.xml"/><Relationship Id="rId15" Type="http://schemas.openxmlformats.org/officeDocument/2006/relationships/chart" Target="../charts/chart191.xml"/><Relationship Id="rId10" Type="http://schemas.openxmlformats.org/officeDocument/2006/relationships/chart" Target="../charts/chart186.xml"/><Relationship Id="rId19" Type="http://schemas.openxmlformats.org/officeDocument/2006/relationships/chart" Target="../charts/chart195.xml"/><Relationship Id="rId4" Type="http://schemas.openxmlformats.org/officeDocument/2006/relationships/chart" Target="../charts/chart180.xml"/><Relationship Id="rId9" Type="http://schemas.openxmlformats.org/officeDocument/2006/relationships/chart" Target="../charts/chart185.xml"/><Relationship Id="rId14" Type="http://schemas.openxmlformats.org/officeDocument/2006/relationships/chart" Target="../charts/chart190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5.xml"/><Relationship Id="rId13" Type="http://schemas.openxmlformats.org/officeDocument/2006/relationships/chart" Target="../charts/chart210.xml"/><Relationship Id="rId3" Type="http://schemas.openxmlformats.org/officeDocument/2006/relationships/chart" Target="../charts/chart200.xml"/><Relationship Id="rId7" Type="http://schemas.openxmlformats.org/officeDocument/2006/relationships/chart" Target="../charts/chart204.xml"/><Relationship Id="rId12" Type="http://schemas.openxmlformats.org/officeDocument/2006/relationships/chart" Target="../charts/chart209.xml"/><Relationship Id="rId2" Type="http://schemas.openxmlformats.org/officeDocument/2006/relationships/chart" Target="../charts/chart199.xml"/><Relationship Id="rId1" Type="http://schemas.openxmlformats.org/officeDocument/2006/relationships/chart" Target="../charts/chart198.xml"/><Relationship Id="rId6" Type="http://schemas.openxmlformats.org/officeDocument/2006/relationships/chart" Target="../charts/chart203.xml"/><Relationship Id="rId11" Type="http://schemas.openxmlformats.org/officeDocument/2006/relationships/chart" Target="../charts/chart208.xml"/><Relationship Id="rId5" Type="http://schemas.openxmlformats.org/officeDocument/2006/relationships/chart" Target="../charts/chart202.xml"/><Relationship Id="rId10" Type="http://schemas.openxmlformats.org/officeDocument/2006/relationships/chart" Target="../charts/chart207.xml"/><Relationship Id="rId4" Type="http://schemas.openxmlformats.org/officeDocument/2006/relationships/chart" Target="../charts/chart201.xml"/><Relationship Id="rId9" Type="http://schemas.openxmlformats.org/officeDocument/2006/relationships/chart" Target="../charts/chart206.xml"/><Relationship Id="rId14" Type="http://schemas.openxmlformats.org/officeDocument/2006/relationships/chart" Target="../charts/chart211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9.xml"/><Relationship Id="rId13" Type="http://schemas.openxmlformats.org/officeDocument/2006/relationships/chart" Target="../charts/chart224.xml"/><Relationship Id="rId3" Type="http://schemas.openxmlformats.org/officeDocument/2006/relationships/chart" Target="../charts/chart214.xml"/><Relationship Id="rId7" Type="http://schemas.openxmlformats.org/officeDocument/2006/relationships/chart" Target="../charts/chart218.xml"/><Relationship Id="rId12" Type="http://schemas.openxmlformats.org/officeDocument/2006/relationships/chart" Target="../charts/chart223.xml"/><Relationship Id="rId2" Type="http://schemas.openxmlformats.org/officeDocument/2006/relationships/chart" Target="../charts/chart213.xml"/><Relationship Id="rId1" Type="http://schemas.openxmlformats.org/officeDocument/2006/relationships/chart" Target="../charts/chart212.xml"/><Relationship Id="rId6" Type="http://schemas.openxmlformats.org/officeDocument/2006/relationships/chart" Target="../charts/chart217.xml"/><Relationship Id="rId11" Type="http://schemas.openxmlformats.org/officeDocument/2006/relationships/chart" Target="../charts/chart222.xml"/><Relationship Id="rId5" Type="http://schemas.openxmlformats.org/officeDocument/2006/relationships/chart" Target="../charts/chart216.xml"/><Relationship Id="rId10" Type="http://schemas.openxmlformats.org/officeDocument/2006/relationships/chart" Target="../charts/chart221.xml"/><Relationship Id="rId4" Type="http://schemas.openxmlformats.org/officeDocument/2006/relationships/chart" Target="../charts/chart215.xml"/><Relationship Id="rId9" Type="http://schemas.openxmlformats.org/officeDocument/2006/relationships/chart" Target="../charts/chart220.xml"/><Relationship Id="rId14" Type="http://schemas.openxmlformats.org/officeDocument/2006/relationships/chart" Target="../charts/chart225.xml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38.xml"/><Relationship Id="rId18" Type="http://schemas.openxmlformats.org/officeDocument/2006/relationships/chart" Target="../charts/chart243.xml"/><Relationship Id="rId26" Type="http://schemas.openxmlformats.org/officeDocument/2006/relationships/chart" Target="../charts/chart251.xml"/><Relationship Id="rId3" Type="http://schemas.openxmlformats.org/officeDocument/2006/relationships/chart" Target="../charts/chart228.xml"/><Relationship Id="rId21" Type="http://schemas.openxmlformats.org/officeDocument/2006/relationships/chart" Target="../charts/chart246.xml"/><Relationship Id="rId34" Type="http://schemas.openxmlformats.org/officeDocument/2006/relationships/chart" Target="../charts/chart259.xml"/><Relationship Id="rId7" Type="http://schemas.openxmlformats.org/officeDocument/2006/relationships/chart" Target="../charts/chart232.xml"/><Relationship Id="rId12" Type="http://schemas.openxmlformats.org/officeDocument/2006/relationships/chart" Target="../charts/chart237.xml"/><Relationship Id="rId17" Type="http://schemas.openxmlformats.org/officeDocument/2006/relationships/chart" Target="../charts/chart242.xml"/><Relationship Id="rId25" Type="http://schemas.openxmlformats.org/officeDocument/2006/relationships/chart" Target="../charts/chart250.xml"/><Relationship Id="rId33" Type="http://schemas.openxmlformats.org/officeDocument/2006/relationships/chart" Target="../charts/chart258.xml"/><Relationship Id="rId2" Type="http://schemas.openxmlformats.org/officeDocument/2006/relationships/chart" Target="../charts/chart227.xml"/><Relationship Id="rId16" Type="http://schemas.openxmlformats.org/officeDocument/2006/relationships/chart" Target="../charts/chart241.xml"/><Relationship Id="rId20" Type="http://schemas.openxmlformats.org/officeDocument/2006/relationships/chart" Target="../charts/chart245.xml"/><Relationship Id="rId29" Type="http://schemas.openxmlformats.org/officeDocument/2006/relationships/chart" Target="../charts/chart254.xml"/><Relationship Id="rId1" Type="http://schemas.openxmlformats.org/officeDocument/2006/relationships/chart" Target="../charts/chart226.xml"/><Relationship Id="rId6" Type="http://schemas.openxmlformats.org/officeDocument/2006/relationships/chart" Target="../charts/chart231.xml"/><Relationship Id="rId11" Type="http://schemas.openxmlformats.org/officeDocument/2006/relationships/chart" Target="../charts/chart236.xml"/><Relationship Id="rId24" Type="http://schemas.openxmlformats.org/officeDocument/2006/relationships/chart" Target="../charts/chart249.xml"/><Relationship Id="rId32" Type="http://schemas.openxmlformats.org/officeDocument/2006/relationships/chart" Target="../charts/chart257.xml"/><Relationship Id="rId5" Type="http://schemas.openxmlformats.org/officeDocument/2006/relationships/chart" Target="../charts/chart230.xml"/><Relationship Id="rId15" Type="http://schemas.openxmlformats.org/officeDocument/2006/relationships/chart" Target="../charts/chart240.xml"/><Relationship Id="rId23" Type="http://schemas.openxmlformats.org/officeDocument/2006/relationships/chart" Target="../charts/chart248.xml"/><Relationship Id="rId28" Type="http://schemas.openxmlformats.org/officeDocument/2006/relationships/chart" Target="../charts/chart253.xml"/><Relationship Id="rId10" Type="http://schemas.openxmlformats.org/officeDocument/2006/relationships/chart" Target="../charts/chart235.xml"/><Relationship Id="rId19" Type="http://schemas.openxmlformats.org/officeDocument/2006/relationships/chart" Target="../charts/chart244.xml"/><Relationship Id="rId31" Type="http://schemas.openxmlformats.org/officeDocument/2006/relationships/chart" Target="../charts/chart256.xml"/><Relationship Id="rId4" Type="http://schemas.openxmlformats.org/officeDocument/2006/relationships/chart" Target="../charts/chart229.xml"/><Relationship Id="rId9" Type="http://schemas.openxmlformats.org/officeDocument/2006/relationships/chart" Target="../charts/chart234.xml"/><Relationship Id="rId14" Type="http://schemas.openxmlformats.org/officeDocument/2006/relationships/chart" Target="../charts/chart239.xml"/><Relationship Id="rId22" Type="http://schemas.openxmlformats.org/officeDocument/2006/relationships/chart" Target="../charts/chart247.xml"/><Relationship Id="rId27" Type="http://schemas.openxmlformats.org/officeDocument/2006/relationships/chart" Target="../charts/chart252.xml"/><Relationship Id="rId30" Type="http://schemas.openxmlformats.org/officeDocument/2006/relationships/chart" Target="../charts/chart255.xml"/><Relationship Id="rId8" Type="http://schemas.openxmlformats.org/officeDocument/2006/relationships/chart" Target="../charts/chart233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0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8.xml"/><Relationship Id="rId13" Type="http://schemas.openxmlformats.org/officeDocument/2006/relationships/chart" Target="../charts/chart273.xml"/><Relationship Id="rId3" Type="http://schemas.openxmlformats.org/officeDocument/2006/relationships/chart" Target="../charts/chart263.xml"/><Relationship Id="rId7" Type="http://schemas.openxmlformats.org/officeDocument/2006/relationships/chart" Target="../charts/chart267.xml"/><Relationship Id="rId12" Type="http://schemas.openxmlformats.org/officeDocument/2006/relationships/chart" Target="../charts/chart272.xml"/><Relationship Id="rId17" Type="http://schemas.openxmlformats.org/officeDocument/2006/relationships/chart" Target="../charts/chart277.xml"/><Relationship Id="rId2" Type="http://schemas.openxmlformats.org/officeDocument/2006/relationships/chart" Target="../charts/chart262.xml"/><Relationship Id="rId16" Type="http://schemas.openxmlformats.org/officeDocument/2006/relationships/chart" Target="../charts/chart276.xml"/><Relationship Id="rId1" Type="http://schemas.openxmlformats.org/officeDocument/2006/relationships/chart" Target="../charts/chart261.xml"/><Relationship Id="rId6" Type="http://schemas.openxmlformats.org/officeDocument/2006/relationships/chart" Target="../charts/chart266.xml"/><Relationship Id="rId11" Type="http://schemas.openxmlformats.org/officeDocument/2006/relationships/chart" Target="../charts/chart271.xml"/><Relationship Id="rId5" Type="http://schemas.openxmlformats.org/officeDocument/2006/relationships/chart" Target="../charts/chart265.xml"/><Relationship Id="rId15" Type="http://schemas.openxmlformats.org/officeDocument/2006/relationships/chart" Target="../charts/chart275.xml"/><Relationship Id="rId10" Type="http://schemas.openxmlformats.org/officeDocument/2006/relationships/chart" Target="../charts/chart270.xml"/><Relationship Id="rId4" Type="http://schemas.openxmlformats.org/officeDocument/2006/relationships/chart" Target="../charts/chart264.xml"/><Relationship Id="rId9" Type="http://schemas.openxmlformats.org/officeDocument/2006/relationships/chart" Target="../charts/chart269.xml"/><Relationship Id="rId14" Type="http://schemas.openxmlformats.org/officeDocument/2006/relationships/chart" Target="../charts/chart274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0.xml"/><Relationship Id="rId2" Type="http://schemas.openxmlformats.org/officeDocument/2006/relationships/chart" Target="../charts/chart279.xml"/><Relationship Id="rId1" Type="http://schemas.openxmlformats.org/officeDocument/2006/relationships/chart" Target="../charts/chart278.xml"/><Relationship Id="rId4" Type="http://schemas.openxmlformats.org/officeDocument/2006/relationships/chart" Target="../charts/chart281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9.xml"/><Relationship Id="rId13" Type="http://schemas.openxmlformats.org/officeDocument/2006/relationships/chart" Target="../charts/chart294.xml"/><Relationship Id="rId18" Type="http://schemas.openxmlformats.org/officeDocument/2006/relationships/chart" Target="../charts/chart299.xml"/><Relationship Id="rId3" Type="http://schemas.openxmlformats.org/officeDocument/2006/relationships/chart" Target="../charts/chart284.xml"/><Relationship Id="rId7" Type="http://schemas.openxmlformats.org/officeDocument/2006/relationships/chart" Target="../charts/chart288.xml"/><Relationship Id="rId12" Type="http://schemas.openxmlformats.org/officeDocument/2006/relationships/chart" Target="../charts/chart293.xml"/><Relationship Id="rId17" Type="http://schemas.openxmlformats.org/officeDocument/2006/relationships/chart" Target="../charts/chart298.xml"/><Relationship Id="rId2" Type="http://schemas.openxmlformats.org/officeDocument/2006/relationships/chart" Target="../charts/chart283.xml"/><Relationship Id="rId16" Type="http://schemas.openxmlformats.org/officeDocument/2006/relationships/chart" Target="../charts/chart297.xml"/><Relationship Id="rId20" Type="http://schemas.openxmlformats.org/officeDocument/2006/relationships/chart" Target="../charts/chart301.xml"/><Relationship Id="rId1" Type="http://schemas.openxmlformats.org/officeDocument/2006/relationships/chart" Target="../charts/chart282.xml"/><Relationship Id="rId6" Type="http://schemas.openxmlformats.org/officeDocument/2006/relationships/chart" Target="../charts/chart287.xml"/><Relationship Id="rId11" Type="http://schemas.openxmlformats.org/officeDocument/2006/relationships/chart" Target="../charts/chart292.xml"/><Relationship Id="rId5" Type="http://schemas.openxmlformats.org/officeDocument/2006/relationships/chart" Target="../charts/chart286.xml"/><Relationship Id="rId15" Type="http://schemas.openxmlformats.org/officeDocument/2006/relationships/chart" Target="../charts/chart296.xml"/><Relationship Id="rId10" Type="http://schemas.openxmlformats.org/officeDocument/2006/relationships/chart" Target="../charts/chart291.xml"/><Relationship Id="rId19" Type="http://schemas.openxmlformats.org/officeDocument/2006/relationships/chart" Target="../charts/chart300.xml"/><Relationship Id="rId4" Type="http://schemas.openxmlformats.org/officeDocument/2006/relationships/chart" Target="../charts/chart285.xml"/><Relationship Id="rId9" Type="http://schemas.openxmlformats.org/officeDocument/2006/relationships/chart" Target="../charts/chart290.xml"/><Relationship Id="rId14" Type="http://schemas.openxmlformats.org/officeDocument/2006/relationships/chart" Target="../charts/chart295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9.xml"/><Relationship Id="rId3" Type="http://schemas.openxmlformats.org/officeDocument/2006/relationships/chart" Target="../charts/chart304.xml"/><Relationship Id="rId7" Type="http://schemas.openxmlformats.org/officeDocument/2006/relationships/chart" Target="../charts/chart308.xml"/><Relationship Id="rId2" Type="http://schemas.openxmlformats.org/officeDocument/2006/relationships/chart" Target="../charts/chart303.xml"/><Relationship Id="rId1" Type="http://schemas.openxmlformats.org/officeDocument/2006/relationships/chart" Target="../charts/chart302.xml"/><Relationship Id="rId6" Type="http://schemas.openxmlformats.org/officeDocument/2006/relationships/chart" Target="../charts/chart307.xml"/><Relationship Id="rId5" Type="http://schemas.openxmlformats.org/officeDocument/2006/relationships/chart" Target="../charts/chart306.xml"/><Relationship Id="rId10" Type="http://schemas.openxmlformats.org/officeDocument/2006/relationships/chart" Target="../charts/chart311.xml"/><Relationship Id="rId4" Type="http://schemas.openxmlformats.org/officeDocument/2006/relationships/chart" Target="../charts/chart305.xml"/><Relationship Id="rId9" Type="http://schemas.openxmlformats.org/officeDocument/2006/relationships/chart" Target="../charts/chart310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9.xml"/><Relationship Id="rId13" Type="http://schemas.openxmlformats.org/officeDocument/2006/relationships/chart" Target="../charts/chart324.xml"/><Relationship Id="rId3" Type="http://schemas.openxmlformats.org/officeDocument/2006/relationships/chart" Target="../charts/chart314.xml"/><Relationship Id="rId7" Type="http://schemas.openxmlformats.org/officeDocument/2006/relationships/chart" Target="../charts/chart318.xml"/><Relationship Id="rId12" Type="http://schemas.openxmlformats.org/officeDocument/2006/relationships/chart" Target="../charts/chart323.xml"/><Relationship Id="rId2" Type="http://schemas.openxmlformats.org/officeDocument/2006/relationships/chart" Target="../charts/chart313.xml"/><Relationship Id="rId16" Type="http://schemas.openxmlformats.org/officeDocument/2006/relationships/chart" Target="../charts/chart327.xml"/><Relationship Id="rId1" Type="http://schemas.openxmlformats.org/officeDocument/2006/relationships/chart" Target="../charts/chart312.xml"/><Relationship Id="rId6" Type="http://schemas.openxmlformats.org/officeDocument/2006/relationships/chart" Target="../charts/chart317.xml"/><Relationship Id="rId11" Type="http://schemas.openxmlformats.org/officeDocument/2006/relationships/chart" Target="../charts/chart322.xml"/><Relationship Id="rId5" Type="http://schemas.openxmlformats.org/officeDocument/2006/relationships/chart" Target="../charts/chart316.xml"/><Relationship Id="rId15" Type="http://schemas.openxmlformats.org/officeDocument/2006/relationships/chart" Target="../charts/chart326.xml"/><Relationship Id="rId10" Type="http://schemas.openxmlformats.org/officeDocument/2006/relationships/chart" Target="../charts/chart321.xml"/><Relationship Id="rId4" Type="http://schemas.openxmlformats.org/officeDocument/2006/relationships/chart" Target="../charts/chart315.xml"/><Relationship Id="rId9" Type="http://schemas.openxmlformats.org/officeDocument/2006/relationships/chart" Target="../charts/chart320.xml"/><Relationship Id="rId14" Type="http://schemas.openxmlformats.org/officeDocument/2006/relationships/chart" Target="../charts/chart325.xml"/></Relationships>
</file>

<file path=xl/drawings/_rels/drawing3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40.xml"/><Relationship Id="rId18" Type="http://schemas.openxmlformats.org/officeDocument/2006/relationships/chart" Target="../charts/chart345.xml"/><Relationship Id="rId26" Type="http://schemas.openxmlformats.org/officeDocument/2006/relationships/chart" Target="../charts/chart353.xml"/><Relationship Id="rId39" Type="http://schemas.openxmlformats.org/officeDocument/2006/relationships/chart" Target="../charts/chart366.xml"/><Relationship Id="rId21" Type="http://schemas.openxmlformats.org/officeDocument/2006/relationships/chart" Target="../charts/chart348.xml"/><Relationship Id="rId34" Type="http://schemas.openxmlformats.org/officeDocument/2006/relationships/chart" Target="../charts/chart361.xml"/><Relationship Id="rId42" Type="http://schemas.openxmlformats.org/officeDocument/2006/relationships/chart" Target="../charts/chart369.xml"/><Relationship Id="rId7" Type="http://schemas.openxmlformats.org/officeDocument/2006/relationships/chart" Target="../charts/chart334.xml"/><Relationship Id="rId2" Type="http://schemas.openxmlformats.org/officeDocument/2006/relationships/chart" Target="../charts/chart329.xml"/><Relationship Id="rId16" Type="http://schemas.openxmlformats.org/officeDocument/2006/relationships/chart" Target="../charts/chart343.xml"/><Relationship Id="rId20" Type="http://schemas.openxmlformats.org/officeDocument/2006/relationships/chart" Target="../charts/chart347.xml"/><Relationship Id="rId29" Type="http://schemas.openxmlformats.org/officeDocument/2006/relationships/chart" Target="../charts/chart356.xml"/><Relationship Id="rId41" Type="http://schemas.openxmlformats.org/officeDocument/2006/relationships/chart" Target="../charts/chart368.xml"/><Relationship Id="rId1" Type="http://schemas.openxmlformats.org/officeDocument/2006/relationships/chart" Target="../charts/chart328.xml"/><Relationship Id="rId6" Type="http://schemas.openxmlformats.org/officeDocument/2006/relationships/chart" Target="../charts/chart333.xml"/><Relationship Id="rId11" Type="http://schemas.openxmlformats.org/officeDocument/2006/relationships/chart" Target="../charts/chart338.xml"/><Relationship Id="rId24" Type="http://schemas.openxmlformats.org/officeDocument/2006/relationships/chart" Target="../charts/chart351.xml"/><Relationship Id="rId32" Type="http://schemas.openxmlformats.org/officeDocument/2006/relationships/chart" Target="../charts/chart359.xml"/><Relationship Id="rId37" Type="http://schemas.openxmlformats.org/officeDocument/2006/relationships/chart" Target="../charts/chart364.xml"/><Relationship Id="rId40" Type="http://schemas.openxmlformats.org/officeDocument/2006/relationships/chart" Target="../charts/chart367.xml"/><Relationship Id="rId5" Type="http://schemas.openxmlformats.org/officeDocument/2006/relationships/chart" Target="../charts/chart332.xml"/><Relationship Id="rId15" Type="http://schemas.openxmlformats.org/officeDocument/2006/relationships/chart" Target="../charts/chart342.xml"/><Relationship Id="rId23" Type="http://schemas.openxmlformats.org/officeDocument/2006/relationships/chart" Target="../charts/chart350.xml"/><Relationship Id="rId28" Type="http://schemas.openxmlformats.org/officeDocument/2006/relationships/chart" Target="../charts/chart355.xml"/><Relationship Id="rId36" Type="http://schemas.openxmlformats.org/officeDocument/2006/relationships/chart" Target="../charts/chart363.xml"/><Relationship Id="rId10" Type="http://schemas.openxmlformats.org/officeDocument/2006/relationships/chart" Target="../charts/chart337.xml"/><Relationship Id="rId19" Type="http://schemas.openxmlformats.org/officeDocument/2006/relationships/chart" Target="../charts/chart346.xml"/><Relationship Id="rId31" Type="http://schemas.openxmlformats.org/officeDocument/2006/relationships/chart" Target="../charts/chart358.xml"/><Relationship Id="rId44" Type="http://schemas.openxmlformats.org/officeDocument/2006/relationships/chart" Target="../charts/chart371.xml"/><Relationship Id="rId4" Type="http://schemas.openxmlformats.org/officeDocument/2006/relationships/chart" Target="../charts/chart331.xml"/><Relationship Id="rId9" Type="http://schemas.openxmlformats.org/officeDocument/2006/relationships/chart" Target="../charts/chart336.xml"/><Relationship Id="rId14" Type="http://schemas.openxmlformats.org/officeDocument/2006/relationships/chart" Target="../charts/chart341.xml"/><Relationship Id="rId22" Type="http://schemas.openxmlformats.org/officeDocument/2006/relationships/chart" Target="../charts/chart349.xml"/><Relationship Id="rId27" Type="http://schemas.openxmlformats.org/officeDocument/2006/relationships/chart" Target="../charts/chart354.xml"/><Relationship Id="rId30" Type="http://schemas.openxmlformats.org/officeDocument/2006/relationships/chart" Target="../charts/chart357.xml"/><Relationship Id="rId35" Type="http://schemas.openxmlformats.org/officeDocument/2006/relationships/chart" Target="../charts/chart362.xml"/><Relationship Id="rId43" Type="http://schemas.openxmlformats.org/officeDocument/2006/relationships/chart" Target="../charts/chart370.xml"/><Relationship Id="rId8" Type="http://schemas.openxmlformats.org/officeDocument/2006/relationships/chart" Target="../charts/chart335.xml"/><Relationship Id="rId3" Type="http://schemas.openxmlformats.org/officeDocument/2006/relationships/chart" Target="../charts/chart330.xml"/><Relationship Id="rId12" Type="http://schemas.openxmlformats.org/officeDocument/2006/relationships/chart" Target="../charts/chart339.xml"/><Relationship Id="rId17" Type="http://schemas.openxmlformats.org/officeDocument/2006/relationships/chart" Target="../charts/chart344.xml"/><Relationship Id="rId25" Type="http://schemas.openxmlformats.org/officeDocument/2006/relationships/chart" Target="../charts/chart352.xml"/><Relationship Id="rId33" Type="http://schemas.openxmlformats.org/officeDocument/2006/relationships/chart" Target="../charts/chart360.xml"/><Relationship Id="rId38" Type="http://schemas.openxmlformats.org/officeDocument/2006/relationships/chart" Target="../charts/chart365.xml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9.xml"/><Relationship Id="rId3" Type="http://schemas.openxmlformats.org/officeDocument/2006/relationships/chart" Target="../charts/chart374.xml"/><Relationship Id="rId7" Type="http://schemas.openxmlformats.org/officeDocument/2006/relationships/chart" Target="../charts/chart378.xml"/><Relationship Id="rId2" Type="http://schemas.openxmlformats.org/officeDocument/2006/relationships/chart" Target="../charts/chart373.xml"/><Relationship Id="rId1" Type="http://schemas.openxmlformats.org/officeDocument/2006/relationships/chart" Target="../charts/chart372.xml"/><Relationship Id="rId6" Type="http://schemas.openxmlformats.org/officeDocument/2006/relationships/chart" Target="../charts/chart377.xml"/><Relationship Id="rId11" Type="http://schemas.openxmlformats.org/officeDocument/2006/relationships/chart" Target="../charts/chart382.xml"/><Relationship Id="rId5" Type="http://schemas.openxmlformats.org/officeDocument/2006/relationships/chart" Target="../charts/chart376.xml"/><Relationship Id="rId10" Type="http://schemas.openxmlformats.org/officeDocument/2006/relationships/chart" Target="../charts/chart381.xml"/><Relationship Id="rId4" Type="http://schemas.openxmlformats.org/officeDocument/2006/relationships/chart" Target="../charts/chart375.xml"/><Relationship Id="rId9" Type="http://schemas.openxmlformats.org/officeDocument/2006/relationships/chart" Target="../charts/chart38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3.xml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1.xml"/><Relationship Id="rId13" Type="http://schemas.openxmlformats.org/officeDocument/2006/relationships/chart" Target="../charts/chart396.xml"/><Relationship Id="rId3" Type="http://schemas.openxmlformats.org/officeDocument/2006/relationships/chart" Target="../charts/chart386.xml"/><Relationship Id="rId7" Type="http://schemas.openxmlformats.org/officeDocument/2006/relationships/chart" Target="../charts/chart390.xml"/><Relationship Id="rId12" Type="http://schemas.openxmlformats.org/officeDocument/2006/relationships/chart" Target="../charts/chart395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9.xml"/><Relationship Id="rId11" Type="http://schemas.openxmlformats.org/officeDocument/2006/relationships/chart" Target="../charts/chart394.xml"/><Relationship Id="rId5" Type="http://schemas.openxmlformats.org/officeDocument/2006/relationships/chart" Target="../charts/chart388.xml"/><Relationship Id="rId10" Type="http://schemas.openxmlformats.org/officeDocument/2006/relationships/chart" Target="../charts/chart393.xml"/><Relationship Id="rId4" Type="http://schemas.openxmlformats.org/officeDocument/2006/relationships/chart" Target="../charts/chart387.xml"/><Relationship Id="rId9" Type="http://schemas.openxmlformats.org/officeDocument/2006/relationships/chart" Target="../charts/chart39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9.xml"/><Relationship Id="rId2" Type="http://schemas.openxmlformats.org/officeDocument/2006/relationships/chart" Target="../charts/chart398.xml"/><Relationship Id="rId1" Type="http://schemas.openxmlformats.org/officeDocument/2006/relationships/chart" Target="../charts/chart397.xml"/><Relationship Id="rId6" Type="http://schemas.openxmlformats.org/officeDocument/2006/relationships/chart" Target="../charts/chart402.xml"/><Relationship Id="rId5" Type="http://schemas.openxmlformats.org/officeDocument/2006/relationships/chart" Target="../charts/chart401.xml"/><Relationship Id="rId4" Type="http://schemas.openxmlformats.org/officeDocument/2006/relationships/chart" Target="../charts/chart400.xml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0.xml"/><Relationship Id="rId13" Type="http://schemas.openxmlformats.org/officeDocument/2006/relationships/chart" Target="../charts/chart415.xml"/><Relationship Id="rId18" Type="http://schemas.openxmlformats.org/officeDocument/2006/relationships/chart" Target="../charts/chart420.xml"/><Relationship Id="rId26" Type="http://schemas.openxmlformats.org/officeDocument/2006/relationships/chart" Target="../charts/chart428.xml"/><Relationship Id="rId3" Type="http://schemas.openxmlformats.org/officeDocument/2006/relationships/chart" Target="../charts/chart405.xml"/><Relationship Id="rId21" Type="http://schemas.openxmlformats.org/officeDocument/2006/relationships/chart" Target="../charts/chart423.xml"/><Relationship Id="rId7" Type="http://schemas.openxmlformats.org/officeDocument/2006/relationships/chart" Target="../charts/chart409.xml"/><Relationship Id="rId12" Type="http://schemas.openxmlformats.org/officeDocument/2006/relationships/chart" Target="../charts/chart414.xml"/><Relationship Id="rId17" Type="http://schemas.openxmlformats.org/officeDocument/2006/relationships/chart" Target="../charts/chart419.xml"/><Relationship Id="rId25" Type="http://schemas.openxmlformats.org/officeDocument/2006/relationships/chart" Target="../charts/chart427.xml"/><Relationship Id="rId2" Type="http://schemas.openxmlformats.org/officeDocument/2006/relationships/chart" Target="../charts/chart404.xml"/><Relationship Id="rId16" Type="http://schemas.openxmlformats.org/officeDocument/2006/relationships/chart" Target="../charts/chart418.xml"/><Relationship Id="rId20" Type="http://schemas.openxmlformats.org/officeDocument/2006/relationships/chart" Target="../charts/chart422.xml"/><Relationship Id="rId1" Type="http://schemas.openxmlformats.org/officeDocument/2006/relationships/chart" Target="../charts/chart403.xml"/><Relationship Id="rId6" Type="http://schemas.openxmlformats.org/officeDocument/2006/relationships/chart" Target="../charts/chart408.xml"/><Relationship Id="rId11" Type="http://schemas.openxmlformats.org/officeDocument/2006/relationships/chart" Target="../charts/chart413.xml"/><Relationship Id="rId24" Type="http://schemas.openxmlformats.org/officeDocument/2006/relationships/chart" Target="../charts/chart426.xml"/><Relationship Id="rId5" Type="http://schemas.openxmlformats.org/officeDocument/2006/relationships/chart" Target="../charts/chart407.xml"/><Relationship Id="rId15" Type="http://schemas.openxmlformats.org/officeDocument/2006/relationships/chart" Target="../charts/chart417.xml"/><Relationship Id="rId23" Type="http://schemas.openxmlformats.org/officeDocument/2006/relationships/chart" Target="../charts/chart425.xml"/><Relationship Id="rId10" Type="http://schemas.openxmlformats.org/officeDocument/2006/relationships/chart" Target="../charts/chart412.xml"/><Relationship Id="rId19" Type="http://schemas.openxmlformats.org/officeDocument/2006/relationships/chart" Target="../charts/chart421.xml"/><Relationship Id="rId4" Type="http://schemas.openxmlformats.org/officeDocument/2006/relationships/chart" Target="../charts/chart406.xml"/><Relationship Id="rId9" Type="http://schemas.openxmlformats.org/officeDocument/2006/relationships/chart" Target="../charts/chart411.xml"/><Relationship Id="rId14" Type="http://schemas.openxmlformats.org/officeDocument/2006/relationships/chart" Target="../charts/chart416.xml"/><Relationship Id="rId22" Type="http://schemas.openxmlformats.org/officeDocument/2006/relationships/chart" Target="../charts/chart424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1.xml"/><Relationship Id="rId7" Type="http://schemas.openxmlformats.org/officeDocument/2006/relationships/chart" Target="../charts/chart435.xml"/><Relationship Id="rId2" Type="http://schemas.openxmlformats.org/officeDocument/2006/relationships/chart" Target="../charts/chart430.xml"/><Relationship Id="rId1" Type="http://schemas.openxmlformats.org/officeDocument/2006/relationships/chart" Target="../charts/chart429.xml"/><Relationship Id="rId6" Type="http://schemas.openxmlformats.org/officeDocument/2006/relationships/chart" Target="../charts/chart434.xml"/><Relationship Id="rId5" Type="http://schemas.openxmlformats.org/officeDocument/2006/relationships/chart" Target="../charts/chart433.xml"/><Relationship Id="rId4" Type="http://schemas.openxmlformats.org/officeDocument/2006/relationships/chart" Target="../charts/chart432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8.xml"/><Relationship Id="rId2" Type="http://schemas.openxmlformats.org/officeDocument/2006/relationships/chart" Target="../charts/chart437.xml"/><Relationship Id="rId1" Type="http://schemas.openxmlformats.org/officeDocument/2006/relationships/chart" Target="../charts/chart436.xml"/><Relationship Id="rId4" Type="http://schemas.openxmlformats.org/officeDocument/2006/relationships/chart" Target="../charts/chart439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7.xml"/><Relationship Id="rId13" Type="http://schemas.openxmlformats.org/officeDocument/2006/relationships/chart" Target="../charts/chart452.xml"/><Relationship Id="rId3" Type="http://schemas.openxmlformats.org/officeDocument/2006/relationships/chart" Target="../charts/chart442.xml"/><Relationship Id="rId7" Type="http://schemas.openxmlformats.org/officeDocument/2006/relationships/chart" Target="../charts/chart446.xml"/><Relationship Id="rId12" Type="http://schemas.openxmlformats.org/officeDocument/2006/relationships/chart" Target="../charts/chart451.xml"/><Relationship Id="rId2" Type="http://schemas.openxmlformats.org/officeDocument/2006/relationships/chart" Target="../charts/chart441.xml"/><Relationship Id="rId1" Type="http://schemas.openxmlformats.org/officeDocument/2006/relationships/chart" Target="../charts/chart440.xml"/><Relationship Id="rId6" Type="http://schemas.openxmlformats.org/officeDocument/2006/relationships/chart" Target="../charts/chart445.xml"/><Relationship Id="rId11" Type="http://schemas.openxmlformats.org/officeDocument/2006/relationships/chart" Target="../charts/chart450.xml"/><Relationship Id="rId5" Type="http://schemas.openxmlformats.org/officeDocument/2006/relationships/chart" Target="../charts/chart444.xml"/><Relationship Id="rId10" Type="http://schemas.openxmlformats.org/officeDocument/2006/relationships/chart" Target="../charts/chart449.xml"/><Relationship Id="rId4" Type="http://schemas.openxmlformats.org/officeDocument/2006/relationships/chart" Target="../charts/chart443.xml"/><Relationship Id="rId9" Type="http://schemas.openxmlformats.org/officeDocument/2006/relationships/chart" Target="../charts/chart448.xml"/><Relationship Id="rId14" Type="http://schemas.openxmlformats.org/officeDocument/2006/relationships/chart" Target="../charts/chart453.xml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1.xml"/><Relationship Id="rId13" Type="http://schemas.openxmlformats.org/officeDocument/2006/relationships/chart" Target="../charts/chart466.xml"/><Relationship Id="rId3" Type="http://schemas.openxmlformats.org/officeDocument/2006/relationships/chart" Target="../charts/chart456.xml"/><Relationship Id="rId7" Type="http://schemas.openxmlformats.org/officeDocument/2006/relationships/chart" Target="../charts/chart460.xml"/><Relationship Id="rId12" Type="http://schemas.openxmlformats.org/officeDocument/2006/relationships/chart" Target="../charts/chart465.xml"/><Relationship Id="rId17" Type="http://schemas.openxmlformats.org/officeDocument/2006/relationships/chart" Target="../charts/chart470.xml"/><Relationship Id="rId2" Type="http://schemas.openxmlformats.org/officeDocument/2006/relationships/chart" Target="../charts/chart455.xml"/><Relationship Id="rId16" Type="http://schemas.openxmlformats.org/officeDocument/2006/relationships/chart" Target="../charts/chart469.xml"/><Relationship Id="rId1" Type="http://schemas.openxmlformats.org/officeDocument/2006/relationships/chart" Target="../charts/chart454.xml"/><Relationship Id="rId6" Type="http://schemas.openxmlformats.org/officeDocument/2006/relationships/chart" Target="../charts/chart459.xml"/><Relationship Id="rId11" Type="http://schemas.openxmlformats.org/officeDocument/2006/relationships/chart" Target="../charts/chart464.xml"/><Relationship Id="rId5" Type="http://schemas.openxmlformats.org/officeDocument/2006/relationships/chart" Target="../charts/chart458.xml"/><Relationship Id="rId15" Type="http://schemas.openxmlformats.org/officeDocument/2006/relationships/chart" Target="../charts/chart468.xml"/><Relationship Id="rId10" Type="http://schemas.openxmlformats.org/officeDocument/2006/relationships/chart" Target="../charts/chart463.xml"/><Relationship Id="rId4" Type="http://schemas.openxmlformats.org/officeDocument/2006/relationships/chart" Target="../charts/chart457.xml"/><Relationship Id="rId9" Type="http://schemas.openxmlformats.org/officeDocument/2006/relationships/chart" Target="../charts/chart462.xml"/><Relationship Id="rId14" Type="http://schemas.openxmlformats.org/officeDocument/2006/relationships/chart" Target="../charts/chart467.xml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8.xml"/><Relationship Id="rId3" Type="http://schemas.openxmlformats.org/officeDocument/2006/relationships/chart" Target="../charts/chart473.xml"/><Relationship Id="rId7" Type="http://schemas.openxmlformats.org/officeDocument/2006/relationships/chart" Target="../charts/chart477.xml"/><Relationship Id="rId2" Type="http://schemas.openxmlformats.org/officeDocument/2006/relationships/chart" Target="../charts/chart472.xml"/><Relationship Id="rId1" Type="http://schemas.openxmlformats.org/officeDocument/2006/relationships/chart" Target="../charts/chart471.xml"/><Relationship Id="rId6" Type="http://schemas.openxmlformats.org/officeDocument/2006/relationships/chart" Target="../charts/chart476.xml"/><Relationship Id="rId5" Type="http://schemas.openxmlformats.org/officeDocument/2006/relationships/chart" Target="../charts/chart475.xml"/><Relationship Id="rId10" Type="http://schemas.openxmlformats.org/officeDocument/2006/relationships/chart" Target="../charts/chart480.xml"/><Relationship Id="rId4" Type="http://schemas.openxmlformats.org/officeDocument/2006/relationships/chart" Target="../charts/chart474.xml"/><Relationship Id="rId9" Type="http://schemas.openxmlformats.org/officeDocument/2006/relationships/chart" Target="../charts/chart479.xml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8.xml"/><Relationship Id="rId3" Type="http://schemas.openxmlformats.org/officeDocument/2006/relationships/chart" Target="../charts/chart483.xml"/><Relationship Id="rId7" Type="http://schemas.openxmlformats.org/officeDocument/2006/relationships/chart" Target="../charts/chart487.xml"/><Relationship Id="rId2" Type="http://schemas.openxmlformats.org/officeDocument/2006/relationships/chart" Target="../charts/chart482.xml"/><Relationship Id="rId1" Type="http://schemas.openxmlformats.org/officeDocument/2006/relationships/chart" Target="../charts/chart481.xml"/><Relationship Id="rId6" Type="http://schemas.openxmlformats.org/officeDocument/2006/relationships/chart" Target="../charts/chart486.xml"/><Relationship Id="rId5" Type="http://schemas.openxmlformats.org/officeDocument/2006/relationships/chart" Target="../charts/chart485.xml"/><Relationship Id="rId10" Type="http://schemas.openxmlformats.org/officeDocument/2006/relationships/chart" Target="../charts/chart490.xml"/><Relationship Id="rId4" Type="http://schemas.openxmlformats.org/officeDocument/2006/relationships/chart" Target="../charts/chart484.xml"/><Relationship Id="rId9" Type="http://schemas.openxmlformats.org/officeDocument/2006/relationships/chart" Target="../charts/chart489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3.xml"/><Relationship Id="rId2" Type="http://schemas.openxmlformats.org/officeDocument/2006/relationships/chart" Target="../charts/chart492.xml"/><Relationship Id="rId1" Type="http://schemas.openxmlformats.org/officeDocument/2006/relationships/chart" Target="../charts/chart491.xml"/><Relationship Id="rId4" Type="http://schemas.openxmlformats.org/officeDocument/2006/relationships/chart" Target="../charts/chart494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7.xml"/><Relationship Id="rId2" Type="http://schemas.openxmlformats.org/officeDocument/2006/relationships/chart" Target="../charts/chart496.xml"/><Relationship Id="rId1" Type="http://schemas.openxmlformats.org/officeDocument/2006/relationships/chart" Target="../charts/chart495.xml"/><Relationship Id="rId6" Type="http://schemas.openxmlformats.org/officeDocument/2006/relationships/chart" Target="../charts/chart500.xml"/><Relationship Id="rId5" Type="http://schemas.openxmlformats.org/officeDocument/2006/relationships/chart" Target="../charts/chart499.xml"/><Relationship Id="rId4" Type="http://schemas.openxmlformats.org/officeDocument/2006/relationships/chart" Target="../charts/chart498.xml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8.xml"/><Relationship Id="rId3" Type="http://schemas.openxmlformats.org/officeDocument/2006/relationships/chart" Target="../charts/chart503.xml"/><Relationship Id="rId7" Type="http://schemas.openxmlformats.org/officeDocument/2006/relationships/chart" Target="../charts/chart507.xml"/><Relationship Id="rId12" Type="http://schemas.openxmlformats.org/officeDocument/2006/relationships/chart" Target="../charts/chart512.xml"/><Relationship Id="rId2" Type="http://schemas.openxmlformats.org/officeDocument/2006/relationships/chart" Target="../charts/chart502.xml"/><Relationship Id="rId1" Type="http://schemas.openxmlformats.org/officeDocument/2006/relationships/chart" Target="../charts/chart501.xml"/><Relationship Id="rId6" Type="http://schemas.openxmlformats.org/officeDocument/2006/relationships/chart" Target="../charts/chart506.xml"/><Relationship Id="rId11" Type="http://schemas.openxmlformats.org/officeDocument/2006/relationships/chart" Target="../charts/chart511.xml"/><Relationship Id="rId5" Type="http://schemas.openxmlformats.org/officeDocument/2006/relationships/chart" Target="../charts/chart505.xml"/><Relationship Id="rId10" Type="http://schemas.openxmlformats.org/officeDocument/2006/relationships/chart" Target="../charts/chart510.xml"/><Relationship Id="rId4" Type="http://schemas.openxmlformats.org/officeDocument/2006/relationships/chart" Target="../charts/chart504.xml"/><Relationship Id="rId9" Type="http://schemas.openxmlformats.org/officeDocument/2006/relationships/chart" Target="../charts/chart509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5.xml"/><Relationship Id="rId2" Type="http://schemas.openxmlformats.org/officeDocument/2006/relationships/chart" Target="../charts/chart514.xml"/><Relationship Id="rId1" Type="http://schemas.openxmlformats.org/officeDocument/2006/relationships/chart" Target="../charts/chart513.xml"/><Relationship Id="rId4" Type="http://schemas.openxmlformats.org/officeDocument/2006/relationships/chart" Target="../charts/chart516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9.xml"/><Relationship Id="rId2" Type="http://schemas.openxmlformats.org/officeDocument/2006/relationships/chart" Target="../charts/chart518.xml"/><Relationship Id="rId1" Type="http://schemas.openxmlformats.org/officeDocument/2006/relationships/chart" Target="../charts/chart517.xml"/><Relationship Id="rId6" Type="http://schemas.openxmlformats.org/officeDocument/2006/relationships/chart" Target="../charts/chart522.xml"/><Relationship Id="rId5" Type="http://schemas.openxmlformats.org/officeDocument/2006/relationships/chart" Target="../charts/chart521.xml"/><Relationship Id="rId4" Type="http://schemas.openxmlformats.org/officeDocument/2006/relationships/chart" Target="../charts/chart520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3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6.xml"/><Relationship Id="rId2" Type="http://schemas.openxmlformats.org/officeDocument/2006/relationships/chart" Target="../charts/chart525.xml"/><Relationship Id="rId1" Type="http://schemas.openxmlformats.org/officeDocument/2006/relationships/chart" Target="../charts/chart524.xml"/><Relationship Id="rId4" Type="http://schemas.openxmlformats.org/officeDocument/2006/relationships/chart" Target="../charts/chart527.xml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5.xml"/><Relationship Id="rId13" Type="http://schemas.openxmlformats.org/officeDocument/2006/relationships/chart" Target="../charts/chart540.xml"/><Relationship Id="rId3" Type="http://schemas.openxmlformats.org/officeDocument/2006/relationships/chart" Target="../charts/chart530.xml"/><Relationship Id="rId7" Type="http://schemas.openxmlformats.org/officeDocument/2006/relationships/chart" Target="../charts/chart534.xml"/><Relationship Id="rId12" Type="http://schemas.openxmlformats.org/officeDocument/2006/relationships/chart" Target="../charts/chart539.xml"/><Relationship Id="rId2" Type="http://schemas.openxmlformats.org/officeDocument/2006/relationships/chart" Target="../charts/chart529.xml"/><Relationship Id="rId1" Type="http://schemas.openxmlformats.org/officeDocument/2006/relationships/chart" Target="../charts/chart528.xml"/><Relationship Id="rId6" Type="http://schemas.openxmlformats.org/officeDocument/2006/relationships/chart" Target="../charts/chart533.xml"/><Relationship Id="rId11" Type="http://schemas.openxmlformats.org/officeDocument/2006/relationships/chart" Target="../charts/chart538.xml"/><Relationship Id="rId5" Type="http://schemas.openxmlformats.org/officeDocument/2006/relationships/chart" Target="../charts/chart532.xml"/><Relationship Id="rId10" Type="http://schemas.openxmlformats.org/officeDocument/2006/relationships/chart" Target="../charts/chart537.xml"/><Relationship Id="rId4" Type="http://schemas.openxmlformats.org/officeDocument/2006/relationships/chart" Target="../charts/chart531.xml"/><Relationship Id="rId9" Type="http://schemas.openxmlformats.org/officeDocument/2006/relationships/chart" Target="../charts/chart5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59</xdr:row>
      <xdr:rowOff>50800</xdr:rowOff>
    </xdr:from>
    <xdr:to>
      <xdr:col>11</xdr:col>
      <xdr:colOff>264886</xdr:colOff>
      <xdr:row>83</xdr:row>
      <xdr:rowOff>88900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304799</xdr:colOff>
      <xdr:row>68</xdr:row>
      <xdr:rowOff>92075</xdr:rowOff>
    </xdr:from>
    <xdr:to>
      <xdr:col>19</xdr:col>
      <xdr:colOff>717549</xdr:colOff>
      <xdr:row>88</xdr:row>
      <xdr:rowOff>136525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232834</xdr:colOff>
      <xdr:row>110</xdr:row>
      <xdr:rowOff>104774</xdr:rowOff>
    </xdr:from>
    <xdr:to>
      <xdr:col>20</xdr:col>
      <xdr:colOff>515409</xdr:colOff>
      <xdr:row>131</xdr:row>
      <xdr:rowOff>85724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247650</xdr:colOff>
      <xdr:row>56</xdr:row>
      <xdr:rowOff>138111</xdr:rowOff>
    </xdr:from>
    <xdr:to>
      <xdr:col>30</xdr:col>
      <xdr:colOff>533400</xdr:colOff>
      <xdr:row>77</xdr:row>
      <xdr:rowOff>109536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238126</xdr:colOff>
      <xdr:row>78</xdr:row>
      <xdr:rowOff>119062</xdr:rowOff>
    </xdr:from>
    <xdr:to>
      <xdr:col>30</xdr:col>
      <xdr:colOff>514351</xdr:colOff>
      <xdr:row>98</xdr:row>
      <xdr:rowOff>176212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127222</xdr:colOff>
      <xdr:row>99</xdr:row>
      <xdr:rowOff>148936</xdr:rowOff>
    </xdr:from>
    <xdr:to>
      <xdr:col>30</xdr:col>
      <xdr:colOff>329518</xdr:colOff>
      <xdr:row>120</xdr:row>
      <xdr:rowOff>129886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192648</xdr:colOff>
      <xdr:row>57</xdr:row>
      <xdr:rowOff>14323</xdr:rowOff>
    </xdr:from>
    <xdr:to>
      <xdr:col>51</xdr:col>
      <xdr:colOff>306648</xdr:colOff>
      <xdr:row>71</xdr:row>
      <xdr:rowOff>90524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70184</xdr:colOff>
      <xdr:row>73</xdr:row>
      <xdr:rowOff>121031</xdr:rowOff>
    </xdr:from>
    <xdr:to>
      <xdr:col>46</xdr:col>
      <xdr:colOff>184184</xdr:colOff>
      <xdr:row>87</xdr:row>
      <xdr:rowOff>197231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126043</xdr:colOff>
      <xdr:row>73</xdr:row>
      <xdr:rowOff>95249</xdr:rowOff>
    </xdr:from>
    <xdr:to>
      <xdr:col>51</xdr:col>
      <xdr:colOff>240043</xdr:colOff>
      <xdr:row>87</xdr:row>
      <xdr:rowOff>171449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110289</xdr:colOff>
      <xdr:row>89</xdr:row>
      <xdr:rowOff>2863</xdr:rowOff>
    </xdr:from>
    <xdr:to>
      <xdr:col>46</xdr:col>
      <xdr:colOff>224289</xdr:colOff>
      <xdr:row>103</xdr:row>
      <xdr:rowOff>89090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138936</xdr:colOff>
      <xdr:row>89</xdr:row>
      <xdr:rowOff>40106</xdr:rowOff>
    </xdr:from>
    <xdr:to>
      <xdr:col>51</xdr:col>
      <xdr:colOff>252936</xdr:colOff>
      <xdr:row>103</xdr:row>
      <xdr:rowOff>116306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41</xdr:col>
      <xdr:colOff>189785</xdr:colOff>
      <xdr:row>103</xdr:row>
      <xdr:rowOff>160421</xdr:rowOff>
    </xdr:from>
    <xdr:to>
      <xdr:col>46</xdr:col>
      <xdr:colOff>303785</xdr:colOff>
      <xdr:row>118</xdr:row>
      <xdr:rowOff>36095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46</xdr:col>
      <xdr:colOff>205541</xdr:colOff>
      <xdr:row>104</xdr:row>
      <xdr:rowOff>-1</xdr:rowOff>
    </xdr:from>
    <xdr:to>
      <xdr:col>51</xdr:col>
      <xdr:colOff>319541</xdr:colOff>
      <xdr:row>118</xdr:row>
      <xdr:rowOff>76200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50800</xdr:colOff>
      <xdr:row>83</xdr:row>
      <xdr:rowOff>50800</xdr:rowOff>
    </xdr:from>
    <xdr:to>
      <xdr:col>11</xdr:col>
      <xdr:colOff>284843</xdr:colOff>
      <xdr:row>107</xdr:row>
      <xdr:rowOff>88901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0</xdr:colOff>
      <xdr:row>89</xdr:row>
      <xdr:rowOff>0</xdr:rowOff>
    </xdr:from>
    <xdr:to>
      <xdr:col>19</xdr:col>
      <xdr:colOff>412750</xdr:colOff>
      <xdr:row>109</xdr:row>
      <xdr:rowOff>44450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237066</xdr:colOff>
      <xdr:row>132</xdr:row>
      <xdr:rowOff>0</xdr:rowOff>
    </xdr:from>
    <xdr:to>
      <xdr:col>20</xdr:col>
      <xdr:colOff>519641</xdr:colOff>
      <xdr:row>152</xdr:row>
      <xdr:rowOff>167216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583164</xdr:colOff>
      <xdr:row>56</xdr:row>
      <xdr:rowOff>139960</xdr:rowOff>
    </xdr:from>
    <xdr:to>
      <xdr:col>39</xdr:col>
      <xdr:colOff>325445</xdr:colOff>
      <xdr:row>77</xdr:row>
      <xdr:rowOff>125299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598715</xdr:colOff>
      <xdr:row>78</xdr:row>
      <xdr:rowOff>7776</xdr:rowOff>
    </xdr:from>
    <xdr:to>
      <xdr:col>39</xdr:col>
      <xdr:colOff>353981</xdr:colOff>
      <xdr:row>98</xdr:row>
      <xdr:rowOff>64926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30</xdr:col>
      <xdr:colOff>692021</xdr:colOff>
      <xdr:row>99</xdr:row>
      <xdr:rowOff>31102</xdr:rowOff>
    </xdr:from>
    <xdr:to>
      <xdr:col>39</xdr:col>
      <xdr:colOff>373358</xdr:colOff>
      <xdr:row>120</xdr:row>
      <xdr:rowOff>12052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111</xdr:row>
      <xdr:rowOff>0</xdr:rowOff>
    </xdr:from>
    <xdr:to>
      <xdr:col>11</xdr:col>
      <xdr:colOff>234043</xdr:colOff>
      <xdr:row>135</xdr:row>
      <xdr:rowOff>38101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982F01D4-195D-4473-A41A-63D0D7F98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41</xdr:row>
      <xdr:rowOff>9525</xdr:rowOff>
    </xdr:from>
    <xdr:to>
      <xdr:col>18</xdr:col>
      <xdr:colOff>349800</xdr:colOff>
      <xdr:row>56</xdr:row>
      <xdr:rowOff>178075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28575</xdr:colOff>
      <xdr:row>97</xdr:row>
      <xdr:rowOff>66675</xdr:rowOff>
    </xdr:from>
    <xdr:to>
      <xdr:col>32</xdr:col>
      <xdr:colOff>473625</xdr:colOff>
      <xdr:row>113</xdr:row>
      <xdr:rowOff>54250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897163</xdr:colOff>
      <xdr:row>252</xdr:row>
      <xdr:rowOff>163285</xdr:rowOff>
    </xdr:from>
    <xdr:to>
      <xdr:col>70</xdr:col>
      <xdr:colOff>615494</xdr:colOff>
      <xdr:row>272</xdr:row>
      <xdr:rowOff>88900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72</xdr:col>
      <xdr:colOff>123264</xdr:colOff>
      <xdr:row>37</xdr:row>
      <xdr:rowOff>112060</xdr:rowOff>
    </xdr:from>
    <xdr:to>
      <xdr:col>75</xdr:col>
      <xdr:colOff>159300</xdr:colOff>
      <xdr:row>53</xdr:row>
      <xdr:rowOff>112521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361815</xdr:colOff>
      <xdr:row>10</xdr:row>
      <xdr:rowOff>129721</xdr:rowOff>
    </xdr:from>
    <xdr:to>
      <xdr:col>11</xdr:col>
      <xdr:colOff>411389</xdr:colOff>
      <xdr:row>28</xdr:row>
      <xdr:rowOff>146503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57</xdr:row>
      <xdr:rowOff>0</xdr:rowOff>
    </xdr:from>
    <xdr:to>
      <xdr:col>10</xdr:col>
      <xdr:colOff>426000</xdr:colOff>
      <xdr:row>72</xdr:row>
      <xdr:rowOff>128770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0</xdr:colOff>
      <xdr:row>38</xdr:row>
      <xdr:rowOff>0</xdr:rowOff>
    </xdr:from>
    <xdr:to>
      <xdr:col>82</xdr:col>
      <xdr:colOff>517888</xdr:colOff>
      <xdr:row>54</xdr:row>
      <xdr:rowOff>462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898072</xdr:colOff>
      <xdr:row>91</xdr:row>
      <xdr:rowOff>81643</xdr:rowOff>
    </xdr:from>
    <xdr:to>
      <xdr:col>45</xdr:col>
      <xdr:colOff>240943</xdr:colOff>
      <xdr:row>107</xdr:row>
      <xdr:rowOff>82825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42334</xdr:colOff>
      <xdr:row>24</xdr:row>
      <xdr:rowOff>60855</xdr:rowOff>
    </xdr:from>
    <xdr:to>
      <xdr:col>42</xdr:col>
      <xdr:colOff>272143</xdr:colOff>
      <xdr:row>40</xdr:row>
      <xdr:rowOff>49754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411616</xdr:colOff>
      <xdr:row>23</xdr:row>
      <xdr:rowOff>154782</xdr:rowOff>
    </xdr:from>
    <xdr:to>
      <xdr:col>54</xdr:col>
      <xdr:colOff>54429</xdr:colOff>
      <xdr:row>39</xdr:row>
      <xdr:rowOff>116466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943429</xdr:colOff>
      <xdr:row>73</xdr:row>
      <xdr:rowOff>81643</xdr:rowOff>
    </xdr:from>
    <xdr:to>
      <xdr:col>12</xdr:col>
      <xdr:colOff>194717</xdr:colOff>
      <xdr:row>91</xdr:row>
      <xdr:rowOff>71210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92ADCF4-6E91-4A54-AD41-B07CF10533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54428</xdr:colOff>
      <xdr:row>56</xdr:row>
      <xdr:rowOff>0</xdr:rowOff>
    </xdr:from>
    <xdr:to>
      <xdr:col>9</xdr:col>
      <xdr:colOff>0</xdr:colOff>
      <xdr:row>75</xdr:row>
      <xdr:rowOff>144557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54428</xdr:colOff>
      <xdr:row>35</xdr:row>
      <xdr:rowOff>0</xdr:rowOff>
    </xdr:from>
    <xdr:to>
      <xdr:col>9</xdr:col>
      <xdr:colOff>0</xdr:colOff>
      <xdr:row>54</xdr:row>
      <xdr:rowOff>133351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240127</xdr:colOff>
      <xdr:row>39</xdr:row>
      <xdr:rowOff>15526</xdr:rowOff>
    </xdr:from>
    <xdr:to>
      <xdr:col>17</xdr:col>
      <xdr:colOff>654744</xdr:colOff>
      <xdr:row>57</xdr:row>
      <xdr:rowOff>59229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675409</xdr:colOff>
      <xdr:row>131</xdr:row>
      <xdr:rowOff>-1</xdr:rowOff>
    </xdr:from>
    <xdr:to>
      <xdr:col>9</xdr:col>
      <xdr:colOff>0</xdr:colOff>
      <xdr:row>150</xdr:row>
      <xdr:rowOff>127238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675409</xdr:colOff>
      <xdr:row>109</xdr:row>
      <xdr:rowOff>173181</xdr:rowOff>
    </xdr:from>
    <xdr:to>
      <xdr:col>9</xdr:col>
      <xdr:colOff>0</xdr:colOff>
      <xdr:row>129</xdr:row>
      <xdr:rowOff>133350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99108</xdr:colOff>
      <xdr:row>114</xdr:row>
      <xdr:rowOff>15525</xdr:rowOff>
    </xdr:from>
    <xdr:to>
      <xdr:col>17</xdr:col>
      <xdr:colOff>513725</xdr:colOff>
      <xdr:row>132</xdr:row>
      <xdr:rowOff>59228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661147</xdr:colOff>
      <xdr:row>89</xdr:row>
      <xdr:rowOff>0</xdr:rowOff>
    </xdr:from>
    <xdr:to>
      <xdr:col>19</xdr:col>
      <xdr:colOff>400355</xdr:colOff>
      <xdr:row>108</xdr:row>
      <xdr:rowOff>150669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99F0721-AB7C-48D6-A568-FD6F090BA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0.24687</cdr:x>
      <cdr:y>0.35601</cdr:y>
    </cdr:from>
    <cdr:to>
      <cdr:x>0.46576</cdr:x>
      <cdr:y>0.77068</cdr:y>
    </cdr:to>
    <cdr:sp macro="" textlink="">
      <cdr:nvSpPr>
        <cdr:cNvPr id="2" name="Ellipse 1"/>
        <cdr:cNvSpPr/>
      </cdr:nvSpPr>
      <cdr:spPr>
        <a:xfrm xmlns:a="http://schemas.openxmlformats.org/drawingml/2006/main">
          <a:off x="1624053" y="1236330"/>
          <a:ext cx="1440000" cy="144000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Total:</a:t>
          </a:r>
        </a:p>
        <a:p xmlns:a="http://schemas.openxmlformats.org/drawingml/2006/main">
          <a:pPr algn="ctr"/>
          <a:r>
            <a:rPr lang="de-DE" sz="16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XXX</a:t>
          </a:r>
          <a:br>
            <a:rPr lang="de-DE" sz="16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bn €/a</a:t>
          </a:r>
          <a:endParaRPr lang="de-DE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0.24687</cdr:x>
      <cdr:y>0.35601</cdr:y>
    </cdr:from>
    <cdr:to>
      <cdr:x>0.46576</cdr:x>
      <cdr:y>0.77068</cdr:y>
    </cdr:to>
    <cdr:sp macro="" textlink="">
      <cdr:nvSpPr>
        <cdr:cNvPr id="2" name="Ellipse 1"/>
        <cdr:cNvSpPr/>
      </cdr:nvSpPr>
      <cdr:spPr>
        <a:xfrm xmlns:a="http://schemas.openxmlformats.org/drawingml/2006/main">
          <a:off x="1624053" y="1236330"/>
          <a:ext cx="1440000" cy="144000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Ges.:</a:t>
          </a:r>
        </a:p>
        <a:p xmlns:a="http://schemas.openxmlformats.org/drawingml/2006/main">
          <a:pPr algn="ctr"/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142</a:t>
          </a:r>
          <a:r>
            <a:rPr lang="de-DE" sz="16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br>
            <a:rPr lang="de-DE" sz="16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Mrd. €/a</a:t>
          </a:r>
          <a:endParaRPr lang="de-DE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54428</xdr:colOff>
      <xdr:row>56</xdr:row>
      <xdr:rowOff>0</xdr:rowOff>
    </xdr:from>
    <xdr:to>
      <xdr:col>9</xdr:col>
      <xdr:colOff>0</xdr:colOff>
      <xdr:row>75</xdr:row>
      <xdr:rowOff>144557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72B33EF-351E-4035-9400-8A392FD57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54428</xdr:colOff>
      <xdr:row>35</xdr:row>
      <xdr:rowOff>0</xdr:rowOff>
    </xdr:from>
    <xdr:to>
      <xdr:col>9</xdr:col>
      <xdr:colOff>0</xdr:colOff>
      <xdr:row>54</xdr:row>
      <xdr:rowOff>133351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4EB6255-E2EB-4564-BA8D-0BFBC7CBA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240127</xdr:colOff>
      <xdr:row>39</xdr:row>
      <xdr:rowOff>15526</xdr:rowOff>
    </xdr:from>
    <xdr:to>
      <xdr:col>17</xdr:col>
      <xdr:colOff>654744</xdr:colOff>
      <xdr:row>57</xdr:row>
      <xdr:rowOff>59229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E9AD5DB-373F-47EB-B6C6-08BEC1F43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675409</xdr:colOff>
      <xdr:row>131</xdr:row>
      <xdr:rowOff>-1</xdr:rowOff>
    </xdr:from>
    <xdr:to>
      <xdr:col>9</xdr:col>
      <xdr:colOff>0</xdr:colOff>
      <xdr:row>150</xdr:row>
      <xdr:rowOff>127238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466A3504-914A-4ADE-8D17-BC6190B3E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675409</xdr:colOff>
      <xdr:row>109</xdr:row>
      <xdr:rowOff>173181</xdr:rowOff>
    </xdr:from>
    <xdr:to>
      <xdr:col>9</xdr:col>
      <xdr:colOff>0</xdr:colOff>
      <xdr:row>129</xdr:row>
      <xdr:rowOff>133350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6FFE37D-F60A-4706-A4BD-A69DCEC20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99108</xdr:colOff>
      <xdr:row>114</xdr:row>
      <xdr:rowOff>15525</xdr:rowOff>
    </xdr:from>
    <xdr:to>
      <xdr:col>17</xdr:col>
      <xdr:colOff>513725</xdr:colOff>
      <xdr:row>132</xdr:row>
      <xdr:rowOff>59228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61F2CEC6-6F4C-43EA-BCCC-1091B4CE69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520700</xdr:colOff>
      <xdr:row>151</xdr:row>
      <xdr:rowOff>152400</xdr:rowOff>
    </xdr:from>
    <xdr:to>
      <xdr:col>18</xdr:col>
      <xdr:colOff>609600</xdr:colOff>
      <xdr:row>173</xdr:row>
      <xdr:rowOff>28575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C3ACBE26-996A-4772-A23A-38C01C75D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609600</xdr:colOff>
      <xdr:row>176</xdr:row>
      <xdr:rowOff>38100</xdr:rowOff>
    </xdr:from>
    <xdr:to>
      <xdr:col>18</xdr:col>
      <xdr:colOff>692150</xdr:colOff>
      <xdr:row>197</xdr:row>
      <xdr:rowOff>104775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0467D1F-A9F9-49ED-A96C-00B3BF6D2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419100</xdr:colOff>
      <xdr:row>198</xdr:row>
      <xdr:rowOff>31749</xdr:rowOff>
    </xdr:from>
    <xdr:to>
      <xdr:col>20</xdr:col>
      <xdr:colOff>419100</xdr:colOff>
      <xdr:row>221</xdr:row>
      <xdr:rowOff>12699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64D7212B-907D-4508-B921-3BD2C6F72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482599</xdr:colOff>
      <xdr:row>175</xdr:row>
      <xdr:rowOff>88899</xdr:rowOff>
    </xdr:from>
    <xdr:to>
      <xdr:col>28</xdr:col>
      <xdr:colOff>609599</xdr:colOff>
      <xdr:row>196</xdr:row>
      <xdr:rowOff>152400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76D0D1E-32EE-485A-AD13-317380BC4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495300</xdr:colOff>
      <xdr:row>241</xdr:row>
      <xdr:rowOff>123824</xdr:rowOff>
    </xdr:from>
    <xdr:to>
      <xdr:col>18</xdr:col>
      <xdr:colOff>723900</xdr:colOff>
      <xdr:row>267</xdr:row>
      <xdr:rowOff>95249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4583CF79-1AD0-45B7-826D-45DF24243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0.24687</cdr:x>
      <cdr:y>0.35601</cdr:y>
    </cdr:from>
    <cdr:to>
      <cdr:x>0.46576</cdr:x>
      <cdr:y>0.77068</cdr:y>
    </cdr:to>
    <cdr:sp macro="" textlink="">
      <cdr:nvSpPr>
        <cdr:cNvPr id="2" name="Ellipse 1"/>
        <cdr:cNvSpPr/>
      </cdr:nvSpPr>
      <cdr:spPr>
        <a:xfrm xmlns:a="http://schemas.openxmlformats.org/drawingml/2006/main">
          <a:off x="1624053" y="1236330"/>
          <a:ext cx="1440000" cy="144000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Total:</a:t>
          </a:r>
        </a:p>
        <a:p xmlns:a="http://schemas.openxmlformats.org/drawingml/2006/main">
          <a:pPr algn="ctr"/>
          <a:r>
            <a:rPr lang="de-DE" sz="16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XXX</a:t>
          </a:r>
          <a:br>
            <a:rPr lang="de-DE" sz="16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bn €/a</a:t>
          </a:r>
          <a:endParaRPr lang="de-DE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0.24687</cdr:x>
      <cdr:y>0.35601</cdr:y>
    </cdr:from>
    <cdr:to>
      <cdr:x>0.46576</cdr:x>
      <cdr:y>0.77068</cdr:y>
    </cdr:to>
    <cdr:sp macro="" textlink="">
      <cdr:nvSpPr>
        <cdr:cNvPr id="2" name="Ellipse 1"/>
        <cdr:cNvSpPr/>
      </cdr:nvSpPr>
      <cdr:spPr>
        <a:xfrm xmlns:a="http://schemas.openxmlformats.org/drawingml/2006/main">
          <a:off x="1624053" y="1236330"/>
          <a:ext cx="1440000" cy="144000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Ges.:</a:t>
          </a:r>
        </a:p>
        <a:p xmlns:a="http://schemas.openxmlformats.org/drawingml/2006/main">
          <a:pPr algn="ctr"/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142</a:t>
          </a:r>
          <a:r>
            <a:rPr lang="de-DE" sz="16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br>
            <a:rPr lang="de-DE" sz="16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de-DE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Mrd. €/a</a:t>
          </a:r>
          <a:endParaRPr lang="de-DE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694764</xdr:colOff>
      <xdr:row>30</xdr:row>
      <xdr:rowOff>121582</xdr:rowOff>
    </xdr:from>
    <xdr:to>
      <xdr:col>44</xdr:col>
      <xdr:colOff>266139</xdr:colOff>
      <xdr:row>49</xdr:row>
      <xdr:rowOff>104213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0</xdr:colOff>
      <xdr:row>1</xdr:row>
      <xdr:rowOff>3174</xdr:rowOff>
    </xdr:from>
    <xdr:to>
      <xdr:col>45</xdr:col>
      <xdr:colOff>108857</xdr:colOff>
      <xdr:row>20</xdr:row>
      <xdr:rowOff>190499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22412</xdr:colOff>
      <xdr:row>55</xdr:row>
      <xdr:rowOff>183776</xdr:rowOff>
    </xdr:from>
    <xdr:to>
      <xdr:col>44</xdr:col>
      <xdr:colOff>355787</xdr:colOff>
      <xdr:row>74</xdr:row>
      <xdr:rowOff>110378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9525</xdr:colOff>
      <xdr:row>75</xdr:row>
      <xdr:rowOff>127747</xdr:rowOff>
    </xdr:from>
    <xdr:to>
      <xdr:col>45</xdr:col>
      <xdr:colOff>57150</xdr:colOff>
      <xdr:row>94</xdr:row>
      <xdr:rowOff>142314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721180</xdr:colOff>
      <xdr:row>95</xdr:row>
      <xdr:rowOff>54429</xdr:rowOff>
    </xdr:from>
    <xdr:to>
      <xdr:col>45</xdr:col>
      <xdr:colOff>46905</xdr:colOff>
      <xdr:row>116</xdr:row>
      <xdr:rowOff>68034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0</xdr:colOff>
      <xdr:row>1</xdr:row>
      <xdr:rowOff>0</xdr:rowOff>
    </xdr:from>
    <xdr:to>
      <xdr:col>54</xdr:col>
      <xdr:colOff>361950</xdr:colOff>
      <xdr:row>20</xdr:row>
      <xdr:rowOff>178734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0</xdr:colOff>
      <xdr:row>30</xdr:row>
      <xdr:rowOff>44824</xdr:rowOff>
    </xdr:from>
    <xdr:to>
      <xdr:col>54</xdr:col>
      <xdr:colOff>360269</xdr:colOff>
      <xdr:row>49</xdr:row>
      <xdr:rowOff>27455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0</xdr:colOff>
      <xdr:row>56</xdr:row>
      <xdr:rowOff>0</xdr:rowOff>
    </xdr:from>
    <xdr:to>
      <xdr:col>54</xdr:col>
      <xdr:colOff>333375</xdr:colOff>
      <xdr:row>74</xdr:row>
      <xdr:rowOff>105896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251013</xdr:colOff>
      <xdr:row>75</xdr:row>
      <xdr:rowOff>107576</xdr:rowOff>
    </xdr:from>
    <xdr:to>
      <xdr:col>55</xdr:col>
      <xdr:colOff>298637</xdr:colOff>
      <xdr:row>94</xdr:row>
      <xdr:rowOff>122143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9071</xdr:colOff>
      <xdr:row>97</xdr:row>
      <xdr:rowOff>103413</xdr:rowOff>
    </xdr:from>
    <xdr:to>
      <xdr:col>56</xdr:col>
      <xdr:colOff>337911</xdr:colOff>
      <xdr:row>117</xdr:row>
      <xdr:rowOff>172357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312964</xdr:colOff>
      <xdr:row>114</xdr:row>
      <xdr:rowOff>95250</xdr:rowOff>
    </xdr:from>
    <xdr:to>
      <xdr:col>35</xdr:col>
      <xdr:colOff>47625</xdr:colOff>
      <xdr:row>138</xdr:row>
      <xdr:rowOff>164059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35AAED7C-C7E9-484D-819E-4A8D1467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145</xdr:row>
      <xdr:rowOff>0</xdr:rowOff>
    </xdr:from>
    <xdr:to>
      <xdr:col>35</xdr:col>
      <xdr:colOff>532947</xdr:colOff>
      <xdr:row>169</xdr:row>
      <xdr:rowOff>77880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CBE80A31-533D-4855-A0DA-4E26320AD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17</xdr:col>
      <xdr:colOff>333375</xdr:colOff>
      <xdr:row>10</xdr:row>
      <xdr:rowOff>100013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11</xdr:row>
      <xdr:rowOff>0</xdr:rowOff>
    </xdr:from>
    <xdr:to>
      <xdr:col>17</xdr:col>
      <xdr:colOff>333375</xdr:colOff>
      <xdr:row>21</xdr:row>
      <xdr:rowOff>100013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22</xdr:row>
      <xdr:rowOff>0</xdr:rowOff>
    </xdr:from>
    <xdr:to>
      <xdr:col>17</xdr:col>
      <xdr:colOff>333375</xdr:colOff>
      <xdr:row>32</xdr:row>
      <xdr:rowOff>100013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333375</xdr:colOff>
      <xdr:row>45</xdr:row>
      <xdr:rowOff>47625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17</xdr:col>
      <xdr:colOff>333375</xdr:colOff>
      <xdr:row>66</xdr:row>
      <xdr:rowOff>76200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0.25191</cdr:x>
      <cdr:y>0.13341</cdr:y>
    </cdr:from>
    <cdr:to>
      <cdr:x>0.77314</cdr:x>
      <cdr:y>0.28035</cdr:y>
    </cdr:to>
    <cdr:sp macro="" textlink="">
      <cdr:nvSpPr>
        <cdr:cNvPr id="2" name="Textfeld 1"/>
        <cdr:cNvSpPr txBox="1"/>
      </cdr:nvSpPr>
      <cdr:spPr>
        <a:xfrm xmlns:a="http://schemas.openxmlformats.org/drawingml/2006/main" rot="21000050">
          <a:off x="1427655" y="311336"/>
          <a:ext cx="2954023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1600" b="1">
              <a:solidFill>
                <a:schemeClr val="accent1"/>
              </a:solidFill>
              <a:latin typeface="Arial" panose="020B0604020202020204" pitchFamily="34" charset="0"/>
              <a:cs typeface="Arial" panose="020B0604020202020204" pitchFamily="34" charset="0"/>
            </a:rPr>
            <a:t>Gross value added (industry)</a:t>
          </a:r>
        </a:p>
      </cdr:txBody>
    </cdr:sp>
  </cdr:relSizeAnchor>
  <cdr:relSizeAnchor xmlns:cdr="http://schemas.openxmlformats.org/drawingml/2006/chartDrawing">
    <cdr:from>
      <cdr:x>0.58729</cdr:x>
      <cdr:y>0.21774</cdr:y>
    </cdr:from>
    <cdr:to>
      <cdr:x>0.80852</cdr:x>
      <cdr:y>0.36468</cdr:y>
    </cdr:to>
    <cdr:sp macro="" textlink="">
      <cdr:nvSpPr>
        <cdr:cNvPr id="3" name="Textfeld 1"/>
        <cdr:cNvSpPr txBox="1"/>
      </cdr:nvSpPr>
      <cdr:spPr>
        <a:xfrm xmlns:a="http://schemas.openxmlformats.org/drawingml/2006/main" rot="21372574">
          <a:off x="3328418" y="508128"/>
          <a:ext cx="1253769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600" b="1">
              <a:solidFill>
                <a:schemeClr val="accent5"/>
              </a:solidFill>
              <a:latin typeface="Arial" panose="020B0604020202020204" pitchFamily="34" charset="0"/>
              <a:cs typeface="Arial" panose="020B0604020202020204" pitchFamily="34" charset="0"/>
            </a:rPr>
            <a:t>El. demand</a:t>
          </a:r>
        </a:p>
      </cdr:txBody>
    </cdr:sp>
  </cdr:relSizeAnchor>
  <cdr:relSizeAnchor xmlns:cdr="http://schemas.openxmlformats.org/drawingml/2006/chartDrawing">
    <cdr:from>
      <cdr:x>0.40728</cdr:x>
      <cdr:y>0.4381</cdr:y>
    </cdr:from>
    <cdr:to>
      <cdr:x>0.81681</cdr:x>
      <cdr:y>0.58503</cdr:y>
    </cdr:to>
    <cdr:sp macro="" textlink="">
      <cdr:nvSpPr>
        <cdr:cNvPr id="4" name="Textfeld 1"/>
        <cdr:cNvSpPr txBox="1"/>
      </cdr:nvSpPr>
      <cdr:spPr>
        <a:xfrm xmlns:a="http://schemas.openxmlformats.org/drawingml/2006/main">
          <a:off x="2308226" y="1022350"/>
          <a:ext cx="2320924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600" b="1">
              <a:solidFill>
                <a:srgbClr val="C00000"/>
              </a:solidFill>
              <a:latin typeface="Arial" panose="020B0604020202020204" pitchFamily="34" charset="0"/>
              <a:cs typeface="Arial" panose="020B0604020202020204" pitchFamily="34" charset="0"/>
            </a:rPr>
            <a:t>Process</a:t>
          </a:r>
          <a:r>
            <a:rPr lang="de-DE" sz="1600" b="1" baseline="0">
              <a:solidFill>
                <a:srgbClr val="C00000"/>
              </a:solidFill>
              <a:latin typeface="Arial" panose="020B0604020202020204" pitchFamily="34" charset="0"/>
              <a:cs typeface="Arial" panose="020B0604020202020204" pitchFamily="34" charset="0"/>
            </a:rPr>
            <a:t> heat d</a:t>
          </a:r>
          <a:r>
            <a:rPr lang="de-DE" sz="1600" b="1">
              <a:solidFill>
                <a:srgbClr val="C00000"/>
              </a:solidFill>
              <a:latin typeface="Arial" panose="020B0604020202020204" pitchFamily="34" charset="0"/>
              <a:cs typeface="Arial" panose="020B0604020202020204" pitchFamily="34" charset="0"/>
            </a:rPr>
            <a:t>emand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240196</xdr:colOff>
      <xdr:row>17</xdr:row>
      <xdr:rowOff>16566</xdr:rowOff>
    </xdr:from>
    <xdr:to>
      <xdr:col>4</xdr:col>
      <xdr:colOff>210653</xdr:colOff>
      <xdr:row>39</xdr:row>
      <xdr:rowOff>119529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604631</xdr:colOff>
      <xdr:row>17</xdr:row>
      <xdr:rowOff>49696</xdr:rowOff>
    </xdr:from>
    <xdr:to>
      <xdr:col>12</xdr:col>
      <xdr:colOff>0</xdr:colOff>
      <xdr:row>40</xdr:row>
      <xdr:rowOff>7471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106137</xdr:colOff>
      <xdr:row>21</xdr:row>
      <xdr:rowOff>78921</xdr:rowOff>
    </xdr:from>
    <xdr:to>
      <xdr:col>13</xdr:col>
      <xdr:colOff>748393</xdr:colOff>
      <xdr:row>43</xdr:row>
      <xdr:rowOff>97971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136700</xdr:colOff>
      <xdr:row>74</xdr:row>
      <xdr:rowOff>182438</xdr:rowOff>
    </xdr:from>
    <xdr:to>
      <xdr:col>12</xdr:col>
      <xdr:colOff>68037</xdr:colOff>
      <xdr:row>97</xdr:row>
      <xdr:rowOff>54428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66675</xdr:colOff>
      <xdr:row>98</xdr:row>
      <xdr:rowOff>97969</xdr:rowOff>
    </xdr:from>
    <xdr:to>
      <xdr:col>11</xdr:col>
      <xdr:colOff>721178</xdr:colOff>
      <xdr:row>126</xdr:row>
      <xdr:rowOff>27214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85</xdr:row>
      <xdr:rowOff>117928</xdr:rowOff>
    </xdr:from>
    <xdr:to>
      <xdr:col>22</xdr:col>
      <xdr:colOff>438150</xdr:colOff>
      <xdr:row>107</xdr:row>
      <xdr:rowOff>136978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674914</xdr:colOff>
      <xdr:row>112</xdr:row>
      <xdr:rowOff>70757</xdr:rowOff>
    </xdr:from>
    <xdr:to>
      <xdr:col>20</xdr:col>
      <xdr:colOff>564696</xdr:colOff>
      <xdr:row>134</xdr:row>
      <xdr:rowOff>166711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721179</xdr:colOff>
      <xdr:row>112</xdr:row>
      <xdr:rowOff>176892</xdr:rowOff>
    </xdr:from>
    <xdr:to>
      <xdr:col>30</xdr:col>
      <xdr:colOff>121104</xdr:colOff>
      <xdr:row>135</xdr:row>
      <xdr:rowOff>62592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680357</xdr:colOff>
      <xdr:row>45</xdr:row>
      <xdr:rowOff>27215</xdr:rowOff>
    </xdr:from>
    <xdr:to>
      <xdr:col>13</xdr:col>
      <xdr:colOff>560613</xdr:colOff>
      <xdr:row>67</xdr:row>
      <xdr:rowOff>46265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320823</xdr:colOff>
      <xdr:row>68</xdr:row>
      <xdr:rowOff>147470</xdr:rowOff>
    </xdr:from>
    <xdr:to>
      <xdr:col>19</xdr:col>
      <xdr:colOff>301774</xdr:colOff>
      <xdr:row>88</xdr:row>
      <xdr:rowOff>141531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231154</xdr:colOff>
      <xdr:row>39</xdr:row>
      <xdr:rowOff>11989</xdr:rowOff>
    </xdr:from>
    <xdr:to>
      <xdr:col>28</xdr:col>
      <xdr:colOff>690570</xdr:colOff>
      <xdr:row>58</xdr:row>
      <xdr:rowOff>196550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23</xdr:row>
      <xdr:rowOff>19049</xdr:rowOff>
    </xdr:from>
    <xdr:to>
      <xdr:col>10</xdr:col>
      <xdr:colOff>733424</xdr:colOff>
      <xdr:row>46</xdr:row>
      <xdr:rowOff>117929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28575</xdr:colOff>
      <xdr:row>45</xdr:row>
      <xdr:rowOff>180974</xdr:rowOff>
    </xdr:from>
    <xdr:to>
      <xdr:col>10</xdr:col>
      <xdr:colOff>714375</xdr:colOff>
      <xdr:row>67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66674</xdr:colOff>
      <xdr:row>67</xdr:row>
      <xdr:rowOff>190499</xdr:rowOff>
    </xdr:from>
    <xdr:to>
      <xdr:col>10</xdr:col>
      <xdr:colOff>704849</xdr:colOff>
      <xdr:row>90</xdr:row>
      <xdr:rowOff>47624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22</xdr:row>
      <xdr:rowOff>0</xdr:rowOff>
    </xdr:from>
    <xdr:to>
      <xdr:col>34</xdr:col>
      <xdr:colOff>409575</xdr:colOff>
      <xdr:row>44</xdr:row>
      <xdr:rowOff>95251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34</xdr:col>
      <xdr:colOff>381000</xdr:colOff>
      <xdr:row>66</xdr:row>
      <xdr:rowOff>104775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67</xdr:row>
      <xdr:rowOff>0</xdr:rowOff>
    </xdr:from>
    <xdr:to>
      <xdr:col>34</xdr:col>
      <xdr:colOff>333375</xdr:colOff>
      <xdr:row>89</xdr:row>
      <xdr:rowOff>55245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609599</xdr:colOff>
      <xdr:row>71</xdr:row>
      <xdr:rowOff>19050</xdr:rowOff>
    </xdr:from>
    <xdr:to>
      <xdr:col>10</xdr:col>
      <xdr:colOff>734786</xdr:colOff>
      <xdr:row>92</xdr:row>
      <xdr:rowOff>123826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443593</xdr:colOff>
      <xdr:row>72</xdr:row>
      <xdr:rowOff>141514</xdr:rowOff>
    </xdr:from>
    <xdr:to>
      <xdr:col>20</xdr:col>
      <xdr:colOff>557892</xdr:colOff>
      <xdr:row>93</xdr:row>
      <xdr:rowOff>81644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17</xdr:row>
      <xdr:rowOff>0</xdr:rowOff>
    </xdr:from>
    <xdr:to>
      <xdr:col>30</xdr:col>
      <xdr:colOff>278251</xdr:colOff>
      <xdr:row>38</xdr:row>
      <xdr:rowOff>120989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40</xdr:row>
      <xdr:rowOff>0</xdr:rowOff>
    </xdr:from>
    <xdr:to>
      <xdr:col>29</xdr:col>
      <xdr:colOff>511715</xdr:colOff>
      <xdr:row>61</xdr:row>
      <xdr:rowOff>171652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28</xdr:row>
      <xdr:rowOff>180974</xdr:rowOff>
    </xdr:from>
    <xdr:to>
      <xdr:col>9</xdr:col>
      <xdr:colOff>0</xdr:colOff>
      <xdr:row>50</xdr:row>
      <xdr:rowOff>152399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37</xdr:row>
      <xdr:rowOff>161925</xdr:rowOff>
    </xdr:from>
    <xdr:to>
      <xdr:col>19</xdr:col>
      <xdr:colOff>657225</xdr:colOff>
      <xdr:row>59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27</xdr:row>
      <xdr:rowOff>180974</xdr:rowOff>
    </xdr:from>
    <xdr:to>
      <xdr:col>9</xdr:col>
      <xdr:colOff>0</xdr:colOff>
      <xdr:row>49</xdr:row>
      <xdr:rowOff>152399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32</xdr:row>
      <xdr:rowOff>161925</xdr:rowOff>
    </xdr:from>
    <xdr:to>
      <xdr:col>19</xdr:col>
      <xdr:colOff>657225</xdr:colOff>
      <xdr:row>54</xdr:row>
      <xdr:rowOff>47625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575094</xdr:colOff>
      <xdr:row>50</xdr:row>
      <xdr:rowOff>100642</xdr:rowOff>
    </xdr:from>
    <xdr:to>
      <xdr:col>9</xdr:col>
      <xdr:colOff>0</xdr:colOff>
      <xdr:row>72</xdr:row>
      <xdr:rowOff>72067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273170</xdr:colOff>
      <xdr:row>54</xdr:row>
      <xdr:rowOff>172529</xdr:rowOff>
    </xdr:from>
    <xdr:to>
      <xdr:col>19</xdr:col>
      <xdr:colOff>663695</xdr:colOff>
      <xdr:row>76</xdr:row>
      <xdr:rowOff>58228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16</xdr:row>
      <xdr:rowOff>0</xdr:rowOff>
    </xdr:from>
    <xdr:to>
      <xdr:col>22</xdr:col>
      <xdr:colOff>506825</xdr:colOff>
      <xdr:row>31</xdr:row>
      <xdr:rowOff>162200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16</xdr:row>
      <xdr:rowOff>0</xdr:rowOff>
    </xdr:from>
    <xdr:to>
      <xdr:col>29</xdr:col>
      <xdr:colOff>149775</xdr:colOff>
      <xdr:row>31</xdr:row>
      <xdr:rowOff>168550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16</xdr:row>
      <xdr:rowOff>0</xdr:rowOff>
    </xdr:from>
    <xdr:to>
      <xdr:col>35</xdr:col>
      <xdr:colOff>0</xdr:colOff>
      <xdr:row>31</xdr:row>
      <xdr:rowOff>159025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16</xdr:row>
      <xdr:rowOff>0</xdr:rowOff>
    </xdr:from>
    <xdr:to>
      <xdr:col>41</xdr:col>
      <xdr:colOff>152950</xdr:colOff>
      <xdr:row>31</xdr:row>
      <xdr:rowOff>171725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0</xdr:colOff>
      <xdr:row>16</xdr:row>
      <xdr:rowOff>0</xdr:rowOff>
    </xdr:from>
    <xdr:to>
      <xdr:col>47</xdr:col>
      <xdr:colOff>0</xdr:colOff>
      <xdr:row>31</xdr:row>
      <xdr:rowOff>162200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0</xdr:colOff>
      <xdr:row>11</xdr:row>
      <xdr:rowOff>0</xdr:rowOff>
    </xdr:from>
    <xdr:to>
      <xdr:col>54</xdr:col>
      <xdr:colOff>149775</xdr:colOff>
      <xdr:row>26</xdr:row>
      <xdr:rowOff>168550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0</xdr:colOff>
      <xdr:row>16</xdr:row>
      <xdr:rowOff>0</xdr:rowOff>
    </xdr:from>
    <xdr:to>
      <xdr:col>15</xdr:col>
      <xdr:colOff>597450</xdr:colOff>
      <xdr:row>31</xdr:row>
      <xdr:rowOff>168550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0</xdr:colOff>
      <xdr:row>11</xdr:row>
      <xdr:rowOff>0</xdr:rowOff>
    </xdr:from>
    <xdr:to>
      <xdr:col>59</xdr:col>
      <xdr:colOff>830675</xdr:colOff>
      <xdr:row>26</xdr:row>
      <xdr:rowOff>162200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</xdr:row>
      <xdr:rowOff>0</xdr:rowOff>
    </xdr:from>
    <xdr:to>
      <xdr:col>7</xdr:col>
      <xdr:colOff>130725</xdr:colOff>
      <xdr:row>28</xdr:row>
      <xdr:rowOff>168550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171450</xdr:colOff>
      <xdr:row>13</xdr:row>
      <xdr:rowOff>0</xdr:rowOff>
    </xdr:from>
    <xdr:to>
      <xdr:col>11</xdr:col>
      <xdr:colOff>678275</xdr:colOff>
      <xdr:row>28</xdr:row>
      <xdr:rowOff>162200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130725</xdr:colOff>
      <xdr:row>47</xdr:row>
      <xdr:rowOff>168551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32</xdr:row>
      <xdr:rowOff>0</xdr:rowOff>
    </xdr:from>
    <xdr:to>
      <xdr:col>11</xdr:col>
      <xdr:colOff>506825</xdr:colOff>
      <xdr:row>47</xdr:row>
      <xdr:rowOff>162201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0</xdr:colOff>
      <xdr:row>34</xdr:row>
      <xdr:rowOff>0</xdr:rowOff>
    </xdr:from>
    <xdr:to>
      <xdr:col>15</xdr:col>
      <xdr:colOff>597450</xdr:colOff>
      <xdr:row>49</xdr:row>
      <xdr:rowOff>168550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0</xdr:colOff>
      <xdr:row>34</xdr:row>
      <xdr:rowOff>0</xdr:rowOff>
    </xdr:from>
    <xdr:to>
      <xdr:col>22</xdr:col>
      <xdr:colOff>506825</xdr:colOff>
      <xdr:row>49</xdr:row>
      <xdr:rowOff>162200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29</xdr:col>
      <xdr:colOff>149775</xdr:colOff>
      <xdr:row>49</xdr:row>
      <xdr:rowOff>168550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30</xdr:col>
      <xdr:colOff>0</xdr:colOff>
      <xdr:row>34</xdr:row>
      <xdr:rowOff>0</xdr:rowOff>
    </xdr:from>
    <xdr:to>
      <xdr:col>35</xdr:col>
      <xdr:colOff>0</xdr:colOff>
      <xdr:row>49</xdr:row>
      <xdr:rowOff>159025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0</xdr:colOff>
      <xdr:row>34</xdr:row>
      <xdr:rowOff>0</xdr:rowOff>
    </xdr:from>
    <xdr:to>
      <xdr:col>41</xdr:col>
      <xdr:colOff>152950</xdr:colOff>
      <xdr:row>49</xdr:row>
      <xdr:rowOff>171725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42</xdr:col>
      <xdr:colOff>0</xdr:colOff>
      <xdr:row>34</xdr:row>
      <xdr:rowOff>0</xdr:rowOff>
    </xdr:from>
    <xdr:to>
      <xdr:col>47</xdr:col>
      <xdr:colOff>0</xdr:colOff>
      <xdr:row>49</xdr:row>
      <xdr:rowOff>162200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0</xdr:colOff>
      <xdr:row>34</xdr:row>
      <xdr:rowOff>0</xdr:rowOff>
    </xdr:from>
    <xdr:to>
      <xdr:col>54</xdr:col>
      <xdr:colOff>149775</xdr:colOff>
      <xdr:row>49</xdr:row>
      <xdr:rowOff>168550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55</xdr:col>
      <xdr:colOff>0</xdr:colOff>
      <xdr:row>34</xdr:row>
      <xdr:rowOff>0</xdr:rowOff>
    </xdr:from>
    <xdr:to>
      <xdr:col>59</xdr:col>
      <xdr:colOff>830675</xdr:colOff>
      <xdr:row>49</xdr:row>
      <xdr:rowOff>162200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12</xdr:row>
      <xdr:rowOff>0</xdr:rowOff>
    </xdr:from>
    <xdr:to>
      <xdr:col>10</xdr:col>
      <xdr:colOff>506825</xdr:colOff>
      <xdr:row>27</xdr:row>
      <xdr:rowOff>162200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12</xdr:row>
      <xdr:rowOff>0</xdr:rowOff>
    </xdr:from>
    <xdr:to>
      <xdr:col>17</xdr:col>
      <xdr:colOff>149775</xdr:colOff>
      <xdr:row>27</xdr:row>
      <xdr:rowOff>168550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12</xdr:row>
      <xdr:rowOff>0</xdr:rowOff>
    </xdr:from>
    <xdr:to>
      <xdr:col>23</xdr:col>
      <xdr:colOff>0</xdr:colOff>
      <xdr:row>27</xdr:row>
      <xdr:rowOff>159025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0</xdr:rowOff>
    </xdr:from>
    <xdr:to>
      <xdr:col>29</xdr:col>
      <xdr:colOff>152950</xdr:colOff>
      <xdr:row>27</xdr:row>
      <xdr:rowOff>171725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12</xdr:row>
      <xdr:rowOff>0</xdr:rowOff>
    </xdr:from>
    <xdr:to>
      <xdr:col>35</xdr:col>
      <xdr:colOff>0</xdr:colOff>
      <xdr:row>27</xdr:row>
      <xdr:rowOff>162200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12</xdr:row>
      <xdr:rowOff>0</xdr:rowOff>
    </xdr:from>
    <xdr:to>
      <xdr:col>41</xdr:col>
      <xdr:colOff>149775</xdr:colOff>
      <xdr:row>27</xdr:row>
      <xdr:rowOff>168550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597450</xdr:colOff>
      <xdr:row>27</xdr:row>
      <xdr:rowOff>168550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12</xdr:row>
      <xdr:rowOff>0</xdr:rowOff>
    </xdr:from>
    <xdr:to>
      <xdr:col>46</xdr:col>
      <xdr:colOff>830675</xdr:colOff>
      <xdr:row>27</xdr:row>
      <xdr:rowOff>162200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0</xdr:colOff>
      <xdr:row>12</xdr:row>
      <xdr:rowOff>0</xdr:rowOff>
    </xdr:from>
    <xdr:to>
      <xdr:col>54</xdr:col>
      <xdr:colOff>540300</xdr:colOff>
      <xdr:row>27</xdr:row>
      <xdr:rowOff>168550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61</xdr:col>
      <xdr:colOff>0</xdr:colOff>
      <xdr:row>12</xdr:row>
      <xdr:rowOff>0</xdr:rowOff>
    </xdr:from>
    <xdr:to>
      <xdr:col>66</xdr:col>
      <xdr:colOff>540300</xdr:colOff>
      <xdr:row>27</xdr:row>
      <xdr:rowOff>168550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409575</xdr:colOff>
      <xdr:row>12</xdr:row>
      <xdr:rowOff>0</xdr:rowOff>
    </xdr:from>
    <xdr:to>
      <xdr:col>72</xdr:col>
      <xdr:colOff>154400</xdr:colOff>
      <xdr:row>27</xdr:row>
      <xdr:rowOff>162200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73</xdr:col>
      <xdr:colOff>0</xdr:colOff>
      <xdr:row>12</xdr:row>
      <xdr:rowOff>0</xdr:rowOff>
    </xdr:from>
    <xdr:to>
      <xdr:col>78</xdr:col>
      <xdr:colOff>540300</xdr:colOff>
      <xdr:row>27</xdr:row>
      <xdr:rowOff>168550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79</xdr:col>
      <xdr:colOff>409575</xdr:colOff>
      <xdr:row>12</xdr:row>
      <xdr:rowOff>0</xdr:rowOff>
    </xdr:from>
    <xdr:to>
      <xdr:col>84</xdr:col>
      <xdr:colOff>154400</xdr:colOff>
      <xdr:row>27</xdr:row>
      <xdr:rowOff>162200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0</xdr:colOff>
      <xdr:row>12</xdr:row>
      <xdr:rowOff>0</xdr:rowOff>
    </xdr:from>
    <xdr:to>
      <xdr:col>59</xdr:col>
      <xdr:colOff>506825</xdr:colOff>
      <xdr:row>27</xdr:row>
      <xdr:rowOff>162200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19050</xdr:rowOff>
    </xdr:from>
    <xdr:to>
      <xdr:col>5</xdr:col>
      <xdr:colOff>445050</xdr:colOff>
      <xdr:row>29</xdr:row>
      <xdr:rowOff>41550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80BC455-F4E4-4AB4-8095-1037E08AD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14</xdr:row>
      <xdr:rowOff>114300</xdr:rowOff>
    </xdr:from>
    <xdr:to>
      <xdr:col>11</xdr:col>
      <xdr:colOff>687800</xdr:colOff>
      <xdr:row>29</xdr:row>
      <xdr:rowOff>139975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E202000-6D89-4856-97CC-0573C2287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5</xdr:col>
      <xdr:colOff>445050</xdr:colOff>
      <xdr:row>46</xdr:row>
      <xdr:rowOff>22500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7F18B9C7-E59E-4A96-83A5-D37403E4B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180975</xdr:colOff>
      <xdr:row>31</xdr:row>
      <xdr:rowOff>95250</xdr:rowOff>
    </xdr:from>
    <xdr:to>
      <xdr:col>11</xdr:col>
      <xdr:colOff>687800</xdr:colOff>
      <xdr:row>46</xdr:row>
      <xdr:rowOff>120925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1541972F-1224-453F-898B-56B892EA4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533400</xdr:colOff>
      <xdr:row>32</xdr:row>
      <xdr:rowOff>9525</xdr:rowOff>
    </xdr:from>
    <xdr:to>
      <xdr:col>21</xdr:col>
      <xdr:colOff>172000</xdr:colOff>
      <xdr:row>50</xdr:row>
      <xdr:rowOff>35200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4BE7ADC0-F486-4C20-BC5D-918BAB01A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457200</xdr:colOff>
      <xdr:row>51</xdr:row>
      <xdr:rowOff>38100</xdr:rowOff>
    </xdr:from>
    <xdr:to>
      <xdr:col>21</xdr:col>
      <xdr:colOff>95800</xdr:colOff>
      <xdr:row>69</xdr:row>
      <xdr:rowOff>63775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FD4128D0-9997-4BEC-BF9C-70F53B925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1104107</xdr:colOff>
      <xdr:row>12</xdr:row>
      <xdr:rowOff>3969</xdr:rowOff>
    </xdr:from>
    <xdr:to>
      <xdr:col>35</xdr:col>
      <xdr:colOff>50557</xdr:colOff>
      <xdr:row>30</xdr:row>
      <xdr:rowOff>19325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E53DAE7-B484-4579-8CEF-817F5F450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1285875</xdr:colOff>
      <xdr:row>33</xdr:row>
      <xdr:rowOff>166688</xdr:rowOff>
    </xdr:from>
    <xdr:to>
      <xdr:col>35</xdr:col>
      <xdr:colOff>229150</xdr:colOff>
      <xdr:row>52</xdr:row>
      <xdr:rowOff>24087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C7BD603B-D030-48D8-9B51-E987D2B49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201705</xdr:colOff>
      <xdr:row>8</xdr:row>
      <xdr:rowOff>156883</xdr:rowOff>
    </xdr:from>
    <xdr:to>
      <xdr:col>12</xdr:col>
      <xdr:colOff>130725</xdr:colOff>
      <xdr:row>24</xdr:row>
      <xdr:rowOff>104677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704850</xdr:colOff>
      <xdr:row>16</xdr:row>
      <xdr:rowOff>47625</xdr:rowOff>
    </xdr:from>
    <xdr:to>
      <xdr:col>17</xdr:col>
      <xdr:colOff>178350</xdr:colOff>
      <xdr:row>32</xdr:row>
      <xdr:rowOff>16150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590549</xdr:colOff>
      <xdr:row>33</xdr:row>
      <xdr:rowOff>161925</xdr:rowOff>
    </xdr:from>
    <xdr:to>
      <xdr:col>18</xdr:col>
      <xdr:colOff>66674</xdr:colOff>
      <xdr:row>49</xdr:row>
      <xdr:rowOff>130450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161925</xdr:colOff>
      <xdr:row>33</xdr:row>
      <xdr:rowOff>180975</xdr:rowOff>
    </xdr:from>
    <xdr:to>
      <xdr:col>27</xdr:col>
      <xdr:colOff>95250</xdr:colOff>
      <xdr:row>49</xdr:row>
      <xdr:rowOff>149500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26</xdr:row>
      <xdr:rowOff>0</xdr:rowOff>
    </xdr:from>
    <xdr:to>
      <xdr:col>10</xdr:col>
      <xdr:colOff>511725</xdr:colOff>
      <xdr:row>41</xdr:row>
      <xdr:rowOff>149500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24</xdr:col>
      <xdr:colOff>692700</xdr:colOff>
      <xdr:row>31</xdr:row>
      <xdr:rowOff>159025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1139536</xdr:colOff>
      <xdr:row>10</xdr:row>
      <xdr:rowOff>0</xdr:rowOff>
    </xdr:from>
    <xdr:to>
      <xdr:col>19</xdr:col>
      <xdr:colOff>616211</xdr:colOff>
      <xdr:row>25</xdr:row>
      <xdr:rowOff>143150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37234</xdr:colOff>
      <xdr:row>10</xdr:row>
      <xdr:rowOff>156730</xdr:rowOff>
    </xdr:from>
    <xdr:to>
      <xdr:col>24</xdr:col>
      <xdr:colOff>544059</xdr:colOff>
      <xdr:row>25</xdr:row>
      <xdr:rowOff>176055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86591</xdr:colOff>
      <xdr:row>63</xdr:row>
      <xdr:rowOff>121227</xdr:rowOff>
    </xdr:from>
    <xdr:to>
      <xdr:col>28</xdr:col>
      <xdr:colOff>858666</xdr:colOff>
      <xdr:row>79</xdr:row>
      <xdr:rowOff>162199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86591</xdr:colOff>
      <xdr:row>63</xdr:row>
      <xdr:rowOff>121227</xdr:rowOff>
    </xdr:from>
    <xdr:to>
      <xdr:col>35</xdr:col>
      <xdr:colOff>593416</xdr:colOff>
      <xdr:row>79</xdr:row>
      <xdr:rowOff>162199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122464</xdr:colOff>
      <xdr:row>53</xdr:row>
      <xdr:rowOff>108858</xdr:rowOff>
    </xdr:from>
    <xdr:to>
      <xdr:col>43</xdr:col>
      <xdr:colOff>272239</xdr:colOff>
      <xdr:row>69</xdr:row>
      <xdr:rowOff>86908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122464</xdr:colOff>
      <xdr:row>53</xdr:row>
      <xdr:rowOff>108858</xdr:rowOff>
    </xdr:from>
    <xdr:to>
      <xdr:col>49</xdr:col>
      <xdr:colOff>122464</xdr:colOff>
      <xdr:row>69</xdr:row>
      <xdr:rowOff>77383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40821</xdr:colOff>
      <xdr:row>47</xdr:row>
      <xdr:rowOff>81643</xdr:rowOff>
    </xdr:from>
    <xdr:to>
      <xdr:col>56</xdr:col>
      <xdr:colOff>193771</xdr:colOff>
      <xdr:row>77</xdr:row>
      <xdr:rowOff>130904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57</xdr:col>
      <xdr:colOff>40821</xdr:colOff>
      <xdr:row>61</xdr:row>
      <xdr:rowOff>108856</xdr:rowOff>
    </xdr:from>
    <xdr:to>
      <xdr:col>62</xdr:col>
      <xdr:colOff>40821</xdr:colOff>
      <xdr:row>77</xdr:row>
      <xdr:rowOff>121378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27215</xdr:colOff>
      <xdr:row>56</xdr:row>
      <xdr:rowOff>72571</xdr:rowOff>
    </xdr:from>
    <xdr:to>
      <xdr:col>70</xdr:col>
      <xdr:colOff>835940</xdr:colOff>
      <xdr:row>77</xdr:row>
      <xdr:rowOff>127728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71</xdr:col>
      <xdr:colOff>21771</xdr:colOff>
      <xdr:row>56</xdr:row>
      <xdr:rowOff>95249</xdr:rowOff>
    </xdr:from>
    <xdr:to>
      <xdr:col>76</xdr:col>
      <xdr:colOff>598715</xdr:colOff>
      <xdr:row>72</xdr:row>
      <xdr:rowOff>118203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133350</xdr:colOff>
      <xdr:row>13</xdr:row>
      <xdr:rowOff>152400</xdr:rowOff>
    </xdr:from>
    <xdr:to>
      <xdr:col>8</xdr:col>
      <xdr:colOff>19600</xdr:colOff>
      <xdr:row>30</xdr:row>
      <xdr:rowOff>57425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142875</xdr:colOff>
      <xdr:row>13</xdr:row>
      <xdr:rowOff>171450</xdr:rowOff>
    </xdr:from>
    <xdr:to>
      <xdr:col>13</xdr:col>
      <xdr:colOff>1056409</xdr:colOff>
      <xdr:row>29</xdr:row>
      <xdr:rowOff>159025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648250</xdr:colOff>
      <xdr:row>49</xdr:row>
      <xdr:rowOff>38375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9525</xdr:colOff>
      <xdr:row>32</xdr:row>
      <xdr:rowOff>19050</xdr:rowOff>
    </xdr:from>
    <xdr:to>
      <xdr:col>13</xdr:col>
      <xdr:colOff>1039091</xdr:colOff>
      <xdr:row>48</xdr:row>
      <xdr:rowOff>139975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1160318</xdr:colOff>
      <xdr:row>28</xdr:row>
      <xdr:rowOff>17318</xdr:rowOff>
    </xdr:from>
    <xdr:to>
      <xdr:col>19</xdr:col>
      <xdr:colOff>636993</xdr:colOff>
      <xdr:row>44</xdr:row>
      <xdr:rowOff>112843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629516</xdr:colOff>
      <xdr:row>28</xdr:row>
      <xdr:rowOff>104775</xdr:rowOff>
    </xdr:from>
    <xdr:to>
      <xdr:col>24</xdr:col>
      <xdr:colOff>374341</xdr:colOff>
      <xdr:row>44</xdr:row>
      <xdr:rowOff>76475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86591</xdr:colOff>
      <xdr:row>82</xdr:row>
      <xdr:rowOff>51954</xdr:rowOff>
    </xdr:from>
    <xdr:to>
      <xdr:col>28</xdr:col>
      <xdr:colOff>858666</xdr:colOff>
      <xdr:row>98</xdr:row>
      <xdr:rowOff>144015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86591</xdr:colOff>
      <xdr:row>82</xdr:row>
      <xdr:rowOff>51954</xdr:rowOff>
    </xdr:from>
    <xdr:to>
      <xdr:col>35</xdr:col>
      <xdr:colOff>593416</xdr:colOff>
      <xdr:row>98</xdr:row>
      <xdr:rowOff>144015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122464</xdr:colOff>
      <xdr:row>71</xdr:row>
      <xdr:rowOff>108857</xdr:rowOff>
    </xdr:from>
    <xdr:to>
      <xdr:col>43</xdr:col>
      <xdr:colOff>272239</xdr:colOff>
      <xdr:row>88</xdr:row>
      <xdr:rowOff>51529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44</xdr:col>
      <xdr:colOff>122464</xdr:colOff>
      <xdr:row>71</xdr:row>
      <xdr:rowOff>108857</xdr:rowOff>
    </xdr:from>
    <xdr:to>
      <xdr:col>49</xdr:col>
      <xdr:colOff>122464</xdr:colOff>
      <xdr:row>88</xdr:row>
      <xdr:rowOff>42004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51</xdr:col>
      <xdr:colOff>40821</xdr:colOff>
      <xdr:row>81</xdr:row>
      <xdr:rowOff>13607</xdr:rowOff>
    </xdr:from>
    <xdr:to>
      <xdr:col>56</xdr:col>
      <xdr:colOff>193771</xdr:colOff>
      <xdr:row>97</xdr:row>
      <xdr:rowOff>99606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57</xdr:col>
      <xdr:colOff>40821</xdr:colOff>
      <xdr:row>81</xdr:row>
      <xdr:rowOff>13607</xdr:rowOff>
    </xdr:from>
    <xdr:to>
      <xdr:col>62</xdr:col>
      <xdr:colOff>40821</xdr:colOff>
      <xdr:row>97</xdr:row>
      <xdr:rowOff>90081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64</xdr:col>
      <xdr:colOff>27215</xdr:colOff>
      <xdr:row>82</xdr:row>
      <xdr:rowOff>27214</xdr:rowOff>
    </xdr:from>
    <xdr:to>
      <xdr:col>70</xdr:col>
      <xdr:colOff>835940</xdr:colOff>
      <xdr:row>98</xdr:row>
      <xdr:rowOff>123646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71</xdr:col>
      <xdr:colOff>21770</xdr:colOff>
      <xdr:row>77</xdr:row>
      <xdr:rowOff>13607</xdr:rowOff>
    </xdr:from>
    <xdr:to>
      <xdr:col>76</xdr:col>
      <xdr:colOff>719941</xdr:colOff>
      <xdr:row>93</xdr:row>
      <xdr:rowOff>114121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38</xdr:col>
      <xdr:colOff>598714</xdr:colOff>
      <xdr:row>36</xdr:row>
      <xdr:rowOff>0</xdr:rowOff>
    </xdr:from>
    <xdr:to>
      <xdr:col>43</xdr:col>
      <xdr:colOff>742592</xdr:colOff>
      <xdr:row>52</xdr:row>
      <xdr:rowOff>47448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482131BE-BE62-4E92-ABBA-F3C8FE1E46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19050</xdr:rowOff>
    </xdr:from>
    <xdr:to>
      <xdr:col>5</xdr:col>
      <xdr:colOff>445050</xdr:colOff>
      <xdr:row>24</xdr:row>
      <xdr:rowOff>41550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381000</xdr:colOff>
      <xdr:row>10</xdr:row>
      <xdr:rowOff>9525</xdr:rowOff>
    </xdr:from>
    <xdr:to>
      <xdr:col>12</xdr:col>
      <xdr:colOff>0</xdr:colOff>
      <xdr:row>25</xdr:row>
      <xdr:rowOff>35200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5</xdr:col>
      <xdr:colOff>445050</xdr:colOff>
      <xdr:row>42</xdr:row>
      <xdr:rowOff>22500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381000</xdr:colOff>
      <xdr:row>27</xdr:row>
      <xdr:rowOff>180975</xdr:rowOff>
    </xdr:from>
    <xdr:to>
      <xdr:col>12</xdr:col>
      <xdr:colOff>0</xdr:colOff>
      <xdr:row>43</xdr:row>
      <xdr:rowOff>16150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14</xdr:row>
      <xdr:rowOff>85725</xdr:rowOff>
    </xdr:from>
    <xdr:to>
      <xdr:col>6</xdr:col>
      <xdr:colOff>591100</xdr:colOff>
      <xdr:row>29</xdr:row>
      <xdr:rowOff>111400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161925</xdr:colOff>
      <xdr:row>14</xdr:row>
      <xdr:rowOff>9525</xdr:rowOff>
    </xdr:from>
    <xdr:to>
      <xdr:col>14</xdr:col>
      <xdr:colOff>734786</xdr:colOff>
      <xdr:row>29</xdr:row>
      <xdr:rowOff>187600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76200</xdr:rowOff>
    </xdr:from>
    <xdr:to>
      <xdr:col>6</xdr:col>
      <xdr:colOff>629200</xdr:colOff>
      <xdr:row>47</xdr:row>
      <xdr:rowOff>101875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200025</xdr:colOff>
      <xdr:row>32</xdr:row>
      <xdr:rowOff>0</xdr:rowOff>
    </xdr:from>
    <xdr:to>
      <xdr:col>14</xdr:col>
      <xdr:colOff>707571</xdr:colOff>
      <xdr:row>47</xdr:row>
      <xdr:rowOff>178075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204107</xdr:colOff>
      <xdr:row>14</xdr:row>
      <xdr:rowOff>95250</xdr:rowOff>
    </xdr:from>
    <xdr:to>
      <xdr:col>24</xdr:col>
      <xdr:colOff>220986</xdr:colOff>
      <xdr:row>29</xdr:row>
      <xdr:rowOff>120925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14</xdr:row>
      <xdr:rowOff>0</xdr:rowOff>
    </xdr:from>
    <xdr:to>
      <xdr:col>32</xdr:col>
      <xdr:colOff>572861</xdr:colOff>
      <xdr:row>29</xdr:row>
      <xdr:rowOff>178075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222435</xdr:colOff>
      <xdr:row>15</xdr:row>
      <xdr:rowOff>14568</xdr:rowOff>
    </xdr:from>
    <xdr:to>
      <xdr:col>24</xdr:col>
      <xdr:colOff>641151</xdr:colOff>
      <xdr:row>31</xdr:row>
      <xdr:rowOff>37255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771336</xdr:colOff>
      <xdr:row>68</xdr:row>
      <xdr:rowOff>4482</xdr:rowOff>
    </xdr:from>
    <xdr:to>
      <xdr:col>49</xdr:col>
      <xdr:colOff>185632</xdr:colOff>
      <xdr:row>87</xdr:row>
      <xdr:rowOff>171263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614829</xdr:colOff>
      <xdr:row>62</xdr:row>
      <xdr:rowOff>116540</xdr:rowOff>
    </xdr:from>
    <xdr:to>
      <xdr:col>41</xdr:col>
      <xdr:colOff>364412</xdr:colOff>
      <xdr:row>83</xdr:row>
      <xdr:rowOff>59203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168088</xdr:colOff>
      <xdr:row>14</xdr:row>
      <xdr:rowOff>89647</xdr:rowOff>
    </xdr:from>
    <xdr:to>
      <xdr:col>18</xdr:col>
      <xdr:colOff>133010</xdr:colOff>
      <xdr:row>30</xdr:row>
      <xdr:rowOff>78903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381000</xdr:colOff>
      <xdr:row>15</xdr:row>
      <xdr:rowOff>168088</xdr:rowOff>
    </xdr:from>
    <xdr:to>
      <xdr:col>37</xdr:col>
      <xdr:colOff>537883</xdr:colOff>
      <xdr:row>31</xdr:row>
      <xdr:rowOff>159025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750794</xdr:colOff>
      <xdr:row>15</xdr:row>
      <xdr:rowOff>44823</xdr:rowOff>
    </xdr:from>
    <xdr:to>
      <xdr:col>31</xdr:col>
      <xdr:colOff>89647</xdr:colOff>
      <xdr:row>31</xdr:row>
      <xdr:rowOff>34079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</xdr:row>
      <xdr:rowOff>0</xdr:rowOff>
    </xdr:from>
    <xdr:to>
      <xdr:col>11</xdr:col>
      <xdr:colOff>161025</xdr:colOff>
      <xdr:row>23</xdr:row>
      <xdr:rowOff>149500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10</xdr:col>
      <xdr:colOff>245025</xdr:colOff>
      <xdr:row>41</xdr:row>
      <xdr:rowOff>275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736413</xdr:colOff>
      <xdr:row>96</xdr:row>
      <xdr:rowOff>34364</xdr:rowOff>
    </xdr:from>
    <xdr:to>
      <xdr:col>38</xdr:col>
      <xdr:colOff>1897937</xdr:colOff>
      <xdr:row>114</xdr:row>
      <xdr:rowOff>88340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739588</xdr:colOff>
      <xdr:row>100</xdr:row>
      <xdr:rowOff>33617</xdr:rowOff>
    </xdr:from>
    <xdr:to>
      <xdr:col>49</xdr:col>
      <xdr:colOff>160234</xdr:colOff>
      <xdr:row>121</xdr:row>
      <xdr:rowOff>156322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37</xdr:col>
      <xdr:colOff>440205</xdr:colOff>
      <xdr:row>138</xdr:row>
      <xdr:rowOff>67236</xdr:rowOff>
    </xdr:from>
    <xdr:to>
      <xdr:col>42</xdr:col>
      <xdr:colOff>189787</xdr:colOff>
      <xdr:row>156</xdr:row>
      <xdr:rowOff>124386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683558</xdr:colOff>
      <xdr:row>134</xdr:row>
      <xdr:rowOff>89646</xdr:rowOff>
    </xdr:from>
    <xdr:to>
      <xdr:col>55</xdr:col>
      <xdr:colOff>313940</xdr:colOff>
      <xdr:row>150</xdr:row>
      <xdr:rowOff>69377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43</xdr:row>
      <xdr:rowOff>0</xdr:rowOff>
    </xdr:from>
    <xdr:to>
      <xdr:col>11</xdr:col>
      <xdr:colOff>161025</xdr:colOff>
      <xdr:row>58</xdr:row>
      <xdr:rowOff>3823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59</xdr:row>
      <xdr:rowOff>11205</xdr:rowOff>
    </xdr:from>
    <xdr:to>
      <xdr:col>10</xdr:col>
      <xdr:colOff>245025</xdr:colOff>
      <xdr:row>74</xdr:row>
      <xdr:rowOff>56305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54347</xdr:colOff>
      <xdr:row>35</xdr:row>
      <xdr:rowOff>104215</xdr:rowOff>
    </xdr:from>
    <xdr:to>
      <xdr:col>24</xdr:col>
      <xdr:colOff>473063</xdr:colOff>
      <xdr:row>51</xdr:row>
      <xdr:rowOff>115696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35</xdr:row>
      <xdr:rowOff>0</xdr:rowOff>
    </xdr:from>
    <xdr:to>
      <xdr:col>17</xdr:col>
      <xdr:colOff>726922</xdr:colOff>
      <xdr:row>50</xdr:row>
      <xdr:rowOff>157344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392205</xdr:colOff>
      <xdr:row>36</xdr:row>
      <xdr:rowOff>123265</xdr:rowOff>
    </xdr:from>
    <xdr:to>
      <xdr:col>37</xdr:col>
      <xdr:colOff>549089</xdr:colOff>
      <xdr:row>52</xdr:row>
      <xdr:rowOff>114202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36</xdr:row>
      <xdr:rowOff>0</xdr:rowOff>
    </xdr:from>
    <xdr:to>
      <xdr:col>31</xdr:col>
      <xdr:colOff>100853</xdr:colOff>
      <xdr:row>51</xdr:row>
      <xdr:rowOff>168550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155</xdr:row>
      <xdr:rowOff>0</xdr:rowOff>
    </xdr:from>
    <xdr:to>
      <xdr:col>42</xdr:col>
      <xdr:colOff>542025</xdr:colOff>
      <xdr:row>173</xdr:row>
      <xdr:rowOff>57150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43</xdr:col>
      <xdr:colOff>0</xdr:colOff>
      <xdr:row>151</xdr:row>
      <xdr:rowOff>0</xdr:rowOff>
    </xdr:from>
    <xdr:to>
      <xdr:col>49</xdr:col>
      <xdr:colOff>426000</xdr:colOff>
      <xdr:row>166</xdr:row>
      <xdr:rowOff>162200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592231</xdr:colOff>
      <xdr:row>64</xdr:row>
      <xdr:rowOff>49679</xdr:rowOff>
    </xdr:from>
    <xdr:to>
      <xdr:col>60</xdr:col>
      <xdr:colOff>642878</xdr:colOff>
      <xdr:row>89</xdr:row>
      <xdr:rowOff>69103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35B8BE43-E368-467C-9958-116BB62E47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319287</xdr:colOff>
      <xdr:row>31</xdr:row>
      <xdr:rowOff>123957</xdr:rowOff>
    </xdr:from>
    <xdr:to>
      <xdr:col>26</xdr:col>
      <xdr:colOff>381000</xdr:colOff>
      <xdr:row>60</xdr:row>
      <xdr:rowOff>181428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116514</xdr:colOff>
      <xdr:row>22</xdr:row>
      <xdr:rowOff>172357</xdr:rowOff>
    </xdr:from>
    <xdr:to>
      <xdr:col>55</xdr:col>
      <xdr:colOff>535230</xdr:colOff>
      <xdr:row>43</xdr:row>
      <xdr:rowOff>72571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2084294</xdr:colOff>
      <xdr:row>22</xdr:row>
      <xdr:rowOff>145142</xdr:rowOff>
    </xdr:from>
    <xdr:to>
      <xdr:col>48</xdr:col>
      <xdr:colOff>629991</xdr:colOff>
      <xdr:row>42</xdr:row>
      <xdr:rowOff>72570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748393</xdr:colOff>
      <xdr:row>28</xdr:row>
      <xdr:rowOff>117929</xdr:rowOff>
    </xdr:from>
    <xdr:to>
      <xdr:col>18</xdr:col>
      <xdr:colOff>713315</xdr:colOff>
      <xdr:row>48</xdr:row>
      <xdr:rowOff>36481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6404</xdr:colOff>
      <xdr:row>50</xdr:row>
      <xdr:rowOff>65635</xdr:rowOff>
    </xdr:from>
    <xdr:to>
      <xdr:col>39</xdr:col>
      <xdr:colOff>1191042</xdr:colOff>
      <xdr:row>66</xdr:row>
      <xdr:rowOff>47768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625128</xdr:colOff>
      <xdr:row>49</xdr:row>
      <xdr:rowOff>88047</xdr:rowOff>
    </xdr:from>
    <xdr:to>
      <xdr:col>33</xdr:col>
      <xdr:colOff>694825</xdr:colOff>
      <xdr:row>66</xdr:row>
      <xdr:rowOff>46087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649941</xdr:colOff>
      <xdr:row>8</xdr:row>
      <xdr:rowOff>67236</xdr:rowOff>
    </xdr:from>
    <xdr:to>
      <xdr:col>8</xdr:col>
      <xdr:colOff>93790</xdr:colOff>
      <xdr:row>24</xdr:row>
      <xdr:rowOff>26236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100852</xdr:colOff>
      <xdr:row>8</xdr:row>
      <xdr:rowOff>78442</xdr:rowOff>
    </xdr:from>
    <xdr:to>
      <xdr:col>13</xdr:col>
      <xdr:colOff>145676</xdr:colOff>
      <xdr:row>24</xdr:row>
      <xdr:rowOff>134745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8</xdr:col>
      <xdr:colOff>205849</xdr:colOff>
      <xdr:row>44</xdr:row>
      <xdr:rowOff>127089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212911</xdr:colOff>
      <xdr:row>29</xdr:row>
      <xdr:rowOff>11206</xdr:rowOff>
    </xdr:from>
    <xdr:to>
      <xdr:col>13</xdr:col>
      <xdr:colOff>257735</xdr:colOff>
      <xdr:row>45</xdr:row>
      <xdr:rowOff>56304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415419</xdr:colOff>
      <xdr:row>32</xdr:row>
      <xdr:rowOff>34417</xdr:rowOff>
    </xdr:from>
    <xdr:to>
      <xdr:col>39</xdr:col>
      <xdr:colOff>1600057</xdr:colOff>
      <xdr:row>48</xdr:row>
      <xdr:rowOff>6945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81643</xdr:colOff>
      <xdr:row>30</xdr:row>
      <xdr:rowOff>136071</xdr:rowOff>
    </xdr:from>
    <xdr:to>
      <xdr:col>34</xdr:col>
      <xdr:colOff>151340</xdr:colOff>
      <xdr:row>47</xdr:row>
      <xdr:rowOff>46086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49</xdr:col>
      <xdr:colOff>564216</xdr:colOff>
      <xdr:row>36</xdr:row>
      <xdr:rowOff>22412</xdr:rowOff>
    </xdr:from>
    <xdr:to>
      <xdr:col>56</xdr:col>
      <xdr:colOff>220932</xdr:colOff>
      <xdr:row>52</xdr:row>
      <xdr:rowOff>5318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40</xdr:col>
      <xdr:colOff>0</xdr:colOff>
      <xdr:row>42</xdr:row>
      <xdr:rowOff>0</xdr:rowOff>
    </xdr:from>
    <xdr:to>
      <xdr:col>49</xdr:col>
      <xdr:colOff>361050</xdr:colOff>
      <xdr:row>58</xdr:row>
      <xdr:rowOff>96646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547460</xdr:colOff>
      <xdr:row>73</xdr:row>
      <xdr:rowOff>112031</xdr:rowOff>
    </xdr:from>
    <xdr:to>
      <xdr:col>3</xdr:col>
      <xdr:colOff>1034143</xdr:colOff>
      <xdr:row>91</xdr:row>
      <xdr:rowOff>30163</xdr:rowOff>
    </xdr:to>
    <xdr:graphicFrame macro="">
      <xdr:nvGraphicFramePr>
        <xdr:cNvPr id="2" name="Diagramm 7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1777011</xdr:colOff>
      <xdr:row>71</xdr:row>
      <xdr:rowOff>125706</xdr:rowOff>
    </xdr:from>
    <xdr:to>
      <xdr:col>12</xdr:col>
      <xdr:colOff>640415</xdr:colOff>
      <xdr:row>89</xdr:row>
      <xdr:rowOff>36580</xdr:rowOff>
    </xdr:to>
    <xdr:graphicFrame macro="">
      <xdr:nvGraphicFramePr>
        <xdr:cNvPr id="3" name="Diagramm 8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40820</xdr:colOff>
      <xdr:row>54</xdr:row>
      <xdr:rowOff>108857</xdr:rowOff>
    </xdr:from>
    <xdr:to>
      <xdr:col>3</xdr:col>
      <xdr:colOff>717202</xdr:colOff>
      <xdr:row>72</xdr:row>
      <xdr:rowOff>36514</xdr:rowOff>
    </xdr:to>
    <xdr:graphicFrame macro="">
      <xdr:nvGraphicFramePr>
        <xdr:cNvPr id="4" name="Diagramm 9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1770207</xdr:colOff>
      <xdr:row>54</xdr:row>
      <xdr:rowOff>49506</xdr:rowOff>
    </xdr:from>
    <xdr:to>
      <xdr:col>12</xdr:col>
      <xdr:colOff>633611</xdr:colOff>
      <xdr:row>71</xdr:row>
      <xdr:rowOff>150880</xdr:rowOff>
    </xdr:to>
    <xdr:graphicFrame macro="">
      <xdr:nvGraphicFramePr>
        <xdr:cNvPr id="5" name="Diagramm 10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51</xdr:row>
      <xdr:rowOff>0</xdr:rowOff>
    </xdr:from>
    <xdr:to>
      <xdr:col>16</xdr:col>
      <xdr:colOff>1251057</xdr:colOff>
      <xdr:row>68</xdr:row>
      <xdr:rowOff>101374</xdr:rowOff>
    </xdr:to>
    <xdr:graphicFrame macro="">
      <xdr:nvGraphicFramePr>
        <xdr:cNvPr id="6" name="Diagramm 11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466643</xdr:colOff>
      <xdr:row>51</xdr:row>
      <xdr:rowOff>520</xdr:rowOff>
    </xdr:from>
    <xdr:to>
      <xdr:col>25</xdr:col>
      <xdr:colOff>690761</xdr:colOff>
      <xdr:row>68</xdr:row>
      <xdr:rowOff>101894</xdr:rowOff>
    </xdr:to>
    <xdr:graphicFrame macro="">
      <xdr:nvGraphicFramePr>
        <xdr:cNvPr id="7" name="Diagramm 12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32</xdr:row>
      <xdr:rowOff>0</xdr:rowOff>
    </xdr:from>
    <xdr:to>
      <xdr:col>16</xdr:col>
      <xdr:colOff>1251057</xdr:colOff>
      <xdr:row>49</xdr:row>
      <xdr:rowOff>101374</xdr:rowOff>
    </xdr:to>
    <xdr:graphicFrame macro="">
      <xdr:nvGraphicFramePr>
        <xdr:cNvPr id="8" name="Diagramm 15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40821</xdr:colOff>
      <xdr:row>32</xdr:row>
      <xdr:rowOff>0</xdr:rowOff>
    </xdr:from>
    <xdr:to>
      <xdr:col>25</xdr:col>
      <xdr:colOff>271343</xdr:colOff>
      <xdr:row>49</xdr:row>
      <xdr:rowOff>101374</xdr:rowOff>
    </xdr:to>
    <xdr:graphicFrame macro="">
      <xdr:nvGraphicFramePr>
        <xdr:cNvPr id="9" name="Diagramm 16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761999</xdr:colOff>
      <xdr:row>81</xdr:row>
      <xdr:rowOff>159203</xdr:rowOff>
    </xdr:from>
    <xdr:to>
      <xdr:col>17</xdr:col>
      <xdr:colOff>27214</xdr:colOff>
      <xdr:row>102</xdr:row>
      <xdr:rowOff>149679</xdr:rowOff>
    </xdr:to>
    <xdr:graphicFrame macro="">
      <xdr:nvGraphicFramePr>
        <xdr:cNvPr id="12" name="Diagramm 2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31</xdr:col>
      <xdr:colOff>1346307</xdr:colOff>
      <xdr:row>46</xdr:row>
      <xdr:rowOff>101374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49</xdr:row>
      <xdr:rowOff>0</xdr:rowOff>
    </xdr:from>
    <xdr:to>
      <xdr:col>31</xdr:col>
      <xdr:colOff>1346307</xdr:colOff>
      <xdr:row>66</xdr:row>
      <xdr:rowOff>101374</xdr:rowOff>
    </xdr:to>
    <xdr:graphicFrame macro="">
      <xdr:nvGraphicFramePr>
        <xdr:cNvPr id="16" name="Diagramm 20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435428</xdr:colOff>
      <xdr:row>27</xdr:row>
      <xdr:rowOff>136072</xdr:rowOff>
    </xdr:from>
    <xdr:to>
      <xdr:col>40</xdr:col>
      <xdr:colOff>706771</xdr:colOff>
      <xdr:row>45</xdr:row>
      <xdr:rowOff>46946</xdr:rowOff>
    </xdr:to>
    <xdr:graphicFrame macro="">
      <xdr:nvGraphicFramePr>
        <xdr:cNvPr id="17" name="Diagramm 21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32</xdr:col>
      <xdr:colOff>353786</xdr:colOff>
      <xdr:row>48</xdr:row>
      <xdr:rowOff>27214</xdr:rowOff>
    </xdr:from>
    <xdr:to>
      <xdr:col>40</xdr:col>
      <xdr:colOff>625129</xdr:colOff>
      <xdr:row>65</xdr:row>
      <xdr:rowOff>128588</xdr:rowOff>
    </xdr:to>
    <xdr:graphicFrame macro="">
      <xdr:nvGraphicFramePr>
        <xdr:cNvPr id="18" name="Diagramm 22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27214</xdr:colOff>
      <xdr:row>93</xdr:row>
      <xdr:rowOff>2722</xdr:rowOff>
    </xdr:from>
    <xdr:to>
      <xdr:col>10</xdr:col>
      <xdr:colOff>27214</xdr:colOff>
      <xdr:row>107</xdr:row>
      <xdr:rowOff>65315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781958</xdr:colOff>
      <xdr:row>64</xdr:row>
      <xdr:rowOff>91166</xdr:rowOff>
    </xdr:from>
    <xdr:to>
      <xdr:col>4</xdr:col>
      <xdr:colOff>104323</xdr:colOff>
      <xdr:row>82</xdr:row>
      <xdr:rowOff>32430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284389</xdr:colOff>
      <xdr:row>47</xdr:row>
      <xdr:rowOff>51254</xdr:rowOff>
    </xdr:from>
    <xdr:to>
      <xdr:col>3</xdr:col>
      <xdr:colOff>1860657</xdr:colOff>
      <xdr:row>64</xdr:row>
      <xdr:rowOff>152628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171451</xdr:colOff>
      <xdr:row>59</xdr:row>
      <xdr:rowOff>16328</xdr:rowOff>
    </xdr:from>
    <xdr:to>
      <xdr:col>13</xdr:col>
      <xdr:colOff>734787</xdr:colOff>
      <xdr:row>76</xdr:row>
      <xdr:rowOff>117702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73934</xdr:colOff>
      <xdr:row>43</xdr:row>
      <xdr:rowOff>18144</xdr:rowOff>
    </xdr:from>
    <xdr:to>
      <xdr:col>13</xdr:col>
      <xdr:colOff>343355</xdr:colOff>
      <xdr:row>60</xdr:row>
      <xdr:rowOff>136300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49</xdr:row>
      <xdr:rowOff>54428</xdr:rowOff>
    </xdr:from>
    <xdr:to>
      <xdr:col>47</xdr:col>
      <xdr:colOff>220436</xdr:colOff>
      <xdr:row>66</xdr:row>
      <xdr:rowOff>155802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13607</xdr:colOff>
      <xdr:row>31</xdr:row>
      <xdr:rowOff>0</xdr:rowOff>
    </xdr:from>
    <xdr:to>
      <xdr:col>46</xdr:col>
      <xdr:colOff>1589874</xdr:colOff>
      <xdr:row>48</xdr:row>
      <xdr:rowOff>101374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58</xdr:col>
      <xdr:colOff>394608</xdr:colOff>
      <xdr:row>56</xdr:row>
      <xdr:rowOff>54428</xdr:rowOff>
    </xdr:from>
    <xdr:to>
      <xdr:col>62</xdr:col>
      <xdr:colOff>655865</xdr:colOff>
      <xdr:row>73</xdr:row>
      <xdr:rowOff>155802</xdr:rowOff>
    </xdr:to>
    <xdr:graphicFrame macro="">
      <xdr:nvGraphicFramePr>
        <xdr:cNvPr id="8" name="Diagramm 9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58</xdr:col>
      <xdr:colOff>707572</xdr:colOff>
      <xdr:row>37</xdr:row>
      <xdr:rowOff>176893</xdr:rowOff>
    </xdr:from>
    <xdr:to>
      <xdr:col>62</xdr:col>
      <xdr:colOff>351625</xdr:colOff>
      <xdr:row>55</xdr:row>
      <xdr:rowOff>87767</xdr:rowOff>
    </xdr:to>
    <xdr:graphicFrame macro="">
      <xdr:nvGraphicFramePr>
        <xdr:cNvPr id="9" name="Diagramm 10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62</xdr:col>
      <xdr:colOff>589190</xdr:colOff>
      <xdr:row>51</xdr:row>
      <xdr:rowOff>102052</xdr:rowOff>
    </xdr:from>
    <xdr:to>
      <xdr:col>71</xdr:col>
      <xdr:colOff>714376</xdr:colOff>
      <xdr:row>69</xdr:row>
      <xdr:rowOff>12926</xdr:rowOff>
    </xdr:to>
    <xdr:graphicFrame macro="">
      <xdr:nvGraphicFramePr>
        <xdr:cNvPr id="10" name="Diagramm 11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62</xdr:col>
      <xdr:colOff>143328</xdr:colOff>
      <xdr:row>35</xdr:row>
      <xdr:rowOff>129267</xdr:rowOff>
    </xdr:from>
    <xdr:to>
      <xdr:col>70</xdr:col>
      <xdr:colOff>454132</xdr:colOff>
      <xdr:row>53</xdr:row>
      <xdr:rowOff>84138</xdr:rowOff>
    </xdr:to>
    <xdr:graphicFrame macro="">
      <xdr:nvGraphicFramePr>
        <xdr:cNvPr id="11" name="Diagramm 12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0</xdr:colOff>
      <xdr:row>49</xdr:row>
      <xdr:rowOff>54428</xdr:rowOff>
    </xdr:from>
    <xdr:to>
      <xdr:col>57</xdr:col>
      <xdr:colOff>125186</xdr:colOff>
      <xdr:row>66</xdr:row>
      <xdr:rowOff>155802</xdr:rowOff>
    </xdr:to>
    <xdr:graphicFrame macro="">
      <xdr:nvGraphicFramePr>
        <xdr:cNvPr id="12" name="Diagramm 13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13607</xdr:colOff>
      <xdr:row>31</xdr:row>
      <xdr:rowOff>0</xdr:rowOff>
    </xdr:from>
    <xdr:to>
      <xdr:col>56</xdr:col>
      <xdr:colOff>283589</xdr:colOff>
      <xdr:row>48</xdr:row>
      <xdr:rowOff>101374</xdr:rowOff>
    </xdr:to>
    <xdr:graphicFrame macro="">
      <xdr:nvGraphicFramePr>
        <xdr:cNvPr id="13" name="Diagramm 14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2517322</xdr:colOff>
      <xdr:row>50</xdr:row>
      <xdr:rowOff>183696</xdr:rowOff>
    </xdr:from>
    <xdr:to>
      <xdr:col>77</xdr:col>
      <xdr:colOff>465364</xdr:colOff>
      <xdr:row>68</xdr:row>
      <xdr:rowOff>94570</xdr:rowOff>
    </xdr:to>
    <xdr:graphicFrame macro="">
      <xdr:nvGraphicFramePr>
        <xdr:cNvPr id="14" name="Diagramm 15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72</xdr:col>
      <xdr:colOff>585108</xdr:colOff>
      <xdr:row>31</xdr:row>
      <xdr:rowOff>183697</xdr:rowOff>
    </xdr:from>
    <xdr:to>
      <xdr:col>74</xdr:col>
      <xdr:colOff>2079731</xdr:colOff>
      <xdr:row>49</xdr:row>
      <xdr:rowOff>80963</xdr:rowOff>
    </xdr:to>
    <xdr:graphicFrame macro="">
      <xdr:nvGraphicFramePr>
        <xdr:cNvPr id="15" name="Diagramm 16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73</xdr:col>
      <xdr:colOff>480332</xdr:colOff>
      <xdr:row>67</xdr:row>
      <xdr:rowOff>122463</xdr:rowOff>
    </xdr:from>
    <xdr:to>
      <xdr:col>79</xdr:col>
      <xdr:colOff>653144</xdr:colOff>
      <xdr:row>85</xdr:row>
      <xdr:rowOff>46944</xdr:rowOff>
    </xdr:to>
    <xdr:graphicFrame macro="">
      <xdr:nvGraphicFramePr>
        <xdr:cNvPr id="16" name="Diagramm 17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74</xdr:col>
      <xdr:colOff>2453367</xdr:colOff>
      <xdr:row>31</xdr:row>
      <xdr:rowOff>122466</xdr:rowOff>
    </xdr:from>
    <xdr:to>
      <xdr:col>83</xdr:col>
      <xdr:colOff>68037</xdr:colOff>
      <xdr:row>49</xdr:row>
      <xdr:rowOff>19732</xdr:rowOff>
    </xdr:to>
    <xdr:graphicFrame macro="">
      <xdr:nvGraphicFramePr>
        <xdr:cNvPr id="17" name="Diagramm 18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97</xdr:col>
      <xdr:colOff>4537</xdr:colOff>
      <xdr:row>69</xdr:row>
      <xdr:rowOff>166458</xdr:rowOff>
    </xdr:from>
    <xdr:to>
      <xdr:col>99</xdr:col>
      <xdr:colOff>2299609</xdr:colOff>
      <xdr:row>87</xdr:row>
      <xdr:rowOff>130400</xdr:rowOff>
    </xdr:to>
    <xdr:graphicFrame macro="">
      <xdr:nvGraphicFramePr>
        <xdr:cNvPr id="18" name="Diagramm 19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112</xdr:col>
      <xdr:colOff>2000251</xdr:colOff>
      <xdr:row>128</xdr:row>
      <xdr:rowOff>190499</xdr:rowOff>
    </xdr:from>
    <xdr:to>
      <xdr:col>121</xdr:col>
      <xdr:colOff>465367</xdr:colOff>
      <xdr:row>146</xdr:row>
      <xdr:rowOff>114981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110</xdr:col>
      <xdr:colOff>40820</xdr:colOff>
      <xdr:row>128</xdr:row>
      <xdr:rowOff>27214</xdr:rowOff>
    </xdr:from>
    <xdr:to>
      <xdr:col>112</xdr:col>
      <xdr:colOff>1717221</xdr:colOff>
      <xdr:row>145</xdr:row>
      <xdr:rowOff>142196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110</xdr:col>
      <xdr:colOff>27214</xdr:colOff>
      <xdr:row>110</xdr:row>
      <xdr:rowOff>-1</xdr:rowOff>
    </xdr:from>
    <xdr:to>
      <xdr:col>112</xdr:col>
      <xdr:colOff>1703615</xdr:colOff>
      <xdr:row>127</xdr:row>
      <xdr:rowOff>114981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112</xdr:col>
      <xdr:colOff>1959430</xdr:colOff>
      <xdr:row>111</xdr:row>
      <xdr:rowOff>13606</xdr:rowOff>
    </xdr:from>
    <xdr:to>
      <xdr:col>123</xdr:col>
      <xdr:colOff>411389</xdr:colOff>
      <xdr:row>128</xdr:row>
      <xdr:rowOff>114981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110</xdr:col>
      <xdr:colOff>40822</xdr:colOff>
      <xdr:row>146</xdr:row>
      <xdr:rowOff>95250</xdr:rowOff>
    </xdr:from>
    <xdr:to>
      <xdr:col>112</xdr:col>
      <xdr:colOff>1717223</xdr:colOff>
      <xdr:row>164</xdr:row>
      <xdr:rowOff>19732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112</xdr:col>
      <xdr:colOff>2109107</xdr:colOff>
      <xdr:row>147</xdr:row>
      <xdr:rowOff>54429</xdr:rowOff>
    </xdr:from>
    <xdr:to>
      <xdr:col>121</xdr:col>
      <xdr:colOff>574223</xdr:colOff>
      <xdr:row>164</xdr:row>
      <xdr:rowOff>169411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100</xdr:col>
      <xdr:colOff>489855</xdr:colOff>
      <xdr:row>69</xdr:row>
      <xdr:rowOff>40823</xdr:rowOff>
    </xdr:from>
    <xdr:to>
      <xdr:col>107</xdr:col>
      <xdr:colOff>580570</xdr:colOff>
      <xdr:row>87</xdr:row>
      <xdr:rowOff>4765</xdr:rowOff>
    </xdr:to>
    <xdr:graphicFrame macro="">
      <xdr:nvGraphicFramePr>
        <xdr:cNvPr id="27" name="Diagramm 19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</xdr:col>
      <xdr:colOff>367393</xdr:colOff>
      <xdr:row>15</xdr:row>
      <xdr:rowOff>68036</xdr:rowOff>
    </xdr:from>
    <xdr:to>
      <xdr:col>16</xdr:col>
      <xdr:colOff>0</xdr:colOff>
      <xdr:row>32</xdr:row>
      <xdr:rowOff>87767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488500</xdr:colOff>
      <xdr:row>11</xdr:row>
      <xdr:rowOff>93435</xdr:rowOff>
    </xdr:from>
    <xdr:to>
      <xdr:col>43</xdr:col>
      <xdr:colOff>554718</xdr:colOff>
      <xdr:row>31</xdr:row>
      <xdr:rowOff>7712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308886</xdr:colOff>
      <xdr:row>31</xdr:row>
      <xdr:rowOff>136073</xdr:rowOff>
    </xdr:from>
    <xdr:to>
      <xdr:col>25</xdr:col>
      <xdr:colOff>2010685</xdr:colOff>
      <xdr:row>52</xdr:row>
      <xdr:rowOff>102507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31</xdr:col>
      <xdr:colOff>250826</xdr:colOff>
      <xdr:row>76</xdr:row>
      <xdr:rowOff>66221</xdr:rowOff>
    </xdr:from>
    <xdr:to>
      <xdr:col>40</xdr:col>
      <xdr:colOff>436337</xdr:colOff>
      <xdr:row>96</xdr:row>
      <xdr:rowOff>130175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24</xdr:col>
      <xdr:colOff>256721</xdr:colOff>
      <xdr:row>76</xdr:row>
      <xdr:rowOff>92076</xdr:rowOff>
    </xdr:from>
    <xdr:to>
      <xdr:col>30</xdr:col>
      <xdr:colOff>292099</xdr:colOff>
      <xdr:row>96</xdr:row>
      <xdr:rowOff>148772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40822</xdr:colOff>
      <xdr:row>42</xdr:row>
      <xdr:rowOff>95249</xdr:rowOff>
    </xdr:from>
    <xdr:to>
      <xdr:col>89</xdr:col>
      <xdr:colOff>158751</xdr:colOff>
      <xdr:row>60</xdr:row>
      <xdr:rowOff>4763</xdr:rowOff>
    </xdr:to>
    <xdr:graphicFrame macro="">
      <xdr:nvGraphicFramePr>
        <xdr:cNvPr id="32" name="Diagramm 19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90</xdr:col>
      <xdr:colOff>54429</xdr:colOff>
      <xdr:row>42</xdr:row>
      <xdr:rowOff>122463</xdr:rowOff>
    </xdr:from>
    <xdr:to>
      <xdr:col>95</xdr:col>
      <xdr:colOff>1301752</xdr:colOff>
      <xdr:row>60</xdr:row>
      <xdr:rowOff>31977</xdr:rowOff>
    </xdr:to>
    <xdr:graphicFrame macro="">
      <xdr:nvGraphicFramePr>
        <xdr:cNvPr id="33" name="Diagramm 19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28</xdr:col>
      <xdr:colOff>82547</xdr:colOff>
      <xdr:row>34</xdr:row>
      <xdr:rowOff>75292</xdr:rowOff>
    </xdr:from>
    <xdr:to>
      <xdr:col>36</xdr:col>
      <xdr:colOff>503461</xdr:colOff>
      <xdr:row>54</xdr:row>
      <xdr:rowOff>162377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CB384C04-4CD1-4BCD-98CA-BE43FFD87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24</xdr:col>
      <xdr:colOff>285751</xdr:colOff>
      <xdr:row>98</xdr:row>
      <xdr:rowOff>27215</xdr:rowOff>
    </xdr:from>
    <xdr:to>
      <xdr:col>30</xdr:col>
      <xdr:colOff>295275</xdr:colOff>
      <xdr:row>118</xdr:row>
      <xdr:rowOff>171449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C88EBFC7-E5BB-4E0B-8593-063FAF48F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15</xdr:col>
      <xdr:colOff>979714</xdr:colOff>
      <xdr:row>54</xdr:row>
      <xdr:rowOff>54428</xdr:rowOff>
    </xdr:from>
    <xdr:to>
      <xdr:col>24</xdr:col>
      <xdr:colOff>5442</xdr:colOff>
      <xdr:row>75</xdr:row>
      <xdr:rowOff>57148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7866DCAF-35E7-456E-B871-DD4A90AA4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437029</xdr:colOff>
      <xdr:row>1</xdr:row>
      <xdr:rowOff>123265</xdr:rowOff>
    </xdr:from>
    <xdr:to>
      <xdr:col>17</xdr:col>
      <xdr:colOff>22412</xdr:colOff>
      <xdr:row>24</xdr:row>
      <xdr:rowOff>123265</xdr:rowOff>
    </xdr:to>
    <xdr:graphicFrame macro="">
      <xdr:nvGraphicFramePr>
        <xdr:cNvPr id="2" name="Diagramm 19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622010</xdr:colOff>
      <xdr:row>104</xdr:row>
      <xdr:rowOff>54421</xdr:rowOff>
    </xdr:from>
    <xdr:to>
      <xdr:col>26</xdr:col>
      <xdr:colOff>108987</xdr:colOff>
      <xdr:row>122</xdr:row>
      <xdr:rowOff>123337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516953</xdr:colOff>
      <xdr:row>103</xdr:row>
      <xdr:rowOff>77226</xdr:rowOff>
    </xdr:from>
    <xdr:to>
      <xdr:col>17</xdr:col>
      <xdr:colOff>292273</xdr:colOff>
      <xdr:row>121</xdr:row>
      <xdr:rowOff>92235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607395</xdr:colOff>
      <xdr:row>139</xdr:row>
      <xdr:rowOff>73574</xdr:rowOff>
    </xdr:from>
    <xdr:to>
      <xdr:col>17</xdr:col>
      <xdr:colOff>462956</xdr:colOff>
      <xdr:row>157</xdr:row>
      <xdr:rowOff>225900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580755</xdr:colOff>
      <xdr:row>151</xdr:row>
      <xdr:rowOff>245100</xdr:rowOff>
    </xdr:from>
    <xdr:to>
      <xdr:col>26</xdr:col>
      <xdr:colOff>25181</xdr:colOff>
      <xdr:row>170</xdr:row>
      <xdr:rowOff>137222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656896</xdr:colOff>
      <xdr:row>616</xdr:row>
      <xdr:rowOff>19036</xdr:rowOff>
    </xdr:from>
    <xdr:to>
      <xdr:col>15</xdr:col>
      <xdr:colOff>2052801</xdr:colOff>
      <xdr:row>630</xdr:row>
      <xdr:rowOff>196363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90485</xdr:colOff>
      <xdr:row>723</xdr:row>
      <xdr:rowOff>110450</xdr:rowOff>
    </xdr:from>
    <xdr:to>
      <xdr:col>3</xdr:col>
      <xdr:colOff>574204</xdr:colOff>
      <xdr:row>737</xdr:row>
      <xdr:rowOff>27693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710124</xdr:colOff>
      <xdr:row>723</xdr:row>
      <xdr:rowOff>139745</xdr:rowOff>
    </xdr:from>
    <xdr:to>
      <xdr:col>7</xdr:col>
      <xdr:colOff>470131</xdr:colOff>
      <xdr:row>737</xdr:row>
      <xdr:rowOff>69877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56297</xdr:colOff>
      <xdr:row>737</xdr:row>
      <xdr:rowOff>117364</xdr:rowOff>
    </xdr:from>
    <xdr:to>
      <xdr:col>3</xdr:col>
      <xdr:colOff>541306</xdr:colOff>
      <xdr:row>755</xdr:row>
      <xdr:rowOff>-1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640137</xdr:colOff>
      <xdr:row>737</xdr:row>
      <xdr:rowOff>183055</xdr:rowOff>
    </xdr:from>
    <xdr:to>
      <xdr:col>7</xdr:col>
      <xdr:colOff>373927</xdr:colOff>
      <xdr:row>755</xdr:row>
      <xdr:rowOff>39582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598870</xdr:colOff>
      <xdr:row>723</xdr:row>
      <xdr:rowOff>172107</xdr:rowOff>
    </xdr:from>
    <xdr:to>
      <xdr:col>13</xdr:col>
      <xdr:colOff>0</xdr:colOff>
      <xdr:row>737</xdr:row>
      <xdr:rowOff>109483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523223</xdr:colOff>
      <xdr:row>738</xdr:row>
      <xdr:rowOff>25547</xdr:rowOff>
    </xdr:from>
    <xdr:to>
      <xdr:col>12</xdr:col>
      <xdr:colOff>1249406</xdr:colOff>
      <xdr:row>755</xdr:row>
      <xdr:rowOff>182513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00000000-0008-0000-1E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112647</xdr:colOff>
      <xdr:row>632</xdr:row>
      <xdr:rowOff>153240</xdr:rowOff>
    </xdr:from>
    <xdr:to>
      <xdr:col>15</xdr:col>
      <xdr:colOff>769978</xdr:colOff>
      <xdr:row>646</xdr:row>
      <xdr:rowOff>126902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122134</xdr:colOff>
      <xdr:row>647</xdr:row>
      <xdr:rowOff>35548</xdr:rowOff>
    </xdr:from>
    <xdr:to>
      <xdr:col>15</xdr:col>
      <xdr:colOff>779465</xdr:colOff>
      <xdr:row>665</xdr:row>
      <xdr:rowOff>24304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46956</xdr:colOff>
      <xdr:row>756</xdr:row>
      <xdr:rowOff>17516</xdr:rowOff>
    </xdr:from>
    <xdr:to>
      <xdr:col>3</xdr:col>
      <xdr:colOff>530675</xdr:colOff>
      <xdr:row>773</xdr:row>
      <xdr:rowOff>175621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256682</xdr:colOff>
      <xdr:row>666</xdr:row>
      <xdr:rowOff>57034</xdr:rowOff>
    </xdr:from>
    <xdr:to>
      <xdr:col>20</xdr:col>
      <xdr:colOff>702166</xdr:colOff>
      <xdr:row>695</xdr:row>
      <xdr:rowOff>151879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684986</xdr:colOff>
      <xdr:row>727</xdr:row>
      <xdr:rowOff>7756</xdr:rowOff>
    </xdr:from>
    <xdr:to>
      <xdr:col>16</xdr:col>
      <xdr:colOff>1923325</xdr:colOff>
      <xdr:row>755</xdr:row>
      <xdr:rowOff>144214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514371</xdr:colOff>
      <xdr:row>697</xdr:row>
      <xdr:rowOff>115255</xdr:rowOff>
    </xdr:from>
    <xdr:to>
      <xdr:col>16</xdr:col>
      <xdr:colOff>1921000</xdr:colOff>
      <xdr:row>726</xdr:row>
      <xdr:rowOff>24961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0.74722</cdr:x>
      <cdr:y>0.21983</cdr:y>
    </cdr:from>
    <cdr:to>
      <cdr:x>0.86262</cdr:x>
      <cdr:y>0.30361</cdr:y>
    </cdr:to>
    <cdr:sp macro="" textlink="">
      <cdr:nvSpPr>
        <cdr:cNvPr id="2" name="Sprechblase: rechteckig 1">
          <a:extLst xmlns:a="http://schemas.openxmlformats.org/drawingml/2006/main">
            <a:ext uri="{FF2B5EF4-FFF2-40B4-BE49-F238E27FC236}">
              <a16:creationId xmlns:a16="http://schemas.microsoft.com/office/drawing/2014/main" id="{83D2D228-6E34-435E-9FB8-ED911789BFAB}"/>
            </a:ext>
          </a:extLst>
        </cdr:cNvPr>
        <cdr:cNvSpPr/>
      </cdr:nvSpPr>
      <cdr:spPr>
        <a:xfrm xmlns:a="http://schemas.openxmlformats.org/drawingml/2006/main">
          <a:off x="7096845" y="1141254"/>
          <a:ext cx="1096028" cy="434931"/>
        </a:xfrm>
        <a:prstGeom xmlns:a="http://schemas.openxmlformats.org/drawingml/2006/main" prst="wedgeRectCallout">
          <a:avLst>
            <a:gd name="adj1" fmla="val 19643"/>
            <a:gd name="adj2" fmla="val 114500"/>
          </a:avLst>
        </a:prstGeom>
        <a:solidFill xmlns:a="http://schemas.openxmlformats.org/drawingml/2006/main">
          <a:schemeClr val="bg1">
            <a:lumMod val="65000"/>
          </a:schemeClr>
        </a:solidFill>
        <a:ln xmlns:a="http://schemas.openxmlformats.org/drawingml/2006/main">
          <a:solidFill>
            <a:schemeClr val="bg1">
              <a:lumMod val="50000"/>
            </a:schemeClr>
          </a:solidFill>
        </a:ln>
        <a:effectLst xmlns:a="http://schemas.openxmlformats.org/drawingml/2006/main">
          <a:reflection endPos="0" dir="5400000" sy="-100000" algn="bl" rotWithShape="0"/>
        </a:effec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de-DE" sz="1600" b="1">
              <a:solidFill>
                <a:sysClr val="windowText" lastClr="000000"/>
              </a:solidFill>
              <a:latin typeface="Arial Nova" panose="020B0504020202020204" pitchFamily="34" charset="0"/>
            </a:rPr>
            <a:t>18,8% weniger Energiebedarf</a:t>
          </a: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14</xdr:row>
      <xdr:rowOff>171450</xdr:rowOff>
    </xdr:from>
    <xdr:to>
      <xdr:col>6</xdr:col>
      <xdr:colOff>714925</xdr:colOff>
      <xdr:row>30</xdr:row>
      <xdr:rowOff>6625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104775</xdr:colOff>
      <xdr:row>15</xdr:row>
      <xdr:rowOff>0</xdr:rowOff>
    </xdr:from>
    <xdr:to>
      <xdr:col>15</xdr:col>
      <xdr:colOff>530678</xdr:colOff>
      <xdr:row>30</xdr:row>
      <xdr:rowOff>25675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629200</xdr:colOff>
      <xdr:row>47</xdr:row>
      <xdr:rowOff>25675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19050</xdr:colOff>
      <xdr:row>32</xdr:row>
      <xdr:rowOff>19050</xdr:rowOff>
    </xdr:from>
    <xdr:to>
      <xdr:col>15</xdr:col>
      <xdr:colOff>653143</xdr:colOff>
      <xdr:row>47</xdr:row>
      <xdr:rowOff>44725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26</xdr:row>
      <xdr:rowOff>0</xdr:rowOff>
    </xdr:from>
    <xdr:to>
      <xdr:col>10</xdr:col>
      <xdr:colOff>506825</xdr:colOff>
      <xdr:row>41</xdr:row>
      <xdr:rowOff>162200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26</xdr:row>
      <xdr:rowOff>0</xdr:rowOff>
    </xdr:from>
    <xdr:to>
      <xdr:col>17</xdr:col>
      <xdr:colOff>149775</xdr:colOff>
      <xdr:row>41</xdr:row>
      <xdr:rowOff>168550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26</xdr:row>
      <xdr:rowOff>0</xdr:rowOff>
    </xdr:from>
    <xdr:to>
      <xdr:col>23</xdr:col>
      <xdr:colOff>0</xdr:colOff>
      <xdr:row>41</xdr:row>
      <xdr:rowOff>159025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26</xdr:row>
      <xdr:rowOff>0</xdr:rowOff>
    </xdr:from>
    <xdr:to>
      <xdr:col>28</xdr:col>
      <xdr:colOff>152950</xdr:colOff>
      <xdr:row>41</xdr:row>
      <xdr:rowOff>171725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26</xdr:row>
      <xdr:rowOff>0</xdr:rowOff>
    </xdr:from>
    <xdr:to>
      <xdr:col>34</xdr:col>
      <xdr:colOff>0</xdr:colOff>
      <xdr:row>41</xdr:row>
      <xdr:rowOff>162200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26</xdr:row>
      <xdr:rowOff>0</xdr:rowOff>
    </xdr:from>
    <xdr:to>
      <xdr:col>40</xdr:col>
      <xdr:colOff>149775</xdr:colOff>
      <xdr:row>41</xdr:row>
      <xdr:rowOff>168550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3</xdr:col>
      <xdr:colOff>597450</xdr:colOff>
      <xdr:row>41</xdr:row>
      <xdr:rowOff>168550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26</xdr:row>
      <xdr:rowOff>0</xdr:rowOff>
    </xdr:from>
    <xdr:to>
      <xdr:col>45</xdr:col>
      <xdr:colOff>830675</xdr:colOff>
      <xdr:row>41</xdr:row>
      <xdr:rowOff>162200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0</xdr:colOff>
      <xdr:row>26</xdr:row>
      <xdr:rowOff>0</xdr:rowOff>
    </xdr:from>
    <xdr:to>
      <xdr:col>53</xdr:col>
      <xdr:colOff>197400</xdr:colOff>
      <xdr:row>41</xdr:row>
      <xdr:rowOff>168550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0</xdr:colOff>
      <xdr:row>26</xdr:row>
      <xdr:rowOff>0</xdr:rowOff>
    </xdr:from>
    <xdr:to>
      <xdr:col>58</xdr:col>
      <xdr:colOff>506825</xdr:colOff>
      <xdr:row>41</xdr:row>
      <xdr:rowOff>162200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0</xdr:colOff>
      <xdr:row>46</xdr:row>
      <xdr:rowOff>0</xdr:rowOff>
    </xdr:from>
    <xdr:to>
      <xdr:col>10</xdr:col>
      <xdr:colOff>506825</xdr:colOff>
      <xdr:row>61</xdr:row>
      <xdr:rowOff>162201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3</xdr:col>
      <xdr:colOff>597450</xdr:colOff>
      <xdr:row>61</xdr:row>
      <xdr:rowOff>168551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0</xdr:colOff>
      <xdr:row>46</xdr:row>
      <xdr:rowOff>0</xdr:rowOff>
    </xdr:from>
    <xdr:to>
      <xdr:col>17</xdr:col>
      <xdr:colOff>149775</xdr:colOff>
      <xdr:row>61</xdr:row>
      <xdr:rowOff>168551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46</xdr:row>
      <xdr:rowOff>0</xdr:rowOff>
    </xdr:from>
    <xdr:to>
      <xdr:col>23</xdr:col>
      <xdr:colOff>0</xdr:colOff>
      <xdr:row>61</xdr:row>
      <xdr:rowOff>159026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28</xdr:col>
      <xdr:colOff>149775</xdr:colOff>
      <xdr:row>61</xdr:row>
      <xdr:rowOff>168551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0</xdr:colOff>
      <xdr:row>46</xdr:row>
      <xdr:rowOff>0</xdr:rowOff>
    </xdr:from>
    <xdr:to>
      <xdr:col>34</xdr:col>
      <xdr:colOff>0</xdr:colOff>
      <xdr:row>61</xdr:row>
      <xdr:rowOff>159026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</xdr:col>
      <xdr:colOff>0</xdr:colOff>
      <xdr:row>46</xdr:row>
      <xdr:rowOff>0</xdr:rowOff>
    </xdr:from>
    <xdr:to>
      <xdr:col>40</xdr:col>
      <xdr:colOff>149775</xdr:colOff>
      <xdr:row>61</xdr:row>
      <xdr:rowOff>168551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0</xdr:colOff>
      <xdr:row>46</xdr:row>
      <xdr:rowOff>0</xdr:rowOff>
    </xdr:from>
    <xdr:to>
      <xdr:col>45</xdr:col>
      <xdr:colOff>830675</xdr:colOff>
      <xdr:row>61</xdr:row>
      <xdr:rowOff>162201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0</xdr:colOff>
      <xdr:row>46</xdr:row>
      <xdr:rowOff>0</xdr:rowOff>
    </xdr:from>
    <xdr:to>
      <xdr:col>53</xdr:col>
      <xdr:colOff>197400</xdr:colOff>
      <xdr:row>61</xdr:row>
      <xdr:rowOff>168551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54</xdr:col>
      <xdr:colOff>0</xdr:colOff>
      <xdr:row>46</xdr:row>
      <xdr:rowOff>0</xdr:rowOff>
    </xdr:from>
    <xdr:to>
      <xdr:col>58</xdr:col>
      <xdr:colOff>506825</xdr:colOff>
      <xdr:row>61</xdr:row>
      <xdr:rowOff>162201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15</xdr:row>
      <xdr:rowOff>0</xdr:rowOff>
    </xdr:from>
    <xdr:to>
      <xdr:col>22</xdr:col>
      <xdr:colOff>464100</xdr:colOff>
      <xdr:row>30</xdr:row>
      <xdr:rowOff>168550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15</xdr:row>
      <xdr:rowOff>0</xdr:rowOff>
    </xdr:from>
    <xdr:to>
      <xdr:col>10</xdr:col>
      <xdr:colOff>387900</xdr:colOff>
      <xdr:row>30</xdr:row>
      <xdr:rowOff>168550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15</xdr:row>
      <xdr:rowOff>0</xdr:rowOff>
    </xdr:from>
    <xdr:to>
      <xdr:col>34</xdr:col>
      <xdr:colOff>464100</xdr:colOff>
      <xdr:row>30</xdr:row>
      <xdr:rowOff>168550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15</xdr:row>
      <xdr:rowOff>0</xdr:rowOff>
    </xdr:from>
    <xdr:to>
      <xdr:col>46</xdr:col>
      <xdr:colOff>464100</xdr:colOff>
      <xdr:row>30</xdr:row>
      <xdr:rowOff>168550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15</xdr:row>
      <xdr:rowOff>0</xdr:rowOff>
    </xdr:from>
    <xdr:to>
      <xdr:col>58</xdr:col>
      <xdr:colOff>464100</xdr:colOff>
      <xdr:row>30</xdr:row>
      <xdr:rowOff>168550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33</xdr:row>
      <xdr:rowOff>0</xdr:rowOff>
    </xdr:from>
    <xdr:to>
      <xdr:col>10</xdr:col>
      <xdr:colOff>387900</xdr:colOff>
      <xdr:row>48</xdr:row>
      <xdr:rowOff>168550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22</xdr:col>
      <xdr:colOff>464100</xdr:colOff>
      <xdr:row>49</xdr:row>
      <xdr:rowOff>168550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0</xdr:colOff>
      <xdr:row>34</xdr:row>
      <xdr:rowOff>0</xdr:rowOff>
    </xdr:from>
    <xdr:to>
      <xdr:col>34</xdr:col>
      <xdr:colOff>464100</xdr:colOff>
      <xdr:row>49</xdr:row>
      <xdr:rowOff>168550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34</xdr:row>
      <xdr:rowOff>0</xdr:rowOff>
    </xdr:from>
    <xdr:to>
      <xdr:col>46</xdr:col>
      <xdr:colOff>464100</xdr:colOff>
      <xdr:row>49</xdr:row>
      <xdr:rowOff>168550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0</xdr:colOff>
      <xdr:row>34</xdr:row>
      <xdr:rowOff>0</xdr:rowOff>
    </xdr:from>
    <xdr:to>
      <xdr:col>58</xdr:col>
      <xdr:colOff>464100</xdr:colOff>
      <xdr:row>49</xdr:row>
      <xdr:rowOff>168550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0</xdr:rowOff>
    </xdr:from>
    <xdr:to>
      <xdr:col>10</xdr:col>
      <xdr:colOff>506825</xdr:colOff>
      <xdr:row>36</xdr:row>
      <xdr:rowOff>162200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23</xdr:row>
      <xdr:rowOff>0</xdr:rowOff>
    </xdr:from>
    <xdr:to>
      <xdr:col>17</xdr:col>
      <xdr:colOff>149775</xdr:colOff>
      <xdr:row>38</xdr:row>
      <xdr:rowOff>168550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23</xdr:row>
      <xdr:rowOff>0</xdr:rowOff>
    </xdr:from>
    <xdr:to>
      <xdr:col>23</xdr:col>
      <xdr:colOff>0</xdr:colOff>
      <xdr:row>38</xdr:row>
      <xdr:rowOff>159025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23</xdr:row>
      <xdr:rowOff>0</xdr:rowOff>
    </xdr:from>
    <xdr:to>
      <xdr:col>29</xdr:col>
      <xdr:colOff>152950</xdr:colOff>
      <xdr:row>38</xdr:row>
      <xdr:rowOff>171725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23</xdr:row>
      <xdr:rowOff>0</xdr:rowOff>
    </xdr:from>
    <xdr:to>
      <xdr:col>35</xdr:col>
      <xdr:colOff>0</xdr:colOff>
      <xdr:row>38</xdr:row>
      <xdr:rowOff>162200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41</xdr:col>
      <xdr:colOff>149775</xdr:colOff>
      <xdr:row>36</xdr:row>
      <xdr:rowOff>168550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3</xdr:col>
      <xdr:colOff>597450</xdr:colOff>
      <xdr:row>36</xdr:row>
      <xdr:rowOff>168550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46</xdr:col>
      <xdr:colOff>830675</xdr:colOff>
      <xdr:row>36</xdr:row>
      <xdr:rowOff>162200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41</xdr:row>
      <xdr:rowOff>0</xdr:rowOff>
    </xdr:from>
    <xdr:to>
      <xdr:col>10</xdr:col>
      <xdr:colOff>506825</xdr:colOff>
      <xdr:row>56</xdr:row>
      <xdr:rowOff>162201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41</xdr:row>
      <xdr:rowOff>0</xdr:rowOff>
    </xdr:from>
    <xdr:to>
      <xdr:col>3</xdr:col>
      <xdr:colOff>597450</xdr:colOff>
      <xdr:row>56</xdr:row>
      <xdr:rowOff>168551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0</xdr:colOff>
      <xdr:row>42</xdr:row>
      <xdr:rowOff>0</xdr:rowOff>
    </xdr:from>
    <xdr:to>
      <xdr:col>17</xdr:col>
      <xdr:colOff>149775</xdr:colOff>
      <xdr:row>57</xdr:row>
      <xdr:rowOff>168551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42</xdr:row>
      <xdr:rowOff>0</xdr:rowOff>
    </xdr:from>
    <xdr:to>
      <xdr:col>23</xdr:col>
      <xdr:colOff>0</xdr:colOff>
      <xdr:row>57</xdr:row>
      <xdr:rowOff>159026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42</xdr:row>
      <xdr:rowOff>0</xdr:rowOff>
    </xdr:from>
    <xdr:to>
      <xdr:col>29</xdr:col>
      <xdr:colOff>152950</xdr:colOff>
      <xdr:row>57</xdr:row>
      <xdr:rowOff>171726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30</xdr:col>
      <xdr:colOff>0</xdr:colOff>
      <xdr:row>42</xdr:row>
      <xdr:rowOff>0</xdr:rowOff>
    </xdr:from>
    <xdr:to>
      <xdr:col>35</xdr:col>
      <xdr:colOff>0</xdr:colOff>
      <xdr:row>57</xdr:row>
      <xdr:rowOff>162201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0</xdr:colOff>
      <xdr:row>43</xdr:row>
      <xdr:rowOff>0</xdr:rowOff>
    </xdr:from>
    <xdr:to>
      <xdr:col>41</xdr:col>
      <xdr:colOff>149775</xdr:colOff>
      <xdr:row>58</xdr:row>
      <xdr:rowOff>168550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42</xdr:col>
      <xdr:colOff>0</xdr:colOff>
      <xdr:row>43</xdr:row>
      <xdr:rowOff>0</xdr:rowOff>
    </xdr:from>
    <xdr:to>
      <xdr:col>46</xdr:col>
      <xdr:colOff>830675</xdr:colOff>
      <xdr:row>58</xdr:row>
      <xdr:rowOff>162200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377825</xdr:colOff>
      <xdr:row>73</xdr:row>
      <xdr:rowOff>28575</xdr:rowOff>
    </xdr:from>
    <xdr:to>
      <xdr:col>4</xdr:col>
      <xdr:colOff>981625</xdr:colOff>
      <xdr:row>89</xdr:row>
      <xdr:rowOff>19325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73</xdr:row>
      <xdr:rowOff>114300</xdr:rowOff>
    </xdr:from>
    <xdr:to>
      <xdr:col>18</xdr:col>
      <xdr:colOff>191050</xdr:colOff>
      <xdr:row>89</xdr:row>
      <xdr:rowOff>98700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152400</xdr:colOff>
      <xdr:row>73</xdr:row>
      <xdr:rowOff>114300</xdr:rowOff>
    </xdr:from>
    <xdr:to>
      <xdr:col>24</xdr:col>
      <xdr:colOff>0</xdr:colOff>
      <xdr:row>89</xdr:row>
      <xdr:rowOff>86000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152400</xdr:colOff>
      <xdr:row>92</xdr:row>
      <xdr:rowOff>114300</xdr:rowOff>
    </xdr:from>
    <xdr:to>
      <xdr:col>4</xdr:col>
      <xdr:colOff>756200</xdr:colOff>
      <xdr:row>108</xdr:row>
      <xdr:rowOff>86000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152400</xdr:colOff>
      <xdr:row>92</xdr:row>
      <xdr:rowOff>114300</xdr:rowOff>
    </xdr:from>
    <xdr:to>
      <xdr:col>11</xdr:col>
      <xdr:colOff>621125</xdr:colOff>
      <xdr:row>108</xdr:row>
      <xdr:rowOff>76475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152400</xdr:colOff>
      <xdr:row>73</xdr:row>
      <xdr:rowOff>114300</xdr:rowOff>
    </xdr:from>
    <xdr:to>
      <xdr:col>11</xdr:col>
      <xdr:colOff>621125</xdr:colOff>
      <xdr:row>89</xdr:row>
      <xdr:rowOff>86000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152400</xdr:colOff>
      <xdr:row>92</xdr:row>
      <xdr:rowOff>114300</xdr:rowOff>
    </xdr:from>
    <xdr:to>
      <xdr:col>18</xdr:col>
      <xdr:colOff>213275</xdr:colOff>
      <xdr:row>108</xdr:row>
      <xdr:rowOff>76475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152400</xdr:colOff>
      <xdr:row>92</xdr:row>
      <xdr:rowOff>123825</xdr:rowOff>
    </xdr:from>
    <xdr:to>
      <xdr:col>24</xdr:col>
      <xdr:colOff>0</xdr:colOff>
      <xdr:row>108</xdr:row>
      <xdr:rowOff>76475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152400</xdr:colOff>
      <xdr:row>73</xdr:row>
      <xdr:rowOff>142875</xdr:rowOff>
    </xdr:from>
    <xdr:to>
      <xdr:col>29</xdr:col>
      <xdr:colOff>191050</xdr:colOff>
      <xdr:row>89</xdr:row>
      <xdr:rowOff>146325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123825</xdr:colOff>
      <xdr:row>73</xdr:row>
      <xdr:rowOff>85725</xdr:rowOff>
    </xdr:from>
    <xdr:to>
      <xdr:col>35</xdr:col>
      <xdr:colOff>0</xdr:colOff>
      <xdr:row>89</xdr:row>
      <xdr:rowOff>95525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2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37</xdr:col>
      <xdr:colOff>152400</xdr:colOff>
      <xdr:row>122</xdr:row>
      <xdr:rowOff>114300</xdr:rowOff>
    </xdr:from>
    <xdr:to>
      <xdr:col>42</xdr:col>
      <xdr:colOff>54429</xdr:colOff>
      <xdr:row>138</xdr:row>
      <xdr:rowOff>98700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2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152400</xdr:colOff>
      <xdr:row>122</xdr:row>
      <xdr:rowOff>114300</xdr:rowOff>
    </xdr:from>
    <xdr:to>
      <xdr:col>47</xdr:col>
      <xdr:colOff>0</xdr:colOff>
      <xdr:row>138</xdr:row>
      <xdr:rowOff>86000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2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49</xdr:col>
      <xdr:colOff>152399</xdr:colOff>
      <xdr:row>22</xdr:row>
      <xdr:rowOff>114300</xdr:rowOff>
    </xdr:from>
    <xdr:to>
      <xdr:col>53</xdr:col>
      <xdr:colOff>95249</xdr:colOff>
      <xdr:row>38</xdr:row>
      <xdr:rowOff>95525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2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152400</xdr:colOff>
      <xdr:row>22</xdr:row>
      <xdr:rowOff>114300</xdr:rowOff>
    </xdr:from>
    <xdr:to>
      <xdr:col>59</xdr:col>
      <xdr:colOff>0</xdr:colOff>
      <xdr:row>38</xdr:row>
      <xdr:rowOff>86000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2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49</xdr:col>
      <xdr:colOff>152400</xdr:colOff>
      <xdr:row>41</xdr:row>
      <xdr:rowOff>114300</xdr:rowOff>
    </xdr:from>
    <xdr:to>
      <xdr:col>52</xdr:col>
      <xdr:colOff>708575</xdr:colOff>
      <xdr:row>57</xdr:row>
      <xdr:rowOff>86000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0000000-0008-0000-2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53</xdr:col>
      <xdr:colOff>152400</xdr:colOff>
      <xdr:row>41</xdr:row>
      <xdr:rowOff>114300</xdr:rowOff>
    </xdr:from>
    <xdr:to>
      <xdr:col>59</xdr:col>
      <xdr:colOff>0</xdr:colOff>
      <xdr:row>57</xdr:row>
      <xdr:rowOff>76475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00000000-0008-0000-2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152400</xdr:colOff>
      <xdr:row>140</xdr:row>
      <xdr:rowOff>114300</xdr:rowOff>
    </xdr:from>
    <xdr:to>
      <xdr:col>41</xdr:col>
      <xdr:colOff>286300</xdr:colOff>
      <xdr:row>156</xdr:row>
      <xdr:rowOff>98700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00000000-0008-0000-2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42</xdr:col>
      <xdr:colOff>152400</xdr:colOff>
      <xdr:row>140</xdr:row>
      <xdr:rowOff>114300</xdr:rowOff>
    </xdr:from>
    <xdr:to>
      <xdr:col>47</xdr:col>
      <xdr:colOff>0</xdr:colOff>
      <xdr:row>156</xdr:row>
      <xdr:rowOff>86000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00000000-0008-0000-2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377825</xdr:colOff>
      <xdr:row>113</xdr:row>
      <xdr:rowOff>114300</xdr:rowOff>
    </xdr:from>
    <xdr:to>
      <xdr:col>4</xdr:col>
      <xdr:colOff>981625</xdr:colOff>
      <xdr:row>129</xdr:row>
      <xdr:rowOff>95525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00000000-0008-0000-2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152400</xdr:colOff>
      <xdr:row>133</xdr:row>
      <xdr:rowOff>0</xdr:rowOff>
    </xdr:from>
    <xdr:to>
      <xdr:col>4</xdr:col>
      <xdr:colOff>756200</xdr:colOff>
      <xdr:row>149</xdr:row>
      <xdr:rowOff>19325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00000000-0008-0000-2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152400</xdr:colOff>
      <xdr:row>133</xdr:row>
      <xdr:rowOff>0</xdr:rowOff>
    </xdr:from>
    <xdr:to>
      <xdr:col>11</xdr:col>
      <xdr:colOff>621125</xdr:colOff>
      <xdr:row>149</xdr:row>
      <xdr:rowOff>9800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00000000-0008-0000-2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152400</xdr:colOff>
      <xdr:row>114</xdr:row>
      <xdr:rowOff>0</xdr:rowOff>
    </xdr:from>
    <xdr:to>
      <xdr:col>11</xdr:col>
      <xdr:colOff>621125</xdr:colOff>
      <xdr:row>129</xdr:row>
      <xdr:rowOff>171725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00000000-0008-0000-2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49</xdr:col>
      <xdr:colOff>152400</xdr:colOff>
      <xdr:row>61</xdr:row>
      <xdr:rowOff>114300</xdr:rowOff>
    </xdr:from>
    <xdr:to>
      <xdr:col>53</xdr:col>
      <xdr:colOff>176893</xdr:colOff>
      <xdr:row>76</xdr:row>
      <xdr:rowOff>152675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00000000-0008-0000-2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53</xdr:col>
      <xdr:colOff>152400</xdr:colOff>
      <xdr:row>61</xdr:row>
      <xdr:rowOff>114300</xdr:rowOff>
    </xdr:from>
    <xdr:to>
      <xdr:col>59</xdr:col>
      <xdr:colOff>0</xdr:colOff>
      <xdr:row>76</xdr:row>
      <xdr:rowOff>143150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00000000-0008-0000-2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49</xdr:col>
      <xdr:colOff>152400</xdr:colOff>
      <xdr:row>79</xdr:row>
      <xdr:rowOff>133350</xdr:rowOff>
    </xdr:from>
    <xdr:to>
      <xdr:col>52</xdr:col>
      <xdr:colOff>708575</xdr:colOff>
      <xdr:row>95</xdr:row>
      <xdr:rowOff>275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00000000-0008-0000-2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53</xdr:col>
      <xdr:colOff>152400</xdr:colOff>
      <xdr:row>79</xdr:row>
      <xdr:rowOff>133350</xdr:rowOff>
    </xdr:from>
    <xdr:to>
      <xdr:col>59</xdr:col>
      <xdr:colOff>0</xdr:colOff>
      <xdr:row>94</xdr:row>
      <xdr:rowOff>181250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00000000-0008-0000-2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37</xdr:col>
      <xdr:colOff>152399</xdr:colOff>
      <xdr:row>159</xdr:row>
      <xdr:rowOff>114300</xdr:rowOff>
    </xdr:from>
    <xdr:to>
      <xdr:col>42</xdr:col>
      <xdr:colOff>136071</xdr:colOff>
      <xdr:row>175</xdr:row>
      <xdr:rowOff>98700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00000000-0008-0000-2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42</xdr:col>
      <xdr:colOff>152400</xdr:colOff>
      <xdr:row>159</xdr:row>
      <xdr:rowOff>114300</xdr:rowOff>
    </xdr:from>
    <xdr:to>
      <xdr:col>47</xdr:col>
      <xdr:colOff>0</xdr:colOff>
      <xdr:row>175</xdr:row>
      <xdr:rowOff>86000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00000000-0008-0000-2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37</xdr:col>
      <xdr:colOff>152400</xdr:colOff>
      <xdr:row>177</xdr:row>
      <xdr:rowOff>114300</xdr:rowOff>
    </xdr:from>
    <xdr:to>
      <xdr:col>41</xdr:col>
      <xdr:colOff>286300</xdr:colOff>
      <xdr:row>193</xdr:row>
      <xdr:rowOff>98700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00000000-0008-0000-2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42</xdr:col>
      <xdr:colOff>152400</xdr:colOff>
      <xdr:row>177</xdr:row>
      <xdr:rowOff>114300</xdr:rowOff>
    </xdr:from>
    <xdr:to>
      <xdr:col>47</xdr:col>
      <xdr:colOff>0</xdr:colOff>
      <xdr:row>193</xdr:row>
      <xdr:rowOff>86000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00000000-0008-0000-2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25</xdr:col>
      <xdr:colOff>152400</xdr:colOff>
      <xdr:row>92</xdr:row>
      <xdr:rowOff>161925</xdr:rowOff>
    </xdr:from>
    <xdr:to>
      <xdr:col>29</xdr:col>
      <xdr:colOff>639536</xdr:colOff>
      <xdr:row>108</xdr:row>
      <xdr:rowOff>127275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00000000-0008-0000-2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30</xdr:col>
      <xdr:colOff>123825</xdr:colOff>
      <xdr:row>92</xdr:row>
      <xdr:rowOff>114300</xdr:rowOff>
    </xdr:from>
    <xdr:to>
      <xdr:col>35</xdr:col>
      <xdr:colOff>0</xdr:colOff>
      <xdr:row>108</xdr:row>
      <xdr:rowOff>76475</xdr:rowOff>
    </xdr:to>
    <xdr:graphicFrame macro="">
      <xdr:nvGraphicFramePr>
        <xdr:cNvPr id="40" name="Diagramm 39">
          <a:extLst>
            <a:ext uri="{FF2B5EF4-FFF2-40B4-BE49-F238E27FC236}">
              <a16:creationId xmlns:a16="http://schemas.microsoft.com/office/drawing/2014/main" id="{00000000-0008-0000-23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</xdr:col>
      <xdr:colOff>152399</xdr:colOff>
      <xdr:row>111</xdr:row>
      <xdr:rowOff>114300</xdr:rowOff>
    </xdr:from>
    <xdr:to>
      <xdr:col>18</xdr:col>
      <xdr:colOff>653143</xdr:colOff>
      <xdr:row>127</xdr:row>
      <xdr:rowOff>98700</xdr:rowOff>
    </xdr:to>
    <xdr:graphicFrame macro="">
      <xdr:nvGraphicFramePr>
        <xdr:cNvPr id="41" name="Diagramm 40">
          <a:extLst>
            <a:ext uri="{FF2B5EF4-FFF2-40B4-BE49-F238E27FC236}">
              <a16:creationId xmlns:a16="http://schemas.microsoft.com/office/drawing/2014/main" id="{00000000-0008-0000-23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19</xdr:col>
      <xdr:colOff>152400</xdr:colOff>
      <xdr:row>111</xdr:row>
      <xdr:rowOff>114300</xdr:rowOff>
    </xdr:from>
    <xdr:to>
      <xdr:col>24</xdr:col>
      <xdr:colOff>0</xdr:colOff>
      <xdr:row>127</xdr:row>
      <xdr:rowOff>86000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00000000-0008-0000-23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152400</xdr:colOff>
      <xdr:row>130</xdr:row>
      <xdr:rowOff>114300</xdr:rowOff>
    </xdr:from>
    <xdr:to>
      <xdr:col>18</xdr:col>
      <xdr:colOff>213275</xdr:colOff>
      <xdr:row>146</xdr:row>
      <xdr:rowOff>124100</xdr:rowOff>
    </xdr:to>
    <xdr:graphicFrame macro="">
      <xdr:nvGraphicFramePr>
        <xdr:cNvPr id="43" name="Diagramm 42">
          <a:extLst>
            <a:ext uri="{FF2B5EF4-FFF2-40B4-BE49-F238E27FC236}">
              <a16:creationId xmlns:a16="http://schemas.microsoft.com/office/drawing/2014/main" id="{00000000-0008-0000-23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19</xdr:col>
      <xdr:colOff>152400</xdr:colOff>
      <xdr:row>130</xdr:row>
      <xdr:rowOff>123825</xdr:rowOff>
    </xdr:from>
    <xdr:to>
      <xdr:col>24</xdr:col>
      <xdr:colOff>0</xdr:colOff>
      <xdr:row>146</xdr:row>
      <xdr:rowOff>124100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00000000-0008-0000-23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49</xdr:col>
      <xdr:colOff>152399</xdr:colOff>
      <xdr:row>114</xdr:row>
      <xdr:rowOff>152400</xdr:rowOff>
    </xdr:from>
    <xdr:to>
      <xdr:col>55</xdr:col>
      <xdr:colOff>432953</xdr:colOff>
      <xdr:row>130</xdr:row>
      <xdr:rowOff>275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00000000-0008-0000-23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55</xdr:col>
      <xdr:colOff>568037</xdr:colOff>
      <xdr:row>114</xdr:row>
      <xdr:rowOff>169719</xdr:rowOff>
    </xdr:from>
    <xdr:to>
      <xdr:col>61</xdr:col>
      <xdr:colOff>2199409</xdr:colOff>
      <xdr:row>130</xdr:row>
      <xdr:rowOff>25388</xdr:rowOff>
    </xdr:to>
    <xdr:graphicFrame macro="">
      <xdr:nvGraphicFramePr>
        <xdr:cNvPr id="46" name="Diagramm 45">
          <a:extLst>
            <a:ext uri="{FF2B5EF4-FFF2-40B4-BE49-F238E27FC236}">
              <a16:creationId xmlns:a16="http://schemas.microsoft.com/office/drawing/2014/main" id="{00000000-0008-0000-2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49</xdr:col>
      <xdr:colOff>-1</xdr:colOff>
      <xdr:row>97</xdr:row>
      <xdr:rowOff>0</xdr:rowOff>
    </xdr:from>
    <xdr:to>
      <xdr:col>55</xdr:col>
      <xdr:colOff>467589</xdr:colOff>
      <xdr:row>112</xdr:row>
      <xdr:rowOff>171725</xdr:rowOff>
    </xdr:to>
    <xdr:graphicFrame macro="">
      <xdr:nvGraphicFramePr>
        <xdr:cNvPr id="47" name="Diagramm 46">
          <a:extLst>
            <a:ext uri="{FF2B5EF4-FFF2-40B4-BE49-F238E27FC236}">
              <a16:creationId xmlns:a16="http://schemas.microsoft.com/office/drawing/2014/main" id="{00000000-0008-0000-23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55</xdr:col>
      <xdr:colOff>606137</xdr:colOff>
      <xdr:row>97</xdr:row>
      <xdr:rowOff>0</xdr:rowOff>
    </xdr:from>
    <xdr:to>
      <xdr:col>62</xdr:col>
      <xdr:colOff>0</xdr:colOff>
      <xdr:row>112</xdr:row>
      <xdr:rowOff>162200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00000000-0008-0000-23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35</xdr:col>
      <xdr:colOff>0</xdr:colOff>
      <xdr:row>197</xdr:row>
      <xdr:rowOff>152400</xdr:rowOff>
    </xdr:from>
    <xdr:to>
      <xdr:col>41</xdr:col>
      <xdr:colOff>637755</xdr:colOff>
      <xdr:row>217</xdr:row>
      <xdr:rowOff>46731</xdr:rowOff>
    </xdr:to>
    <xdr:graphicFrame macro="">
      <xdr:nvGraphicFramePr>
        <xdr:cNvPr id="49" name="Diagramm 48">
          <a:extLst>
            <a:ext uri="{FF2B5EF4-FFF2-40B4-BE49-F238E27FC236}">
              <a16:creationId xmlns:a16="http://schemas.microsoft.com/office/drawing/2014/main" id="{00000000-0008-0000-23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41</xdr:col>
      <xdr:colOff>775606</xdr:colOff>
      <xdr:row>197</xdr:row>
      <xdr:rowOff>152400</xdr:rowOff>
    </xdr:from>
    <xdr:to>
      <xdr:col>48</xdr:col>
      <xdr:colOff>639534</xdr:colOff>
      <xdr:row>217</xdr:row>
      <xdr:rowOff>31173</xdr:rowOff>
    </xdr:to>
    <xdr:graphicFrame macro="">
      <xdr:nvGraphicFramePr>
        <xdr:cNvPr id="50" name="Diagramm 49">
          <a:extLst>
            <a:ext uri="{FF2B5EF4-FFF2-40B4-BE49-F238E27FC236}">
              <a16:creationId xmlns:a16="http://schemas.microsoft.com/office/drawing/2014/main" id="{00000000-0008-0000-23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35</xdr:col>
      <xdr:colOff>0</xdr:colOff>
      <xdr:row>218</xdr:row>
      <xdr:rowOff>48491</xdr:rowOff>
    </xdr:from>
    <xdr:to>
      <xdr:col>41</xdr:col>
      <xdr:colOff>655074</xdr:colOff>
      <xdr:row>237</xdr:row>
      <xdr:rowOff>171854</xdr:rowOff>
    </xdr:to>
    <xdr:graphicFrame macro="">
      <xdr:nvGraphicFramePr>
        <xdr:cNvPr id="51" name="Diagramm 50">
          <a:extLst>
            <a:ext uri="{FF2B5EF4-FFF2-40B4-BE49-F238E27FC236}">
              <a16:creationId xmlns:a16="http://schemas.microsoft.com/office/drawing/2014/main" id="{00000000-0008-0000-23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42</xdr:col>
      <xdr:colOff>17318</xdr:colOff>
      <xdr:row>218</xdr:row>
      <xdr:rowOff>48491</xdr:rowOff>
    </xdr:from>
    <xdr:to>
      <xdr:col>48</xdr:col>
      <xdr:colOff>666750</xdr:colOff>
      <xdr:row>237</xdr:row>
      <xdr:rowOff>156297</xdr:rowOff>
    </xdr:to>
    <xdr:graphicFrame macro="">
      <xdr:nvGraphicFramePr>
        <xdr:cNvPr id="52" name="Diagramm 51">
          <a:extLst>
            <a:ext uri="{FF2B5EF4-FFF2-40B4-BE49-F238E27FC236}">
              <a16:creationId xmlns:a16="http://schemas.microsoft.com/office/drawing/2014/main" id="{00000000-0008-0000-23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11</xdr:row>
      <xdr:rowOff>171450</xdr:rowOff>
    </xdr:from>
    <xdr:to>
      <xdr:col>6</xdr:col>
      <xdr:colOff>67225</xdr:colOff>
      <xdr:row>27</xdr:row>
      <xdr:rowOff>12975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</xdr:colOff>
      <xdr:row>12</xdr:row>
      <xdr:rowOff>180975</xdr:rowOff>
    </xdr:from>
    <xdr:to>
      <xdr:col>20</xdr:col>
      <xdr:colOff>448225</xdr:colOff>
      <xdr:row>28</xdr:row>
      <xdr:rowOff>32025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95250</xdr:colOff>
      <xdr:row>13</xdr:row>
      <xdr:rowOff>104775</xdr:rowOff>
    </xdr:from>
    <xdr:to>
      <xdr:col>31</xdr:col>
      <xdr:colOff>505375</xdr:colOff>
      <xdr:row>28</xdr:row>
      <xdr:rowOff>146325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9525</xdr:colOff>
      <xdr:row>13</xdr:row>
      <xdr:rowOff>28575</xdr:rowOff>
    </xdr:from>
    <xdr:to>
      <xdr:col>42</xdr:col>
      <xdr:colOff>419650</xdr:colOff>
      <xdr:row>28</xdr:row>
      <xdr:rowOff>70125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9525</xdr:colOff>
      <xdr:row>13</xdr:row>
      <xdr:rowOff>9525</xdr:rowOff>
    </xdr:from>
    <xdr:to>
      <xdr:col>53</xdr:col>
      <xdr:colOff>419650</xdr:colOff>
      <xdr:row>28</xdr:row>
      <xdr:rowOff>51075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257175</xdr:colOff>
      <xdr:row>11</xdr:row>
      <xdr:rowOff>142875</xdr:rowOff>
    </xdr:from>
    <xdr:to>
      <xdr:col>12</xdr:col>
      <xdr:colOff>838750</xdr:colOff>
      <xdr:row>26</xdr:row>
      <xdr:rowOff>174900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0</xdr:colOff>
      <xdr:row>30</xdr:row>
      <xdr:rowOff>0</xdr:rowOff>
    </xdr:from>
    <xdr:to>
      <xdr:col>20</xdr:col>
      <xdr:colOff>410125</xdr:colOff>
      <xdr:row>45</xdr:row>
      <xdr:rowOff>32025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30</xdr:row>
      <xdr:rowOff>0</xdr:rowOff>
    </xdr:from>
    <xdr:to>
      <xdr:col>31</xdr:col>
      <xdr:colOff>410125</xdr:colOff>
      <xdr:row>45</xdr:row>
      <xdr:rowOff>32025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0</xdr:colOff>
      <xdr:row>30</xdr:row>
      <xdr:rowOff>0</xdr:rowOff>
    </xdr:from>
    <xdr:to>
      <xdr:col>42</xdr:col>
      <xdr:colOff>410125</xdr:colOff>
      <xdr:row>45</xdr:row>
      <xdr:rowOff>32025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30</xdr:row>
      <xdr:rowOff>0</xdr:rowOff>
    </xdr:from>
    <xdr:to>
      <xdr:col>53</xdr:col>
      <xdr:colOff>410125</xdr:colOff>
      <xdr:row>45</xdr:row>
      <xdr:rowOff>32025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9</xdr:col>
      <xdr:colOff>410125</xdr:colOff>
      <xdr:row>55</xdr:row>
      <xdr:rowOff>32025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176893</xdr:colOff>
      <xdr:row>65</xdr:row>
      <xdr:rowOff>23131</xdr:rowOff>
    </xdr:from>
    <xdr:to>
      <xdr:col>16</xdr:col>
      <xdr:colOff>204107</xdr:colOff>
      <xdr:row>84</xdr:row>
      <xdr:rowOff>136072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760319</xdr:colOff>
      <xdr:row>18</xdr:row>
      <xdr:rowOff>93009</xdr:rowOff>
    </xdr:from>
    <xdr:to>
      <xdr:col>13</xdr:col>
      <xdr:colOff>417035</xdr:colOff>
      <xdr:row>34</xdr:row>
      <xdr:rowOff>82078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636307</xdr:colOff>
      <xdr:row>17</xdr:row>
      <xdr:rowOff>142502</xdr:rowOff>
    </xdr:from>
    <xdr:to>
      <xdr:col>6</xdr:col>
      <xdr:colOff>601229</xdr:colOff>
      <xdr:row>33</xdr:row>
      <xdr:rowOff>140510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457040</xdr:colOff>
      <xdr:row>46</xdr:row>
      <xdr:rowOff>140073</xdr:rowOff>
    </xdr:from>
    <xdr:to>
      <xdr:col>29</xdr:col>
      <xdr:colOff>498678</xdr:colOff>
      <xdr:row>62</xdr:row>
      <xdr:rowOff>144616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89648</xdr:colOff>
      <xdr:row>51</xdr:row>
      <xdr:rowOff>11206</xdr:rowOff>
    </xdr:from>
    <xdr:to>
      <xdr:col>20</xdr:col>
      <xdr:colOff>33617</xdr:colOff>
      <xdr:row>67</xdr:row>
      <xdr:rowOff>462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526676</xdr:colOff>
      <xdr:row>18</xdr:row>
      <xdr:rowOff>67236</xdr:rowOff>
    </xdr:from>
    <xdr:to>
      <xdr:col>52</xdr:col>
      <xdr:colOff>0</xdr:colOff>
      <xdr:row>34</xdr:row>
      <xdr:rowOff>45287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299356</xdr:colOff>
      <xdr:row>29</xdr:row>
      <xdr:rowOff>56028</xdr:rowOff>
    </xdr:from>
    <xdr:to>
      <xdr:col>39</xdr:col>
      <xdr:colOff>122463</xdr:colOff>
      <xdr:row>45</xdr:row>
      <xdr:rowOff>45284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31937</xdr:colOff>
      <xdr:row>37</xdr:row>
      <xdr:rowOff>0</xdr:rowOff>
    </xdr:from>
    <xdr:to>
      <xdr:col>13</xdr:col>
      <xdr:colOff>450653</xdr:colOff>
      <xdr:row>53</xdr:row>
      <xdr:rowOff>11481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36</xdr:row>
      <xdr:rowOff>52668</xdr:rowOff>
    </xdr:from>
    <xdr:to>
      <xdr:col>6</xdr:col>
      <xdr:colOff>726922</xdr:colOff>
      <xdr:row>52</xdr:row>
      <xdr:rowOff>53130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517071</xdr:colOff>
      <xdr:row>65</xdr:row>
      <xdr:rowOff>169689</xdr:rowOff>
    </xdr:from>
    <xdr:to>
      <xdr:col>29</xdr:col>
      <xdr:colOff>558709</xdr:colOff>
      <xdr:row>81</xdr:row>
      <xdr:rowOff>160625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72</xdr:row>
      <xdr:rowOff>0</xdr:rowOff>
    </xdr:from>
    <xdr:to>
      <xdr:col>19</xdr:col>
      <xdr:colOff>705969</xdr:colOff>
      <xdr:row>87</xdr:row>
      <xdr:rowOff>168550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44</xdr:col>
      <xdr:colOff>481853</xdr:colOff>
      <xdr:row>35</xdr:row>
      <xdr:rowOff>44824</xdr:rowOff>
    </xdr:from>
    <xdr:to>
      <xdr:col>52</xdr:col>
      <xdr:colOff>0</xdr:colOff>
      <xdr:row>51</xdr:row>
      <xdr:rowOff>34081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89648</xdr:colOff>
      <xdr:row>104</xdr:row>
      <xdr:rowOff>0</xdr:rowOff>
    </xdr:from>
    <xdr:to>
      <xdr:col>20</xdr:col>
      <xdr:colOff>33617</xdr:colOff>
      <xdr:row>119</xdr:row>
      <xdr:rowOff>162438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0</xdr:colOff>
      <xdr:row>124</xdr:row>
      <xdr:rowOff>161976</xdr:rowOff>
    </xdr:from>
    <xdr:to>
      <xdr:col>19</xdr:col>
      <xdr:colOff>705969</xdr:colOff>
      <xdr:row>140</xdr:row>
      <xdr:rowOff>157345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734785</xdr:colOff>
      <xdr:row>21</xdr:row>
      <xdr:rowOff>24041</xdr:rowOff>
    </xdr:from>
    <xdr:to>
      <xdr:col>6</xdr:col>
      <xdr:colOff>253189</xdr:colOff>
      <xdr:row>39</xdr:row>
      <xdr:rowOff>16604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12</xdr:col>
      <xdr:colOff>506825</xdr:colOff>
      <xdr:row>33</xdr:row>
      <xdr:rowOff>143150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193222</xdr:colOff>
      <xdr:row>13</xdr:row>
      <xdr:rowOff>13607</xdr:rowOff>
    </xdr:from>
    <xdr:to>
      <xdr:col>26</xdr:col>
      <xdr:colOff>666750</xdr:colOff>
      <xdr:row>28</xdr:row>
      <xdr:rowOff>134532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27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639535</xdr:colOff>
      <xdr:row>42</xdr:row>
      <xdr:rowOff>0</xdr:rowOff>
    </xdr:from>
    <xdr:to>
      <xdr:col>6</xdr:col>
      <xdr:colOff>157939</xdr:colOff>
      <xdr:row>57</xdr:row>
      <xdr:rowOff>162200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36</xdr:row>
      <xdr:rowOff>0</xdr:rowOff>
    </xdr:from>
    <xdr:to>
      <xdr:col>12</xdr:col>
      <xdr:colOff>506825</xdr:colOff>
      <xdr:row>51</xdr:row>
      <xdr:rowOff>152675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68036</xdr:colOff>
      <xdr:row>29</xdr:row>
      <xdr:rowOff>95250</xdr:rowOff>
    </xdr:from>
    <xdr:to>
      <xdr:col>26</xdr:col>
      <xdr:colOff>680357</xdr:colOff>
      <xdr:row>45</xdr:row>
      <xdr:rowOff>67857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10</xdr:row>
      <xdr:rowOff>152400</xdr:rowOff>
    </xdr:from>
    <xdr:to>
      <xdr:col>11</xdr:col>
      <xdr:colOff>678275</xdr:colOff>
      <xdr:row>26</xdr:row>
      <xdr:rowOff>133625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734785</xdr:colOff>
      <xdr:row>28</xdr:row>
      <xdr:rowOff>13606</xdr:rowOff>
    </xdr:from>
    <xdr:to>
      <xdr:col>18</xdr:col>
      <xdr:colOff>122560</xdr:colOff>
      <xdr:row>44</xdr:row>
      <xdr:rowOff>18871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95249</xdr:colOff>
      <xdr:row>27</xdr:row>
      <xdr:rowOff>54429</xdr:rowOff>
    </xdr:from>
    <xdr:to>
      <xdr:col>25</xdr:col>
      <xdr:colOff>68035</xdr:colOff>
      <xdr:row>43</xdr:row>
      <xdr:rowOff>50167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16</xdr:row>
      <xdr:rowOff>0</xdr:rowOff>
    </xdr:from>
    <xdr:to>
      <xdr:col>31</xdr:col>
      <xdr:colOff>152950</xdr:colOff>
      <xdr:row>31</xdr:row>
      <xdr:rowOff>171725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0</xdr:colOff>
      <xdr:row>31</xdr:row>
      <xdr:rowOff>162200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0</xdr:colOff>
      <xdr:row>11</xdr:row>
      <xdr:rowOff>0</xdr:rowOff>
    </xdr:from>
    <xdr:to>
      <xdr:col>44</xdr:col>
      <xdr:colOff>149775</xdr:colOff>
      <xdr:row>26</xdr:row>
      <xdr:rowOff>168550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11</xdr:row>
      <xdr:rowOff>0</xdr:rowOff>
    </xdr:from>
    <xdr:to>
      <xdr:col>7</xdr:col>
      <xdr:colOff>130724</xdr:colOff>
      <xdr:row>26</xdr:row>
      <xdr:rowOff>168550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0</xdr:colOff>
      <xdr:row>11</xdr:row>
      <xdr:rowOff>0</xdr:rowOff>
    </xdr:from>
    <xdr:to>
      <xdr:col>49</xdr:col>
      <xdr:colOff>830675</xdr:colOff>
      <xdr:row>26</xdr:row>
      <xdr:rowOff>162200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52</xdr:col>
      <xdr:colOff>0</xdr:colOff>
      <xdr:row>12</xdr:row>
      <xdr:rowOff>0</xdr:rowOff>
    </xdr:from>
    <xdr:to>
      <xdr:col>58</xdr:col>
      <xdr:colOff>197400</xdr:colOff>
      <xdr:row>27</xdr:row>
      <xdr:rowOff>168550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59</xdr:col>
      <xdr:colOff>0</xdr:colOff>
      <xdr:row>12</xdr:row>
      <xdr:rowOff>0</xdr:rowOff>
    </xdr:from>
    <xdr:to>
      <xdr:col>65</xdr:col>
      <xdr:colOff>40822</xdr:colOff>
      <xdr:row>27</xdr:row>
      <xdr:rowOff>162200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171450</xdr:colOff>
      <xdr:row>32</xdr:row>
      <xdr:rowOff>0</xdr:rowOff>
    </xdr:from>
    <xdr:to>
      <xdr:col>11</xdr:col>
      <xdr:colOff>678275</xdr:colOff>
      <xdr:row>47</xdr:row>
      <xdr:rowOff>162200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32</xdr:row>
      <xdr:rowOff>28575</xdr:rowOff>
    </xdr:from>
    <xdr:to>
      <xdr:col>7</xdr:col>
      <xdr:colOff>130724</xdr:colOff>
      <xdr:row>48</xdr:row>
      <xdr:rowOff>16150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748393</xdr:colOff>
      <xdr:row>43</xdr:row>
      <xdr:rowOff>95248</xdr:rowOff>
    </xdr:from>
    <xdr:to>
      <xdr:col>18</xdr:col>
      <xdr:colOff>136168</xdr:colOff>
      <xdr:row>59</xdr:row>
      <xdr:rowOff>86906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19</xdr:col>
      <xdr:colOff>27213</xdr:colOff>
      <xdr:row>44</xdr:row>
      <xdr:rowOff>163285</xdr:rowOff>
    </xdr:from>
    <xdr:to>
      <xdr:col>25</xdr:col>
      <xdr:colOff>13606</xdr:colOff>
      <xdr:row>60</xdr:row>
      <xdr:rowOff>145417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0</xdr:colOff>
      <xdr:row>34</xdr:row>
      <xdr:rowOff>0</xdr:rowOff>
    </xdr:from>
    <xdr:to>
      <xdr:col>31</xdr:col>
      <xdr:colOff>152950</xdr:colOff>
      <xdr:row>49</xdr:row>
      <xdr:rowOff>171725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37</xdr:col>
      <xdr:colOff>0</xdr:colOff>
      <xdr:row>49</xdr:row>
      <xdr:rowOff>162200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39</xdr:col>
      <xdr:colOff>0</xdr:colOff>
      <xdr:row>30</xdr:row>
      <xdr:rowOff>0</xdr:rowOff>
    </xdr:from>
    <xdr:to>
      <xdr:col>44</xdr:col>
      <xdr:colOff>149775</xdr:colOff>
      <xdr:row>45</xdr:row>
      <xdr:rowOff>168550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45</xdr:col>
      <xdr:colOff>0</xdr:colOff>
      <xdr:row>30</xdr:row>
      <xdr:rowOff>0</xdr:rowOff>
    </xdr:from>
    <xdr:to>
      <xdr:col>49</xdr:col>
      <xdr:colOff>830675</xdr:colOff>
      <xdr:row>45</xdr:row>
      <xdr:rowOff>162200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29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52</xdr:col>
      <xdr:colOff>0</xdr:colOff>
      <xdr:row>30</xdr:row>
      <xdr:rowOff>0</xdr:rowOff>
    </xdr:from>
    <xdr:to>
      <xdr:col>58</xdr:col>
      <xdr:colOff>197400</xdr:colOff>
      <xdr:row>45</xdr:row>
      <xdr:rowOff>168550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29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59</xdr:col>
      <xdr:colOff>0</xdr:colOff>
      <xdr:row>30</xdr:row>
      <xdr:rowOff>0</xdr:rowOff>
    </xdr:from>
    <xdr:to>
      <xdr:col>65</xdr:col>
      <xdr:colOff>95250</xdr:colOff>
      <xdr:row>45</xdr:row>
      <xdr:rowOff>162200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00000000-0008-0000-29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81642</xdr:colOff>
      <xdr:row>66</xdr:row>
      <xdr:rowOff>68036</xdr:rowOff>
    </xdr:from>
    <xdr:to>
      <xdr:col>7</xdr:col>
      <xdr:colOff>185151</xdr:colOff>
      <xdr:row>91</xdr:row>
      <xdr:rowOff>154943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29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92</xdr:row>
      <xdr:rowOff>122462</xdr:rowOff>
    </xdr:from>
    <xdr:to>
      <xdr:col>6</xdr:col>
      <xdr:colOff>484510</xdr:colOff>
      <xdr:row>118</xdr:row>
      <xdr:rowOff>108856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00000000-0008-0000-29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18</xdr:col>
      <xdr:colOff>149775</xdr:colOff>
      <xdr:row>77</xdr:row>
      <xdr:rowOff>5264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00000000-0008-0000-29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1347106</xdr:colOff>
      <xdr:row>49</xdr:row>
      <xdr:rowOff>139247</xdr:rowOff>
    </xdr:from>
    <xdr:to>
      <xdr:col>8</xdr:col>
      <xdr:colOff>681359</xdr:colOff>
      <xdr:row>65</xdr:row>
      <xdr:rowOff>127730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00000000-0008-0000-29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1183822</xdr:colOff>
      <xdr:row>41</xdr:row>
      <xdr:rowOff>149679</xdr:rowOff>
    </xdr:from>
    <xdr:to>
      <xdr:col>26</xdr:col>
      <xdr:colOff>231418</xdr:colOff>
      <xdr:row>57</xdr:row>
      <xdr:rowOff>154943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00000000-0008-0000-29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748392</xdr:colOff>
      <xdr:row>53</xdr:row>
      <xdr:rowOff>136071</xdr:rowOff>
    </xdr:from>
    <xdr:to>
      <xdr:col>31</xdr:col>
      <xdr:colOff>98521</xdr:colOff>
      <xdr:row>70</xdr:row>
      <xdr:rowOff>25221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DB325446-46EB-45BF-9B95-159020B31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23</xdr:row>
      <xdr:rowOff>0</xdr:rowOff>
    </xdr:from>
    <xdr:to>
      <xdr:col>4</xdr:col>
      <xdr:colOff>321225</xdr:colOff>
      <xdr:row>38</xdr:row>
      <xdr:rowOff>149500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557894</xdr:colOff>
      <xdr:row>23</xdr:row>
      <xdr:rowOff>0</xdr:rowOff>
    </xdr:from>
    <xdr:to>
      <xdr:col>10</xdr:col>
      <xdr:colOff>506826</xdr:colOff>
      <xdr:row>40</xdr:row>
      <xdr:rowOff>54429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707571</xdr:colOff>
      <xdr:row>38</xdr:row>
      <xdr:rowOff>3173</xdr:rowOff>
    </xdr:from>
    <xdr:to>
      <xdr:col>4</xdr:col>
      <xdr:colOff>225975</xdr:colOff>
      <xdr:row>62</xdr:row>
      <xdr:rowOff>122464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503464</xdr:colOff>
      <xdr:row>42</xdr:row>
      <xdr:rowOff>0</xdr:rowOff>
    </xdr:from>
    <xdr:to>
      <xdr:col>11</xdr:col>
      <xdr:colOff>353785</xdr:colOff>
      <xdr:row>57</xdr:row>
      <xdr:rowOff>57425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571500</xdr:colOff>
      <xdr:row>51</xdr:row>
      <xdr:rowOff>13607</xdr:rowOff>
    </xdr:from>
    <xdr:to>
      <xdr:col>22</xdr:col>
      <xdr:colOff>481872</xdr:colOff>
      <xdr:row>65</xdr:row>
      <xdr:rowOff>163107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34</xdr:row>
      <xdr:rowOff>0</xdr:rowOff>
    </xdr:from>
    <xdr:to>
      <xdr:col>21</xdr:col>
      <xdr:colOff>719543</xdr:colOff>
      <xdr:row>49</xdr:row>
      <xdr:rowOff>63775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36285</xdr:colOff>
      <xdr:row>2</xdr:row>
      <xdr:rowOff>99784</xdr:rowOff>
    </xdr:from>
    <xdr:to>
      <xdr:col>24</xdr:col>
      <xdr:colOff>752118</xdr:colOff>
      <xdr:row>27</xdr:row>
      <xdr:rowOff>37646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79EC8E80-BA8E-4D2C-B5FE-EAF2D7D9D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19050</xdr:rowOff>
    </xdr:from>
    <xdr:to>
      <xdr:col>5</xdr:col>
      <xdr:colOff>445050</xdr:colOff>
      <xdr:row>24</xdr:row>
      <xdr:rowOff>41550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381000</xdr:colOff>
      <xdr:row>8</xdr:row>
      <xdr:rowOff>161925</xdr:rowOff>
    </xdr:from>
    <xdr:to>
      <xdr:col>12</xdr:col>
      <xdr:colOff>0</xdr:colOff>
      <xdr:row>24</xdr:row>
      <xdr:rowOff>16150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28</xdr:row>
      <xdr:rowOff>38100</xdr:rowOff>
    </xdr:from>
    <xdr:to>
      <xdr:col>5</xdr:col>
      <xdr:colOff>445050</xdr:colOff>
      <xdr:row>43</xdr:row>
      <xdr:rowOff>60600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381000</xdr:colOff>
      <xdr:row>28</xdr:row>
      <xdr:rowOff>0</xdr:rowOff>
    </xdr:from>
    <xdr:to>
      <xdr:col>12</xdr:col>
      <xdr:colOff>0</xdr:colOff>
      <xdr:row>43</xdr:row>
      <xdr:rowOff>35200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106680</xdr:rowOff>
    </xdr:from>
    <xdr:to>
      <xdr:col>28</xdr:col>
      <xdr:colOff>68580</xdr:colOff>
      <xdr:row>19</xdr:row>
      <xdr:rowOff>60960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28</xdr:col>
      <xdr:colOff>68580</xdr:colOff>
      <xdr:row>38</xdr:row>
      <xdr:rowOff>137160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33618</xdr:colOff>
      <xdr:row>39</xdr:row>
      <xdr:rowOff>1</xdr:rowOff>
    </xdr:from>
    <xdr:to>
      <xdr:col>28</xdr:col>
      <xdr:colOff>102198</xdr:colOff>
      <xdr:row>58</xdr:row>
      <xdr:rowOff>78441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37</xdr:col>
      <xdr:colOff>68580</xdr:colOff>
      <xdr:row>19</xdr:row>
      <xdr:rowOff>137160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20</xdr:row>
      <xdr:rowOff>0</xdr:rowOff>
    </xdr:from>
    <xdr:to>
      <xdr:col>37</xdr:col>
      <xdr:colOff>68580</xdr:colOff>
      <xdr:row>38</xdr:row>
      <xdr:rowOff>137160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39</xdr:row>
      <xdr:rowOff>1</xdr:rowOff>
    </xdr:from>
    <xdr:to>
      <xdr:col>37</xdr:col>
      <xdr:colOff>68580</xdr:colOff>
      <xdr:row>59</xdr:row>
      <xdr:rowOff>11207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60</xdr:row>
      <xdr:rowOff>0</xdr:rowOff>
    </xdr:from>
    <xdr:to>
      <xdr:col>37</xdr:col>
      <xdr:colOff>68580</xdr:colOff>
      <xdr:row>79</xdr:row>
      <xdr:rowOff>179295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0</xdr:colOff>
      <xdr:row>1</xdr:row>
      <xdr:rowOff>0</xdr:rowOff>
    </xdr:from>
    <xdr:to>
      <xdr:col>46</xdr:col>
      <xdr:colOff>68580</xdr:colOff>
      <xdr:row>19</xdr:row>
      <xdr:rowOff>144780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55</xdr:col>
      <xdr:colOff>68580</xdr:colOff>
      <xdr:row>19</xdr:row>
      <xdr:rowOff>137160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20</xdr:row>
      <xdr:rowOff>0</xdr:rowOff>
    </xdr:from>
    <xdr:to>
      <xdr:col>46</xdr:col>
      <xdr:colOff>68580</xdr:colOff>
      <xdr:row>38</xdr:row>
      <xdr:rowOff>137160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0</xdr:colOff>
      <xdr:row>20</xdr:row>
      <xdr:rowOff>0</xdr:rowOff>
    </xdr:from>
    <xdr:to>
      <xdr:col>55</xdr:col>
      <xdr:colOff>68580</xdr:colOff>
      <xdr:row>38</xdr:row>
      <xdr:rowOff>137160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38</xdr:col>
      <xdr:colOff>0</xdr:colOff>
      <xdr:row>39</xdr:row>
      <xdr:rowOff>0</xdr:rowOff>
    </xdr:from>
    <xdr:to>
      <xdr:col>46</xdr:col>
      <xdr:colOff>68580</xdr:colOff>
      <xdr:row>58</xdr:row>
      <xdr:rowOff>78440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47</xdr:col>
      <xdr:colOff>0</xdr:colOff>
      <xdr:row>39</xdr:row>
      <xdr:rowOff>0</xdr:rowOff>
    </xdr:from>
    <xdr:to>
      <xdr:col>55</xdr:col>
      <xdr:colOff>68580</xdr:colOff>
      <xdr:row>59</xdr:row>
      <xdr:rowOff>11206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47</xdr:col>
      <xdr:colOff>0</xdr:colOff>
      <xdr:row>60</xdr:row>
      <xdr:rowOff>0</xdr:rowOff>
    </xdr:from>
    <xdr:to>
      <xdr:col>55</xdr:col>
      <xdr:colOff>68580</xdr:colOff>
      <xdr:row>79</xdr:row>
      <xdr:rowOff>179295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320040</xdr:colOff>
      <xdr:row>0</xdr:row>
      <xdr:rowOff>91440</xdr:rowOff>
    </xdr:from>
    <xdr:to>
      <xdr:col>19</xdr:col>
      <xdr:colOff>472440</xdr:colOff>
      <xdr:row>23</xdr:row>
      <xdr:rowOff>137160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320040</xdr:colOff>
      <xdr:row>24</xdr:row>
      <xdr:rowOff>99060</xdr:rowOff>
    </xdr:from>
    <xdr:to>
      <xdr:col>19</xdr:col>
      <xdr:colOff>472440</xdr:colOff>
      <xdr:row>45</xdr:row>
      <xdr:rowOff>144780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327660</xdr:colOff>
      <xdr:row>46</xdr:row>
      <xdr:rowOff>38100</xdr:rowOff>
    </xdr:from>
    <xdr:to>
      <xdr:col>19</xdr:col>
      <xdr:colOff>480060</xdr:colOff>
      <xdr:row>67</xdr:row>
      <xdr:rowOff>83820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27</xdr:col>
      <xdr:colOff>259080</xdr:colOff>
      <xdr:row>24</xdr:row>
      <xdr:rowOff>45720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25</xdr:row>
      <xdr:rowOff>0</xdr:rowOff>
    </xdr:from>
    <xdr:to>
      <xdr:col>27</xdr:col>
      <xdr:colOff>259080</xdr:colOff>
      <xdr:row>46</xdr:row>
      <xdr:rowOff>45720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47</xdr:row>
      <xdr:rowOff>0</xdr:rowOff>
    </xdr:from>
    <xdr:to>
      <xdr:col>27</xdr:col>
      <xdr:colOff>259080</xdr:colOff>
      <xdr:row>68</xdr:row>
      <xdr:rowOff>45720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37</xdr:col>
      <xdr:colOff>261257</xdr:colOff>
      <xdr:row>24</xdr:row>
      <xdr:rowOff>45721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0</xdr:colOff>
      <xdr:row>1</xdr:row>
      <xdr:rowOff>0</xdr:rowOff>
    </xdr:from>
    <xdr:to>
      <xdr:col>46</xdr:col>
      <xdr:colOff>277223</xdr:colOff>
      <xdr:row>24</xdr:row>
      <xdr:rowOff>45720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0</xdr:colOff>
      <xdr:row>25</xdr:row>
      <xdr:rowOff>0</xdr:rowOff>
    </xdr:from>
    <xdr:to>
      <xdr:col>37</xdr:col>
      <xdr:colOff>261257</xdr:colOff>
      <xdr:row>46</xdr:row>
      <xdr:rowOff>45721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25</xdr:row>
      <xdr:rowOff>0</xdr:rowOff>
    </xdr:from>
    <xdr:to>
      <xdr:col>46</xdr:col>
      <xdr:colOff>277223</xdr:colOff>
      <xdr:row>46</xdr:row>
      <xdr:rowOff>45720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2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47</xdr:row>
      <xdr:rowOff>0</xdr:rowOff>
    </xdr:from>
    <xdr:to>
      <xdr:col>37</xdr:col>
      <xdr:colOff>261257</xdr:colOff>
      <xdr:row>68</xdr:row>
      <xdr:rowOff>45720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38</xdr:col>
      <xdr:colOff>0</xdr:colOff>
      <xdr:row>47</xdr:row>
      <xdr:rowOff>0</xdr:rowOff>
    </xdr:from>
    <xdr:to>
      <xdr:col>46</xdr:col>
      <xdr:colOff>277223</xdr:colOff>
      <xdr:row>68</xdr:row>
      <xdr:rowOff>45720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2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179294</xdr:colOff>
      <xdr:row>70</xdr:row>
      <xdr:rowOff>33617</xdr:rowOff>
    </xdr:from>
    <xdr:to>
      <xdr:col>21</xdr:col>
      <xdr:colOff>414617</xdr:colOff>
      <xdr:row>99</xdr:row>
      <xdr:rowOff>123265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2C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0</xdr:colOff>
      <xdr:row>70</xdr:row>
      <xdr:rowOff>0</xdr:rowOff>
    </xdr:from>
    <xdr:to>
      <xdr:col>31</xdr:col>
      <xdr:colOff>330572</xdr:colOff>
      <xdr:row>99</xdr:row>
      <xdr:rowOff>89648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2C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87</xdr:row>
      <xdr:rowOff>0</xdr:rowOff>
    </xdr:from>
    <xdr:to>
      <xdr:col>42</xdr:col>
      <xdr:colOff>241761</xdr:colOff>
      <xdr:row>108</xdr:row>
      <xdr:rowOff>132311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2C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42</xdr:col>
      <xdr:colOff>467590</xdr:colOff>
      <xdr:row>86</xdr:row>
      <xdr:rowOff>138546</xdr:rowOff>
    </xdr:from>
    <xdr:to>
      <xdr:col>51</xdr:col>
      <xdr:colOff>744813</xdr:colOff>
      <xdr:row>108</xdr:row>
      <xdr:rowOff>80357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00000000-0008-0000-2C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269875</xdr:colOff>
      <xdr:row>101</xdr:row>
      <xdr:rowOff>111125</xdr:rowOff>
    </xdr:from>
    <xdr:to>
      <xdr:col>19</xdr:col>
      <xdr:colOff>422275</xdr:colOff>
      <xdr:row>125</xdr:row>
      <xdr:rowOff>13970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2C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15240</xdr:colOff>
      <xdr:row>1</xdr:row>
      <xdr:rowOff>7620</xdr:rowOff>
    </xdr:from>
    <xdr:to>
      <xdr:col>31</xdr:col>
      <xdr:colOff>266700</xdr:colOff>
      <xdr:row>20</xdr:row>
      <xdr:rowOff>15240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21</xdr:row>
      <xdr:rowOff>0</xdr:rowOff>
    </xdr:from>
    <xdr:to>
      <xdr:col>31</xdr:col>
      <xdr:colOff>251460</xdr:colOff>
      <xdr:row>40</xdr:row>
      <xdr:rowOff>7620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41</xdr:row>
      <xdr:rowOff>0</xdr:rowOff>
    </xdr:from>
    <xdr:to>
      <xdr:col>31</xdr:col>
      <xdr:colOff>251460</xdr:colOff>
      <xdr:row>60</xdr:row>
      <xdr:rowOff>7620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</xdr:row>
      <xdr:rowOff>0</xdr:rowOff>
    </xdr:from>
    <xdr:to>
      <xdr:col>40</xdr:col>
      <xdr:colOff>251460</xdr:colOff>
      <xdr:row>20</xdr:row>
      <xdr:rowOff>7620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40</xdr:col>
      <xdr:colOff>251460</xdr:colOff>
      <xdr:row>40</xdr:row>
      <xdr:rowOff>7620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1</xdr:row>
      <xdr:rowOff>0</xdr:rowOff>
    </xdr:from>
    <xdr:to>
      <xdr:col>49</xdr:col>
      <xdr:colOff>251460</xdr:colOff>
      <xdr:row>20</xdr:row>
      <xdr:rowOff>7620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0</xdr:colOff>
      <xdr:row>1</xdr:row>
      <xdr:rowOff>0</xdr:rowOff>
    </xdr:from>
    <xdr:to>
      <xdr:col>58</xdr:col>
      <xdr:colOff>251460</xdr:colOff>
      <xdr:row>20</xdr:row>
      <xdr:rowOff>7620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21</xdr:row>
      <xdr:rowOff>0</xdr:rowOff>
    </xdr:from>
    <xdr:to>
      <xdr:col>49</xdr:col>
      <xdr:colOff>251460</xdr:colOff>
      <xdr:row>40</xdr:row>
      <xdr:rowOff>7620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50</xdr:col>
      <xdr:colOff>0</xdr:colOff>
      <xdr:row>21</xdr:row>
      <xdr:rowOff>0</xdr:rowOff>
    </xdr:from>
    <xdr:to>
      <xdr:col>58</xdr:col>
      <xdr:colOff>251460</xdr:colOff>
      <xdr:row>40</xdr:row>
      <xdr:rowOff>7620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2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38100</xdr:colOff>
      <xdr:row>41</xdr:row>
      <xdr:rowOff>19050</xdr:rowOff>
    </xdr:from>
    <xdr:to>
      <xdr:col>49</xdr:col>
      <xdr:colOff>289560</xdr:colOff>
      <xdr:row>60</xdr:row>
      <xdr:rowOff>26670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D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9525</xdr:colOff>
      <xdr:row>0</xdr:row>
      <xdr:rowOff>185736</xdr:rowOff>
    </xdr:from>
    <xdr:to>
      <xdr:col>39</xdr:col>
      <xdr:colOff>746125</xdr:colOff>
      <xdr:row>18</xdr:row>
      <xdr:rowOff>103187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0</xdr:colOff>
      <xdr:row>19</xdr:row>
      <xdr:rowOff>0</xdr:rowOff>
    </xdr:from>
    <xdr:to>
      <xdr:col>39</xdr:col>
      <xdr:colOff>736600</xdr:colOff>
      <xdr:row>37</xdr:row>
      <xdr:rowOff>107951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38</xdr:row>
      <xdr:rowOff>0</xdr:rowOff>
    </xdr:from>
    <xdr:to>
      <xdr:col>39</xdr:col>
      <xdr:colOff>736600</xdr:colOff>
      <xdr:row>55</xdr:row>
      <xdr:rowOff>107951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56</xdr:row>
      <xdr:rowOff>0</xdr:rowOff>
    </xdr:from>
    <xdr:to>
      <xdr:col>39</xdr:col>
      <xdr:colOff>736600</xdr:colOff>
      <xdr:row>73</xdr:row>
      <xdr:rowOff>107951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74</xdr:row>
      <xdr:rowOff>76200</xdr:rowOff>
    </xdr:from>
    <xdr:to>
      <xdr:col>39</xdr:col>
      <xdr:colOff>736600</xdr:colOff>
      <xdr:row>92</xdr:row>
      <xdr:rowOff>57151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1</xdr:row>
      <xdr:rowOff>0</xdr:rowOff>
    </xdr:from>
    <xdr:to>
      <xdr:col>49</xdr:col>
      <xdr:colOff>736600</xdr:colOff>
      <xdr:row>18</xdr:row>
      <xdr:rowOff>111415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0</xdr:colOff>
      <xdr:row>19</xdr:row>
      <xdr:rowOff>0</xdr:rowOff>
    </xdr:from>
    <xdr:to>
      <xdr:col>49</xdr:col>
      <xdr:colOff>736600</xdr:colOff>
      <xdr:row>37</xdr:row>
      <xdr:rowOff>107951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38</xdr:row>
      <xdr:rowOff>0</xdr:rowOff>
    </xdr:from>
    <xdr:to>
      <xdr:col>49</xdr:col>
      <xdr:colOff>736600</xdr:colOff>
      <xdr:row>55</xdr:row>
      <xdr:rowOff>107951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0</xdr:colOff>
      <xdr:row>74</xdr:row>
      <xdr:rowOff>0</xdr:rowOff>
    </xdr:from>
    <xdr:to>
      <xdr:col>49</xdr:col>
      <xdr:colOff>736600</xdr:colOff>
      <xdr:row>91</xdr:row>
      <xdr:rowOff>158751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710045</xdr:colOff>
      <xdr:row>56</xdr:row>
      <xdr:rowOff>17318</xdr:rowOff>
    </xdr:from>
    <xdr:to>
      <xdr:col>49</xdr:col>
      <xdr:colOff>684645</xdr:colOff>
      <xdr:row>73</xdr:row>
      <xdr:rowOff>125269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548639</xdr:colOff>
      <xdr:row>1</xdr:row>
      <xdr:rowOff>0</xdr:rowOff>
    </xdr:from>
    <xdr:to>
      <xdr:col>18</xdr:col>
      <xdr:colOff>795866</xdr:colOff>
      <xdr:row>19</xdr:row>
      <xdr:rowOff>16933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547793</xdr:colOff>
      <xdr:row>19</xdr:row>
      <xdr:rowOff>33866</xdr:rowOff>
    </xdr:from>
    <xdr:to>
      <xdr:col>18</xdr:col>
      <xdr:colOff>795866</xdr:colOff>
      <xdr:row>37</xdr:row>
      <xdr:rowOff>118533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27</xdr:col>
      <xdr:colOff>239606</xdr:colOff>
      <xdr:row>19</xdr:row>
      <xdr:rowOff>16933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19</xdr:row>
      <xdr:rowOff>0</xdr:rowOff>
    </xdr:from>
    <xdr:to>
      <xdr:col>27</xdr:col>
      <xdr:colOff>240452</xdr:colOff>
      <xdr:row>37</xdr:row>
      <xdr:rowOff>84667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112395</xdr:colOff>
      <xdr:row>18</xdr:row>
      <xdr:rowOff>186690</xdr:rowOff>
    </xdr:from>
    <xdr:to>
      <xdr:col>5</xdr:col>
      <xdr:colOff>28575</xdr:colOff>
      <xdr:row>37</xdr:row>
      <xdr:rowOff>3810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169545</xdr:colOff>
      <xdr:row>18</xdr:row>
      <xdr:rowOff>180975</xdr:rowOff>
    </xdr:from>
    <xdr:to>
      <xdr:col>12</xdr:col>
      <xdr:colOff>657225</xdr:colOff>
      <xdr:row>38</xdr:row>
      <xdr:rowOff>13335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</xdr:colOff>
      <xdr:row>18</xdr:row>
      <xdr:rowOff>158115</xdr:rowOff>
    </xdr:from>
    <xdr:to>
      <xdr:col>18</xdr:col>
      <xdr:colOff>666750</xdr:colOff>
      <xdr:row>33</xdr:row>
      <xdr:rowOff>171450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161925</xdr:colOff>
      <xdr:row>39</xdr:row>
      <xdr:rowOff>152400</xdr:rowOff>
    </xdr:from>
    <xdr:to>
      <xdr:col>5</xdr:col>
      <xdr:colOff>100516</xdr:colOff>
      <xdr:row>57</xdr:row>
      <xdr:rowOff>166744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190500</xdr:colOff>
      <xdr:row>39</xdr:row>
      <xdr:rowOff>28575</xdr:rowOff>
    </xdr:from>
    <xdr:to>
      <xdr:col>12</xdr:col>
      <xdr:colOff>700591</xdr:colOff>
      <xdr:row>58</xdr:row>
      <xdr:rowOff>51434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66675</xdr:colOff>
      <xdr:row>39</xdr:row>
      <xdr:rowOff>85725</xdr:rowOff>
    </xdr:from>
    <xdr:to>
      <xdr:col>18</xdr:col>
      <xdr:colOff>676274</xdr:colOff>
      <xdr:row>54</xdr:row>
      <xdr:rowOff>92897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21</xdr:row>
      <xdr:rowOff>0</xdr:rowOff>
    </xdr:from>
    <xdr:to>
      <xdr:col>22</xdr:col>
      <xdr:colOff>323850</xdr:colOff>
      <xdr:row>40</xdr:row>
      <xdr:rowOff>152400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777240</xdr:colOff>
      <xdr:row>0</xdr:row>
      <xdr:rowOff>167640</xdr:rowOff>
    </xdr:from>
    <xdr:to>
      <xdr:col>22</xdr:col>
      <xdr:colOff>308610</xdr:colOff>
      <xdr:row>20</xdr:row>
      <xdr:rowOff>120015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29</xdr:col>
      <xdr:colOff>228600</xdr:colOff>
      <xdr:row>15</xdr:row>
      <xdr:rowOff>175260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17</xdr:row>
      <xdr:rowOff>0</xdr:rowOff>
    </xdr:from>
    <xdr:to>
      <xdr:col>29</xdr:col>
      <xdr:colOff>228600</xdr:colOff>
      <xdr:row>31</xdr:row>
      <xdr:rowOff>175260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548640</xdr:colOff>
      <xdr:row>1</xdr:row>
      <xdr:rowOff>0</xdr:rowOff>
    </xdr:from>
    <xdr:to>
      <xdr:col>36</xdr:col>
      <xdr:colOff>457200</xdr:colOff>
      <xdr:row>15</xdr:row>
      <xdr:rowOff>175260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563880</xdr:colOff>
      <xdr:row>17</xdr:row>
      <xdr:rowOff>0</xdr:rowOff>
    </xdr:from>
    <xdr:to>
      <xdr:col>36</xdr:col>
      <xdr:colOff>449580</xdr:colOff>
      <xdr:row>31</xdr:row>
      <xdr:rowOff>175260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42</xdr:row>
      <xdr:rowOff>0</xdr:rowOff>
    </xdr:from>
    <xdr:to>
      <xdr:col>22</xdr:col>
      <xdr:colOff>323850</xdr:colOff>
      <xdr:row>61</xdr:row>
      <xdr:rowOff>180975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62</xdr:row>
      <xdr:rowOff>0</xdr:rowOff>
    </xdr:from>
    <xdr:to>
      <xdr:col>22</xdr:col>
      <xdr:colOff>323850</xdr:colOff>
      <xdr:row>81</xdr:row>
      <xdr:rowOff>167640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0</xdr:colOff>
      <xdr:row>42</xdr:row>
      <xdr:rowOff>0</xdr:rowOff>
    </xdr:from>
    <xdr:to>
      <xdr:col>29</xdr:col>
      <xdr:colOff>502920</xdr:colOff>
      <xdr:row>57</xdr:row>
      <xdr:rowOff>7620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0</xdr:colOff>
      <xdr:row>58</xdr:row>
      <xdr:rowOff>0</xdr:rowOff>
    </xdr:from>
    <xdr:to>
      <xdr:col>29</xdr:col>
      <xdr:colOff>533400</xdr:colOff>
      <xdr:row>73</xdr:row>
      <xdr:rowOff>7620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0</xdr:colOff>
      <xdr:row>42</xdr:row>
      <xdr:rowOff>0</xdr:rowOff>
    </xdr:from>
    <xdr:to>
      <xdr:col>37</xdr:col>
      <xdr:colOff>274320</xdr:colOff>
      <xdr:row>57</xdr:row>
      <xdr:rowOff>7620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289560</xdr:colOff>
      <xdr:row>73</xdr:row>
      <xdr:rowOff>7620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504824</xdr:colOff>
      <xdr:row>13</xdr:row>
      <xdr:rowOff>142874</xdr:rowOff>
    </xdr:from>
    <xdr:to>
      <xdr:col>10</xdr:col>
      <xdr:colOff>733424</xdr:colOff>
      <xdr:row>30</xdr:row>
      <xdr:rowOff>76199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733424</xdr:colOff>
      <xdr:row>0</xdr:row>
      <xdr:rowOff>200024</xdr:rowOff>
    </xdr:from>
    <xdr:to>
      <xdr:col>20</xdr:col>
      <xdr:colOff>400049</xdr:colOff>
      <xdr:row>17</xdr:row>
      <xdr:rowOff>133349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517071</xdr:colOff>
      <xdr:row>30</xdr:row>
      <xdr:rowOff>163286</xdr:rowOff>
    </xdr:from>
    <xdr:to>
      <xdr:col>10</xdr:col>
      <xdr:colOff>745671</xdr:colOff>
      <xdr:row>47</xdr:row>
      <xdr:rowOff>96610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734786</xdr:colOff>
      <xdr:row>18</xdr:row>
      <xdr:rowOff>27215</xdr:rowOff>
    </xdr:from>
    <xdr:to>
      <xdr:col>20</xdr:col>
      <xdr:colOff>401411</xdr:colOff>
      <xdr:row>35</xdr:row>
      <xdr:rowOff>22588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45</xdr:row>
      <xdr:rowOff>38100</xdr:rowOff>
    </xdr:from>
    <xdr:to>
      <xdr:col>21</xdr:col>
      <xdr:colOff>0</xdr:colOff>
      <xdr:row>63</xdr:row>
      <xdr:rowOff>95250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9524</xdr:colOff>
      <xdr:row>19</xdr:row>
      <xdr:rowOff>53163</xdr:rowOff>
    </xdr:from>
    <xdr:to>
      <xdr:col>31</xdr:col>
      <xdr:colOff>533399</xdr:colOff>
      <xdr:row>39</xdr:row>
      <xdr:rowOff>18829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28575</xdr:colOff>
      <xdr:row>0</xdr:row>
      <xdr:rowOff>0</xdr:rowOff>
    </xdr:from>
    <xdr:to>
      <xdr:col>31</xdr:col>
      <xdr:colOff>542925</xdr:colOff>
      <xdr:row>18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41</xdr:col>
      <xdr:colOff>514351</xdr:colOff>
      <xdr:row>18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19</xdr:row>
      <xdr:rowOff>0</xdr:rowOff>
    </xdr:from>
    <xdr:to>
      <xdr:col>41</xdr:col>
      <xdr:colOff>523876</xdr:colOff>
      <xdr:row>38</xdr:row>
      <xdr:rowOff>142875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45</xdr:row>
      <xdr:rowOff>0</xdr:rowOff>
    </xdr:from>
    <xdr:to>
      <xdr:col>31</xdr:col>
      <xdr:colOff>634408</xdr:colOff>
      <xdr:row>63</xdr:row>
      <xdr:rowOff>57150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654797</xdr:colOff>
      <xdr:row>15</xdr:row>
      <xdr:rowOff>132417</xdr:rowOff>
    </xdr:from>
    <xdr:to>
      <xdr:col>23</xdr:col>
      <xdr:colOff>654798</xdr:colOff>
      <xdr:row>30</xdr:row>
      <xdr:rowOff>21292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0.31373</cdr:x>
      <cdr:y>0.55515</cdr:y>
    </cdr:from>
    <cdr:to>
      <cdr:x>0.40931</cdr:x>
      <cdr:y>0.6732</cdr:y>
    </cdr:to>
    <cdr:sp macro="" textlink="'Biomasse - Nutzung'!$L$8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72872CA-22C3-4A67-8F68-1246BC9DC524}"/>
            </a:ext>
          </a:extLst>
        </cdr:cNvPr>
        <cdr:cNvSpPr txBox="1"/>
      </cdr:nvSpPr>
      <cdr:spPr>
        <a:xfrm xmlns:a="http://schemas.openxmlformats.org/drawingml/2006/main">
          <a:off x="1434354" y="1522879"/>
          <a:ext cx="43703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82751288-7701-415D-8DAC-9EE412A7BFA6}" type="TxLink">
            <a:rPr lang="en-US" sz="16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0</a:t>
          </a:fld>
          <a:endParaRPr lang="en-US" sz="1600"/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1</xdr:row>
      <xdr:rowOff>0</xdr:rowOff>
    </xdr:from>
    <xdr:to>
      <xdr:col>21</xdr:col>
      <xdr:colOff>373380</xdr:colOff>
      <xdr:row>22</xdr:row>
      <xdr:rowOff>144780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228600</xdr:colOff>
      <xdr:row>23</xdr:row>
      <xdr:rowOff>4483</xdr:rowOff>
    </xdr:from>
    <xdr:to>
      <xdr:col>21</xdr:col>
      <xdr:colOff>358589</xdr:colOff>
      <xdr:row>43</xdr:row>
      <xdr:rowOff>134471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32</xdr:col>
      <xdr:colOff>144779</xdr:colOff>
      <xdr:row>22</xdr:row>
      <xdr:rowOff>144780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23</xdr:row>
      <xdr:rowOff>0</xdr:rowOff>
    </xdr:from>
    <xdr:to>
      <xdr:col>32</xdr:col>
      <xdr:colOff>129988</xdr:colOff>
      <xdr:row>43</xdr:row>
      <xdr:rowOff>129988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828674</xdr:colOff>
      <xdr:row>115</xdr:row>
      <xdr:rowOff>152400</xdr:rowOff>
    </xdr:from>
    <xdr:to>
      <xdr:col>9</xdr:col>
      <xdr:colOff>734496</xdr:colOff>
      <xdr:row>155</xdr:row>
      <xdr:rowOff>113399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FDC5BF-6408-4B68-94D7-FC29254C1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1461293</xdr:colOff>
      <xdr:row>115</xdr:row>
      <xdr:rowOff>144896</xdr:rowOff>
    </xdr:from>
    <xdr:to>
      <xdr:col>29</xdr:col>
      <xdr:colOff>549737</xdr:colOff>
      <xdr:row>165</xdr:row>
      <xdr:rowOff>89218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62E8881-D67D-4A7B-ABD2-8C655AD43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761999</xdr:colOff>
      <xdr:row>116</xdr:row>
      <xdr:rowOff>0</xdr:rowOff>
    </xdr:from>
    <xdr:to>
      <xdr:col>64</xdr:col>
      <xdr:colOff>617999</xdr:colOff>
      <xdr:row>145</xdr:row>
      <xdr:rowOff>151725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F7CFDC38-DA23-4ACC-BBDC-7C8C7DA04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157</xdr:row>
      <xdr:rowOff>0</xdr:rowOff>
    </xdr:from>
    <xdr:to>
      <xdr:col>10</xdr:col>
      <xdr:colOff>131700</xdr:colOff>
      <xdr:row>196</xdr:row>
      <xdr:rowOff>141975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F1F4EC4-5609-46DB-87AD-587B1F6FA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693964</xdr:colOff>
      <xdr:row>115</xdr:row>
      <xdr:rowOff>149679</xdr:rowOff>
    </xdr:from>
    <xdr:to>
      <xdr:col>18</xdr:col>
      <xdr:colOff>184313</xdr:colOff>
      <xdr:row>155</xdr:row>
      <xdr:rowOff>106968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68E9FC95-43E6-4D90-A17A-1FE4C831F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163286</xdr:colOff>
      <xdr:row>157</xdr:row>
      <xdr:rowOff>27214</xdr:rowOff>
    </xdr:from>
    <xdr:to>
      <xdr:col>20</xdr:col>
      <xdr:colOff>40822</xdr:colOff>
      <xdr:row>196</xdr:row>
      <xdr:rowOff>161396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42CC973-FD0B-4A5C-A42C-DE3619FA9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68</xdr:col>
      <xdr:colOff>182788</xdr:colOff>
      <xdr:row>149</xdr:row>
      <xdr:rowOff>36284</xdr:rowOff>
    </xdr:from>
    <xdr:to>
      <xdr:col>83</xdr:col>
      <xdr:colOff>267608</xdr:colOff>
      <xdr:row>189</xdr:row>
      <xdr:rowOff>12247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C1A1BB4C-D655-4A3C-AC30-3184D649B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119063</xdr:colOff>
      <xdr:row>80</xdr:row>
      <xdr:rowOff>7143</xdr:rowOff>
    </xdr:from>
    <xdr:to>
      <xdr:col>81</xdr:col>
      <xdr:colOff>203881</xdr:colOff>
      <xdr:row>145</xdr:row>
      <xdr:rowOff>155348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F1491599-F9E6-4150-AA70-57D7DE228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53</xdr:col>
      <xdr:colOff>219870</xdr:colOff>
      <xdr:row>1</xdr:row>
      <xdr:rowOff>658018</xdr:rowOff>
    </xdr:from>
    <xdr:to>
      <xdr:col>66</xdr:col>
      <xdr:colOff>21340</xdr:colOff>
      <xdr:row>29</xdr:row>
      <xdr:rowOff>79146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81CCC07F-B20E-4E30-84C1-AAEC8EF5D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557893</xdr:colOff>
      <xdr:row>117</xdr:row>
      <xdr:rowOff>119287</xdr:rowOff>
    </xdr:from>
    <xdr:to>
      <xdr:col>51</xdr:col>
      <xdr:colOff>71211</xdr:colOff>
      <xdr:row>174</xdr:row>
      <xdr:rowOff>54426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AA210178-ED70-4F48-83E4-AFC8CC05C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523875</xdr:colOff>
      <xdr:row>31</xdr:row>
      <xdr:rowOff>11907</xdr:rowOff>
    </xdr:from>
    <xdr:to>
      <xdr:col>66</xdr:col>
      <xdr:colOff>4499</xdr:colOff>
      <xdr:row>59</xdr:row>
      <xdr:rowOff>42598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1AF145AD-B0C9-4070-8AFC-ED9ACA5B3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95249</xdr:colOff>
      <xdr:row>76</xdr:row>
      <xdr:rowOff>163285</xdr:rowOff>
    </xdr:from>
    <xdr:to>
      <xdr:col>66</xdr:col>
      <xdr:colOff>316138</xdr:colOff>
      <xdr:row>114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D64F4760-BCA6-454A-A154-DAA3CDB19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68037</xdr:colOff>
      <xdr:row>146</xdr:row>
      <xdr:rowOff>3175</xdr:rowOff>
    </xdr:from>
    <xdr:to>
      <xdr:col>69</xdr:col>
      <xdr:colOff>415473</xdr:colOff>
      <xdr:row>202</xdr:row>
      <xdr:rowOff>105682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9705AF50-BF3A-4033-AE45-7C11C2B0C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l/Results/2021-05-08%2018_25%20CO2_100%25%20QP_True%20TSA_48%20Name_NetZero/Auswertung_Ergebnisse_H2NRW_DACZero_CCS_F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.schoeb\Documents\Dissertation\20220506_Auswertung_Szenarienvergleic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ies"/>
      <sheetName val="flows"/>
      <sheetName val="CO2"/>
      <sheetName val="costs"/>
      <sheetName val="Fuel price calculation"/>
      <sheetName val="Farben"/>
      <sheetName val="Primärenergiebedarf"/>
      <sheetName val="Endenergiebedarf nach Sektor"/>
      <sheetName val="Kosten"/>
      <sheetName val="CO2-Emissionen"/>
      <sheetName val="Spez. Auswertung"/>
      <sheetName val="Sektorziele"/>
      <sheetName val="Speicher allgemein"/>
      <sheetName val="Strom - Inst. Kapazitäten"/>
      <sheetName val="Strom - Flows"/>
      <sheetName val="Strom - Nachfrage"/>
      <sheetName val="Übertragungsnetz"/>
      <sheetName val="Verteilnetz"/>
      <sheetName val="HH-Netz"/>
      <sheetName val="Strom - Regionale Aufteilung"/>
      <sheetName val="Strom - Regionale Aufteilung 2"/>
      <sheetName val="Strom - Speicher"/>
      <sheetName val="Wärme - Erzeugung"/>
      <sheetName val="Wärme - Gesamtverbrauch"/>
      <sheetName val="Wärme - Speicher"/>
      <sheetName val="Prozesswärme - Energieträger"/>
      <sheetName val="Prozesswärme - Erzeugung"/>
      <sheetName val="Prozesswärme - Bedarf"/>
      <sheetName val="Industrieprozesse"/>
      <sheetName val="Chemische Industrie"/>
      <sheetName val="Papierindustrie"/>
      <sheetName val="Glasindustrie"/>
      <sheetName val="Raumwärme - Energieträger"/>
      <sheetName val="Gebäude - Wärmeverbrauch"/>
      <sheetName val="Gebäude - Heizungsart"/>
      <sheetName val="Gebäude - Inst. Heizkapazitäten"/>
      <sheetName val="Gebäude - Bestand"/>
      <sheetName val="Gebäude - Sanierungsrate"/>
      <sheetName val="Gebäude - Elektrogeräte"/>
      <sheetName val="Erdgas"/>
      <sheetName val="Wasserstoff - Inst. Kapazitäten"/>
      <sheetName val="Wasserstoff - Bedarf"/>
      <sheetName val="Wasserstoff - Produktion"/>
      <sheetName val="Wasserstoff - Speicher"/>
      <sheetName val="Verkehr - Bestand"/>
      <sheetName val="Verkehr - Nutzung"/>
      <sheetName val="Verkehr - Kraftstoffmix"/>
      <sheetName val="Verkehr - EE im Kraftstoff"/>
      <sheetName val="Energycrops"/>
      <sheetName val="Straw Conversion"/>
      <sheetName val="Wood Conversion"/>
      <sheetName val="Biogas Conversion"/>
      <sheetName val="Biomasse - Produktion"/>
      <sheetName val="Biomasse - Nutzung"/>
      <sheetName val="Biomasse - Kapazitäten"/>
      <sheetName val="Biomasse - Sources"/>
      <sheetName val="Studienvergleich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E3">
            <v>2020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F3">
            <v>2020</v>
          </cell>
        </row>
      </sheetData>
      <sheetData sheetId="22">
        <row r="3">
          <cell r="AQ3">
            <v>2020</v>
          </cell>
          <cell r="AR3">
            <v>2025</v>
          </cell>
          <cell r="AS3">
            <v>2030</v>
          </cell>
          <cell r="AT3">
            <v>2035</v>
          </cell>
          <cell r="AU3">
            <v>2040</v>
          </cell>
          <cell r="AV3">
            <v>2045</v>
          </cell>
          <cell r="AW3">
            <v>2050</v>
          </cell>
        </row>
        <row r="4">
          <cell r="AN4" t="str">
            <v>Coal CHP</v>
          </cell>
          <cell r="AQ4">
            <v>53663.55498773171</v>
          </cell>
          <cell r="AR4">
            <v>1730.6795687777569</v>
          </cell>
          <cell r="AS4">
            <v>2447.2634478580799</v>
          </cell>
          <cell r="AT4">
            <v>40.250165005471949</v>
          </cell>
          <cell r="AU4">
            <v>0</v>
          </cell>
          <cell r="AV4">
            <v>0</v>
          </cell>
          <cell r="AW4">
            <v>0</v>
          </cell>
        </row>
        <row r="5">
          <cell r="AN5" t="str">
            <v>Lignite CHP</v>
          </cell>
          <cell r="AQ5">
            <v>160002.498785295</v>
          </cell>
          <cell r="AR5">
            <v>30109.532657216761</v>
          </cell>
          <cell r="AS5">
            <v>537.77262189892679</v>
          </cell>
          <cell r="AT5">
            <v>219.02263452104279</v>
          </cell>
          <cell r="AU5">
            <v>0</v>
          </cell>
          <cell r="AV5">
            <v>0</v>
          </cell>
          <cell r="AW5">
            <v>0</v>
          </cell>
        </row>
        <row r="6">
          <cell r="AN6" t="str">
            <v>Gas CHP</v>
          </cell>
          <cell r="AQ6">
            <v>153.50784878667909</v>
          </cell>
          <cell r="AR6">
            <v>508.45043268486199</v>
          </cell>
          <cell r="AS6">
            <v>1121.9396760562381</v>
          </cell>
          <cell r="AT6">
            <v>191.16452516159259</v>
          </cell>
          <cell r="AU6">
            <v>123.8470464300258</v>
          </cell>
          <cell r="AV6">
            <v>73.365840112087525</v>
          </cell>
          <cell r="AW6">
            <v>0.25819777447339759</v>
          </cell>
        </row>
        <row r="7">
          <cell r="AN7" t="str">
            <v>CC CHP</v>
          </cell>
          <cell r="AQ7">
            <v>4484.651152245423</v>
          </cell>
          <cell r="AR7">
            <v>39174.12044805372</v>
          </cell>
          <cell r="AS7">
            <v>29915.079362032899</v>
          </cell>
          <cell r="AT7">
            <v>17152.261328603181</v>
          </cell>
          <cell r="AU7">
            <v>9194.8489360522817</v>
          </cell>
          <cell r="AV7">
            <v>4790.6133249560999</v>
          </cell>
          <cell r="AW7">
            <v>1717.38994920859</v>
          </cell>
        </row>
        <row r="8">
          <cell r="AN8" t="str">
            <v>Straw CHP (LS)</v>
          </cell>
          <cell r="AQ8">
            <v>0</v>
          </cell>
          <cell r="AR8">
            <v>1.1028413824806309</v>
          </cell>
          <cell r="AS8">
            <v>1.389221858751847</v>
          </cell>
          <cell r="AT8">
            <v>1.542612784502553</v>
          </cell>
          <cell r="AU8">
            <v>0.29441925967879901</v>
          </cell>
          <cell r="AV8">
            <v>2.123574995807175</v>
          </cell>
          <cell r="AW8">
            <v>2.3962278060069102</v>
          </cell>
        </row>
        <row r="9">
          <cell r="AN9" t="str">
            <v>Wood CHP (LS)</v>
          </cell>
          <cell r="AQ9">
            <v>0</v>
          </cell>
          <cell r="AR9">
            <v>130.59986706083279</v>
          </cell>
          <cell r="AS9">
            <v>59741.729941994032</v>
          </cell>
          <cell r="AT9">
            <v>74368.750693766488</v>
          </cell>
          <cell r="AU9">
            <v>66856.398031898163</v>
          </cell>
          <cell r="AV9">
            <v>47324.311196792572</v>
          </cell>
          <cell r="AW9">
            <v>20411.458848671951</v>
          </cell>
        </row>
        <row r="10">
          <cell r="AN10" t="str">
            <v>WasteCHP</v>
          </cell>
          <cell r="AQ10">
            <v>310.29336957306077</v>
          </cell>
          <cell r="AR10">
            <v>16.590111529622408</v>
          </cell>
          <cell r="AS10">
            <v>1.036205066429067</v>
          </cell>
          <cell r="AT10">
            <v>1.0397072791293001</v>
          </cell>
          <cell r="AU10">
            <v>26.15089777573597</v>
          </cell>
          <cell r="AV10">
            <v>479.6069948843151</v>
          </cell>
          <cell r="AW10">
            <v>1635.3455922613371</v>
          </cell>
        </row>
        <row r="11">
          <cell r="AN11" t="str">
            <v>H2GT</v>
          </cell>
          <cell r="AQ11">
            <v>0</v>
          </cell>
          <cell r="AR11">
            <v>0.57111946229549171</v>
          </cell>
          <cell r="AS11">
            <v>94.519906301534107</v>
          </cell>
          <cell r="AT11">
            <v>415.02237033915702</v>
          </cell>
          <cell r="AU11">
            <v>984.2819474055043</v>
          </cell>
          <cell r="AV11">
            <v>1035.7988327800231</v>
          </cell>
          <cell r="AW11">
            <v>1640.546671388006</v>
          </cell>
        </row>
      </sheetData>
      <sheetData sheetId="23"/>
      <sheetData sheetId="24"/>
      <sheetData sheetId="25"/>
      <sheetData sheetId="26">
        <row r="3">
          <cell r="AP3">
            <v>2020</v>
          </cell>
          <cell r="AQ3">
            <v>2025</v>
          </cell>
          <cell r="AR3">
            <v>2030</v>
          </cell>
          <cell r="AS3">
            <v>2035</v>
          </cell>
          <cell r="AT3">
            <v>2040</v>
          </cell>
          <cell r="AU3">
            <v>2045</v>
          </cell>
          <cell r="AV3">
            <v>2050</v>
          </cell>
        </row>
        <row r="38">
          <cell r="AN38" t="str">
            <v>CC CHP</v>
          </cell>
          <cell r="AP38">
            <v>722.07343573599996</v>
          </cell>
          <cell r="AQ38">
            <v>3023.2129324102862</v>
          </cell>
          <cell r="AR38">
            <v>5261.6317071164267</v>
          </cell>
          <cell r="AS38">
            <v>4381.9542281145195</v>
          </cell>
          <cell r="AT38">
            <v>3430.2773183868658</v>
          </cell>
          <cell r="AU38">
            <v>1583.4760428408961</v>
          </cell>
          <cell r="AV38">
            <v>945.96086788858406</v>
          </cell>
        </row>
        <row r="39">
          <cell r="AN39" t="str">
            <v>Coal CHP</v>
          </cell>
          <cell r="AP39">
            <v>8640.3660414919705</v>
          </cell>
          <cell r="AQ39">
            <v>133.56299501670429</v>
          </cell>
          <cell r="AR39">
            <v>430.43840188703092</v>
          </cell>
          <cell r="AS39">
            <v>10.282864594297676</v>
          </cell>
          <cell r="AT39">
            <v>0</v>
          </cell>
          <cell r="AU39">
            <v>0</v>
          </cell>
          <cell r="AV39">
            <v>0</v>
          </cell>
        </row>
        <row r="40">
          <cell r="AN40" t="str">
            <v>Gas CHP</v>
          </cell>
          <cell r="AP40">
            <v>24.716290302834636</v>
          </cell>
          <cell r="AQ40">
            <v>39.239015605233597</v>
          </cell>
          <cell r="AR40">
            <v>197.3330340049707</v>
          </cell>
          <cell r="AS40">
            <v>48.837537118236192</v>
          </cell>
          <cell r="AT40">
            <v>46.203011846382658</v>
          </cell>
          <cell r="AU40">
            <v>24.250141328501154</v>
          </cell>
          <cell r="AV40">
            <v>0.14221871447443221</v>
          </cell>
        </row>
        <row r="41">
          <cell r="AN41" t="str">
            <v>H2 GT</v>
          </cell>
          <cell r="AP41">
            <v>0</v>
          </cell>
          <cell r="AQ41">
            <v>4.4075418276525016E-2</v>
          </cell>
          <cell r="AR41">
            <v>16.624690509128882</v>
          </cell>
          <cell r="AS41">
            <v>106.02736255172717</v>
          </cell>
          <cell r="AT41">
            <v>367.20125176220267</v>
          </cell>
          <cell r="AU41">
            <v>342.37007365330624</v>
          </cell>
          <cell r="AV41">
            <v>903.63458444197329</v>
          </cell>
        </row>
        <row r="42">
          <cell r="AN42" t="str">
            <v>HTGrid</v>
          </cell>
          <cell r="AP42">
            <v>0.40720157023757453</v>
          </cell>
          <cell r="AQ42">
            <v>25.068285373324343</v>
          </cell>
          <cell r="AR42">
            <v>287.97392512898477</v>
          </cell>
          <cell r="AS42">
            <v>328.81943160087235</v>
          </cell>
          <cell r="AT42">
            <v>69.804796971979172</v>
          </cell>
          <cell r="AU42">
            <v>33.460369683983458</v>
          </cell>
          <cell r="AV42">
            <v>450.58200366815328</v>
          </cell>
        </row>
        <row r="43">
          <cell r="AN43" t="str">
            <v>Lignite CHP</v>
          </cell>
          <cell r="AP43">
            <v>25761.993542440094</v>
          </cell>
          <cell r="AQ43">
            <v>2323.6648960334237</v>
          </cell>
          <cell r="AR43">
            <v>94.586460706291845</v>
          </cell>
          <cell r="AS43">
            <v>55.954555554245559</v>
          </cell>
          <cell r="AT43">
            <v>0</v>
          </cell>
          <cell r="AU43">
            <v>0</v>
          </cell>
          <cell r="AV43">
            <v>0</v>
          </cell>
        </row>
        <row r="44">
          <cell r="AN44" t="str">
            <v>Straw CHP (LS)</v>
          </cell>
          <cell r="AP44">
            <v>0</v>
          </cell>
          <cell r="AQ44">
            <v>8.5110381337951152E-2</v>
          </cell>
          <cell r="AR44">
            <v>0.2443441212963979</v>
          </cell>
          <cell r="AS44">
            <v>0.39409722624281851</v>
          </cell>
          <cell r="AT44">
            <v>0.10983755313396638</v>
          </cell>
          <cell r="AU44">
            <v>0.70192058990013195</v>
          </cell>
          <cell r="AV44">
            <v>1.3198736466773988</v>
          </cell>
        </row>
        <row r="45">
          <cell r="AN45" t="str">
            <v>Straw CHP (MS)</v>
          </cell>
          <cell r="AP45">
            <v>0</v>
          </cell>
          <cell r="AQ45">
            <v>0.24332450831722857</v>
          </cell>
          <cell r="AR45">
            <v>0.41731244775354354</v>
          </cell>
          <cell r="AS45">
            <v>0.95528577911484991</v>
          </cell>
          <cell r="AT45">
            <v>7.9876646289011907E-2</v>
          </cell>
          <cell r="AU45">
            <v>1.430481794727064</v>
          </cell>
          <cell r="AV45">
            <v>2.5298963675260637</v>
          </cell>
        </row>
        <row r="46">
          <cell r="AN46" t="str">
            <v>Straw HP</v>
          </cell>
          <cell r="AP46">
            <v>0</v>
          </cell>
          <cell r="AQ46">
            <v>4.4116031090418444E-2</v>
          </cell>
          <cell r="AR46">
            <v>0.10142710591385587</v>
          </cell>
          <cell r="AS46">
            <v>0.14862597834736638</v>
          </cell>
          <cell r="AT46">
            <v>5.2154295815322466E-2</v>
          </cell>
          <cell r="AU46">
            <v>0.32218344374412178</v>
          </cell>
          <cell r="AV46">
            <v>0.45688844725196259</v>
          </cell>
        </row>
        <row r="47">
          <cell r="AN47" t="str">
            <v>Waste CHP</v>
          </cell>
          <cell r="AP47">
            <v>49.960318394338948</v>
          </cell>
          <cell r="AQ47">
            <v>1.2803207615852246</v>
          </cell>
          <cell r="AR47">
            <v>0.18225355067977858</v>
          </cell>
          <cell r="AS47">
            <v>0.26561802088361136</v>
          </cell>
          <cell r="AT47">
            <v>9.7559875229526636</v>
          </cell>
          <cell r="AU47">
            <v>158.52796601679151</v>
          </cell>
          <cell r="AV47">
            <v>900.76976196709609</v>
          </cell>
        </row>
        <row r="48">
          <cell r="AN48" t="str">
            <v>Wood CHP (LS)</v>
          </cell>
          <cell r="AP48">
            <v>0</v>
          </cell>
          <cell r="AQ48">
            <v>10.078878671773476</v>
          </cell>
          <cell r="AR48">
            <v>10507.710064768535</v>
          </cell>
          <cell r="AS48">
            <v>18999.271017326741</v>
          </cell>
          <cell r="AT48">
            <v>24941.789403266444</v>
          </cell>
          <cell r="AU48">
            <v>15642.446580627529</v>
          </cell>
          <cell r="AV48">
            <v>11242.8987582346</v>
          </cell>
        </row>
        <row r="49">
          <cell r="AN49" t="str">
            <v>Wood CHP (MS)</v>
          </cell>
          <cell r="AP49">
            <v>21.202136032502882</v>
          </cell>
          <cell r="AQ49">
            <v>25693.001484616376</v>
          </cell>
          <cell r="AR49">
            <v>16854.291242280782</v>
          </cell>
          <cell r="AS49">
            <v>14166.732336063529</v>
          </cell>
          <cell r="AT49">
            <v>14083.810991645205</v>
          </cell>
          <cell r="AU49">
            <v>15256.333896511289</v>
          </cell>
          <cell r="AV49">
            <v>18231.19571650798</v>
          </cell>
        </row>
        <row r="50">
          <cell r="AN50" t="str">
            <v>Wood HP</v>
          </cell>
          <cell r="AP50">
            <v>0</v>
          </cell>
          <cell r="AQ50">
            <v>0.13880588989028775</v>
          </cell>
          <cell r="AR50">
            <v>0.51825178901501301</v>
          </cell>
          <cell r="AS50">
            <v>0.44280434294072452</v>
          </cell>
          <cell r="AT50">
            <v>0.14004341430497674</v>
          </cell>
          <cell r="AU50">
            <v>0.60769371247708159</v>
          </cell>
          <cell r="AV50">
            <v>0.44899228570571803</v>
          </cell>
        </row>
        <row r="51">
          <cell r="AN51" t="str">
            <v>Biogas CHP</v>
          </cell>
          <cell r="AP51">
            <v>12.124877071644349</v>
          </cell>
          <cell r="AQ51">
            <v>2669.9911814471839</v>
          </cell>
          <cell r="AR51">
            <v>1561.9266211083034</v>
          </cell>
          <cell r="AS51">
            <v>1463.5016063689495</v>
          </cell>
          <cell r="AT51">
            <v>1059.4420866360686</v>
          </cell>
          <cell r="AU51">
            <v>1194.9921073726739</v>
          </cell>
          <cell r="AV51">
            <v>2981.8804411452379</v>
          </cell>
        </row>
        <row r="52">
          <cell r="AN52" t="str">
            <v>Electro vessel</v>
          </cell>
          <cell r="AP52">
            <v>0</v>
          </cell>
          <cell r="AQ52">
            <v>182.67833522788504</v>
          </cell>
          <cell r="AR52">
            <v>130.96437045068217</v>
          </cell>
          <cell r="AS52">
            <v>87.575099177791543</v>
          </cell>
          <cell r="AT52">
            <v>117.40629483270506</v>
          </cell>
          <cell r="AU52">
            <v>449.1112603073629</v>
          </cell>
          <cell r="AV52">
            <v>249.08434660211958</v>
          </cell>
        </row>
        <row r="53">
          <cell r="AN53" t="str">
            <v>H2 Mini CHP</v>
          </cell>
          <cell r="AP53">
            <v>0</v>
          </cell>
          <cell r="AQ53">
            <v>2.1888799667942532E-4</v>
          </cell>
          <cell r="AR53">
            <v>3.1954369907655352E-4</v>
          </cell>
          <cell r="AS53">
            <v>3.223164929210672E-4</v>
          </cell>
          <cell r="AT53">
            <v>3.539760827113735E-5</v>
          </cell>
          <cell r="AU53">
            <v>1.4142244909461461E-3</v>
          </cell>
          <cell r="AV53">
            <v>6.2846738096373643E-3</v>
          </cell>
        </row>
        <row r="54">
          <cell r="AN54" t="str">
            <v>Heatpump (LS)</v>
          </cell>
          <cell r="AP54">
            <v>0</v>
          </cell>
          <cell r="AQ54">
            <v>101.21583431371228</v>
          </cell>
          <cell r="AR54">
            <v>412.92999620357153</v>
          </cell>
          <cell r="AS54">
            <v>1272.2359477518876</v>
          </cell>
          <cell r="AT54">
            <v>4912.1431936893878</v>
          </cell>
          <cell r="AU54">
            <v>27967.192538810483</v>
          </cell>
          <cell r="AV54">
            <v>87267.170930644817</v>
          </cell>
        </row>
        <row r="55">
          <cell r="AN55" t="str">
            <v>Geothermal heatpump (LS)</v>
          </cell>
          <cell r="AP55">
            <v>0</v>
          </cell>
          <cell r="AQ55">
            <v>0.67583066607629416</v>
          </cell>
          <cell r="AR55">
            <v>1.9332154700239939</v>
          </cell>
          <cell r="AS55">
            <v>10.847689642347591</v>
          </cell>
          <cell r="AT55">
            <v>41.410820082992394</v>
          </cell>
          <cell r="AU55">
            <v>168.56393654080117</v>
          </cell>
          <cell r="AV55">
            <v>514.41019147513236</v>
          </cell>
        </row>
        <row r="56">
          <cell r="AN56" t="str">
            <v>SOFC (LS)</v>
          </cell>
          <cell r="AP56">
            <v>0</v>
          </cell>
          <cell r="AQ56">
            <v>2.5608698238290126E-2</v>
          </cell>
          <cell r="AR56">
            <v>2.381019805950349E-2</v>
          </cell>
          <cell r="AS56">
            <v>5.1299113785713356E-2</v>
          </cell>
          <cell r="AT56">
            <v>1.2589965869220041E-2</v>
          </cell>
          <cell r="AU56">
            <v>9.5674262352764217E-2</v>
          </cell>
          <cell r="AV56">
            <v>0.17546614540790337</v>
          </cell>
        </row>
        <row r="57">
          <cell r="AN57" t="str">
            <v>Mini CHP</v>
          </cell>
          <cell r="AP57">
            <v>7.719935795590243</v>
          </cell>
          <cell r="AQ57">
            <v>2406.8593375549262</v>
          </cell>
          <cell r="AR57">
            <v>1099.9565238266339</v>
          </cell>
          <cell r="AS57">
            <v>729.77217029941824</v>
          </cell>
          <cell r="AT57">
            <v>0.22397474098034015</v>
          </cell>
          <cell r="AU57">
            <v>2.5756134631041742E-4</v>
          </cell>
          <cell r="AV57">
            <v>1.6523557721772019E-4</v>
          </cell>
        </row>
        <row r="58">
          <cell r="AN58" t="str">
            <v>Pellet boiler (LS)</v>
          </cell>
          <cell r="AP58">
            <v>2.1832036474419558</v>
          </cell>
          <cell r="AQ58">
            <v>0.2453815940815163</v>
          </cell>
          <cell r="AR58">
            <v>0.13417530360502014</v>
          </cell>
          <cell r="AS58">
            <v>0.14052676599904532</v>
          </cell>
          <cell r="AT58">
            <v>4.5290578977641709E-2</v>
          </cell>
          <cell r="AU58">
            <v>1.6003187297648341E-4</v>
          </cell>
          <cell r="AV58">
            <v>1.3185064059514383E-4</v>
          </cell>
        </row>
        <row r="59">
          <cell r="AN59" t="str">
            <v>Straw CHP (SS)</v>
          </cell>
          <cell r="AP59">
            <v>0</v>
          </cell>
          <cell r="AQ59">
            <v>0.17671240291858403</v>
          </cell>
          <cell r="AR59">
            <v>0.18695890256023445</v>
          </cell>
          <cell r="AS59">
            <v>0.24056318620990771</v>
          </cell>
          <cell r="AT59">
            <v>4.7085778681222462E-2</v>
          </cell>
          <cell r="AU59">
            <v>0.63417534573888179</v>
          </cell>
          <cell r="AV59">
            <v>0.70091574728790773</v>
          </cell>
        </row>
        <row r="60">
          <cell r="AN60" t="str">
            <v>Wood CHP (SS)</v>
          </cell>
          <cell r="AP60">
            <v>0</v>
          </cell>
          <cell r="AQ60">
            <v>0.45216447309803026</v>
          </cell>
          <cell r="AR60">
            <v>140.14180225551323</v>
          </cell>
          <cell r="AS60">
            <v>813.23329933084221</v>
          </cell>
          <cell r="AT60">
            <v>1026.6043233090156</v>
          </cell>
          <cell r="AU60">
            <v>1611.6844795070851</v>
          </cell>
          <cell r="AV60">
            <v>759.64352898086213</v>
          </cell>
        </row>
      </sheetData>
      <sheetData sheetId="27"/>
      <sheetData sheetId="28"/>
      <sheetData sheetId="29">
        <row r="3">
          <cell r="AD3" t="str">
            <v>2020</v>
          </cell>
          <cell r="AE3" t="str">
            <v>2025</v>
          </cell>
          <cell r="AF3" t="str">
            <v>2030</v>
          </cell>
          <cell r="AG3" t="str">
            <v>2035</v>
          </cell>
          <cell r="AH3" t="str">
            <v>2040</v>
          </cell>
          <cell r="AI3" t="str">
            <v>2045</v>
          </cell>
          <cell r="AJ3" t="str">
            <v>2050</v>
          </cell>
        </row>
        <row r="60">
          <cell r="AA60" t="str">
            <v>Sabatier Prozess</v>
          </cell>
          <cell r="AD60">
            <v>0</v>
          </cell>
          <cell r="AE60">
            <v>0.106205882227757</v>
          </cell>
          <cell r="AF60">
            <v>6.7585100935465464E-2</v>
          </cell>
          <cell r="AG60">
            <v>5.3561038726324561E-2</v>
          </cell>
          <cell r="AH60">
            <v>1.3255223692703291E-2</v>
          </cell>
          <cell r="AI60">
            <v>4.9323294532052003E-2</v>
          </cell>
          <cell r="AJ60">
            <v>2.440107814799505E-2</v>
          </cell>
        </row>
        <row r="61">
          <cell r="AA61" t="str">
            <v>Fischer-Tropsch</v>
          </cell>
          <cell r="AD61">
            <v>3.6233424109082451E-7</v>
          </cell>
          <cell r="AE61">
            <v>184.98227067483199</v>
          </cell>
          <cell r="AF61">
            <v>532.79456476723999</v>
          </cell>
          <cell r="AG61">
            <v>8212.4046690334653</v>
          </cell>
          <cell r="AH61">
            <v>23.902324488149251</v>
          </cell>
          <cell r="AI61">
            <v>1340.975548521347</v>
          </cell>
          <cell r="AJ61">
            <v>31311.489268535239</v>
          </cell>
        </row>
        <row r="62">
          <cell r="AA62" t="str">
            <v>Onshore CO2 Speicherung</v>
          </cell>
          <cell r="AD62">
            <v>1.8724578617201119E-7</v>
          </cell>
          <cell r="AE62">
            <v>4.0712261547663123E-6</v>
          </cell>
          <cell r="AF62">
            <v>3.9330410640656732E-6</v>
          </cell>
          <cell r="AG62">
            <v>6.7776912771071149E-6</v>
          </cell>
          <cell r="AH62">
            <v>24965.955397524562</v>
          </cell>
          <cell r="AI62">
            <v>24965.860978118049</v>
          </cell>
          <cell r="AJ62">
            <v>24965.956105996669</v>
          </cell>
        </row>
        <row r="63">
          <cell r="AA63" t="str">
            <v>Offshore CO2 Speicherung</v>
          </cell>
          <cell r="AD63">
            <v>0</v>
          </cell>
          <cell r="AE63">
            <v>4.0712481705859123E-6</v>
          </cell>
          <cell r="AF63">
            <v>3.9331448465277108E-6</v>
          </cell>
          <cell r="AG63">
            <v>1.3555296260366E-5</v>
          </cell>
          <cell r="AH63">
            <v>24965.949230672999</v>
          </cell>
          <cell r="AI63">
            <v>24965.849419731421</v>
          </cell>
          <cell r="AJ63">
            <v>24965.954121525188</v>
          </cell>
        </row>
        <row r="64">
          <cell r="AA64" t="str">
            <v>CO2 Speicher</v>
          </cell>
          <cell r="AD64">
            <v>0</v>
          </cell>
          <cell r="AE64">
            <v>306.39441854360871</v>
          </cell>
          <cell r="AF64">
            <v>731.85359334574969</v>
          </cell>
          <cell r="AG64">
            <v>2170.3357225805071</v>
          </cell>
          <cell r="AH64">
            <v>7596.0427710651538</v>
          </cell>
          <cell r="AI64">
            <v>8193.6114636187849</v>
          </cell>
          <cell r="AJ64">
            <v>8564.1015536615068</v>
          </cell>
        </row>
        <row r="65">
          <cell r="AA65" t="str">
            <v>CO2 Emissionen</v>
          </cell>
          <cell r="AD65">
            <v>0</v>
          </cell>
          <cell r="AE65">
            <v>0.59236045107391133</v>
          </cell>
          <cell r="AF65">
            <v>0.2071049540681803</v>
          </cell>
          <cell r="AG65">
            <v>9.3234403549306066E-2</v>
          </cell>
          <cell r="AH65">
            <v>2.449971296050257E-2</v>
          </cell>
          <cell r="AI65">
            <v>7.9146694981846469E-2</v>
          </cell>
          <cell r="AJ65">
            <v>2.6417295921067011E-2</v>
          </cell>
        </row>
        <row r="66">
          <cell r="AA66" t="str">
            <v>Harnstoff</v>
          </cell>
          <cell r="AD66">
            <v>381.10828601997071</v>
          </cell>
          <cell r="AE66">
            <v>410.6040280269724</v>
          </cell>
          <cell r="AF66">
            <v>431.79500674473792</v>
          </cell>
          <cell r="AG66">
            <v>451.03590637893109</v>
          </cell>
          <cell r="AH66">
            <v>470.28513054818092</v>
          </cell>
          <cell r="AI66">
            <v>506.808688945673</v>
          </cell>
          <cell r="AJ66">
            <v>557.66341270332327</v>
          </cell>
        </row>
        <row r="67">
          <cell r="AA67" t="str">
            <v>Harnstoff</v>
          </cell>
          <cell r="AD67">
            <v>0</v>
          </cell>
          <cell r="AE67">
            <v>0.60956307978156921</v>
          </cell>
          <cell r="AF67">
            <v>9.471563991824663</v>
          </cell>
          <cell r="AG67">
            <v>20.283583639820829</v>
          </cell>
          <cell r="AH67">
            <v>31.086993393860372</v>
          </cell>
          <cell r="AI67">
            <v>24.654370731600501</v>
          </cell>
          <cell r="AJ67">
            <v>3.8898871102992389</v>
          </cell>
        </row>
        <row r="68">
          <cell r="AA68" t="str">
            <v>Harnstoff</v>
          </cell>
          <cell r="AD68">
            <v>381.10828601997071</v>
          </cell>
          <cell r="AE68">
            <v>411.213591106754</v>
          </cell>
          <cell r="AF68">
            <v>441.26657073656258</v>
          </cell>
          <cell r="AG68">
            <v>471.31949001875194</v>
          </cell>
          <cell r="AH68">
            <v>501.3721239420413</v>
          </cell>
          <cell r="AI68">
            <v>531.46305967727346</v>
          </cell>
          <cell r="AJ68">
            <v>561.55329981362252</v>
          </cell>
        </row>
        <row r="69">
          <cell r="AA69" t="str">
            <v>Methanol</v>
          </cell>
          <cell r="AD69">
            <v>0</v>
          </cell>
          <cell r="AE69">
            <v>0.73461457292798971</v>
          </cell>
          <cell r="AF69">
            <v>35.81214317970371</v>
          </cell>
          <cell r="AG69">
            <v>128.44750068993801</v>
          </cell>
          <cell r="AH69">
            <v>4.7100778600438407</v>
          </cell>
          <cell r="AI69">
            <v>9.7728055524605981</v>
          </cell>
          <cell r="AJ69">
            <v>8.7738754241315511E-2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S3">
            <v>2020</v>
          </cell>
        </row>
      </sheetData>
      <sheetData sheetId="40"/>
      <sheetData sheetId="41">
        <row r="3">
          <cell r="AF3">
            <v>2025</v>
          </cell>
          <cell r="AG3">
            <v>2030</v>
          </cell>
          <cell r="AH3">
            <v>2035</v>
          </cell>
          <cell r="AI3">
            <v>2040</v>
          </cell>
          <cell r="AJ3">
            <v>2045</v>
          </cell>
          <cell r="AK3">
            <v>2050</v>
          </cell>
        </row>
        <row r="4">
          <cell r="AB4" t="str">
            <v>H2 CC PP</v>
          </cell>
          <cell r="AF4">
            <v>3039.2579001270001</v>
          </cell>
          <cell r="AG4">
            <v>12200.149730779151</v>
          </cell>
          <cell r="AH4">
            <v>49793.459491293012</v>
          </cell>
          <cell r="AI4">
            <v>30340.43757501954</v>
          </cell>
          <cell r="AJ4">
            <v>37774.31357859174</v>
          </cell>
          <cell r="AK4">
            <v>57781.02435907859</v>
          </cell>
        </row>
        <row r="5">
          <cell r="AB5" t="str">
            <v>H2 GT</v>
          </cell>
          <cell r="AF5">
            <v>1.7048342158074381</v>
          </cell>
          <cell r="AG5">
            <v>284.91349746262722</v>
          </cell>
          <cell r="AH5">
            <v>1267.3855434170071</v>
          </cell>
          <cell r="AI5">
            <v>3046.5355947737662</v>
          </cell>
          <cell r="AJ5">
            <v>3182.2377113943339</v>
          </cell>
          <cell r="AK5">
            <v>5067.7569122695259</v>
          </cell>
        </row>
        <row r="6">
          <cell r="AB6" t="str">
            <v>LS-Fuel Cell</v>
          </cell>
          <cell r="AF6">
            <v>1.609470061128822</v>
          </cell>
          <cell r="AG6">
            <v>1.425555639758896</v>
          </cell>
          <cell r="AH6">
            <v>2.245158685238509</v>
          </cell>
          <cell r="AI6">
            <v>0.32682263086596408</v>
          </cell>
          <cell r="AJ6">
            <v>0.96901630089996005</v>
          </cell>
          <cell r="AK6">
            <v>0.63405573126351289</v>
          </cell>
        </row>
        <row r="7">
          <cell r="AB7" t="str">
            <v>LS-SOFC</v>
          </cell>
          <cell r="AF7">
            <v>0.55580111272218458</v>
          </cell>
          <cell r="AG7">
            <v>0.77441221033977725</v>
          </cell>
          <cell r="AH7">
            <v>1.284871401502663</v>
          </cell>
          <cell r="AI7">
            <v>0.27391325747386208</v>
          </cell>
          <cell r="AJ7">
            <v>1.2009779468537249</v>
          </cell>
          <cell r="AK7">
            <v>1.320289889239326</v>
          </cell>
        </row>
        <row r="8">
          <cell r="AB8" t="str">
            <v>Sabatier Process</v>
          </cell>
          <cell r="AF8">
            <v>0.68964858589452638</v>
          </cell>
          <cell r="AG8">
            <v>0.43886429178873682</v>
          </cell>
          <cell r="AH8">
            <v>0.34779895276834127</v>
          </cell>
          <cell r="AI8">
            <v>8.6072881121449965E-2</v>
          </cell>
          <cell r="AJ8">
            <v>0.32028113332501301</v>
          </cell>
          <cell r="AK8">
            <v>0.15844855940256519</v>
          </cell>
        </row>
        <row r="9">
          <cell r="AB9" t="str">
            <v>H2 Mini CHP</v>
          </cell>
          <cell r="AF9">
            <v>2.9691618591835322E-3</v>
          </cell>
          <cell r="AG9">
            <v>6.5258148957046671E-3</v>
          </cell>
          <cell r="AH9">
            <v>5.0936478029881722E-3</v>
          </cell>
          <cell r="AI9">
            <v>4.8837329725029193E-4</v>
          </cell>
          <cell r="AJ9">
            <v>1.104115706107967E-2</v>
          </cell>
          <cell r="AK9">
            <v>2.8834661359798081E-2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ies"/>
      <sheetName val="flows"/>
      <sheetName val="CO2"/>
      <sheetName val="costs"/>
      <sheetName val="Fuel price calculation"/>
      <sheetName val="Farben"/>
      <sheetName val="Primärenergiebedarf"/>
      <sheetName val="Endenergiebedarf nach Sektor"/>
      <sheetName val="Kosten"/>
      <sheetName val="Kostenvergleich"/>
      <sheetName val="CO2-Emissionen"/>
      <sheetName val="Spez. Auswertung"/>
      <sheetName val="Sektorziele"/>
      <sheetName val="Speicher allgemein"/>
      <sheetName val="Strom - Inst. Kapazitäten"/>
      <sheetName val="Strom - Nachfrage"/>
      <sheetName val="Strom - Flows"/>
      <sheetName val="Übertragungsnetz"/>
      <sheetName val="Verteilnetz"/>
      <sheetName val="HH-Netz"/>
      <sheetName val="Strom - Regionale Aufteilung"/>
      <sheetName val="Strom - Regionale Aufteilung 2"/>
      <sheetName val="Strom - Speicher"/>
      <sheetName val="Wärme - Gesamtverbrauch"/>
      <sheetName val="Wärme - Erzeugung"/>
      <sheetName val="Wärme - Speicher"/>
      <sheetName val="Prozesswärme - Energieträger"/>
      <sheetName val="Prozesswärme - Erzeugung"/>
      <sheetName val="Prozesswärme - Bedarf"/>
      <sheetName val="Industrieprozesse"/>
      <sheetName val="Chemische Industrie"/>
      <sheetName val="Papierindustrie"/>
      <sheetName val="Glasindustrie"/>
      <sheetName val="Raumwärme - Energieträger"/>
      <sheetName val="Gebäude - Wärmeverbrauch"/>
      <sheetName val="Gebäude - Heizungsart"/>
      <sheetName val="Gebäude - Inst. Heizkapazitäten"/>
      <sheetName val="Gebäude - Bestand"/>
      <sheetName val="Gebäude - Sanierungsrate"/>
      <sheetName val="Gebäude - Elektrogeräte"/>
      <sheetName val="Erdgas"/>
      <sheetName val="Wasserstoff - Inst. Kapazitäten"/>
      <sheetName val="Wasserstoff - Bedarf"/>
      <sheetName val="Wasserstoff - Produktion"/>
      <sheetName val="Wasserstoff - Speicher"/>
      <sheetName val="Verkehr - Bestand"/>
      <sheetName val="Verkehr - Nutzung"/>
      <sheetName val="Verkehr - Kraftstoffmix"/>
      <sheetName val="Verkehr - EE im Kraftstoff"/>
      <sheetName val="Energycrops"/>
      <sheetName val="Straw Conversion"/>
      <sheetName val="Wood Conversion"/>
      <sheetName val="Biogas Conversion"/>
      <sheetName val="Biomasse - Produktion"/>
      <sheetName val="Biomasse - Nutzung"/>
      <sheetName val="Biomasse - Kapazitäten"/>
      <sheetName val="Biomasse - Sources"/>
      <sheetName val="Studienvergleich"/>
    </sheetNames>
    <sheetDataSet>
      <sheetData sheetId="0"/>
      <sheetData sheetId="1"/>
      <sheetData sheetId="2"/>
      <sheetData sheetId="3"/>
      <sheetData sheetId="4"/>
      <sheetData sheetId="5"/>
      <sheetData sheetId="6">
        <row r="44">
          <cell r="D44">
            <v>304.12638888888887</v>
          </cell>
        </row>
        <row r="45">
          <cell r="D45">
            <v>322.57083333333338</v>
          </cell>
        </row>
        <row r="46">
          <cell r="D46">
            <v>1253.165</v>
          </cell>
        </row>
        <row r="47">
          <cell r="D47">
            <v>888.8655555555556</v>
          </cell>
        </row>
        <row r="48">
          <cell r="D48">
            <v>526.69583333333333</v>
          </cell>
        </row>
        <row r="49">
          <cell r="D49">
            <v>59.505833333333335</v>
          </cell>
        </row>
        <row r="50">
          <cell r="D50">
            <v>-32.668055555555561</v>
          </cell>
        </row>
        <row r="51">
          <cell r="D51">
            <v>227.48666666666665</v>
          </cell>
        </row>
      </sheetData>
      <sheetData sheetId="7">
        <row r="5">
          <cell r="C5" t="str">
            <v>GHD</v>
          </cell>
          <cell r="E5">
            <v>440920.95258072921</v>
          </cell>
          <cell r="F5">
            <v>388755.63342688634</v>
          </cell>
          <cell r="G5">
            <v>340632.10331138817</v>
          </cell>
          <cell r="H5">
            <v>291562.07825793943</v>
          </cell>
          <cell r="I5">
            <v>265509.01725890063</v>
          </cell>
          <cell r="J5">
            <v>247123.50213840255</v>
          </cell>
        </row>
        <row r="7">
          <cell r="C7" t="str">
            <v>Industrie (n-energ.)</v>
          </cell>
          <cell r="E7">
            <v>207111.31190966285</v>
          </cell>
          <cell r="F7">
            <v>218734.84625512513</v>
          </cell>
          <cell r="G7">
            <v>229496.34700529036</v>
          </cell>
          <cell r="H7">
            <v>240163.07395346323</v>
          </cell>
          <cell r="I7">
            <v>222640.24684853258</v>
          </cell>
          <cell r="J7">
            <v>229932.40899992213</v>
          </cell>
        </row>
        <row r="40">
          <cell r="E40">
            <v>2408</v>
          </cell>
        </row>
        <row r="41">
          <cell r="E41">
            <v>1342</v>
          </cell>
        </row>
        <row r="42">
          <cell r="E42">
            <v>2536</v>
          </cell>
        </row>
        <row r="43">
          <cell r="E43">
            <v>2770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2">
          <cell r="C2" t="str">
            <v>AGEB für 2013</v>
          </cell>
          <cell r="D2" t="str">
            <v>BMU (2009) - 80%</v>
          </cell>
          <cell r="E2" t="str">
            <v>UBA (2010) - 100% EE *</v>
          </cell>
          <cell r="F2" t="str">
            <v>DLR (2011) - Szenario A - 80%</v>
          </cell>
          <cell r="G2" t="str">
            <v>DLR (2011) - Szenario B - 80%</v>
          </cell>
          <cell r="H2" t="str">
            <v>DLR (2011) - 95%</v>
          </cell>
          <cell r="I2" t="str">
            <v>IWES (2014) - 80% *</v>
          </cell>
          <cell r="J2" t="str">
            <v>Energiemärkte (2014) - Ref</v>
          </cell>
          <cell r="K2" t="str">
            <v>Energiemärkte (2014) - 80 %</v>
          </cell>
          <cell r="L2" t="str">
            <v>Ökoinstitut (2015) - Ref</v>
          </cell>
          <cell r="M2" t="str">
            <v>Ökoinstitut (2015) - 80 %</v>
          </cell>
          <cell r="N2" t="str">
            <v>Ökoinstitut (2015) - 95 %</v>
          </cell>
          <cell r="O2" t="str">
            <v>HTW Berlin (2016) - 100%</v>
          </cell>
          <cell r="P2" t="str">
            <v>ISE (2016) - 80%</v>
          </cell>
          <cell r="Q2" t="str">
            <v>BMWi Langfrist (2017) - Ref</v>
          </cell>
          <cell r="R2" t="str">
            <v>BMWi Langfrist (2017) - 80 %</v>
          </cell>
          <cell r="S2" t="str">
            <v>UBA (2017) - 95 %</v>
          </cell>
          <cell r="T2" t="str">
            <v>DENA (2018) - Ref</v>
          </cell>
          <cell r="U2" t="str">
            <v>DENA (2018) - EL - 80 %</v>
          </cell>
          <cell r="V2" t="str">
            <v>DENA (2018) - TM - 80 %</v>
          </cell>
          <cell r="W2" t="str">
            <v>DENA (2018) - EL - 95 %</v>
          </cell>
          <cell r="X2" t="str">
            <v>DENA (2018) - TM - 95 %</v>
          </cell>
          <cell r="Y2" t="str">
            <v>BDI (2018) - Ref</v>
          </cell>
          <cell r="Z2" t="str">
            <v>BDI (2018) - 80 %</v>
          </cell>
          <cell r="AA2" t="str">
            <v>BDI (2018) - 95 %</v>
          </cell>
          <cell r="AB2" t="str">
            <v>ewi (2018) - EEV - 80%</v>
          </cell>
          <cell r="AC2" t="str">
            <v>ewi (2018) - TO - 80%</v>
          </cell>
          <cell r="AD2" t="str">
            <v>UBA (2019) - GreenEE - 100%</v>
          </cell>
          <cell r="AE2" t="str">
            <v>UBA (2019) - GreenSupreme - 100%</v>
          </cell>
          <cell r="AF2" t="str">
            <v>ISE (2020) - Referenz - 95%</v>
          </cell>
          <cell r="AG2" t="str">
            <v>ISE (2020) - Inakzeptanz - 95%</v>
          </cell>
          <cell r="AH2" t="str">
            <v>ISE (2020) - Referenz - 100%</v>
          </cell>
          <cell r="AI2" t="str">
            <v>ISE (2020) - Update- 100%</v>
          </cell>
          <cell r="AJ2" t="str">
            <v>ISE-KNES45</v>
          </cell>
          <cell r="AK2" t="str">
            <v>ISE (2021) - Beharrung - 2045 - 100%</v>
          </cell>
          <cell r="AL2" t="str">
            <v>ISE (2021) - Inakzeptanz - 2045 - 100%</v>
          </cell>
          <cell r="AM2" t="str">
            <v>ISE (2021) - Suffizenz - 2045 - 100%</v>
          </cell>
          <cell r="AN2" t="str">
            <v>AGORA (2020) - 2050 - 100%</v>
          </cell>
          <cell r="AO2" t="str">
            <v>AGORA-KNDE45</v>
          </cell>
          <cell r="AP2" t="str">
            <v>dena-LSKN</v>
          </cell>
          <cell r="AQ2" t="str">
            <v>BDI-KPF2</v>
          </cell>
          <cell r="AR2" t="str">
            <v>Ariadne-REMIND</v>
          </cell>
          <cell r="AS2" t="str">
            <v>Ariadne-REMod</v>
          </cell>
          <cell r="AT2" t="str">
            <v>Ariadne-TIMES</v>
          </cell>
          <cell r="AU2" t="str">
            <v>BMWI-LFS3</v>
          </cell>
          <cell r="AV2" t="str">
            <v>IEK-3 (2019) - 80 %</v>
          </cell>
          <cell r="AW2" t="str">
            <v>IEK-3 (2019) - 95 %</v>
          </cell>
          <cell r="AX2" t="str">
            <v>IEK-3 (2021) - H2NRW- 95%</v>
          </cell>
          <cell r="AY2" t="str">
            <v>IEK-3 KSG 2045</v>
          </cell>
          <cell r="AZ2" t="str">
            <v>Status Quo (2019)</v>
          </cell>
        </row>
        <row r="35">
          <cell r="A35" t="str">
            <v>Gebäude &amp; GHD</v>
          </cell>
          <cell r="B35" t="str">
            <v>Buildings&amp;GHD</v>
          </cell>
          <cell r="C35">
            <v>1117</v>
          </cell>
          <cell r="E35">
            <v>276</v>
          </cell>
          <cell r="F35">
            <v>556</v>
          </cell>
          <cell r="I35">
            <v>850</v>
          </cell>
          <cell r="K35">
            <v>649.40800000000002</v>
          </cell>
          <cell r="M35">
            <v>582.6880000000001</v>
          </cell>
          <cell r="N35">
            <v>483.44200000000006</v>
          </cell>
          <cell r="Q35">
            <v>748</v>
          </cell>
          <cell r="R35">
            <v>542</v>
          </cell>
          <cell r="S35">
            <v>555</v>
          </cell>
          <cell r="T35">
            <v>656</v>
          </cell>
          <cell r="U35">
            <v>383</v>
          </cell>
          <cell r="V35">
            <v>532</v>
          </cell>
          <cell r="W35">
            <v>362</v>
          </cell>
          <cell r="X35">
            <v>523</v>
          </cell>
          <cell r="Y35">
            <v>797</v>
          </cell>
          <cell r="Z35">
            <v>657</v>
          </cell>
          <cell r="AA35">
            <v>619</v>
          </cell>
          <cell r="AB35">
            <v>480</v>
          </cell>
          <cell r="AC35">
            <v>522</v>
          </cell>
          <cell r="AJ35">
            <v>834</v>
          </cell>
          <cell r="AO35">
            <v>662.3</v>
          </cell>
          <cell r="AP35">
            <v>571</v>
          </cell>
          <cell r="AQ35">
            <v>613</v>
          </cell>
          <cell r="AR35">
            <v>616.31100000000094</v>
          </cell>
          <cell r="AS35">
            <v>625</v>
          </cell>
          <cell r="AT35">
            <v>469</v>
          </cell>
          <cell r="AU35">
            <v>437.5440239906311</v>
          </cell>
          <cell r="AV35">
            <v>496.58662017293022</v>
          </cell>
          <cell r="AY35">
            <v>524.36327836880969</v>
          </cell>
          <cell r="AZ35">
            <v>1041.6666666666667</v>
          </cell>
        </row>
        <row r="36">
          <cell r="A36" t="str">
            <v>Industrie</v>
          </cell>
          <cell r="B36" t="str">
            <v>Industry</v>
          </cell>
          <cell r="C36">
            <v>709</v>
          </cell>
          <cell r="E36">
            <v>498</v>
          </cell>
          <cell r="F36">
            <v>444.80000000000007</v>
          </cell>
          <cell r="I36">
            <v>1000</v>
          </cell>
          <cell r="K36">
            <v>599.09</v>
          </cell>
          <cell r="M36">
            <v>488.16800000000006</v>
          </cell>
          <cell r="N36">
            <v>400.32000000000005</v>
          </cell>
          <cell r="Q36">
            <v>631</v>
          </cell>
          <cell r="R36">
            <v>540</v>
          </cell>
          <cell r="S36">
            <v>754</v>
          </cell>
          <cell r="T36">
            <v>815</v>
          </cell>
          <cell r="U36">
            <v>837</v>
          </cell>
          <cell r="V36">
            <v>741</v>
          </cell>
          <cell r="W36">
            <v>781</v>
          </cell>
          <cell r="X36">
            <v>673</v>
          </cell>
          <cell r="Y36">
            <v>669</v>
          </cell>
          <cell r="Z36">
            <v>559</v>
          </cell>
          <cell r="AA36">
            <v>580</v>
          </cell>
          <cell r="AB36">
            <v>833</v>
          </cell>
          <cell r="AC36">
            <v>833</v>
          </cell>
          <cell r="AJ36">
            <v>591</v>
          </cell>
          <cell r="AO36">
            <v>601.4</v>
          </cell>
          <cell r="AP36">
            <v>578</v>
          </cell>
          <cell r="AQ36">
            <v>612</v>
          </cell>
          <cell r="AR36">
            <v>446</v>
          </cell>
          <cell r="AS36">
            <v>549</v>
          </cell>
          <cell r="AT36">
            <v>333</v>
          </cell>
          <cell r="AU36">
            <v>536</v>
          </cell>
          <cell r="AV36">
            <v>1094.9650810588148</v>
          </cell>
          <cell r="AY36">
            <v>962.93464540511968</v>
          </cell>
          <cell r="AZ36">
            <v>704.44444444444446</v>
          </cell>
        </row>
        <row r="37">
          <cell r="A37" t="str">
            <v>Verkehr</v>
          </cell>
          <cell r="B37" t="str">
            <v>Transport</v>
          </cell>
          <cell r="C37">
            <v>726</v>
          </cell>
          <cell r="E37">
            <v>71.7</v>
          </cell>
          <cell r="F37">
            <v>417.00000000000006</v>
          </cell>
          <cell r="I37">
            <v>330</v>
          </cell>
          <cell r="K37">
            <v>529.31200000000001</v>
          </cell>
          <cell r="M37">
            <v>282.44800000000004</v>
          </cell>
          <cell r="N37">
            <v>224.90200000000002</v>
          </cell>
          <cell r="Q37">
            <v>600</v>
          </cell>
          <cell r="R37">
            <v>400</v>
          </cell>
          <cell r="S37">
            <v>299</v>
          </cell>
          <cell r="T37">
            <v>470</v>
          </cell>
          <cell r="U37">
            <v>331</v>
          </cell>
          <cell r="V37">
            <v>401</v>
          </cell>
          <cell r="W37">
            <v>331</v>
          </cell>
          <cell r="X37">
            <v>401</v>
          </cell>
          <cell r="Y37">
            <v>574</v>
          </cell>
          <cell r="Z37">
            <v>441</v>
          </cell>
          <cell r="AA37">
            <v>390</v>
          </cell>
          <cell r="AB37">
            <v>339</v>
          </cell>
          <cell r="AC37">
            <v>406</v>
          </cell>
          <cell r="AJ37">
            <v>351</v>
          </cell>
          <cell r="AO37">
            <v>334.1</v>
          </cell>
          <cell r="AP37">
            <v>328</v>
          </cell>
          <cell r="AQ37">
            <v>376</v>
          </cell>
          <cell r="AR37">
            <v>464.99416666666701</v>
          </cell>
          <cell r="AS37">
            <v>489.10612832390399</v>
          </cell>
          <cell r="AT37">
            <v>482.3</v>
          </cell>
          <cell r="AU37">
            <v>375.10157092646114</v>
          </cell>
          <cell r="AV37">
            <v>352.10204969314429</v>
          </cell>
          <cell r="AY37">
            <v>303.48640004790445</v>
          </cell>
          <cell r="AZ37">
            <v>769.44444444444446</v>
          </cell>
        </row>
        <row r="42">
          <cell r="A42" t="str">
            <v>Energiewirtschaft</v>
          </cell>
          <cell r="B42" t="str">
            <v>Power</v>
          </cell>
          <cell r="Q42">
            <v>214.9</v>
          </cell>
          <cell r="R42">
            <v>34.799999999999997</v>
          </cell>
          <cell r="S42">
            <v>0</v>
          </cell>
          <cell r="T42">
            <v>104</v>
          </cell>
          <cell r="U42">
            <v>76</v>
          </cell>
          <cell r="V42">
            <v>3</v>
          </cell>
          <cell r="W42">
            <v>0</v>
          </cell>
          <cell r="X42">
            <v>0</v>
          </cell>
          <cell r="Y42">
            <v>122</v>
          </cell>
          <cell r="Z42">
            <v>45</v>
          </cell>
          <cell r="AA42">
            <v>1</v>
          </cell>
          <cell r="AB42">
            <v>21</v>
          </cell>
          <cell r="AC42">
            <v>14</v>
          </cell>
          <cell r="AJ42">
            <v>0</v>
          </cell>
          <cell r="AO42">
            <v>4</v>
          </cell>
          <cell r="AP42">
            <v>2</v>
          </cell>
          <cell r="AQ42">
            <v>1</v>
          </cell>
          <cell r="AR42">
            <v>2.17</v>
          </cell>
          <cell r="AS42">
            <v>0</v>
          </cell>
          <cell r="AT42">
            <v>8</v>
          </cell>
          <cell r="AU42">
            <v>0</v>
          </cell>
          <cell r="AV42">
            <v>6.668522372535743</v>
          </cell>
          <cell r="AY42">
            <v>0.53100000000000003</v>
          </cell>
        </row>
        <row r="43">
          <cell r="A43" t="str">
            <v>Gebäude</v>
          </cell>
          <cell r="B43" t="str">
            <v>Buildings, GHD</v>
          </cell>
          <cell r="Q43">
            <v>52.1</v>
          </cell>
          <cell r="R43">
            <v>29.4</v>
          </cell>
          <cell r="S43">
            <v>0</v>
          </cell>
          <cell r="T43">
            <v>61</v>
          </cell>
          <cell r="U43">
            <v>5</v>
          </cell>
          <cell r="V43">
            <v>40</v>
          </cell>
          <cell r="W43">
            <v>0</v>
          </cell>
          <cell r="X43">
            <v>0</v>
          </cell>
          <cell r="Y43">
            <v>62</v>
          </cell>
          <cell r="Z43">
            <v>16</v>
          </cell>
          <cell r="AA43">
            <v>0</v>
          </cell>
          <cell r="AB43">
            <v>30</v>
          </cell>
          <cell r="AC43">
            <v>35</v>
          </cell>
          <cell r="AJ43">
            <v>0</v>
          </cell>
          <cell r="AO43">
            <v>2.5872389760644614</v>
          </cell>
          <cell r="AP43">
            <v>2</v>
          </cell>
          <cell r="AQ43">
            <v>0</v>
          </cell>
          <cell r="AR43">
            <v>0.4834021</v>
          </cell>
          <cell r="AS43">
            <v>0</v>
          </cell>
          <cell r="AT43">
            <v>1.4999999999999999E-2</v>
          </cell>
          <cell r="AU43">
            <v>0</v>
          </cell>
          <cell r="AV43">
            <v>10.504450842227008</v>
          </cell>
          <cell r="AY43">
            <v>3.7160000000000002</v>
          </cell>
        </row>
        <row r="44">
          <cell r="A44" t="str">
            <v>Industrie</v>
          </cell>
          <cell r="B44" t="str">
            <v>Industry</v>
          </cell>
          <cell r="Q44">
            <v>127.19999999999999</v>
          </cell>
          <cell r="R44">
            <v>51.8</v>
          </cell>
          <cell r="S44">
            <v>10</v>
          </cell>
          <cell r="T44">
            <v>155</v>
          </cell>
          <cell r="U44">
            <v>98</v>
          </cell>
          <cell r="V44">
            <v>134</v>
          </cell>
          <cell r="W44">
            <v>27</v>
          </cell>
          <cell r="X44">
            <v>27</v>
          </cell>
          <cell r="Y44">
            <v>148</v>
          </cell>
          <cell r="Z44">
            <v>98</v>
          </cell>
          <cell r="AA44">
            <v>15</v>
          </cell>
          <cell r="AB44">
            <v>109</v>
          </cell>
          <cell r="AC44">
            <v>119</v>
          </cell>
          <cell r="AJ44">
            <v>0</v>
          </cell>
          <cell r="AO44">
            <v>14</v>
          </cell>
          <cell r="AP44">
            <v>24</v>
          </cell>
          <cell r="AQ44">
            <v>10</v>
          </cell>
          <cell r="AR44">
            <v>2.7017652000000005</v>
          </cell>
          <cell r="AS44">
            <v>0</v>
          </cell>
          <cell r="AT44">
            <v>11.167999999999999</v>
          </cell>
          <cell r="AU44">
            <v>8</v>
          </cell>
          <cell r="AV44">
            <v>66.341589120273071</v>
          </cell>
          <cell r="AY44">
            <v>21.99</v>
          </cell>
        </row>
        <row r="45">
          <cell r="A45" t="str">
            <v>Verkehr</v>
          </cell>
          <cell r="B45" t="str">
            <v>Transport</v>
          </cell>
          <cell r="Q45">
            <v>78.400000000000006</v>
          </cell>
          <cell r="R45">
            <v>26.2</v>
          </cell>
          <cell r="S45">
            <v>0</v>
          </cell>
          <cell r="T45">
            <v>99</v>
          </cell>
          <cell r="U45">
            <v>20</v>
          </cell>
          <cell r="V45">
            <v>21</v>
          </cell>
          <cell r="W45">
            <v>0</v>
          </cell>
          <cell r="X45">
            <v>0</v>
          </cell>
          <cell r="Y45">
            <v>92</v>
          </cell>
          <cell r="Z45">
            <v>45</v>
          </cell>
          <cell r="AA45">
            <v>0</v>
          </cell>
          <cell r="AB45">
            <v>30</v>
          </cell>
          <cell r="AC45">
            <v>22</v>
          </cell>
          <cell r="AJ45">
            <v>0</v>
          </cell>
          <cell r="AO45">
            <v>2.7921055087240382E-2</v>
          </cell>
          <cell r="AP45">
            <v>0</v>
          </cell>
          <cell r="AQ45">
            <v>0</v>
          </cell>
          <cell r="AR45">
            <v>0.34322979999999997</v>
          </cell>
          <cell r="AS45">
            <v>0</v>
          </cell>
          <cell r="AT45">
            <v>0</v>
          </cell>
          <cell r="AU45">
            <v>0</v>
          </cell>
          <cell r="AV45">
            <v>1.1399205698685683E-3</v>
          </cell>
          <cell r="AY45">
            <v>0.36099999999999999</v>
          </cell>
        </row>
        <row r="46">
          <cell r="A46" t="str">
            <v>Abfall</v>
          </cell>
          <cell r="AO46">
            <v>2.1155285975351341</v>
          </cell>
          <cell r="AR46">
            <v>7.2205797</v>
          </cell>
          <cell r="AT46">
            <v>0</v>
          </cell>
          <cell r="AU46">
            <v>0</v>
          </cell>
          <cell r="AY46">
            <v>2.4500000000000002</v>
          </cell>
        </row>
        <row r="47">
          <cell r="A47" t="str">
            <v>Landwirtschaft</v>
          </cell>
          <cell r="AO47">
            <v>40.740340843913465</v>
          </cell>
          <cell r="AP47">
            <v>42</v>
          </cell>
          <cell r="AQ47">
            <v>48</v>
          </cell>
          <cell r="AR47">
            <v>30.331535599999999</v>
          </cell>
          <cell r="AT47">
            <v>25.753</v>
          </cell>
          <cell r="AU47">
            <v>53</v>
          </cell>
          <cell r="AY47">
            <v>47.555</v>
          </cell>
        </row>
        <row r="48">
          <cell r="B48" t="str">
            <v>Others</v>
          </cell>
          <cell r="Q48">
            <v>72</v>
          </cell>
          <cell r="R48">
            <v>67</v>
          </cell>
          <cell r="S48">
            <v>30</v>
          </cell>
          <cell r="T48">
            <v>51</v>
          </cell>
          <cell r="U48">
            <v>51</v>
          </cell>
          <cell r="V48">
            <v>51</v>
          </cell>
          <cell r="W48">
            <v>37</v>
          </cell>
          <cell r="X48">
            <v>37</v>
          </cell>
          <cell r="AB48">
            <v>60</v>
          </cell>
          <cell r="AC48">
            <v>60</v>
          </cell>
          <cell r="AJ48">
            <v>0</v>
          </cell>
        </row>
        <row r="52">
          <cell r="A52" t="str">
            <v>BECCS</v>
          </cell>
          <cell r="AO52">
            <v>-37.200000000000003</v>
          </cell>
          <cell r="AP52">
            <v>-17</v>
          </cell>
          <cell r="AQ52">
            <v>-20</v>
          </cell>
          <cell r="AR52">
            <v>-42</v>
          </cell>
          <cell r="AT52">
            <v>-46.6</v>
          </cell>
          <cell r="AY52">
            <v>-19.89</v>
          </cell>
        </row>
        <row r="53">
          <cell r="A53" t="str">
            <v>DACS</v>
          </cell>
          <cell r="AO53">
            <v>-20</v>
          </cell>
          <cell r="AP53">
            <v>0</v>
          </cell>
          <cell r="AQ53">
            <v>-14</v>
          </cell>
          <cell r="AR53">
            <v>0</v>
          </cell>
          <cell r="AT53">
            <v>0</v>
          </cell>
          <cell r="AU53">
            <v>-40</v>
          </cell>
          <cell r="AY53">
            <v>-56.711523307974851</v>
          </cell>
        </row>
        <row r="54">
          <cell r="A54" t="str">
            <v>Import grüne Chem.</v>
          </cell>
          <cell r="AO54">
            <v>-7.4</v>
          </cell>
          <cell r="AP54">
            <v>-12</v>
          </cell>
          <cell r="AQ54">
            <v>0</v>
          </cell>
          <cell r="AR54">
            <v>0</v>
          </cell>
          <cell r="AT54">
            <v>0</v>
          </cell>
        </row>
        <row r="55">
          <cell r="A55" t="str">
            <v>LULUCF</v>
          </cell>
          <cell r="AO55">
            <v>0</v>
          </cell>
          <cell r="AP55">
            <v>-41</v>
          </cell>
          <cell r="AQ55">
            <v>-25</v>
          </cell>
          <cell r="AR55">
            <v>-3</v>
          </cell>
          <cell r="AU55">
            <v>-40</v>
          </cell>
        </row>
        <row r="59">
          <cell r="B59" t="str">
            <v>Diesel (inkl. Biodiesel)</v>
          </cell>
          <cell r="F59">
            <v>8.4000000000000005E-2</v>
          </cell>
          <cell r="M59">
            <v>6.5000000000000002E-2</v>
          </cell>
          <cell r="N59">
            <v>1.4500000000000001E-2</v>
          </cell>
          <cell r="R59">
            <v>0.05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7.3200000000000001E-2</v>
          </cell>
          <cell r="AA59">
            <v>4.9000000000000002E-2</v>
          </cell>
          <cell r="AB59">
            <v>0</v>
          </cell>
          <cell r="AC59">
            <v>0</v>
          </cell>
          <cell r="AV59">
            <v>2.4469426947136476E-2</v>
          </cell>
        </row>
        <row r="60">
          <cell r="B60" t="str">
            <v>Otto (inkl. Bioethanol)</v>
          </cell>
          <cell r="F60">
            <v>0.183</v>
          </cell>
          <cell r="M60">
            <v>8.3000000000000004E-2</v>
          </cell>
          <cell r="N60">
            <v>2.8000000000000001E-2</v>
          </cell>
          <cell r="R60">
            <v>0.21</v>
          </cell>
          <cell r="U60">
            <v>5.0000000000000001E-3</v>
          </cell>
          <cell r="V60">
            <v>0</v>
          </cell>
          <cell r="W60">
            <v>5.0000000000000001E-3</v>
          </cell>
          <cell r="X60">
            <v>0</v>
          </cell>
          <cell r="Z60">
            <v>9.7600000000000006E-2</v>
          </cell>
          <cell r="AA60">
            <v>2.4E-2</v>
          </cell>
          <cell r="AB60">
            <v>0</v>
          </cell>
          <cell r="AC60">
            <v>0</v>
          </cell>
          <cell r="AV60">
            <v>0.20930221891387335</v>
          </cell>
        </row>
        <row r="61">
          <cell r="B61" t="str">
            <v>Brennstoffzellen</v>
          </cell>
          <cell r="F61">
            <v>0.22800000000000001</v>
          </cell>
          <cell r="M61">
            <v>0</v>
          </cell>
          <cell r="N61">
            <v>0</v>
          </cell>
          <cell r="R61">
            <v>0</v>
          </cell>
          <cell r="U61">
            <v>0.155</v>
          </cell>
          <cell r="V61">
            <v>0.28499999999999998</v>
          </cell>
          <cell r="W61">
            <v>0.155</v>
          </cell>
          <cell r="X61">
            <v>0.28499999999999998</v>
          </cell>
          <cell r="Z61">
            <v>2.4E-2</v>
          </cell>
          <cell r="AA61">
            <v>4.9000000000000002E-2</v>
          </cell>
          <cell r="AB61">
            <v>0.05</v>
          </cell>
          <cell r="AC61">
            <v>0.16500000000000001</v>
          </cell>
          <cell r="AV61">
            <v>0.29966811681418964</v>
          </cell>
        </row>
        <row r="62">
          <cell r="B62" t="str">
            <v>Batterie</v>
          </cell>
          <cell r="F62">
            <v>0.30399999999999999</v>
          </cell>
          <cell r="M62">
            <v>0.50739999999999996</v>
          </cell>
          <cell r="N62">
            <v>0.67200000000000004</v>
          </cell>
          <cell r="R62">
            <v>0.37</v>
          </cell>
          <cell r="U62">
            <v>0.71</v>
          </cell>
          <cell r="V62">
            <v>0.28499999999999998</v>
          </cell>
          <cell r="W62">
            <v>0.71</v>
          </cell>
          <cell r="X62">
            <v>0.28499999999999998</v>
          </cell>
          <cell r="Z62">
            <v>0.51200000000000001</v>
          </cell>
          <cell r="AA62">
            <v>0.68300000000000005</v>
          </cell>
          <cell r="AB62">
            <v>0.66</v>
          </cell>
          <cell r="AC62">
            <v>0.25</v>
          </cell>
          <cell r="AV62">
            <v>0.20670536221569363</v>
          </cell>
        </row>
        <row r="63">
          <cell r="B63" t="str">
            <v>Gas</v>
          </cell>
          <cell r="F63">
            <v>0</v>
          </cell>
          <cell r="M63">
            <v>8.3099999999999993E-2</v>
          </cell>
          <cell r="N63">
            <v>0</v>
          </cell>
          <cell r="R63">
            <v>0.01</v>
          </cell>
          <cell r="U63">
            <v>0</v>
          </cell>
          <cell r="V63">
            <v>5.3999999999999999E-2</v>
          </cell>
          <cell r="W63">
            <v>0</v>
          </cell>
          <cell r="X63">
            <v>5.3999999999999999E-2</v>
          </cell>
          <cell r="Z63">
            <v>7.2999999999999995E-2</v>
          </cell>
          <cell r="AA63">
            <v>4.9000000000000002E-2</v>
          </cell>
          <cell r="AB63">
            <v>0</v>
          </cell>
          <cell r="AC63">
            <v>0.11799999999999999</v>
          </cell>
          <cell r="AV63">
            <v>0</v>
          </cell>
        </row>
        <row r="64">
          <cell r="B64" t="str">
            <v>Hybrid</v>
          </cell>
          <cell r="F64">
            <v>0.19950000000000001</v>
          </cell>
          <cell r="M64">
            <v>0.26150000000000007</v>
          </cell>
          <cell r="N64">
            <v>0.28549999999999998</v>
          </cell>
          <cell r="R64">
            <v>0.36</v>
          </cell>
          <cell r="U64">
            <v>0.13</v>
          </cell>
          <cell r="V64">
            <v>0.376</v>
          </cell>
          <cell r="W64">
            <v>0.13</v>
          </cell>
          <cell r="X64">
            <v>0.376</v>
          </cell>
          <cell r="Z64">
            <v>0.22020000000000006</v>
          </cell>
          <cell r="AA64">
            <v>0.14599999999999991</v>
          </cell>
          <cell r="AB64">
            <v>0.28999999999999992</v>
          </cell>
          <cell r="AC64">
            <v>0.46699999999999997</v>
          </cell>
          <cell r="AV64">
            <v>0.25985487510910688</v>
          </cell>
        </row>
        <row r="68">
          <cell r="B68" t="str">
            <v>Photovoltaik</v>
          </cell>
          <cell r="D68">
            <v>34</v>
          </cell>
          <cell r="E68">
            <v>120</v>
          </cell>
          <cell r="F68">
            <v>67.2</v>
          </cell>
          <cell r="I68">
            <v>200</v>
          </cell>
          <cell r="K68">
            <v>75</v>
          </cell>
          <cell r="N68">
            <v>130</v>
          </cell>
          <cell r="O68">
            <v>415</v>
          </cell>
          <cell r="P68">
            <v>147</v>
          </cell>
          <cell r="R68">
            <v>69.3</v>
          </cell>
          <cell r="S68">
            <v>236</v>
          </cell>
          <cell r="U68">
            <v>114</v>
          </cell>
          <cell r="W68">
            <v>165</v>
          </cell>
          <cell r="X68">
            <v>114</v>
          </cell>
          <cell r="Z68">
            <v>105</v>
          </cell>
          <cell r="AA68">
            <v>130</v>
          </cell>
          <cell r="AB68">
            <v>102</v>
          </cell>
          <cell r="AD68">
            <v>173</v>
          </cell>
          <cell r="AE68">
            <v>131</v>
          </cell>
          <cell r="AF68">
            <v>415</v>
          </cell>
          <cell r="AG68">
            <v>645</v>
          </cell>
          <cell r="AH68">
            <v>450</v>
          </cell>
          <cell r="AI68">
            <v>449</v>
          </cell>
          <cell r="AJ68">
            <v>429.08</v>
          </cell>
          <cell r="AK68">
            <v>347.61</v>
          </cell>
          <cell r="AL68">
            <v>659.78</v>
          </cell>
          <cell r="AM68">
            <v>331.13</v>
          </cell>
          <cell r="AN68">
            <v>355</v>
          </cell>
          <cell r="AO68">
            <v>384.89800000000002</v>
          </cell>
          <cell r="AP68">
            <v>260</v>
          </cell>
          <cell r="AQ68">
            <v>230</v>
          </cell>
          <cell r="AR68">
            <v>329.2281327</v>
          </cell>
          <cell r="AS68">
            <v>456.30640107543701</v>
          </cell>
          <cell r="AT68">
            <v>278.93099999999998</v>
          </cell>
          <cell r="AU68">
            <v>289.5</v>
          </cell>
          <cell r="AV68">
            <v>182.2670495559758</v>
          </cell>
          <cell r="AW68">
            <v>167.15021868793099</v>
          </cell>
          <cell r="AX68">
            <v>210.46</v>
          </cell>
          <cell r="AY68">
            <v>448.55337960552799</v>
          </cell>
          <cell r="AZ68">
            <v>48.206000000000003</v>
          </cell>
        </row>
        <row r="69">
          <cell r="B69" t="str">
            <v>Wind (Onshore)</v>
          </cell>
          <cell r="D69">
            <v>39</v>
          </cell>
          <cell r="E69">
            <v>60</v>
          </cell>
          <cell r="F69">
            <v>50.8</v>
          </cell>
          <cell r="I69">
            <v>180</v>
          </cell>
          <cell r="K69">
            <v>64</v>
          </cell>
          <cell r="N69">
            <v>150</v>
          </cell>
          <cell r="O69">
            <v>199</v>
          </cell>
          <cell r="P69">
            <v>120</v>
          </cell>
          <cell r="R69">
            <v>75.400000000000006</v>
          </cell>
          <cell r="S69">
            <v>135</v>
          </cell>
          <cell r="U69">
            <v>171</v>
          </cell>
          <cell r="W69">
            <v>179</v>
          </cell>
          <cell r="X69">
            <v>171</v>
          </cell>
          <cell r="Z69">
            <v>97</v>
          </cell>
          <cell r="AA69">
            <v>102</v>
          </cell>
          <cell r="AB69">
            <v>151</v>
          </cell>
          <cell r="AD69">
            <v>128</v>
          </cell>
          <cell r="AE69">
            <v>127</v>
          </cell>
          <cell r="AF69">
            <v>189</v>
          </cell>
          <cell r="AG69">
            <v>87</v>
          </cell>
          <cell r="AH69">
            <v>224</v>
          </cell>
          <cell r="AI69">
            <v>221</v>
          </cell>
          <cell r="AJ69">
            <v>198.838947170978</v>
          </cell>
          <cell r="AK69">
            <v>158.13999999999999</v>
          </cell>
          <cell r="AL69">
            <v>76.13</v>
          </cell>
          <cell r="AM69">
            <v>185.06</v>
          </cell>
          <cell r="AN69">
            <v>130</v>
          </cell>
          <cell r="AO69">
            <v>145.09822799999998</v>
          </cell>
          <cell r="AP69">
            <v>124</v>
          </cell>
          <cell r="AQ69">
            <v>180</v>
          </cell>
          <cell r="AR69">
            <v>217.5153905</v>
          </cell>
          <cell r="AS69">
            <v>216.36935043087001</v>
          </cell>
          <cell r="AT69">
            <v>74.212999999999994</v>
          </cell>
          <cell r="AU69">
            <v>155</v>
          </cell>
          <cell r="AV69">
            <v>220.84303395231098</v>
          </cell>
          <cell r="AW69">
            <v>230.68986381639502</v>
          </cell>
          <cell r="AX69">
            <v>198.54</v>
          </cell>
          <cell r="AY69">
            <v>212.76286081418567</v>
          </cell>
          <cell r="AZ69">
            <v>53.183999999999997</v>
          </cell>
        </row>
        <row r="70">
          <cell r="B70" t="str">
            <v>Wind (Offshore)</v>
          </cell>
          <cell r="D70">
            <v>37</v>
          </cell>
          <cell r="E70">
            <v>45</v>
          </cell>
          <cell r="F70">
            <v>32</v>
          </cell>
          <cell r="I70">
            <v>50</v>
          </cell>
          <cell r="K70">
            <v>21</v>
          </cell>
          <cell r="N70">
            <v>45</v>
          </cell>
          <cell r="O70">
            <v>76</v>
          </cell>
          <cell r="P70">
            <v>32</v>
          </cell>
          <cell r="R70">
            <v>15</v>
          </cell>
          <cell r="S70">
            <v>24</v>
          </cell>
          <cell r="U70">
            <v>19</v>
          </cell>
          <cell r="W70">
            <v>33</v>
          </cell>
          <cell r="X70">
            <v>26</v>
          </cell>
          <cell r="Z70">
            <v>47</v>
          </cell>
          <cell r="AA70">
            <v>60</v>
          </cell>
          <cell r="AB70">
            <v>15</v>
          </cell>
          <cell r="AD70">
            <v>32</v>
          </cell>
          <cell r="AE70">
            <v>32</v>
          </cell>
          <cell r="AF70">
            <v>76</v>
          </cell>
          <cell r="AG70">
            <v>38</v>
          </cell>
          <cell r="AH70">
            <v>76</v>
          </cell>
          <cell r="AI70">
            <v>76</v>
          </cell>
          <cell r="AJ70">
            <v>65.982947782523993</v>
          </cell>
          <cell r="AK70">
            <v>61.32</v>
          </cell>
          <cell r="AL70">
            <v>34.19</v>
          </cell>
          <cell r="AM70">
            <v>45.86</v>
          </cell>
          <cell r="AN70">
            <v>70</v>
          </cell>
          <cell r="AO70">
            <v>70.244</v>
          </cell>
          <cell r="AP70">
            <v>50</v>
          </cell>
          <cell r="AQ70">
            <v>70</v>
          </cell>
          <cell r="AR70">
            <v>29.0913106</v>
          </cell>
          <cell r="AS70">
            <v>74.874676511887998</v>
          </cell>
          <cell r="AT70">
            <v>46.624000000000002</v>
          </cell>
          <cell r="AU70">
            <v>45</v>
          </cell>
          <cell r="AV70">
            <v>40.246674428597004</v>
          </cell>
          <cell r="AW70">
            <v>33.471374882923996</v>
          </cell>
          <cell r="AX70">
            <v>60</v>
          </cell>
          <cell r="AY70">
            <v>72.338651959898911</v>
          </cell>
          <cell r="AZ70">
            <v>7.5039999999999996</v>
          </cell>
        </row>
        <row r="71">
          <cell r="B71" t="str">
            <v>Biomasse</v>
          </cell>
          <cell r="D71">
            <v>8.6999999999999993</v>
          </cell>
          <cell r="E71">
            <v>23.3</v>
          </cell>
          <cell r="F71">
            <v>10.4</v>
          </cell>
          <cell r="I71">
            <v>50</v>
          </cell>
          <cell r="K71">
            <v>8</v>
          </cell>
          <cell r="N71">
            <v>0.4</v>
          </cell>
          <cell r="O71">
            <v>20</v>
          </cell>
          <cell r="P71">
            <v>0</v>
          </cell>
          <cell r="R71">
            <v>6.1</v>
          </cell>
          <cell r="S71">
            <v>0</v>
          </cell>
          <cell r="U71">
            <v>10</v>
          </cell>
          <cell r="W71">
            <v>10</v>
          </cell>
          <cell r="X71">
            <v>20</v>
          </cell>
          <cell r="Z71">
            <v>7</v>
          </cell>
          <cell r="AA71">
            <v>7</v>
          </cell>
          <cell r="AB71">
            <v>8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N71">
            <v>1</v>
          </cell>
          <cell r="AO71">
            <v>2.1870000000000003</v>
          </cell>
          <cell r="AP71">
            <v>8</v>
          </cell>
          <cell r="AQ71">
            <v>6</v>
          </cell>
          <cell r="AR71">
            <v>4.3770452000000004</v>
          </cell>
          <cell r="AS71">
            <v>1.289425262378</v>
          </cell>
          <cell r="AT71">
            <v>8.952</v>
          </cell>
          <cell r="AU71">
            <v>0.8</v>
          </cell>
          <cell r="AV71">
            <v>24.137459774606079</v>
          </cell>
          <cell r="AW71">
            <v>6.8630249346373313</v>
          </cell>
          <cell r="AX71">
            <v>8.18</v>
          </cell>
          <cell r="AY71">
            <v>19.453254599023431</v>
          </cell>
          <cell r="AZ71">
            <v>7.9870000000000001</v>
          </cell>
        </row>
        <row r="72">
          <cell r="B72" t="str">
            <v>Wasserkraft</v>
          </cell>
          <cell r="D72">
            <v>5.2</v>
          </cell>
          <cell r="E72">
            <v>5.2</v>
          </cell>
          <cell r="F72">
            <v>5.2</v>
          </cell>
          <cell r="I72">
            <v>5</v>
          </cell>
          <cell r="K72">
            <v>4</v>
          </cell>
          <cell r="N72">
            <v>5.8</v>
          </cell>
          <cell r="O72">
            <v>7</v>
          </cell>
          <cell r="P72">
            <v>5</v>
          </cell>
          <cell r="R72">
            <v>4.4000000000000004</v>
          </cell>
          <cell r="S72">
            <v>5</v>
          </cell>
          <cell r="U72">
            <v>5</v>
          </cell>
          <cell r="W72">
            <v>5</v>
          </cell>
          <cell r="X72">
            <v>5</v>
          </cell>
          <cell r="Z72">
            <v>7</v>
          </cell>
          <cell r="AA72">
            <v>7</v>
          </cell>
          <cell r="AB72">
            <v>5</v>
          </cell>
          <cell r="AD72">
            <v>5</v>
          </cell>
          <cell r="AE72">
            <v>5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N72">
            <v>6</v>
          </cell>
          <cell r="AO72">
            <v>5.742</v>
          </cell>
          <cell r="AP72">
            <v>5</v>
          </cell>
          <cell r="AQ72">
            <v>6</v>
          </cell>
          <cell r="AR72">
            <v>11.833768900000001</v>
          </cell>
          <cell r="AS72">
            <v>4.6920000000000002</v>
          </cell>
          <cell r="AT72">
            <v>12.289</v>
          </cell>
          <cell r="AU72">
            <v>5.2</v>
          </cell>
          <cell r="AV72">
            <v>3.3323642120599999</v>
          </cell>
          <cell r="AW72">
            <v>3.2246749568099999</v>
          </cell>
          <cell r="AX72">
            <v>5.6</v>
          </cell>
          <cell r="AY72">
            <v>3.226727087221855</v>
          </cell>
          <cell r="AZ72">
            <v>5.2679999999999998</v>
          </cell>
        </row>
        <row r="76">
          <cell r="B76" t="str">
            <v>Gase</v>
          </cell>
          <cell r="AJ76">
            <v>152</v>
          </cell>
          <cell r="AO76">
            <v>71</v>
          </cell>
          <cell r="AP76">
            <v>59</v>
          </cell>
          <cell r="AQ76">
            <v>88</v>
          </cell>
          <cell r="AR76">
            <v>42.775172099999999</v>
          </cell>
          <cell r="AS76">
            <v>181.22407384346201</v>
          </cell>
          <cell r="AT76">
            <v>84.665999999999997</v>
          </cell>
          <cell r="AU76">
            <v>67.599999999999994</v>
          </cell>
          <cell r="AY76">
            <v>85.793362870502293</v>
          </cell>
          <cell r="AZ76">
            <v>31.712</v>
          </cell>
        </row>
        <row r="77">
          <cell r="B77" t="str">
            <v>Sonstige (Abfall, Kohle, Atom, Geothermie)</v>
          </cell>
          <cell r="AO77">
            <v>1</v>
          </cell>
          <cell r="AP77">
            <v>1</v>
          </cell>
          <cell r="AQ77">
            <v>2</v>
          </cell>
          <cell r="AT77">
            <v>7.3120000000000003</v>
          </cell>
          <cell r="AU77">
            <v>3.5</v>
          </cell>
          <cell r="AY77">
            <v>1.5511845517550968</v>
          </cell>
          <cell r="AZ77">
            <v>59.865000000000002</v>
          </cell>
        </row>
        <row r="79">
          <cell r="B79" t="str">
            <v>Photovoltaics [TWh]</v>
          </cell>
          <cell r="D79">
            <v>-32.5</v>
          </cell>
          <cell r="E79">
            <v>-104</v>
          </cell>
          <cell r="F79">
            <v>-63.8</v>
          </cell>
          <cell r="I79">
            <v>-190</v>
          </cell>
          <cell r="K79">
            <v>-73</v>
          </cell>
          <cell r="N79">
            <v>-123.4</v>
          </cell>
          <cell r="O79">
            <v>-394</v>
          </cell>
          <cell r="P79">
            <v>-143</v>
          </cell>
          <cell r="R79">
            <v>-63.2</v>
          </cell>
          <cell r="S79">
            <v>-233</v>
          </cell>
          <cell r="U79">
            <v>-116</v>
          </cell>
          <cell r="W79">
            <v>168</v>
          </cell>
          <cell r="X79">
            <v>116</v>
          </cell>
          <cell r="Z79">
            <v>-100</v>
          </cell>
          <cell r="AA79">
            <v>114</v>
          </cell>
          <cell r="AB79">
            <v>-100</v>
          </cell>
          <cell r="AD79">
            <v>170</v>
          </cell>
          <cell r="AE79">
            <v>130</v>
          </cell>
          <cell r="AF79">
            <v>400</v>
          </cell>
          <cell r="AJ79">
            <v>-447</v>
          </cell>
          <cell r="AN79">
            <v>331</v>
          </cell>
          <cell r="AO79">
            <v>-354.87585496094698</v>
          </cell>
          <cell r="AP79">
            <v>-235</v>
          </cell>
          <cell r="AQ79">
            <v>-240</v>
          </cell>
          <cell r="AR79">
            <v>-328.76708333333403</v>
          </cell>
          <cell r="AS79">
            <v>-472.74607809999998</v>
          </cell>
          <cell r="AT79">
            <v>-304.43527777777803</v>
          </cell>
          <cell r="AU79">
            <v>-267.8</v>
          </cell>
          <cell r="AV79">
            <v>-202.75461983831769</v>
          </cell>
          <cell r="AW79">
            <v>193.196</v>
          </cell>
          <cell r="AX79">
            <v>236.23</v>
          </cell>
          <cell r="AY79">
            <v>-469.62923549677026</v>
          </cell>
          <cell r="AZ79">
            <v>-43.51</v>
          </cell>
        </row>
        <row r="80">
          <cell r="B80" t="str">
            <v>Wind (Onshore) [TWh]</v>
          </cell>
          <cell r="D80">
            <v>-85.8</v>
          </cell>
          <cell r="E80">
            <v>-170</v>
          </cell>
          <cell r="F80">
            <v>-132</v>
          </cell>
          <cell r="I80">
            <v>-486</v>
          </cell>
          <cell r="K80">
            <v>-136</v>
          </cell>
          <cell r="N80">
            <v>-389.8</v>
          </cell>
          <cell r="O80">
            <v>-498</v>
          </cell>
          <cell r="P80">
            <v>-218</v>
          </cell>
          <cell r="R80">
            <v>-266</v>
          </cell>
          <cell r="S80">
            <v>-435</v>
          </cell>
          <cell r="U80">
            <v>-471</v>
          </cell>
          <cell r="W80">
            <v>494</v>
          </cell>
          <cell r="X80">
            <v>471</v>
          </cell>
          <cell r="Z80">
            <v>-208</v>
          </cell>
          <cell r="AA80">
            <v>215</v>
          </cell>
          <cell r="AB80">
            <v>-318</v>
          </cell>
          <cell r="AD80">
            <v>425</v>
          </cell>
          <cell r="AE80">
            <v>425</v>
          </cell>
          <cell r="AF80">
            <v>500</v>
          </cell>
          <cell r="AJ80">
            <v>-816</v>
          </cell>
          <cell r="AN80">
            <v>288</v>
          </cell>
          <cell r="AO80">
            <v>-308.73619020000001</v>
          </cell>
          <cell r="AP80">
            <v>-303</v>
          </cell>
          <cell r="AQ80">
            <v>-440</v>
          </cell>
          <cell r="AR80">
            <v>-581.68013888888902</v>
          </cell>
          <cell r="AS80">
            <v>-542.32653890000097</v>
          </cell>
          <cell r="AT80">
            <v>-180.20416666666699</v>
          </cell>
          <cell r="AU80">
            <v>-413.26</v>
          </cell>
          <cell r="AV80">
            <v>-289.97760313350369</v>
          </cell>
          <cell r="AW80">
            <v>543.24</v>
          </cell>
          <cell r="AX80">
            <v>375.47</v>
          </cell>
          <cell r="AY80">
            <v>-383.37475546022824</v>
          </cell>
          <cell r="AZ80">
            <v>-99.17</v>
          </cell>
        </row>
        <row r="81">
          <cell r="B81" t="str">
            <v>Wind (Offshore) [TWh]</v>
          </cell>
          <cell r="D81">
            <v>-142.5</v>
          </cell>
          <cell r="E81">
            <v>-177</v>
          </cell>
          <cell r="F81">
            <v>-128</v>
          </cell>
          <cell r="I81">
            <v>-240</v>
          </cell>
          <cell r="K81">
            <v>-73</v>
          </cell>
          <cell r="N81">
            <v>-180</v>
          </cell>
          <cell r="O81">
            <v>-343</v>
          </cell>
          <cell r="P81">
            <v>-112</v>
          </cell>
          <cell r="R81">
            <v>-69.099999999999994</v>
          </cell>
          <cell r="S81">
            <v>-70</v>
          </cell>
          <cell r="U81">
            <v>-80</v>
          </cell>
          <cell r="W81">
            <v>144</v>
          </cell>
          <cell r="X81">
            <v>110</v>
          </cell>
          <cell r="Z81">
            <v>-188</v>
          </cell>
          <cell r="AA81">
            <v>258</v>
          </cell>
          <cell r="AB81">
            <v>-54</v>
          </cell>
          <cell r="AD81">
            <v>130</v>
          </cell>
          <cell r="AE81">
            <v>130</v>
          </cell>
          <cell r="AF81">
            <v>370</v>
          </cell>
          <cell r="AN81">
            <v>254</v>
          </cell>
          <cell r="AO81">
            <v>-252.37559999999999</v>
          </cell>
          <cell r="AP81">
            <v>-199</v>
          </cell>
          <cell r="AQ81">
            <v>-292</v>
          </cell>
          <cell r="AR81">
            <v>-113.746527777778</v>
          </cell>
          <cell r="AS81">
            <v>-360.42496640000002</v>
          </cell>
          <cell r="AT81">
            <v>-179.98249999999999</v>
          </cell>
          <cell r="AU81">
            <v>-196.62</v>
          </cell>
          <cell r="AV81">
            <v>-200.24980752719082</v>
          </cell>
          <cell r="AW81">
            <v>154.16999999999999</v>
          </cell>
          <cell r="AX81">
            <v>277.49</v>
          </cell>
          <cell r="AY81">
            <v>-326.58033084524573</v>
          </cell>
          <cell r="AZ81">
            <v>-24.38</v>
          </cell>
        </row>
        <row r="82">
          <cell r="B82" t="str">
            <v>Bioenergy [TWh]</v>
          </cell>
          <cell r="D82">
            <v>-56.6</v>
          </cell>
          <cell r="E82">
            <v>-11</v>
          </cell>
          <cell r="F82">
            <v>-59.2</v>
          </cell>
          <cell r="I82">
            <v>-50</v>
          </cell>
          <cell r="K82">
            <v>-48</v>
          </cell>
          <cell r="N82">
            <v>-3.8</v>
          </cell>
          <cell r="O82">
            <v>-58</v>
          </cell>
          <cell r="P82">
            <v>0</v>
          </cell>
          <cell r="R82">
            <v>-25.8</v>
          </cell>
          <cell r="S82">
            <v>0</v>
          </cell>
          <cell r="U82">
            <v>-49</v>
          </cell>
          <cell r="W82">
            <v>49</v>
          </cell>
          <cell r="X82">
            <v>49</v>
          </cell>
          <cell r="Z82">
            <v>-33</v>
          </cell>
          <cell r="AA82">
            <v>27</v>
          </cell>
          <cell r="AB82">
            <v>-45.8</v>
          </cell>
          <cell r="AJ82">
            <v>0</v>
          </cell>
          <cell r="AN82">
            <v>4</v>
          </cell>
          <cell r="AO82">
            <v>-10.125999999999999</v>
          </cell>
          <cell r="AP82">
            <v>-21</v>
          </cell>
          <cell r="AQ82">
            <v>-19.64</v>
          </cell>
          <cell r="AR82">
            <v>-13.517138888888899</v>
          </cell>
          <cell r="AS82">
            <v>-43.539316869218297</v>
          </cell>
          <cell r="AT82">
            <v>-34.786944444444501</v>
          </cell>
          <cell r="AU82">
            <v>-2.2999999999999998</v>
          </cell>
          <cell r="AV82">
            <v>-50.314911967165891</v>
          </cell>
          <cell r="AW82">
            <v>25.693999999999999</v>
          </cell>
          <cell r="AX82">
            <v>18.09</v>
          </cell>
          <cell r="AY82">
            <v>-14.955450975428999</v>
          </cell>
          <cell r="AZ82">
            <v>-42.02</v>
          </cell>
        </row>
        <row r="83">
          <cell r="B83" t="str">
            <v>Hydropower [TWh]</v>
          </cell>
          <cell r="D83">
            <v>-25</v>
          </cell>
          <cell r="E83">
            <v>-22</v>
          </cell>
          <cell r="F83">
            <v>-25</v>
          </cell>
          <cell r="I83">
            <v>-24</v>
          </cell>
          <cell r="K83">
            <v>-19</v>
          </cell>
          <cell r="N83">
            <v>-24.7</v>
          </cell>
          <cell r="O83">
            <v>-27</v>
          </cell>
          <cell r="P83">
            <v>-21</v>
          </cell>
          <cell r="R83">
            <v>-18.100000000000001</v>
          </cell>
          <cell r="S83">
            <v>-24</v>
          </cell>
          <cell r="U83">
            <v>-24</v>
          </cell>
          <cell r="W83">
            <v>24</v>
          </cell>
          <cell r="X83">
            <v>24</v>
          </cell>
          <cell r="Z83">
            <v>-21</v>
          </cell>
          <cell r="AA83">
            <v>21</v>
          </cell>
          <cell r="AB83">
            <v>-18.8</v>
          </cell>
          <cell r="AD83">
            <v>25</v>
          </cell>
          <cell r="AE83">
            <v>25</v>
          </cell>
          <cell r="AJ83">
            <v>-17</v>
          </cell>
          <cell r="AN83">
            <v>21</v>
          </cell>
          <cell r="AO83">
            <v>-20.671199999999999</v>
          </cell>
          <cell r="AP83">
            <v>-16</v>
          </cell>
          <cell r="AQ83">
            <v>-1.64</v>
          </cell>
          <cell r="AR83">
            <v>-25.915944444444499</v>
          </cell>
          <cell r="AS83">
            <v>-16.962176199999998</v>
          </cell>
          <cell r="AT83">
            <v>-19.899444444444502</v>
          </cell>
          <cell r="AU83">
            <v>-20.190000000000001</v>
          </cell>
          <cell r="AV83">
            <v>-24.408202027414088</v>
          </cell>
          <cell r="AW83">
            <v>23.88</v>
          </cell>
          <cell r="AX83">
            <v>24.46</v>
          </cell>
          <cell r="AY83">
            <v>-24.057034908643811</v>
          </cell>
          <cell r="AZ83">
            <v>-15.83</v>
          </cell>
        </row>
        <row r="87">
          <cell r="B87" t="str">
            <v>Gases [TWh]</v>
          </cell>
          <cell r="AJ87">
            <v>-108</v>
          </cell>
          <cell r="AO87">
            <v>-60</v>
          </cell>
          <cell r="AP87">
            <v>-68</v>
          </cell>
          <cell r="AQ87">
            <v>-67</v>
          </cell>
          <cell r="AR87">
            <v>-37.496293389328201</v>
          </cell>
          <cell r="AS87">
            <v>-46.130364477042903</v>
          </cell>
          <cell r="AT87">
            <v>-7.2877777777777908</v>
          </cell>
          <cell r="AU87">
            <v>-42.21</v>
          </cell>
          <cell r="AY87">
            <v>-46.132999999999996</v>
          </cell>
          <cell r="AZ87">
            <v>-86.96</v>
          </cell>
        </row>
        <row r="88">
          <cell r="B88" t="str">
            <v>Others (Fossil Fuels, Other RE, Storage Capacity) [TWh]</v>
          </cell>
          <cell r="AO88">
            <v>-2</v>
          </cell>
          <cell r="AP88">
            <v>-1</v>
          </cell>
          <cell r="AS88">
            <v>-4.5486316000000002</v>
          </cell>
          <cell r="AT88">
            <v>-34.5</v>
          </cell>
          <cell r="AY88">
            <v>-9.2279999999999998</v>
          </cell>
          <cell r="AZ88">
            <v>-330.55</v>
          </cell>
        </row>
        <row r="89">
          <cell r="B89" t="str">
            <v>Import</v>
          </cell>
          <cell r="D89">
            <v>-123.2</v>
          </cell>
          <cell r="E89">
            <v>-29.5</v>
          </cell>
          <cell r="F89">
            <v>-62</v>
          </cell>
          <cell r="I89">
            <v>0</v>
          </cell>
          <cell r="K89">
            <v>0</v>
          </cell>
          <cell r="M89">
            <v>-6.3</v>
          </cell>
          <cell r="N89">
            <v>-15.5</v>
          </cell>
          <cell r="O89">
            <v>0</v>
          </cell>
          <cell r="P89">
            <v>-2</v>
          </cell>
          <cell r="T89">
            <v>0</v>
          </cell>
          <cell r="U89">
            <v>-15</v>
          </cell>
          <cell r="V89">
            <v>0</v>
          </cell>
          <cell r="W89">
            <v>-136</v>
          </cell>
          <cell r="X89">
            <v>0</v>
          </cell>
          <cell r="Y89">
            <v>-60</v>
          </cell>
          <cell r="Z89">
            <v>-68</v>
          </cell>
          <cell r="AA89">
            <v>-82</v>
          </cell>
          <cell r="AB89">
            <v>-163</v>
          </cell>
          <cell r="AC89">
            <v>-25</v>
          </cell>
          <cell r="AJ89">
            <v>-19</v>
          </cell>
          <cell r="AV89">
            <v>-82.470811288803446</v>
          </cell>
        </row>
        <row r="90">
          <cell r="B90" t="str">
            <v>Export</v>
          </cell>
          <cell r="D90">
            <v>0</v>
          </cell>
          <cell r="E90">
            <v>1</v>
          </cell>
          <cell r="F90">
            <v>0</v>
          </cell>
          <cell r="I90">
            <v>0</v>
          </cell>
          <cell r="K90">
            <v>7</v>
          </cell>
          <cell r="M90">
            <v>7.9</v>
          </cell>
          <cell r="N90">
            <v>8.5</v>
          </cell>
          <cell r="O90">
            <v>0</v>
          </cell>
          <cell r="P90">
            <v>11</v>
          </cell>
          <cell r="T90">
            <v>44</v>
          </cell>
          <cell r="U90">
            <v>0</v>
          </cell>
          <cell r="V90">
            <v>22</v>
          </cell>
          <cell r="W90">
            <v>0</v>
          </cell>
          <cell r="X90">
            <v>29</v>
          </cell>
          <cell r="Y90">
            <v>95</v>
          </cell>
          <cell r="Z90">
            <v>92</v>
          </cell>
          <cell r="AA90">
            <v>86</v>
          </cell>
          <cell r="AB90">
            <v>0</v>
          </cell>
          <cell r="AC90">
            <v>0</v>
          </cell>
          <cell r="AJ90">
            <v>-53</v>
          </cell>
          <cell r="AV90">
            <v>0</v>
          </cell>
        </row>
        <row r="94">
          <cell r="A94" t="str">
            <v>Gebäude</v>
          </cell>
          <cell r="AJ94">
            <v>341</v>
          </cell>
          <cell r="AO94">
            <v>62.439899294347995</v>
          </cell>
          <cell r="AP94">
            <v>145</v>
          </cell>
          <cell r="AQ94">
            <v>186</v>
          </cell>
          <cell r="AR94">
            <v>435.98841666666698</v>
          </cell>
          <cell r="AS94">
            <v>380.21408335331802</v>
          </cell>
          <cell r="AT94">
            <v>272.02222222222298</v>
          </cell>
          <cell r="AU94">
            <v>138.16999389648433</v>
          </cell>
          <cell r="AY94">
            <v>64.802950851689872</v>
          </cell>
          <cell r="AZ94">
            <v>125.3</v>
          </cell>
        </row>
        <row r="95">
          <cell r="A95" t="str">
            <v>GHD</v>
          </cell>
          <cell r="AO95">
            <v>130.30371954493205</v>
          </cell>
          <cell r="AP95">
            <v>158</v>
          </cell>
          <cell r="AU95">
            <v>110.53</v>
          </cell>
          <cell r="AY95">
            <v>139.97136799676775</v>
          </cell>
          <cell r="AZ95">
            <v>146.69999999999999</v>
          </cell>
        </row>
        <row r="96">
          <cell r="A96" t="str">
            <v>Industrie</v>
          </cell>
          <cell r="AJ96">
            <v>395</v>
          </cell>
          <cell r="AO96">
            <v>316.59995078227701</v>
          </cell>
          <cell r="AP96">
            <v>311</v>
          </cell>
          <cell r="AQ96">
            <v>237</v>
          </cell>
          <cell r="AR96">
            <v>345.82322222222302</v>
          </cell>
          <cell r="AS96">
            <v>387.56999729932221</v>
          </cell>
          <cell r="AT96">
            <v>172.72277777777799</v>
          </cell>
          <cell r="AU96">
            <v>403.60000610351563</v>
          </cell>
          <cell r="AY96">
            <v>346.64410757045209</v>
          </cell>
          <cell r="AZ96">
            <v>223.3</v>
          </cell>
        </row>
        <row r="97">
          <cell r="A97" t="str">
            <v>Verkehr</v>
          </cell>
          <cell r="AJ97">
            <v>116</v>
          </cell>
          <cell r="AO97">
            <v>175</v>
          </cell>
          <cell r="AP97">
            <v>110</v>
          </cell>
          <cell r="AQ97">
            <v>163</v>
          </cell>
          <cell r="AR97">
            <v>179.25880555555599</v>
          </cell>
          <cell r="AS97">
            <v>143.93344844736001</v>
          </cell>
          <cell r="AT97">
            <v>248.98</v>
          </cell>
          <cell r="AU97">
            <v>160.1</v>
          </cell>
          <cell r="AY97">
            <v>73.009148723584971</v>
          </cell>
          <cell r="AZ97">
            <v>12</v>
          </cell>
        </row>
        <row r="98">
          <cell r="A98" t="str">
            <v>Elektrolyse</v>
          </cell>
          <cell r="AJ98">
            <v>302</v>
          </cell>
          <cell r="AO98">
            <v>149.85441894866281</v>
          </cell>
          <cell r="AP98">
            <v>88</v>
          </cell>
          <cell r="AQ98">
            <v>155</v>
          </cell>
          <cell r="AR98">
            <v>88.786166666666801</v>
          </cell>
          <cell r="AS98">
            <v>263.17083120000001</v>
          </cell>
          <cell r="AT98">
            <v>35.9166666666667</v>
          </cell>
          <cell r="AU98">
            <v>130.4</v>
          </cell>
          <cell r="AY98">
            <v>311.38007998765204</v>
          </cell>
        </row>
        <row r="99">
          <cell r="A99" t="str">
            <v>Wärmepumpen und PtH</v>
          </cell>
          <cell r="AJ99">
            <v>74</v>
          </cell>
          <cell r="AO99">
            <v>82</v>
          </cell>
          <cell r="AP99">
            <v>17</v>
          </cell>
          <cell r="AQ99">
            <v>252</v>
          </cell>
          <cell r="AR99">
            <v>43.196527777777803</v>
          </cell>
          <cell r="AS99">
            <v>134.24448810000001</v>
          </cell>
          <cell r="AT99">
            <v>116.555555555556</v>
          </cell>
          <cell r="AU99">
            <v>129.5</v>
          </cell>
          <cell r="AY99">
            <v>207.84691728613879</v>
          </cell>
        </row>
        <row r="100">
          <cell r="A100" t="str">
            <v>DAC</v>
          </cell>
          <cell r="AO100">
            <v>20.67123312438784</v>
          </cell>
          <cell r="AP100">
            <v>0</v>
          </cell>
          <cell r="AY100">
            <v>72.446139359493017</v>
          </cell>
        </row>
        <row r="102">
          <cell r="A102" t="str">
            <v>sonstige Umwandlung</v>
          </cell>
          <cell r="AJ102">
            <v>32</v>
          </cell>
          <cell r="AO102">
            <v>6</v>
          </cell>
          <cell r="AP102">
            <v>11</v>
          </cell>
          <cell r="AQ102">
            <v>0</v>
          </cell>
        </row>
        <row r="105">
          <cell r="A105" t="str">
            <v>Elektrolyse</v>
          </cell>
          <cell r="AJ105">
            <v>201.3</v>
          </cell>
          <cell r="AO105">
            <v>95.623473959335172</v>
          </cell>
          <cell r="AP105">
            <v>60</v>
          </cell>
          <cell r="AQ105">
            <v>138</v>
          </cell>
          <cell r="AR105">
            <v>63.038166666666697</v>
          </cell>
          <cell r="AS105">
            <v>169.204361426856</v>
          </cell>
          <cell r="AT105">
            <v>27.869722222222201</v>
          </cell>
          <cell r="AU105">
            <v>92.4</v>
          </cell>
          <cell r="AY105">
            <v>213.41063322616603</v>
          </cell>
        </row>
        <row r="106">
          <cell r="A106" t="str">
            <v>Biomasse</v>
          </cell>
          <cell r="AJ106">
            <v>6.8</v>
          </cell>
          <cell r="AR106">
            <v>0</v>
          </cell>
          <cell r="AT106">
            <v>162.70444444444479</v>
          </cell>
          <cell r="AY106">
            <v>0</v>
          </cell>
        </row>
        <row r="107">
          <cell r="A107" t="str">
            <v>Import</v>
          </cell>
          <cell r="AJ107">
            <v>122.8</v>
          </cell>
          <cell r="AO107">
            <v>169.31730406715377</v>
          </cell>
          <cell r="AP107">
            <v>398</v>
          </cell>
          <cell r="AQ107">
            <v>99</v>
          </cell>
          <cell r="AR107">
            <v>150</v>
          </cell>
          <cell r="AS107">
            <v>178.60891505555566</v>
          </cell>
          <cell r="AT107">
            <v>127.222222222222</v>
          </cell>
          <cell r="AU107">
            <v>169.9</v>
          </cell>
          <cell r="AY107">
            <v>195.91568708967151</v>
          </cell>
        </row>
        <row r="108">
          <cell r="A108" t="str">
            <v>Sonstige (fossil, Chlor)</v>
          </cell>
          <cell r="AR108">
            <v>2</v>
          </cell>
          <cell r="AS108">
            <v>11.775985999999932</v>
          </cell>
          <cell r="AY108">
            <v>5.1090282264449352</v>
          </cell>
        </row>
        <row r="111">
          <cell r="A111" t="str">
            <v>Energie</v>
          </cell>
          <cell r="AJ111">
            <v>-6.3</v>
          </cell>
          <cell r="AO111">
            <v>-152</v>
          </cell>
          <cell r="AP111">
            <v>-130</v>
          </cell>
          <cell r="AQ111">
            <v>-92</v>
          </cell>
          <cell r="AR111">
            <v>-134.74313888888901</v>
          </cell>
          <cell r="AS111">
            <v>-77.811344426856294</v>
          </cell>
          <cell r="AT111">
            <v>-205.944444444444</v>
          </cell>
          <cell r="AU111">
            <v>-86.7</v>
          </cell>
          <cell r="AY111">
            <v>-23.803984068226999</v>
          </cell>
        </row>
        <row r="112">
          <cell r="A112" t="str">
            <v>Gebäude</v>
          </cell>
          <cell r="AJ112">
            <v>-34.5</v>
          </cell>
          <cell r="AO112">
            <v>0</v>
          </cell>
          <cell r="AP112">
            <v>-79</v>
          </cell>
          <cell r="AQ112">
            <v>0</v>
          </cell>
          <cell r="AR112">
            <v>0</v>
          </cell>
          <cell r="AS112">
            <v>-7.2726300380332596</v>
          </cell>
          <cell r="AT112">
            <v>0</v>
          </cell>
          <cell r="AU112">
            <v>0</v>
          </cell>
          <cell r="AY112">
            <v>-3.84717486061446</v>
          </cell>
        </row>
        <row r="113">
          <cell r="A113" t="str">
            <v>Industrie</v>
          </cell>
          <cell r="AJ113">
            <v>-83.8</v>
          </cell>
          <cell r="AO113">
            <v>-74</v>
          </cell>
          <cell r="AP113">
            <v>-191</v>
          </cell>
          <cell r="AQ113">
            <v>-104</v>
          </cell>
          <cell r="AR113">
            <v>-65.530666666666704</v>
          </cell>
          <cell r="AS113">
            <v>-159.79202141752199</v>
          </cell>
          <cell r="AT113">
            <v>-6.3663888888888902</v>
          </cell>
          <cell r="AU113">
            <v>-156</v>
          </cell>
          <cell r="AY113">
            <v>-267.21548012339099</v>
          </cell>
        </row>
        <row r="114">
          <cell r="A114" t="str">
            <v>Verkehr</v>
          </cell>
          <cell r="AJ114">
            <v>-172.1</v>
          </cell>
          <cell r="AO114">
            <v>-39</v>
          </cell>
          <cell r="AP114">
            <v>-59</v>
          </cell>
          <cell r="AQ114">
            <v>-41</v>
          </cell>
          <cell r="AR114">
            <v>-14.841944444444501</v>
          </cell>
          <cell r="AS114">
            <v>-90.634464000000094</v>
          </cell>
          <cell r="AT114">
            <v>-107</v>
          </cell>
          <cell r="AU114">
            <v>-19.3</v>
          </cell>
          <cell r="AY114">
            <v>-116.93978066578499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ix Kullmann" id="{A1E9A0F3-38E6-470B-AC06-5ED4D2FC3062}" userId="Felix Kullmann" providerId="None"/>
</personList>
</file>

<file path=xl/theme/theme1.xml><?xml version="1.0" encoding="utf-8"?>
<a:theme xmlns:a="http://schemas.openxmlformats.org/drawingml/2006/main" name="Larissa">
  <a:themeElements>
    <a:clrScheme name="Benutzerdefiniert 1">
      <a:dk1>
        <a:sysClr val="windowText" lastClr="000000"/>
      </a:dk1>
      <a:lt1>
        <a:sysClr val="window" lastClr="FFFFFF"/>
      </a:lt1>
      <a:dk2>
        <a:srgbClr val="6D268E"/>
      </a:dk2>
      <a:lt2>
        <a:srgbClr val="EBEBEB"/>
      </a:lt2>
      <a:accent1>
        <a:srgbClr val="023D6B"/>
      </a:accent1>
      <a:accent2>
        <a:srgbClr val="ADBDE3"/>
      </a:accent2>
      <a:accent3>
        <a:srgbClr val="30A93B"/>
      </a:accent3>
      <a:accent4>
        <a:srgbClr val="FFE900"/>
      </a:accent4>
      <a:accent5>
        <a:srgbClr val="FF8C0C"/>
      </a:accent5>
      <a:accent6>
        <a:srgbClr val="DF0F44"/>
      </a:accent6>
      <a:hlink>
        <a:srgbClr val="000000"/>
      </a:hlink>
      <a:folHlink>
        <a:srgbClr val="00000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Benutzerdefiniert 1">
    <a:dk1>
      <a:sysClr val="windowText" lastClr="000000"/>
    </a:dk1>
    <a:lt1>
      <a:sysClr val="window" lastClr="FFFFFF"/>
    </a:lt1>
    <a:dk2>
      <a:srgbClr val="6D268E"/>
    </a:dk2>
    <a:lt2>
      <a:srgbClr val="EBEBEB"/>
    </a:lt2>
    <a:accent1>
      <a:srgbClr val="023D6B"/>
    </a:accent1>
    <a:accent2>
      <a:srgbClr val="ADBDE3"/>
    </a:accent2>
    <a:accent3>
      <a:srgbClr val="30A93B"/>
    </a:accent3>
    <a:accent4>
      <a:srgbClr val="FFE900"/>
    </a:accent4>
    <a:accent5>
      <a:srgbClr val="FF8C0C"/>
    </a:accent5>
    <a:accent6>
      <a:srgbClr val="DF0F44"/>
    </a:accent6>
    <a:hlink>
      <a:srgbClr val="000000"/>
    </a:hlink>
    <a:folHlink>
      <a:srgbClr val="000000"/>
    </a:folHlink>
  </a:clrScheme>
  <a:fontScheme name="Larissa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Larissa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0" dT="2020-03-30T08:28:15.75" personId="{A1E9A0F3-38E6-470B-AC06-5ED4D2FC3062}" id="{D55A80F4-CE9B-4F56-A0F3-4E69A0200482}">
    <text>+97 TWh Kerosene</text>
  </threadedComment>
  <threadedComment ref="K27" dT="2020-03-30T08:28:05.94" personId="{A1E9A0F3-38E6-470B-AC06-5ED4D2FC3062}" id="{0433B608-FD51-4E69-B895-E1CD664F37D3}">
    <text>+97 TWh Kerosene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8" dT="2020-03-31T12:25:01.90" personId="{A1E9A0F3-38E6-470B-AC06-5ED4D2FC3062}" id="{3D623065-4E5B-4F9D-9A3E-ABF542EC80F2}">
    <text>Wert von Simonas</text>
  </threadedComment>
</ThreadedComment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6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0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1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2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3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4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3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77"/>
  <sheetViews>
    <sheetView workbookViewId="0">
      <selection activeCell="C12" sqref="A1:H1672"/>
    </sheetView>
  </sheetViews>
  <sheetFormatPr baseColWidth="10" defaultColWidth="9.1796875" defaultRowHeight="14.5" x14ac:dyDescent="0.35"/>
  <cols>
    <col min="1" max="1" width="41" style="900" bestFit="1" customWidth="1"/>
    <col min="2" max="9" width="8.81640625" style="900" customWidth="1"/>
    <col min="10" max="10" width="12" style="900" bestFit="1" customWidth="1"/>
    <col min="11" max="16384" width="9.1796875" style="900"/>
  </cols>
  <sheetData>
    <row r="1" spans="1:10" x14ac:dyDescent="0.35">
      <c r="B1" s="980"/>
      <c r="C1" s="980"/>
      <c r="D1" s="980"/>
      <c r="E1" s="980"/>
      <c r="F1" s="980"/>
      <c r="G1" s="980"/>
      <c r="H1" s="980"/>
      <c r="I1" s="840"/>
      <c r="J1" s="981"/>
    </row>
    <row r="2" spans="1:10" x14ac:dyDescent="0.35">
      <c r="A2" s="980"/>
    </row>
    <row r="3" spans="1:10" x14ac:dyDescent="0.35">
      <c r="A3" s="980"/>
    </row>
    <row r="4" spans="1:10" x14ac:dyDescent="0.35">
      <c r="A4" s="980"/>
    </row>
    <row r="5" spans="1:10" x14ac:dyDescent="0.35">
      <c r="A5" s="980"/>
    </row>
    <row r="6" spans="1:10" x14ac:dyDescent="0.35">
      <c r="A6" s="980"/>
    </row>
    <row r="7" spans="1:10" x14ac:dyDescent="0.35">
      <c r="A7" s="980"/>
    </row>
    <row r="8" spans="1:10" x14ac:dyDescent="0.35">
      <c r="A8" s="980"/>
    </row>
    <row r="9" spans="1:10" x14ac:dyDescent="0.35">
      <c r="A9" s="980"/>
    </row>
    <row r="10" spans="1:10" x14ac:dyDescent="0.35">
      <c r="A10" s="980"/>
    </row>
    <row r="11" spans="1:10" x14ac:dyDescent="0.35">
      <c r="A11" s="980"/>
    </row>
    <row r="12" spans="1:10" x14ac:dyDescent="0.35">
      <c r="A12" s="980"/>
    </row>
    <row r="13" spans="1:10" x14ac:dyDescent="0.35">
      <c r="A13" s="980"/>
    </row>
    <row r="14" spans="1:10" x14ac:dyDescent="0.35">
      <c r="A14" s="980"/>
    </row>
    <row r="15" spans="1:10" x14ac:dyDescent="0.35">
      <c r="A15" s="980"/>
    </row>
    <row r="16" spans="1:10" x14ac:dyDescent="0.35">
      <c r="A16" s="980"/>
    </row>
    <row r="17" spans="1:1" x14ac:dyDescent="0.35">
      <c r="A17" s="980"/>
    </row>
    <row r="18" spans="1:1" x14ac:dyDescent="0.35">
      <c r="A18" s="980"/>
    </row>
    <row r="19" spans="1:1" x14ac:dyDescent="0.35">
      <c r="A19" s="980"/>
    </row>
    <row r="20" spans="1:1" x14ac:dyDescent="0.35">
      <c r="A20" s="980"/>
    </row>
    <row r="21" spans="1:1" x14ac:dyDescent="0.35">
      <c r="A21" s="980"/>
    </row>
    <row r="22" spans="1:1" x14ac:dyDescent="0.35">
      <c r="A22" s="980"/>
    </row>
    <row r="23" spans="1:1" x14ac:dyDescent="0.35">
      <c r="A23" s="980"/>
    </row>
    <row r="24" spans="1:1" x14ac:dyDescent="0.35">
      <c r="A24" s="980"/>
    </row>
    <row r="25" spans="1:1" x14ac:dyDescent="0.35">
      <c r="A25" s="980"/>
    </row>
    <row r="26" spans="1:1" x14ac:dyDescent="0.35">
      <c r="A26" s="980"/>
    </row>
    <row r="27" spans="1:1" x14ac:dyDescent="0.35">
      <c r="A27" s="980"/>
    </row>
    <row r="28" spans="1:1" x14ac:dyDescent="0.35">
      <c r="A28" s="980"/>
    </row>
    <row r="29" spans="1:1" x14ac:dyDescent="0.35">
      <c r="A29" s="980"/>
    </row>
    <row r="30" spans="1:1" x14ac:dyDescent="0.35">
      <c r="A30" s="980"/>
    </row>
    <row r="31" spans="1:1" x14ac:dyDescent="0.35">
      <c r="A31" s="980"/>
    </row>
    <row r="32" spans="1:1" x14ac:dyDescent="0.35">
      <c r="A32" s="980"/>
    </row>
    <row r="33" spans="1:1" x14ac:dyDescent="0.35">
      <c r="A33" s="980"/>
    </row>
    <row r="34" spans="1:1" x14ac:dyDescent="0.35">
      <c r="A34" s="980"/>
    </row>
    <row r="35" spans="1:1" x14ac:dyDescent="0.35">
      <c r="A35" s="980"/>
    </row>
    <row r="36" spans="1:1" x14ac:dyDescent="0.35">
      <c r="A36" s="980"/>
    </row>
    <row r="37" spans="1:1" x14ac:dyDescent="0.35">
      <c r="A37" s="980"/>
    </row>
    <row r="38" spans="1:1" x14ac:dyDescent="0.35">
      <c r="A38" s="980"/>
    </row>
    <row r="39" spans="1:1" x14ac:dyDescent="0.35">
      <c r="A39" s="980"/>
    </row>
    <row r="40" spans="1:1" x14ac:dyDescent="0.35">
      <c r="A40" s="980"/>
    </row>
    <row r="41" spans="1:1" x14ac:dyDescent="0.35">
      <c r="A41" s="980"/>
    </row>
    <row r="42" spans="1:1" x14ac:dyDescent="0.35">
      <c r="A42" s="980"/>
    </row>
    <row r="43" spans="1:1" x14ac:dyDescent="0.35">
      <c r="A43" s="980"/>
    </row>
    <row r="44" spans="1:1" x14ac:dyDescent="0.35">
      <c r="A44" s="980"/>
    </row>
    <row r="45" spans="1:1" x14ac:dyDescent="0.35">
      <c r="A45" s="980"/>
    </row>
    <row r="46" spans="1:1" x14ac:dyDescent="0.35">
      <c r="A46" s="980"/>
    </row>
    <row r="47" spans="1:1" x14ac:dyDescent="0.35">
      <c r="A47" s="980"/>
    </row>
    <row r="48" spans="1:1" x14ac:dyDescent="0.35">
      <c r="A48" s="980"/>
    </row>
    <row r="49" spans="1:1" x14ac:dyDescent="0.35">
      <c r="A49" s="980"/>
    </row>
    <row r="50" spans="1:1" x14ac:dyDescent="0.35">
      <c r="A50" s="980"/>
    </row>
    <row r="51" spans="1:1" x14ac:dyDescent="0.35">
      <c r="A51" s="980"/>
    </row>
    <row r="52" spans="1:1" x14ac:dyDescent="0.35">
      <c r="A52" s="980"/>
    </row>
    <row r="53" spans="1:1" x14ac:dyDescent="0.35">
      <c r="A53" s="980"/>
    </row>
    <row r="54" spans="1:1" x14ac:dyDescent="0.35">
      <c r="A54" s="980"/>
    </row>
    <row r="55" spans="1:1" x14ac:dyDescent="0.35">
      <c r="A55" s="980"/>
    </row>
    <row r="56" spans="1:1" x14ac:dyDescent="0.35">
      <c r="A56" s="980"/>
    </row>
    <row r="57" spans="1:1" x14ac:dyDescent="0.35">
      <c r="A57" s="980"/>
    </row>
    <row r="58" spans="1:1" x14ac:dyDescent="0.35">
      <c r="A58" s="980"/>
    </row>
    <row r="59" spans="1:1" x14ac:dyDescent="0.35">
      <c r="A59" s="980"/>
    </row>
    <row r="60" spans="1:1" x14ac:dyDescent="0.35">
      <c r="A60" s="980"/>
    </row>
    <row r="61" spans="1:1" x14ac:dyDescent="0.35">
      <c r="A61" s="980"/>
    </row>
    <row r="62" spans="1:1" x14ac:dyDescent="0.35">
      <c r="A62" s="980"/>
    </row>
    <row r="63" spans="1:1" x14ac:dyDescent="0.35">
      <c r="A63" s="980"/>
    </row>
    <row r="64" spans="1:1" x14ac:dyDescent="0.35">
      <c r="A64" s="980"/>
    </row>
    <row r="65" spans="1:1" x14ac:dyDescent="0.35">
      <c r="A65" s="980"/>
    </row>
    <row r="66" spans="1:1" x14ac:dyDescent="0.35">
      <c r="A66" s="980"/>
    </row>
    <row r="67" spans="1:1" x14ac:dyDescent="0.35">
      <c r="A67" s="980"/>
    </row>
    <row r="68" spans="1:1" x14ac:dyDescent="0.35">
      <c r="A68" s="980"/>
    </row>
    <row r="69" spans="1:1" x14ac:dyDescent="0.35">
      <c r="A69" s="980"/>
    </row>
    <row r="70" spans="1:1" x14ac:dyDescent="0.35">
      <c r="A70" s="980"/>
    </row>
    <row r="71" spans="1:1" x14ac:dyDescent="0.35">
      <c r="A71" s="980"/>
    </row>
    <row r="72" spans="1:1" x14ac:dyDescent="0.35">
      <c r="A72" s="980"/>
    </row>
    <row r="73" spans="1:1" x14ac:dyDescent="0.35">
      <c r="A73" s="980"/>
    </row>
    <row r="74" spans="1:1" x14ac:dyDescent="0.35">
      <c r="A74" s="980"/>
    </row>
    <row r="75" spans="1:1" x14ac:dyDescent="0.35">
      <c r="A75" s="980"/>
    </row>
    <row r="76" spans="1:1" x14ac:dyDescent="0.35">
      <c r="A76" s="980"/>
    </row>
    <row r="77" spans="1:1" x14ac:dyDescent="0.35">
      <c r="A77" s="980"/>
    </row>
    <row r="78" spans="1:1" x14ac:dyDescent="0.35">
      <c r="A78" s="980"/>
    </row>
    <row r="79" spans="1:1" x14ac:dyDescent="0.35">
      <c r="A79" s="980"/>
    </row>
    <row r="80" spans="1:1" x14ac:dyDescent="0.35">
      <c r="A80" s="980"/>
    </row>
    <row r="81" spans="1:1" x14ac:dyDescent="0.35">
      <c r="A81" s="980"/>
    </row>
    <row r="82" spans="1:1" x14ac:dyDescent="0.35">
      <c r="A82" s="980"/>
    </row>
    <row r="83" spans="1:1" x14ac:dyDescent="0.35">
      <c r="A83" s="980"/>
    </row>
    <row r="84" spans="1:1" x14ac:dyDescent="0.35">
      <c r="A84" s="980"/>
    </row>
    <row r="85" spans="1:1" x14ac:dyDescent="0.35">
      <c r="A85" s="980"/>
    </row>
    <row r="86" spans="1:1" x14ac:dyDescent="0.35">
      <c r="A86" s="980"/>
    </row>
    <row r="87" spans="1:1" x14ac:dyDescent="0.35">
      <c r="A87" s="980"/>
    </row>
    <row r="88" spans="1:1" x14ac:dyDescent="0.35">
      <c r="A88" s="980"/>
    </row>
    <row r="89" spans="1:1" x14ac:dyDescent="0.35">
      <c r="A89" s="980"/>
    </row>
    <row r="90" spans="1:1" x14ac:dyDescent="0.35">
      <c r="A90" s="980"/>
    </row>
    <row r="91" spans="1:1" x14ac:dyDescent="0.35">
      <c r="A91" s="980"/>
    </row>
    <row r="92" spans="1:1" x14ac:dyDescent="0.35">
      <c r="A92" s="980"/>
    </row>
    <row r="93" spans="1:1" x14ac:dyDescent="0.35">
      <c r="A93" s="980"/>
    </row>
    <row r="94" spans="1:1" x14ac:dyDescent="0.35">
      <c r="A94" s="980"/>
    </row>
    <row r="95" spans="1:1" x14ac:dyDescent="0.35">
      <c r="A95" s="980"/>
    </row>
    <row r="96" spans="1:1" x14ac:dyDescent="0.35">
      <c r="A96" s="980"/>
    </row>
    <row r="97" spans="1:1" x14ac:dyDescent="0.35">
      <c r="A97" s="980"/>
    </row>
    <row r="98" spans="1:1" x14ac:dyDescent="0.35">
      <c r="A98" s="980"/>
    </row>
    <row r="99" spans="1:1" x14ac:dyDescent="0.35">
      <c r="A99" s="980"/>
    </row>
    <row r="100" spans="1:1" x14ac:dyDescent="0.35">
      <c r="A100" s="980"/>
    </row>
    <row r="101" spans="1:1" x14ac:dyDescent="0.35">
      <c r="A101" s="980"/>
    </row>
    <row r="102" spans="1:1" x14ac:dyDescent="0.35">
      <c r="A102" s="980"/>
    </row>
    <row r="103" spans="1:1" x14ac:dyDescent="0.35">
      <c r="A103" s="980"/>
    </row>
    <row r="104" spans="1:1" x14ac:dyDescent="0.35">
      <c r="A104" s="980"/>
    </row>
    <row r="105" spans="1:1" x14ac:dyDescent="0.35">
      <c r="A105" s="980"/>
    </row>
    <row r="106" spans="1:1" x14ac:dyDescent="0.35">
      <c r="A106" s="980"/>
    </row>
    <row r="107" spans="1:1" x14ac:dyDescent="0.35">
      <c r="A107" s="980"/>
    </row>
    <row r="108" spans="1:1" x14ac:dyDescent="0.35">
      <c r="A108" s="980"/>
    </row>
    <row r="109" spans="1:1" x14ac:dyDescent="0.35">
      <c r="A109" s="980"/>
    </row>
    <row r="110" spans="1:1" x14ac:dyDescent="0.35">
      <c r="A110" s="980"/>
    </row>
    <row r="111" spans="1:1" x14ac:dyDescent="0.35">
      <c r="A111" s="980"/>
    </row>
    <row r="112" spans="1:1" x14ac:dyDescent="0.35">
      <c r="A112" s="980"/>
    </row>
    <row r="113" spans="1:1" x14ac:dyDescent="0.35">
      <c r="A113" s="980"/>
    </row>
    <row r="114" spans="1:1" x14ac:dyDescent="0.35">
      <c r="A114" s="980"/>
    </row>
    <row r="115" spans="1:1" x14ac:dyDescent="0.35">
      <c r="A115" s="980"/>
    </row>
    <row r="116" spans="1:1" x14ac:dyDescent="0.35">
      <c r="A116" s="980"/>
    </row>
    <row r="117" spans="1:1" x14ac:dyDescent="0.35">
      <c r="A117" s="980"/>
    </row>
    <row r="118" spans="1:1" x14ac:dyDescent="0.35">
      <c r="A118" s="980"/>
    </row>
    <row r="119" spans="1:1" x14ac:dyDescent="0.35">
      <c r="A119" s="980"/>
    </row>
    <row r="120" spans="1:1" x14ac:dyDescent="0.35">
      <c r="A120" s="980"/>
    </row>
    <row r="121" spans="1:1" x14ac:dyDescent="0.35">
      <c r="A121" s="980"/>
    </row>
    <row r="122" spans="1:1" x14ac:dyDescent="0.35">
      <c r="A122" s="980"/>
    </row>
    <row r="123" spans="1:1" x14ac:dyDescent="0.35">
      <c r="A123" s="980"/>
    </row>
    <row r="124" spans="1:1" x14ac:dyDescent="0.35">
      <c r="A124" s="980"/>
    </row>
    <row r="125" spans="1:1" x14ac:dyDescent="0.35">
      <c r="A125" s="980"/>
    </row>
    <row r="126" spans="1:1" x14ac:dyDescent="0.35">
      <c r="A126" s="980"/>
    </row>
    <row r="127" spans="1:1" x14ac:dyDescent="0.35">
      <c r="A127" s="980"/>
    </row>
    <row r="128" spans="1:1" x14ac:dyDescent="0.35">
      <c r="A128" s="980"/>
    </row>
    <row r="129" spans="1:1" x14ac:dyDescent="0.35">
      <c r="A129" s="980"/>
    </row>
    <row r="130" spans="1:1" x14ac:dyDescent="0.35">
      <c r="A130" s="980"/>
    </row>
    <row r="131" spans="1:1" x14ac:dyDescent="0.35">
      <c r="A131" s="980"/>
    </row>
    <row r="132" spans="1:1" x14ac:dyDescent="0.35">
      <c r="A132" s="980"/>
    </row>
    <row r="133" spans="1:1" x14ac:dyDescent="0.35">
      <c r="A133" s="980"/>
    </row>
    <row r="134" spans="1:1" x14ac:dyDescent="0.35">
      <c r="A134" s="980"/>
    </row>
    <row r="135" spans="1:1" x14ac:dyDescent="0.35">
      <c r="A135" s="980"/>
    </row>
    <row r="136" spans="1:1" x14ac:dyDescent="0.35">
      <c r="A136" s="980"/>
    </row>
    <row r="137" spans="1:1" x14ac:dyDescent="0.35">
      <c r="A137" s="980"/>
    </row>
    <row r="138" spans="1:1" x14ac:dyDescent="0.35">
      <c r="A138" s="980"/>
    </row>
    <row r="139" spans="1:1" x14ac:dyDescent="0.35">
      <c r="A139" s="980"/>
    </row>
    <row r="140" spans="1:1" x14ac:dyDescent="0.35">
      <c r="A140" s="980"/>
    </row>
    <row r="141" spans="1:1" x14ac:dyDescent="0.35">
      <c r="A141" s="980"/>
    </row>
    <row r="142" spans="1:1" x14ac:dyDescent="0.35">
      <c r="A142" s="980"/>
    </row>
    <row r="143" spans="1:1" x14ac:dyDescent="0.35">
      <c r="A143" s="980"/>
    </row>
    <row r="144" spans="1:1" x14ac:dyDescent="0.35">
      <c r="A144" s="980"/>
    </row>
    <row r="145" spans="1:1" x14ac:dyDescent="0.35">
      <c r="A145" s="980"/>
    </row>
    <row r="146" spans="1:1" x14ac:dyDescent="0.35">
      <c r="A146" s="980"/>
    </row>
    <row r="147" spans="1:1" x14ac:dyDescent="0.35">
      <c r="A147" s="980"/>
    </row>
    <row r="148" spans="1:1" x14ac:dyDescent="0.35">
      <c r="A148" s="980"/>
    </row>
    <row r="149" spans="1:1" x14ac:dyDescent="0.35">
      <c r="A149" s="980"/>
    </row>
    <row r="150" spans="1:1" x14ac:dyDescent="0.35">
      <c r="A150" s="980"/>
    </row>
    <row r="151" spans="1:1" x14ac:dyDescent="0.35">
      <c r="A151" s="980"/>
    </row>
    <row r="152" spans="1:1" x14ac:dyDescent="0.35">
      <c r="A152" s="980"/>
    </row>
    <row r="153" spans="1:1" x14ac:dyDescent="0.35">
      <c r="A153" s="980"/>
    </row>
    <row r="154" spans="1:1" x14ac:dyDescent="0.35">
      <c r="A154" s="980"/>
    </row>
    <row r="155" spans="1:1" x14ac:dyDescent="0.35">
      <c r="A155" s="980"/>
    </row>
    <row r="156" spans="1:1" x14ac:dyDescent="0.35">
      <c r="A156" s="980"/>
    </row>
    <row r="157" spans="1:1" x14ac:dyDescent="0.35">
      <c r="A157" s="980"/>
    </row>
    <row r="158" spans="1:1" x14ac:dyDescent="0.35">
      <c r="A158" s="980"/>
    </row>
    <row r="159" spans="1:1" x14ac:dyDescent="0.35">
      <c r="A159" s="980"/>
    </row>
    <row r="160" spans="1:1" x14ac:dyDescent="0.35">
      <c r="A160" s="980"/>
    </row>
    <row r="161" spans="1:1" x14ac:dyDescent="0.35">
      <c r="A161" s="980"/>
    </row>
    <row r="162" spans="1:1" x14ac:dyDescent="0.35">
      <c r="A162" s="980"/>
    </row>
    <row r="163" spans="1:1" x14ac:dyDescent="0.35">
      <c r="A163" s="980"/>
    </row>
    <row r="164" spans="1:1" x14ac:dyDescent="0.35">
      <c r="A164" s="980"/>
    </row>
    <row r="165" spans="1:1" x14ac:dyDescent="0.35">
      <c r="A165" s="980"/>
    </row>
    <row r="166" spans="1:1" x14ac:dyDescent="0.35">
      <c r="A166" s="980"/>
    </row>
    <row r="167" spans="1:1" x14ac:dyDescent="0.35">
      <c r="A167" s="980"/>
    </row>
    <row r="168" spans="1:1" x14ac:dyDescent="0.35">
      <c r="A168" s="980"/>
    </row>
    <row r="169" spans="1:1" x14ac:dyDescent="0.35">
      <c r="A169" s="980"/>
    </row>
    <row r="170" spans="1:1" x14ac:dyDescent="0.35">
      <c r="A170" s="980"/>
    </row>
    <row r="171" spans="1:1" x14ac:dyDescent="0.35">
      <c r="A171" s="980"/>
    </row>
    <row r="172" spans="1:1" x14ac:dyDescent="0.35">
      <c r="A172" s="980"/>
    </row>
    <row r="173" spans="1:1" x14ac:dyDescent="0.35">
      <c r="A173" s="980"/>
    </row>
    <row r="174" spans="1:1" x14ac:dyDescent="0.35">
      <c r="A174" s="980"/>
    </row>
    <row r="175" spans="1:1" x14ac:dyDescent="0.35">
      <c r="A175" s="980"/>
    </row>
    <row r="176" spans="1:1" x14ac:dyDescent="0.35">
      <c r="A176" s="980"/>
    </row>
    <row r="177" spans="1:1" x14ac:dyDescent="0.35">
      <c r="A177" s="980"/>
    </row>
    <row r="178" spans="1:1" x14ac:dyDescent="0.35">
      <c r="A178" s="980"/>
    </row>
    <row r="179" spans="1:1" x14ac:dyDescent="0.35">
      <c r="A179" s="980"/>
    </row>
    <row r="180" spans="1:1" x14ac:dyDescent="0.35">
      <c r="A180" s="980"/>
    </row>
    <row r="181" spans="1:1" x14ac:dyDescent="0.35">
      <c r="A181" s="980"/>
    </row>
    <row r="182" spans="1:1" x14ac:dyDescent="0.35">
      <c r="A182" s="980"/>
    </row>
    <row r="183" spans="1:1" x14ac:dyDescent="0.35">
      <c r="A183" s="980"/>
    </row>
    <row r="184" spans="1:1" x14ac:dyDescent="0.35">
      <c r="A184" s="980"/>
    </row>
    <row r="185" spans="1:1" x14ac:dyDescent="0.35">
      <c r="A185" s="980"/>
    </row>
    <row r="186" spans="1:1" x14ac:dyDescent="0.35">
      <c r="A186" s="980"/>
    </row>
    <row r="187" spans="1:1" x14ac:dyDescent="0.35">
      <c r="A187" s="980"/>
    </row>
    <row r="188" spans="1:1" x14ac:dyDescent="0.35">
      <c r="A188" s="980"/>
    </row>
    <row r="189" spans="1:1" x14ac:dyDescent="0.35">
      <c r="A189" s="980"/>
    </row>
    <row r="190" spans="1:1" x14ac:dyDescent="0.35">
      <c r="A190" s="980"/>
    </row>
    <row r="191" spans="1:1" x14ac:dyDescent="0.35">
      <c r="A191" s="980"/>
    </row>
    <row r="192" spans="1:1" x14ac:dyDescent="0.35">
      <c r="A192" s="980"/>
    </row>
    <row r="193" spans="1:1" x14ac:dyDescent="0.35">
      <c r="A193" s="980"/>
    </row>
    <row r="194" spans="1:1" x14ac:dyDescent="0.35">
      <c r="A194" s="980"/>
    </row>
    <row r="195" spans="1:1" x14ac:dyDescent="0.35">
      <c r="A195" s="980"/>
    </row>
    <row r="196" spans="1:1" x14ac:dyDescent="0.35">
      <c r="A196" s="980"/>
    </row>
    <row r="197" spans="1:1" x14ac:dyDescent="0.35">
      <c r="A197" s="980"/>
    </row>
    <row r="198" spans="1:1" x14ac:dyDescent="0.35">
      <c r="A198" s="980"/>
    </row>
    <row r="199" spans="1:1" x14ac:dyDescent="0.35">
      <c r="A199" s="980"/>
    </row>
    <row r="200" spans="1:1" x14ac:dyDescent="0.35">
      <c r="A200" s="980"/>
    </row>
    <row r="201" spans="1:1" x14ac:dyDescent="0.35">
      <c r="A201" s="980"/>
    </row>
    <row r="202" spans="1:1" x14ac:dyDescent="0.35">
      <c r="A202" s="980"/>
    </row>
    <row r="203" spans="1:1" x14ac:dyDescent="0.35">
      <c r="A203" s="980"/>
    </row>
    <row r="204" spans="1:1" x14ac:dyDescent="0.35">
      <c r="A204" s="980"/>
    </row>
    <row r="205" spans="1:1" x14ac:dyDescent="0.35">
      <c r="A205" s="980"/>
    </row>
    <row r="206" spans="1:1" x14ac:dyDescent="0.35">
      <c r="A206" s="980"/>
    </row>
    <row r="207" spans="1:1" x14ac:dyDescent="0.35">
      <c r="A207" s="980"/>
    </row>
    <row r="208" spans="1:1" x14ac:dyDescent="0.35">
      <c r="A208" s="980"/>
    </row>
    <row r="209" spans="1:1" x14ac:dyDescent="0.35">
      <c r="A209" s="980"/>
    </row>
    <row r="210" spans="1:1" x14ac:dyDescent="0.35">
      <c r="A210" s="980"/>
    </row>
    <row r="211" spans="1:1" x14ac:dyDescent="0.35">
      <c r="A211" s="980"/>
    </row>
    <row r="212" spans="1:1" x14ac:dyDescent="0.35">
      <c r="A212" s="980"/>
    </row>
    <row r="213" spans="1:1" x14ac:dyDescent="0.35">
      <c r="A213" s="980"/>
    </row>
    <row r="214" spans="1:1" x14ac:dyDescent="0.35">
      <c r="A214" s="980"/>
    </row>
    <row r="215" spans="1:1" x14ac:dyDescent="0.35">
      <c r="A215" s="980"/>
    </row>
    <row r="216" spans="1:1" x14ac:dyDescent="0.35">
      <c r="A216" s="980"/>
    </row>
    <row r="217" spans="1:1" x14ac:dyDescent="0.35">
      <c r="A217" s="980"/>
    </row>
    <row r="218" spans="1:1" x14ac:dyDescent="0.35">
      <c r="A218" s="980"/>
    </row>
    <row r="219" spans="1:1" x14ac:dyDescent="0.35">
      <c r="A219" s="980"/>
    </row>
    <row r="220" spans="1:1" x14ac:dyDescent="0.35">
      <c r="A220" s="980"/>
    </row>
    <row r="221" spans="1:1" x14ac:dyDescent="0.35">
      <c r="A221" s="980"/>
    </row>
    <row r="222" spans="1:1" x14ac:dyDescent="0.35">
      <c r="A222" s="980"/>
    </row>
    <row r="223" spans="1:1" x14ac:dyDescent="0.35">
      <c r="A223" s="980"/>
    </row>
    <row r="224" spans="1:1" x14ac:dyDescent="0.35">
      <c r="A224" s="980"/>
    </row>
    <row r="225" spans="1:1" x14ac:dyDescent="0.35">
      <c r="A225" s="980"/>
    </row>
    <row r="226" spans="1:1" x14ac:dyDescent="0.35">
      <c r="A226" s="980"/>
    </row>
    <row r="227" spans="1:1" x14ac:dyDescent="0.35">
      <c r="A227" s="980"/>
    </row>
    <row r="228" spans="1:1" x14ac:dyDescent="0.35">
      <c r="A228" s="980"/>
    </row>
    <row r="229" spans="1:1" x14ac:dyDescent="0.35">
      <c r="A229" s="980"/>
    </row>
    <row r="230" spans="1:1" x14ac:dyDescent="0.35">
      <c r="A230" s="980"/>
    </row>
    <row r="231" spans="1:1" x14ac:dyDescent="0.35">
      <c r="A231" s="980"/>
    </row>
    <row r="232" spans="1:1" x14ac:dyDescent="0.35">
      <c r="A232" s="980"/>
    </row>
    <row r="233" spans="1:1" x14ac:dyDescent="0.35">
      <c r="A233" s="980"/>
    </row>
    <row r="234" spans="1:1" x14ac:dyDescent="0.35">
      <c r="A234" s="980"/>
    </row>
    <row r="235" spans="1:1" x14ac:dyDescent="0.35">
      <c r="A235" s="980"/>
    </row>
    <row r="236" spans="1:1" x14ac:dyDescent="0.35">
      <c r="A236" s="980"/>
    </row>
    <row r="237" spans="1:1" x14ac:dyDescent="0.35">
      <c r="A237" s="980"/>
    </row>
    <row r="238" spans="1:1" x14ac:dyDescent="0.35">
      <c r="A238" s="980"/>
    </row>
    <row r="239" spans="1:1" x14ac:dyDescent="0.35">
      <c r="A239" s="980"/>
    </row>
    <row r="240" spans="1:1" x14ac:dyDescent="0.35">
      <c r="A240" s="980"/>
    </row>
    <row r="241" spans="1:1" x14ac:dyDescent="0.35">
      <c r="A241" s="980"/>
    </row>
    <row r="242" spans="1:1" x14ac:dyDescent="0.35">
      <c r="A242" s="980"/>
    </row>
    <row r="243" spans="1:1" x14ac:dyDescent="0.35">
      <c r="A243" s="980"/>
    </row>
    <row r="244" spans="1:1" x14ac:dyDescent="0.35">
      <c r="A244" s="980"/>
    </row>
    <row r="245" spans="1:1" x14ac:dyDescent="0.35">
      <c r="A245" s="980"/>
    </row>
    <row r="246" spans="1:1" x14ac:dyDescent="0.35">
      <c r="A246" s="980"/>
    </row>
    <row r="247" spans="1:1" x14ac:dyDescent="0.35">
      <c r="A247" s="980"/>
    </row>
    <row r="248" spans="1:1" x14ac:dyDescent="0.35">
      <c r="A248" s="980"/>
    </row>
    <row r="249" spans="1:1" x14ac:dyDescent="0.35">
      <c r="A249" s="980"/>
    </row>
    <row r="250" spans="1:1" x14ac:dyDescent="0.35">
      <c r="A250" s="980"/>
    </row>
    <row r="251" spans="1:1" x14ac:dyDescent="0.35">
      <c r="A251" s="980"/>
    </row>
    <row r="252" spans="1:1" x14ac:dyDescent="0.35">
      <c r="A252" s="980"/>
    </row>
    <row r="253" spans="1:1" x14ac:dyDescent="0.35">
      <c r="A253" s="980"/>
    </row>
    <row r="254" spans="1:1" x14ac:dyDescent="0.35">
      <c r="A254" s="980"/>
    </row>
    <row r="255" spans="1:1" x14ac:dyDescent="0.35">
      <c r="A255" s="980"/>
    </row>
    <row r="256" spans="1:1" x14ac:dyDescent="0.35">
      <c r="A256" s="980"/>
    </row>
    <row r="257" spans="1:1" x14ac:dyDescent="0.35">
      <c r="A257" s="980"/>
    </row>
    <row r="258" spans="1:1" x14ac:dyDescent="0.35">
      <c r="A258" s="980"/>
    </row>
    <row r="259" spans="1:1" x14ac:dyDescent="0.35">
      <c r="A259" s="980"/>
    </row>
    <row r="260" spans="1:1" x14ac:dyDescent="0.35">
      <c r="A260" s="980"/>
    </row>
    <row r="261" spans="1:1" x14ac:dyDescent="0.35">
      <c r="A261" s="980"/>
    </row>
    <row r="262" spans="1:1" x14ac:dyDescent="0.35">
      <c r="A262" s="980"/>
    </row>
    <row r="263" spans="1:1" x14ac:dyDescent="0.35">
      <c r="A263" s="980"/>
    </row>
    <row r="264" spans="1:1" x14ac:dyDescent="0.35">
      <c r="A264" s="980"/>
    </row>
    <row r="265" spans="1:1" x14ac:dyDescent="0.35">
      <c r="A265" s="980"/>
    </row>
    <row r="266" spans="1:1" x14ac:dyDescent="0.35">
      <c r="A266" s="980"/>
    </row>
    <row r="267" spans="1:1" x14ac:dyDescent="0.35">
      <c r="A267" s="980"/>
    </row>
    <row r="268" spans="1:1" x14ac:dyDescent="0.35">
      <c r="A268" s="980"/>
    </row>
    <row r="269" spans="1:1" x14ac:dyDescent="0.35">
      <c r="A269" s="980"/>
    </row>
    <row r="270" spans="1:1" x14ac:dyDescent="0.35">
      <c r="A270" s="980"/>
    </row>
    <row r="271" spans="1:1" x14ac:dyDescent="0.35">
      <c r="A271" s="980"/>
    </row>
    <row r="272" spans="1:1" x14ac:dyDescent="0.35">
      <c r="A272" s="980"/>
    </row>
    <row r="273" spans="1:1" x14ac:dyDescent="0.35">
      <c r="A273" s="980"/>
    </row>
    <row r="274" spans="1:1" x14ac:dyDescent="0.35">
      <c r="A274" s="980"/>
    </row>
    <row r="275" spans="1:1" x14ac:dyDescent="0.35">
      <c r="A275" s="980"/>
    </row>
    <row r="276" spans="1:1" x14ac:dyDescent="0.35">
      <c r="A276" s="980"/>
    </row>
    <row r="277" spans="1:1" x14ac:dyDescent="0.35">
      <c r="A277" s="980"/>
    </row>
    <row r="278" spans="1:1" x14ac:dyDescent="0.35">
      <c r="A278" s="980"/>
    </row>
    <row r="279" spans="1:1" x14ac:dyDescent="0.35">
      <c r="A279" s="980"/>
    </row>
    <row r="280" spans="1:1" x14ac:dyDescent="0.35">
      <c r="A280" s="980"/>
    </row>
    <row r="281" spans="1:1" x14ac:dyDescent="0.35">
      <c r="A281" s="980"/>
    </row>
    <row r="282" spans="1:1" x14ac:dyDescent="0.35">
      <c r="A282" s="980"/>
    </row>
    <row r="283" spans="1:1" x14ac:dyDescent="0.35">
      <c r="A283" s="980"/>
    </row>
    <row r="284" spans="1:1" x14ac:dyDescent="0.35">
      <c r="A284" s="980"/>
    </row>
    <row r="285" spans="1:1" x14ac:dyDescent="0.35">
      <c r="A285" s="980"/>
    </row>
    <row r="286" spans="1:1" x14ac:dyDescent="0.35">
      <c r="A286" s="980"/>
    </row>
    <row r="287" spans="1:1" x14ac:dyDescent="0.35">
      <c r="A287" s="980"/>
    </row>
    <row r="288" spans="1:1" x14ac:dyDescent="0.35">
      <c r="A288" s="980"/>
    </row>
    <row r="289" spans="1:1" x14ac:dyDescent="0.35">
      <c r="A289" s="980"/>
    </row>
    <row r="290" spans="1:1" x14ac:dyDescent="0.35">
      <c r="A290" s="980"/>
    </row>
    <row r="291" spans="1:1" x14ac:dyDescent="0.35">
      <c r="A291" s="980"/>
    </row>
    <row r="292" spans="1:1" x14ac:dyDescent="0.35">
      <c r="A292" s="980"/>
    </row>
    <row r="293" spans="1:1" x14ac:dyDescent="0.35">
      <c r="A293" s="980"/>
    </row>
    <row r="294" spans="1:1" x14ac:dyDescent="0.35">
      <c r="A294" s="980"/>
    </row>
    <row r="295" spans="1:1" x14ac:dyDescent="0.35">
      <c r="A295" s="980"/>
    </row>
    <row r="296" spans="1:1" x14ac:dyDescent="0.35">
      <c r="A296" s="980"/>
    </row>
    <row r="297" spans="1:1" x14ac:dyDescent="0.35">
      <c r="A297" s="980"/>
    </row>
    <row r="298" spans="1:1" x14ac:dyDescent="0.35">
      <c r="A298" s="980"/>
    </row>
    <row r="299" spans="1:1" x14ac:dyDescent="0.35">
      <c r="A299" s="980"/>
    </row>
    <row r="300" spans="1:1" x14ac:dyDescent="0.35">
      <c r="A300" s="980"/>
    </row>
    <row r="301" spans="1:1" x14ac:dyDescent="0.35">
      <c r="A301" s="980"/>
    </row>
    <row r="302" spans="1:1" x14ac:dyDescent="0.35">
      <c r="A302" s="980"/>
    </row>
    <row r="303" spans="1:1" x14ac:dyDescent="0.35">
      <c r="A303" s="980"/>
    </row>
    <row r="304" spans="1:1" x14ac:dyDescent="0.35">
      <c r="A304" s="980"/>
    </row>
    <row r="305" spans="1:1" x14ac:dyDescent="0.35">
      <c r="A305" s="980"/>
    </row>
    <row r="306" spans="1:1" x14ac:dyDescent="0.35">
      <c r="A306" s="980"/>
    </row>
    <row r="307" spans="1:1" x14ac:dyDescent="0.35">
      <c r="A307" s="980"/>
    </row>
    <row r="308" spans="1:1" x14ac:dyDescent="0.35">
      <c r="A308" s="980"/>
    </row>
    <row r="309" spans="1:1" x14ac:dyDescent="0.35">
      <c r="A309" s="980"/>
    </row>
    <row r="310" spans="1:1" x14ac:dyDescent="0.35">
      <c r="A310" s="980"/>
    </row>
    <row r="311" spans="1:1" x14ac:dyDescent="0.35">
      <c r="A311" s="980"/>
    </row>
    <row r="312" spans="1:1" x14ac:dyDescent="0.35">
      <c r="A312" s="980"/>
    </row>
    <row r="313" spans="1:1" x14ac:dyDescent="0.35">
      <c r="A313" s="980"/>
    </row>
    <row r="314" spans="1:1" x14ac:dyDescent="0.35">
      <c r="A314" s="980"/>
    </row>
    <row r="315" spans="1:1" x14ac:dyDescent="0.35">
      <c r="A315" s="980"/>
    </row>
    <row r="316" spans="1:1" x14ac:dyDescent="0.35">
      <c r="A316" s="980"/>
    </row>
    <row r="317" spans="1:1" x14ac:dyDescent="0.35">
      <c r="A317" s="980"/>
    </row>
    <row r="318" spans="1:1" x14ac:dyDescent="0.35">
      <c r="A318" s="980"/>
    </row>
    <row r="319" spans="1:1" x14ac:dyDescent="0.35">
      <c r="A319" s="980"/>
    </row>
    <row r="320" spans="1:1" x14ac:dyDescent="0.35">
      <c r="A320" s="980"/>
    </row>
    <row r="321" spans="1:1" x14ac:dyDescent="0.35">
      <c r="A321" s="980"/>
    </row>
    <row r="322" spans="1:1" x14ac:dyDescent="0.35">
      <c r="A322" s="980"/>
    </row>
    <row r="323" spans="1:1" x14ac:dyDescent="0.35">
      <c r="A323" s="980"/>
    </row>
    <row r="324" spans="1:1" x14ac:dyDescent="0.35">
      <c r="A324" s="980"/>
    </row>
    <row r="325" spans="1:1" x14ac:dyDescent="0.35">
      <c r="A325" s="980"/>
    </row>
    <row r="326" spans="1:1" x14ac:dyDescent="0.35">
      <c r="A326" s="980"/>
    </row>
    <row r="327" spans="1:1" x14ac:dyDescent="0.35">
      <c r="A327" s="980"/>
    </row>
    <row r="328" spans="1:1" x14ac:dyDescent="0.35">
      <c r="A328" s="980"/>
    </row>
    <row r="329" spans="1:1" x14ac:dyDescent="0.35">
      <c r="A329" s="980"/>
    </row>
    <row r="330" spans="1:1" x14ac:dyDescent="0.35">
      <c r="A330" s="980"/>
    </row>
    <row r="331" spans="1:1" x14ac:dyDescent="0.35">
      <c r="A331" s="980"/>
    </row>
    <row r="332" spans="1:1" x14ac:dyDescent="0.35">
      <c r="A332" s="980"/>
    </row>
    <row r="333" spans="1:1" x14ac:dyDescent="0.35">
      <c r="A333" s="980"/>
    </row>
    <row r="334" spans="1:1" x14ac:dyDescent="0.35">
      <c r="A334" s="980"/>
    </row>
    <row r="335" spans="1:1" x14ac:dyDescent="0.35">
      <c r="A335" s="980"/>
    </row>
    <row r="336" spans="1:1" x14ac:dyDescent="0.35">
      <c r="A336" s="980"/>
    </row>
    <row r="337" spans="1:1" x14ac:dyDescent="0.35">
      <c r="A337" s="980"/>
    </row>
    <row r="338" spans="1:1" x14ac:dyDescent="0.35">
      <c r="A338" s="980"/>
    </row>
    <row r="339" spans="1:1" x14ac:dyDescent="0.35">
      <c r="A339" s="980"/>
    </row>
    <row r="340" spans="1:1" x14ac:dyDescent="0.35">
      <c r="A340" s="980"/>
    </row>
    <row r="341" spans="1:1" x14ac:dyDescent="0.35">
      <c r="A341" s="980"/>
    </row>
    <row r="342" spans="1:1" x14ac:dyDescent="0.35">
      <c r="A342" s="980"/>
    </row>
    <row r="343" spans="1:1" x14ac:dyDescent="0.35">
      <c r="A343" s="980"/>
    </row>
    <row r="344" spans="1:1" x14ac:dyDescent="0.35">
      <c r="A344" s="980"/>
    </row>
    <row r="345" spans="1:1" x14ac:dyDescent="0.35">
      <c r="A345" s="980"/>
    </row>
    <row r="346" spans="1:1" x14ac:dyDescent="0.35">
      <c r="A346" s="980"/>
    </row>
    <row r="347" spans="1:1" x14ac:dyDescent="0.35">
      <c r="A347" s="980"/>
    </row>
    <row r="348" spans="1:1" x14ac:dyDescent="0.35">
      <c r="A348" s="980"/>
    </row>
    <row r="349" spans="1:1" x14ac:dyDescent="0.35">
      <c r="A349" s="980"/>
    </row>
    <row r="350" spans="1:1" x14ac:dyDescent="0.35">
      <c r="A350" s="980"/>
    </row>
    <row r="351" spans="1:1" x14ac:dyDescent="0.35">
      <c r="A351" s="980"/>
    </row>
    <row r="352" spans="1:1" x14ac:dyDescent="0.35">
      <c r="A352" s="980"/>
    </row>
    <row r="353" spans="1:1" x14ac:dyDescent="0.35">
      <c r="A353" s="980"/>
    </row>
    <row r="354" spans="1:1" x14ac:dyDescent="0.35">
      <c r="A354" s="980"/>
    </row>
    <row r="355" spans="1:1" x14ac:dyDescent="0.35">
      <c r="A355" s="980"/>
    </row>
    <row r="356" spans="1:1" x14ac:dyDescent="0.35">
      <c r="A356" s="980"/>
    </row>
    <row r="357" spans="1:1" x14ac:dyDescent="0.35">
      <c r="A357" s="980"/>
    </row>
    <row r="358" spans="1:1" x14ac:dyDescent="0.35">
      <c r="A358" s="980"/>
    </row>
    <row r="359" spans="1:1" x14ac:dyDescent="0.35">
      <c r="A359" s="980"/>
    </row>
    <row r="360" spans="1:1" x14ac:dyDescent="0.35">
      <c r="A360" s="980"/>
    </row>
    <row r="361" spans="1:1" x14ac:dyDescent="0.35">
      <c r="A361" s="980"/>
    </row>
    <row r="362" spans="1:1" x14ac:dyDescent="0.35">
      <c r="A362" s="980"/>
    </row>
    <row r="363" spans="1:1" x14ac:dyDescent="0.35">
      <c r="A363" s="980"/>
    </row>
    <row r="364" spans="1:1" x14ac:dyDescent="0.35">
      <c r="A364" s="980"/>
    </row>
    <row r="365" spans="1:1" x14ac:dyDescent="0.35">
      <c r="A365" s="980"/>
    </row>
    <row r="366" spans="1:1" x14ac:dyDescent="0.35">
      <c r="A366" s="980"/>
    </row>
    <row r="367" spans="1:1" x14ac:dyDescent="0.35">
      <c r="A367" s="980"/>
    </row>
    <row r="368" spans="1:1" x14ac:dyDescent="0.35">
      <c r="A368" s="980"/>
    </row>
    <row r="369" spans="1:1" x14ac:dyDescent="0.35">
      <c r="A369" s="980"/>
    </row>
    <row r="370" spans="1:1" x14ac:dyDescent="0.35">
      <c r="A370" s="980"/>
    </row>
    <row r="371" spans="1:1" x14ac:dyDescent="0.35">
      <c r="A371" s="980"/>
    </row>
    <row r="372" spans="1:1" x14ac:dyDescent="0.35">
      <c r="A372" s="980"/>
    </row>
    <row r="373" spans="1:1" x14ac:dyDescent="0.35">
      <c r="A373" s="980"/>
    </row>
    <row r="374" spans="1:1" x14ac:dyDescent="0.35">
      <c r="A374" s="980"/>
    </row>
    <row r="375" spans="1:1" x14ac:dyDescent="0.35">
      <c r="A375" s="980"/>
    </row>
    <row r="376" spans="1:1" x14ac:dyDescent="0.35">
      <c r="A376" s="980"/>
    </row>
    <row r="377" spans="1:1" x14ac:dyDescent="0.35">
      <c r="A377" s="980"/>
    </row>
    <row r="378" spans="1:1" x14ac:dyDescent="0.35">
      <c r="A378" s="980"/>
    </row>
    <row r="379" spans="1:1" x14ac:dyDescent="0.35">
      <c r="A379" s="980"/>
    </row>
    <row r="380" spans="1:1" x14ac:dyDescent="0.35">
      <c r="A380" s="980"/>
    </row>
    <row r="381" spans="1:1" x14ac:dyDescent="0.35">
      <c r="A381" s="980"/>
    </row>
    <row r="382" spans="1:1" x14ac:dyDescent="0.35">
      <c r="A382" s="980"/>
    </row>
    <row r="383" spans="1:1" x14ac:dyDescent="0.35">
      <c r="A383" s="980"/>
    </row>
    <row r="384" spans="1:1" x14ac:dyDescent="0.35">
      <c r="A384" s="980"/>
    </row>
    <row r="385" spans="1:1" x14ac:dyDescent="0.35">
      <c r="A385" s="980"/>
    </row>
    <row r="386" spans="1:1" x14ac:dyDescent="0.35">
      <c r="A386" s="980"/>
    </row>
    <row r="387" spans="1:1" x14ac:dyDescent="0.35">
      <c r="A387" s="980"/>
    </row>
    <row r="388" spans="1:1" x14ac:dyDescent="0.35">
      <c r="A388" s="980"/>
    </row>
    <row r="389" spans="1:1" x14ac:dyDescent="0.35">
      <c r="A389" s="980"/>
    </row>
    <row r="390" spans="1:1" x14ac:dyDescent="0.35">
      <c r="A390" s="980"/>
    </row>
    <row r="391" spans="1:1" x14ac:dyDescent="0.35">
      <c r="A391" s="980"/>
    </row>
    <row r="392" spans="1:1" x14ac:dyDescent="0.35">
      <c r="A392" s="980"/>
    </row>
    <row r="393" spans="1:1" x14ac:dyDescent="0.35">
      <c r="A393" s="980"/>
    </row>
    <row r="394" spans="1:1" x14ac:dyDescent="0.35">
      <c r="A394" s="980"/>
    </row>
    <row r="395" spans="1:1" x14ac:dyDescent="0.35">
      <c r="A395" s="980"/>
    </row>
    <row r="396" spans="1:1" x14ac:dyDescent="0.35">
      <c r="A396" s="980"/>
    </row>
    <row r="397" spans="1:1" x14ac:dyDescent="0.35">
      <c r="A397" s="980"/>
    </row>
    <row r="398" spans="1:1" x14ac:dyDescent="0.35">
      <c r="A398" s="980"/>
    </row>
    <row r="399" spans="1:1" x14ac:dyDescent="0.35">
      <c r="A399" s="980"/>
    </row>
    <row r="400" spans="1:1" x14ac:dyDescent="0.35">
      <c r="A400" s="980"/>
    </row>
    <row r="401" spans="1:1" x14ac:dyDescent="0.35">
      <c r="A401" s="980"/>
    </row>
    <row r="402" spans="1:1" x14ac:dyDescent="0.35">
      <c r="A402" s="980"/>
    </row>
    <row r="403" spans="1:1" x14ac:dyDescent="0.35">
      <c r="A403" s="980"/>
    </row>
    <row r="404" spans="1:1" x14ac:dyDescent="0.35">
      <c r="A404" s="980"/>
    </row>
    <row r="405" spans="1:1" x14ac:dyDescent="0.35">
      <c r="A405" s="980"/>
    </row>
    <row r="406" spans="1:1" x14ac:dyDescent="0.35">
      <c r="A406" s="980"/>
    </row>
    <row r="407" spans="1:1" x14ac:dyDescent="0.35">
      <c r="A407" s="980"/>
    </row>
    <row r="408" spans="1:1" x14ac:dyDescent="0.35">
      <c r="A408" s="980"/>
    </row>
    <row r="409" spans="1:1" x14ac:dyDescent="0.35">
      <c r="A409" s="980"/>
    </row>
    <row r="410" spans="1:1" x14ac:dyDescent="0.35">
      <c r="A410" s="980"/>
    </row>
    <row r="411" spans="1:1" x14ac:dyDescent="0.35">
      <c r="A411" s="980"/>
    </row>
    <row r="412" spans="1:1" x14ac:dyDescent="0.35">
      <c r="A412" s="980"/>
    </row>
    <row r="413" spans="1:1" x14ac:dyDescent="0.35">
      <c r="A413" s="980"/>
    </row>
    <row r="414" spans="1:1" x14ac:dyDescent="0.35">
      <c r="A414" s="980"/>
    </row>
    <row r="415" spans="1:1" x14ac:dyDescent="0.35">
      <c r="A415" s="980"/>
    </row>
    <row r="416" spans="1:1" x14ac:dyDescent="0.35">
      <c r="A416" s="980"/>
    </row>
    <row r="417" spans="1:1" x14ac:dyDescent="0.35">
      <c r="A417" s="980"/>
    </row>
    <row r="418" spans="1:1" x14ac:dyDescent="0.35">
      <c r="A418" s="980"/>
    </row>
    <row r="419" spans="1:1" x14ac:dyDescent="0.35">
      <c r="A419" s="980"/>
    </row>
    <row r="420" spans="1:1" x14ac:dyDescent="0.35">
      <c r="A420" s="980"/>
    </row>
    <row r="421" spans="1:1" x14ac:dyDescent="0.35">
      <c r="A421" s="980"/>
    </row>
    <row r="422" spans="1:1" x14ac:dyDescent="0.35">
      <c r="A422" s="980"/>
    </row>
    <row r="423" spans="1:1" x14ac:dyDescent="0.35">
      <c r="A423" s="980"/>
    </row>
    <row r="424" spans="1:1" x14ac:dyDescent="0.35">
      <c r="A424" s="980"/>
    </row>
    <row r="425" spans="1:1" x14ac:dyDescent="0.35">
      <c r="A425" s="980"/>
    </row>
    <row r="426" spans="1:1" x14ac:dyDescent="0.35">
      <c r="A426" s="980"/>
    </row>
    <row r="427" spans="1:1" x14ac:dyDescent="0.35">
      <c r="A427" s="980"/>
    </row>
    <row r="428" spans="1:1" x14ac:dyDescent="0.35">
      <c r="A428" s="980"/>
    </row>
    <row r="429" spans="1:1" x14ac:dyDescent="0.35">
      <c r="A429" s="980"/>
    </row>
    <row r="430" spans="1:1" x14ac:dyDescent="0.35">
      <c r="A430" s="980"/>
    </row>
    <row r="431" spans="1:1" x14ac:dyDescent="0.35">
      <c r="A431" s="980"/>
    </row>
    <row r="432" spans="1:1" x14ac:dyDescent="0.35">
      <c r="A432" s="980"/>
    </row>
    <row r="433" spans="1:1" x14ac:dyDescent="0.35">
      <c r="A433" s="980"/>
    </row>
    <row r="434" spans="1:1" x14ac:dyDescent="0.35">
      <c r="A434" s="980"/>
    </row>
    <row r="435" spans="1:1" x14ac:dyDescent="0.35">
      <c r="A435" s="980"/>
    </row>
    <row r="436" spans="1:1" x14ac:dyDescent="0.35">
      <c r="A436" s="980"/>
    </row>
    <row r="437" spans="1:1" x14ac:dyDescent="0.35">
      <c r="A437" s="980"/>
    </row>
    <row r="438" spans="1:1" x14ac:dyDescent="0.35">
      <c r="A438" s="980"/>
    </row>
    <row r="439" spans="1:1" x14ac:dyDescent="0.35">
      <c r="A439" s="980"/>
    </row>
    <row r="440" spans="1:1" x14ac:dyDescent="0.35">
      <c r="A440" s="980"/>
    </row>
    <row r="441" spans="1:1" x14ac:dyDescent="0.35">
      <c r="A441" s="980"/>
    </row>
    <row r="442" spans="1:1" x14ac:dyDescent="0.35">
      <c r="A442" s="980"/>
    </row>
    <row r="443" spans="1:1" x14ac:dyDescent="0.35">
      <c r="A443" s="980"/>
    </row>
    <row r="444" spans="1:1" x14ac:dyDescent="0.35">
      <c r="A444" s="980"/>
    </row>
    <row r="445" spans="1:1" x14ac:dyDescent="0.35">
      <c r="A445" s="980"/>
    </row>
    <row r="446" spans="1:1" x14ac:dyDescent="0.35">
      <c r="A446" s="980"/>
    </row>
    <row r="447" spans="1:1" x14ac:dyDescent="0.35">
      <c r="A447" s="980"/>
    </row>
    <row r="448" spans="1:1" x14ac:dyDescent="0.35">
      <c r="A448" s="980"/>
    </row>
    <row r="449" spans="1:1" x14ac:dyDescent="0.35">
      <c r="A449" s="980"/>
    </row>
    <row r="450" spans="1:1" x14ac:dyDescent="0.35">
      <c r="A450" s="980"/>
    </row>
    <row r="451" spans="1:1" x14ac:dyDescent="0.35">
      <c r="A451" s="980"/>
    </row>
    <row r="452" spans="1:1" x14ac:dyDescent="0.35">
      <c r="A452" s="980"/>
    </row>
    <row r="453" spans="1:1" x14ac:dyDescent="0.35">
      <c r="A453" s="980"/>
    </row>
    <row r="454" spans="1:1" x14ac:dyDescent="0.35">
      <c r="A454" s="980"/>
    </row>
    <row r="455" spans="1:1" x14ac:dyDescent="0.35">
      <c r="A455" s="980"/>
    </row>
    <row r="456" spans="1:1" x14ac:dyDescent="0.35">
      <c r="A456" s="980"/>
    </row>
    <row r="457" spans="1:1" x14ac:dyDescent="0.35">
      <c r="A457" s="980"/>
    </row>
    <row r="458" spans="1:1" x14ac:dyDescent="0.35">
      <c r="A458" s="980"/>
    </row>
    <row r="459" spans="1:1" x14ac:dyDescent="0.35">
      <c r="A459" s="980"/>
    </row>
    <row r="460" spans="1:1" x14ac:dyDescent="0.35">
      <c r="A460" s="980"/>
    </row>
    <row r="461" spans="1:1" x14ac:dyDescent="0.35">
      <c r="A461" s="980"/>
    </row>
    <row r="462" spans="1:1" x14ac:dyDescent="0.35">
      <c r="A462" s="980"/>
    </row>
    <row r="463" spans="1:1" x14ac:dyDescent="0.35">
      <c r="A463" s="980"/>
    </row>
    <row r="464" spans="1:1" x14ac:dyDescent="0.35">
      <c r="A464" s="980"/>
    </row>
    <row r="465" spans="1:1" x14ac:dyDescent="0.35">
      <c r="A465" s="980"/>
    </row>
    <row r="466" spans="1:1" x14ac:dyDescent="0.35">
      <c r="A466" s="980"/>
    </row>
    <row r="467" spans="1:1" x14ac:dyDescent="0.35">
      <c r="A467" s="980"/>
    </row>
    <row r="468" spans="1:1" x14ac:dyDescent="0.35">
      <c r="A468" s="980"/>
    </row>
    <row r="469" spans="1:1" x14ac:dyDescent="0.35">
      <c r="A469" s="980"/>
    </row>
    <row r="470" spans="1:1" x14ac:dyDescent="0.35">
      <c r="A470" s="980"/>
    </row>
    <row r="471" spans="1:1" x14ac:dyDescent="0.35">
      <c r="A471" s="980"/>
    </row>
    <row r="472" spans="1:1" x14ac:dyDescent="0.35">
      <c r="A472" s="980"/>
    </row>
    <row r="473" spans="1:1" x14ac:dyDescent="0.35">
      <c r="A473" s="980"/>
    </row>
    <row r="474" spans="1:1" x14ac:dyDescent="0.35">
      <c r="A474" s="980"/>
    </row>
    <row r="475" spans="1:1" x14ac:dyDescent="0.35">
      <c r="A475" s="980"/>
    </row>
    <row r="476" spans="1:1" x14ac:dyDescent="0.35">
      <c r="A476" s="980"/>
    </row>
    <row r="477" spans="1:1" x14ac:dyDescent="0.35">
      <c r="A477" s="980"/>
    </row>
    <row r="478" spans="1:1" x14ac:dyDescent="0.35">
      <c r="A478" s="980"/>
    </row>
    <row r="479" spans="1:1" x14ac:dyDescent="0.35">
      <c r="A479" s="980"/>
    </row>
    <row r="480" spans="1:1" x14ac:dyDescent="0.35">
      <c r="A480" s="980"/>
    </row>
    <row r="481" spans="1:1" x14ac:dyDescent="0.35">
      <c r="A481" s="980"/>
    </row>
    <row r="482" spans="1:1" x14ac:dyDescent="0.35">
      <c r="A482" s="980"/>
    </row>
    <row r="483" spans="1:1" x14ac:dyDescent="0.35">
      <c r="A483" s="980"/>
    </row>
    <row r="484" spans="1:1" x14ac:dyDescent="0.35">
      <c r="A484" s="980"/>
    </row>
    <row r="485" spans="1:1" x14ac:dyDescent="0.35">
      <c r="A485" s="980"/>
    </row>
    <row r="486" spans="1:1" x14ac:dyDescent="0.35">
      <c r="A486" s="980"/>
    </row>
    <row r="487" spans="1:1" x14ac:dyDescent="0.35">
      <c r="A487" s="980"/>
    </row>
    <row r="488" spans="1:1" x14ac:dyDescent="0.35">
      <c r="A488" s="980"/>
    </row>
    <row r="489" spans="1:1" x14ac:dyDescent="0.35">
      <c r="A489" s="980"/>
    </row>
    <row r="490" spans="1:1" x14ac:dyDescent="0.35">
      <c r="A490" s="980"/>
    </row>
    <row r="491" spans="1:1" x14ac:dyDescent="0.35">
      <c r="A491" s="980"/>
    </row>
    <row r="492" spans="1:1" x14ac:dyDescent="0.35">
      <c r="A492" s="980"/>
    </row>
    <row r="493" spans="1:1" x14ac:dyDescent="0.35">
      <c r="A493" s="980"/>
    </row>
    <row r="494" spans="1:1" x14ac:dyDescent="0.35">
      <c r="A494" s="980"/>
    </row>
    <row r="495" spans="1:1" x14ac:dyDescent="0.35">
      <c r="A495" s="980"/>
    </row>
    <row r="496" spans="1:1" x14ac:dyDescent="0.35">
      <c r="A496" s="980"/>
    </row>
    <row r="497" spans="1:1" x14ac:dyDescent="0.35">
      <c r="A497" s="980"/>
    </row>
    <row r="498" spans="1:1" x14ac:dyDescent="0.35">
      <c r="A498" s="980"/>
    </row>
    <row r="499" spans="1:1" x14ac:dyDescent="0.35">
      <c r="A499" s="980"/>
    </row>
    <row r="500" spans="1:1" x14ac:dyDescent="0.35">
      <c r="A500" s="980"/>
    </row>
    <row r="501" spans="1:1" x14ac:dyDescent="0.35">
      <c r="A501" s="980"/>
    </row>
    <row r="502" spans="1:1" x14ac:dyDescent="0.35">
      <c r="A502" s="980"/>
    </row>
    <row r="503" spans="1:1" x14ac:dyDescent="0.35">
      <c r="A503" s="980"/>
    </row>
    <row r="504" spans="1:1" x14ac:dyDescent="0.35">
      <c r="A504" s="980"/>
    </row>
    <row r="505" spans="1:1" x14ac:dyDescent="0.35">
      <c r="A505" s="980"/>
    </row>
    <row r="506" spans="1:1" x14ac:dyDescent="0.35">
      <c r="A506" s="980"/>
    </row>
    <row r="507" spans="1:1" x14ac:dyDescent="0.35">
      <c r="A507" s="980"/>
    </row>
    <row r="508" spans="1:1" x14ac:dyDescent="0.35">
      <c r="A508" s="980"/>
    </row>
    <row r="509" spans="1:1" x14ac:dyDescent="0.35">
      <c r="A509" s="980"/>
    </row>
    <row r="510" spans="1:1" x14ac:dyDescent="0.35">
      <c r="A510" s="980"/>
    </row>
    <row r="511" spans="1:1" x14ac:dyDescent="0.35">
      <c r="A511" s="980"/>
    </row>
    <row r="512" spans="1:1" x14ac:dyDescent="0.35">
      <c r="A512" s="980"/>
    </row>
    <row r="513" spans="1:1" x14ac:dyDescent="0.35">
      <c r="A513" s="980"/>
    </row>
    <row r="514" spans="1:1" x14ac:dyDescent="0.35">
      <c r="A514" s="980"/>
    </row>
    <row r="515" spans="1:1" x14ac:dyDescent="0.35">
      <c r="A515" s="980"/>
    </row>
    <row r="516" spans="1:1" x14ac:dyDescent="0.35">
      <c r="A516" s="980"/>
    </row>
    <row r="517" spans="1:1" x14ac:dyDescent="0.35">
      <c r="A517" s="980"/>
    </row>
    <row r="518" spans="1:1" x14ac:dyDescent="0.35">
      <c r="A518" s="980"/>
    </row>
    <row r="519" spans="1:1" x14ac:dyDescent="0.35">
      <c r="A519" s="980"/>
    </row>
    <row r="520" spans="1:1" x14ac:dyDescent="0.35">
      <c r="A520" s="980"/>
    </row>
    <row r="521" spans="1:1" x14ac:dyDescent="0.35">
      <c r="A521" s="980"/>
    </row>
    <row r="522" spans="1:1" x14ac:dyDescent="0.35">
      <c r="A522" s="980"/>
    </row>
    <row r="523" spans="1:1" x14ac:dyDescent="0.35">
      <c r="A523" s="980"/>
    </row>
    <row r="524" spans="1:1" x14ac:dyDescent="0.35">
      <c r="A524" s="980"/>
    </row>
    <row r="525" spans="1:1" x14ac:dyDescent="0.35">
      <c r="A525" s="980"/>
    </row>
    <row r="526" spans="1:1" x14ac:dyDescent="0.35">
      <c r="A526" s="980"/>
    </row>
    <row r="527" spans="1:1" x14ac:dyDescent="0.35">
      <c r="A527" s="980"/>
    </row>
    <row r="528" spans="1:1" x14ac:dyDescent="0.35">
      <c r="A528" s="980"/>
    </row>
    <row r="529" spans="1:1" x14ac:dyDescent="0.35">
      <c r="A529" s="980"/>
    </row>
    <row r="530" spans="1:1" x14ac:dyDescent="0.35">
      <c r="A530" s="980"/>
    </row>
    <row r="531" spans="1:1" x14ac:dyDescent="0.35">
      <c r="A531" s="980"/>
    </row>
    <row r="532" spans="1:1" x14ac:dyDescent="0.35">
      <c r="A532" s="980"/>
    </row>
    <row r="533" spans="1:1" x14ac:dyDescent="0.35">
      <c r="A533" s="980"/>
    </row>
    <row r="534" spans="1:1" x14ac:dyDescent="0.35">
      <c r="A534" s="980"/>
    </row>
    <row r="535" spans="1:1" x14ac:dyDescent="0.35">
      <c r="A535" s="980"/>
    </row>
    <row r="536" spans="1:1" x14ac:dyDescent="0.35">
      <c r="A536" s="980"/>
    </row>
    <row r="537" spans="1:1" x14ac:dyDescent="0.35">
      <c r="A537" s="980"/>
    </row>
    <row r="538" spans="1:1" x14ac:dyDescent="0.35">
      <c r="A538" s="980"/>
    </row>
    <row r="539" spans="1:1" x14ac:dyDescent="0.35">
      <c r="A539" s="980"/>
    </row>
    <row r="540" spans="1:1" x14ac:dyDescent="0.35">
      <c r="A540" s="980"/>
    </row>
    <row r="541" spans="1:1" x14ac:dyDescent="0.35">
      <c r="A541" s="980"/>
    </row>
    <row r="542" spans="1:1" x14ac:dyDescent="0.35">
      <c r="A542" s="980"/>
    </row>
    <row r="543" spans="1:1" x14ac:dyDescent="0.35">
      <c r="A543" s="980"/>
    </row>
    <row r="544" spans="1:1" x14ac:dyDescent="0.35">
      <c r="A544" s="980"/>
    </row>
    <row r="545" spans="1:1" x14ac:dyDescent="0.35">
      <c r="A545" s="980"/>
    </row>
    <row r="546" spans="1:1" x14ac:dyDescent="0.35">
      <c r="A546" s="980"/>
    </row>
    <row r="547" spans="1:1" x14ac:dyDescent="0.35">
      <c r="A547" s="980"/>
    </row>
    <row r="548" spans="1:1" x14ac:dyDescent="0.35">
      <c r="A548" s="980"/>
    </row>
    <row r="549" spans="1:1" x14ac:dyDescent="0.35">
      <c r="A549" s="980"/>
    </row>
    <row r="550" spans="1:1" x14ac:dyDescent="0.35">
      <c r="A550" s="980"/>
    </row>
    <row r="551" spans="1:1" x14ac:dyDescent="0.35">
      <c r="A551" s="980"/>
    </row>
    <row r="552" spans="1:1" x14ac:dyDescent="0.35">
      <c r="A552" s="980"/>
    </row>
    <row r="553" spans="1:1" x14ac:dyDescent="0.35">
      <c r="A553" s="980"/>
    </row>
    <row r="554" spans="1:1" x14ac:dyDescent="0.35">
      <c r="A554" s="980"/>
    </row>
    <row r="555" spans="1:1" x14ac:dyDescent="0.35">
      <c r="A555" s="980"/>
    </row>
    <row r="556" spans="1:1" x14ac:dyDescent="0.35">
      <c r="A556" s="980"/>
    </row>
    <row r="557" spans="1:1" x14ac:dyDescent="0.35">
      <c r="A557" s="980"/>
    </row>
    <row r="558" spans="1:1" x14ac:dyDescent="0.35">
      <c r="A558" s="980"/>
    </row>
    <row r="559" spans="1:1" x14ac:dyDescent="0.35">
      <c r="A559" s="980"/>
    </row>
    <row r="560" spans="1:1" x14ac:dyDescent="0.35">
      <c r="A560" s="980"/>
    </row>
    <row r="561" spans="1:1" x14ac:dyDescent="0.35">
      <c r="A561" s="980"/>
    </row>
    <row r="562" spans="1:1" x14ac:dyDescent="0.35">
      <c r="A562" s="980"/>
    </row>
    <row r="563" spans="1:1" x14ac:dyDescent="0.35">
      <c r="A563" s="980"/>
    </row>
    <row r="564" spans="1:1" x14ac:dyDescent="0.35">
      <c r="A564" s="980"/>
    </row>
    <row r="565" spans="1:1" x14ac:dyDescent="0.35">
      <c r="A565" s="980"/>
    </row>
    <row r="566" spans="1:1" x14ac:dyDescent="0.35">
      <c r="A566" s="980"/>
    </row>
    <row r="567" spans="1:1" x14ac:dyDescent="0.35">
      <c r="A567" s="980"/>
    </row>
    <row r="568" spans="1:1" x14ac:dyDescent="0.35">
      <c r="A568" s="980"/>
    </row>
    <row r="569" spans="1:1" x14ac:dyDescent="0.35">
      <c r="A569" s="980"/>
    </row>
    <row r="570" spans="1:1" x14ac:dyDescent="0.35">
      <c r="A570" s="980"/>
    </row>
    <row r="571" spans="1:1" x14ac:dyDescent="0.35">
      <c r="A571" s="980"/>
    </row>
    <row r="572" spans="1:1" x14ac:dyDescent="0.35">
      <c r="A572" s="980"/>
    </row>
    <row r="573" spans="1:1" x14ac:dyDescent="0.35">
      <c r="A573" s="980"/>
    </row>
    <row r="574" spans="1:1" x14ac:dyDescent="0.35">
      <c r="A574" s="980"/>
    </row>
    <row r="575" spans="1:1" x14ac:dyDescent="0.35">
      <c r="A575" s="980"/>
    </row>
    <row r="576" spans="1:1" x14ac:dyDescent="0.35">
      <c r="A576" s="980"/>
    </row>
    <row r="577" spans="1:1" x14ac:dyDescent="0.35">
      <c r="A577" s="980"/>
    </row>
    <row r="578" spans="1:1" x14ac:dyDescent="0.35">
      <c r="A578" s="980"/>
    </row>
    <row r="579" spans="1:1" x14ac:dyDescent="0.35">
      <c r="A579" s="980"/>
    </row>
    <row r="580" spans="1:1" x14ac:dyDescent="0.35">
      <c r="A580" s="980"/>
    </row>
    <row r="581" spans="1:1" x14ac:dyDescent="0.35">
      <c r="A581" s="980"/>
    </row>
    <row r="582" spans="1:1" x14ac:dyDescent="0.35">
      <c r="A582" s="980"/>
    </row>
    <row r="583" spans="1:1" x14ac:dyDescent="0.35">
      <c r="A583" s="980"/>
    </row>
    <row r="584" spans="1:1" x14ac:dyDescent="0.35">
      <c r="A584" s="980"/>
    </row>
    <row r="585" spans="1:1" x14ac:dyDescent="0.35">
      <c r="A585" s="980"/>
    </row>
    <row r="586" spans="1:1" x14ac:dyDescent="0.35">
      <c r="A586" s="980"/>
    </row>
    <row r="587" spans="1:1" x14ac:dyDescent="0.35">
      <c r="A587" s="980"/>
    </row>
    <row r="588" spans="1:1" x14ac:dyDescent="0.35">
      <c r="A588" s="980"/>
    </row>
    <row r="589" spans="1:1" x14ac:dyDescent="0.35">
      <c r="A589" s="980"/>
    </row>
    <row r="590" spans="1:1" x14ac:dyDescent="0.35">
      <c r="A590" s="980"/>
    </row>
    <row r="591" spans="1:1" x14ac:dyDescent="0.35">
      <c r="A591" s="980"/>
    </row>
    <row r="592" spans="1:1" x14ac:dyDescent="0.35">
      <c r="A592" s="980"/>
    </row>
    <row r="593" spans="1:1" x14ac:dyDescent="0.35">
      <c r="A593" s="980"/>
    </row>
    <row r="594" spans="1:1" x14ac:dyDescent="0.35">
      <c r="A594" s="980"/>
    </row>
    <row r="595" spans="1:1" x14ac:dyDescent="0.35">
      <c r="A595" s="980"/>
    </row>
    <row r="596" spans="1:1" x14ac:dyDescent="0.35">
      <c r="A596" s="980"/>
    </row>
    <row r="597" spans="1:1" x14ac:dyDescent="0.35">
      <c r="A597" s="980"/>
    </row>
    <row r="598" spans="1:1" x14ac:dyDescent="0.35">
      <c r="A598" s="980"/>
    </row>
    <row r="599" spans="1:1" x14ac:dyDescent="0.35">
      <c r="A599" s="980"/>
    </row>
    <row r="600" spans="1:1" x14ac:dyDescent="0.35">
      <c r="A600" s="980"/>
    </row>
    <row r="601" spans="1:1" x14ac:dyDescent="0.35">
      <c r="A601" s="980"/>
    </row>
    <row r="602" spans="1:1" x14ac:dyDescent="0.35">
      <c r="A602" s="980"/>
    </row>
    <row r="603" spans="1:1" x14ac:dyDescent="0.35">
      <c r="A603" s="980"/>
    </row>
    <row r="604" spans="1:1" x14ac:dyDescent="0.35">
      <c r="A604" s="980"/>
    </row>
    <row r="605" spans="1:1" x14ac:dyDescent="0.35">
      <c r="A605" s="980"/>
    </row>
    <row r="606" spans="1:1" x14ac:dyDescent="0.35">
      <c r="A606" s="980"/>
    </row>
    <row r="607" spans="1:1" x14ac:dyDescent="0.35">
      <c r="A607" s="980"/>
    </row>
    <row r="608" spans="1:1" x14ac:dyDescent="0.35">
      <c r="A608" s="980"/>
    </row>
    <row r="609" spans="1:1" x14ac:dyDescent="0.35">
      <c r="A609" s="980"/>
    </row>
    <row r="610" spans="1:1" x14ac:dyDescent="0.35">
      <c r="A610" s="980"/>
    </row>
    <row r="611" spans="1:1" x14ac:dyDescent="0.35">
      <c r="A611" s="980"/>
    </row>
    <row r="612" spans="1:1" x14ac:dyDescent="0.35">
      <c r="A612" s="980"/>
    </row>
    <row r="613" spans="1:1" x14ac:dyDescent="0.35">
      <c r="A613" s="980"/>
    </row>
    <row r="614" spans="1:1" x14ac:dyDescent="0.35">
      <c r="A614" s="980"/>
    </row>
    <row r="615" spans="1:1" x14ac:dyDescent="0.35">
      <c r="A615" s="980"/>
    </row>
    <row r="616" spans="1:1" x14ac:dyDescent="0.35">
      <c r="A616" s="980"/>
    </row>
    <row r="617" spans="1:1" x14ac:dyDescent="0.35">
      <c r="A617" s="980"/>
    </row>
    <row r="618" spans="1:1" x14ac:dyDescent="0.35">
      <c r="A618" s="980"/>
    </row>
    <row r="619" spans="1:1" x14ac:dyDescent="0.35">
      <c r="A619" s="980"/>
    </row>
    <row r="620" spans="1:1" x14ac:dyDescent="0.35">
      <c r="A620" s="980"/>
    </row>
    <row r="621" spans="1:1" x14ac:dyDescent="0.35">
      <c r="A621" s="980"/>
    </row>
    <row r="622" spans="1:1" x14ac:dyDescent="0.35">
      <c r="A622" s="980"/>
    </row>
    <row r="623" spans="1:1" x14ac:dyDescent="0.35">
      <c r="A623" s="980"/>
    </row>
    <row r="624" spans="1:1" x14ac:dyDescent="0.35">
      <c r="A624" s="980"/>
    </row>
    <row r="625" spans="1:1" x14ac:dyDescent="0.35">
      <c r="A625" s="980"/>
    </row>
    <row r="626" spans="1:1" x14ac:dyDescent="0.35">
      <c r="A626" s="980"/>
    </row>
    <row r="627" spans="1:1" x14ac:dyDescent="0.35">
      <c r="A627" s="980"/>
    </row>
    <row r="628" spans="1:1" x14ac:dyDescent="0.35">
      <c r="A628" s="980"/>
    </row>
    <row r="629" spans="1:1" x14ac:dyDescent="0.35">
      <c r="A629" s="980"/>
    </row>
    <row r="630" spans="1:1" x14ac:dyDescent="0.35">
      <c r="A630" s="980"/>
    </row>
    <row r="631" spans="1:1" x14ac:dyDescent="0.35">
      <c r="A631" s="980"/>
    </row>
    <row r="632" spans="1:1" x14ac:dyDescent="0.35">
      <c r="A632" s="980"/>
    </row>
    <row r="633" spans="1:1" x14ac:dyDescent="0.35">
      <c r="A633" s="980"/>
    </row>
    <row r="634" spans="1:1" x14ac:dyDescent="0.35">
      <c r="A634" s="980"/>
    </row>
    <row r="635" spans="1:1" x14ac:dyDescent="0.35">
      <c r="A635" s="980"/>
    </row>
    <row r="636" spans="1:1" x14ac:dyDescent="0.35">
      <c r="A636" s="980"/>
    </row>
    <row r="637" spans="1:1" x14ac:dyDescent="0.35">
      <c r="A637" s="980"/>
    </row>
    <row r="638" spans="1:1" x14ac:dyDescent="0.35">
      <c r="A638" s="980"/>
    </row>
    <row r="639" spans="1:1" x14ac:dyDescent="0.35">
      <c r="A639" s="980"/>
    </row>
    <row r="640" spans="1:1" x14ac:dyDescent="0.35">
      <c r="A640" s="980"/>
    </row>
    <row r="641" spans="1:1" x14ac:dyDescent="0.35">
      <c r="A641" s="980"/>
    </row>
    <row r="642" spans="1:1" x14ac:dyDescent="0.35">
      <c r="A642" s="980"/>
    </row>
    <row r="643" spans="1:1" x14ac:dyDescent="0.35">
      <c r="A643" s="980"/>
    </row>
    <row r="644" spans="1:1" x14ac:dyDescent="0.35">
      <c r="A644" s="980"/>
    </row>
    <row r="645" spans="1:1" x14ac:dyDescent="0.35">
      <c r="A645" s="980"/>
    </row>
    <row r="646" spans="1:1" x14ac:dyDescent="0.35">
      <c r="A646" s="980"/>
    </row>
    <row r="647" spans="1:1" x14ac:dyDescent="0.35">
      <c r="A647" s="980"/>
    </row>
    <row r="648" spans="1:1" x14ac:dyDescent="0.35">
      <c r="A648" s="980"/>
    </row>
    <row r="649" spans="1:1" x14ac:dyDescent="0.35">
      <c r="A649" s="980"/>
    </row>
    <row r="650" spans="1:1" x14ac:dyDescent="0.35">
      <c r="A650" s="980"/>
    </row>
    <row r="651" spans="1:1" x14ac:dyDescent="0.35">
      <c r="A651" s="980"/>
    </row>
    <row r="652" spans="1:1" x14ac:dyDescent="0.35">
      <c r="A652" s="980"/>
    </row>
    <row r="653" spans="1:1" x14ac:dyDescent="0.35">
      <c r="A653" s="980"/>
    </row>
    <row r="654" spans="1:1" x14ac:dyDescent="0.35">
      <c r="A654" s="980"/>
    </row>
    <row r="655" spans="1:1" x14ac:dyDescent="0.35">
      <c r="A655" s="980"/>
    </row>
    <row r="656" spans="1:1" x14ac:dyDescent="0.35">
      <c r="A656" s="980"/>
    </row>
    <row r="657" spans="1:1" x14ac:dyDescent="0.35">
      <c r="A657" s="980"/>
    </row>
    <row r="658" spans="1:1" x14ac:dyDescent="0.35">
      <c r="A658" s="980"/>
    </row>
    <row r="659" spans="1:1" x14ac:dyDescent="0.35">
      <c r="A659" s="980"/>
    </row>
    <row r="660" spans="1:1" x14ac:dyDescent="0.35">
      <c r="A660" s="980"/>
    </row>
    <row r="661" spans="1:1" x14ac:dyDescent="0.35">
      <c r="A661" s="980"/>
    </row>
    <row r="662" spans="1:1" x14ac:dyDescent="0.35">
      <c r="A662" s="980"/>
    </row>
    <row r="663" spans="1:1" x14ac:dyDescent="0.35">
      <c r="A663" s="980"/>
    </row>
    <row r="664" spans="1:1" x14ac:dyDescent="0.35">
      <c r="A664" s="980"/>
    </row>
    <row r="665" spans="1:1" x14ac:dyDescent="0.35">
      <c r="A665" s="980"/>
    </row>
    <row r="666" spans="1:1" x14ac:dyDescent="0.35">
      <c r="A666" s="980"/>
    </row>
    <row r="667" spans="1:1" x14ac:dyDescent="0.35">
      <c r="A667" s="980"/>
    </row>
    <row r="668" spans="1:1" x14ac:dyDescent="0.35">
      <c r="A668" s="980"/>
    </row>
    <row r="669" spans="1:1" x14ac:dyDescent="0.35">
      <c r="A669" s="980"/>
    </row>
    <row r="670" spans="1:1" x14ac:dyDescent="0.35">
      <c r="A670" s="980"/>
    </row>
    <row r="671" spans="1:1" x14ac:dyDescent="0.35">
      <c r="A671" s="980"/>
    </row>
    <row r="672" spans="1:1" x14ac:dyDescent="0.35">
      <c r="A672" s="980"/>
    </row>
    <row r="673" spans="1:1" x14ac:dyDescent="0.35">
      <c r="A673" s="980"/>
    </row>
    <row r="674" spans="1:1" x14ac:dyDescent="0.35">
      <c r="A674" s="980"/>
    </row>
    <row r="675" spans="1:1" x14ac:dyDescent="0.35">
      <c r="A675" s="980"/>
    </row>
    <row r="676" spans="1:1" x14ac:dyDescent="0.35">
      <c r="A676" s="980"/>
    </row>
    <row r="677" spans="1:1" x14ac:dyDescent="0.35">
      <c r="A677" s="980"/>
    </row>
    <row r="678" spans="1:1" x14ac:dyDescent="0.35">
      <c r="A678" s="980"/>
    </row>
    <row r="679" spans="1:1" x14ac:dyDescent="0.35">
      <c r="A679" s="980"/>
    </row>
    <row r="680" spans="1:1" x14ac:dyDescent="0.35">
      <c r="A680" s="980"/>
    </row>
    <row r="681" spans="1:1" x14ac:dyDescent="0.35">
      <c r="A681" s="980"/>
    </row>
    <row r="682" spans="1:1" x14ac:dyDescent="0.35">
      <c r="A682" s="980"/>
    </row>
    <row r="683" spans="1:1" x14ac:dyDescent="0.35">
      <c r="A683" s="980"/>
    </row>
    <row r="684" spans="1:1" x14ac:dyDescent="0.35">
      <c r="A684" s="980"/>
    </row>
    <row r="685" spans="1:1" x14ac:dyDescent="0.35">
      <c r="A685" s="980"/>
    </row>
    <row r="686" spans="1:1" x14ac:dyDescent="0.35">
      <c r="A686" s="980"/>
    </row>
    <row r="687" spans="1:1" x14ac:dyDescent="0.35">
      <c r="A687" s="980"/>
    </row>
    <row r="688" spans="1:1" x14ac:dyDescent="0.35">
      <c r="A688" s="980"/>
    </row>
    <row r="689" spans="1:1" x14ac:dyDescent="0.35">
      <c r="A689" s="980"/>
    </row>
    <row r="690" spans="1:1" x14ac:dyDescent="0.35">
      <c r="A690" s="980"/>
    </row>
    <row r="691" spans="1:1" x14ac:dyDescent="0.35">
      <c r="A691" s="980"/>
    </row>
    <row r="692" spans="1:1" x14ac:dyDescent="0.35">
      <c r="A692" s="980"/>
    </row>
    <row r="693" spans="1:1" x14ac:dyDescent="0.35">
      <c r="A693" s="980"/>
    </row>
    <row r="694" spans="1:1" x14ac:dyDescent="0.35">
      <c r="A694" s="980"/>
    </row>
    <row r="695" spans="1:1" x14ac:dyDescent="0.35">
      <c r="A695" s="980"/>
    </row>
    <row r="696" spans="1:1" x14ac:dyDescent="0.35">
      <c r="A696" s="980"/>
    </row>
    <row r="697" spans="1:1" x14ac:dyDescent="0.35">
      <c r="A697" s="980"/>
    </row>
    <row r="698" spans="1:1" x14ac:dyDescent="0.35">
      <c r="A698" s="980"/>
    </row>
    <row r="699" spans="1:1" x14ac:dyDescent="0.35">
      <c r="A699" s="980"/>
    </row>
    <row r="700" spans="1:1" x14ac:dyDescent="0.35">
      <c r="A700" s="980"/>
    </row>
    <row r="701" spans="1:1" x14ac:dyDescent="0.35">
      <c r="A701" s="980"/>
    </row>
    <row r="702" spans="1:1" x14ac:dyDescent="0.35">
      <c r="A702" s="980"/>
    </row>
    <row r="703" spans="1:1" x14ac:dyDescent="0.35">
      <c r="A703" s="980"/>
    </row>
    <row r="704" spans="1:1" x14ac:dyDescent="0.35">
      <c r="A704" s="980"/>
    </row>
    <row r="705" spans="1:1" x14ac:dyDescent="0.35">
      <c r="A705" s="980"/>
    </row>
    <row r="706" spans="1:1" x14ac:dyDescent="0.35">
      <c r="A706" s="980"/>
    </row>
    <row r="707" spans="1:1" x14ac:dyDescent="0.35">
      <c r="A707" s="980"/>
    </row>
    <row r="708" spans="1:1" x14ac:dyDescent="0.35">
      <c r="A708" s="980"/>
    </row>
    <row r="709" spans="1:1" x14ac:dyDescent="0.35">
      <c r="A709" s="980"/>
    </row>
    <row r="710" spans="1:1" x14ac:dyDescent="0.35">
      <c r="A710" s="980"/>
    </row>
    <row r="711" spans="1:1" x14ac:dyDescent="0.35">
      <c r="A711" s="980"/>
    </row>
    <row r="712" spans="1:1" x14ac:dyDescent="0.35">
      <c r="A712" s="980"/>
    </row>
    <row r="713" spans="1:1" x14ac:dyDescent="0.35">
      <c r="A713" s="980"/>
    </row>
    <row r="714" spans="1:1" x14ac:dyDescent="0.35">
      <c r="A714" s="980"/>
    </row>
    <row r="715" spans="1:1" x14ac:dyDescent="0.35">
      <c r="A715" s="980"/>
    </row>
    <row r="716" spans="1:1" x14ac:dyDescent="0.35">
      <c r="A716" s="980"/>
    </row>
    <row r="717" spans="1:1" x14ac:dyDescent="0.35">
      <c r="A717" s="980"/>
    </row>
    <row r="718" spans="1:1" x14ac:dyDescent="0.35">
      <c r="A718" s="980"/>
    </row>
    <row r="719" spans="1:1" x14ac:dyDescent="0.35">
      <c r="A719" s="980"/>
    </row>
    <row r="720" spans="1:1" x14ac:dyDescent="0.35">
      <c r="A720" s="980"/>
    </row>
    <row r="721" spans="1:1" x14ac:dyDescent="0.35">
      <c r="A721" s="980"/>
    </row>
    <row r="722" spans="1:1" x14ac:dyDescent="0.35">
      <c r="A722" s="980"/>
    </row>
    <row r="723" spans="1:1" x14ac:dyDescent="0.35">
      <c r="A723" s="980"/>
    </row>
    <row r="724" spans="1:1" x14ac:dyDescent="0.35">
      <c r="A724" s="980"/>
    </row>
    <row r="725" spans="1:1" x14ac:dyDescent="0.35">
      <c r="A725" s="980"/>
    </row>
    <row r="726" spans="1:1" x14ac:dyDescent="0.35">
      <c r="A726" s="980"/>
    </row>
    <row r="727" spans="1:1" x14ac:dyDescent="0.35">
      <c r="A727" s="980"/>
    </row>
    <row r="728" spans="1:1" x14ac:dyDescent="0.35">
      <c r="A728" s="980"/>
    </row>
    <row r="729" spans="1:1" x14ac:dyDescent="0.35">
      <c r="A729" s="980"/>
    </row>
    <row r="730" spans="1:1" x14ac:dyDescent="0.35">
      <c r="A730" s="980"/>
    </row>
    <row r="731" spans="1:1" x14ac:dyDescent="0.35">
      <c r="A731" s="980"/>
    </row>
    <row r="732" spans="1:1" x14ac:dyDescent="0.35">
      <c r="A732" s="980"/>
    </row>
    <row r="733" spans="1:1" x14ac:dyDescent="0.35">
      <c r="A733" s="980"/>
    </row>
    <row r="734" spans="1:1" x14ac:dyDescent="0.35">
      <c r="A734" s="980"/>
    </row>
    <row r="735" spans="1:1" x14ac:dyDescent="0.35">
      <c r="A735" s="980"/>
    </row>
    <row r="736" spans="1:1" x14ac:dyDescent="0.35">
      <c r="A736" s="980"/>
    </row>
    <row r="737" spans="1:1" x14ac:dyDescent="0.35">
      <c r="A737" s="980"/>
    </row>
    <row r="738" spans="1:1" x14ac:dyDescent="0.35">
      <c r="A738" s="980"/>
    </row>
    <row r="739" spans="1:1" x14ac:dyDescent="0.35">
      <c r="A739" s="980"/>
    </row>
    <row r="740" spans="1:1" x14ac:dyDescent="0.35">
      <c r="A740" s="980"/>
    </row>
    <row r="741" spans="1:1" x14ac:dyDescent="0.35">
      <c r="A741" s="980"/>
    </row>
    <row r="742" spans="1:1" x14ac:dyDescent="0.35">
      <c r="A742" s="980"/>
    </row>
    <row r="743" spans="1:1" x14ac:dyDescent="0.35">
      <c r="A743" s="980"/>
    </row>
    <row r="744" spans="1:1" x14ac:dyDescent="0.35">
      <c r="A744" s="980"/>
    </row>
    <row r="745" spans="1:1" x14ac:dyDescent="0.35">
      <c r="A745" s="980"/>
    </row>
    <row r="746" spans="1:1" x14ac:dyDescent="0.35">
      <c r="A746" s="980"/>
    </row>
    <row r="747" spans="1:1" x14ac:dyDescent="0.35">
      <c r="A747" s="980"/>
    </row>
    <row r="748" spans="1:1" x14ac:dyDescent="0.35">
      <c r="A748" s="980"/>
    </row>
    <row r="749" spans="1:1" x14ac:dyDescent="0.35">
      <c r="A749" s="980"/>
    </row>
    <row r="750" spans="1:1" x14ac:dyDescent="0.35">
      <c r="A750" s="980"/>
    </row>
    <row r="751" spans="1:1" x14ac:dyDescent="0.35">
      <c r="A751" s="980"/>
    </row>
    <row r="752" spans="1:1" x14ac:dyDescent="0.35">
      <c r="A752" s="980"/>
    </row>
    <row r="753" spans="1:1" x14ac:dyDescent="0.35">
      <c r="A753" s="980"/>
    </row>
    <row r="754" spans="1:1" x14ac:dyDescent="0.35">
      <c r="A754" s="980"/>
    </row>
    <row r="755" spans="1:1" x14ac:dyDescent="0.35">
      <c r="A755" s="980"/>
    </row>
    <row r="756" spans="1:1" x14ac:dyDescent="0.35">
      <c r="A756" s="980"/>
    </row>
    <row r="757" spans="1:1" x14ac:dyDescent="0.35">
      <c r="A757" s="980"/>
    </row>
    <row r="758" spans="1:1" x14ac:dyDescent="0.35">
      <c r="A758" s="980"/>
    </row>
    <row r="759" spans="1:1" x14ac:dyDescent="0.35">
      <c r="A759" s="980"/>
    </row>
    <row r="760" spans="1:1" x14ac:dyDescent="0.35">
      <c r="A760" s="980"/>
    </row>
    <row r="761" spans="1:1" x14ac:dyDescent="0.35">
      <c r="A761" s="980"/>
    </row>
    <row r="762" spans="1:1" x14ac:dyDescent="0.35">
      <c r="A762" s="980"/>
    </row>
    <row r="763" spans="1:1" x14ac:dyDescent="0.35">
      <c r="A763" s="980"/>
    </row>
    <row r="764" spans="1:1" x14ac:dyDescent="0.35">
      <c r="A764" s="980"/>
    </row>
    <row r="765" spans="1:1" x14ac:dyDescent="0.35">
      <c r="A765" s="980"/>
    </row>
    <row r="766" spans="1:1" x14ac:dyDescent="0.35">
      <c r="A766" s="980"/>
    </row>
    <row r="767" spans="1:1" x14ac:dyDescent="0.35">
      <c r="A767" s="980"/>
    </row>
    <row r="768" spans="1:1" x14ac:dyDescent="0.35">
      <c r="A768" s="980"/>
    </row>
    <row r="769" spans="1:1" x14ac:dyDescent="0.35">
      <c r="A769" s="980"/>
    </row>
    <row r="770" spans="1:1" x14ac:dyDescent="0.35">
      <c r="A770" s="980"/>
    </row>
    <row r="771" spans="1:1" x14ac:dyDescent="0.35">
      <c r="A771" s="980"/>
    </row>
    <row r="772" spans="1:1" x14ac:dyDescent="0.35">
      <c r="A772" s="980"/>
    </row>
    <row r="773" spans="1:1" x14ac:dyDescent="0.35">
      <c r="A773" s="980"/>
    </row>
    <row r="774" spans="1:1" x14ac:dyDescent="0.35">
      <c r="A774" s="980"/>
    </row>
    <row r="775" spans="1:1" x14ac:dyDescent="0.35">
      <c r="A775" s="980"/>
    </row>
    <row r="776" spans="1:1" x14ac:dyDescent="0.35">
      <c r="A776" s="980"/>
    </row>
    <row r="777" spans="1:1" x14ac:dyDescent="0.35">
      <c r="A777" s="980"/>
    </row>
    <row r="778" spans="1:1" x14ac:dyDescent="0.35">
      <c r="A778" s="980"/>
    </row>
    <row r="779" spans="1:1" x14ac:dyDescent="0.35">
      <c r="A779" s="980"/>
    </row>
    <row r="780" spans="1:1" x14ac:dyDescent="0.35">
      <c r="A780" s="980"/>
    </row>
    <row r="781" spans="1:1" x14ac:dyDescent="0.35">
      <c r="A781" s="980"/>
    </row>
    <row r="782" spans="1:1" x14ac:dyDescent="0.35">
      <c r="A782" s="980"/>
    </row>
    <row r="783" spans="1:1" x14ac:dyDescent="0.35">
      <c r="A783" s="980"/>
    </row>
    <row r="784" spans="1:1" x14ac:dyDescent="0.35">
      <c r="A784" s="980"/>
    </row>
    <row r="785" spans="1:1" x14ac:dyDescent="0.35">
      <c r="A785" s="980"/>
    </row>
    <row r="786" spans="1:1" x14ac:dyDescent="0.35">
      <c r="A786" s="980"/>
    </row>
    <row r="787" spans="1:1" x14ac:dyDescent="0.35">
      <c r="A787" s="980"/>
    </row>
    <row r="788" spans="1:1" x14ac:dyDescent="0.35">
      <c r="A788" s="980"/>
    </row>
    <row r="789" spans="1:1" x14ac:dyDescent="0.35">
      <c r="A789" s="980"/>
    </row>
    <row r="790" spans="1:1" x14ac:dyDescent="0.35">
      <c r="A790" s="980"/>
    </row>
    <row r="791" spans="1:1" x14ac:dyDescent="0.35">
      <c r="A791" s="980"/>
    </row>
    <row r="792" spans="1:1" x14ac:dyDescent="0.35">
      <c r="A792" s="980"/>
    </row>
    <row r="793" spans="1:1" x14ac:dyDescent="0.35">
      <c r="A793" s="980"/>
    </row>
    <row r="794" spans="1:1" x14ac:dyDescent="0.35">
      <c r="A794" s="980"/>
    </row>
    <row r="795" spans="1:1" x14ac:dyDescent="0.35">
      <c r="A795" s="980"/>
    </row>
    <row r="796" spans="1:1" x14ac:dyDescent="0.35">
      <c r="A796" s="980"/>
    </row>
    <row r="797" spans="1:1" x14ac:dyDescent="0.35">
      <c r="A797" s="980"/>
    </row>
    <row r="798" spans="1:1" x14ac:dyDescent="0.35">
      <c r="A798" s="980"/>
    </row>
    <row r="799" spans="1:1" x14ac:dyDescent="0.35">
      <c r="A799" s="980"/>
    </row>
    <row r="800" spans="1:1" x14ac:dyDescent="0.35">
      <c r="A800" s="980"/>
    </row>
    <row r="801" spans="1:1" x14ac:dyDescent="0.35">
      <c r="A801" s="980"/>
    </row>
    <row r="802" spans="1:1" x14ac:dyDescent="0.35">
      <c r="A802" s="980"/>
    </row>
    <row r="803" spans="1:1" x14ac:dyDescent="0.35">
      <c r="A803" s="980"/>
    </row>
    <row r="804" spans="1:1" x14ac:dyDescent="0.35">
      <c r="A804" s="980"/>
    </row>
    <row r="805" spans="1:1" x14ac:dyDescent="0.35">
      <c r="A805" s="980"/>
    </row>
    <row r="806" spans="1:1" x14ac:dyDescent="0.35">
      <c r="A806" s="980"/>
    </row>
    <row r="807" spans="1:1" x14ac:dyDescent="0.35">
      <c r="A807" s="980"/>
    </row>
    <row r="808" spans="1:1" x14ac:dyDescent="0.35">
      <c r="A808" s="980"/>
    </row>
    <row r="809" spans="1:1" x14ac:dyDescent="0.35">
      <c r="A809" s="980"/>
    </row>
    <row r="810" spans="1:1" x14ac:dyDescent="0.35">
      <c r="A810" s="980"/>
    </row>
    <row r="811" spans="1:1" x14ac:dyDescent="0.35">
      <c r="A811" s="980"/>
    </row>
    <row r="812" spans="1:1" x14ac:dyDescent="0.35">
      <c r="A812" s="980"/>
    </row>
    <row r="813" spans="1:1" x14ac:dyDescent="0.35">
      <c r="A813" s="980"/>
    </row>
    <row r="814" spans="1:1" x14ac:dyDescent="0.35">
      <c r="A814" s="980"/>
    </row>
    <row r="815" spans="1:1" x14ac:dyDescent="0.35">
      <c r="A815" s="980"/>
    </row>
    <row r="816" spans="1:1" x14ac:dyDescent="0.35">
      <c r="A816" s="980"/>
    </row>
    <row r="817" spans="1:1" x14ac:dyDescent="0.35">
      <c r="A817" s="980"/>
    </row>
    <row r="818" spans="1:1" x14ac:dyDescent="0.35">
      <c r="A818" s="980"/>
    </row>
    <row r="819" spans="1:1" x14ac:dyDescent="0.35">
      <c r="A819" s="980"/>
    </row>
    <row r="820" spans="1:1" x14ac:dyDescent="0.35">
      <c r="A820" s="980"/>
    </row>
    <row r="821" spans="1:1" x14ac:dyDescent="0.35">
      <c r="A821" s="980"/>
    </row>
    <row r="822" spans="1:1" x14ac:dyDescent="0.35">
      <c r="A822" s="980"/>
    </row>
    <row r="823" spans="1:1" x14ac:dyDescent="0.35">
      <c r="A823" s="980"/>
    </row>
    <row r="824" spans="1:1" x14ac:dyDescent="0.35">
      <c r="A824" s="980"/>
    </row>
    <row r="825" spans="1:1" x14ac:dyDescent="0.35">
      <c r="A825" s="980"/>
    </row>
    <row r="826" spans="1:1" x14ac:dyDescent="0.35">
      <c r="A826" s="980"/>
    </row>
    <row r="827" spans="1:1" x14ac:dyDescent="0.35">
      <c r="A827" s="980"/>
    </row>
    <row r="828" spans="1:1" x14ac:dyDescent="0.35">
      <c r="A828" s="980"/>
    </row>
    <row r="829" spans="1:1" x14ac:dyDescent="0.35">
      <c r="A829" s="980"/>
    </row>
    <row r="830" spans="1:1" x14ac:dyDescent="0.35">
      <c r="A830" s="980"/>
    </row>
    <row r="831" spans="1:1" x14ac:dyDescent="0.35">
      <c r="A831" s="980"/>
    </row>
    <row r="832" spans="1:1" x14ac:dyDescent="0.35">
      <c r="A832" s="980"/>
    </row>
    <row r="833" spans="1:1" x14ac:dyDescent="0.35">
      <c r="A833" s="980"/>
    </row>
    <row r="834" spans="1:1" x14ac:dyDescent="0.35">
      <c r="A834" s="980"/>
    </row>
    <row r="835" spans="1:1" x14ac:dyDescent="0.35">
      <c r="A835" s="980"/>
    </row>
    <row r="836" spans="1:1" x14ac:dyDescent="0.35">
      <c r="A836" s="980"/>
    </row>
    <row r="837" spans="1:1" x14ac:dyDescent="0.35">
      <c r="A837" s="980"/>
    </row>
    <row r="838" spans="1:1" x14ac:dyDescent="0.35">
      <c r="A838" s="980"/>
    </row>
    <row r="839" spans="1:1" x14ac:dyDescent="0.35">
      <c r="A839" s="980"/>
    </row>
    <row r="840" spans="1:1" x14ac:dyDescent="0.35">
      <c r="A840" s="980"/>
    </row>
    <row r="841" spans="1:1" x14ac:dyDescent="0.35">
      <c r="A841" s="980"/>
    </row>
    <row r="842" spans="1:1" x14ac:dyDescent="0.35">
      <c r="A842" s="980"/>
    </row>
    <row r="843" spans="1:1" x14ac:dyDescent="0.35">
      <c r="A843" s="980"/>
    </row>
    <row r="844" spans="1:1" x14ac:dyDescent="0.35">
      <c r="A844" s="980"/>
    </row>
    <row r="845" spans="1:1" x14ac:dyDescent="0.35">
      <c r="A845" s="980"/>
    </row>
    <row r="846" spans="1:1" x14ac:dyDescent="0.35">
      <c r="A846" s="980"/>
    </row>
    <row r="847" spans="1:1" x14ac:dyDescent="0.35">
      <c r="A847" s="980"/>
    </row>
    <row r="848" spans="1:1" x14ac:dyDescent="0.35">
      <c r="A848" s="980"/>
    </row>
    <row r="849" spans="1:1" x14ac:dyDescent="0.35">
      <c r="A849" s="980"/>
    </row>
    <row r="850" spans="1:1" x14ac:dyDescent="0.35">
      <c r="A850" s="980"/>
    </row>
    <row r="851" spans="1:1" x14ac:dyDescent="0.35">
      <c r="A851" s="980"/>
    </row>
    <row r="852" spans="1:1" x14ac:dyDescent="0.35">
      <c r="A852" s="980"/>
    </row>
    <row r="853" spans="1:1" x14ac:dyDescent="0.35">
      <c r="A853" s="980"/>
    </row>
    <row r="854" spans="1:1" x14ac:dyDescent="0.35">
      <c r="A854" s="980"/>
    </row>
    <row r="855" spans="1:1" x14ac:dyDescent="0.35">
      <c r="A855" s="980"/>
    </row>
    <row r="856" spans="1:1" x14ac:dyDescent="0.35">
      <c r="A856" s="980"/>
    </row>
    <row r="857" spans="1:1" x14ac:dyDescent="0.35">
      <c r="A857" s="980"/>
    </row>
    <row r="858" spans="1:1" x14ac:dyDescent="0.35">
      <c r="A858" s="980"/>
    </row>
    <row r="859" spans="1:1" x14ac:dyDescent="0.35">
      <c r="A859" s="980"/>
    </row>
    <row r="860" spans="1:1" x14ac:dyDescent="0.35">
      <c r="A860" s="980"/>
    </row>
    <row r="861" spans="1:1" x14ac:dyDescent="0.35">
      <c r="A861" s="980"/>
    </row>
    <row r="862" spans="1:1" x14ac:dyDescent="0.35">
      <c r="A862" s="980"/>
    </row>
    <row r="863" spans="1:1" x14ac:dyDescent="0.35">
      <c r="A863" s="980"/>
    </row>
    <row r="864" spans="1:1" x14ac:dyDescent="0.35">
      <c r="A864" s="980"/>
    </row>
    <row r="865" spans="1:1" x14ac:dyDescent="0.35">
      <c r="A865" s="980"/>
    </row>
    <row r="866" spans="1:1" x14ac:dyDescent="0.35">
      <c r="A866" s="980"/>
    </row>
    <row r="867" spans="1:1" x14ac:dyDescent="0.35">
      <c r="A867" s="980"/>
    </row>
    <row r="868" spans="1:1" x14ac:dyDescent="0.35">
      <c r="A868" s="980"/>
    </row>
    <row r="869" spans="1:1" x14ac:dyDescent="0.35">
      <c r="A869" s="980"/>
    </row>
    <row r="870" spans="1:1" x14ac:dyDescent="0.35">
      <c r="A870" s="980"/>
    </row>
    <row r="871" spans="1:1" x14ac:dyDescent="0.35">
      <c r="A871" s="980"/>
    </row>
    <row r="872" spans="1:1" x14ac:dyDescent="0.35">
      <c r="A872" s="980"/>
    </row>
    <row r="873" spans="1:1" x14ac:dyDescent="0.35">
      <c r="A873" s="980"/>
    </row>
    <row r="874" spans="1:1" x14ac:dyDescent="0.35">
      <c r="A874" s="980"/>
    </row>
    <row r="875" spans="1:1" x14ac:dyDescent="0.35">
      <c r="A875" s="980"/>
    </row>
    <row r="876" spans="1:1" x14ac:dyDescent="0.35">
      <c r="A876" s="980"/>
    </row>
    <row r="877" spans="1:1" x14ac:dyDescent="0.35">
      <c r="A877" s="980"/>
    </row>
    <row r="878" spans="1:1" x14ac:dyDescent="0.35">
      <c r="A878" s="980"/>
    </row>
    <row r="879" spans="1:1" x14ac:dyDescent="0.35">
      <c r="A879" s="980"/>
    </row>
    <row r="880" spans="1:1" x14ac:dyDescent="0.35">
      <c r="A880" s="980"/>
    </row>
    <row r="881" spans="1:1" x14ac:dyDescent="0.35">
      <c r="A881" s="980"/>
    </row>
    <row r="882" spans="1:1" x14ac:dyDescent="0.35">
      <c r="A882" s="980"/>
    </row>
    <row r="883" spans="1:1" x14ac:dyDescent="0.35">
      <c r="A883" s="980"/>
    </row>
    <row r="884" spans="1:1" x14ac:dyDescent="0.35">
      <c r="A884" s="980"/>
    </row>
    <row r="885" spans="1:1" x14ac:dyDescent="0.35">
      <c r="A885" s="980"/>
    </row>
    <row r="886" spans="1:1" x14ac:dyDescent="0.35">
      <c r="A886" s="980"/>
    </row>
    <row r="887" spans="1:1" x14ac:dyDescent="0.35">
      <c r="A887" s="980"/>
    </row>
    <row r="888" spans="1:1" x14ac:dyDescent="0.35">
      <c r="A888" s="980"/>
    </row>
    <row r="889" spans="1:1" x14ac:dyDescent="0.35">
      <c r="A889" s="980"/>
    </row>
    <row r="890" spans="1:1" x14ac:dyDescent="0.35">
      <c r="A890" s="980"/>
    </row>
    <row r="891" spans="1:1" x14ac:dyDescent="0.35">
      <c r="A891" s="980"/>
    </row>
    <row r="892" spans="1:1" x14ac:dyDescent="0.35">
      <c r="A892" s="980"/>
    </row>
    <row r="893" spans="1:1" x14ac:dyDescent="0.35">
      <c r="A893" s="980"/>
    </row>
    <row r="894" spans="1:1" x14ac:dyDescent="0.35">
      <c r="A894" s="980"/>
    </row>
    <row r="895" spans="1:1" x14ac:dyDescent="0.35">
      <c r="A895" s="980"/>
    </row>
    <row r="896" spans="1:1" x14ac:dyDescent="0.35">
      <c r="A896" s="980"/>
    </row>
    <row r="897" spans="1:1" x14ac:dyDescent="0.35">
      <c r="A897" s="980"/>
    </row>
    <row r="898" spans="1:1" x14ac:dyDescent="0.35">
      <c r="A898" s="980"/>
    </row>
    <row r="899" spans="1:1" x14ac:dyDescent="0.35">
      <c r="A899" s="980"/>
    </row>
    <row r="900" spans="1:1" x14ac:dyDescent="0.35">
      <c r="A900" s="980"/>
    </row>
    <row r="901" spans="1:1" x14ac:dyDescent="0.35">
      <c r="A901" s="980"/>
    </row>
    <row r="902" spans="1:1" x14ac:dyDescent="0.35">
      <c r="A902" s="980"/>
    </row>
    <row r="903" spans="1:1" x14ac:dyDescent="0.35">
      <c r="A903" s="980"/>
    </row>
    <row r="904" spans="1:1" x14ac:dyDescent="0.35">
      <c r="A904" s="980"/>
    </row>
    <row r="905" spans="1:1" x14ac:dyDescent="0.35">
      <c r="A905" s="980"/>
    </row>
    <row r="906" spans="1:1" x14ac:dyDescent="0.35">
      <c r="A906" s="980"/>
    </row>
    <row r="907" spans="1:1" x14ac:dyDescent="0.35">
      <c r="A907" s="980"/>
    </row>
    <row r="908" spans="1:1" x14ac:dyDescent="0.35">
      <c r="A908" s="980"/>
    </row>
    <row r="909" spans="1:1" x14ac:dyDescent="0.35">
      <c r="A909" s="980"/>
    </row>
    <row r="910" spans="1:1" x14ac:dyDescent="0.35">
      <c r="A910" s="980"/>
    </row>
    <row r="911" spans="1:1" x14ac:dyDescent="0.35">
      <c r="A911" s="980"/>
    </row>
    <row r="912" spans="1:1" x14ac:dyDescent="0.35">
      <c r="A912" s="980"/>
    </row>
    <row r="913" spans="1:1" x14ac:dyDescent="0.35">
      <c r="A913" s="980"/>
    </row>
    <row r="914" spans="1:1" x14ac:dyDescent="0.35">
      <c r="A914" s="980"/>
    </row>
    <row r="915" spans="1:1" x14ac:dyDescent="0.35">
      <c r="A915" s="980"/>
    </row>
    <row r="916" spans="1:1" x14ac:dyDescent="0.35">
      <c r="A916" s="980"/>
    </row>
    <row r="917" spans="1:1" x14ac:dyDescent="0.35">
      <c r="A917" s="980"/>
    </row>
    <row r="918" spans="1:1" x14ac:dyDescent="0.35">
      <c r="A918" s="980"/>
    </row>
    <row r="919" spans="1:1" x14ac:dyDescent="0.35">
      <c r="A919" s="980"/>
    </row>
    <row r="920" spans="1:1" x14ac:dyDescent="0.35">
      <c r="A920" s="980"/>
    </row>
    <row r="921" spans="1:1" x14ac:dyDescent="0.35">
      <c r="A921" s="980"/>
    </row>
    <row r="922" spans="1:1" x14ac:dyDescent="0.35">
      <c r="A922" s="980"/>
    </row>
    <row r="923" spans="1:1" x14ac:dyDescent="0.35">
      <c r="A923" s="980"/>
    </row>
    <row r="924" spans="1:1" x14ac:dyDescent="0.35">
      <c r="A924" s="980"/>
    </row>
    <row r="925" spans="1:1" x14ac:dyDescent="0.35">
      <c r="A925" s="980"/>
    </row>
    <row r="926" spans="1:1" x14ac:dyDescent="0.35">
      <c r="A926" s="980"/>
    </row>
    <row r="927" spans="1:1" x14ac:dyDescent="0.35">
      <c r="A927" s="980"/>
    </row>
    <row r="928" spans="1:1" x14ac:dyDescent="0.35">
      <c r="A928" s="980"/>
    </row>
    <row r="929" spans="1:1" x14ac:dyDescent="0.35">
      <c r="A929" s="980"/>
    </row>
    <row r="930" spans="1:1" x14ac:dyDescent="0.35">
      <c r="A930" s="980"/>
    </row>
    <row r="931" spans="1:1" x14ac:dyDescent="0.35">
      <c r="A931" s="980"/>
    </row>
    <row r="932" spans="1:1" x14ac:dyDescent="0.35">
      <c r="A932" s="980"/>
    </row>
    <row r="933" spans="1:1" x14ac:dyDescent="0.35">
      <c r="A933" s="980"/>
    </row>
    <row r="934" spans="1:1" x14ac:dyDescent="0.35">
      <c r="A934" s="980"/>
    </row>
    <row r="935" spans="1:1" x14ac:dyDescent="0.35">
      <c r="A935" s="980"/>
    </row>
    <row r="936" spans="1:1" x14ac:dyDescent="0.35">
      <c r="A936" s="980"/>
    </row>
    <row r="937" spans="1:1" x14ac:dyDescent="0.35">
      <c r="A937" s="980"/>
    </row>
    <row r="938" spans="1:1" x14ac:dyDescent="0.35">
      <c r="A938" s="980"/>
    </row>
    <row r="939" spans="1:1" x14ac:dyDescent="0.35">
      <c r="A939" s="980"/>
    </row>
    <row r="940" spans="1:1" x14ac:dyDescent="0.35">
      <c r="A940" s="980"/>
    </row>
    <row r="941" spans="1:1" x14ac:dyDescent="0.35">
      <c r="A941" s="980"/>
    </row>
    <row r="942" spans="1:1" x14ac:dyDescent="0.35">
      <c r="A942" s="980"/>
    </row>
    <row r="943" spans="1:1" x14ac:dyDescent="0.35">
      <c r="A943" s="980"/>
    </row>
    <row r="944" spans="1:1" x14ac:dyDescent="0.35">
      <c r="A944" s="980"/>
    </row>
    <row r="945" spans="1:1" x14ac:dyDescent="0.35">
      <c r="A945" s="980"/>
    </row>
    <row r="946" spans="1:1" x14ac:dyDescent="0.35">
      <c r="A946" s="980"/>
    </row>
    <row r="947" spans="1:1" x14ac:dyDescent="0.35">
      <c r="A947" s="980"/>
    </row>
    <row r="948" spans="1:1" x14ac:dyDescent="0.35">
      <c r="A948" s="980"/>
    </row>
    <row r="949" spans="1:1" x14ac:dyDescent="0.35">
      <c r="A949" s="980"/>
    </row>
    <row r="950" spans="1:1" x14ac:dyDescent="0.35">
      <c r="A950" s="980"/>
    </row>
    <row r="951" spans="1:1" x14ac:dyDescent="0.35">
      <c r="A951" s="980"/>
    </row>
    <row r="952" spans="1:1" x14ac:dyDescent="0.35">
      <c r="A952" s="980"/>
    </row>
    <row r="953" spans="1:1" x14ac:dyDescent="0.35">
      <c r="A953" s="980"/>
    </row>
    <row r="954" spans="1:1" x14ac:dyDescent="0.35">
      <c r="A954" s="980"/>
    </row>
    <row r="955" spans="1:1" x14ac:dyDescent="0.35">
      <c r="A955" s="980"/>
    </row>
    <row r="956" spans="1:1" x14ac:dyDescent="0.35">
      <c r="A956" s="980"/>
    </row>
    <row r="957" spans="1:1" x14ac:dyDescent="0.35">
      <c r="A957" s="980"/>
    </row>
    <row r="958" spans="1:1" x14ac:dyDescent="0.35">
      <c r="A958" s="980"/>
    </row>
    <row r="959" spans="1:1" x14ac:dyDescent="0.35">
      <c r="A959" s="980"/>
    </row>
    <row r="960" spans="1:1" x14ac:dyDescent="0.35">
      <c r="A960" s="980"/>
    </row>
    <row r="961" spans="1:1" x14ac:dyDescent="0.35">
      <c r="A961" s="980"/>
    </row>
    <row r="962" spans="1:1" x14ac:dyDescent="0.35">
      <c r="A962" s="980"/>
    </row>
    <row r="963" spans="1:1" x14ac:dyDescent="0.35">
      <c r="A963" s="980"/>
    </row>
    <row r="964" spans="1:1" x14ac:dyDescent="0.35">
      <c r="A964" s="980"/>
    </row>
    <row r="965" spans="1:1" x14ac:dyDescent="0.35">
      <c r="A965" s="980"/>
    </row>
    <row r="966" spans="1:1" x14ac:dyDescent="0.35">
      <c r="A966" s="980"/>
    </row>
    <row r="967" spans="1:1" x14ac:dyDescent="0.35">
      <c r="A967" s="980"/>
    </row>
    <row r="968" spans="1:1" x14ac:dyDescent="0.35">
      <c r="A968" s="980"/>
    </row>
    <row r="969" spans="1:1" x14ac:dyDescent="0.35">
      <c r="A969" s="980"/>
    </row>
    <row r="970" spans="1:1" x14ac:dyDescent="0.35">
      <c r="A970" s="980"/>
    </row>
    <row r="971" spans="1:1" x14ac:dyDescent="0.35">
      <c r="A971" s="980"/>
    </row>
    <row r="972" spans="1:1" x14ac:dyDescent="0.35">
      <c r="A972" s="980"/>
    </row>
    <row r="973" spans="1:1" x14ac:dyDescent="0.35">
      <c r="A973" s="980"/>
    </row>
    <row r="974" spans="1:1" x14ac:dyDescent="0.35">
      <c r="A974" s="980"/>
    </row>
    <row r="975" spans="1:1" x14ac:dyDescent="0.35">
      <c r="A975" s="980"/>
    </row>
    <row r="976" spans="1:1" x14ac:dyDescent="0.35">
      <c r="A976" s="980"/>
    </row>
    <row r="977" spans="1:1" x14ac:dyDescent="0.35">
      <c r="A977" s="980"/>
    </row>
    <row r="978" spans="1:1" x14ac:dyDescent="0.35">
      <c r="A978" s="980"/>
    </row>
    <row r="979" spans="1:1" x14ac:dyDescent="0.35">
      <c r="A979" s="980"/>
    </row>
    <row r="980" spans="1:1" x14ac:dyDescent="0.35">
      <c r="A980" s="980"/>
    </row>
    <row r="981" spans="1:1" x14ac:dyDescent="0.35">
      <c r="A981" s="980"/>
    </row>
    <row r="982" spans="1:1" x14ac:dyDescent="0.35">
      <c r="A982" s="980"/>
    </row>
    <row r="983" spans="1:1" x14ac:dyDescent="0.35">
      <c r="A983" s="980"/>
    </row>
    <row r="984" spans="1:1" x14ac:dyDescent="0.35">
      <c r="A984" s="980"/>
    </row>
    <row r="985" spans="1:1" x14ac:dyDescent="0.35">
      <c r="A985" s="980"/>
    </row>
    <row r="986" spans="1:1" x14ac:dyDescent="0.35">
      <c r="A986" s="980"/>
    </row>
    <row r="987" spans="1:1" x14ac:dyDescent="0.35">
      <c r="A987" s="980"/>
    </row>
    <row r="988" spans="1:1" x14ac:dyDescent="0.35">
      <c r="A988" s="980"/>
    </row>
    <row r="989" spans="1:1" x14ac:dyDescent="0.35">
      <c r="A989" s="980"/>
    </row>
    <row r="990" spans="1:1" x14ac:dyDescent="0.35">
      <c r="A990" s="980"/>
    </row>
    <row r="991" spans="1:1" x14ac:dyDescent="0.35">
      <c r="A991" s="980"/>
    </row>
    <row r="992" spans="1:1" x14ac:dyDescent="0.35">
      <c r="A992" s="980"/>
    </row>
    <row r="993" spans="1:1" x14ac:dyDescent="0.35">
      <c r="A993" s="980"/>
    </row>
    <row r="994" spans="1:1" x14ac:dyDescent="0.35">
      <c r="A994" s="980"/>
    </row>
    <row r="995" spans="1:1" x14ac:dyDescent="0.35">
      <c r="A995" s="980"/>
    </row>
    <row r="996" spans="1:1" x14ac:dyDescent="0.35">
      <c r="A996" s="980"/>
    </row>
    <row r="997" spans="1:1" x14ac:dyDescent="0.35">
      <c r="A997" s="980"/>
    </row>
    <row r="998" spans="1:1" x14ac:dyDescent="0.35">
      <c r="A998" s="980"/>
    </row>
    <row r="999" spans="1:1" x14ac:dyDescent="0.35">
      <c r="A999" s="980"/>
    </row>
    <row r="1000" spans="1:1" x14ac:dyDescent="0.35">
      <c r="A1000" s="980"/>
    </row>
    <row r="1001" spans="1:1" x14ac:dyDescent="0.35">
      <c r="A1001" s="980"/>
    </row>
    <row r="1002" spans="1:1" x14ac:dyDescent="0.35">
      <c r="A1002" s="980"/>
    </row>
    <row r="1003" spans="1:1" x14ac:dyDescent="0.35">
      <c r="A1003" s="980"/>
    </row>
    <row r="1004" spans="1:1" x14ac:dyDescent="0.35">
      <c r="A1004" s="980"/>
    </row>
    <row r="1005" spans="1:1" x14ac:dyDescent="0.35">
      <c r="A1005" s="980"/>
    </row>
    <row r="1006" spans="1:1" x14ac:dyDescent="0.35">
      <c r="A1006" s="980"/>
    </row>
    <row r="1007" spans="1:1" x14ac:dyDescent="0.35">
      <c r="A1007" s="980"/>
    </row>
    <row r="1008" spans="1:1" x14ac:dyDescent="0.35">
      <c r="A1008" s="980"/>
    </row>
    <row r="1009" spans="1:1" x14ac:dyDescent="0.35">
      <c r="A1009" s="980"/>
    </row>
    <row r="1010" spans="1:1" x14ac:dyDescent="0.35">
      <c r="A1010" s="980"/>
    </row>
    <row r="1011" spans="1:1" x14ac:dyDescent="0.35">
      <c r="A1011" s="980"/>
    </row>
    <row r="1012" spans="1:1" x14ac:dyDescent="0.35">
      <c r="A1012" s="980"/>
    </row>
    <row r="1013" spans="1:1" x14ac:dyDescent="0.35">
      <c r="A1013" s="980"/>
    </row>
    <row r="1014" spans="1:1" x14ac:dyDescent="0.35">
      <c r="A1014" s="980"/>
    </row>
    <row r="1015" spans="1:1" x14ac:dyDescent="0.35">
      <c r="A1015" s="980"/>
    </row>
    <row r="1016" spans="1:1" x14ac:dyDescent="0.35">
      <c r="A1016" s="980"/>
    </row>
    <row r="1017" spans="1:1" x14ac:dyDescent="0.35">
      <c r="A1017" s="980"/>
    </row>
    <row r="1018" spans="1:1" x14ac:dyDescent="0.35">
      <c r="A1018" s="980"/>
    </row>
    <row r="1019" spans="1:1" x14ac:dyDescent="0.35">
      <c r="A1019" s="980"/>
    </row>
    <row r="1020" spans="1:1" x14ac:dyDescent="0.35">
      <c r="A1020" s="980"/>
    </row>
    <row r="1021" spans="1:1" x14ac:dyDescent="0.35">
      <c r="A1021" s="980"/>
    </row>
    <row r="1022" spans="1:1" x14ac:dyDescent="0.35">
      <c r="A1022" s="980"/>
    </row>
    <row r="1023" spans="1:1" x14ac:dyDescent="0.35">
      <c r="A1023" s="980"/>
    </row>
    <row r="1024" spans="1:1" x14ac:dyDescent="0.35">
      <c r="A1024" s="980"/>
    </row>
    <row r="1025" spans="1:1" x14ac:dyDescent="0.35">
      <c r="A1025" s="980"/>
    </row>
    <row r="1026" spans="1:1" x14ac:dyDescent="0.35">
      <c r="A1026" s="980"/>
    </row>
    <row r="1027" spans="1:1" x14ac:dyDescent="0.35">
      <c r="A1027" s="980"/>
    </row>
    <row r="1028" spans="1:1" x14ac:dyDescent="0.35">
      <c r="A1028" s="980"/>
    </row>
    <row r="1029" spans="1:1" x14ac:dyDescent="0.35">
      <c r="A1029" s="980"/>
    </row>
    <row r="1030" spans="1:1" x14ac:dyDescent="0.35">
      <c r="A1030" s="980"/>
    </row>
    <row r="1031" spans="1:1" x14ac:dyDescent="0.35">
      <c r="A1031" s="980"/>
    </row>
    <row r="1032" spans="1:1" x14ac:dyDescent="0.35">
      <c r="A1032" s="980"/>
    </row>
    <row r="1033" spans="1:1" x14ac:dyDescent="0.35">
      <c r="A1033" s="980"/>
    </row>
    <row r="1034" spans="1:1" x14ac:dyDescent="0.35">
      <c r="A1034" s="980"/>
    </row>
    <row r="1035" spans="1:1" x14ac:dyDescent="0.35">
      <c r="A1035" s="980"/>
    </row>
    <row r="1036" spans="1:1" x14ac:dyDescent="0.35">
      <c r="A1036" s="980"/>
    </row>
    <row r="1037" spans="1:1" x14ac:dyDescent="0.35">
      <c r="A1037" s="980"/>
    </row>
    <row r="1038" spans="1:1" x14ac:dyDescent="0.35">
      <c r="A1038" s="980"/>
    </row>
    <row r="1039" spans="1:1" x14ac:dyDescent="0.35">
      <c r="A1039" s="980"/>
    </row>
    <row r="1040" spans="1:1" x14ac:dyDescent="0.35">
      <c r="A1040" s="980"/>
    </row>
    <row r="1041" spans="1:1" x14ac:dyDescent="0.35">
      <c r="A1041" s="980"/>
    </row>
    <row r="1042" spans="1:1" x14ac:dyDescent="0.35">
      <c r="A1042" s="980"/>
    </row>
    <row r="1043" spans="1:1" x14ac:dyDescent="0.35">
      <c r="A1043" s="980"/>
    </row>
    <row r="1044" spans="1:1" x14ac:dyDescent="0.35">
      <c r="A1044" s="980"/>
    </row>
    <row r="1045" spans="1:1" x14ac:dyDescent="0.35">
      <c r="A1045" s="980"/>
    </row>
    <row r="1046" spans="1:1" x14ac:dyDescent="0.35">
      <c r="A1046" s="980"/>
    </row>
    <row r="1047" spans="1:1" x14ac:dyDescent="0.35">
      <c r="A1047" s="980"/>
    </row>
    <row r="1048" spans="1:1" x14ac:dyDescent="0.35">
      <c r="A1048" s="980"/>
    </row>
    <row r="1049" spans="1:1" x14ac:dyDescent="0.35">
      <c r="A1049" s="980"/>
    </row>
    <row r="1050" spans="1:1" x14ac:dyDescent="0.35">
      <c r="A1050" s="980"/>
    </row>
    <row r="1051" spans="1:1" x14ac:dyDescent="0.35">
      <c r="A1051" s="980"/>
    </row>
    <row r="1052" spans="1:1" x14ac:dyDescent="0.35">
      <c r="A1052" s="980"/>
    </row>
    <row r="1053" spans="1:1" x14ac:dyDescent="0.35">
      <c r="A1053" s="980"/>
    </row>
    <row r="1054" spans="1:1" x14ac:dyDescent="0.35">
      <c r="A1054" s="980"/>
    </row>
    <row r="1055" spans="1:1" x14ac:dyDescent="0.35">
      <c r="A1055" s="980"/>
    </row>
    <row r="1056" spans="1:1" x14ac:dyDescent="0.35">
      <c r="A1056" s="980"/>
    </row>
    <row r="1057" spans="1:1" x14ac:dyDescent="0.35">
      <c r="A1057" s="980"/>
    </row>
    <row r="1058" spans="1:1" x14ac:dyDescent="0.35">
      <c r="A1058" s="980"/>
    </row>
    <row r="1059" spans="1:1" x14ac:dyDescent="0.35">
      <c r="A1059" s="980"/>
    </row>
    <row r="1060" spans="1:1" x14ac:dyDescent="0.35">
      <c r="A1060" s="980"/>
    </row>
    <row r="1061" spans="1:1" x14ac:dyDescent="0.35">
      <c r="A1061" s="980"/>
    </row>
    <row r="1062" spans="1:1" x14ac:dyDescent="0.35">
      <c r="A1062" s="980"/>
    </row>
    <row r="1063" spans="1:1" x14ac:dyDescent="0.35">
      <c r="A1063" s="980"/>
    </row>
    <row r="1064" spans="1:1" x14ac:dyDescent="0.35">
      <c r="A1064" s="980"/>
    </row>
    <row r="1065" spans="1:1" x14ac:dyDescent="0.35">
      <c r="A1065" s="980"/>
    </row>
    <row r="1066" spans="1:1" x14ac:dyDescent="0.35">
      <c r="A1066" s="980"/>
    </row>
    <row r="1067" spans="1:1" x14ac:dyDescent="0.35">
      <c r="A1067" s="980"/>
    </row>
    <row r="1068" spans="1:1" x14ac:dyDescent="0.35">
      <c r="A1068" s="980"/>
    </row>
    <row r="1069" spans="1:1" x14ac:dyDescent="0.35">
      <c r="A1069" s="980"/>
    </row>
    <row r="1070" spans="1:1" x14ac:dyDescent="0.35">
      <c r="A1070" s="980"/>
    </row>
    <row r="1071" spans="1:1" x14ac:dyDescent="0.35">
      <c r="A1071" s="980"/>
    </row>
    <row r="1072" spans="1:1" x14ac:dyDescent="0.35">
      <c r="A1072" s="980"/>
    </row>
    <row r="1073" spans="1:1" x14ac:dyDescent="0.35">
      <c r="A1073" s="980"/>
    </row>
    <row r="1074" spans="1:1" x14ac:dyDescent="0.35">
      <c r="A1074" s="980"/>
    </row>
    <row r="1075" spans="1:1" x14ac:dyDescent="0.35">
      <c r="A1075" s="980"/>
    </row>
    <row r="1076" spans="1:1" x14ac:dyDescent="0.35">
      <c r="A1076" s="980"/>
    </row>
    <row r="1077" spans="1:1" x14ac:dyDescent="0.35">
      <c r="A1077" s="980"/>
    </row>
    <row r="1078" spans="1:1" x14ac:dyDescent="0.35">
      <c r="A1078" s="980"/>
    </row>
    <row r="1079" spans="1:1" x14ac:dyDescent="0.35">
      <c r="A1079" s="980"/>
    </row>
    <row r="1080" spans="1:1" x14ac:dyDescent="0.35">
      <c r="A1080" s="980"/>
    </row>
    <row r="1081" spans="1:1" x14ac:dyDescent="0.35">
      <c r="A1081" s="980"/>
    </row>
    <row r="1082" spans="1:1" x14ac:dyDescent="0.35">
      <c r="A1082" s="980"/>
    </row>
    <row r="1083" spans="1:1" x14ac:dyDescent="0.35">
      <c r="A1083" s="980"/>
    </row>
    <row r="1084" spans="1:1" x14ac:dyDescent="0.35">
      <c r="A1084" s="980"/>
    </row>
    <row r="1085" spans="1:1" x14ac:dyDescent="0.35">
      <c r="A1085" s="980"/>
    </row>
    <row r="1086" spans="1:1" x14ac:dyDescent="0.35">
      <c r="A1086" s="980"/>
    </row>
    <row r="1087" spans="1:1" x14ac:dyDescent="0.35">
      <c r="A1087" s="980"/>
    </row>
    <row r="1088" spans="1:1" x14ac:dyDescent="0.35">
      <c r="A1088" s="980"/>
    </row>
    <row r="1089" spans="1:1" x14ac:dyDescent="0.35">
      <c r="A1089" s="980"/>
    </row>
    <row r="1090" spans="1:1" x14ac:dyDescent="0.35">
      <c r="A1090" s="980"/>
    </row>
    <row r="1091" spans="1:1" x14ac:dyDescent="0.35">
      <c r="A1091" s="980"/>
    </row>
    <row r="1092" spans="1:1" x14ac:dyDescent="0.35">
      <c r="A1092" s="980"/>
    </row>
    <row r="1093" spans="1:1" x14ac:dyDescent="0.35">
      <c r="A1093" s="980"/>
    </row>
    <row r="1094" spans="1:1" x14ac:dyDescent="0.35">
      <c r="A1094" s="980"/>
    </row>
    <row r="1095" spans="1:1" x14ac:dyDescent="0.35">
      <c r="A1095" s="980"/>
    </row>
    <row r="1096" spans="1:1" x14ac:dyDescent="0.35">
      <c r="A1096" s="980"/>
    </row>
    <row r="1097" spans="1:1" x14ac:dyDescent="0.35">
      <c r="A1097" s="980"/>
    </row>
    <row r="1098" spans="1:1" x14ac:dyDescent="0.35">
      <c r="A1098" s="980"/>
    </row>
    <row r="1099" spans="1:1" x14ac:dyDescent="0.35">
      <c r="A1099" s="980"/>
    </row>
    <row r="1100" spans="1:1" x14ac:dyDescent="0.35">
      <c r="A1100" s="980"/>
    </row>
    <row r="1101" spans="1:1" x14ac:dyDescent="0.35">
      <c r="A1101" s="980"/>
    </row>
    <row r="1102" spans="1:1" x14ac:dyDescent="0.35">
      <c r="A1102" s="980"/>
    </row>
    <row r="1103" spans="1:1" x14ac:dyDescent="0.35">
      <c r="A1103" s="980"/>
    </row>
    <row r="1104" spans="1:1" x14ac:dyDescent="0.35">
      <c r="A1104" s="980"/>
    </row>
    <row r="1105" spans="1:1" x14ac:dyDescent="0.35">
      <c r="A1105" s="980"/>
    </row>
    <row r="1106" spans="1:1" x14ac:dyDescent="0.35">
      <c r="A1106" s="980"/>
    </row>
    <row r="1107" spans="1:1" x14ac:dyDescent="0.35">
      <c r="A1107" s="980"/>
    </row>
    <row r="1108" spans="1:1" x14ac:dyDescent="0.35">
      <c r="A1108" s="980"/>
    </row>
    <row r="1109" spans="1:1" x14ac:dyDescent="0.35">
      <c r="A1109" s="980"/>
    </row>
    <row r="1110" spans="1:1" x14ac:dyDescent="0.35">
      <c r="A1110" s="980"/>
    </row>
    <row r="1111" spans="1:1" x14ac:dyDescent="0.35">
      <c r="A1111" s="980"/>
    </row>
    <row r="1112" spans="1:1" x14ac:dyDescent="0.35">
      <c r="A1112" s="980"/>
    </row>
    <row r="1113" spans="1:1" x14ac:dyDescent="0.35">
      <c r="A1113" s="980"/>
    </row>
    <row r="1114" spans="1:1" x14ac:dyDescent="0.35">
      <c r="A1114" s="980"/>
    </row>
    <row r="1115" spans="1:1" x14ac:dyDescent="0.35">
      <c r="A1115" s="980"/>
    </row>
    <row r="1116" spans="1:1" x14ac:dyDescent="0.35">
      <c r="A1116" s="980"/>
    </row>
    <row r="1117" spans="1:1" x14ac:dyDescent="0.35">
      <c r="A1117" s="980"/>
    </row>
    <row r="1118" spans="1:1" x14ac:dyDescent="0.35">
      <c r="A1118" s="980"/>
    </row>
    <row r="1119" spans="1:1" x14ac:dyDescent="0.35">
      <c r="A1119" s="980"/>
    </row>
    <row r="1120" spans="1:1" x14ac:dyDescent="0.35">
      <c r="A1120" s="980"/>
    </row>
    <row r="1121" spans="1:1" x14ac:dyDescent="0.35">
      <c r="A1121" s="980"/>
    </row>
    <row r="1122" spans="1:1" x14ac:dyDescent="0.35">
      <c r="A1122" s="980"/>
    </row>
    <row r="1123" spans="1:1" x14ac:dyDescent="0.35">
      <c r="A1123" s="980"/>
    </row>
    <row r="1124" spans="1:1" x14ac:dyDescent="0.35">
      <c r="A1124" s="980"/>
    </row>
    <row r="1125" spans="1:1" x14ac:dyDescent="0.35">
      <c r="A1125" s="980"/>
    </row>
    <row r="1126" spans="1:1" x14ac:dyDescent="0.35">
      <c r="A1126" s="980"/>
    </row>
    <row r="1127" spans="1:1" x14ac:dyDescent="0.35">
      <c r="A1127" s="980"/>
    </row>
    <row r="1128" spans="1:1" x14ac:dyDescent="0.35">
      <c r="A1128" s="980"/>
    </row>
    <row r="1129" spans="1:1" x14ac:dyDescent="0.35">
      <c r="A1129" s="980"/>
    </row>
    <row r="1130" spans="1:1" x14ac:dyDescent="0.35">
      <c r="A1130" s="980"/>
    </row>
    <row r="1131" spans="1:1" x14ac:dyDescent="0.35">
      <c r="A1131" s="980"/>
    </row>
    <row r="1132" spans="1:1" x14ac:dyDescent="0.35">
      <c r="A1132" s="980"/>
    </row>
    <row r="1133" spans="1:1" x14ac:dyDescent="0.35">
      <c r="A1133" s="980"/>
    </row>
    <row r="1134" spans="1:1" x14ac:dyDescent="0.35">
      <c r="A1134" s="980"/>
    </row>
    <row r="1135" spans="1:1" x14ac:dyDescent="0.35">
      <c r="A1135" s="980"/>
    </row>
    <row r="1136" spans="1:1" x14ac:dyDescent="0.35">
      <c r="A1136" s="980"/>
    </row>
    <row r="1137" spans="1:1" x14ac:dyDescent="0.35">
      <c r="A1137" s="980"/>
    </row>
    <row r="1138" spans="1:1" x14ac:dyDescent="0.35">
      <c r="A1138" s="980"/>
    </row>
    <row r="1139" spans="1:1" x14ac:dyDescent="0.35">
      <c r="A1139" s="980"/>
    </row>
    <row r="1140" spans="1:1" x14ac:dyDescent="0.35">
      <c r="A1140" s="980"/>
    </row>
    <row r="1141" spans="1:1" x14ac:dyDescent="0.35">
      <c r="A1141" s="980"/>
    </row>
    <row r="1142" spans="1:1" x14ac:dyDescent="0.35">
      <c r="A1142" s="980"/>
    </row>
    <row r="1143" spans="1:1" x14ac:dyDescent="0.35">
      <c r="A1143" s="980"/>
    </row>
    <row r="1144" spans="1:1" x14ac:dyDescent="0.35">
      <c r="A1144" s="980"/>
    </row>
    <row r="1145" spans="1:1" x14ac:dyDescent="0.35">
      <c r="A1145" s="980"/>
    </row>
    <row r="1146" spans="1:1" x14ac:dyDescent="0.35">
      <c r="A1146" s="980"/>
    </row>
    <row r="1147" spans="1:1" x14ac:dyDescent="0.35">
      <c r="A1147" s="980"/>
    </row>
    <row r="1148" spans="1:1" x14ac:dyDescent="0.35">
      <c r="A1148" s="980"/>
    </row>
    <row r="1149" spans="1:1" x14ac:dyDescent="0.35">
      <c r="A1149" s="980"/>
    </row>
    <row r="1150" spans="1:1" x14ac:dyDescent="0.35">
      <c r="A1150" s="980"/>
    </row>
    <row r="1151" spans="1:1" x14ac:dyDescent="0.35">
      <c r="A1151" s="980"/>
    </row>
    <row r="1152" spans="1:1" x14ac:dyDescent="0.35">
      <c r="A1152" s="980"/>
    </row>
    <row r="1153" spans="1:1" x14ac:dyDescent="0.35">
      <c r="A1153" s="980"/>
    </row>
    <row r="1154" spans="1:1" x14ac:dyDescent="0.35">
      <c r="A1154" s="980"/>
    </row>
    <row r="1155" spans="1:1" x14ac:dyDescent="0.35">
      <c r="A1155" s="980"/>
    </row>
    <row r="1156" spans="1:1" x14ac:dyDescent="0.35">
      <c r="A1156" s="980"/>
    </row>
    <row r="1157" spans="1:1" x14ac:dyDescent="0.35">
      <c r="A1157" s="980"/>
    </row>
    <row r="1158" spans="1:1" x14ac:dyDescent="0.35">
      <c r="A1158" s="980"/>
    </row>
    <row r="1159" spans="1:1" x14ac:dyDescent="0.35">
      <c r="A1159" s="980"/>
    </row>
    <row r="1160" spans="1:1" x14ac:dyDescent="0.35">
      <c r="A1160" s="980"/>
    </row>
    <row r="1161" spans="1:1" x14ac:dyDescent="0.35">
      <c r="A1161" s="980"/>
    </row>
    <row r="1162" spans="1:1" x14ac:dyDescent="0.35">
      <c r="A1162" s="980"/>
    </row>
    <row r="1163" spans="1:1" x14ac:dyDescent="0.35">
      <c r="A1163" s="980"/>
    </row>
    <row r="1164" spans="1:1" x14ac:dyDescent="0.35">
      <c r="A1164" s="980"/>
    </row>
    <row r="1165" spans="1:1" x14ac:dyDescent="0.35">
      <c r="A1165" s="980"/>
    </row>
    <row r="1166" spans="1:1" x14ac:dyDescent="0.35">
      <c r="A1166" s="980"/>
    </row>
    <row r="1167" spans="1:1" x14ac:dyDescent="0.35">
      <c r="A1167" s="980"/>
    </row>
    <row r="1168" spans="1:1" x14ac:dyDescent="0.35">
      <c r="A1168" s="980"/>
    </row>
    <row r="1169" spans="1:1" x14ac:dyDescent="0.35">
      <c r="A1169" s="980"/>
    </row>
    <row r="1170" spans="1:1" x14ac:dyDescent="0.35">
      <c r="A1170" s="980"/>
    </row>
    <row r="1171" spans="1:1" x14ac:dyDescent="0.35">
      <c r="A1171" s="980"/>
    </row>
    <row r="1172" spans="1:1" x14ac:dyDescent="0.35">
      <c r="A1172" s="980"/>
    </row>
    <row r="1173" spans="1:1" x14ac:dyDescent="0.35">
      <c r="A1173" s="980"/>
    </row>
    <row r="1174" spans="1:1" x14ac:dyDescent="0.35">
      <c r="A1174" s="980"/>
    </row>
    <row r="1175" spans="1:1" x14ac:dyDescent="0.35">
      <c r="A1175" s="980"/>
    </row>
    <row r="1176" spans="1:1" x14ac:dyDescent="0.35">
      <c r="A1176" s="980"/>
    </row>
    <row r="1177" spans="1:1" x14ac:dyDescent="0.35">
      <c r="A1177" s="980"/>
    </row>
    <row r="1178" spans="1:1" x14ac:dyDescent="0.35">
      <c r="A1178" s="980"/>
    </row>
    <row r="1179" spans="1:1" x14ac:dyDescent="0.35">
      <c r="A1179" s="980"/>
    </row>
    <row r="1180" spans="1:1" x14ac:dyDescent="0.35">
      <c r="A1180" s="980"/>
    </row>
    <row r="1181" spans="1:1" x14ac:dyDescent="0.35">
      <c r="A1181" s="980"/>
    </row>
    <row r="1182" spans="1:1" x14ac:dyDescent="0.35">
      <c r="A1182" s="980"/>
    </row>
    <row r="1183" spans="1:1" x14ac:dyDescent="0.35">
      <c r="A1183" s="980"/>
    </row>
    <row r="1184" spans="1:1" x14ac:dyDescent="0.35">
      <c r="A1184" s="980"/>
    </row>
    <row r="1185" spans="1:1" x14ac:dyDescent="0.35">
      <c r="A1185" s="980"/>
    </row>
    <row r="1186" spans="1:1" x14ac:dyDescent="0.35">
      <c r="A1186" s="980"/>
    </row>
    <row r="1187" spans="1:1" x14ac:dyDescent="0.35">
      <c r="A1187" s="980"/>
    </row>
    <row r="1188" spans="1:1" x14ac:dyDescent="0.35">
      <c r="A1188" s="980"/>
    </row>
    <row r="1189" spans="1:1" x14ac:dyDescent="0.35">
      <c r="A1189" s="980"/>
    </row>
    <row r="1190" spans="1:1" x14ac:dyDescent="0.35">
      <c r="A1190" s="980"/>
    </row>
    <row r="1191" spans="1:1" x14ac:dyDescent="0.35">
      <c r="A1191" s="980"/>
    </row>
    <row r="1192" spans="1:1" x14ac:dyDescent="0.35">
      <c r="A1192" s="980"/>
    </row>
    <row r="1193" spans="1:1" x14ac:dyDescent="0.35">
      <c r="A1193" s="980"/>
    </row>
    <row r="1194" spans="1:1" x14ac:dyDescent="0.35">
      <c r="A1194" s="980"/>
    </row>
    <row r="1195" spans="1:1" x14ac:dyDescent="0.35">
      <c r="A1195" s="980"/>
    </row>
    <row r="1196" spans="1:1" x14ac:dyDescent="0.35">
      <c r="A1196" s="980"/>
    </row>
    <row r="1197" spans="1:1" x14ac:dyDescent="0.35">
      <c r="A1197" s="980"/>
    </row>
    <row r="1198" spans="1:1" x14ac:dyDescent="0.35">
      <c r="A1198" s="980"/>
    </row>
    <row r="1199" spans="1:1" x14ac:dyDescent="0.35">
      <c r="A1199" s="980"/>
    </row>
    <row r="1200" spans="1:1" x14ac:dyDescent="0.35">
      <c r="A1200" s="980"/>
    </row>
    <row r="1201" spans="1:1" x14ac:dyDescent="0.35">
      <c r="A1201" s="980"/>
    </row>
    <row r="1202" spans="1:1" x14ac:dyDescent="0.35">
      <c r="A1202" s="980"/>
    </row>
    <row r="1203" spans="1:1" x14ac:dyDescent="0.35">
      <c r="A1203" s="980"/>
    </row>
    <row r="1204" spans="1:1" x14ac:dyDescent="0.35">
      <c r="A1204" s="980"/>
    </row>
    <row r="1205" spans="1:1" x14ac:dyDescent="0.35">
      <c r="A1205" s="980"/>
    </row>
    <row r="1206" spans="1:1" x14ac:dyDescent="0.35">
      <c r="A1206" s="980"/>
    </row>
    <row r="1207" spans="1:1" x14ac:dyDescent="0.35">
      <c r="A1207" s="980"/>
    </row>
    <row r="1208" spans="1:1" x14ac:dyDescent="0.35">
      <c r="A1208" s="980"/>
    </row>
    <row r="1209" spans="1:1" x14ac:dyDescent="0.35">
      <c r="A1209" s="980"/>
    </row>
    <row r="1210" spans="1:1" x14ac:dyDescent="0.35">
      <c r="A1210" s="980"/>
    </row>
    <row r="1211" spans="1:1" x14ac:dyDescent="0.35">
      <c r="A1211" s="980"/>
    </row>
    <row r="1212" spans="1:1" x14ac:dyDescent="0.35">
      <c r="A1212" s="980"/>
    </row>
    <row r="1213" spans="1:1" x14ac:dyDescent="0.35">
      <c r="A1213" s="980"/>
    </row>
    <row r="1214" spans="1:1" x14ac:dyDescent="0.35">
      <c r="A1214" s="980"/>
    </row>
    <row r="1215" spans="1:1" x14ac:dyDescent="0.35">
      <c r="A1215" s="980"/>
    </row>
    <row r="1216" spans="1:1" x14ac:dyDescent="0.35">
      <c r="A1216" s="980"/>
    </row>
    <row r="1217" spans="1:1" x14ac:dyDescent="0.35">
      <c r="A1217" s="980"/>
    </row>
    <row r="1218" spans="1:1" x14ac:dyDescent="0.35">
      <c r="A1218" s="980"/>
    </row>
    <row r="1219" spans="1:1" x14ac:dyDescent="0.35">
      <c r="A1219" s="980"/>
    </row>
    <row r="1220" spans="1:1" x14ac:dyDescent="0.35">
      <c r="A1220" s="980"/>
    </row>
    <row r="1221" spans="1:1" x14ac:dyDescent="0.35">
      <c r="A1221" s="980"/>
    </row>
    <row r="1222" spans="1:1" x14ac:dyDescent="0.35">
      <c r="A1222" s="980"/>
    </row>
    <row r="1223" spans="1:1" x14ac:dyDescent="0.35">
      <c r="A1223" s="980"/>
    </row>
    <row r="1224" spans="1:1" x14ac:dyDescent="0.35">
      <c r="A1224" s="980"/>
    </row>
    <row r="1225" spans="1:1" x14ac:dyDescent="0.35">
      <c r="A1225" s="980"/>
    </row>
    <row r="1226" spans="1:1" x14ac:dyDescent="0.35">
      <c r="A1226" s="980"/>
    </row>
    <row r="1227" spans="1:1" x14ac:dyDescent="0.35">
      <c r="A1227" s="980"/>
    </row>
    <row r="1228" spans="1:1" x14ac:dyDescent="0.35">
      <c r="A1228" s="980"/>
    </row>
    <row r="1229" spans="1:1" x14ac:dyDescent="0.35">
      <c r="A1229" s="980"/>
    </row>
    <row r="1230" spans="1:1" x14ac:dyDescent="0.35">
      <c r="A1230" s="980"/>
    </row>
    <row r="1231" spans="1:1" x14ac:dyDescent="0.35">
      <c r="A1231" s="980"/>
    </row>
    <row r="1232" spans="1:1" x14ac:dyDescent="0.35">
      <c r="A1232" s="980"/>
    </row>
    <row r="1233" spans="1:1" x14ac:dyDescent="0.35">
      <c r="A1233" s="980"/>
    </row>
    <row r="1234" spans="1:1" x14ac:dyDescent="0.35">
      <c r="A1234" s="980"/>
    </row>
    <row r="1235" spans="1:1" x14ac:dyDescent="0.35">
      <c r="A1235" s="980"/>
    </row>
    <row r="1236" spans="1:1" x14ac:dyDescent="0.35">
      <c r="A1236" s="980"/>
    </row>
    <row r="1237" spans="1:1" x14ac:dyDescent="0.35">
      <c r="A1237" s="980"/>
    </row>
    <row r="1238" spans="1:1" x14ac:dyDescent="0.35">
      <c r="A1238" s="980"/>
    </row>
    <row r="1239" spans="1:1" x14ac:dyDescent="0.35">
      <c r="A1239" s="980"/>
    </row>
    <row r="1240" spans="1:1" x14ac:dyDescent="0.35">
      <c r="A1240" s="980"/>
    </row>
    <row r="1241" spans="1:1" x14ac:dyDescent="0.35">
      <c r="A1241" s="980"/>
    </row>
    <row r="1242" spans="1:1" x14ac:dyDescent="0.35">
      <c r="A1242" s="980"/>
    </row>
    <row r="1243" spans="1:1" x14ac:dyDescent="0.35">
      <c r="A1243" s="980"/>
    </row>
    <row r="1244" spans="1:1" x14ac:dyDescent="0.35">
      <c r="A1244" s="980"/>
    </row>
    <row r="1245" spans="1:1" x14ac:dyDescent="0.35">
      <c r="A1245" s="980"/>
    </row>
    <row r="1246" spans="1:1" x14ac:dyDescent="0.35">
      <c r="A1246" s="980"/>
    </row>
    <row r="1247" spans="1:1" x14ac:dyDescent="0.35">
      <c r="A1247" s="980"/>
    </row>
    <row r="1248" spans="1:1" x14ac:dyDescent="0.35">
      <c r="A1248" s="980"/>
    </row>
    <row r="1249" spans="1:1" x14ac:dyDescent="0.35">
      <c r="A1249" s="980"/>
    </row>
    <row r="1250" spans="1:1" x14ac:dyDescent="0.35">
      <c r="A1250" s="980"/>
    </row>
    <row r="1251" spans="1:1" x14ac:dyDescent="0.35">
      <c r="A1251" s="980"/>
    </row>
    <row r="1252" spans="1:1" x14ac:dyDescent="0.35">
      <c r="A1252" s="980"/>
    </row>
    <row r="1253" spans="1:1" x14ac:dyDescent="0.35">
      <c r="A1253" s="980"/>
    </row>
    <row r="1254" spans="1:1" x14ac:dyDescent="0.35">
      <c r="A1254" s="980"/>
    </row>
    <row r="1255" spans="1:1" x14ac:dyDescent="0.35">
      <c r="A1255" s="980"/>
    </row>
    <row r="1256" spans="1:1" x14ac:dyDescent="0.35">
      <c r="A1256" s="980"/>
    </row>
    <row r="1257" spans="1:1" x14ac:dyDescent="0.35">
      <c r="A1257" s="980"/>
    </row>
    <row r="1258" spans="1:1" x14ac:dyDescent="0.35">
      <c r="A1258" s="980"/>
    </row>
    <row r="1259" spans="1:1" x14ac:dyDescent="0.35">
      <c r="A1259" s="980"/>
    </row>
    <row r="1260" spans="1:1" x14ac:dyDescent="0.35">
      <c r="A1260" s="980"/>
    </row>
    <row r="1261" spans="1:1" x14ac:dyDescent="0.35">
      <c r="A1261" s="980"/>
    </row>
    <row r="1262" spans="1:1" x14ac:dyDescent="0.35">
      <c r="A1262" s="980"/>
    </row>
    <row r="1263" spans="1:1" x14ac:dyDescent="0.35">
      <c r="A1263" s="980"/>
    </row>
    <row r="1264" spans="1:1" x14ac:dyDescent="0.35">
      <c r="A1264" s="980"/>
    </row>
    <row r="1265" spans="1:1" x14ac:dyDescent="0.35">
      <c r="A1265" s="980"/>
    </row>
    <row r="1266" spans="1:1" x14ac:dyDescent="0.35">
      <c r="A1266" s="980"/>
    </row>
    <row r="1267" spans="1:1" x14ac:dyDescent="0.35">
      <c r="A1267" s="980"/>
    </row>
    <row r="1268" spans="1:1" x14ac:dyDescent="0.35">
      <c r="A1268" s="980"/>
    </row>
    <row r="1269" spans="1:1" x14ac:dyDescent="0.35">
      <c r="A1269" s="980"/>
    </row>
    <row r="1270" spans="1:1" x14ac:dyDescent="0.35">
      <c r="A1270" s="980"/>
    </row>
    <row r="1271" spans="1:1" x14ac:dyDescent="0.35">
      <c r="A1271" s="980"/>
    </row>
    <row r="1272" spans="1:1" x14ac:dyDescent="0.35">
      <c r="A1272" s="980"/>
    </row>
    <row r="1273" spans="1:1" x14ac:dyDescent="0.35">
      <c r="A1273" s="980"/>
    </row>
    <row r="1274" spans="1:1" x14ac:dyDescent="0.35">
      <c r="A1274" s="980"/>
    </row>
    <row r="1275" spans="1:1" x14ac:dyDescent="0.35">
      <c r="A1275" s="980"/>
    </row>
    <row r="1276" spans="1:1" x14ac:dyDescent="0.35">
      <c r="A1276" s="980"/>
    </row>
    <row r="1277" spans="1:1" x14ac:dyDescent="0.35">
      <c r="A1277" s="980"/>
    </row>
    <row r="1278" spans="1:1" x14ac:dyDescent="0.35">
      <c r="A1278" s="980"/>
    </row>
    <row r="1279" spans="1:1" x14ac:dyDescent="0.35">
      <c r="A1279" s="980"/>
    </row>
    <row r="1280" spans="1:1" x14ac:dyDescent="0.35">
      <c r="A1280" s="980"/>
    </row>
    <row r="1281" spans="1:1" x14ac:dyDescent="0.35">
      <c r="A1281" s="980"/>
    </row>
    <row r="1282" spans="1:1" x14ac:dyDescent="0.35">
      <c r="A1282" s="980"/>
    </row>
    <row r="1283" spans="1:1" x14ac:dyDescent="0.35">
      <c r="A1283" s="980"/>
    </row>
    <row r="1284" spans="1:1" x14ac:dyDescent="0.35">
      <c r="A1284" s="980"/>
    </row>
    <row r="1285" spans="1:1" x14ac:dyDescent="0.35">
      <c r="A1285" s="980"/>
    </row>
    <row r="1286" spans="1:1" x14ac:dyDescent="0.35">
      <c r="A1286" s="980"/>
    </row>
    <row r="1287" spans="1:1" x14ac:dyDescent="0.35">
      <c r="A1287" s="980"/>
    </row>
    <row r="1288" spans="1:1" x14ac:dyDescent="0.35">
      <c r="A1288" s="980"/>
    </row>
    <row r="1289" spans="1:1" x14ac:dyDescent="0.35">
      <c r="A1289" s="980"/>
    </row>
    <row r="1290" spans="1:1" x14ac:dyDescent="0.35">
      <c r="A1290" s="980"/>
    </row>
    <row r="1291" spans="1:1" x14ac:dyDescent="0.35">
      <c r="A1291" s="980"/>
    </row>
    <row r="1292" spans="1:1" x14ac:dyDescent="0.35">
      <c r="A1292" s="980"/>
    </row>
    <row r="1293" spans="1:1" x14ac:dyDescent="0.35">
      <c r="A1293" s="980"/>
    </row>
    <row r="1294" spans="1:1" x14ac:dyDescent="0.35">
      <c r="A1294" s="980"/>
    </row>
    <row r="1295" spans="1:1" x14ac:dyDescent="0.35">
      <c r="A1295" s="980"/>
    </row>
    <row r="1296" spans="1:1" x14ac:dyDescent="0.35">
      <c r="A1296" s="980"/>
    </row>
    <row r="1297" spans="1:1" x14ac:dyDescent="0.35">
      <c r="A1297" s="980"/>
    </row>
    <row r="1298" spans="1:1" x14ac:dyDescent="0.35">
      <c r="A1298" s="980"/>
    </row>
    <row r="1299" spans="1:1" x14ac:dyDescent="0.35">
      <c r="A1299" s="980"/>
    </row>
    <row r="1300" spans="1:1" x14ac:dyDescent="0.35">
      <c r="A1300" s="980"/>
    </row>
    <row r="1301" spans="1:1" x14ac:dyDescent="0.35">
      <c r="A1301" s="980"/>
    </row>
    <row r="1302" spans="1:1" x14ac:dyDescent="0.35">
      <c r="A1302" s="980"/>
    </row>
    <row r="1303" spans="1:1" x14ac:dyDescent="0.35">
      <c r="A1303" s="980"/>
    </row>
    <row r="1304" spans="1:1" x14ac:dyDescent="0.35">
      <c r="A1304" s="980"/>
    </row>
    <row r="1305" spans="1:1" x14ac:dyDescent="0.35">
      <c r="A1305" s="980"/>
    </row>
    <row r="1306" spans="1:1" x14ac:dyDescent="0.35">
      <c r="A1306" s="980"/>
    </row>
    <row r="1307" spans="1:1" x14ac:dyDescent="0.35">
      <c r="A1307" s="980"/>
    </row>
    <row r="1308" spans="1:1" x14ac:dyDescent="0.35">
      <c r="A1308" s="980"/>
    </row>
    <row r="1309" spans="1:1" x14ac:dyDescent="0.35">
      <c r="A1309" s="980"/>
    </row>
    <row r="1310" spans="1:1" x14ac:dyDescent="0.35">
      <c r="A1310" s="980"/>
    </row>
    <row r="1311" spans="1:1" x14ac:dyDescent="0.35">
      <c r="A1311" s="980"/>
    </row>
    <row r="1312" spans="1:1" x14ac:dyDescent="0.35">
      <c r="A1312" s="980"/>
    </row>
    <row r="1313" spans="1:1" x14ac:dyDescent="0.35">
      <c r="A1313" s="980"/>
    </row>
    <row r="1314" spans="1:1" x14ac:dyDescent="0.35">
      <c r="A1314" s="980"/>
    </row>
    <row r="1315" spans="1:1" x14ac:dyDescent="0.35">
      <c r="A1315" s="980"/>
    </row>
    <row r="1316" spans="1:1" x14ac:dyDescent="0.35">
      <c r="A1316" s="980"/>
    </row>
    <row r="1317" spans="1:1" x14ac:dyDescent="0.35">
      <c r="A1317" s="980"/>
    </row>
    <row r="1318" spans="1:1" x14ac:dyDescent="0.35">
      <c r="A1318" s="980"/>
    </row>
    <row r="1319" spans="1:1" x14ac:dyDescent="0.35">
      <c r="A1319" s="980"/>
    </row>
    <row r="1320" spans="1:1" x14ac:dyDescent="0.35">
      <c r="A1320" s="980"/>
    </row>
    <row r="1321" spans="1:1" x14ac:dyDescent="0.35">
      <c r="A1321" s="980"/>
    </row>
    <row r="1322" spans="1:1" x14ac:dyDescent="0.35">
      <c r="A1322" s="980"/>
    </row>
    <row r="1323" spans="1:1" x14ac:dyDescent="0.35">
      <c r="A1323" s="980"/>
    </row>
    <row r="1324" spans="1:1" x14ac:dyDescent="0.35">
      <c r="A1324" s="980"/>
    </row>
    <row r="1325" spans="1:1" x14ac:dyDescent="0.35">
      <c r="A1325" s="980"/>
    </row>
    <row r="1326" spans="1:1" x14ac:dyDescent="0.35">
      <c r="A1326" s="980"/>
    </row>
    <row r="1327" spans="1:1" x14ac:dyDescent="0.35">
      <c r="A1327" s="980"/>
    </row>
    <row r="1328" spans="1:1" x14ac:dyDescent="0.35">
      <c r="A1328" s="980"/>
    </row>
    <row r="1329" spans="1:1" x14ac:dyDescent="0.35">
      <c r="A1329" s="980"/>
    </row>
    <row r="1330" spans="1:1" x14ac:dyDescent="0.35">
      <c r="A1330" s="980"/>
    </row>
    <row r="1331" spans="1:1" x14ac:dyDescent="0.35">
      <c r="A1331" s="980"/>
    </row>
    <row r="1332" spans="1:1" x14ac:dyDescent="0.35">
      <c r="A1332" s="980"/>
    </row>
    <row r="1333" spans="1:1" x14ac:dyDescent="0.35">
      <c r="A1333" s="980"/>
    </row>
    <row r="1334" spans="1:1" x14ac:dyDescent="0.35">
      <c r="A1334" s="980"/>
    </row>
    <row r="1335" spans="1:1" x14ac:dyDescent="0.35">
      <c r="A1335" s="980"/>
    </row>
    <row r="1336" spans="1:1" x14ac:dyDescent="0.35">
      <c r="A1336" s="980"/>
    </row>
    <row r="1337" spans="1:1" x14ac:dyDescent="0.35">
      <c r="A1337" s="980"/>
    </row>
    <row r="1338" spans="1:1" x14ac:dyDescent="0.35">
      <c r="A1338" s="980"/>
    </row>
    <row r="1339" spans="1:1" x14ac:dyDescent="0.35">
      <c r="A1339" s="980"/>
    </row>
    <row r="1340" spans="1:1" x14ac:dyDescent="0.35">
      <c r="A1340" s="980"/>
    </row>
    <row r="1341" spans="1:1" x14ac:dyDescent="0.35">
      <c r="A1341" s="980"/>
    </row>
    <row r="1342" spans="1:1" x14ac:dyDescent="0.35">
      <c r="A1342" s="980"/>
    </row>
    <row r="1343" spans="1:1" x14ac:dyDescent="0.35">
      <c r="A1343" s="980"/>
    </row>
    <row r="1344" spans="1:1" x14ac:dyDescent="0.35">
      <c r="A1344" s="980"/>
    </row>
    <row r="1345" spans="1:1" x14ac:dyDescent="0.35">
      <c r="A1345" s="980"/>
    </row>
    <row r="1346" spans="1:1" x14ac:dyDescent="0.35">
      <c r="A1346" s="980"/>
    </row>
    <row r="1347" spans="1:1" x14ac:dyDescent="0.35">
      <c r="A1347" s="980"/>
    </row>
    <row r="1348" spans="1:1" x14ac:dyDescent="0.35">
      <c r="A1348" s="980"/>
    </row>
    <row r="1349" spans="1:1" x14ac:dyDescent="0.35">
      <c r="A1349" s="980"/>
    </row>
    <row r="1350" spans="1:1" x14ac:dyDescent="0.35">
      <c r="A1350" s="980"/>
    </row>
    <row r="1351" spans="1:1" x14ac:dyDescent="0.35">
      <c r="A1351" s="980"/>
    </row>
    <row r="1352" spans="1:1" x14ac:dyDescent="0.35">
      <c r="A1352" s="980"/>
    </row>
    <row r="1353" spans="1:1" x14ac:dyDescent="0.35">
      <c r="A1353" s="980"/>
    </row>
    <row r="1354" spans="1:1" x14ac:dyDescent="0.35">
      <c r="A1354" s="980"/>
    </row>
    <row r="1355" spans="1:1" x14ac:dyDescent="0.35">
      <c r="A1355" s="980"/>
    </row>
    <row r="1356" spans="1:1" x14ac:dyDescent="0.35">
      <c r="A1356" s="980"/>
    </row>
    <row r="1357" spans="1:1" x14ac:dyDescent="0.35">
      <c r="A1357" s="980"/>
    </row>
    <row r="1358" spans="1:1" x14ac:dyDescent="0.35">
      <c r="A1358" s="980"/>
    </row>
    <row r="1359" spans="1:1" x14ac:dyDescent="0.35">
      <c r="A1359" s="980"/>
    </row>
    <row r="1360" spans="1:1" x14ac:dyDescent="0.35">
      <c r="A1360" s="980"/>
    </row>
    <row r="1361" spans="1:1" x14ac:dyDescent="0.35">
      <c r="A1361" s="980"/>
    </row>
    <row r="1362" spans="1:1" x14ac:dyDescent="0.35">
      <c r="A1362" s="980"/>
    </row>
    <row r="1363" spans="1:1" x14ac:dyDescent="0.35">
      <c r="A1363" s="980"/>
    </row>
    <row r="1364" spans="1:1" x14ac:dyDescent="0.35">
      <c r="A1364" s="980"/>
    </row>
    <row r="1365" spans="1:1" x14ac:dyDescent="0.35">
      <c r="A1365" s="980"/>
    </row>
    <row r="1366" spans="1:1" x14ac:dyDescent="0.35">
      <c r="A1366" s="980"/>
    </row>
    <row r="1367" spans="1:1" x14ac:dyDescent="0.35">
      <c r="A1367" s="980"/>
    </row>
    <row r="1368" spans="1:1" x14ac:dyDescent="0.35">
      <c r="A1368" s="980"/>
    </row>
    <row r="1369" spans="1:1" x14ac:dyDescent="0.35">
      <c r="A1369" s="980"/>
    </row>
    <row r="1370" spans="1:1" x14ac:dyDescent="0.35">
      <c r="A1370" s="980"/>
    </row>
    <row r="1371" spans="1:1" x14ac:dyDescent="0.35">
      <c r="A1371" s="980"/>
    </row>
    <row r="1372" spans="1:1" x14ac:dyDescent="0.35">
      <c r="A1372" s="980"/>
    </row>
    <row r="1373" spans="1:1" x14ac:dyDescent="0.35">
      <c r="A1373" s="980"/>
    </row>
    <row r="1374" spans="1:1" x14ac:dyDescent="0.35">
      <c r="A1374" s="980"/>
    </row>
    <row r="1375" spans="1:1" x14ac:dyDescent="0.35">
      <c r="A1375" s="980"/>
    </row>
    <row r="1376" spans="1:1" x14ac:dyDescent="0.35">
      <c r="A1376" s="980"/>
    </row>
    <row r="1377" spans="1:1" x14ac:dyDescent="0.35">
      <c r="A1377" s="980"/>
    </row>
    <row r="1378" spans="1:1" x14ac:dyDescent="0.35">
      <c r="A1378" s="980"/>
    </row>
    <row r="1379" spans="1:1" x14ac:dyDescent="0.35">
      <c r="A1379" s="980"/>
    </row>
    <row r="1380" spans="1:1" x14ac:dyDescent="0.35">
      <c r="A1380" s="980"/>
    </row>
    <row r="1381" spans="1:1" x14ac:dyDescent="0.35">
      <c r="A1381" s="980"/>
    </row>
    <row r="1382" spans="1:1" x14ac:dyDescent="0.35">
      <c r="A1382" s="980"/>
    </row>
    <row r="1383" spans="1:1" x14ac:dyDescent="0.35">
      <c r="A1383" s="980"/>
    </row>
    <row r="1384" spans="1:1" x14ac:dyDescent="0.35">
      <c r="A1384" s="980"/>
    </row>
    <row r="1385" spans="1:1" x14ac:dyDescent="0.35">
      <c r="A1385" s="980"/>
    </row>
    <row r="1386" spans="1:1" x14ac:dyDescent="0.35">
      <c r="A1386" s="980"/>
    </row>
    <row r="1387" spans="1:1" x14ac:dyDescent="0.35">
      <c r="A1387" s="980"/>
    </row>
    <row r="1388" spans="1:1" x14ac:dyDescent="0.35">
      <c r="A1388" s="980"/>
    </row>
    <row r="1389" spans="1:1" x14ac:dyDescent="0.35">
      <c r="A1389" s="980"/>
    </row>
    <row r="1390" spans="1:1" x14ac:dyDescent="0.35">
      <c r="A1390" s="980"/>
    </row>
    <row r="1391" spans="1:1" x14ac:dyDescent="0.35">
      <c r="A1391" s="980"/>
    </row>
    <row r="1392" spans="1:1" x14ac:dyDescent="0.35">
      <c r="A1392" s="980"/>
    </row>
    <row r="1393" spans="1:1" x14ac:dyDescent="0.35">
      <c r="A1393" s="980"/>
    </row>
    <row r="1394" spans="1:1" x14ac:dyDescent="0.35">
      <c r="A1394" s="980"/>
    </row>
    <row r="1395" spans="1:1" x14ac:dyDescent="0.35">
      <c r="A1395" s="980"/>
    </row>
    <row r="1396" spans="1:1" x14ac:dyDescent="0.35">
      <c r="A1396" s="980"/>
    </row>
    <row r="1397" spans="1:1" x14ac:dyDescent="0.35">
      <c r="A1397" s="980"/>
    </row>
    <row r="1398" spans="1:1" x14ac:dyDescent="0.35">
      <c r="A1398" s="980"/>
    </row>
    <row r="1399" spans="1:1" x14ac:dyDescent="0.35">
      <c r="A1399" s="980"/>
    </row>
    <row r="1400" spans="1:1" x14ac:dyDescent="0.35">
      <c r="A1400" s="980"/>
    </row>
    <row r="1401" spans="1:1" x14ac:dyDescent="0.35">
      <c r="A1401" s="980"/>
    </row>
    <row r="1402" spans="1:1" x14ac:dyDescent="0.35">
      <c r="A1402" s="980"/>
    </row>
    <row r="1403" spans="1:1" x14ac:dyDescent="0.35">
      <c r="A1403" s="980"/>
    </row>
    <row r="1404" spans="1:1" x14ac:dyDescent="0.35">
      <c r="A1404" s="980"/>
    </row>
    <row r="1405" spans="1:1" x14ac:dyDescent="0.35">
      <c r="A1405" s="980"/>
    </row>
    <row r="1406" spans="1:1" x14ac:dyDescent="0.35">
      <c r="A1406" s="980"/>
    </row>
    <row r="1407" spans="1:1" x14ac:dyDescent="0.35">
      <c r="A1407" s="980"/>
    </row>
    <row r="1408" spans="1:1" x14ac:dyDescent="0.35">
      <c r="A1408" s="980"/>
    </row>
    <row r="1409" spans="1:1" x14ac:dyDescent="0.35">
      <c r="A1409" s="980"/>
    </row>
    <row r="1410" spans="1:1" x14ac:dyDescent="0.35">
      <c r="A1410" s="980"/>
    </row>
    <row r="1411" spans="1:1" x14ac:dyDescent="0.35">
      <c r="A1411" s="980"/>
    </row>
    <row r="1412" spans="1:1" x14ac:dyDescent="0.35">
      <c r="A1412" s="980"/>
    </row>
    <row r="1413" spans="1:1" x14ac:dyDescent="0.35">
      <c r="A1413" s="980"/>
    </row>
    <row r="1414" spans="1:1" x14ac:dyDescent="0.35">
      <c r="A1414" s="980"/>
    </row>
    <row r="1415" spans="1:1" x14ac:dyDescent="0.35">
      <c r="A1415" s="980"/>
    </row>
    <row r="1416" spans="1:1" x14ac:dyDescent="0.35">
      <c r="A1416" s="980"/>
    </row>
    <row r="1417" spans="1:1" x14ac:dyDescent="0.35">
      <c r="A1417" s="980"/>
    </row>
    <row r="1418" spans="1:1" x14ac:dyDescent="0.35">
      <c r="A1418" s="980"/>
    </row>
    <row r="1419" spans="1:1" x14ac:dyDescent="0.35">
      <c r="A1419" s="980"/>
    </row>
    <row r="1420" spans="1:1" x14ac:dyDescent="0.35">
      <c r="A1420" s="980"/>
    </row>
    <row r="1421" spans="1:1" x14ac:dyDescent="0.35">
      <c r="A1421" s="980"/>
    </row>
    <row r="1422" spans="1:1" x14ac:dyDescent="0.35">
      <c r="A1422" s="980"/>
    </row>
    <row r="1423" spans="1:1" x14ac:dyDescent="0.35">
      <c r="A1423" s="980"/>
    </row>
    <row r="1424" spans="1:1" x14ac:dyDescent="0.35">
      <c r="A1424" s="980"/>
    </row>
    <row r="1425" spans="1:1" x14ac:dyDescent="0.35">
      <c r="A1425" s="980"/>
    </row>
    <row r="1426" spans="1:1" x14ac:dyDescent="0.35">
      <c r="A1426" s="980"/>
    </row>
    <row r="1427" spans="1:1" x14ac:dyDescent="0.35">
      <c r="A1427" s="980"/>
    </row>
    <row r="1428" spans="1:1" x14ac:dyDescent="0.35">
      <c r="A1428" s="980"/>
    </row>
    <row r="1429" spans="1:1" x14ac:dyDescent="0.35">
      <c r="A1429" s="980"/>
    </row>
    <row r="1430" spans="1:1" x14ac:dyDescent="0.35">
      <c r="A1430" s="980"/>
    </row>
    <row r="1431" spans="1:1" x14ac:dyDescent="0.35">
      <c r="A1431" s="980"/>
    </row>
    <row r="1432" spans="1:1" x14ac:dyDescent="0.35">
      <c r="A1432" s="980"/>
    </row>
    <row r="1433" spans="1:1" x14ac:dyDescent="0.35">
      <c r="A1433" s="980"/>
    </row>
    <row r="1434" spans="1:1" x14ac:dyDescent="0.35">
      <c r="A1434" s="980"/>
    </row>
    <row r="1435" spans="1:1" x14ac:dyDescent="0.35">
      <c r="A1435" s="980"/>
    </row>
    <row r="1436" spans="1:1" x14ac:dyDescent="0.35">
      <c r="A1436" s="980"/>
    </row>
    <row r="1437" spans="1:1" x14ac:dyDescent="0.35">
      <c r="A1437" s="980"/>
    </row>
    <row r="1438" spans="1:1" x14ac:dyDescent="0.35">
      <c r="A1438" s="980"/>
    </row>
    <row r="1439" spans="1:1" x14ac:dyDescent="0.35">
      <c r="A1439" s="980"/>
    </row>
    <row r="1440" spans="1:1" x14ac:dyDescent="0.35">
      <c r="A1440" s="980"/>
    </row>
    <row r="1441" spans="1:1" x14ac:dyDescent="0.35">
      <c r="A1441" s="980"/>
    </row>
    <row r="1442" spans="1:1" x14ac:dyDescent="0.35">
      <c r="A1442" s="980"/>
    </row>
    <row r="1443" spans="1:1" x14ac:dyDescent="0.35">
      <c r="A1443" s="980"/>
    </row>
    <row r="1444" spans="1:1" x14ac:dyDescent="0.35">
      <c r="A1444" s="980"/>
    </row>
    <row r="1445" spans="1:1" x14ac:dyDescent="0.35">
      <c r="A1445" s="980"/>
    </row>
    <row r="1446" spans="1:1" x14ac:dyDescent="0.35">
      <c r="A1446" s="980"/>
    </row>
    <row r="1447" spans="1:1" x14ac:dyDescent="0.35">
      <c r="A1447" s="980"/>
    </row>
    <row r="1448" spans="1:1" x14ac:dyDescent="0.35">
      <c r="A1448" s="980"/>
    </row>
    <row r="1449" spans="1:1" x14ac:dyDescent="0.35">
      <c r="A1449" s="980"/>
    </row>
    <row r="1450" spans="1:1" x14ac:dyDescent="0.35">
      <c r="A1450" s="980"/>
    </row>
    <row r="1451" spans="1:1" x14ac:dyDescent="0.35">
      <c r="A1451" s="980"/>
    </row>
    <row r="1452" spans="1:1" x14ac:dyDescent="0.35">
      <c r="A1452" s="980"/>
    </row>
    <row r="1453" spans="1:1" x14ac:dyDescent="0.35">
      <c r="A1453" s="980"/>
    </row>
    <row r="1454" spans="1:1" x14ac:dyDescent="0.35">
      <c r="A1454" s="980"/>
    </row>
    <row r="1455" spans="1:1" x14ac:dyDescent="0.35">
      <c r="A1455" s="980"/>
    </row>
    <row r="1456" spans="1:1" x14ac:dyDescent="0.35">
      <c r="A1456" s="980"/>
    </row>
    <row r="1457" spans="1:1" x14ac:dyDescent="0.35">
      <c r="A1457" s="980"/>
    </row>
    <row r="1458" spans="1:1" x14ac:dyDescent="0.35">
      <c r="A1458" s="980"/>
    </row>
    <row r="1459" spans="1:1" x14ac:dyDescent="0.35">
      <c r="A1459" s="980"/>
    </row>
    <row r="1460" spans="1:1" x14ac:dyDescent="0.35">
      <c r="A1460" s="980"/>
    </row>
    <row r="1461" spans="1:1" x14ac:dyDescent="0.35">
      <c r="A1461" s="980"/>
    </row>
    <row r="1462" spans="1:1" x14ac:dyDescent="0.35">
      <c r="A1462" s="980"/>
    </row>
    <row r="1463" spans="1:1" x14ac:dyDescent="0.35">
      <c r="A1463" s="980"/>
    </row>
    <row r="1464" spans="1:1" x14ac:dyDescent="0.35">
      <c r="A1464" s="980"/>
    </row>
    <row r="1465" spans="1:1" x14ac:dyDescent="0.35">
      <c r="A1465" s="980"/>
    </row>
    <row r="1466" spans="1:1" x14ac:dyDescent="0.35">
      <c r="A1466" s="980"/>
    </row>
    <row r="1467" spans="1:1" x14ac:dyDescent="0.35">
      <c r="A1467" s="980"/>
    </row>
    <row r="1468" spans="1:1" x14ac:dyDescent="0.35">
      <c r="A1468" s="980"/>
    </row>
    <row r="1469" spans="1:1" x14ac:dyDescent="0.35">
      <c r="A1469" s="980"/>
    </row>
    <row r="1470" spans="1:1" x14ac:dyDescent="0.35">
      <c r="A1470" s="980"/>
    </row>
    <row r="1471" spans="1:1" x14ac:dyDescent="0.35">
      <c r="A1471" s="980"/>
    </row>
    <row r="1472" spans="1:1" x14ac:dyDescent="0.35">
      <c r="A1472" s="980"/>
    </row>
    <row r="1473" spans="1:1" x14ac:dyDescent="0.35">
      <c r="A1473" s="980"/>
    </row>
    <row r="1474" spans="1:1" x14ac:dyDescent="0.35">
      <c r="A1474" s="980"/>
    </row>
    <row r="1475" spans="1:1" x14ac:dyDescent="0.35">
      <c r="A1475" s="980"/>
    </row>
    <row r="1476" spans="1:1" x14ac:dyDescent="0.35">
      <c r="A1476" s="980"/>
    </row>
    <row r="1477" spans="1:1" x14ac:dyDescent="0.35">
      <c r="A1477" s="980"/>
    </row>
    <row r="1478" spans="1:1" x14ac:dyDescent="0.35">
      <c r="A1478" s="980"/>
    </row>
    <row r="1479" spans="1:1" x14ac:dyDescent="0.35">
      <c r="A1479" s="980"/>
    </row>
    <row r="1480" spans="1:1" x14ac:dyDescent="0.35">
      <c r="A1480" s="980"/>
    </row>
    <row r="1481" spans="1:1" x14ac:dyDescent="0.35">
      <c r="A1481" s="980"/>
    </row>
    <row r="1482" spans="1:1" x14ac:dyDescent="0.35">
      <c r="A1482" s="980"/>
    </row>
    <row r="1483" spans="1:1" x14ac:dyDescent="0.35">
      <c r="A1483" s="980"/>
    </row>
    <row r="1484" spans="1:1" x14ac:dyDescent="0.35">
      <c r="A1484" s="980"/>
    </row>
    <row r="1485" spans="1:1" x14ac:dyDescent="0.35">
      <c r="A1485" s="980"/>
    </row>
    <row r="1486" spans="1:1" x14ac:dyDescent="0.35">
      <c r="A1486" s="980"/>
    </row>
    <row r="1487" spans="1:1" x14ac:dyDescent="0.35">
      <c r="A1487" s="980"/>
    </row>
    <row r="1488" spans="1:1" x14ac:dyDescent="0.35">
      <c r="A1488" s="980"/>
    </row>
    <row r="1489" spans="1:1" x14ac:dyDescent="0.35">
      <c r="A1489" s="980"/>
    </row>
    <row r="1490" spans="1:1" x14ac:dyDescent="0.35">
      <c r="A1490" s="980"/>
    </row>
    <row r="1491" spans="1:1" x14ac:dyDescent="0.35">
      <c r="A1491" s="980"/>
    </row>
    <row r="1492" spans="1:1" x14ac:dyDescent="0.35">
      <c r="A1492" s="980"/>
    </row>
    <row r="1493" spans="1:1" x14ac:dyDescent="0.35">
      <c r="A1493" s="980"/>
    </row>
    <row r="1494" spans="1:1" x14ac:dyDescent="0.35">
      <c r="A1494" s="980"/>
    </row>
    <row r="1495" spans="1:1" x14ac:dyDescent="0.35">
      <c r="A1495" s="980"/>
    </row>
    <row r="1496" spans="1:1" x14ac:dyDescent="0.35">
      <c r="A1496" s="980"/>
    </row>
    <row r="1497" spans="1:1" x14ac:dyDescent="0.35">
      <c r="A1497" s="980"/>
    </row>
    <row r="1498" spans="1:1" x14ac:dyDescent="0.35">
      <c r="A1498" s="980"/>
    </row>
    <row r="1499" spans="1:1" x14ac:dyDescent="0.35">
      <c r="A1499" s="980"/>
    </row>
    <row r="1500" spans="1:1" x14ac:dyDescent="0.35">
      <c r="A1500" s="980"/>
    </row>
    <row r="1501" spans="1:1" x14ac:dyDescent="0.35">
      <c r="A1501" s="980"/>
    </row>
    <row r="1502" spans="1:1" x14ac:dyDescent="0.35">
      <c r="A1502" s="980"/>
    </row>
    <row r="1503" spans="1:1" x14ac:dyDescent="0.35">
      <c r="A1503" s="980"/>
    </row>
    <row r="1504" spans="1:1" x14ac:dyDescent="0.35">
      <c r="A1504" s="980"/>
    </row>
    <row r="1505" spans="1:1" x14ac:dyDescent="0.35">
      <c r="A1505" s="980"/>
    </row>
    <row r="1506" spans="1:1" x14ac:dyDescent="0.35">
      <c r="A1506" s="980"/>
    </row>
    <row r="1507" spans="1:1" x14ac:dyDescent="0.35">
      <c r="A1507" s="980"/>
    </row>
    <row r="1508" spans="1:1" x14ac:dyDescent="0.35">
      <c r="A1508" s="980"/>
    </row>
    <row r="1509" spans="1:1" x14ac:dyDescent="0.35">
      <c r="A1509" s="980"/>
    </row>
    <row r="1510" spans="1:1" x14ac:dyDescent="0.35">
      <c r="A1510" s="980"/>
    </row>
    <row r="1511" spans="1:1" x14ac:dyDescent="0.35">
      <c r="A1511" s="980"/>
    </row>
    <row r="1512" spans="1:1" x14ac:dyDescent="0.35">
      <c r="A1512" s="980"/>
    </row>
    <row r="1513" spans="1:1" x14ac:dyDescent="0.35">
      <c r="A1513" s="980"/>
    </row>
    <row r="1514" spans="1:1" x14ac:dyDescent="0.35">
      <c r="A1514" s="980"/>
    </row>
    <row r="1515" spans="1:1" x14ac:dyDescent="0.35">
      <c r="A1515" s="980"/>
    </row>
    <row r="1516" spans="1:1" x14ac:dyDescent="0.35">
      <c r="A1516" s="980"/>
    </row>
    <row r="1517" spans="1:1" x14ac:dyDescent="0.35">
      <c r="A1517" s="980"/>
    </row>
    <row r="1518" spans="1:1" x14ac:dyDescent="0.35">
      <c r="A1518" s="980"/>
    </row>
    <row r="1519" spans="1:1" x14ac:dyDescent="0.35">
      <c r="A1519" s="980"/>
    </row>
    <row r="1520" spans="1:1" x14ac:dyDescent="0.35">
      <c r="A1520" s="980"/>
    </row>
    <row r="1521" spans="1:1" x14ac:dyDescent="0.35">
      <c r="A1521" s="980"/>
    </row>
    <row r="1522" spans="1:1" x14ac:dyDescent="0.35">
      <c r="A1522" s="980"/>
    </row>
    <row r="1523" spans="1:1" x14ac:dyDescent="0.35">
      <c r="A1523" s="980"/>
    </row>
    <row r="1524" spans="1:1" x14ac:dyDescent="0.35">
      <c r="A1524" s="980"/>
    </row>
    <row r="1525" spans="1:1" x14ac:dyDescent="0.35">
      <c r="A1525" s="980"/>
    </row>
    <row r="1526" spans="1:1" x14ac:dyDescent="0.35">
      <c r="A1526" s="980"/>
    </row>
    <row r="1527" spans="1:1" x14ac:dyDescent="0.35">
      <c r="A1527" s="980"/>
    </row>
    <row r="1528" spans="1:1" x14ac:dyDescent="0.35">
      <c r="A1528" s="980"/>
    </row>
    <row r="1529" spans="1:1" x14ac:dyDescent="0.35">
      <c r="A1529" s="980"/>
    </row>
    <row r="1530" spans="1:1" x14ac:dyDescent="0.35">
      <c r="A1530" s="980"/>
    </row>
    <row r="1531" spans="1:1" x14ac:dyDescent="0.35">
      <c r="A1531" s="980"/>
    </row>
    <row r="1532" spans="1:1" x14ac:dyDescent="0.35">
      <c r="A1532" s="980"/>
    </row>
    <row r="1533" spans="1:1" x14ac:dyDescent="0.35">
      <c r="A1533" s="980"/>
    </row>
    <row r="1534" spans="1:1" x14ac:dyDescent="0.35">
      <c r="A1534" s="980"/>
    </row>
    <row r="1535" spans="1:1" x14ac:dyDescent="0.35">
      <c r="A1535" s="980"/>
    </row>
    <row r="1536" spans="1:1" x14ac:dyDescent="0.35">
      <c r="A1536" s="980"/>
    </row>
    <row r="1537" spans="1:1" x14ac:dyDescent="0.35">
      <c r="A1537" s="980"/>
    </row>
    <row r="1538" spans="1:1" x14ac:dyDescent="0.35">
      <c r="A1538" s="980"/>
    </row>
    <row r="1539" spans="1:1" x14ac:dyDescent="0.35">
      <c r="A1539" s="980"/>
    </row>
    <row r="1540" spans="1:1" x14ac:dyDescent="0.35">
      <c r="A1540" s="980"/>
    </row>
    <row r="1541" spans="1:1" x14ac:dyDescent="0.35">
      <c r="A1541" s="980"/>
    </row>
    <row r="1542" spans="1:1" x14ac:dyDescent="0.35">
      <c r="A1542" s="980"/>
    </row>
    <row r="1543" spans="1:1" x14ac:dyDescent="0.35">
      <c r="A1543" s="980"/>
    </row>
    <row r="1544" spans="1:1" x14ac:dyDescent="0.35">
      <c r="A1544" s="980"/>
    </row>
    <row r="1545" spans="1:1" x14ac:dyDescent="0.35">
      <c r="A1545" s="980"/>
    </row>
    <row r="1546" spans="1:1" x14ac:dyDescent="0.35">
      <c r="A1546" s="980"/>
    </row>
    <row r="1547" spans="1:1" x14ac:dyDescent="0.35">
      <c r="A1547" s="980"/>
    </row>
    <row r="1548" spans="1:1" x14ac:dyDescent="0.35">
      <c r="A1548" s="980"/>
    </row>
    <row r="1549" spans="1:1" x14ac:dyDescent="0.35">
      <c r="A1549" s="980"/>
    </row>
    <row r="1550" spans="1:1" x14ac:dyDescent="0.35">
      <c r="A1550" s="980"/>
    </row>
    <row r="1551" spans="1:1" x14ac:dyDescent="0.35">
      <c r="A1551" s="980"/>
    </row>
    <row r="1552" spans="1:1" x14ac:dyDescent="0.35">
      <c r="A1552" s="980"/>
    </row>
    <row r="1553" spans="1:1" x14ac:dyDescent="0.35">
      <c r="A1553" s="980"/>
    </row>
    <row r="1554" spans="1:1" x14ac:dyDescent="0.35">
      <c r="A1554" s="980"/>
    </row>
    <row r="1555" spans="1:1" x14ac:dyDescent="0.35">
      <c r="A1555" s="980"/>
    </row>
    <row r="1556" spans="1:1" x14ac:dyDescent="0.35">
      <c r="A1556" s="980"/>
    </row>
    <row r="1557" spans="1:1" x14ac:dyDescent="0.35">
      <c r="A1557" s="980"/>
    </row>
    <row r="1558" spans="1:1" x14ac:dyDescent="0.35">
      <c r="A1558" s="980"/>
    </row>
    <row r="1559" spans="1:1" x14ac:dyDescent="0.35">
      <c r="A1559" s="980"/>
    </row>
    <row r="1560" spans="1:1" x14ac:dyDescent="0.35">
      <c r="A1560" s="980"/>
    </row>
    <row r="1561" spans="1:1" x14ac:dyDescent="0.35">
      <c r="A1561" s="980"/>
    </row>
    <row r="1562" spans="1:1" x14ac:dyDescent="0.35">
      <c r="A1562" s="980"/>
    </row>
    <row r="1563" spans="1:1" x14ac:dyDescent="0.35">
      <c r="A1563" s="980"/>
    </row>
    <row r="1564" spans="1:1" x14ac:dyDescent="0.35">
      <c r="A1564" s="980"/>
    </row>
    <row r="1565" spans="1:1" x14ac:dyDescent="0.35">
      <c r="A1565" s="980"/>
    </row>
    <row r="1566" spans="1:1" x14ac:dyDescent="0.35">
      <c r="A1566" s="980"/>
    </row>
    <row r="1567" spans="1:1" x14ac:dyDescent="0.35">
      <c r="A1567" s="980"/>
    </row>
    <row r="1568" spans="1:1" x14ac:dyDescent="0.35">
      <c r="A1568" s="980"/>
    </row>
    <row r="1569" spans="1:1" x14ac:dyDescent="0.35">
      <c r="A1569" s="980"/>
    </row>
    <row r="1570" spans="1:1" x14ac:dyDescent="0.35">
      <c r="A1570" s="980"/>
    </row>
    <row r="1571" spans="1:1" x14ac:dyDescent="0.35">
      <c r="A1571" s="980"/>
    </row>
    <row r="1572" spans="1:1" x14ac:dyDescent="0.35">
      <c r="A1572" s="980"/>
    </row>
    <row r="1573" spans="1:1" x14ac:dyDescent="0.35">
      <c r="A1573" s="980"/>
    </row>
    <row r="1574" spans="1:1" x14ac:dyDescent="0.35">
      <c r="A1574" s="980"/>
    </row>
    <row r="1575" spans="1:1" x14ac:dyDescent="0.35">
      <c r="A1575" s="980"/>
    </row>
    <row r="1576" spans="1:1" x14ac:dyDescent="0.35">
      <c r="A1576" s="980"/>
    </row>
    <row r="1577" spans="1:1" x14ac:dyDescent="0.35">
      <c r="A1577" s="980"/>
    </row>
    <row r="1578" spans="1:1" x14ac:dyDescent="0.35">
      <c r="A1578" s="980"/>
    </row>
    <row r="1579" spans="1:1" x14ac:dyDescent="0.35">
      <c r="A1579" s="980"/>
    </row>
    <row r="1580" spans="1:1" x14ac:dyDescent="0.35">
      <c r="A1580" s="980"/>
    </row>
    <row r="1581" spans="1:1" x14ac:dyDescent="0.35">
      <c r="A1581" s="980"/>
    </row>
    <row r="1582" spans="1:1" x14ac:dyDescent="0.35">
      <c r="A1582" s="980"/>
    </row>
    <row r="1583" spans="1:1" x14ac:dyDescent="0.35">
      <c r="A1583" s="980"/>
    </row>
    <row r="1584" spans="1:1" x14ac:dyDescent="0.35">
      <c r="A1584" s="980"/>
    </row>
    <row r="1585" spans="1:1" x14ac:dyDescent="0.35">
      <c r="A1585" s="980"/>
    </row>
    <row r="1586" spans="1:1" x14ac:dyDescent="0.35">
      <c r="A1586" s="980"/>
    </row>
    <row r="1587" spans="1:1" x14ac:dyDescent="0.35">
      <c r="A1587" s="980"/>
    </row>
    <row r="1588" spans="1:1" x14ac:dyDescent="0.35">
      <c r="A1588" s="980"/>
    </row>
    <row r="1589" spans="1:1" x14ac:dyDescent="0.35">
      <c r="A1589" s="980"/>
    </row>
    <row r="1590" spans="1:1" x14ac:dyDescent="0.35">
      <c r="A1590" s="980"/>
    </row>
    <row r="1591" spans="1:1" x14ac:dyDescent="0.35">
      <c r="A1591" s="980"/>
    </row>
    <row r="1592" spans="1:1" x14ac:dyDescent="0.35">
      <c r="A1592" s="980"/>
    </row>
    <row r="1593" spans="1:1" x14ac:dyDescent="0.35">
      <c r="A1593" s="980"/>
    </row>
    <row r="1594" spans="1:1" x14ac:dyDescent="0.35">
      <c r="A1594" s="980"/>
    </row>
    <row r="1595" spans="1:1" x14ac:dyDescent="0.35">
      <c r="A1595" s="980"/>
    </row>
    <row r="1596" spans="1:1" x14ac:dyDescent="0.35">
      <c r="A1596" s="980"/>
    </row>
    <row r="1597" spans="1:1" x14ac:dyDescent="0.35">
      <c r="A1597" s="980"/>
    </row>
    <row r="1598" spans="1:1" x14ac:dyDescent="0.35">
      <c r="A1598" s="980"/>
    </row>
    <row r="1599" spans="1:1" x14ac:dyDescent="0.35">
      <c r="A1599" s="980"/>
    </row>
    <row r="1600" spans="1:1" x14ac:dyDescent="0.35">
      <c r="A1600" s="980"/>
    </row>
    <row r="1601" spans="1:1" x14ac:dyDescent="0.35">
      <c r="A1601" s="980"/>
    </row>
    <row r="1602" spans="1:1" x14ac:dyDescent="0.35">
      <c r="A1602" s="980"/>
    </row>
    <row r="1603" spans="1:1" x14ac:dyDescent="0.35">
      <c r="A1603" s="980"/>
    </row>
    <row r="1604" spans="1:1" x14ac:dyDescent="0.35">
      <c r="A1604" s="980"/>
    </row>
    <row r="1605" spans="1:1" x14ac:dyDescent="0.35">
      <c r="A1605" s="980"/>
    </row>
    <row r="1606" spans="1:1" x14ac:dyDescent="0.35">
      <c r="A1606" s="980"/>
    </row>
    <row r="1607" spans="1:1" x14ac:dyDescent="0.35">
      <c r="A1607" s="980"/>
    </row>
    <row r="1608" spans="1:1" x14ac:dyDescent="0.35">
      <c r="A1608" s="980"/>
    </row>
    <row r="1609" spans="1:1" x14ac:dyDescent="0.35">
      <c r="A1609" s="980"/>
    </row>
    <row r="1610" spans="1:1" x14ac:dyDescent="0.35">
      <c r="A1610" s="980"/>
    </row>
    <row r="1611" spans="1:1" x14ac:dyDescent="0.35">
      <c r="A1611" s="980"/>
    </row>
    <row r="1612" spans="1:1" x14ac:dyDescent="0.35">
      <c r="A1612" s="980"/>
    </row>
    <row r="1613" spans="1:1" x14ac:dyDescent="0.35">
      <c r="A1613" s="980"/>
    </row>
    <row r="1614" spans="1:1" x14ac:dyDescent="0.35">
      <c r="A1614" s="980"/>
    </row>
    <row r="1615" spans="1:1" x14ac:dyDescent="0.35">
      <c r="A1615" s="980"/>
    </row>
    <row r="1616" spans="1:1" x14ac:dyDescent="0.35">
      <c r="A1616" s="980"/>
    </row>
    <row r="1617" spans="1:1" x14ac:dyDescent="0.35">
      <c r="A1617" s="980"/>
    </row>
    <row r="1618" spans="1:1" x14ac:dyDescent="0.35">
      <c r="A1618" s="980"/>
    </row>
    <row r="1619" spans="1:1" x14ac:dyDescent="0.35">
      <c r="A1619" s="980"/>
    </row>
    <row r="1620" spans="1:1" x14ac:dyDescent="0.35">
      <c r="A1620" s="980"/>
    </row>
    <row r="1621" spans="1:1" x14ac:dyDescent="0.35">
      <c r="A1621" s="980"/>
    </row>
    <row r="1622" spans="1:1" x14ac:dyDescent="0.35">
      <c r="A1622" s="980"/>
    </row>
    <row r="1623" spans="1:1" x14ac:dyDescent="0.35">
      <c r="A1623" s="980"/>
    </row>
    <row r="1624" spans="1:1" x14ac:dyDescent="0.35">
      <c r="A1624" s="980"/>
    </row>
    <row r="1625" spans="1:1" x14ac:dyDescent="0.35">
      <c r="A1625" s="980"/>
    </row>
    <row r="1626" spans="1:1" x14ac:dyDescent="0.35">
      <c r="A1626" s="980"/>
    </row>
    <row r="1627" spans="1:1" x14ac:dyDescent="0.35">
      <c r="A1627" s="980"/>
    </row>
    <row r="1628" spans="1:1" x14ac:dyDescent="0.35">
      <c r="A1628" s="980"/>
    </row>
    <row r="1629" spans="1:1" x14ac:dyDescent="0.35">
      <c r="A1629" s="980"/>
    </row>
    <row r="1630" spans="1:1" x14ac:dyDescent="0.35">
      <c r="A1630" s="980"/>
    </row>
    <row r="1631" spans="1:1" x14ac:dyDescent="0.35">
      <c r="A1631" s="980"/>
    </row>
    <row r="1632" spans="1:1" x14ac:dyDescent="0.35">
      <c r="A1632" s="980"/>
    </row>
    <row r="1633" spans="1:1" x14ac:dyDescent="0.35">
      <c r="A1633" s="980"/>
    </row>
    <row r="1634" spans="1:1" x14ac:dyDescent="0.35">
      <c r="A1634" s="980"/>
    </row>
    <row r="1635" spans="1:1" x14ac:dyDescent="0.35">
      <c r="A1635" s="980"/>
    </row>
    <row r="1636" spans="1:1" x14ac:dyDescent="0.35">
      <c r="A1636" s="980"/>
    </row>
    <row r="1637" spans="1:1" x14ac:dyDescent="0.35">
      <c r="A1637" s="980"/>
    </row>
    <row r="1638" spans="1:1" x14ac:dyDescent="0.35">
      <c r="A1638" s="980"/>
    </row>
    <row r="1639" spans="1:1" x14ac:dyDescent="0.35">
      <c r="A1639" s="980"/>
    </row>
    <row r="1640" spans="1:1" x14ac:dyDescent="0.35">
      <c r="A1640" s="980"/>
    </row>
    <row r="1641" spans="1:1" x14ac:dyDescent="0.35">
      <c r="A1641" s="980"/>
    </row>
    <row r="1642" spans="1:1" x14ac:dyDescent="0.35">
      <c r="A1642" s="980"/>
    </row>
    <row r="1643" spans="1:1" x14ac:dyDescent="0.35">
      <c r="A1643" s="980"/>
    </row>
    <row r="1644" spans="1:1" x14ac:dyDescent="0.35">
      <c r="A1644" s="980"/>
    </row>
    <row r="1645" spans="1:1" x14ac:dyDescent="0.35">
      <c r="A1645" s="980"/>
    </row>
    <row r="1646" spans="1:1" x14ac:dyDescent="0.35">
      <c r="A1646" s="980"/>
    </row>
    <row r="1647" spans="1:1" x14ac:dyDescent="0.35">
      <c r="A1647" s="980"/>
    </row>
    <row r="1648" spans="1:1" x14ac:dyDescent="0.35">
      <c r="A1648" s="980"/>
    </row>
    <row r="1649" spans="1:1" x14ac:dyDescent="0.35">
      <c r="A1649" s="980"/>
    </row>
    <row r="1650" spans="1:1" x14ac:dyDescent="0.35">
      <c r="A1650" s="980"/>
    </row>
    <row r="1651" spans="1:1" x14ac:dyDescent="0.35">
      <c r="A1651" s="980"/>
    </row>
    <row r="1652" spans="1:1" x14ac:dyDescent="0.35">
      <c r="A1652" s="980"/>
    </row>
    <row r="1653" spans="1:1" x14ac:dyDescent="0.35">
      <c r="A1653" s="980"/>
    </row>
    <row r="1654" spans="1:1" x14ac:dyDescent="0.35">
      <c r="A1654" s="980"/>
    </row>
    <row r="1655" spans="1:1" x14ac:dyDescent="0.35">
      <c r="A1655" s="980"/>
    </row>
    <row r="1656" spans="1:1" x14ac:dyDescent="0.35">
      <c r="A1656" s="980"/>
    </row>
    <row r="1657" spans="1:1" x14ac:dyDescent="0.35">
      <c r="A1657" s="980"/>
    </row>
    <row r="1658" spans="1:1" x14ac:dyDescent="0.35">
      <c r="A1658" s="980"/>
    </row>
    <row r="1659" spans="1:1" x14ac:dyDescent="0.35">
      <c r="A1659" s="980"/>
    </row>
    <row r="1660" spans="1:1" x14ac:dyDescent="0.35">
      <c r="A1660" s="980"/>
    </row>
    <row r="1661" spans="1:1" x14ac:dyDescent="0.35">
      <c r="A1661" s="980"/>
    </row>
    <row r="1662" spans="1:1" x14ac:dyDescent="0.35">
      <c r="A1662" s="980"/>
    </row>
    <row r="1663" spans="1:1" x14ac:dyDescent="0.35">
      <c r="A1663" s="980"/>
    </row>
    <row r="1664" spans="1:1" x14ac:dyDescent="0.35">
      <c r="A1664" s="980"/>
    </row>
    <row r="1665" spans="1:1" x14ac:dyDescent="0.35">
      <c r="A1665" s="980"/>
    </row>
    <row r="1666" spans="1:1" x14ac:dyDescent="0.35">
      <c r="A1666" s="980"/>
    </row>
    <row r="1667" spans="1:1" x14ac:dyDescent="0.35">
      <c r="A1667" s="980"/>
    </row>
    <row r="1668" spans="1:1" x14ac:dyDescent="0.35">
      <c r="A1668" s="980"/>
    </row>
    <row r="1669" spans="1:1" x14ac:dyDescent="0.35">
      <c r="A1669" s="980"/>
    </row>
    <row r="1670" spans="1:1" x14ac:dyDescent="0.35">
      <c r="A1670" s="980"/>
    </row>
    <row r="1671" spans="1:1" x14ac:dyDescent="0.35">
      <c r="A1671" s="980"/>
    </row>
    <row r="1672" spans="1:1" x14ac:dyDescent="0.35">
      <c r="A1672" s="980"/>
    </row>
    <row r="1673" spans="1:1" x14ac:dyDescent="0.35">
      <c r="A1673" s="980"/>
    </row>
    <row r="1674" spans="1:1" x14ac:dyDescent="0.35">
      <c r="A1674" s="980"/>
    </row>
    <row r="1675" spans="1:1" x14ac:dyDescent="0.35">
      <c r="A1675" s="980"/>
    </row>
    <row r="1676" spans="1:1" x14ac:dyDescent="0.35">
      <c r="A1676" s="980"/>
    </row>
    <row r="1677" spans="1:1" x14ac:dyDescent="0.35">
      <c r="A1677" s="980"/>
    </row>
    <row r="1678" spans="1:1" x14ac:dyDescent="0.35">
      <c r="A1678" s="980"/>
    </row>
    <row r="1679" spans="1:1" x14ac:dyDescent="0.35">
      <c r="A1679" s="980"/>
    </row>
    <row r="1680" spans="1:1" x14ac:dyDescent="0.35">
      <c r="A1680" s="980"/>
    </row>
    <row r="1681" spans="1:1" x14ac:dyDescent="0.35">
      <c r="A1681" s="980"/>
    </row>
    <row r="1682" spans="1:1" x14ac:dyDescent="0.35">
      <c r="A1682" s="980"/>
    </row>
    <row r="1683" spans="1:1" x14ac:dyDescent="0.35">
      <c r="A1683" s="980"/>
    </row>
    <row r="1684" spans="1:1" x14ac:dyDescent="0.35">
      <c r="A1684" s="980"/>
    </row>
    <row r="1685" spans="1:1" x14ac:dyDescent="0.35">
      <c r="A1685" s="980"/>
    </row>
    <row r="1686" spans="1:1" x14ac:dyDescent="0.35">
      <c r="A1686" s="980"/>
    </row>
    <row r="1687" spans="1:1" x14ac:dyDescent="0.35">
      <c r="A1687" s="980"/>
    </row>
    <row r="1688" spans="1:1" x14ac:dyDescent="0.35">
      <c r="A1688" s="980"/>
    </row>
    <row r="1689" spans="1:1" x14ac:dyDescent="0.35">
      <c r="A1689" s="980"/>
    </row>
    <row r="1690" spans="1:1" x14ac:dyDescent="0.35">
      <c r="A1690" s="980"/>
    </row>
    <row r="1691" spans="1:1" x14ac:dyDescent="0.35">
      <c r="A1691" s="980"/>
    </row>
    <row r="1692" spans="1:1" x14ac:dyDescent="0.35">
      <c r="A1692" s="980"/>
    </row>
    <row r="1693" spans="1:1" x14ac:dyDescent="0.35">
      <c r="A1693" s="980"/>
    </row>
    <row r="1694" spans="1:1" x14ac:dyDescent="0.35">
      <c r="A1694" s="980"/>
    </row>
    <row r="1695" spans="1:1" x14ac:dyDescent="0.35">
      <c r="A1695" s="980"/>
    </row>
    <row r="1696" spans="1:1" x14ac:dyDescent="0.35">
      <c r="A1696" s="980"/>
    </row>
    <row r="1697" spans="1:1" x14ac:dyDescent="0.35">
      <c r="A1697" s="980"/>
    </row>
    <row r="1698" spans="1:1" x14ac:dyDescent="0.35">
      <c r="A1698" s="980"/>
    </row>
    <row r="1699" spans="1:1" x14ac:dyDescent="0.35">
      <c r="A1699" s="980"/>
    </row>
    <row r="1700" spans="1:1" x14ac:dyDescent="0.35">
      <c r="A1700" s="980"/>
    </row>
    <row r="1701" spans="1:1" x14ac:dyDescent="0.35">
      <c r="A1701" s="980"/>
    </row>
    <row r="1702" spans="1:1" x14ac:dyDescent="0.35">
      <c r="A1702" s="980"/>
    </row>
    <row r="1703" spans="1:1" x14ac:dyDescent="0.35">
      <c r="A1703" s="980"/>
    </row>
    <row r="1704" spans="1:1" x14ac:dyDescent="0.35">
      <c r="A1704" s="980"/>
    </row>
    <row r="1705" spans="1:1" x14ac:dyDescent="0.35">
      <c r="A1705" s="980"/>
    </row>
    <row r="1706" spans="1:1" x14ac:dyDescent="0.35">
      <c r="A1706" s="980"/>
    </row>
    <row r="1707" spans="1:1" x14ac:dyDescent="0.35">
      <c r="A1707" s="980"/>
    </row>
    <row r="1708" spans="1:1" x14ac:dyDescent="0.35">
      <c r="A1708" s="980"/>
    </row>
    <row r="1709" spans="1:1" x14ac:dyDescent="0.35">
      <c r="A1709" s="980"/>
    </row>
    <row r="1710" spans="1:1" x14ac:dyDescent="0.35">
      <c r="A1710" s="980"/>
    </row>
    <row r="1711" spans="1:1" x14ac:dyDescent="0.35">
      <c r="A1711" s="980"/>
    </row>
    <row r="1712" spans="1:1" x14ac:dyDescent="0.35">
      <c r="A1712" s="980"/>
    </row>
    <row r="1713" spans="1:1" x14ac:dyDescent="0.35">
      <c r="A1713" s="980"/>
    </row>
    <row r="1714" spans="1:1" x14ac:dyDescent="0.35">
      <c r="A1714" s="980"/>
    </row>
    <row r="1715" spans="1:1" x14ac:dyDescent="0.35">
      <c r="A1715" s="980"/>
    </row>
    <row r="1716" spans="1:1" x14ac:dyDescent="0.35">
      <c r="A1716" s="980"/>
    </row>
    <row r="1717" spans="1:1" x14ac:dyDescent="0.35">
      <c r="A1717" s="980"/>
    </row>
    <row r="1718" spans="1:1" x14ac:dyDescent="0.35">
      <c r="A1718" s="980"/>
    </row>
    <row r="1719" spans="1:1" x14ac:dyDescent="0.35">
      <c r="A1719" s="980"/>
    </row>
    <row r="1720" spans="1:1" x14ac:dyDescent="0.35">
      <c r="A1720" s="980"/>
    </row>
    <row r="1721" spans="1:1" x14ac:dyDescent="0.35">
      <c r="A1721" s="980"/>
    </row>
    <row r="1722" spans="1:1" x14ac:dyDescent="0.35">
      <c r="A1722" s="980"/>
    </row>
    <row r="1723" spans="1:1" x14ac:dyDescent="0.35">
      <c r="A1723" s="980"/>
    </row>
    <row r="1724" spans="1:1" x14ac:dyDescent="0.35">
      <c r="A1724" s="980"/>
    </row>
    <row r="1725" spans="1:1" x14ac:dyDescent="0.35">
      <c r="A1725" s="980"/>
    </row>
    <row r="1726" spans="1:1" x14ac:dyDescent="0.35">
      <c r="A1726" s="980"/>
    </row>
    <row r="1727" spans="1:1" x14ac:dyDescent="0.35">
      <c r="A1727" s="980"/>
    </row>
    <row r="1728" spans="1:1" x14ac:dyDescent="0.35">
      <c r="A1728" s="980"/>
    </row>
    <row r="1729" spans="1:1" x14ac:dyDescent="0.35">
      <c r="A1729" s="980"/>
    </row>
    <row r="1730" spans="1:1" x14ac:dyDescent="0.35">
      <c r="A1730" s="980"/>
    </row>
    <row r="1731" spans="1:1" x14ac:dyDescent="0.35">
      <c r="A1731" s="980"/>
    </row>
    <row r="1732" spans="1:1" x14ac:dyDescent="0.35">
      <c r="A1732" s="980"/>
    </row>
    <row r="1733" spans="1:1" x14ac:dyDescent="0.35">
      <c r="A1733" s="980"/>
    </row>
    <row r="1734" spans="1:1" x14ac:dyDescent="0.35">
      <c r="A1734" s="980"/>
    </row>
    <row r="1735" spans="1:1" x14ac:dyDescent="0.35">
      <c r="A1735" s="980"/>
    </row>
    <row r="1736" spans="1:1" x14ac:dyDescent="0.35">
      <c r="A1736" s="980"/>
    </row>
    <row r="1737" spans="1:1" x14ac:dyDescent="0.35">
      <c r="A1737" s="980"/>
    </row>
    <row r="1738" spans="1:1" x14ac:dyDescent="0.35">
      <c r="A1738" s="980"/>
    </row>
    <row r="1739" spans="1:1" x14ac:dyDescent="0.35">
      <c r="A1739" s="980"/>
    </row>
    <row r="1740" spans="1:1" x14ac:dyDescent="0.35">
      <c r="A1740" s="980"/>
    </row>
    <row r="1741" spans="1:1" x14ac:dyDescent="0.35">
      <c r="A1741" s="980"/>
    </row>
    <row r="1742" spans="1:1" x14ac:dyDescent="0.35">
      <c r="A1742" s="980"/>
    </row>
    <row r="1743" spans="1:1" x14ac:dyDescent="0.35">
      <c r="A1743" s="980"/>
    </row>
    <row r="1744" spans="1:1" x14ac:dyDescent="0.35">
      <c r="A1744" s="980"/>
    </row>
    <row r="1745" spans="1:1" x14ac:dyDescent="0.35">
      <c r="A1745" s="980"/>
    </row>
    <row r="1746" spans="1:1" x14ac:dyDescent="0.35">
      <c r="A1746" s="980"/>
    </row>
    <row r="1747" spans="1:1" x14ac:dyDescent="0.35">
      <c r="A1747" s="980"/>
    </row>
    <row r="1748" spans="1:1" x14ac:dyDescent="0.35">
      <c r="A1748" s="980"/>
    </row>
    <row r="1749" spans="1:1" x14ac:dyDescent="0.35">
      <c r="A1749" s="980"/>
    </row>
    <row r="1750" spans="1:1" x14ac:dyDescent="0.35">
      <c r="A1750" s="980"/>
    </row>
    <row r="1751" spans="1:1" x14ac:dyDescent="0.35">
      <c r="A1751" s="980"/>
    </row>
    <row r="1752" spans="1:1" x14ac:dyDescent="0.35">
      <c r="A1752" s="980"/>
    </row>
    <row r="1753" spans="1:1" x14ac:dyDescent="0.35">
      <c r="A1753" s="980"/>
    </row>
    <row r="1754" spans="1:1" x14ac:dyDescent="0.35">
      <c r="A1754" s="980"/>
    </row>
    <row r="1755" spans="1:1" x14ac:dyDescent="0.35">
      <c r="A1755" s="980"/>
    </row>
    <row r="1756" spans="1:1" x14ac:dyDescent="0.35">
      <c r="A1756" s="980"/>
    </row>
    <row r="1757" spans="1:1" x14ac:dyDescent="0.35">
      <c r="A1757" s="980"/>
    </row>
    <row r="1758" spans="1:1" x14ac:dyDescent="0.35">
      <c r="A1758" s="980"/>
    </row>
    <row r="1759" spans="1:1" x14ac:dyDescent="0.35">
      <c r="A1759" s="980"/>
    </row>
    <row r="1760" spans="1:1" x14ac:dyDescent="0.35">
      <c r="A1760" s="980"/>
    </row>
    <row r="1761" spans="1:1" x14ac:dyDescent="0.35">
      <c r="A1761" s="980"/>
    </row>
    <row r="1762" spans="1:1" x14ac:dyDescent="0.35">
      <c r="A1762" s="980"/>
    </row>
    <row r="1763" spans="1:1" x14ac:dyDescent="0.35">
      <c r="A1763" s="980"/>
    </row>
    <row r="1764" spans="1:1" x14ac:dyDescent="0.35">
      <c r="A1764" s="980"/>
    </row>
    <row r="1765" spans="1:1" x14ac:dyDescent="0.35">
      <c r="A1765" s="980"/>
    </row>
    <row r="1766" spans="1:1" x14ac:dyDescent="0.35">
      <c r="A1766" s="980"/>
    </row>
    <row r="1767" spans="1:1" x14ac:dyDescent="0.35">
      <c r="A1767" s="980"/>
    </row>
    <row r="1768" spans="1:1" x14ac:dyDescent="0.35">
      <c r="A1768" s="980"/>
    </row>
    <row r="1769" spans="1:1" x14ac:dyDescent="0.35">
      <c r="A1769" s="980"/>
    </row>
    <row r="1770" spans="1:1" x14ac:dyDescent="0.35">
      <c r="A1770" s="980"/>
    </row>
    <row r="1771" spans="1:1" x14ac:dyDescent="0.35">
      <c r="A1771" s="980"/>
    </row>
    <row r="1772" spans="1:1" x14ac:dyDescent="0.35">
      <c r="A1772" s="980"/>
    </row>
    <row r="1773" spans="1:1" x14ac:dyDescent="0.35">
      <c r="A1773" s="980"/>
    </row>
    <row r="1774" spans="1:1" x14ac:dyDescent="0.35">
      <c r="A1774" s="980"/>
    </row>
    <row r="1775" spans="1:1" x14ac:dyDescent="0.35">
      <c r="A1775" s="980"/>
    </row>
    <row r="1776" spans="1:1" x14ac:dyDescent="0.35">
      <c r="A1776" s="980"/>
    </row>
    <row r="1777" spans="1:1" x14ac:dyDescent="0.35">
      <c r="A1777" s="980"/>
    </row>
    <row r="1778" spans="1:1" x14ac:dyDescent="0.35">
      <c r="A1778" s="980"/>
    </row>
    <row r="1779" spans="1:1" x14ac:dyDescent="0.35">
      <c r="A1779" s="980"/>
    </row>
    <row r="1780" spans="1:1" x14ac:dyDescent="0.35">
      <c r="A1780" s="980"/>
    </row>
    <row r="1781" spans="1:1" x14ac:dyDescent="0.35">
      <c r="A1781" s="980"/>
    </row>
    <row r="1782" spans="1:1" x14ac:dyDescent="0.35">
      <c r="A1782" s="980"/>
    </row>
    <row r="1783" spans="1:1" x14ac:dyDescent="0.35">
      <c r="A1783" s="980"/>
    </row>
    <row r="1784" spans="1:1" x14ac:dyDescent="0.35">
      <c r="A1784" s="980"/>
    </row>
    <row r="1785" spans="1:1" x14ac:dyDescent="0.35">
      <c r="A1785" s="980"/>
    </row>
    <row r="1786" spans="1:1" x14ac:dyDescent="0.35">
      <c r="A1786" s="980"/>
    </row>
    <row r="1787" spans="1:1" x14ac:dyDescent="0.35">
      <c r="A1787" s="980"/>
    </row>
    <row r="1788" spans="1:1" x14ac:dyDescent="0.35">
      <c r="A1788" s="980"/>
    </row>
    <row r="1789" spans="1:1" x14ac:dyDescent="0.35">
      <c r="A1789" s="980"/>
    </row>
    <row r="1790" spans="1:1" x14ac:dyDescent="0.35">
      <c r="A1790" s="980"/>
    </row>
    <row r="1791" spans="1:1" x14ac:dyDescent="0.35">
      <c r="A1791" s="980"/>
    </row>
    <row r="1792" spans="1:1" x14ac:dyDescent="0.35">
      <c r="A1792" s="980"/>
    </row>
    <row r="1793" spans="1:1" x14ac:dyDescent="0.35">
      <c r="A1793" s="980"/>
    </row>
    <row r="1794" spans="1:1" x14ac:dyDescent="0.35">
      <c r="A1794" s="980"/>
    </row>
    <row r="1795" spans="1:1" x14ac:dyDescent="0.35">
      <c r="A1795" s="980"/>
    </row>
    <row r="1796" spans="1:1" x14ac:dyDescent="0.35">
      <c r="A1796" s="980"/>
    </row>
    <row r="1797" spans="1:1" x14ac:dyDescent="0.35">
      <c r="A1797" s="980"/>
    </row>
    <row r="1798" spans="1:1" x14ac:dyDescent="0.35">
      <c r="A1798" s="980"/>
    </row>
    <row r="1799" spans="1:1" x14ac:dyDescent="0.35">
      <c r="A1799" s="980"/>
    </row>
    <row r="1800" spans="1:1" x14ac:dyDescent="0.35">
      <c r="A1800" s="980"/>
    </row>
    <row r="1801" spans="1:1" x14ac:dyDescent="0.35">
      <c r="A1801" s="980"/>
    </row>
    <row r="1802" spans="1:1" x14ac:dyDescent="0.35">
      <c r="A1802" s="980"/>
    </row>
    <row r="1803" spans="1:1" x14ac:dyDescent="0.35">
      <c r="A1803" s="980"/>
    </row>
    <row r="1804" spans="1:1" x14ac:dyDescent="0.35">
      <c r="A1804" s="980"/>
    </row>
    <row r="1805" spans="1:1" x14ac:dyDescent="0.35">
      <c r="A1805" s="980"/>
    </row>
    <row r="1806" spans="1:1" x14ac:dyDescent="0.35">
      <c r="A1806" s="980"/>
    </row>
    <row r="1807" spans="1:1" x14ac:dyDescent="0.35">
      <c r="A1807" s="980"/>
    </row>
    <row r="1808" spans="1:1" x14ac:dyDescent="0.35">
      <c r="A1808" s="980"/>
    </row>
    <row r="1809" spans="1:1" x14ac:dyDescent="0.35">
      <c r="A1809" s="980"/>
    </row>
    <row r="1810" spans="1:1" x14ac:dyDescent="0.35">
      <c r="A1810" s="980"/>
    </row>
    <row r="1811" spans="1:1" x14ac:dyDescent="0.35">
      <c r="A1811" s="980"/>
    </row>
    <row r="1812" spans="1:1" x14ac:dyDescent="0.35">
      <c r="A1812" s="980"/>
    </row>
    <row r="1813" spans="1:1" x14ac:dyDescent="0.35">
      <c r="A1813" s="980"/>
    </row>
    <row r="1814" spans="1:1" x14ac:dyDescent="0.35">
      <c r="A1814" s="980"/>
    </row>
    <row r="1815" spans="1:1" x14ac:dyDescent="0.35">
      <c r="A1815" s="980"/>
    </row>
    <row r="1816" spans="1:1" x14ac:dyDescent="0.35">
      <c r="A1816" s="980"/>
    </row>
    <row r="1817" spans="1:1" x14ac:dyDescent="0.35">
      <c r="A1817" s="980"/>
    </row>
    <row r="1818" spans="1:1" x14ac:dyDescent="0.35">
      <c r="A1818" s="980"/>
    </row>
    <row r="1819" spans="1:1" x14ac:dyDescent="0.35">
      <c r="A1819" s="980"/>
    </row>
    <row r="1820" spans="1:1" x14ac:dyDescent="0.35">
      <c r="A1820" s="980"/>
    </row>
    <row r="1821" spans="1:1" x14ac:dyDescent="0.35">
      <c r="A1821" s="980"/>
    </row>
    <row r="1822" spans="1:1" x14ac:dyDescent="0.35">
      <c r="A1822" s="980"/>
    </row>
    <row r="1823" spans="1:1" x14ac:dyDescent="0.35">
      <c r="A1823" s="980"/>
    </row>
    <row r="1824" spans="1:1" x14ac:dyDescent="0.35">
      <c r="A1824" s="980"/>
    </row>
    <row r="1825" spans="1:1" x14ac:dyDescent="0.35">
      <c r="A1825" s="980"/>
    </row>
    <row r="1826" spans="1:1" x14ac:dyDescent="0.35">
      <c r="A1826" s="980"/>
    </row>
    <row r="1827" spans="1:1" x14ac:dyDescent="0.35">
      <c r="A1827" s="980"/>
    </row>
    <row r="1828" spans="1:1" x14ac:dyDescent="0.35">
      <c r="A1828" s="980"/>
    </row>
    <row r="1829" spans="1:1" x14ac:dyDescent="0.35">
      <c r="A1829" s="980"/>
    </row>
    <row r="1830" spans="1:1" x14ac:dyDescent="0.35">
      <c r="A1830" s="980"/>
    </row>
    <row r="1831" spans="1:1" x14ac:dyDescent="0.35">
      <c r="A1831" s="980"/>
    </row>
    <row r="1832" spans="1:1" x14ac:dyDescent="0.35">
      <c r="A1832" s="980"/>
    </row>
    <row r="1833" spans="1:1" x14ac:dyDescent="0.35">
      <c r="A1833" s="980"/>
    </row>
    <row r="1834" spans="1:1" x14ac:dyDescent="0.35">
      <c r="A1834" s="980"/>
    </row>
    <row r="1835" spans="1:1" x14ac:dyDescent="0.35">
      <c r="A1835" s="980"/>
    </row>
    <row r="1836" spans="1:1" x14ac:dyDescent="0.35">
      <c r="A1836" s="980"/>
    </row>
    <row r="1837" spans="1:1" x14ac:dyDescent="0.35">
      <c r="A1837" s="980"/>
    </row>
    <row r="1838" spans="1:1" x14ac:dyDescent="0.35">
      <c r="A1838" s="980"/>
    </row>
    <row r="1839" spans="1:1" x14ac:dyDescent="0.35">
      <c r="A1839" s="980"/>
    </row>
    <row r="1840" spans="1:1" x14ac:dyDescent="0.35">
      <c r="A1840" s="980"/>
    </row>
    <row r="1841" spans="1:1" x14ac:dyDescent="0.35">
      <c r="A1841" s="980"/>
    </row>
    <row r="1842" spans="1:1" x14ac:dyDescent="0.35">
      <c r="A1842" s="980"/>
    </row>
    <row r="1843" spans="1:1" x14ac:dyDescent="0.35">
      <c r="A1843" s="980"/>
    </row>
    <row r="1844" spans="1:1" x14ac:dyDescent="0.35">
      <c r="A1844" s="980"/>
    </row>
    <row r="1845" spans="1:1" x14ac:dyDescent="0.35">
      <c r="A1845" s="980"/>
    </row>
    <row r="1846" spans="1:1" x14ac:dyDescent="0.35">
      <c r="A1846" s="980"/>
    </row>
    <row r="1847" spans="1:1" x14ac:dyDescent="0.35">
      <c r="A1847" s="980"/>
    </row>
    <row r="1848" spans="1:1" x14ac:dyDescent="0.35">
      <c r="A1848" s="980"/>
    </row>
    <row r="1849" spans="1:1" x14ac:dyDescent="0.35">
      <c r="A1849" s="980"/>
    </row>
    <row r="1850" spans="1:1" x14ac:dyDescent="0.35">
      <c r="A1850" s="980"/>
    </row>
    <row r="1851" spans="1:1" x14ac:dyDescent="0.35">
      <c r="A1851" s="980"/>
    </row>
    <row r="1852" spans="1:1" x14ac:dyDescent="0.35">
      <c r="A1852" s="980"/>
    </row>
    <row r="1853" spans="1:1" x14ac:dyDescent="0.35">
      <c r="A1853" s="980"/>
    </row>
    <row r="1854" spans="1:1" x14ac:dyDescent="0.35">
      <c r="A1854" s="980"/>
    </row>
    <row r="1855" spans="1:1" x14ac:dyDescent="0.35">
      <c r="A1855" s="980"/>
    </row>
    <row r="1856" spans="1:1" x14ac:dyDescent="0.35">
      <c r="A1856" s="980"/>
    </row>
    <row r="1857" spans="1:1" x14ac:dyDescent="0.35">
      <c r="A1857" s="980"/>
    </row>
    <row r="1858" spans="1:1" x14ac:dyDescent="0.35">
      <c r="A1858" s="980"/>
    </row>
    <row r="1859" spans="1:1" x14ac:dyDescent="0.35">
      <c r="A1859" s="980"/>
    </row>
    <row r="1860" spans="1:1" x14ac:dyDescent="0.35">
      <c r="A1860" s="980"/>
    </row>
    <row r="1861" spans="1:1" x14ac:dyDescent="0.35">
      <c r="A1861" s="980"/>
    </row>
    <row r="1862" spans="1:1" x14ac:dyDescent="0.35">
      <c r="A1862" s="980"/>
    </row>
    <row r="1863" spans="1:1" x14ac:dyDescent="0.35">
      <c r="A1863" s="980"/>
    </row>
    <row r="1864" spans="1:1" x14ac:dyDescent="0.35">
      <c r="A1864" s="980"/>
    </row>
    <row r="1865" spans="1:1" x14ac:dyDescent="0.35">
      <c r="A1865" s="980"/>
    </row>
    <row r="1866" spans="1:1" x14ac:dyDescent="0.35">
      <c r="A1866" s="980"/>
    </row>
    <row r="1867" spans="1:1" x14ac:dyDescent="0.35">
      <c r="A1867" s="980"/>
    </row>
    <row r="1868" spans="1:1" x14ac:dyDescent="0.35">
      <c r="A1868" s="980"/>
    </row>
    <row r="1869" spans="1:1" x14ac:dyDescent="0.35">
      <c r="A1869" s="980"/>
    </row>
    <row r="1870" spans="1:1" x14ac:dyDescent="0.35">
      <c r="A1870" s="980"/>
    </row>
    <row r="1871" spans="1:1" x14ac:dyDescent="0.35">
      <c r="A1871" s="980"/>
    </row>
    <row r="1872" spans="1:1" x14ac:dyDescent="0.35">
      <c r="A1872" s="980"/>
    </row>
    <row r="1873" spans="1:1" x14ac:dyDescent="0.35">
      <c r="A1873" s="980"/>
    </row>
    <row r="1874" spans="1:1" x14ac:dyDescent="0.35">
      <c r="A1874" s="980"/>
    </row>
    <row r="1875" spans="1:1" x14ac:dyDescent="0.35">
      <c r="A1875" s="980"/>
    </row>
    <row r="1876" spans="1:1" x14ac:dyDescent="0.35">
      <c r="A1876" s="980"/>
    </row>
    <row r="1877" spans="1:1" x14ac:dyDescent="0.35">
      <c r="A1877" s="98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362"/>
  <sheetViews>
    <sheetView zoomScaleNormal="100" workbookViewId="0">
      <selection activeCell="A8" sqref="A2:H2246"/>
    </sheetView>
  </sheetViews>
  <sheetFormatPr baseColWidth="10" defaultColWidth="9.1796875" defaultRowHeight="14.5" x14ac:dyDescent="0.35"/>
  <cols>
    <col min="1" max="1" width="71.08984375" style="900" bestFit="1" customWidth="1"/>
    <col min="2" max="9" width="8.81640625" style="900"/>
    <col min="10" max="16384" width="9.1796875" style="190"/>
  </cols>
  <sheetData>
    <row r="1" spans="1:10" x14ac:dyDescent="0.35">
      <c r="B1" s="980"/>
      <c r="C1" s="980"/>
      <c r="D1" s="980"/>
      <c r="E1" s="980"/>
      <c r="F1" s="980"/>
      <c r="G1" s="980"/>
      <c r="H1" s="980"/>
      <c r="I1" s="901"/>
      <c r="J1" s="364"/>
    </row>
    <row r="2" spans="1:10" ht="14.5" customHeight="1" x14ac:dyDescent="0.35">
      <c r="A2" s="980"/>
      <c r="J2" s="363"/>
    </row>
    <row r="3" spans="1:10" ht="14.5" customHeight="1" x14ac:dyDescent="0.35">
      <c r="A3" s="980"/>
      <c r="J3" s="363"/>
    </row>
    <row r="4" spans="1:10" ht="14.5" customHeight="1" x14ac:dyDescent="0.35">
      <c r="A4" s="980"/>
      <c r="J4" s="363"/>
    </row>
    <row r="5" spans="1:10" ht="14.5" customHeight="1" x14ac:dyDescent="0.35">
      <c r="A5" s="980"/>
      <c r="J5" s="363"/>
    </row>
    <row r="6" spans="1:10" ht="14.5" customHeight="1" x14ac:dyDescent="0.35">
      <c r="A6" s="980"/>
      <c r="J6" s="363"/>
    </row>
    <row r="7" spans="1:10" ht="14.5" customHeight="1" x14ac:dyDescent="0.35">
      <c r="A7" s="980"/>
      <c r="J7" s="363"/>
    </row>
    <row r="8" spans="1:10" ht="14.5" customHeight="1" x14ac:dyDescent="0.35">
      <c r="A8" s="980"/>
      <c r="J8" s="363"/>
    </row>
    <row r="9" spans="1:10" ht="14.5" customHeight="1" x14ac:dyDescent="0.35">
      <c r="A9" s="980"/>
      <c r="J9" s="363"/>
    </row>
    <row r="10" spans="1:10" ht="14.5" customHeight="1" x14ac:dyDescent="0.35">
      <c r="A10" s="980"/>
      <c r="J10" s="363"/>
    </row>
    <row r="11" spans="1:10" ht="14.5" customHeight="1" x14ac:dyDescent="0.35">
      <c r="A11" s="980"/>
      <c r="J11" s="363"/>
    </row>
    <row r="12" spans="1:10" ht="14.5" customHeight="1" x14ac:dyDescent="0.35">
      <c r="A12" s="980"/>
      <c r="J12" s="363"/>
    </row>
    <row r="13" spans="1:10" ht="14.5" customHeight="1" x14ac:dyDescent="0.35">
      <c r="A13" s="980"/>
      <c r="J13" s="363"/>
    </row>
    <row r="14" spans="1:10" ht="14.5" customHeight="1" x14ac:dyDescent="0.35">
      <c r="A14" s="980"/>
      <c r="J14" s="363"/>
    </row>
    <row r="15" spans="1:10" ht="14.5" customHeight="1" x14ac:dyDescent="0.35">
      <c r="A15" s="980"/>
      <c r="J15" s="363"/>
    </row>
    <row r="16" spans="1:10" ht="14.5" customHeight="1" x14ac:dyDescent="0.35">
      <c r="A16" s="980"/>
      <c r="J16" s="363"/>
    </row>
    <row r="17" spans="1:10" ht="14.5" customHeight="1" x14ac:dyDescent="0.35">
      <c r="A17" s="980"/>
      <c r="J17" s="363"/>
    </row>
    <row r="18" spans="1:10" ht="14.5" customHeight="1" x14ac:dyDescent="0.35">
      <c r="A18" s="980"/>
      <c r="J18" s="363"/>
    </row>
    <row r="19" spans="1:10" ht="14.5" customHeight="1" x14ac:dyDescent="0.35">
      <c r="A19" s="980"/>
      <c r="J19" s="363"/>
    </row>
    <row r="20" spans="1:10" ht="14.5" customHeight="1" x14ac:dyDescent="0.35">
      <c r="A20" s="980"/>
      <c r="J20" s="363"/>
    </row>
    <row r="21" spans="1:10" ht="14.5" customHeight="1" x14ac:dyDescent="0.35">
      <c r="A21" s="980"/>
      <c r="J21" s="363"/>
    </row>
    <row r="22" spans="1:10" ht="14.5" customHeight="1" x14ac:dyDescent="0.35">
      <c r="A22" s="980"/>
      <c r="J22" s="363"/>
    </row>
    <row r="23" spans="1:10" ht="14.5" customHeight="1" x14ac:dyDescent="0.35">
      <c r="A23" s="980"/>
      <c r="J23" s="363"/>
    </row>
    <row r="24" spans="1:10" ht="14.5" customHeight="1" x14ac:dyDescent="0.35">
      <c r="A24" s="980"/>
      <c r="J24" s="363"/>
    </row>
    <row r="25" spans="1:10" ht="14.5" customHeight="1" x14ac:dyDescent="0.35">
      <c r="A25" s="980"/>
      <c r="J25" s="363"/>
    </row>
    <row r="26" spans="1:10" ht="14.5" customHeight="1" x14ac:dyDescent="0.35">
      <c r="A26" s="980"/>
      <c r="J26" s="363"/>
    </row>
    <row r="27" spans="1:10" ht="14.5" customHeight="1" x14ac:dyDescent="0.35">
      <c r="A27" s="980"/>
      <c r="J27" s="363"/>
    </row>
    <row r="28" spans="1:10" ht="14.5" customHeight="1" x14ac:dyDescent="0.35">
      <c r="A28" s="980"/>
      <c r="J28" s="363"/>
    </row>
    <row r="29" spans="1:10" ht="14.5" customHeight="1" x14ac:dyDescent="0.35">
      <c r="A29" s="980"/>
      <c r="J29" s="363"/>
    </row>
    <row r="30" spans="1:10" ht="14.5" customHeight="1" x14ac:dyDescent="0.35">
      <c r="A30" s="980"/>
      <c r="J30" s="363"/>
    </row>
    <row r="31" spans="1:10" ht="14.5" customHeight="1" x14ac:dyDescent="0.35">
      <c r="A31" s="980"/>
      <c r="J31" s="363"/>
    </row>
    <row r="32" spans="1:10" ht="14.5" customHeight="1" x14ac:dyDescent="0.35">
      <c r="A32" s="980"/>
      <c r="J32" s="363"/>
    </row>
    <row r="33" spans="1:10" ht="14.5" customHeight="1" x14ac:dyDescent="0.35">
      <c r="A33" s="980"/>
      <c r="J33" s="363"/>
    </row>
    <row r="34" spans="1:10" ht="14.5" customHeight="1" x14ac:dyDescent="0.35">
      <c r="A34" s="980"/>
      <c r="J34" s="363"/>
    </row>
    <row r="35" spans="1:10" ht="14.5" customHeight="1" x14ac:dyDescent="0.35">
      <c r="A35" s="980"/>
      <c r="J35" s="363"/>
    </row>
    <row r="36" spans="1:10" ht="14.5" customHeight="1" x14ac:dyDescent="0.35">
      <c r="A36" s="980"/>
      <c r="J36" s="363"/>
    </row>
    <row r="37" spans="1:10" ht="14.5" customHeight="1" x14ac:dyDescent="0.35">
      <c r="A37" s="980"/>
      <c r="J37" s="363"/>
    </row>
    <row r="38" spans="1:10" ht="14.5" customHeight="1" x14ac:dyDescent="0.35">
      <c r="A38" s="980"/>
      <c r="J38" s="363"/>
    </row>
    <row r="39" spans="1:10" ht="14.5" customHeight="1" x14ac:dyDescent="0.35">
      <c r="A39" s="980"/>
      <c r="J39" s="363"/>
    </row>
    <row r="40" spans="1:10" ht="14.5" customHeight="1" x14ac:dyDescent="0.35">
      <c r="A40" s="980"/>
      <c r="J40" s="363"/>
    </row>
    <row r="41" spans="1:10" ht="14.5" customHeight="1" x14ac:dyDescent="0.35">
      <c r="A41" s="980"/>
      <c r="J41" s="363"/>
    </row>
    <row r="42" spans="1:10" ht="14.5" customHeight="1" x14ac:dyDescent="0.35">
      <c r="A42" s="980"/>
      <c r="J42" s="363"/>
    </row>
    <row r="43" spans="1:10" ht="14.5" customHeight="1" x14ac:dyDescent="0.35">
      <c r="A43" s="980"/>
      <c r="J43" s="363"/>
    </row>
    <row r="44" spans="1:10" ht="14.5" customHeight="1" x14ac:dyDescent="0.35">
      <c r="A44" s="980"/>
      <c r="J44" s="363"/>
    </row>
    <row r="45" spans="1:10" ht="14.5" customHeight="1" x14ac:dyDescent="0.35">
      <c r="A45" s="980"/>
      <c r="J45" s="363"/>
    </row>
    <row r="46" spans="1:10" ht="14.5" customHeight="1" x14ac:dyDescent="0.35">
      <c r="A46" s="980"/>
      <c r="J46" s="363"/>
    </row>
    <row r="47" spans="1:10" ht="14.5" customHeight="1" x14ac:dyDescent="0.35">
      <c r="A47" s="980"/>
      <c r="J47" s="363"/>
    </row>
    <row r="48" spans="1:10" ht="14.5" customHeight="1" x14ac:dyDescent="0.35">
      <c r="A48" s="980"/>
      <c r="J48" s="363"/>
    </row>
    <row r="49" spans="1:10" ht="14.5" customHeight="1" x14ac:dyDescent="0.35">
      <c r="A49" s="980"/>
      <c r="J49" s="363"/>
    </row>
    <row r="50" spans="1:10" ht="14.5" customHeight="1" x14ac:dyDescent="0.35">
      <c r="A50" s="980"/>
      <c r="J50" s="363"/>
    </row>
    <row r="51" spans="1:10" ht="14.5" customHeight="1" x14ac:dyDescent="0.35">
      <c r="A51" s="980"/>
      <c r="J51" s="363"/>
    </row>
    <row r="52" spans="1:10" ht="14.5" customHeight="1" x14ac:dyDescent="0.35">
      <c r="A52" s="980"/>
      <c r="J52" s="363"/>
    </row>
    <row r="53" spans="1:10" ht="14.5" customHeight="1" x14ac:dyDescent="0.35">
      <c r="A53" s="980"/>
      <c r="J53" s="363"/>
    </row>
    <row r="54" spans="1:10" ht="14.5" customHeight="1" x14ac:dyDescent="0.35">
      <c r="A54" s="980"/>
      <c r="J54" s="363"/>
    </row>
    <row r="55" spans="1:10" ht="14.5" customHeight="1" x14ac:dyDescent="0.35">
      <c r="A55" s="980"/>
      <c r="J55" s="363"/>
    </row>
    <row r="56" spans="1:10" ht="14.5" customHeight="1" x14ac:dyDescent="0.35">
      <c r="A56" s="980"/>
      <c r="J56" s="363"/>
    </row>
    <row r="57" spans="1:10" ht="14.5" customHeight="1" x14ac:dyDescent="0.35">
      <c r="A57" s="980"/>
      <c r="J57" s="363"/>
    </row>
    <row r="58" spans="1:10" ht="14.5" customHeight="1" x14ac:dyDescent="0.35">
      <c r="A58" s="980"/>
      <c r="J58" s="363"/>
    </row>
    <row r="59" spans="1:10" ht="14.5" customHeight="1" x14ac:dyDescent="0.35">
      <c r="A59" s="980"/>
      <c r="J59" s="363"/>
    </row>
    <row r="60" spans="1:10" ht="14.5" customHeight="1" x14ac:dyDescent="0.35">
      <c r="A60" s="980"/>
      <c r="J60" s="363"/>
    </row>
    <row r="61" spans="1:10" ht="14.5" customHeight="1" x14ac:dyDescent="0.35">
      <c r="A61" s="980"/>
      <c r="J61" s="363"/>
    </row>
    <row r="62" spans="1:10" ht="14.5" customHeight="1" x14ac:dyDescent="0.35">
      <c r="A62" s="980"/>
      <c r="J62" s="363"/>
    </row>
    <row r="63" spans="1:10" ht="14.5" customHeight="1" x14ac:dyDescent="0.35">
      <c r="A63" s="980"/>
      <c r="J63" s="363"/>
    </row>
    <row r="64" spans="1:10" ht="14.5" customHeight="1" x14ac:dyDescent="0.35">
      <c r="A64" s="980"/>
      <c r="J64" s="363"/>
    </row>
    <row r="65" spans="1:10" ht="14.5" customHeight="1" x14ac:dyDescent="0.35">
      <c r="A65" s="980"/>
      <c r="J65" s="363"/>
    </row>
    <row r="66" spans="1:10" ht="14.5" customHeight="1" x14ac:dyDescent="0.35">
      <c r="A66" s="980"/>
      <c r="J66" s="363"/>
    </row>
    <row r="67" spans="1:10" ht="14.5" customHeight="1" x14ac:dyDescent="0.35">
      <c r="A67" s="980"/>
      <c r="J67" s="363"/>
    </row>
    <row r="68" spans="1:10" ht="14.5" customHeight="1" x14ac:dyDescent="0.35">
      <c r="A68" s="980"/>
      <c r="J68" s="363"/>
    </row>
    <row r="69" spans="1:10" ht="14.5" customHeight="1" x14ac:dyDescent="0.35">
      <c r="A69" s="980"/>
      <c r="J69" s="363"/>
    </row>
    <row r="70" spans="1:10" ht="14.5" customHeight="1" x14ac:dyDescent="0.35">
      <c r="A70" s="980"/>
      <c r="J70" s="363"/>
    </row>
    <row r="71" spans="1:10" ht="14.5" customHeight="1" x14ac:dyDescent="0.35">
      <c r="A71" s="980"/>
      <c r="J71" s="363"/>
    </row>
    <row r="72" spans="1:10" ht="14.5" customHeight="1" x14ac:dyDescent="0.35">
      <c r="A72" s="980"/>
      <c r="J72" s="363"/>
    </row>
    <row r="73" spans="1:10" ht="14.5" customHeight="1" x14ac:dyDescent="0.35">
      <c r="A73" s="980"/>
      <c r="J73" s="363"/>
    </row>
    <row r="74" spans="1:10" ht="14.5" customHeight="1" x14ac:dyDescent="0.35">
      <c r="A74" s="980"/>
      <c r="J74" s="363"/>
    </row>
    <row r="75" spans="1:10" ht="14.5" customHeight="1" x14ac:dyDescent="0.35">
      <c r="A75" s="980"/>
      <c r="J75" s="363"/>
    </row>
    <row r="76" spans="1:10" ht="14.5" customHeight="1" x14ac:dyDescent="0.35">
      <c r="A76" s="980"/>
      <c r="J76" s="363"/>
    </row>
    <row r="77" spans="1:10" ht="14.5" customHeight="1" x14ac:dyDescent="0.35">
      <c r="A77" s="980"/>
      <c r="J77" s="363"/>
    </row>
    <row r="78" spans="1:10" ht="14.5" customHeight="1" x14ac:dyDescent="0.35">
      <c r="A78" s="980"/>
      <c r="J78" s="363"/>
    </row>
    <row r="79" spans="1:10" ht="14.5" customHeight="1" x14ac:dyDescent="0.35">
      <c r="A79" s="980"/>
      <c r="J79" s="363"/>
    </row>
    <row r="80" spans="1:10" ht="14.5" customHeight="1" x14ac:dyDescent="0.35">
      <c r="A80" s="980"/>
      <c r="J80" s="363"/>
    </row>
    <row r="81" spans="1:10" ht="14.5" customHeight="1" x14ac:dyDescent="0.35">
      <c r="A81" s="980"/>
      <c r="J81" s="363"/>
    </row>
    <row r="82" spans="1:10" ht="14.5" customHeight="1" x14ac:dyDescent="0.35">
      <c r="A82" s="980"/>
      <c r="J82" s="363"/>
    </row>
    <row r="83" spans="1:10" ht="14.5" customHeight="1" x14ac:dyDescent="0.35">
      <c r="A83" s="980"/>
      <c r="J83" s="363"/>
    </row>
    <row r="84" spans="1:10" ht="14.5" customHeight="1" x14ac:dyDescent="0.35">
      <c r="A84" s="980"/>
      <c r="J84" s="363"/>
    </row>
    <row r="85" spans="1:10" ht="14.5" customHeight="1" x14ac:dyDescent="0.35">
      <c r="A85" s="980"/>
      <c r="J85" s="363"/>
    </row>
    <row r="86" spans="1:10" ht="14.5" customHeight="1" x14ac:dyDescent="0.35">
      <c r="A86" s="980"/>
      <c r="J86" s="363"/>
    </row>
    <row r="87" spans="1:10" ht="14.5" customHeight="1" x14ac:dyDescent="0.35">
      <c r="A87" s="980"/>
      <c r="J87" s="363"/>
    </row>
    <row r="88" spans="1:10" ht="14.5" customHeight="1" x14ac:dyDescent="0.35">
      <c r="A88" s="980"/>
      <c r="J88" s="363"/>
    </row>
    <row r="89" spans="1:10" ht="14.5" customHeight="1" x14ac:dyDescent="0.35">
      <c r="A89" s="980"/>
      <c r="J89" s="363"/>
    </row>
    <row r="90" spans="1:10" ht="14.5" customHeight="1" x14ac:dyDescent="0.35">
      <c r="A90" s="980"/>
      <c r="J90" s="363"/>
    </row>
    <row r="91" spans="1:10" ht="14.5" customHeight="1" x14ac:dyDescent="0.35">
      <c r="A91" s="980"/>
      <c r="J91" s="363"/>
    </row>
    <row r="92" spans="1:10" ht="14.5" customHeight="1" x14ac:dyDescent="0.35">
      <c r="A92" s="980"/>
      <c r="J92" s="363"/>
    </row>
    <row r="93" spans="1:10" ht="14.5" customHeight="1" x14ac:dyDescent="0.35">
      <c r="A93" s="980"/>
      <c r="J93" s="363"/>
    </row>
    <row r="94" spans="1:10" ht="14.5" customHeight="1" x14ac:dyDescent="0.35">
      <c r="A94" s="980"/>
      <c r="J94" s="363"/>
    </row>
    <row r="95" spans="1:10" ht="14.5" customHeight="1" x14ac:dyDescent="0.35">
      <c r="A95" s="980"/>
      <c r="J95" s="363"/>
    </row>
    <row r="96" spans="1:10" ht="14.5" customHeight="1" x14ac:dyDescent="0.35">
      <c r="A96" s="980"/>
      <c r="J96" s="363"/>
    </row>
    <row r="97" spans="1:10" ht="14.5" customHeight="1" x14ac:dyDescent="0.35">
      <c r="A97" s="980"/>
      <c r="J97" s="363"/>
    </row>
    <row r="98" spans="1:10" ht="14.5" customHeight="1" x14ac:dyDescent="0.35">
      <c r="A98" s="980"/>
      <c r="J98" s="363"/>
    </row>
    <row r="99" spans="1:10" ht="14.5" customHeight="1" x14ac:dyDescent="0.35">
      <c r="A99" s="980"/>
      <c r="J99" s="363"/>
    </row>
    <row r="100" spans="1:10" ht="14.5" customHeight="1" x14ac:dyDescent="0.35">
      <c r="A100" s="980"/>
      <c r="J100" s="363"/>
    </row>
    <row r="101" spans="1:10" ht="14.5" customHeight="1" x14ac:dyDescent="0.35">
      <c r="A101" s="980"/>
      <c r="J101" s="363"/>
    </row>
    <row r="102" spans="1:10" ht="14.5" customHeight="1" x14ac:dyDescent="0.35">
      <c r="A102" s="980"/>
      <c r="J102" s="363"/>
    </row>
    <row r="103" spans="1:10" ht="14.5" customHeight="1" x14ac:dyDescent="0.35">
      <c r="A103" s="980"/>
      <c r="J103" s="363"/>
    </row>
    <row r="104" spans="1:10" ht="14.5" customHeight="1" x14ac:dyDescent="0.35">
      <c r="A104" s="980"/>
      <c r="J104" s="363"/>
    </row>
    <row r="105" spans="1:10" ht="14.5" customHeight="1" x14ac:dyDescent="0.35">
      <c r="A105" s="980"/>
      <c r="J105" s="363"/>
    </row>
    <row r="106" spans="1:10" ht="14.5" customHeight="1" x14ac:dyDescent="0.35">
      <c r="A106" s="980"/>
      <c r="J106" s="363"/>
    </row>
    <row r="107" spans="1:10" ht="14.5" customHeight="1" x14ac:dyDescent="0.35">
      <c r="A107" s="980"/>
      <c r="J107" s="363"/>
    </row>
    <row r="108" spans="1:10" ht="14.5" customHeight="1" x14ac:dyDescent="0.35">
      <c r="A108" s="980"/>
      <c r="J108" s="363"/>
    </row>
    <row r="109" spans="1:10" ht="14.5" customHeight="1" x14ac:dyDescent="0.35">
      <c r="A109" s="980"/>
      <c r="J109" s="363"/>
    </row>
    <row r="110" spans="1:10" ht="14.5" customHeight="1" x14ac:dyDescent="0.35">
      <c r="A110" s="980"/>
      <c r="J110" s="363"/>
    </row>
    <row r="111" spans="1:10" ht="14.5" customHeight="1" x14ac:dyDescent="0.35">
      <c r="A111" s="980"/>
      <c r="J111" s="363"/>
    </row>
    <row r="112" spans="1:10" ht="14.5" customHeight="1" x14ac:dyDescent="0.35">
      <c r="A112" s="980"/>
      <c r="J112" s="363"/>
    </row>
    <row r="113" spans="1:10" ht="14.5" customHeight="1" x14ac:dyDescent="0.35">
      <c r="A113" s="980"/>
      <c r="J113" s="363"/>
    </row>
    <row r="114" spans="1:10" ht="14.5" customHeight="1" x14ac:dyDescent="0.35">
      <c r="A114" s="980"/>
      <c r="J114" s="363"/>
    </row>
    <row r="115" spans="1:10" ht="14.5" customHeight="1" x14ac:dyDescent="0.35">
      <c r="A115" s="980"/>
      <c r="J115" s="363"/>
    </row>
    <row r="116" spans="1:10" ht="14.5" customHeight="1" x14ac:dyDescent="0.35">
      <c r="A116" s="980"/>
      <c r="J116" s="363"/>
    </row>
    <row r="117" spans="1:10" ht="14.5" customHeight="1" x14ac:dyDescent="0.35">
      <c r="A117" s="980"/>
      <c r="J117" s="363"/>
    </row>
    <row r="118" spans="1:10" ht="14.5" customHeight="1" x14ac:dyDescent="0.35">
      <c r="A118" s="980"/>
      <c r="J118" s="363"/>
    </row>
    <row r="119" spans="1:10" ht="14.5" customHeight="1" x14ac:dyDescent="0.35">
      <c r="A119" s="980"/>
      <c r="J119" s="363"/>
    </row>
    <row r="120" spans="1:10" ht="14.5" customHeight="1" x14ac:dyDescent="0.35">
      <c r="A120" s="980"/>
      <c r="J120" s="363"/>
    </row>
    <row r="121" spans="1:10" ht="14.5" customHeight="1" x14ac:dyDescent="0.35">
      <c r="A121" s="980"/>
      <c r="J121" s="363"/>
    </row>
    <row r="122" spans="1:10" ht="14.5" customHeight="1" x14ac:dyDescent="0.35">
      <c r="A122" s="980"/>
      <c r="J122" s="363"/>
    </row>
    <row r="123" spans="1:10" ht="14.5" customHeight="1" x14ac:dyDescent="0.35">
      <c r="A123" s="980"/>
      <c r="J123" s="363"/>
    </row>
    <row r="124" spans="1:10" ht="14.5" customHeight="1" x14ac:dyDescent="0.35">
      <c r="A124" s="980"/>
      <c r="J124" s="363"/>
    </row>
    <row r="125" spans="1:10" ht="14.5" customHeight="1" x14ac:dyDescent="0.35">
      <c r="A125" s="980"/>
      <c r="J125" s="363"/>
    </row>
    <row r="126" spans="1:10" ht="14.5" customHeight="1" x14ac:dyDescent="0.35">
      <c r="A126" s="980"/>
      <c r="J126" s="363"/>
    </row>
    <row r="127" spans="1:10" ht="14.5" customHeight="1" x14ac:dyDescent="0.35">
      <c r="A127" s="980"/>
      <c r="J127" s="363"/>
    </row>
    <row r="128" spans="1:10" ht="14.5" customHeight="1" x14ac:dyDescent="0.35">
      <c r="A128" s="980"/>
      <c r="J128" s="363"/>
    </row>
    <row r="129" spans="1:10" ht="14.5" customHeight="1" x14ac:dyDescent="0.35">
      <c r="A129" s="980"/>
      <c r="J129" s="363"/>
    </row>
    <row r="130" spans="1:10" ht="14.5" customHeight="1" x14ac:dyDescent="0.35">
      <c r="A130" s="980"/>
      <c r="J130" s="363"/>
    </row>
    <row r="131" spans="1:10" ht="14.5" customHeight="1" x14ac:dyDescent="0.35">
      <c r="A131" s="980"/>
      <c r="J131" s="363"/>
    </row>
    <row r="132" spans="1:10" ht="14.5" customHeight="1" x14ac:dyDescent="0.35">
      <c r="A132" s="980"/>
      <c r="J132" s="363"/>
    </row>
    <row r="133" spans="1:10" ht="14.5" customHeight="1" x14ac:dyDescent="0.35">
      <c r="A133" s="980"/>
      <c r="J133" s="363"/>
    </row>
    <row r="134" spans="1:10" ht="14.5" customHeight="1" x14ac:dyDescent="0.35">
      <c r="A134" s="980"/>
      <c r="J134" s="363"/>
    </row>
    <row r="135" spans="1:10" ht="14.5" customHeight="1" x14ac:dyDescent="0.35">
      <c r="A135" s="980"/>
      <c r="J135" s="363"/>
    </row>
    <row r="136" spans="1:10" ht="14.5" customHeight="1" x14ac:dyDescent="0.35">
      <c r="A136" s="980"/>
      <c r="J136" s="363"/>
    </row>
    <row r="137" spans="1:10" ht="14.5" customHeight="1" x14ac:dyDescent="0.35">
      <c r="A137" s="980"/>
      <c r="J137" s="363"/>
    </row>
    <row r="138" spans="1:10" ht="14.5" customHeight="1" x14ac:dyDescent="0.35">
      <c r="A138" s="980"/>
      <c r="J138" s="363"/>
    </row>
    <row r="139" spans="1:10" ht="14.5" customHeight="1" x14ac:dyDescent="0.35">
      <c r="A139" s="980"/>
      <c r="J139" s="363"/>
    </row>
    <row r="140" spans="1:10" ht="14.5" customHeight="1" x14ac:dyDescent="0.35">
      <c r="A140" s="980"/>
      <c r="J140" s="363"/>
    </row>
    <row r="141" spans="1:10" ht="14.5" customHeight="1" x14ac:dyDescent="0.35">
      <c r="A141" s="980"/>
      <c r="J141" s="363"/>
    </row>
    <row r="142" spans="1:10" ht="14.5" customHeight="1" x14ac:dyDescent="0.35">
      <c r="A142" s="980"/>
      <c r="J142" s="363"/>
    </row>
    <row r="143" spans="1:10" ht="14.5" customHeight="1" x14ac:dyDescent="0.35">
      <c r="A143" s="980"/>
      <c r="J143" s="363"/>
    </row>
    <row r="144" spans="1:10" ht="14.5" customHeight="1" x14ac:dyDescent="0.35">
      <c r="A144" s="980"/>
      <c r="J144" s="363"/>
    </row>
    <row r="145" spans="1:10" ht="14.5" customHeight="1" x14ac:dyDescent="0.35">
      <c r="A145" s="980"/>
      <c r="J145" s="363"/>
    </row>
    <row r="146" spans="1:10" ht="14.5" customHeight="1" x14ac:dyDescent="0.35">
      <c r="A146" s="980"/>
      <c r="J146" s="363"/>
    </row>
    <row r="147" spans="1:10" ht="14.5" customHeight="1" x14ac:dyDescent="0.35">
      <c r="A147" s="980"/>
      <c r="J147" s="363"/>
    </row>
    <row r="148" spans="1:10" ht="14.5" customHeight="1" x14ac:dyDescent="0.35">
      <c r="A148" s="980"/>
      <c r="J148" s="363"/>
    </row>
    <row r="149" spans="1:10" ht="14.5" customHeight="1" x14ac:dyDescent="0.35">
      <c r="A149" s="980"/>
      <c r="J149" s="363"/>
    </row>
    <row r="150" spans="1:10" ht="14.5" customHeight="1" x14ac:dyDescent="0.35">
      <c r="A150" s="980"/>
      <c r="J150" s="363"/>
    </row>
    <row r="151" spans="1:10" ht="14.5" customHeight="1" x14ac:dyDescent="0.35">
      <c r="A151" s="980"/>
      <c r="J151" s="363"/>
    </row>
    <row r="152" spans="1:10" ht="14.5" customHeight="1" x14ac:dyDescent="0.35">
      <c r="A152" s="980"/>
      <c r="J152" s="363"/>
    </row>
    <row r="153" spans="1:10" ht="14.5" customHeight="1" x14ac:dyDescent="0.35">
      <c r="A153" s="980"/>
      <c r="J153" s="363"/>
    </row>
    <row r="154" spans="1:10" ht="14.5" customHeight="1" x14ac:dyDescent="0.35">
      <c r="A154" s="980"/>
      <c r="J154" s="363"/>
    </row>
    <row r="155" spans="1:10" ht="14.5" customHeight="1" x14ac:dyDescent="0.35">
      <c r="A155" s="980"/>
      <c r="J155" s="363"/>
    </row>
    <row r="156" spans="1:10" ht="14.5" customHeight="1" x14ac:dyDescent="0.35">
      <c r="A156" s="980"/>
      <c r="J156" s="363"/>
    </row>
    <row r="157" spans="1:10" ht="14.5" customHeight="1" x14ac:dyDescent="0.35">
      <c r="A157" s="980"/>
      <c r="J157" s="363"/>
    </row>
    <row r="158" spans="1:10" ht="14.5" customHeight="1" x14ac:dyDescent="0.35">
      <c r="A158" s="980"/>
      <c r="J158" s="363"/>
    </row>
    <row r="159" spans="1:10" ht="14.5" customHeight="1" x14ac:dyDescent="0.35">
      <c r="A159" s="980"/>
      <c r="J159" s="363"/>
    </row>
    <row r="160" spans="1:10" ht="14.5" customHeight="1" x14ac:dyDescent="0.35">
      <c r="A160" s="980"/>
      <c r="J160" s="363"/>
    </row>
    <row r="161" spans="1:10" ht="14.5" customHeight="1" x14ac:dyDescent="0.35">
      <c r="A161" s="980"/>
      <c r="J161" s="363"/>
    </row>
    <row r="162" spans="1:10" ht="14.5" customHeight="1" x14ac:dyDescent="0.35">
      <c r="A162" s="980"/>
      <c r="J162" s="363"/>
    </row>
    <row r="163" spans="1:10" ht="14.5" customHeight="1" x14ac:dyDescent="0.35">
      <c r="A163" s="980"/>
      <c r="J163" s="363"/>
    </row>
    <row r="164" spans="1:10" ht="14.5" customHeight="1" x14ac:dyDescent="0.35">
      <c r="A164" s="980"/>
      <c r="J164" s="363"/>
    </row>
    <row r="165" spans="1:10" ht="14.5" customHeight="1" x14ac:dyDescent="0.35">
      <c r="A165" s="980"/>
      <c r="J165" s="363"/>
    </row>
    <row r="166" spans="1:10" ht="14.5" customHeight="1" x14ac:dyDescent="0.35">
      <c r="A166" s="980"/>
      <c r="J166" s="363"/>
    </row>
    <row r="167" spans="1:10" ht="14.5" customHeight="1" x14ac:dyDescent="0.35">
      <c r="A167" s="980"/>
      <c r="J167" s="363"/>
    </row>
    <row r="168" spans="1:10" ht="14.5" customHeight="1" x14ac:dyDescent="0.35">
      <c r="A168" s="980"/>
      <c r="J168" s="363"/>
    </row>
    <row r="169" spans="1:10" ht="14.5" customHeight="1" x14ac:dyDescent="0.35">
      <c r="A169" s="980"/>
      <c r="J169" s="363"/>
    </row>
    <row r="170" spans="1:10" ht="14.5" customHeight="1" x14ac:dyDescent="0.35">
      <c r="A170" s="980"/>
      <c r="J170" s="363"/>
    </row>
    <row r="171" spans="1:10" ht="14.5" customHeight="1" x14ac:dyDescent="0.35">
      <c r="A171" s="980"/>
      <c r="J171" s="363"/>
    </row>
    <row r="172" spans="1:10" ht="14.5" customHeight="1" x14ac:dyDescent="0.35">
      <c r="A172" s="980"/>
      <c r="J172" s="363"/>
    </row>
    <row r="173" spans="1:10" ht="14.5" customHeight="1" x14ac:dyDescent="0.35">
      <c r="A173" s="980"/>
      <c r="J173" s="363"/>
    </row>
    <row r="174" spans="1:10" ht="14.5" customHeight="1" x14ac:dyDescent="0.35">
      <c r="A174" s="980"/>
      <c r="J174" s="363"/>
    </row>
    <row r="175" spans="1:10" ht="14.5" customHeight="1" x14ac:dyDescent="0.35">
      <c r="A175" s="980"/>
      <c r="J175" s="363"/>
    </row>
    <row r="176" spans="1:10" ht="14.5" customHeight="1" x14ac:dyDescent="0.35">
      <c r="A176" s="980"/>
      <c r="J176" s="363"/>
    </row>
    <row r="177" spans="1:10" ht="14.5" customHeight="1" x14ac:dyDescent="0.35">
      <c r="A177" s="980"/>
      <c r="J177" s="363"/>
    </row>
    <row r="178" spans="1:10" ht="14.5" customHeight="1" x14ac:dyDescent="0.35">
      <c r="A178" s="980"/>
      <c r="J178" s="363"/>
    </row>
    <row r="179" spans="1:10" ht="14.5" customHeight="1" x14ac:dyDescent="0.35">
      <c r="A179" s="980"/>
      <c r="J179" s="363"/>
    </row>
    <row r="180" spans="1:10" ht="14.5" customHeight="1" x14ac:dyDescent="0.35">
      <c r="A180" s="980"/>
      <c r="J180" s="363"/>
    </row>
    <row r="181" spans="1:10" ht="14.5" customHeight="1" x14ac:dyDescent="0.35">
      <c r="A181" s="980"/>
      <c r="J181" s="363"/>
    </row>
    <row r="182" spans="1:10" ht="14.5" customHeight="1" x14ac:dyDescent="0.35">
      <c r="A182" s="980"/>
      <c r="J182" s="363"/>
    </row>
    <row r="183" spans="1:10" ht="14.5" customHeight="1" x14ac:dyDescent="0.35">
      <c r="A183" s="980"/>
      <c r="J183" s="363"/>
    </row>
    <row r="184" spans="1:10" ht="14.5" customHeight="1" x14ac:dyDescent="0.35">
      <c r="A184" s="980"/>
      <c r="J184" s="363"/>
    </row>
    <row r="185" spans="1:10" ht="14.5" customHeight="1" x14ac:dyDescent="0.35">
      <c r="A185" s="980"/>
      <c r="J185" s="363"/>
    </row>
    <row r="186" spans="1:10" ht="14.5" customHeight="1" x14ac:dyDescent="0.35">
      <c r="A186" s="980"/>
      <c r="J186" s="363"/>
    </row>
    <row r="187" spans="1:10" ht="14.5" customHeight="1" x14ac:dyDescent="0.35">
      <c r="A187" s="980"/>
      <c r="J187" s="363"/>
    </row>
    <row r="188" spans="1:10" ht="14.5" customHeight="1" x14ac:dyDescent="0.35">
      <c r="A188" s="980"/>
      <c r="J188" s="363"/>
    </row>
    <row r="189" spans="1:10" ht="14.5" customHeight="1" x14ac:dyDescent="0.35">
      <c r="A189" s="980"/>
      <c r="J189" s="363"/>
    </row>
    <row r="190" spans="1:10" ht="14.5" customHeight="1" x14ac:dyDescent="0.35">
      <c r="A190" s="980"/>
      <c r="J190" s="363"/>
    </row>
    <row r="191" spans="1:10" ht="14.5" customHeight="1" x14ac:dyDescent="0.35">
      <c r="A191" s="980"/>
      <c r="J191" s="363"/>
    </row>
    <row r="192" spans="1:10" ht="14.5" customHeight="1" x14ac:dyDescent="0.35">
      <c r="A192" s="980"/>
      <c r="J192" s="363"/>
    </row>
    <row r="193" spans="1:10" ht="14.5" customHeight="1" x14ac:dyDescent="0.35">
      <c r="A193" s="980"/>
      <c r="J193" s="363"/>
    </row>
    <row r="194" spans="1:10" ht="14.5" customHeight="1" x14ac:dyDescent="0.35">
      <c r="A194" s="980"/>
      <c r="J194" s="363"/>
    </row>
    <row r="195" spans="1:10" ht="14.5" customHeight="1" x14ac:dyDescent="0.35">
      <c r="A195" s="980"/>
      <c r="J195" s="363"/>
    </row>
    <row r="196" spans="1:10" ht="14.5" customHeight="1" x14ac:dyDescent="0.35">
      <c r="A196" s="980"/>
      <c r="J196" s="363"/>
    </row>
    <row r="197" spans="1:10" ht="14.5" customHeight="1" x14ac:dyDescent="0.35">
      <c r="A197" s="980"/>
      <c r="J197" s="363"/>
    </row>
    <row r="198" spans="1:10" ht="14.5" customHeight="1" x14ac:dyDescent="0.35">
      <c r="A198" s="980"/>
      <c r="J198" s="363"/>
    </row>
    <row r="199" spans="1:10" ht="14.5" customHeight="1" x14ac:dyDescent="0.35">
      <c r="A199" s="980"/>
      <c r="J199" s="363"/>
    </row>
    <row r="200" spans="1:10" ht="14.5" customHeight="1" x14ac:dyDescent="0.35">
      <c r="A200" s="980"/>
      <c r="J200" s="363"/>
    </row>
    <row r="201" spans="1:10" ht="14.5" customHeight="1" x14ac:dyDescent="0.35">
      <c r="A201" s="980"/>
      <c r="J201" s="363"/>
    </row>
    <row r="202" spans="1:10" ht="14.5" customHeight="1" x14ac:dyDescent="0.35">
      <c r="A202" s="980"/>
      <c r="J202" s="363"/>
    </row>
    <row r="203" spans="1:10" ht="14.5" customHeight="1" x14ac:dyDescent="0.35">
      <c r="A203" s="980"/>
      <c r="J203" s="363"/>
    </row>
    <row r="204" spans="1:10" ht="14.5" customHeight="1" x14ac:dyDescent="0.35">
      <c r="A204" s="980"/>
      <c r="J204" s="363"/>
    </row>
    <row r="205" spans="1:10" ht="14.5" customHeight="1" x14ac:dyDescent="0.35">
      <c r="A205" s="980"/>
      <c r="J205" s="363"/>
    </row>
    <row r="206" spans="1:10" ht="14.5" customHeight="1" x14ac:dyDescent="0.35">
      <c r="A206" s="980"/>
      <c r="J206" s="363"/>
    </row>
    <row r="207" spans="1:10" ht="14.5" customHeight="1" x14ac:dyDescent="0.35">
      <c r="A207" s="980"/>
      <c r="J207" s="363"/>
    </row>
    <row r="208" spans="1:10" ht="14.5" customHeight="1" x14ac:dyDescent="0.35">
      <c r="A208" s="980"/>
      <c r="J208" s="363"/>
    </row>
    <row r="209" spans="1:10" ht="14.5" customHeight="1" x14ac:dyDescent="0.35">
      <c r="A209" s="980"/>
      <c r="J209" s="363"/>
    </row>
    <row r="210" spans="1:10" ht="14.5" customHeight="1" x14ac:dyDescent="0.35">
      <c r="A210" s="980"/>
      <c r="J210" s="363"/>
    </row>
    <row r="211" spans="1:10" x14ac:dyDescent="0.35">
      <c r="A211" s="980"/>
      <c r="J211" s="363"/>
    </row>
    <row r="212" spans="1:10" ht="14.5" customHeight="1" x14ac:dyDescent="0.35">
      <c r="A212" s="980"/>
      <c r="J212" s="363"/>
    </row>
    <row r="213" spans="1:10" ht="14.5" customHeight="1" x14ac:dyDescent="0.35">
      <c r="A213" s="980"/>
      <c r="J213" s="363"/>
    </row>
    <row r="214" spans="1:10" ht="14.5" customHeight="1" x14ac:dyDescent="0.35">
      <c r="A214" s="980"/>
      <c r="J214" s="363"/>
    </row>
    <row r="215" spans="1:10" ht="14.5" customHeight="1" x14ac:dyDescent="0.35">
      <c r="A215" s="980"/>
      <c r="J215" s="363"/>
    </row>
    <row r="216" spans="1:10" ht="14.5" customHeight="1" x14ac:dyDescent="0.35">
      <c r="A216" s="980"/>
      <c r="J216" s="363"/>
    </row>
    <row r="217" spans="1:10" ht="14.5" customHeight="1" x14ac:dyDescent="0.35">
      <c r="A217" s="980"/>
      <c r="J217" s="363"/>
    </row>
    <row r="218" spans="1:10" ht="14.5" customHeight="1" x14ac:dyDescent="0.35">
      <c r="A218" s="980"/>
      <c r="J218" s="363"/>
    </row>
    <row r="219" spans="1:10" ht="14.5" customHeight="1" x14ac:dyDescent="0.35">
      <c r="A219" s="980"/>
      <c r="J219" s="363"/>
    </row>
    <row r="220" spans="1:10" ht="14.5" customHeight="1" x14ac:dyDescent="0.35">
      <c r="A220" s="980"/>
      <c r="J220" s="363"/>
    </row>
    <row r="221" spans="1:10" ht="14.5" customHeight="1" x14ac:dyDescent="0.35">
      <c r="A221" s="980"/>
      <c r="J221" s="363"/>
    </row>
    <row r="222" spans="1:10" ht="14.5" customHeight="1" x14ac:dyDescent="0.35">
      <c r="A222" s="980"/>
      <c r="J222" s="363"/>
    </row>
    <row r="223" spans="1:10" ht="14.5" customHeight="1" x14ac:dyDescent="0.35">
      <c r="A223" s="980"/>
      <c r="J223" s="363"/>
    </row>
    <row r="224" spans="1:10" ht="14.5" customHeight="1" x14ac:dyDescent="0.35">
      <c r="A224" s="980"/>
      <c r="J224" s="363"/>
    </row>
    <row r="225" spans="1:10" ht="14.5" customHeight="1" x14ac:dyDescent="0.35">
      <c r="A225" s="980"/>
      <c r="J225" s="363"/>
    </row>
    <row r="226" spans="1:10" ht="14.5" customHeight="1" x14ac:dyDescent="0.35">
      <c r="A226" s="980"/>
      <c r="J226" s="363"/>
    </row>
    <row r="227" spans="1:10" ht="14.5" customHeight="1" x14ac:dyDescent="0.35">
      <c r="A227" s="980"/>
      <c r="J227" s="363"/>
    </row>
    <row r="228" spans="1:10" ht="14.5" customHeight="1" x14ac:dyDescent="0.35">
      <c r="A228" s="980"/>
      <c r="J228" s="363"/>
    </row>
    <row r="229" spans="1:10" ht="14.5" customHeight="1" x14ac:dyDescent="0.35">
      <c r="A229" s="980"/>
      <c r="J229" s="363"/>
    </row>
    <row r="230" spans="1:10" ht="14.5" customHeight="1" x14ac:dyDescent="0.35">
      <c r="A230" s="980"/>
      <c r="J230" s="363"/>
    </row>
    <row r="231" spans="1:10" ht="14.5" customHeight="1" x14ac:dyDescent="0.35">
      <c r="A231" s="980"/>
      <c r="J231" s="363"/>
    </row>
    <row r="232" spans="1:10" ht="14.5" customHeight="1" x14ac:dyDescent="0.35">
      <c r="A232" s="980"/>
      <c r="J232" s="363"/>
    </row>
    <row r="233" spans="1:10" ht="14.5" customHeight="1" x14ac:dyDescent="0.35">
      <c r="A233" s="980"/>
      <c r="J233" s="363"/>
    </row>
    <row r="234" spans="1:10" ht="14.5" customHeight="1" x14ac:dyDescent="0.35">
      <c r="A234" s="980"/>
      <c r="J234" s="363"/>
    </row>
    <row r="235" spans="1:10" ht="14.5" customHeight="1" x14ac:dyDescent="0.35">
      <c r="A235" s="980"/>
      <c r="J235" s="363"/>
    </row>
    <row r="236" spans="1:10" ht="14.5" customHeight="1" x14ac:dyDescent="0.35">
      <c r="A236" s="980"/>
      <c r="J236" s="363"/>
    </row>
    <row r="237" spans="1:10" ht="14.5" customHeight="1" x14ac:dyDescent="0.35">
      <c r="A237" s="980"/>
      <c r="J237" s="363"/>
    </row>
    <row r="238" spans="1:10" ht="14.5" customHeight="1" x14ac:dyDescent="0.35">
      <c r="A238" s="980"/>
      <c r="J238" s="363"/>
    </row>
    <row r="239" spans="1:10" ht="14.5" customHeight="1" x14ac:dyDescent="0.35">
      <c r="A239" s="980"/>
      <c r="J239" s="363"/>
    </row>
    <row r="240" spans="1:10" ht="14.5" customHeight="1" x14ac:dyDescent="0.35">
      <c r="A240" s="980"/>
      <c r="J240" s="363"/>
    </row>
    <row r="241" spans="1:10" ht="14.5" customHeight="1" x14ac:dyDescent="0.35">
      <c r="A241" s="980"/>
      <c r="J241" s="363"/>
    </row>
    <row r="242" spans="1:10" ht="14.5" customHeight="1" x14ac:dyDescent="0.35">
      <c r="A242" s="980"/>
      <c r="J242" s="363"/>
    </row>
    <row r="243" spans="1:10" ht="14.5" customHeight="1" x14ac:dyDescent="0.35">
      <c r="A243" s="980"/>
      <c r="J243" s="363"/>
    </row>
    <row r="244" spans="1:10" ht="14.5" customHeight="1" x14ac:dyDescent="0.35">
      <c r="A244" s="980"/>
      <c r="J244" s="363"/>
    </row>
    <row r="245" spans="1:10" ht="14.5" customHeight="1" x14ac:dyDescent="0.35">
      <c r="A245" s="980"/>
      <c r="J245" s="363"/>
    </row>
    <row r="246" spans="1:10" ht="14.5" customHeight="1" x14ac:dyDescent="0.35">
      <c r="A246" s="980"/>
      <c r="J246" s="363"/>
    </row>
    <row r="247" spans="1:10" ht="14.5" customHeight="1" x14ac:dyDescent="0.35">
      <c r="A247" s="980"/>
      <c r="J247" s="363"/>
    </row>
    <row r="248" spans="1:10" ht="14.5" customHeight="1" x14ac:dyDescent="0.35">
      <c r="A248" s="980"/>
      <c r="J248" s="363"/>
    </row>
    <row r="249" spans="1:10" ht="14.5" customHeight="1" x14ac:dyDescent="0.35">
      <c r="A249" s="980"/>
      <c r="J249" s="363"/>
    </row>
    <row r="250" spans="1:10" ht="14.5" customHeight="1" x14ac:dyDescent="0.35">
      <c r="A250" s="980"/>
      <c r="J250" s="363"/>
    </row>
    <row r="251" spans="1:10" ht="14.5" customHeight="1" x14ac:dyDescent="0.35">
      <c r="A251" s="980"/>
      <c r="J251" s="363"/>
    </row>
    <row r="252" spans="1:10" ht="14.5" customHeight="1" x14ac:dyDescent="0.35">
      <c r="A252" s="980"/>
      <c r="J252" s="363"/>
    </row>
    <row r="253" spans="1:10" ht="14.5" customHeight="1" x14ac:dyDescent="0.35">
      <c r="A253" s="980"/>
      <c r="J253" s="363"/>
    </row>
    <row r="254" spans="1:10" ht="14.5" customHeight="1" x14ac:dyDescent="0.35">
      <c r="A254" s="980"/>
      <c r="J254" s="363"/>
    </row>
    <row r="255" spans="1:10" ht="14.5" customHeight="1" x14ac:dyDescent="0.35">
      <c r="A255" s="980"/>
      <c r="J255" s="363"/>
    </row>
    <row r="256" spans="1:10" ht="14.5" customHeight="1" x14ac:dyDescent="0.35">
      <c r="A256" s="980"/>
      <c r="J256" s="363"/>
    </row>
    <row r="257" spans="1:10" ht="14.5" customHeight="1" x14ac:dyDescent="0.35">
      <c r="A257" s="980"/>
      <c r="J257" s="363"/>
    </row>
    <row r="258" spans="1:10" ht="14.5" customHeight="1" x14ac:dyDescent="0.35">
      <c r="A258" s="980"/>
      <c r="J258" s="363"/>
    </row>
    <row r="259" spans="1:10" ht="14.5" customHeight="1" x14ac:dyDescent="0.35">
      <c r="A259" s="980"/>
      <c r="J259" s="363"/>
    </row>
    <row r="260" spans="1:10" ht="14.5" customHeight="1" x14ac:dyDescent="0.35">
      <c r="A260" s="980"/>
      <c r="J260" s="363"/>
    </row>
    <row r="261" spans="1:10" ht="14.5" customHeight="1" x14ac:dyDescent="0.35">
      <c r="A261" s="980"/>
      <c r="J261" s="363"/>
    </row>
    <row r="262" spans="1:10" ht="14.5" customHeight="1" x14ac:dyDescent="0.35">
      <c r="A262" s="980"/>
      <c r="J262" s="363"/>
    </row>
    <row r="263" spans="1:10" ht="14.5" customHeight="1" x14ac:dyDescent="0.35">
      <c r="A263" s="980"/>
      <c r="J263" s="363"/>
    </row>
    <row r="264" spans="1:10" ht="14.5" customHeight="1" x14ac:dyDescent="0.35">
      <c r="A264" s="980"/>
      <c r="J264" s="363"/>
    </row>
    <row r="265" spans="1:10" ht="14.5" customHeight="1" x14ac:dyDescent="0.35">
      <c r="A265" s="980"/>
      <c r="J265" s="363"/>
    </row>
    <row r="266" spans="1:10" ht="14.5" customHeight="1" x14ac:dyDescent="0.35">
      <c r="A266" s="980"/>
      <c r="J266" s="363"/>
    </row>
    <row r="267" spans="1:10" ht="14.5" customHeight="1" x14ac:dyDescent="0.35">
      <c r="A267" s="980"/>
      <c r="J267" s="363"/>
    </row>
    <row r="268" spans="1:10" ht="14.5" customHeight="1" x14ac:dyDescent="0.35">
      <c r="A268" s="980"/>
      <c r="J268" s="363"/>
    </row>
    <row r="269" spans="1:10" ht="14.5" customHeight="1" x14ac:dyDescent="0.35">
      <c r="A269" s="980"/>
      <c r="J269" s="363"/>
    </row>
    <row r="270" spans="1:10" ht="14.5" customHeight="1" x14ac:dyDescent="0.35">
      <c r="A270" s="980"/>
      <c r="J270" s="363"/>
    </row>
    <row r="271" spans="1:10" ht="14.5" customHeight="1" x14ac:dyDescent="0.35">
      <c r="A271" s="980"/>
      <c r="J271" s="363"/>
    </row>
    <row r="272" spans="1:10" ht="14.5" customHeight="1" x14ac:dyDescent="0.35">
      <c r="A272" s="980"/>
      <c r="J272" s="363"/>
    </row>
    <row r="273" spans="1:10" ht="14.5" customHeight="1" x14ac:dyDescent="0.35">
      <c r="A273" s="980"/>
      <c r="J273" s="363"/>
    </row>
    <row r="274" spans="1:10" ht="14.5" customHeight="1" x14ac:dyDescent="0.35">
      <c r="A274" s="980"/>
      <c r="J274" s="363"/>
    </row>
    <row r="275" spans="1:10" ht="14.5" customHeight="1" x14ac:dyDescent="0.35">
      <c r="A275" s="980"/>
      <c r="J275" s="363"/>
    </row>
    <row r="276" spans="1:10" ht="14.5" customHeight="1" x14ac:dyDescent="0.35">
      <c r="A276" s="980"/>
      <c r="J276" s="363"/>
    </row>
    <row r="277" spans="1:10" ht="14.5" customHeight="1" x14ac:dyDescent="0.35">
      <c r="A277" s="980"/>
      <c r="J277" s="363"/>
    </row>
    <row r="278" spans="1:10" ht="14.5" customHeight="1" x14ac:dyDescent="0.35">
      <c r="A278" s="980"/>
      <c r="J278" s="363"/>
    </row>
    <row r="279" spans="1:10" ht="14.5" customHeight="1" x14ac:dyDescent="0.35">
      <c r="A279" s="980"/>
      <c r="J279" s="363"/>
    </row>
    <row r="280" spans="1:10" ht="14.5" customHeight="1" x14ac:dyDescent="0.35">
      <c r="A280" s="980"/>
      <c r="J280" s="363"/>
    </row>
    <row r="281" spans="1:10" ht="14.5" customHeight="1" x14ac:dyDescent="0.35">
      <c r="A281" s="980"/>
      <c r="J281" s="363"/>
    </row>
    <row r="282" spans="1:10" ht="14.5" customHeight="1" x14ac:dyDescent="0.35">
      <c r="A282" s="980"/>
      <c r="J282" s="363"/>
    </row>
    <row r="283" spans="1:10" ht="14.5" customHeight="1" x14ac:dyDescent="0.35">
      <c r="A283" s="980"/>
      <c r="J283" s="363"/>
    </row>
    <row r="284" spans="1:10" ht="14.5" customHeight="1" x14ac:dyDescent="0.35">
      <c r="A284" s="980"/>
      <c r="J284" s="363"/>
    </row>
    <row r="285" spans="1:10" ht="14.5" customHeight="1" x14ac:dyDescent="0.35">
      <c r="A285" s="980"/>
      <c r="J285" s="363"/>
    </row>
    <row r="286" spans="1:10" ht="14.5" customHeight="1" x14ac:dyDescent="0.35">
      <c r="A286" s="980"/>
      <c r="J286" s="363"/>
    </row>
    <row r="287" spans="1:10" ht="14.5" customHeight="1" x14ac:dyDescent="0.35">
      <c r="A287" s="980"/>
      <c r="J287" s="363"/>
    </row>
    <row r="288" spans="1:10" ht="14.5" customHeight="1" x14ac:dyDescent="0.35">
      <c r="A288" s="980"/>
      <c r="J288" s="363"/>
    </row>
    <row r="289" spans="1:10" ht="14.5" customHeight="1" x14ac:dyDescent="0.35">
      <c r="A289" s="980"/>
      <c r="J289" s="363"/>
    </row>
    <row r="290" spans="1:10" ht="14.5" customHeight="1" x14ac:dyDescent="0.35">
      <c r="A290" s="980"/>
      <c r="J290" s="363"/>
    </row>
    <row r="291" spans="1:10" ht="14.5" customHeight="1" x14ac:dyDescent="0.35">
      <c r="A291" s="980"/>
      <c r="J291" s="363"/>
    </row>
    <row r="292" spans="1:10" ht="14.5" customHeight="1" x14ac:dyDescent="0.35">
      <c r="A292" s="980"/>
      <c r="J292" s="363"/>
    </row>
    <row r="293" spans="1:10" ht="14.5" customHeight="1" x14ac:dyDescent="0.35">
      <c r="A293" s="980"/>
      <c r="J293" s="363"/>
    </row>
    <row r="294" spans="1:10" ht="14.5" customHeight="1" x14ac:dyDescent="0.35">
      <c r="A294" s="980"/>
      <c r="J294" s="363"/>
    </row>
    <row r="295" spans="1:10" ht="14.5" customHeight="1" x14ac:dyDescent="0.35">
      <c r="A295" s="980"/>
      <c r="J295" s="363"/>
    </row>
    <row r="296" spans="1:10" ht="14.5" customHeight="1" x14ac:dyDescent="0.35">
      <c r="A296" s="980"/>
      <c r="J296" s="363"/>
    </row>
    <row r="297" spans="1:10" ht="14.5" customHeight="1" x14ac:dyDescent="0.35">
      <c r="A297" s="980"/>
      <c r="J297" s="363"/>
    </row>
    <row r="298" spans="1:10" ht="14.5" customHeight="1" x14ac:dyDescent="0.35">
      <c r="A298" s="980"/>
      <c r="J298" s="363"/>
    </row>
    <row r="299" spans="1:10" ht="14.5" customHeight="1" x14ac:dyDescent="0.35">
      <c r="A299" s="980"/>
      <c r="J299" s="363"/>
    </row>
    <row r="300" spans="1:10" ht="14.5" customHeight="1" x14ac:dyDescent="0.35">
      <c r="A300" s="980"/>
      <c r="J300" s="363"/>
    </row>
    <row r="301" spans="1:10" ht="14.5" customHeight="1" x14ac:dyDescent="0.35">
      <c r="A301" s="980"/>
      <c r="J301" s="363"/>
    </row>
    <row r="302" spans="1:10" ht="14.5" customHeight="1" x14ac:dyDescent="0.35">
      <c r="A302" s="980"/>
      <c r="J302" s="363"/>
    </row>
    <row r="303" spans="1:10" ht="14.5" customHeight="1" x14ac:dyDescent="0.35">
      <c r="A303" s="980"/>
      <c r="J303" s="363"/>
    </row>
    <row r="304" spans="1:10" ht="14.5" customHeight="1" x14ac:dyDescent="0.35">
      <c r="A304" s="980"/>
      <c r="J304" s="363"/>
    </row>
    <row r="305" spans="1:10" ht="14.5" customHeight="1" x14ac:dyDescent="0.35">
      <c r="A305" s="980"/>
      <c r="J305" s="363"/>
    </row>
    <row r="306" spans="1:10" ht="14.5" customHeight="1" x14ac:dyDescent="0.35">
      <c r="A306" s="980"/>
      <c r="J306" s="363"/>
    </row>
    <row r="307" spans="1:10" ht="14.5" customHeight="1" x14ac:dyDescent="0.35">
      <c r="A307" s="980"/>
      <c r="J307" s="363"/>
    </row>
    <row r="308" spans="1:10" ht="14.5" customHeight="1" x14ac:dyDescent="0.35">
      <c r="A308" s="980"/>
      <c r="J308" s="363"/>
    </row>
    <row r="309" spans="1:10" ht="14.5" customHeight="1" x14ac:dyDescent="0.35">
      <c r="A309" s="980"/>
      <c r="J309" s="363"/>
    </row>
    <row r="310" spans="1:10" ht="14.5" customHeight="1" x14ac:dyDescent="0.35">
      <c r="A310" s="980"/>
      <c r="J310" s="363"/>
    </row>
    <row r="311" spans="1:10" ht="14.5" customHeight="1" x14ac:dyDescent="0.35">
      <c r="A311" s="980"/>
      <c r="J311" s="363"/>
    </row>
    <row r="312" spans="1:10" ht="14.5" customHeight="1" x14ac:dyDescent="0.35">
      <c r="A312" s="980"/>
      <c r="J312" s="363"/>
    </row>
    <row r="313" spans="1:10" ht="14.5" customHeight="1" x14ac:dyDescent="0.35">
      <c r="A313" s="980"/>
      <c r="J313" s="363"/>
    </row>
    <row r="314" spans="1:10" ht="14.5" customHeight="1" x14ac:dyDescent="0.35">
      <c r="A314" s="980"/>
      <c r="J314" s="363"/>
    </row>
    <row r="315" spans="1:10" ht="14.5" customHeight="1" x14ac:dyDescent="0.35">
      <c r="A315" s="980"/>
      <c r="J315" s="363"/>
    </row>
    <row r="316" spans="1:10" ht="14.5" customHeight="1" x14ac:dyDescent="0.35">
      <c r="A316" s="980"/>
      <c r="J316" s="363"/>
    </row>
    <row r="317" spans="1:10" ht="14.5" customHeight="1" x14ac:dyDescent="0.35">
      <c r="A317" s="980"/>
      <c r="J317" s="363"/>
    </row>
    <row r="318" spans="1:10" ht="14.5" customHeight="1" x14ac:dyDescent="0.35">
      <c r="A318" s="980"/>
      <c r="J318" s="363"/>
    </row>
    <row r="319" spans="1:10" ht="14.5" customHeight="1" x14ac:dyDescent="0.35">
      <c r="A319" s="980"/>
      <c r="J319" s="363"/>
    </row>
    <row r="320" spans="1:10" ht="14.5" customHeight="1" x14ac:dyDescent="0.35">
      <c r="A320" s="980"/>
      <c r="J320" s="363"/>
    </row>
    <row r="321" spans="1:10" ht="14.5" customHeight="1" x14ac:dyDescent="0.35">
      <c r="A321" s="980"/>
      <c r="J321" s="363"/>
    </row>
    <row r="322" spans="1:10" ht="14.5" customHeight="1" x14ac:dyDescent="0.35">
      <c r="A322" s="980"/>
      <c r="J322" s="363"/>
    </row>
    <row r="323" spans="1:10" ht="14.5" customHeight="1" x14ac:dyDescent="0.35">
      <c r="A323" s="980"/>
      <c r="J323" s="363"/>
    </row>
    <row r="324" spans="1:10" ht="14.5" customHeight="1" x14ac:dyDescent="0.35">
      <c r="A324" s="980"/>
      <c r="J324" s="363"/>
    </row>
    <row r="325" spans="1:10" ht="14.5" customHeight="1" x14ac:dyDescent="0.35">
      <c r="A325" s="980"/>
      <c r="J325" s="363"/>
    </row>
    <row r="326" spans="1:10" ht="14.5" customHeight="1" x14ac:dyDescent="0.35">
      <c r="A326" s="980"/>
      <c r="J326" s="363"/>
    </row>
    <row r="327" spans="1:10" ht="14.5" customHeight="1" x14ac:dyDescent="0.35">
      <c r="A327" s="980"/>
      <c r="J327" s="363"/>
    </row>
    <row r="328" spans="1:10" ht="14.5" customHeight="1" x14ac:dyDescent="0.35">
      <c r="A328" s="980"/>
      <c r="J328" s="363"/>
    </row>
    <row r="329" spans="1:10" ht="14.5" customHeight="1" x14ac:dyDescent="0.35">
      <c r="A329" s="980"/>
      <c r="J329" s="363"/>
    </row>
    <row r="330" spans="1:10" ht="14.5" customHeight="1" x14ac:dyDescent="0.35">
      <c r="A330" s="980"/>
      <c r="J330" s="363"/>
    </row>
    <row r="331" spans="1:10" ht="14.5" customHeight="1" x14ac:dyDescent="0.35">
      <c r="A331" s="980"/>
      <c r="J331" s="363"/>
    </row>
    <row r="332" spans="1:10" ht="14.5" customHeight="1" x14ac:dyDescent="0.35">
      <c r="A332" s="980"/>
      <c r="J332" s="363"/>
    </row>
    <row r="333" spans="1:10" ht="14.5" customHeight="1" x14ac:dyDescent="0.35">
      <c r="A333" s="980"/>
      <c r="J333" s="363"/>
    </row>
    <row r="334" spans="1:10" ht="14.5" customHeight="1" x14ac:dyDescent="0.35">
      <c r="A334" s="980"/>
      <c r="J334" s="363"/>
    </row>
    <row r="335" spans="1:10" ht="14.5" customHeight="1" x14ac:dyDescent="0.35">
      <c r="A335" s="980"/>
      <c r="J335" s="363"/>
    </row>
    <row r="336" spans="1:10" ht="14.5" customHeight="1" x14ac:dyDescent="0.35">
      <c r="A336" s="980"/>
      <c r="J336" s="363"/>
    </row>
    <row r="337" spans="1:10" ht="14.5" customHeight="1" x14ac:dyDescent="0.35">
      <c r="A337" s="980"/>
      <c r="J337" s="363"/>
    </row>
    <row r="338" spans="1:10" ht="14.5" customHeight="1" x14ac:dyDescent="0.35">
      <c r="A338" s="980"/>
      <c r="J338" s="363"/>
    </row>
    <row r="339" spans="1:10" ht="14.5" customHeight="1" x14ac:dyDescent="0.35">
      <c r="A339" s="980"/>
      <c r="J339" s="363"/>
    </row>
    <row r="340" spans="1:10" ht="14.5" customHeight="1" x14ac:dyDescent="0.35">
      <c r="A340" s="980"/>
      <c r="J340" s="363"/>
    </row>
    <row r="341" spans="1:10" ht="14.5" customHeight="1" x14ac:dyDescent="0.35">
      <c r="A341" s="980"/>
      <c r="J341" s="363"/>
    </row>
    <row r="342" spans="1:10" ht="14.5" customHeight="1" x14ac:dyDescent="0.35">
      <c r="A342" s="980"/>
      <c r="J342" s="363"/>
    </row>
    <row r="343" spans="1:10" ht="14.5" customHeight="1" x14ac:dyDescent="0.35">
      <c r="A343" s="980"/>
      <c r="J343" s="363"/>
    </row>
    <row r="344" spans="1:10" ht="14.5" customHeight="1" x14ac:dyDescent="0.35">
      <c r="A344" s="980"/>
      <c r="J344" s="363"/>
    </row>
    <row r="345" spans="1:10" ht="14.5" customHeight="1" x14ac:dyDescent="0.35">
      <c r="A345" s="980"/>
      <c r="J345" s="363"/>
    </row>
    <row r="346" spans="1:10" ht="14.5" customHeight="1" x14ac:dyDescent="0.35">
      <c r="A346" s="980"/>
      <c r="J346" s="363"/>
    </row>
    <row r="347" spans="1:10" ht="14.5" customHeight="1" x14ac:dyDescent="0.35">
      <c r="A347" s="980"/>
      <c r="J347" s="363"/>
    </row>
    <row r="348" spans="1:10" ht="14.5" customHeight="1" x14ac:dyDescent="0.35">
      <c r="A348" s="980"/>
      <c r="J348" s="363"/>
    </row>
    <row r="349" spans="1:10" ht="14.5" customHeight="1" x14ac:dyDescent="0.35">
      <c r="A349" s="980"/>
      <c r="J349" s="363"/>
    </row>
    <row r="350" spans="1:10" ht="14.5" customHeight="1" x14ac:dyDescent="0.35">
      <c r="A350" s="980"/>
      <c r="J350" s="363"/>
    </row>
    <row r="351" spans="1:10" ht="14.5" customHeight="1" x14ac:dyDescent="0.35">
      <c r="A351" s="980"/>
      <c r="J351" s="363"/>
    </row>
    <row r="352" spans="1:10" ht="14.5" customHeight="1" x14ac:dyDescent="0.35">
      <c r="A352" s="980"/>
      <c r="J352" s="363"/>
    </row>
    <row r="353" spans="1:10" ht="14.5" customHeight="1" x14ac:dyDescent="0.35">
      <c r="A353" s="980"/>
      <c r="J353" s="363"/>
    </row>
    <row r="354" spans="1:10" ht="14.5" customHeight="1" x14ac:dyDescent="0.35">
      <c r="A354" s="980"/>
      <c r="J354" s="363"/>
    </row>
    <row r="355" spans="1:10" ht="14.5" customHeight="1" x14ac:dyDescent="0.35">
      <c r="A355" s="980"/>
      <c r="J355" s="363"/>
    </row>
    <row r="356" spans="1:10" ht="14.5" customHeight="1" x14ac:dyDescent="0.35">
      <c r="A356" s="980"/>
      <c r="J356" s="363"/>
    </row>
    <row r="357" spans="1:10" ht="14.5" customHeight="1" x14ac:dyDescent="0.35">
      <c r="A357" s="980"/>
      <c r="J357" s="363"/>
    </row>
    <row r="358" spans="1:10" ht="14.5" customHeight="1" x14ac:dyDescent="0.35">
      <c r="A358" s="980"/>
      <c r="J358" s="363"/>
    </row>
    <row r="359" spans="1:10" ht="14.5" customHeight="1" x14ac:dyDescent="0.35">
      <c r="A359" s="980"/>
      <c r="J359" s="363"/>
    </row>
    <row r="360" spans="1:10" ht="14.5" customHeight="1" x14ac:dyDescent="0.35">
      <c r="A360" s="980"/>
      <c r="J360" s="363"/>
    </row>
    <row r="361" spans="1:10" ht="14.5" customHeight="1" x14ac:dyDescent="0.35">
      <c r="A361" s="980"/>
      <c r="J361" s="363"/>
    </row>
    <row r="362" spans="1:10" ht="14.5" customHeight="1" x14ac:dyDescent="0.35">
      <c r="A362" s="980"/>
      <c r="J362" s="363"/>
    </row>
    <row r="363" spans="1:10" ht="14.5" customHeight="1" x14ac:dyDescent="0.35">
      <c r="A363" s="980"/>
      <c r="J363" s="363"/>
    </row>
    <row r="364" spans="1:10" ht="14.5" customHeight="1" x14ac:dyDescent="0.35">
      <c r="A364" s="980"/>
      <c r="J364" s="363"/>
    </row>
    <row r="365" spans="1:10" ht="14.5" customHeight="1" x14ac:dyDescent="0.35">
      <c r="A365" s="980"/>
      <c r="J365" s="363"/>
    </row>
    <row r="366" spans="1:10" ht="14.5" customHeight="1" x14ac:dyDescent="0.35">
      <c r="A366" s="980"/>
      <c r="J366" s="363"/>
    </row>
    <row r="367" spans="1:10" ht="14.5" customHeight="1" x14ac:dyDescent="0.35">
      <c r="A367" s="980"/>
      <c r="J367" s="363"/>
    </row>
    <row r="368" spans="1:10" ht="14.5" customHeight="1" x14ac:dyDescent="0.35">
      <c r="A368" s="980"/>
      <c r="J368" s="363"/>
    </row>
    <row r="369" spans="1:10" ht="14.5" customHeight="1" x14ac:dyDescent="0.35">
      <c r="A369" s="980"/>
      <c r="J369" s="363"/>
    </row>
    <row r="370" spans="1:10" ht="14.5" customHeight="1" x14ac:dyDescent="0.35">
      <c r="A370" s="980"/>
      <c r="J370" s="363"/>
    </row>
    <row r="371" spans="1:10" ht="14.5" customHeight="1" x14ac:dyDescent="0.35">
      <c r="A371" s="980"/>
      <c r="J371" s="363"/>
    </row>
    <row r="372" spans="1:10" ht="14.5" customHeight="1" x14ac:dyDescent="0.35">
      <c r="A372" s="980"/>
      <c r="J372" s="363"/>
    </row>
    <row r="373" spans="1:10" ht="14.5" customHeight="1" x14ac:dyDescent="0.35">
      <c r="A373" s="980"/>
      <c r="J373" s="363"/>
    </row>
    <row r="374" spans="1:10" ht="14.5" customHeight="1" x14ac:dyDescent="0.35">
      <c r="A374" s="980"/>
      <c r="J374" s="363"/>
    </row>
    <row r="375" spans="1:10" ht="14.5" customHeight="1" x14ac:dyDescent="0.35">
      <c r="A375" s="980"/>
      <c r="J375" s="363"/>
    </row>
    <row r="376" spans="1:10" ht="14.5" customHeight="1" x14ac:dyDescent="0.35">
      <c r="A376" s="980"/>
      <c r="J376" s="363"/>
    </row>
    <row r="377" spans="1:10" ht="14.5" customHeight="1" x14ac:dyDescent="0.35">
      <c r="A377" s="980"/>
      <c r="J377" s="363"/>
    </row>
    <row r="378" spans="1:10" ht="14.5" customHeight="1" x14ac:dyDescent="0.35">
      <c r="A378" s="980"/>
      <c r="J378" s="363"/>
    </row>
    <row r="379" spans="1:10" ht="14.5" customHeight="1" x14ac:dyDescent="0.35">
      <c r="A379" s="980"/>
      <c r="J379" s="363"/>
    </row>
    <row r="380" spans="1:10" ht="14.5" customHeight="1" x14ac:dyDescent="0.35">
      <c r="A380" s="980"/>
      <c r="J380" s="363"/>
    </row>
    <row r="381" spans="1:10" ht="14.5" customHeight="1" x14ac:dyDescent="0.35">
      <c r="A381" s="980"/>
      <c r="J381" s="363"/>
    </row>
    <row r="382" spans="1:10" ht="14.5" customHeight="1" x14ac:dyDescent="0.35">
      <c r="A382" s="980"/>
      <c r="J382" s="363"/>
    </row>
    <row r="383" spans="1:10" ht="14.5" customHeight="1" x14ac:dyDescent="0.35">
      <c r="A383" s="980"/>
      <c r="J383" s="363"/>
    </row>
    <row r="384" spans="1:10" ht="14.5" customHeight="1" x14ac:dyDescent="0.35">
      <c r="A384" s="980"/>
      <c r="J384" s="363"/>
    </row>
    <row r="385" spans="1:10" ht="14.5" customHeight="1" x14ac:dyDescent="0.35">
      <c r="A385" s="980"/>
      <c r="J385" s="363"/>
    </row>
    <row r="386" spans="1:10" ht="14.5" customHeight="1" x14ac:dyDescent="0.35">
      <c r="A386" s="980"/>
      <c r="J386" s="363"/>
    </row>
    <row r="387" spans="1:10" ht="14.5" customHeight="1" x14ac:dyDescent="0.35">
      <c r="A387" s="980"/>
      <c r="J387" s="363"/>
    </row>
    <row r="388" spans="1:10" ht="14.5" customHeight="1" x14ac:dyDescent="0.35">
      <c r="A388" s="980"/>
      <c r="J388" s="363"/>
    </row>
    <row r="389" spans="1:10" ht="14.5" customHeight="1" x14ac:dyDescent="0.35">
      <c r="A389" s="980"/>
      <c r="J389" s="363"/>
    </row>
    <row r="390" spans="1:10" ht="14.5" customHeight="1" x14ac:dyDescent="0.35">
      <c r="A390" s="980"/>
      <c r="J390" s="363"/>
    </row>
    <row r="391" spans="1:10" ht="14.5" customHeight="1" x14ac:dyDescent="0.35">
      <c r="A391" s="980"/>
      <c r="J391" s="363"/>
    </row>
    <row r="392" spans="1:10" ht="14.5" customHeight="1" x14ac:dyDescent="0.35">
      <c r="A392" s="980"/>
      <c r="J392" s="363"/>
    </row>
    <row r="393" spans="1:10" ht="14.5" customHeight="1" x14ac:dyDescent="0.35">
      <c r="A393" s="980"/>
      <c r="J393" s="363"/>
    </row>
    <row r="394" spans="1:10" ht="14.5" customHeight="1" x14ac:dyDescent="0.35">
      <c r="A394" s="980"/>
      <c r="J394" s="363"/>
    </row>
    <row r="395" spans="1:10" ht="14.5" customHeight="1" x14ac:dyDescent="0.35">
      <c r="A395" s="980"/>
      <c r="J395" s="363"/>
    </row>
    <row r="396" spans="1:10" ht="14.5" customHeight="1" x14ac:dyDescent="0.35">
      <c r="A396" s="980"/>
      <c r="J396" s="363"/>
    </row>
    <row r="397" spans="1:10" ht="14.5" customHeight="1" x14ac:dyDescent="0.35">
      <c r="A397" s="980"/>
      <c r="J397" s="363"/>
    </row>
    <row r="398" spans="1:10" ht="14.5" customHeight="1" x14ac:dyDescent="0.35">
      <c r="A398" s="980"/>
      <c r="J398" s="363"/>
    </row>
    <row r="399" spans="1:10" ht="14.5" customHeight="1" x14ac:dyDescent="0.35">
      <c r="A399" s="980"/>
      <c r="J399" s="363"/>
    </row>
    <row r="400" spans="1:10" ht="14.5" customHeight="1" x14ac:dyDescent="0.35">
      <c r="A400" s="980"/>
      <c r="J400" s="363"/>
    </row>
    <row r="401" spans="1:10" ht="14.5" customHeight="1" x14ac:dyDescent="0.35">
      <c r="A401" s="980"/>
      <c r="J401" s="363"/>
    </row>
    <row r="402" spans="1:10" ht="14.5" customHeight="1" x14ac:dyDescent="0.35">
      <c r="A402" s="980"/>
      <c r="J402" s="363"/>
    </row>
    <row r="403" spans="1:10" ht="14.5" customHeight="1" x14ac:dyDescent="0.35">
      <c r="A403" s="980"/>
      <c r="J403" s="363"/>
    </row>
    <row r="404" spans="1:10" ht="14.5" customHeight="1" x14ac:dyDescent="0.35">
      <c r="A404" s="980"/>
      <c r="J404" s="363"/>
    </row>
    <row r="405" spans="1:10" ht="14.5" customHeight="1" x14ac:dyDescent="0.35">
      <c r="A405" s="980"/>
      <c r="J405" s="363"/>
    </row>
    <row r="406" spans="1:10" ht="14.5" customHeight="1" x14ac:dyDescent="0.35">
      <c r="A406" s="980"/>
      <c r="J406" s="363"/>
    </row>
    <row r="407" spans="1:10" ht="14.5" customHeight="1" x14ac:dyDescent="0.35">
      <c r="A407" s="980"/>
      <c r="J407" s="363"/>
    </row>
    <row r="408" spans="1:10" ht="14.5" customHeight="1" x14ac:dyDescent="0.35">
      <c r="A408" s="980"/>
      <c r="J408" s="363"/>
    </row>
    <row r="409" spans="1:10" ht="14.5" customHeight="1" x14ac:dyDescent="0.35">
      <c r="A409" s="980"/>
      <c r="J409" s="363"/>
    </row>
    <row r="410" spans="1:10" ht="14.5" customHeight="1" x14ac:dyDescent="0.35">
      <c r="A410" s="980"/>
      <c r="J410" s="363"/>
    </row>
    <row r="411" spans="1:10" ht="14.5" customHeight="1" x14ac:dyDescent="0.35">
      <c r="A411" s="980"/>
      <c r="J411" s="363"/>
    </row>
    <row r="412" spans="1:10" ht="14.5" customHeight="1" x14ac:dyDescent="0.35">
      <c r="A412" s="980"/>
      <c r="J412" s="363"/>
    </row>
    <row r="413" spans="1:10" ht="14.5" customHeight="1" x14ac:dyDescent="0.35">
      <c r="A413" s="980"/>
      <c r="J413" s="363"/>
    </row>
    <row r="414" spans="1:10" ht="14.5" customHeight="1" x14ac:dyDescent="0.35">
      <c r="A414" s="980"/>
      <c r="J414" s="363"/>
    </row>
    <row r="415" spans="1:10" ht="14.5" customHeight="1" x14ac:dyDescent="0.35">
      <c r="A415" s="980"/>
      <c r="J415" s="363"/>
    </row>
    <row r="416" spans="1:10" ht="14.5" customHeight="1" x14ac:dyDescent="0.35">
      <c r="A416" s="980"/>
      <c r="J416" s="363"/>
    </row>
    <row r="417" spans="1:10" ht="14.5" customHeight="1" x14ac:dyDescent="0.35">
      <c r="A417" s="980"/>
      <c r="J417" s="363"/>
    </row>
    <row r="418" spans="1:10" ht="14.5" customHeight="1" x14ac:dyDescent="0.35">
      <c r="A418" s="980"/>
      <c r="J418" s="363"/>
    </row>
    <row r="419" spans="1:10" ht="14.5" customHeight="1" x14ac:dyDescent="0.35">
      <c r="A419" s="980"/>
      <c r="J419" s="363"/>
    </row>
    <row r="420" spans="1:10" ht="14.5" customHeight="1" x14ac:dyDescent="0.35">
      <c r="A420" s="980"/>
      <c r="J420" s="363"/>
    </row>
    <row r="421" spans="1:10" ht="14.5" customHeight="1" x14ac:dyDescent="0.35">
      <c r="A421" s="980"/>
      <c r="J421" s="363"/>
    </row>
    <row r="422" spans="1:10" x14ac:dyDescent="0.35">
      <c r="A422" s="980"/>
      <c r="J422" s="363"/>
    </row>
    <row r="423" spans="1:10" ht="14.5" customHeight="1" x14ac:dyDescent="0.35">
      <c r="A423" s="980"/>
      <c r="J423" s="363"/>
    </row>
    <row r="424" spans="1:10" ht="14.5" customHeight="1" x14ac:dyDescent="0.35">
      <c r="A424" s="980"/>
      <c r="J424" s="363"/>
    </row>
    <row r="425" spans="1:10" ht="14.5" customHeight="1" x14ac:dyDescent="0.35">
      <c r="A425" s="980"/>
      <c r="J425" s="363"/>
    </row>
    <row r="426" spans="1:10" x14ac:dyDescent="0.35">
      <c r="A426" s="980"/>
      <c r="J426" s="363"/>
    </row>
    <row r="427" spans="1:10" ht="14.5" customHeight="1" x14ac:dyDescent="0.35">
      <c r="A427" s="980"/>
      <c r="J427" s="363"/>
    </row>
    <row r="428" spans="1:10" ht="14.5" customHeight="1" x14ac:dyDescent="0.35">
      <c r="A428" s="980"/>
      <c r="J428" s="363"/>
    </row>
    <row r="429" spans="1:10" ht="14.5" customHeight="1" x14ac:dyDescent="0.35">
      <c r="A429" s="980"/>
      <c r="J429" s="363"/>
    </row>
    <row r="430" spans="1:10" ht="14.5" customHeight="1" x14ac:dyDescent="0.35">
      <c r="A430" s="980"/>
      <c r="J430" s="363"/>
    </row>
    <row r="431" spans="1:10" ht="14.5" customHeight="1" x14ac:dyDescent="0.35">
      <c r="A431" s="980"/>
      <c r="J431" s="363"/>
    </row>
    <row r="432" spans="1:10" ht="14.5" customHeight="1" x14ac:dyDescent="0.35">
      <c r="A432" s="980"/>
      <c r="J432" s="363"/>
    </row>
    <row r="433" spans="1:10" ht="14.5" customHeight="1" x14ac:dyDescent="0.35">
      <c r="A433" s="980"/>
      <c r="J433" s="363"/>
    </row>
    <row r="434" spans="1:10" ht="14.5" customHeight="1" x14ac:dyDescent="0.35">
      <c r="A434" s="980"/>
      <c r="J434" s="363"/>
    </row>
    <row r="435" spans="1:10" ht="14.5" customHeight="1" x14ac:dyDescent="0.35">
      <c r="A435" s="980"/>
      <c r="J435" s="363"/>
    </row>
    <row r="436" spans="1:10" ht="14.5" customHeight="1" x14ac:dyDescent="0.35">
      <c r="A436" s="980"/>
      <c r="J436" s="363"/>
    </row>
    <row r="437" spans="1:10" ht="14.5" customHeight="1" x14ac:dyDescent="0.35">
      <c r="A437" s="980"/>
      <c r="J437" s="363"/>
    </row>
    <row r="438" spans="1:10" ht="14.5" customHeight="1" x14ac:dyDescent="0.35">
      <c r="A438" s="980"/>
      <c r="J438" s="363"/>
    </row>
    <row r="439" spans="1:10" ht="14.5" customHeight="1" x14ac:dyDescent="0.35">
      <c r="A439" s="980"/>
      <c r="J439" s="363"/>
    </row>
    <row r="440" spans="1:10" ht="14.5" customHeight="1" x14ac:dyDescent="0.35">
      <c r="A440" s="980"/>
      <c r="J440" s="363"/>
    </row>
    <row r="441" spans="1:10" ht="14.5" customHeight="1" x14ac:dyDescent="0.35">
      <c r="A441" s="980"/>
      <c r="J441" s="363"/>
    </row>
    <row r="442" spans="1:10" ht="14.5" customHeight="1" x14ac:dyDescent="0.35">
      <c r="A442" s="980"/>
      <c r="J442" s="363"/>
    </row>
    <row r="443" spans="1:10" ht="14.5" customHeight="1" x14ac:dyDescent="0.35">
      <c r="A443" s="980"/>
      <c r="J443" s="363"/>
    </row>
    <row r="444" spans="1:10" ht="14.5" customHeight="1" x14ac:dyDescent="0.35">
      <c r="A444" s="980"/>
      <c r="J444" s="363"/>
    </row>
    <row r="445" spans="1:10" ht="14.5" customHeight="1" x14ac:dyDescent="0.35">
      <c r="A445" s="980"/>
      <c r="J445" s="363"/>
    </row>
    <row r="446" spans="1:10" ht="14.5" customHeight="1" x14ac:dyDescent="0.35">
      <c r="A446" s="980"/>
      <c r="J446" s="363"/>
    </row>
    <row r="447" spans="1:10" ht="14.5" customHeight="1" x14ac:dyDescent="0.35">
      <c r="A447" s="980"/>
      <c r="J447" s="363"/>
    </row>
    <row r="448" spans="1:10" ht="14.5" customHeight="1" x14ac:dyDescent="0.35">
      <c r="A448" s="980"/>
      <c r="J448" s="363"/>
    </row>
    <row r="449" spans="1:10" ht="14.5" customHeight="1" x14ac:dyDescent="0.35">
      <c r="A449" s="980"/>
      <c r="J449" s="363"/>
    </row>
    <row r="450" spans="1:10" ht="14.5" customHeight="1" x14ac:dyDescent="0.35">
      <c r="A450" s="980"/>
      <c r="J450" s="363"/>
    </row>
    <row r="451" spans="1:10" ht="14.5" customHeight="1" x14ac:dyDescent="0.35">
      <c r="A451" s="980"/>
      <c r="J451" s="363"/>
    </row>
    <row r="452" spans="1:10" ht="14.5" customHeight="1" x14ac:dyDescent="0.35">
      <c r="A452" s="980"/>
      <c r="J452" s="363"/>
    </row>
    <row r="453" spans="1:10" ht="14.5" customHeight="1" x14ac:dyDescent="0.35">
      <c r="A453" s="980"/>
      <c r="J453" s="363"/>
    </row>
    <row r="454" spans="1:10" ht="14.5" customHeight="1" x14ac:dyDescent="0.35">
      <c r="A454" s="980"/>
      <c r="J454" s="363"/>
    </row>
    <row r="455" spans="1:10" ht="14.5" customHeight="1" x14ac:dyDescent="0.35">
      <c r="A455" s="980"/>
      <c r="J455" s="363"/>
    </row>
    <row r="456" spans="1:10" ht="14.5" customHeight="1" x14ac:dyDescent="0.35">
      <c r="A456" s="980"/>
      <c r="J456" s="363"/>
    </row>
    <row r="457" spans="1:10" ht="14.5" customHeight="1" x14ac:dyDescent="0.35">
      <c r="A457" s="980"/>
      <c r="J457" s="363"/>
    </row>
    <row r="458" spans="1:10" ht="14.5" customHeight="1" x14ac:dyDescent="0.35">
      <c r="A458" s="980"/>
      <c r="J458" s="363"/>
    </row>
    <row r="459" spans="1:10" ht="14.5" customHeight="1" x14ac:dyDescent="0.35">
      <c r="A459" s="980"/>
      <c r="J459" s="363"/>
    </row>
    <row r="460" spans="1:10" ht="14.5" customHeight="1" x14ac:dyDescent="0.35">
      <c r="A460" s="980"/>
      <c r="J460" s="363"/>
    </row>
    <row r="461" spans="1:10" ht="14.5" customHeight="1" x14ac:dyDescent="0.35">
      <c r="A461" s="980"/>
      <c r="J461" s="363"/>
    </row>
    <row r="462" spans="1:10" ht="14.5" customHeight="1" x14ac:dyDescent="0.35">
      <c r="A462" s="980"/>
      <c r="J462" s="363"/>
    </row>
    <row r="463" spans="1:10" ht="14.5" customHeight="1" x14ac:dyDescent="0.35">
      <c r="A463" s="980"/>
      <c r="J463" s="363"/>
    </row>
    <row r="464" spans="1:10" ht="14.5" customHeight="1" x14ac:dyDescent="0.35">
      <c r="A464" s="980"/>
      <c r="J464" s="363"/>
    </row>
    <row r="465" spans="1:10" ht="14.5" customHeight="1" x14ac:dyDescent="0.35">
      <c r="A465" s="980"/>
      <c r="J465" s="363"/>
    </row>
    <row r="466" spans="1:10" ht="14.5" customHeight="1" x14ac:dyDescent="0.35">
      <c r="A466" s="980"/>
      <c r="J466" s="363"/>
    </row>
    <row r="467" spans="1:10" ht="14.5" customHeight="1" x14ac:dyDescent="0.35">
      <c r="A467" s="980"/>
      <c r="J467" s="363"/>
    </row>
    <row r="468" spans="1:10" ht="14.5" customHeight="1" x14ac:dyDescent="0.35">
      <c r="A468" s="980"/>
      <c r="J468" s="363"/>
    </row>
    <row r="469" spans="1:10" ht="14.5" customHeight="1" x14ac:dyDescent="0.35">
      <c r="A469" s="980"/>
      <c r="J469" s="363"/>
    </row>
    <row r="470" spans="1:10" ht="14.5" customHeight="1" x14ac:dyDescent="0.35">
      <c r="A470" s="980"/>
      <c r="J470" s="363"/>
    </row>
    <row r="471" spans="1:10" ht="14.5" customHeight="1" x14ac:dyDescent="0.35">
      <c r="A471" s="980"/>
      <c r="J471" s="363"/>
    </row>
    <row r="472" spans="1:10" ht="14.5" customHeight="1" x14ac:dyDescent="0.35">
      <c r="A472" s="980"/>
      <c r="J472" s="363"/>
    </row>
    <row r="473" spans="1:10" ht="14.5" customHeight="1" x14ac:dyDescent="0.35">
      <c r="A473" s="980"/>
      <c r="J473" s="363"/>
    </row>
    <row r="474" spans="1:10" ht="14.5" customHeight="1" x14ac:dyDescent="0.35">
      <c r="A474" s="980"/>
      <c r="J474" s="363"/>
    </row>
    <row r="475" spans="1:10" ht="14.5" customHeight="1" x14ac:dyDescent="0.35">
      <c r="A475" s="980"/>
      <c r="J475" s="363"/>
    </row>
    <row r="476" spans="1:10" ht="14.5" customHeight="1" x14ac:dyDescent="0.35">
      <c r="A476" s="980"/>
      <c r="J476" s="363"/>
    </row>
    <row r="477" spans="1:10" ht="14.5" customHeight="1" x14ac:dyDescent="0.35">
      <c r="A477" s="980"/>
      <c r="J477" s="363"/>
    </row>
    <row r="478" spans="1:10" ht="14.5" customHeight="1" x14ac:dyDescent="0.35">
      <c r="A478" s="980"/>
      <c r="J478" s="363"/>
    </row>
    <row r="479" spans="1:10" ht="14.5" customHeight="1" x14ac:dyDescent="0.35">
      <c r="A479" s="980"/>
      <c r="J479" s="363"/>
    </row>
    <row r="480" spans="1:10" ht="14.5" customHeight="1" x14ac:dyDescent="0.35">
      <c r="A480" s="980"/>
      <c r="J480" s="363"/>
    </row>
    <row r="481" spans="1:10" ht="14.5" customHeight="1" x14ac:dyDescent="0.35">
      <c r="A481" s="980"/>
      <c r="J481" s="363"/>
    </row>
    <row r="482" spans="1:10" ht="14.5" customHeight="1" x14ac:dyDescent="0.35">
      <c r="A482" s="980"/>
      <c r="J482" s="363"/>
    </row>
    <row r="483" spans="1:10" ht="14.5" customHeight="1" x14ac:dyDescent="0.35">
      <c r="A483" s="980"/>
      <c r="J483" s="363"/>
    </row>
    <row r="484" spans="1:10" ht="14.5" customHeight="1" x14ac:dyDescent="0.35">
      <c r="A484" s="980"/>
      <c r="J484" s="363"/>
    </row>
    <row r="485" spans="1:10" ht="14.5" customHeight="1" x14ac:dyDescent="0.35">
      <c r="A485" s="980"/>
      <c r="J485" s="363"/>
    </row>
    <row r="486" spans="1:10" ht="14.5" customHeight="1" x14ac:dyDescent="0.35">
      <c r="A486" s="980"/>
      <c r="J486" s="363"/>
    </row>
    <row r="487" spans="1:10" ht="14.5" customHeight="1" x14ac:dyDescent="0.35">
      <c r="A487" s="980"/>
      <c r="J487" s="363"/>
    </row>
    <row r="488" spans="1:10" ht="14.5" customHeight="1" x14ac:dyDescent="0.35">
      <c r="A488" s="980"/>
      <c r="J488" s="363"/>
    </row>
    <row r="489" spans="1:10" ht="14.5" customHeight="1" x14ac:dyDescent="0.35">
      <c r="A489" s="980"/>
      <c r="J489" s="363"/>
    </row>
    <row r="490" spans="1:10" ht="14.5" customHeight="1" x14ac:dyDescent="0.35">
      <c r="A490" s="980"/>
      <c r="J490" s="363"/>
    </row>
    <row r="491" spans="1:10" ht="14.5" customHeight="1" x14ac:dyDescent="0.35">
      <c r="A491" s="980"/>
      <c r="J491" s="363"/>
    </row>
    <row r="492" spans="1:10" ht="14.5" customHeight="1" x14ac:dyDescent="0.35">
      <c r="A492" s="980"/>
      <c r="J492" s="363"/>
    </row>
    <row r="493" spans="1:10" ht="14.5" customHeight="1" x14ac:dyDescent="0.35">
      <c r="A493" s="980"/>
      <c r="J493" s="363"/>
    </row>
    <row r="494" spans="1:10" ht="14.5" customHeight="1" x14ac:dyDescent="0.35">
      <c r="A494" s="980"/>
      <c r="J494" s="363"/>
    </row>
    <row r="495" spans="1:10" ht="14.5" customHeight="1" x14ac:dyDescent="0.35">
      <c r="A495" s="980"/>
      <c r="J495" s="363"/>
    </row>
    <row r="496" spans="1:10" ht="14.5" customHeight="1" x14ac:dyDescent="0.35">
      <c r="A496" s="980"/>
      <c r="J496" s="363"/>
    </row>
    <row r="497" spans="1:10" ht="14.5" customHeight="1" x14ac:dyDescent="0.35">
      <c r="A497" s="980"/>
      <c r="J497" s="363"/>
    </row>
    <row r="498" spans="1:10" ht="14.5" customHeight="1" x14ac:dyDescent="0.35">
      <c r="A498" s="980"/>
      <c r="J498" s="363"/>
    </row>
    <row r="499" spans="1:10" ht="14.5" customHeight="1" x14ac:dyDescent="0.35">
      <c r="A499" s="980"/>
      <c r="J499" s="363"/>
    </row>
    <row r="500" spans="1:10" ht="14.5" customHeight="1" x14ac:dyDescent="0.35">
      <c r="A500" s="980"/>
      <c r="J500" s="363"/>
    </row>
    <row r="501" spans="1:10" ht="14.5" customHeight="1" x14ac:dyDescent="0.35">
      <c r="A501" s="980"/>
      <c r="J501" s="363"/>
    </row>
    <row r="502" spans="1:10" ht="14.5" customHeight="1" x14ac:dyDescent="0.35">
      <c r="A502" s="980"/>
      <c r="J502" s="363"/>
    </row>
    <row r="503" spans="1:10" ht="14.5" customHeight="1" x14ac:dyDescent="0.35">
      <c r="A503" s="980"/>
      <c r="J503" s="363"/>
    </row>
    <row r="504" spans="1:10" ht="14.5" customHeight="1" x14ac:dyDescent="0.35">
      <c r="A504" s="980"/>
      <c r="J504" s="363"/>
    </row>
    <row r="505" spans="1:10" ht="14.5" customHeight="1" x14ac:dyDescent="0.35">
      <c r="A505" s="980"/>
      <c r="J505" s="363"/>
    </row>
    <row r="506" spans="1:10" ht="14.5" customHeight="1" x14ac:dyDescent="0.35">
      <c r="A506" s="980"/>
      <c r="J506" s="363"/>
    </row>
    <row r="507" spans="1:10" ht="14.5" customHeight="1" x14ac:dyDescent="0.35">
      <c r="A507" s="980"/>
      <c r="J507" s="363"/>
    </row>
    <row r="508" spans="1:10" ht="14.5" customHeight="1" x14ac:dyDescent="0.35">
      <c r="A508" s="980"/>
      <c r="J508" s="363"/>
    </row>
    <row r="509" spans="1:10" ht="14.5" customHeight="1" x14ac:dyDescent="0.35">
      <c r="A509" s="980"/>
      <c r="J509" s="363"/>
    </row>
    <row r="510" spans="1:10" ht="14.5" customHeight="1" x14ac:dyDescent="0.35">
      <c r="A510" s="980"/>
      <c r="J510" s="363"/>
    </row>
    <row r="511" spans="1:10" ht="14.5" customHeight="1" x14ac:dyDescent="0.35">
      <c r="A511" s="980"/>
      <c r="J511" s="363"/>
    </row>
    <row r="512" spans="1:10" ht="14.5" customHeight="1" x14ac:dyDescent="0.35">
      <c r="A512" s="980"/>
      <c r="J512" s="363"/>
    </row>
    <row r="513" spans="1:10" ht="14.5" customHeight="1" x14ac:dyDescent="0.35">
      <c r="A513" s="980"/>
      <c r="J513" s="363"/>
    </row>
    <row r="514" spans="1:10" ht="14.5" customHeight="1" x14ac:dyDescent="0.35">
      <c r="A514" s="980"/>
      <c r="J514" s="363"/>
    </row>
    <row r="515" spans="1:10" ht="14.5" customHeight="1" x14ac:dyDescent="0.35">
      <c r="A515" s="980"/>
      <c r="J515" s="363"/>
    </row>
    <row r="516" spans="1:10" ht="14.5" customHeight="1" x14ac:dyDescent="0.35">
      <c r="A516" s="980"/>
      <c r="J516" s="363"/>
    </row>
    <row r="517" spans="1:10" ht="14.5" customHeight="1" x14ac:dyDescent="0.35">
      <c r="A517" s="980"/>
      <c r="J517" s="363"/>
    </row>
    <row r="518" spans="1:10" ht="14.5" customHeight="1" x14ac:dyDescent="0.35">
      <c r="A518" s="980"/>
      <c r="J518" s="363"/>
    </row>
    <row r="519" spans="1:10" ht="14.5" customHeight="1" x14ac:dyDescent="0.35">
      <c r="A519" s="980"/>
      <c r="J519" s="363"/>
    </row>
    <row r="520" spans="1:10" ht="14.5" customHeight="1" x14ac:dyDescent="0.35">
      <c r="A520" s="980"/>
      <c r="J520" s="363"/>
    </row>
    <row r="521" spans="1:10" ht="14.5" customHeight="1" x14ac:dyDescent="0.35">
      <c r="A521" s="980"/>
      <c r="J521" s="363"/>
    </row>
    <row r="522" spans="1:10" ht="14.5" customHeight="1" x14ac:dyDescent="0.35">
      <c r="A522" s="980"/>
      <c r="J522" s="363"/>
    </row>
    <row r="523" spans="1:10" ht="14.5" customHeight="1" x14ac:dyDescent="0.35">
      <c r="A523" s="980"/>
      <c r="J523" s="363"/>
    </row>
    <row r="524" spans="1:10" ht="14.5" customHeight="1" x14ac:dyDescent="0.35">
      <c r="A524" s="980"/>
      <c r="J524" s="363"/>
    </row>
    <row r="525" spans="1:10" ht="14.5" customHeight="1" x14ac:dyDescent="0.35">
      <c r="A525" s="980"/>
      <c r="J525" s="363"/>
    </row>
    <row r="526" spans="1:10" ht="14.5" customHeight="1" x14ac:dyDescent="0.35">
      <c r="A526" s="980"/>
      <c r="J526" s="363"/>
    </row>
    <row r="527" spans="1:10" ht="14.5" customHeight="1" x14ac:dyDescent="0.35">
      <c r="A527" s="980"/>
      <c r="J527" s="363"/>
    </row>
    <row r="528" spans="1:10" ht="14.5" customHeight="1" x14ac:dyDescent="0.35">
      <c r="A528" s="980"/>
      <c r="J528" s="363"/>
    </row>
    <row r="529" spans="1:10" ht="14.5" customHeight="1" x14ac:dyDescent="0.35">
      <c r="A529" s="980"/>
      <c r="J529" s="363"/>
    </row>
    <row r="530" spans="1:10" ht="14.5" customHeight="1" x14ac:dyDescent="0.35">
      <c r="A530" s="980"/>
      <c r="J530" s="363"/>
    </row>
    <row r="531" spans="1:10" ht="14.5" customHeight="1" x14ac:dyDescent="0.35">
      <c r="A531" s="980"/>
      <c r="J531" s="363"/>
    </row>
    <row r="532" spans="1:10" ht="14.5" customHeight="1" x14ac:dyDescent="0.35">
      <c r="A532" s="980"/>
      <c r="J532" s="363"/>
    </row>
    <row r="533" spans="1:10" ht="14.5" customHeight="1" x14ac:dyDescent="0.35">
      <c r="A533" s="980"/>
      <c r="J533" s="363"/>
    </row>
    <row r="534" spans="1:10" ht="14.5" customHeight="1" x14ac:dyDescent="0.35">
      <c r="A534" s="980"/>
      <c r="J534" s="363"/>
    </row>
    <row r="535" spans="1:10" ht="14.5" customHeight="1" x14ac:dyDescent="0.35">
      <c r="A535" s="980"/>
      <c r="J535" s="363"/>
    </row>
    <row r="536" spans="1:10" ht="14.5" customHeight="1" x14ac:dyDescent="0.35">
      <c r="A536" s="980"/>
      <c r="J536" s="363"/>
    </row>
    <row r="537" spans="1:10" ht="14.5" customHeight="1" x14ac:dyDescent="0.35">
      <c r="A537" s="980"/>
      <c r="J537" s="363"/>
    </row>
    <row r="538" spans="1:10" ht="14.5" customHeight="1" x14ac:dyDescent="0.35">
      <c r="A538" s="980"/>
      <c r="J538" s="363"/>
    </row>
    <row r="539" spans="1:10" ht="14.5" customHeight="1" x14ac:dyDescent="0.35">
      <c r="A539" s="980"/>
      <c r="J539" s="363"/>
    </row>
    <row r="540" spans="1:10" ht="14.5" customHeight="1" x14ac:dyDescent="0.35">
      <c r="A540" s="980"/>
      <c r="J540" s="363"/>
    </row>
    <row r="541" spans="1:10" ht="14.5" customHeight="1" x14ac:dyDescent="0.35">
      <c r="A541" s="980"/>
      <c r="J541" s="363"/>
    </row>
    <row r="542" spans="1:10" ht="14.5" customHeight="1" x14ac:dyDescent="0.35">
      <c r="A542" s="980"/>
      <c r="J542" s="363"/>
    </row>
    <row r="543" spans="1:10" ht="14.5" customHeight="1" x14ac:dyDescent="0.35">
      <c r="A543" s="980"/>
      <c r="J543" s="363"/>
    </row>
    <row r="544" spans="1:10" ht="14.5" customHeight="1" x14ac:dyDescent="0.35">
      <c r="A544" s="980"/>
      <c r="J544" s="363"/>
    </row>
    <row r="545" spans="1:10" ht="14.5" customHeight="1" x14ac:dyDescent="0.35">
      <c r="A545" s="980"/>
      <c r="J545" s="363"/>
    </row>
    <row r="546" spans="1:10" ht="14.5" customHeight="1" x14ac:dyDescent="0.35">
      <c r="A546" s="980"/>
      <c r="J546" s="363"/>
    </row>
    <row r="547" spans="1:10" ht="14.5" customHeight="1" x14ac:dyDescent="0.35">
      <c r="A547" s="980"/>
      <c r="J547" s="363"/>
    </row>
    <row r="548" spans="1:10" ht="14.5" customHeight="1" x14ac:dyDescent="0.35">
      <c r="A548" s="980"/>
      <c r="J548" s="363"/>
    </row>
    <row r="549" spans="1:10" ht="14.5" customHeight="1" x14ac:dyDescent="0.35">
      <c r="A549" s="980"/>
      <c r="J549" s="363"/>
    </row>
    <row r="550" spans="1:10" ht="14.5" customHeight="1" x14ac:dyDescent="0.35">
      <c r="A550" s="980"/>
      <c r="J550" s="363"/>
    </row>
    <row r="551" spans="1:10" ht="14.5" customHeight="1" x14ac:dyDescent="0.35">
      <c r="A551" s="980"/>
      <c r="J551" s="363"/>
    </row>
    <row r="552" spans="1:10" ht="14.5" customHeight="1" x14ac:dyDescent="0.35">
      <c r="A552" s="980"/>
      <c r="J552" s="363"/>
    </row>
    <row r="553" spans="1:10" ht="14.5" customHeight="1" x14ac:dyDescent="0.35">
      <c r="A553" s="980"/>
      <c r="J553" s="363"/>
    </row>
    <row r="554" spans="1:10" ht="14.5" customHeight="1" x14ac:dyDescent="0.35">
      <c r="A554" s="980"/>
      <c r="J554" s="363"/>
    </row>
    <row r="555" spans="1:10" ht="14.5" customHeight="1" x14ac:dyDescent="0.35">
      <c r="A555" s="980"/>
      <c r="J555" s="363"/>
    </row>
    <row r="556" spans="1:10" ht="14.5" customHeight="1" x14ac:dyDescent="0.35">
      <c r="A556" s="980"/>
      <c r="J556" s="363"/>
    </row>
    <row r="557" spans="1:10" ht="14.5" customHeight="1" x14ac:dyDescent="0.35">
      <c r="A557" s="980"/>
      <c r="J557" s="363"/>
    </row>
    <row r="558" spans="1:10" ht="14.5" customHeight="1" x14ac:dyDescent="0.35">
      <c r="A558" s="980"/>
      <c r="J558" s="363"/>
    </row>
    <row r="559" spans="1:10" ht="14.5" customHeight="1" x14ac:dyDescent="0.35">
      <c r="A559" s="980"/>
      <c r="J559" s="363"/>
    </row>
    <row r="560" spans="1:10" ht="14.5" customHeight="1" x14ac:dyDescent="0.35">
      <c r="A560" s="980"/>
      <c r="J560" s="363"/>
    </row>
    <row r="561" spans="1:10" ht="14.5" customHeight="1" x14ac:dyDescent="0.35">
      <c r="A561" s="980"/>
      <c r="J561" s="363"/>
    </row>
    <row r="562" spans="1:10" ht="14.5" customHeight="1" x14ac:dyDescent="0.35">
      <c r="A562" s="980"/>
      <c r="J562" s="363"/>
    </row>
    <row r="563" spans="1:10" ht="14.5" customHeight="1" x14ac:dyDescent="0.35">
      <c r="A563" s="980"/>
      <c r="J563" s="363"/>
    </row>
    <row r="564" spans="1:10" ht="14.5" customHeight="1" x14ac:dyDescent="0.35">
      <c r="A564" s="980"/>
      <c r="J564" s="363"/>
    </row>
    <row r="565" spans="1:10" ht="14.5" customHeight="1" x14ac:dyDescent="0.35">
      <c r="A565" s="980"/>
      <c r="J565" s="363"/>
    </row>
    <row r="566" spans="1:10" ht="14.5" customHeight="1" x14ac:dyDescent="0.35">
      <c r="A566" s="980"/>
      <c r="J566" s="363"/>
    </row>
    <row r="567" spans="1:10" ht="14.5" customHeight="1" x14ac:dyDescent="0.35">
      <c r="A567" s="980"/>
      <c r="J567" s="363"/>
    </row>
    <row r="568" spans="1:10" ht="14.5" customHeight="1" x14ac:dyDescent="0.35">
      <c r="A568" s="980"/>
      <c r="J568" s="363"/>
    </row>
    <row r="569" spans="1:10" ht="14.5" customHeight="1" x14ac:dyDescent="0.35">
      <c r="A569" s="980"/>
      <c r="J569" s="363"/>
    </row>
    <row r="570" spans="1:10" ht="14.5" customHeight="1" x14ac:dyDescent="0.35">
      <c r="A570" s="980"/>
      <c r="J570" s="363"/>
    </row>
    <row r="571" spans="1:10" ht="14.5" customHeight="1" x14ac:dyDescent="0.35">
      <c r="A571" s="980"/>
      <c r="J571" s="363"/>
    </row>
    <row r="572" spans="1:10" ht="14.5" customHeight="1" x14ac:dyDescent="0.35">
      <c r="A572" s="980"/>
      <c r="J572" s="363"/>
    </row>
    <row r="573" spans="1:10" ht="14.5" customHeight="1" x14ac:dyDescent="0.35">
      <c r="A573" s="980"/>
      <c r="J573" s="363"/>
    </row>
    <row r="574" spans="1:10" ht="14.5" customHeight="1" x14ac:dyDescent="0.35">
      <c r="A574" s="980"/>
      <c r="J574" s="363"/>
    </row>
    <row r="575" spans="1:10" ht="14.5" customHeight="1" x14ac:dyDescent="0.35">
      <c r="A575" s="980"/>
      <c r="J575" s="363"/>
    </row>
    <row r="576" spans="1:10" ht="14.5" customHeight="1" x14ac:dyDescent="0.35">
      <c r="A576" s="980"/>
      <c r="J576" s="363"/>
    </row>
    <row r="577" spans="1:10" ht="14.5" customHeight="1" x14ac:dyDescent="0.35">
      <c r="A577" s="980"/>
      <c r="J577" s="363"/>
    </row>
    <row r="578" spans="1:10" ht="14.5" customHeight="1" x14ac:dyDescent="0.35">
      <c r="A578" s="980"/>
      <c r="J578" s="363"/>
    </row>
    <row r="579" spans="1:10" ht="14.5" customHeight="1" x14ac:dyDescent="0.35">
      <c r="A579" s="980"/>
      <c r="J579" s="363"/>
    </row>
    <row r="580" spans="1:10" ht="14.5" customHeight="1" x14ac:dyDescent="0.35">
      <c r="A580" s="980"/>
      <c r="J580" s="363"/>
    </row>
    <row r="581" spans="1:10" ht="14.5" customHeight="1" x14ac:dyDescent="0.35">
      <c r="A581" s="980"/>
      <c r="J581" s="363"/>
    </row>
    <row r="582" spans="1:10" ht="14.5" customHeight="1" x14ac:dyDescent="0.35">
      <c r="A582" s="980"/>
      <c r="J582" s="363"/>
    </row>
    <row r="583" spans="1:10" ht="14.5" customHeight="1" x14ac:dyDescent="0.35">
      <c r="A583" s="980"/>
      <c r="J583" s="363"/>
    </row>
    <row r="584" spans="1:10" ht="14.5" customHeight="1" x14ac:dyDescent="0.35">
      <c r="A584" s="980"/>
      <c r="J584" s="363"/>
    </row>
    <row r="585" spans="1:10" ht="14.5" customHeight="1" x14ac:dyDescent="0.35">
      <c r="A585" s="980"/>
      <c r="J585" s="363"/>
    </row>
    <row r="586" spans="1:10" ht="14.5" customHeight="1" x14ac:dyDescent="0.35">
      <c r="A586" s="980"/>
      <c r="J586" s="363"/>
    </row>
    <row r="587" spans="1:10" ht="14.5" customHeight="1" x14ac:dyDescent="0.35">
      <c r="A587" s="980"/>
      <c r="J587" s="363"/>
    </row>
    <row r="588" spans="1:10" ht="14.5" customHeight="1" x14ac:dyDescent="0.35">
      <c r="A588" s="980"/>
      <c r="J588" s="363"/>
    </row>
    <row r="589" spans="1:10" ht="14.5" customHeight="1" x14ac:dyDescent="0.35">
      <c r="A589" s="980"/>
      <c r="J589" s="363"/>
    </row>
    <row r="590" spans="1:10" ht="14.5" customHeight="1" x14ac:dyDescent="0.35">
      <c r="A590" s="980"/>
      <c r="J590" s="363"/>
    </row>
    <row r="591" spans="1:10" ht="14.5" customHeight="1" x14ac:dyDescent="0.35">
      <c r="A591" s="980"/>
      <c r="J591" s="363"/>
    </row>
    <row r="592" spans="1:10" ht="14.5" customHeight="1" x14ac:dyDescent="0.35">
      <c r="A592" s="980"/>
      <c r="J592" s="363"/>
    </row>
    <row r="593" spans="1:10" ht="14.5" customHeight="1" x14ac:dyDescent="0.35">
      <c r="A593" s="980"/>
      <c r="J593" s="363"/>
    </row>
    <row r="594" spans="1:10" ht="14.5" customHeight="1" x14ac:dyDescent="0.35">
      <c r="A594" s="980"/>
      <c r="J594" s="363"/>
    </row>
    <row r="595" spans="1:10" ht="14.5" customHeight="1" x14ac:dyDescent="0.35">
      <c r="A595" s="980"/>
      <c r="J595" s="363"/>
    </row>
    <row r="596" spans="1:10" ht="14.5" customHeight="1" x14ac:dyDescent="0.35">
      <c r="A596" s="980"/>
      <c r="J596" s="363"/>
    </row>
    <row r="597" spans="1:10" ht="14.5" customHeight="1" x14ac:dyDescent="0.35">
      <c r="A597" s="980"/>
      <c r="J597" s="363"/>
    </row>
    <row r="598" spans="1:10" ht="14.5" customHeight="1" x14ac:dyDescent="0.35">
      <c r="A598" s="980"/>
      <c r="J598" s="363"/>
    </row>
    <row r="599" spans="1:10" ht="14.5" customHeight="1" x14ac:dyDescent="0.35">
      <c r="A599" s="980"/>
      <c r="J599" s="363"/>
    </row>
    <row r="600" spans="1:10" ht="14.5" customHeight="1" x14ac:dyDescent="0.35">
      <c r="A600" s="980"/>
      <c r="J600" s="363"/>
    </row>
    <row r="601" spans="1:10" ht="14.5" customHeight="1" x14ac:dyDescent="0.35">
      <c r="A601" s="980"/>
      <c r="J601" s="363"/>
    </row>
    <row r="602" spans="1:10" ht="14.5" customHeight="1" x14ac:dyDescent="0.35">
      <c r="A602" s="980"/>
      <c r="J602" s="363"/>
    </row>
    <row r="603" spans="1:10" ht="14.5" customHeight="1" x14ac:dyDescent="0.35">
      <c r="A603" s="980"/>
      <c r="J603" s="363"/>
    </row>
    <row r="604" spans="1:10" ht="14.5" customHeight="1" x14ac:dyDescent="0.35">
      <c r="A604" s="980"/>
      <c r="J604" s="363"/>
    </row>
    <row r="605" spans="1:10" ht="14.5" customHeight="1" x14ac:dyDescent="0.35">
      <c r="A605" s="980"/>
      <c r="J605" s="363"/>
    </row>
    <row r="606" spans="1:10" ht="14.5" customHeight="1" x14ac:dyDescent="0.35">
      <c r="A606" s="980"/>
      <c r="J606" s="363"/>
    </row>
    <row r="607" spans="1:10" ht="14.5" customHeight="1" x14ac:dyDescent="0.35">
      <c r="A607" s="980"/>
      <c r="J607" s="363"/>
    </row>
    <row r="608" spans="1:10" ht="14.5" customHeight="1" x14ac:dyDescent="0.35">
      <c r="A608" s="980"/>
      <c r="J608" s="363"/>
    </row>
    <row r="609" spans="1:10" ht="14.5" customHeight="1" x14ac:dyDescent="0.35">
      <c r="A609" s="980"/>
      <c r="J609" s="363"/>
    </row>
    <row r="610" spans="1:10" ht="14.5" customHeight="1" x14ac:dyDescent="0.35">
      <c r="A610" s="980"/>
      <c r="J610" s="363"/>
    </row>
    <row r="611" spans="1:10" ht="14.5" customHeight="1" x14ac:dyDescent="0.35">
      <c r="A611" s="980"/>
      <c r="J611" s="363"/>
    </row>
    <row r="612" spans="1:10" ht="14.5" customHeight="1" x14ac:dyDescent="0.35">
      <c r="A612" s="980"/>
      <c r="J612" s="363"/>
    </row>
    <row r="613" spans="1:10" ht="14.5" customHeight="1" x14ac:dyDescent="0.35">
      <c r="A613" s="980"/>
      <c r="J613" s="363"/>
    </row>
    <row r="614" spans="1:10" ht="14.5" customHeight="1" x14ac:dyDescent="0.35">
      <c r="A614" s="980"/>
      <c r="J614" s="363"/>
    </row>
    <row r="615" spans="1:10" ht="14.5" customHeight="1" x14ac:dyDescent="0.35">
      <c r="A615" s="980"/>
      <c r="J615" s="363"/>
    </row>
    <row r="616" spans="1:10" ht="14.5" customHeight="1" x14ac:dyDescent="0.35">
      <c r="A616" s="980"/>
      <c r="J616" s="363"/>
    </row>
    <row r="617" spans="1:10" ht="14.5" customHeight="1" x14ac:dyDescent="0.35">
      <c r="A617" s="980"/>
      <c r="J617" s="363"/>
    </row>
    <row r="618" spans="1:10" ht="14.5" customHeight="1" x14ac:dyDescent="0.35">
      <c r="A618" s="980"/>
      <c r="J618" s="363"/>
    </row>
    <row r="619" spans="1:10" ht="14.5" customHeight="1" x14ac:dyDescent="0.35">
      <c r="A619" s="980"/>
      <c r="J619" s="363"/>
    </row>
    <row r="620" spans="1:10" ht="14.5" customHeight="1" x14ac:dyDescent="0.35">
      <c r="A620" s="980"/>
      <c r="J620" s="363"/>
    </row>
    <row r="621" spans="1:10" ht="14.5" customHeight="1" x14ac:dyDescent="0.35">
      <c r="A621" s="980"/>
      <c r="J621" s="363"/>
    </row>
    <row r="622" spans="1:10" ht="14.5" customHeight="1" x14ac:dyDescent="0.35">
      <c r="A622" s="980"/>
      <c r="J622" s="363"/>
    </row>
    <row r="623" spans="1:10" ht="14.5" customHeight="1" x14ac:dyDescent="0.35">
      <c r="A623" s="980"/>
      <c r="J623" s="363"/>
    </row>
    <row r="624" spans="1:10" ht="14.5" customHeight="1" x14ac:dyDescent="0.35">
      <c r="A624" s="980"/>
      <c r="J624" s="363"/>
    </row>
    <row r="625" spans="1:10" ht="14.5" customHeight="1" x14ac:dyDescent="0.35">
      <c r="A625" s="980"/>
      <c r="J625" s="363"/>
    </row>
    <row r="626" spans="1:10" ht="14.5" customHeight="1" x14ac:dyDescent="0.35">
      <c r="A626" s="980"/>
      <c r="J626" s="363"/>
    </row>
    <row r="627" spans="1:10" ht="14.5" customHeight="1" x14ac:dyDescent="0.35">
      <c r="A627" s="980"/>
      <c r="J627" s="363"/>
    </row>
    <row r="628" spans="1:10" ht="14.5" customHeight="1" x14ac:dyDescent="0.35">
      <c r="A628" s="980"/>
      <c r="J628" s="363"/>
    </row>
    <row r="629" spans="1:10" ht="14.5" customHeight="1" x14ac:dyDescent="0.35">
      <c r="A629" s="980"/>
      <c r="J629" s="363"/>
    </row>
    <row r="630" spans="1:10" ht="14.5" customHeight="1" x14ac:dyDescent="0.35">
      <c r="A630" s="980"/>
      <c r="J630" s="363"/>
    </row>
    <row r="631" spans="1:10" ht="14.5" customHeight="1" x14ac:dyDescent="0.35">
      <c r="A631" s="980"/>
      <c r="J631" s="363"/>
    </row>
    <row r="632" spans="1:10" ht="14.5" customHeight="1" x14ac:dyDescent="0.35">
      <c r="A632" s="980"/>
      <c r="J632" s="363"/>
    </row>
    <row r="633" spans="1:10" ht="14.5" customHeight="1" x14ac:dyDescent="0.35">
      <c r="A633" s="980"/>
      <c r="J633" s="363"/>
    </row>
    <row r="634" spans="1:10" ht="14.5" customHeight="1" x14ac:dyDescent="0.35">
      <c r="A634" s="980"/>
      <c r="J634" s="363"/>
    </row>
    <row r="635" spans="1:10" ht="14.5" customHeight="1" x14ac:dyDescent="0.35">
      <c r="A635" s="980"/>
      <c r="J635" s="363"/>
    </row>
    <row r="636" spans="1:10" ht="14.5" customHeight="1" x14ac:dyDescent="0.35">
      <c r="A636" s="980"/>
      <c r="J636" s="363"/>
    </row>
    <row r="637" spans="1:10" ht="14.5" customHeight="1" x14ac:dyDescent="0.35">
      <c r="A637" s="980"/>
      <c r="J637" s="363"/>
    </row>
    <row r="638" spans="1:10" ht="14.5" customHeight="1" x14ac:dyDescent="0.35">
      <c r="A638" s="980"/>
      <c r="J638" s="363"/>
    </row>
    <row r="639" spans="1:10" ht="14.5" customHeight="1" x14ac:dyDescent="0.35">
      <c r="A639" s="980"/>
      <c r="J639" s="363"/>
    </row>
    <row r="640" spans="1:10" ht="14.5" customHeight="1" x14ac:dyDescent="0.35">
      <c r="A640" s="980"/>
      <c r="J640" s="363"/>
    </row>
    <row r="641" spans="1:10" ht="14.5" customHeight="1" x14ac:dyDescent="0.35">
      <c r="A641" s="980"/>
      <c r="J641" s="363"/>
    </row>
    <row r="642" spans="1:10" ht="14.5" customHeight="1" x14ac:dyDescent="0.35">
      <c r="A642" s="980"/>
      <c r="J642" s="363"/>
    </row>
    <row r="643" spans="1:10" ht="14.5" customHeight="1" x14ac:dyDescent="0.35">
      <c r="A643" s="980"/>
      <c r="J643" s="363"/>
    </row>
    <row r="644" spans="1:10" ht="14.5" customHeight="1" x14ac:dyDescent="0.35">
      <c r="A644" s="980"/>
      <c r="J644" s="363"/>
    </row>
    <row r="645" spans="1:10" ht="14.5" customHeight="1" x14ac:dyDescent="0.35">
      <c r="A645" s="980"/>
      <c r="J645" s="363"/>
    </row>
    <row r="646" spans="1:10" ht="14.5" customHeight="1" x14ac:dyDescent="0.35">
      <c r="A646" s="980"/>
      <c r="J646" s="363"/>
    </row>
    <row r="647" spans="1:10" ht="14.5" customHeight="1" x14ac:dyDescent="0.35">
      <c r="A647" s="980"/>
      <c r="J647" s="363"/>
    </row>
    <row r="648" spans="1:10" ht="14.5" customHeight="1" x14ac:dyDescent="0.35">
      <c r="A648" s="980"/>
      <c r="J648" s="363"/>
    </row>
    <row r="649" spans="1:10" ht="14.5" customHeight="1" x14ac:dyDescent="0.35">
      <c r="A649" s="980"/>
      <c r="J649" s="363"/>
    </row>
    <row r="650" spans="1:10" ht="14.5" customHeight="1" x14ac:dyDescent="0.35">
      <c r="A650" s="980"/>
      <c r="J650" s="363"/>
    </row>
    <row r="651" spans="1:10" ht="14.5" customHeight="1" x14ac:dyDescent="0.35">
      <c r="A651" s="980"/>
      <c r="J651" s="363"/>
    </row>
    <row r="652" spans="1:10" ht="14.5" customHeight="1" x14ac:dyDescent="0.35">
      <c r="A652" s="980"/>
      <c r="J652" s="363"/>
    </row>
    <row r="653" spans="1:10" ht="14.5" customHeight="1" x14ac:dyDescent="0.35">
      <c r="A653" s="980"/>
      <c r="J653" s="363"/>
    </row>
    <row r="654" spans="1:10" ht="14.5" customHeight="1" x14ac:dyDescent="0.35">
      <c r="A654" s="980"/>
      <c r="J654" s="363"/>
    </row>
    <row r="655" spans="1:10" ht="14.5" customHeight="1" x14ac:dyDescent="0.35">
      <c r="A655" s="980"/>
      <c r="J655" s="363"/>
    </row>
    <row r="656" spans="1:10" ht="14.5" customHeight="1" x14ac:dyDescent="0.35">
      <c r="A656" s="980"/>
      <c r="J656" s="363"/>
    </row>
    <row r="657" spans="1:10" ht="14.5" customHeight="1" x14ac:dyDescent="0.35">
      <c r="A657" s="980"/>
      <c r="J657" s="363"/>
    </row>
    <row r="658" spans="1:10" ht="14.5" customHeight="1" x14ac:dyDescent="0.35">
      <c r="A658" s="980"/>
      <c r="J658" s="363"/>
    </row>
    <row r="659" spans="1:10" ht="14.5" customHeight="1" x14ac:dyDescent="0.35">
      <c r="A659" s="980"/>
      <c r="J659" s="363"/>
    </row>
    <row r="660" spans="1:10" ht="14.5" customHeight="1" x14ac:dyDescent="0.35">
      <c r="A660" s="980"/>
      <c r="J660" s="363"/>
    </row>
    <row r="661" spans="1:10" ht="14.5" customHeight="1" x14ac:dyDescent="0.35">
      <c r="A661" s="980"/>
      <c r="J661" s="363"/>
    </row>
    <row r="662" spans="1:10" ht="14.5" customHeight="1" x14ac:dyDescent="0.35">
      <c r="A662" s="980"/>
      <c r="J662" s="363"/>
    </row>
    <row r="663" spans="1:10" ht="14.5" customHeight="1" x14ac:dyDescent="0.35">
      <c r="A663" s="980"/>
      <c r="J663" s="363"/>
    </row>
    <row r="664" spans="1:10" ht="14.5" customHeight="1" x14ac:dyDescent="0.35">
      <c r="A664" s="980"/>
      <c r="J664" s="363"/>
    </row>
    <row r="665" spans="1:10" ht="14.5" customHeight="1" x14ac:dyDescent="0.35">
      <c r="A665" s="980"/>
      <c r="J665" s="363"/>
    </row>
    <row r="666" spans="1:10" ht="14.5" customHeight="1" x14ac:dyDescent="0.35">
      <c r="A666" s="980"/>
      <c r="J666" s="363"/>
    </row>
    <row r="667" spans="1:10" ht="14.5" customHeight="1" x14ac:dyDescent="0.35">
      <c r="A667" s="980"/>
      <c r="J667" s="363"/>
    </row>
    <row r="668" spans="1:10" ht="14.5" customHeight="1" x14ac:dyDescent="0.35">
      <c r="A668" s="980"/>
      <c r="J668" s="363"/>
    </row>
    <row r="669" spans="1:10" ht="14.5" customHeight="1" x14ac:dyDescent="0.35">
      <c r="A669" s="980"/>
      <c r="J669" s="363"/>
    </row>
    <row r="670" spans="1:10" ht="14.5" customHeight="1" x14ac:dyDescent="0.35">
      <c r="A670" s="980"/>
      <c r="J670" s="363"/>
    </row>
    <row r="671" spans="1:10" ht="14.5" customHeight="1" x14ac:dyDescent="0.35">
      <c r="A671" s="980"/>
      <c r="J671" s="363"/>
    </row>
    <row r="672" spans="1:10" ht="14.5" customHeight="1" x14ac:dyDescent="0.35">
      <c r="A672" s="980"/>
      <c r="J672" s="363"/>
    </row>
    <row r="673" spans="1:10" ht="14.5" customHeight="1" x14ac:dyDescent="0.35">
      <c r="A673" s="980"/>
      <c r="J673" s="363"/>
    </row>
    <row r="674" spans="1:10" ht="14.5" customHeight="1" x14ac:dyDescent="0.35">
      <c r="A674" s="980"/>
      <c r="J674" s="363"/>
    </row>
    <row r="675" spans="1:10" ht="14.5" customHeight="1" x14ac:dyDescent="0.35">
      <c r="A675" s="980"/>
      <c r="J675" s="363"/>
    </row>
    <row r="676" spans="1:10" ht="14.5" customHeight="1" x14ac:dyDescent="0.35">
      <c r="A676" s="980"/>
      <c r="J676" s="363"/>
    </row>
    <row r="677" spans="1:10" ht="14.5" customHeight="1" x14ac:dyDescent="0.35">
      <c r="A677" s="980"/>
      <c r="J677" s="363"/>
    </row>
    <row r="678" spans="1:10" ht="14.5" customHeight="1" x14ac:dyDescent="0.35">
      <c r="A678" s="980"/>
      <c r="J678" s="363"/>
    </row>
    <row r="679" spans="1:10" ht="14.5" customHeight="1" x14ac:dyDescent="0.35">
      <c r="A679" s="980"/>
      <c r="J679" s="363"/>
    </row>
    <row r="680" spans="1:10" ht="14.5" customHeight="1" x14ac:dyDescent="0.35">
      <c r="A680" s="980"/>
      <c r="J680" s="363"/>
    </row>
    <row r="681" spans="1:10" ht="14.5" customHeight="1" x14ac:dyDescent="0.35">
      <c r="A681" s="980"/>
      <c r="J681" s="363"/>
    </row>
    <row r="682" spans="1:10" ht="14.5" customHeight="1" x14ac:dyDescent="0.35">
      <c r="A682" s="980"/>
      <c r="J682" s="363"/>
    </row>
    <row r="683" spans="1:10" ht="14.5" customHeight="1" x14ac:dyDescent="0.35">
      <c r="A683" s="980"/>
      <c r="J683" s="363"/>
    </row>
    <row r="684" spans="1:10" ht="14.5" customHeight="1" x14ac:dyDescent="0.35">
      <c r="A684" s="980"/>
      <c r="J684" s="363"/>
    </row>
    <row r="685" spans="1:10" ht="14.5" customHeight="1" x14ac:dyDescent="0.35">
      <c r="A685" s="980"/>
      <c r="J685" s="363"/>
    </row>
    <row r="686" spans="1:10" ht="14.5" customHeight="1" x14ac:dyDescent="0.35">
      <c r="A686" s="980"/>
      <c r="J686" s="363"/>
    </row>
    <row r="687" spans="1:10" ht="14.5" customHeight="1" x14ac:dyDescent="0.35">
      <c r="A687" s="980"/>
      <c r="J687" s="363"/>
    </row>
    <row r="688" spans="1:10" ht="14.5" customHeight="1" x14ac:dyDescent="0.35">
      <c r="A688" s="980"/>
      <c r="J688" s="363"/>
    </row>
    <row r="689" spans="1:10" ht="14.5" customHeight="1" x14ac:dyDescent="0.35">
      <c r="A689" s="980"/>
      <c r="J689" s="363"/>
    </row>
    <row r="690" spans="1:10" ht="14.5" customHeight="1" x14ac:dyDescent="0.35">
      <c r="A690" s="980"/>
      <c r="J690" s="363"/>
    </row>
    <row r="691" spans="1:10" ht="14.5" customHeight="1" x14ac:dyDescent="0.35">
      <c r="A691" s="980"/>
      <c r="J691" s="363"/>
    </row>
    <row r="692" spans="1:10" ht="14.5" customHeight="1" x14ac:dyDescent="0.35">
      <c r="A692" s="980"/>
      <c r="J692" s="363"/>
    </row>
    <row r="693" spans="1:10" ht="14.5" customHeight="1" x14ac:dyDescent="0.35">
      <c r="A693" s="980"/>
      <c r="J693" s="363"/>
    </row>
    <row r="694" spans="1:10" ht="14.5" customHeight="1" x14ac:dyDescent="0.35">
      <c r="A694" s="980"/>
      <c r="J694" s="363"/>
    </row>
    <row r="695" spans="1:10" ht="14.5" customHeight="1" x14ac:dyDescent="0.35">
      <c r="A695" s="980"/>
      <c r="J695" s="363"/>
    </row>
    <row r="696" spans="1:10" ht="14.5" customHeight="1" x14ac:dyDescent="0.35">
      <c r="A696" s="980"/>
      <c r="J696" s="363"/>
    </row>
    <row r="697" spans="1:10" ht="14.5" customHeight="1" x14ac:dyDescent="0.35">
      <c r="A697" s="980"/>
      <c r="J697" s="363"/>
    </row>
    <row r="698" spans="1:10" ht="14.5" customHeight="1" x14ac:dyDescent="0.35">
      <c r="A698" s="980"/>
      <c r="J698" s="363"/>
    </row>
    <row r="699" spans="1:10" ht="14.5" customHeight="1" x14ac:dyDescent="0.35">
      <c r="A699" s="980"/>
      <c r="J699" s="363"/>
    </row>
    <row r="700" spans="1:10" ht="14.5" customHeight="1" x14ac:dyDescent="0.35">
      <c r="A700" s="980"/>
      <c r="J700" s="363"/>
    </row>
    <row r="701" spans="1:10" ht="14.5" customHeight="1" x14ac:dyDescent="0.35">
      <c r="A701" s="980"/>
      <c r="J701" s="363"/>
    </row>
    <row r="702" spans="1:10" ht="14.5" customHeight="1" x14ac:dyDescent="0.35">
      <c r="A702" s="980"/>
      <c r="J702" s="363"/>
    </row>
    <row r="703" spans="1:10" ht="14.5" customHeight="1" x14ac:dyDescent="0.35">
      <c r="A703" s="980"/>
      <c r="J703" s="363"/>
    </row>
    <row r="704" spans="1:10" ht="14.5" customHeight="1" x14ac:dyDescent="0.35">
      <c r="A704" s="980"/>
      <c r="J704" s="363"/>
    </row>
    <row r="705" spans="1:10" ht="14.5" customHeight="1" x14ac:dyDescent="0.35">
      <c r="A705" s="980"/>
      <c r="J705" s="363"/>
    </row>
    <row r="706" spans="1:10" ht="14.5" customHeight="1" x14ac:dyDescent="0.35">
      <c r="A706" s="980"/>
      <c r="J706" s="363"/>
    </row>
    <row r="707" spans="1:10" ht="14.5" customHeight="1" x14ac:dyDescent="0.35">
      <c r="A707" s="980"/>
      <c r="J707" s="363"/>
    </row>
    <row r="708" spans="1:10" ht="14.5" customHeight="1" x14ac:dyDescent="0.35">
      <c r="A708" s="980"/>
      <c r="J708" s="363"/>
    </row>
    <row r="709" spans="1:10" ht="14.5" customHeight="1" x14ac:dyDescent="0.35">
      <c r="A709" s="980"/>
      <c r="J709" s="363"/>
    </row>
    <row r="710" spans="1:10" ht="14.5" customHeight="1" x14ac:dyDescent="0.35">
      <c r="A710" s="980"/>
      <c r="J710" s="363"/>
    </row>
    <row r="711" spans="1:10" ht="14.5" customHeight="1" x14ac:dyDescent="0.35">
      <c r="A711" s="980"/>
      <c r="J711" s="363"/>
    </row>
    <row r="712" spans="1:10" ht="14.5" customHeight="1" x14ac:dyDescent="0.35">
      <c r="A712" s="980"/>
      <c r="J712" s="363"/>
    </row>
    <row r="713" spans="1:10" ht="14.5" customHeight="1" x14ac:dyDescent="0.35">
      <c r="A713" s="980"/>
      <c r="J713" s="363"/>
    </row>
    <row r="714" spans="1:10" ht="14.5" customHeight="1" x14ac:dyDescent="0.35">
      <c r="A714" s="980"/>
      <c r="J714" s="363"/>
    </row>
    <row r="715" spans="1:10" ht="14.5" customHeight="1" x14ac:dyDescent="0.35">
      <c r="A715" s="980"/>
      <c r="J715" s="363"/>
    </row>
    <row r="716" spans="1:10" ht="14.5" customHeight="1" x14ac:dyDescent="0.35">
      <c r="A716" s="980"/>
      <c r="J716" s="363"/>
    </row>
    <row r="717" spans="1:10" ht="14.5" customHeight="1" x14ac:dyDescent="0.35">
      <c r="A717" s="980"/>
      <c r="J717" s="363"/>
    </row>
    <row r="718" spans="1:10" ht="14.5" customHeight="1" x14ac:dyDescent="0.35">
      <c r="A718" s="980"/>
      <c r="J718" s="363"/>
    </row>
    <row r="719" spans="1:10" ht="14.5" customHeight="1" x14ac:dyDescent="0.35">
      <c r="A719" s="980"/>
      <c r="J719" s="363"/>
    </row>
    <row r="720" spans="1:10" ht="14.5" customHeight="1" x14ac:dyDescent="0.35">
      <c r="A720" s="980"/>
      <c r="J720" s="363"/>
    </row>
    <row r="721" spans="1:10" ht="14.5" customHeight="1" x14ac:dyDescent="0.35">
      <c r="A721" s="980"/>
      <c r="J721" s="363"/>
    </row>
    <row r="722" spans="1:10" ht="14.5" customHeight="1" x14ac:dyDescent="0.35">
      <c r="A722" s="980"/>
      <c r="J722" s="363"/>
    </row>
    <row r="723" spans="1:10" ht="14.5" customHeight="1" x14ac:dyDescent="0.35">
      <c r="A723" s="980"/>
      <c r="J723" s="363"/>
    </row>
    <row r="724" spans="1:10" ht="14.5" customHeight="1" x14ac:dyDescent="0.35">
      <c r="A724" s="980"/>
      <c r="J724" s="363"/>
    </row>
    <row r="725" spans="1:10" ht="14.5" customHeight="1" x14ac:dyDescent="0.35">
      <c r="A725" s="980"/>
      <c r="J725" s="363"/>
    </row>
    <row r="726" spans="1:10" ht="14.5" customHeight="1" x14ac:dyDescent="0.35">
      <c r="A726" s="980"/>
      <c r="J726" s="363"/>
    </row>
    <row r="727" spans="1:10" ht="14.5" customHeight="1" x14ac:dyDescent="0.35">
      <c r="A727" s="980"/>
      <c r="J727" s="363"/>
    </row>
    <row r="728" spans="1:10" ht="14.5" customHeight="1" x14ac:dyDescent="0.35">
      <c r="A728" s="980"/>
      <c r="J728" s="363"/>
    </row>
    <row r="729" spans="1:10" ht="14.5" customHeight="1" x14ac:dyDescent="0.35">
      <c r="A729" s="980"/>
      <c r="J729" s="363"/>
    </row>
    <row r="730" spans="1:10" ht="14.5" customHeight="1" x14ac:dyDescent="0.35">
      <c r="A730" s="980"/>
      <c r="J730" s="363"/>
    </row>
    <row r="731" spans="1:10" ht="14.5" customHeight="1" x14ac:dyDescent="0.35">
      <c r="A731" s="980"/>
      <c r="J731" s="363"/>
    </row>
    <row r="732" spans="1:10" ht="14.5" customHeight="1" x14ac:dyDescent="0.35">
      <c r="A732" s="980"/>
      <c r="J732" s="363"/>
    </row>
    <row r="733" spans="1:10" ht="14.5" customHeight="1" x14ac:dyDescent="0.35">
      <c r="A733" s="980"/>
      <c r="J733" s="363"/>
    </row>
    <row r="734" spans="1:10" ht="14.5" customHeight="1" x14ac:dyDescent="0.35">
      <c r="A734" s="980"/>
      <c r="J734" s="363"/>
    </row>
    <row r="735" spans="1:10" ht="14.5" customHeight="1" x14ac:dyDescent="0.35">
      <c r="A735" s="980"/>
      <c r="J735" s="363"/>
    </row>
    <row r="736" spans="1:10" ht="14.5" customHeight="1" x14ac:dyDescent="0.35">
      <c r="A736" s="980"/>
      <c r="J736" s="363"/>
    </row>
    <row r="737" spans="1:10" ht="14.5" customHeight="1" x14ac:dyDescent="0.35">
      <c r="A737" s="980"/>
      <c r="J737" s="363"/>
    </row>
    <row r="738" spans="1:10" ht="14.5" customHeight="1" x14ac:dyDescent="0.35">
      <c r="A738" s="980"/>
      <c r="J738" s="363"/>
    </row>
    <row r="739" spans="1:10" ht="14.5" customHeight="1" x14ac:dyDescent="0.35">
      <c r="A739" s="980"/>
      <c r="J739" s="363"/>
    </row>
    <row r="740" spans="1:10" ht="14.5" customHeight="1" x14ac:dyDescent="0.35">
      <c r="A740" s="980"/>
      <c r="J740" s="363"/>
    </row>
    <row r="741" spans="1:10" ht="14.5" customHeight="1" x14ac:dyDescent="0.35">
      <c r="A741" s="980"/>
      <c r="J741" s="363"/>
    </row>
    <row r="742" spans="1:10" ht="14.5" customHeight="1" x14ac:dyDescent="0.35">
      <c r="A742" s="980"/>
      <c r="J742" s="363"/>
    </row>
    <row r="743" spans="1:10" ht="14.5" customHeight="1" x14ac:dyDescent="0.35">
      <c r="A743" s="980"/>
      <c r="J743" s="363"/>
    </row>
    <row r="744" spans="1:10" ht="14.5" customHeight="1" x14ac:dyDescent="0.35">
      <c r="A744" s="980"/>
      <c r="J744" s="363"/>
    </row>
    <row r="745" spans="1:10" ht="14.5" customHeight="1" x14ac:dyDescent="0.35">
      <c r="A745" s="980"/>
      <c r="J745" s="363"/>
    </row>
    <row r="746" spans="1:10" ht="14.5" customHeight="1" x14ac:dyDescent="0.35">
      <c r="A746" s="980"/>
      <c r="J746" s="363"/>
    </row>
    <row r="747" spans="1:10" ht="14.5" customHeight="1" x14ac:dyDescent="0.35">
      <c r="A747" s="980"/>
      <c r="J747" s="363"/>
    </row>
    <row r="748" spans="1:10" ht="14.5" customHeight="1" x14ac:dyDescent="0.35">
      <c r="A748" s="980"/>
      <c r="J748" s="363"/>
    </row>
    <row r="749" spans="1:10" ht="14.5" customHeight="1" x14ac:dyDescent="0.35">
      <c r="A749" s="980"/>
      <c r="J749" s="363"/>
    </row>
    <row r="750" spans="1:10" ht="14.5" customHeight="1" x14ac:dyDescent="0.35">
      <c r="A750" s="980"/>
      <c r="J750" s="363"/>
    </row>
    <row r="751" spans="1:10" ht="14.5" customHeight="1" x14ac:dyDescent="0.35">
      <c r="A751" s="980"/>
      <c r="J751" s="363"/>
    </row>
    <row r="752" spans="1:10" ht="14.5" customHeight="1" x14ac:dyDescent="0.35">
      <c r="A752" s="980"/>
      <c r="J752" s="363"/>
    </row>
    <row r="753" spans="1:10" ht="14.5" customHeight="1" x14ac:dyDescent="0.35">
      <c r="A753" s="980"/>
      <c r="J753" s="363"/>
    </row>
    <row r="754" spans="1:10" ht="14.5" customHeight="1" x14ac:dyDescent="0.35">
      <c r="A754" s="980"/>
      <c r="J754" s="363"/>
    </row>
    <row r="755" spans="1:10" ht="14.5" customHeight="1" x14ac:dyDescent="0.35">
      <c r="A755" s="980"/>
      <c r="J755" s="363"/>
    </row>
    <row r="756" spans="1:10" ht="14.5" customHeight="1" x14ac:dyDescent="0.35">
      <c r="A756" s="980"/>
      <c r="J756" s="363"/>
    </row>
    <row r="757" spans="1:10" ht="14.5" customHeight="1" x14ac:dyDescent="0.35">
      <c r="A757" s="980"/>
      <c r="J757" s="363"/>
    </row>
    <row r="758" spans="1:10" ht="14.5" customHeight="1" x14ac:dyDescent="0.35">
      <c r="A758" s="980"/>
      <c r="J758" s="363"/>
    </row>
    <row r="759" spans="1:10" ht="14.5" customHeight="1" x14ac:dyDescent="0.35">
      <c r="A759" s="980"/>
      <c r="J759" s="363"/>
    </row>
    <row r="760" spans="1:10" ht="14.5" customHeight="1" x14ac:dyDescent="0.35">
      <c r="A760" s="980"/>
      <c r="J760" s="363"/>
    </row>
    <row r="761" spans="1:10" ht="14.5" customHeight="1" x14ac:dyDescent="0.35">
      <c r="A761" s="980"/>
      <c r="J761" s="363"/>
    </row>
    <row r="762" spans="1:10" ht="14.5" customHeight="1" x14ac:dyDescent="0.35">
      <c r="A762" s="980"/>
      <c r="J762" s="363"/>
    </row>
    <row r="763" spans="1:10" ht="14.5" customHeight="1" x14ac:dyDescent="0.35">
      <c r="A763" s="980"/>
      <c r="J763" s="363"/>
    </row>
    <row r="764" spans="1:10" ht="14.5" customHeight="1" x14ac:dyDescent="0.35">
      <c r="A764" s="980"/>
      <c r="J764" s="363"/>
    </row>
    <row r="765" spans="1:10" ht="14.5" customHeight="1" x14ac:dyDescent="0.35">
      <c r="A765" s="980"/>
      <c r="J765" s="363"/>
    </row>
    <row r="766" spans="1:10" ht="14.5" customHeight="1" x14ac:dyDescent="0.35">
      <c r="A766" s="980"/>
      <c r="J766" s="363"/>
    </row>
    <row r="767" spans="1:10" ht="14.5" customHeight="1" x14ac:dyDescent="0.35">
      <c r="A767" s="980"/>
      <c r="J767" s="363"/>
    </row>
    <row r="768" spans="1:10" ht="14.5" customHeight="1" x14ac:dyDescent="0.35">
      <c r="A768" s="980"/>
      <c r="J768" s="363"/>
    </row>
    <row r="769" spans="1:10" ht="14.5" customHeight="1" x14ac:dyDescent="0.35">
      <c r="A769" s="980"/>
      <c r="J769" s="363"/>
    </row>
    <row r="770" spans="1:10" ht="14.5" customHeight="1" x14ac:dyDescent="0.35">
      <c r="A770" s="980"/>
      <c r="J770" s="363"/>
    </row>
    <row r="771" spans="1:10" ht="14.5" customHeight="1" x14ac:dyDescent="0.35">
      <c r="A771" s="980"/>
      <c r="J771" s="363"/>
    </row>
    <row r="772" spans="1:10" ht="14.5" customHeight="1" x14ac:dyDescent="0.35">
      <c r="A772" s="980"/>
      <c r="J772" s="363"/>
    </row>
    <row r="773" spans="1:10" ht="14.5" customHeight="1" x14ac:dyDescent="0.35">
      <c r="A773" s="980"/>
      <c r="J773" s="363"/>
    </row>
    <row r="774" spans="1:10" ht="14.5" customHeight="1" x14ac:dyDescent="0.35">
      <c r="A774" s="980"/>
      <c r="J774" s="363"/>
    </row>
    <row r="775" spans="1:10" ht="14.5" customHeight="1" x14ac:dyDescent="0.35">
      <c r="A775" s="980"/>
      <c r="J775" s="363"/>
    </row>
    <row r="776" spans="1:10" ht="14.5" customHeight="1" x14ac:dyDescent="0.35">
      <c r="A776" s="980"/>
      <c r="J776" s="363"/>
    </row>
    <row r="777" spans="1:10" ht="14.5" customHeight="1" x14ac:dyDescent="0.35">
      <c r="A777" s="980"/>
      <c r="J777" s="363"/>
    </row>
    <row r="778" spans="1:10" ht="14.5" customHeight="1" x14ac:dyDescent="0.35">
      <c r="A778" s="980"/>
      <c r="J778" s="363"/>
    </row>
    <row r="779" spans="1:10" ht="14.5" customHeight="1" x14ac:dyDescent="0.35">
      <c r="A779" s="980"/>
      <c r="J779" s="363"/>
    </row>
    <row r="780" spans="1:10" ht="14.5" customHeight="1" x14ac:dyDescent="0.35">
      <c r="A780" s="980"/>
      <c r="J780" s="363"/>
    </row>
    <row r="781" spans="1:10" ht="14.5" customHeight="1" x14ac:dyDescent="0.35">
      <c r="A781" s="980"/>
      <c r="J781" s="363"/>
    </row>
    <row r="782" spans="1:10" ht="14.5" customHeight="1" x14ac:dyDescent="0.35">
      <c r="A782" s="980"/>
      <c r="J782" s="363"/>
    </row>
    <row r="783" spans="1:10" ht="14.5" customHeight="1" x14ac:dyDescent="0.35">
      <c r="A783" s="980"/>
      <c r="J783" s="363"/>
    </row>
    <row r="784" spans="1:10" ht="14.5" customHeight="1" x14ac:dyDescent="0.35">
      <c r="A784" s="980"/>
      <c r="J784" s="363"/>
    </row>
    <row r="785" spans="1:10" ht="14.5" customHeight="1" x14ac:dyDescent="0.35">
      <c r="A785" s="980"/>
      <c r="J785" s="363"/>
    </row>
    <row r="786" spans="1:10" ht="14.5" customHeight="1" x14ac:dyDescent="0.35">
      <c r="A786" s="980"/>
      <c r="J786" s="363"/>
    </row>
    <row r="787" spans="1:10" ht="14.5" customHeight="1" x14ac:dyDescent="0.35">
      <c r="A787" s="980"/>
      <c r="J787" s="363"/>
    </row>
    <row r="788" spans="1:10" ht="14.5" customHeight="1" x14ac:dyDescent="0.35">
      <c r="A788" s="980"/>
      <c r="J788" s="363"/>
    </row>
    <row r="789" spans="1:10" ht="14.5" customHeight="1" x14ac:dyDescent="0.35">
      <c r="A789" s="980"/>
      <c r="J789" s="363"/>
    </row>
    <row r="790" spans="1:10" ht="14.5" customHeight="1" x14ac:dyDescent="0.35">
      <c r="A790" s="980"/>
      <c r="J790" s="363"/>
    </row>
    <row r="791" spans="1:10" ht="14.5" customHeight="1" x14ac:dyDescent="0.35">
      <c r="A791" s="980"/>
      <c r="J791" s="363"/>
    </row>
    <row r="792" spans="1:10" ht="14.5" customHeight="1" x14ac:dyDescent="0.35">
      <c r="A792" s="980"/>
      <c r="J792" s="363"/>
    </row>
    <row r="793" spans="1:10" ht="14.5" customHeight="1" x14ac:dyDescent="0.35">
      <c r="A793" s="980"/>
      <c r="J793" s="363"/>
    </row>
    <row r="794" spans="1:10" ht="14.5" customHeight="1" x14ac:dyDescent="0.35">
      <c r="A794" s="980"/>
      <c r="J794" s="363"/>
    </row>
    <row r="795" spans="1:10" ht="14.5" customHeight="1" x14ac:dyDescent="0.35">
      <c r="A795" s="980"/>
      <c r="J795" s="363"/>
    </row>
    <row r="796" spans="1:10" ht="14.5" customHeight="1" x14ac:dyDescent="0.35">
      <c r="A796" s="980"/>
      <c r="J796" s="363"/>
    </row>
    <row r="797" spans="1:10" ht="14.5" customHeight="1" x14ac:dyDescent="0.35">
      <c r="A797" s="980"/>
      <c r="J797" s="363"/>
    </row>
    <row r="798" spans="1:10" ht="14.5" customHeight="1" x14ac:dyDescent="0.35">
      <c r="A798" s="980"/>
      <c r="J798" s="363"/>
    </row>
    <row r="799" spans="1:10" ht="14.5" customHeight="1" x14ac:dyDescent="0.35">
      <c r="A799" s="980"/>
      <c r="J799" s="363"/>
    </row>
    <row r="800" spans="1:10" ht="14.5" customHeight="1" x14ac:dyDescent="0.35">
      <c r="A800" s="980"/>
      <c r="J800" s="363"/>
    </row>
    <row r="801" spans="1:10" ht="14.5" customHeight="1" x14ac:dyDescent="0.35">
      <c r="A801" s="980"/>
      <c r="J801" s="363"/>
    </row>
    <row r="802" spans="1:10" ht="14.5" customHeight="1" x14ac:dyDescent="0.35">
      <c r="A802" s="980"/>
      <c r="J802" s="363"/>
    </row>
    <row r="803" spans="1:10" ht="14.5" customHeight="1" x14ac:dyDescent="0.35">
      <c r="A803" s="980"/>
      <c r="J803" s="363"/>
    </row>
    <row r="804" spans="1:10" ht="14.5" customHeight="1" x14ac:dyDescent="0.35">
      <c r="A804" s="980"/>
      <c r="J804" s="363"/>
    </row>
    <row r="805" spans="1:10" ht="14.5" customHeight="1" x14ac:dyDescent="0.35">
      <c r="A805" s="980"/>
      <c r="J805" s="363"/>
    </row>
    <row r="806" spans="1:10" ht="14.5" customHeight="1" x14ac:dyDescent="0.35">
      <c r="A806" s="980"/>
      <c r="J806" s="363"/>
    </row>
    <row r="807" spans="1:10" ht="14.5" customHeight="1" x14ac:dyDescent="0.35">
      <c r="A807" s="980"/>
      <c r="J807" s="363"/>
    </row>
    <row r="808" spans="1:10" ht="14.5" customHeight="1" x14ac:dyDescent="0.35">
      <c r="A808" s="980"/>
      <c r="J808" s="363"/>
    </row>
    <row r="809" spans="1:10" ht="14.5" customHeight="1" x14ac:dyDescent="0.35">
      <c r="A809" s="980"/>
      <c r="J809" s="363"/>
    </row>
    <row r="810" spans="1:10" ht="14.5" customHeight="1" x14ac:dyDescent="0.35">
      <c r="A810" s="980"/>
      <c r="J810" s="363"/>
    </row>
    <row r="811" spans="1:10" ht="14.5" customHeight="1" x14ac:dyDescent="0.35">
      <c r="A811" s="980"/>
      <c r="J811" s="363"/>
    </row>
    <row r="812" spans="1:10" ht="14.5" customHeight="1" x14ac:dyDescent="0.35">
      <c r="A812" s="980"/>
      <c r="J812" s="363"/>
    </row>
    <row r="813" spans="1:10" ht="14.5" customHeight="1" x14ac:dyDescent="0.35">
      <c r="A813" s="980"/>
      <c r="J813" s="363"/>
    </row>
    <row r="814" spans="1:10" ht="14.5" customHeight="1" x14ac:dyDescent="0.35">
      <c r="A814" s="980"/>
      <c r="J814" s="363"/>
    </row>
    <row r="815" spans="1:10" ht="14.5" customHeight="1" x14ac:dyDescent="0.35">
      <c r="A815" s="980"/>
      <c r="J815" s="363"/>
    </row>
    <row r="816" spans="1:10" ht="14.5" customHeight="1" x14ac:dyDescent="0.35">
      <c r="A816" s="980"/>
      <c r="J816" s="363"/>
    </row>
    <row r="817" spans="1:10" ht="14.5" customHeight="1" x14ac:dyDescent="0.35">
      <c r="A817" s="980"/>
      <c r="J817" s="363"/>
    </row>
    <row r="818" spans="1:10" ht="14.5" customHeight="1" x14ac:dyDescent="0.35">
      <c r="A818" s="980"/>
      <c r="J818" s="363"/>
    </row>
    <row r="819" spans="1:10" ht="14.5" customHeight="1" x14ac:dyDescent="0.35">
      <c r="A819" s="980"/>
      <c r="J819" s="363"/>
    </row>
    <row r="820" spans="1:10" ht="14.5" customHeight="1" x14ac:dyDescent="0.35">
      <c r="A820" s="980"/>
      <c r="J820" s="363"/>
    </row>
    <row r="821" spans="1:10" ht="14.5" customHeight="1" x14ac:dyDescent="0.35">
      <c r="A821" s="980"/>
      <c r="J821" s="363"/>
    </row>
    <row r="822" spans="1:10" ht="14.5" customHeight="1" x14ac:dyDescent="0.35">
      <c r="A822" s="980"/>
      <c r="J822" s="363"/>
    </row>
    <row r="823" spans="1:10" ht="14.5" customHeight="1" x14ac:dyDescent="0.35">
      <c r="A823" s="980"/>
      <c r="J823" s="363"/>
    </row>
    <row r="824" spans="1:10" ht="14.5" customHeight="1" x14ac:dyDescent="0.35">
      <c r="A824" s="980"/>
      <c r="J824" s="363"/>
    </row>
    <row r="825" spans="1:10" ht="14.5" customHeight="1" x14ac:dyDescent="0.35">
      <c r="A825" s="980"/>
      <c r="J825" s="363"/>
    </row>
    <row r="826" spans="1:10" ht="14.5" customHeight="1" x14ac:dyDescent="0.35">
      <c r="A826" s="980"/>
      <c r="J826" s="363"/>
    </row>
    <row r="827" spans="1:10" ht="14.5" customHeight="1" x14ac:dyDescent="0.35">
      <c r="A827" s="980"/>
      <c r="J827" s="363"/>
    </row>
    <row r="828" spans="1:10" ht="14.5" customHeight="1" x14ac:dyDescent="0.35">
      <c r="A828" s="980"/>
      <c r="J828" s="363"/>
    </row>
    <row r="829" spans="1:10" ht="14.5" customHeight="1" x14ac:dyDescent="0.35">
      <c r="A829" s="980"/>
      <c r="J829" s="363"/>
    </row>
    <row r="830" spans="1:10" ht="14.5" customHeight="1" x14ac:dyDescent="0.35">
      <c r="A830" s="980"/>
      <c r="J830" s="363"/>
    </row>
    <row r="831" spans="1:10" ht="14.5" customHeight="1" x14ac:dyDescent="0.35">
      <c r="A831" s="980"/>
      <c r="J831" s="363"/>
    </row>
    <row r="832" spans="1:10" ht="14.5" customHeight="1" x14ac:dyDescent="0.35">
      <c r="A832" s="980"/>
      <c r="J832" s="363"/>
    </row>
    <row r="833" spans="1:10" ht="14.5" customHeight="1" x14ac:dyDescent="0.35">
      <c r="A833" s="980"/>
      <c r="J833" s="363"/>
    </row>
    <row r="834" spans="1:10" ht="14.5" customHeight="1" x14ac:dyDescent="0.35">
      <c r="A834" s="980"/>
      <c r="J834" s="363"/>
    </row>
    <row r="835" spans="1:10" ht="14.5" customHeight="1" x14ac:dyDescent="0.35">
      <c r="A835" s="980"/>
      <c r="J835" s="363"/>
    </row>
    <row r="836" spans="1:10" ht="14.5" customHeight="1" x14ac:dyDescent="0.35">
      <c r="A836" s="980"/>
      <c r="J836" s="363"/>
    </row>
    <row r="837" spans="1:10" ht="14.5" customHeight="1" x14ac:dyDescent="0.35">
      <c r="A837" s="980"/>
      <c r="J837" s="363"/>
    </row>
    <row r="838" spans="1:10" ht="14.5" customHeight="1" x14ac:dyDescent="0.35">
      <c r="A838" s="980"/>
      <c r="J838" s="363"/>
    </row>
    <row r="839" spans="1:10" ht="14.5" customHeight="1" x14ac:dyDescent="0.35">
      <c r="A839" s="980"/>
      <c r="J839" s="363"/>
    </row>
    <row r="840" spans="1:10" ht="14.5" customHeight="1" x14ac:dyDescent="0.35">
      <c r="A840" s="980"/>
      <c r="J840" s="363"/>
    </row>
    <row r="841" spans="1:10" ht="14.5" customHeight="1" x14ac:dyDescent="0.35">
      <c r="A841" s="980"/>
      <c r="J841" s="363"/>
    </row>
    <row r="842" spans="1:10" ht="14.5" customHeight="1" x14ac:dyDescent="0.35">
      <c r="A842" s="980"/>
      <c r="J842" s="363"/>
    </row>
    <row r="843" spans="1:10" ht="14.5" customHeight="1" x14ac:dyDescent="0.35">
      <c r="A843" s="980"/>
      <c r="J843" s="363"/>
    </row>
    <row r="844" spans="1:10" ht="14.5" customHeight="1" x14ac:dyDescent="0.35">
      <c r="A844" s="980"/>
      <c r="J844" s="363"/>
    </row>
    <row r="845" spans="1:10" ht="14.5" customHeight="1" x14ac:dyDescent="0.35">
      <c r="A845" s="980"/>
      <c r="J845" s="363"/>
    </row>
    <row r="846" spans="1:10" ht="14.5" customHeight="1" x14ac:dyDescent="0.35">
      <c r="A846" s="980"/>
      <c r="J846" s="363"/>
    </row>
    <row r="847" spans="1:10" ht="14.5" customHeight="1" x14ac:dyDescent="0.35">
      <c r="A847" s="980"/>
      <c r="J847" s="363"/>
    </row>
    <row r="848" spans="1:10" ht="14.5" customHeight="1" x14ac:dyDescent="0.35">
      <c r="A848" s="980"/>
      <c r="J848" s="363"/>
    </row>
    <row r="849" spans="1:10" ht="14.5" customHeight="1" x14ac:dyDescent="0.35">
      <c r="A849" s="980"/>
      <c r="J849" s="363"/>
    </row>
    <row r="850" spans="1:10" ht="14.5" customHeight="1" x14ac:dyDescent="0.35">
      <c r="A850" s="980"/>
      <c r="J850" s="363"/>
    </row>
    <row r="851" spans="1:10" ht="14.5" customHeight="1" x14ac:dyDescent="0.35">
      <c r="A851" s="980"/>
      <c r="J851" s="363"/>
    </row>
    <row r="852" spans="1:10" ht="14.5" customHeight="1" x14ac:dyDescent="0.35">
      <c r="A852" s="980"/>
      <c r="J852" s="363"/>
    </row>
    <row r="853" spans="1:10" ht="14.5" customHeight="1" x14ac:dyDescent="0.35">
      <c r="A853" s="980"/>
      <c r="J853" s="363"/>
    </row>
    <row r="854" spans="1:10" ht="14.5" customHeight="1" x14ac:dyDescent="0.35">
      <c r="A854" s="980"/>
      <c r="J854" s="363"/>
    </row>
    <row r="855" spans="1:10" ht="14.5" customHeight="1" x14ac:dyDescent="0.35">
      <c r="A855" s="980"/>
      <c r="J855" s="363"/>
    </row>
    <row r="856" spans="1:10" ht="14.5" customHeight="1" x14ac:dyDescent="0.35">
      <c r="A856" s="980"/>
      <c r="J856" s="363"/>
    </row>
    <row r="857" spans="1:10" ht="14.5" customHeight="1" x14ac:dyDescent="0.35">
      <c r="A857" s="980"/>
      <c r="J857" s="363"/>
    </row>
    <row r="858" spans="1:10" ht="14.5" customHeight="1" x14ac:dyDescent="0.35">
      <c r="A858" s="980"/>
      <c r="J858" s="363"/>
    </row>
    <row r="859" spans="1:10" ht="14.5" customHeight="1" x14ac:dyDescent="0.35">
      <c r="A859" s="980"/>
      <c r="J859" s="363"/>
    </row>
    <row r="860" spans="1:10" ht="14.5" customHeight="1" x14ac:dyDescent="0.35">
      <c r="A860" s="980"/>
      <c r="J860" s="363"/>
    </row>
    <row r="861" spans="1:10" ht="14.5" customHeight="1" x14ac:dyDescent="0.35">
      <c r="A861" s="980"/>
      <c r="J861" s="363"/>
    </row>
    <row r="862" spans="1:10" ht="14.5" customHeight="1" x14ac:dyDescent="0.35">
      <c r="A862" s="980"/>
      <c r="J862" s="363"/>
    </row>
    <row r="863" spans="1:10" ht="14.5" customHeight="1" x14ac:dyDescent="0.35">
      <c r="A863" s="980"/>
      <c r="J863" s="363"/>
    </row>
    <row r="864" spans="1:10" ht="14.5" customHeight="1" x14ac:dyDescent="0.35">
      <c r="A864" s="980"/>
      <c r="J864" s="363"/>
    </row>
    <row r="865" spans="1:10" ht="14.5" customHeight="1" x14ac:dyDescent="0.35">
      <c r="A865" s="980"/>
      <c r="J865" s="363"/>
    </row>
    <row r="866" spans="1:10" ht="14.5" customHeight="1" x14ac:dyDescent="0.35">
      <c r="A866" s="980"/>
      <c r="J866" s="363"/>
    </row>
    <row r="867" spans="1:10" ht="14.5" customHeight="1" x14ac:dyDescent="0.35">
      <c r="A867" s="980"/>
      <c r="J867" s="363"/>
    </row>
    <row r="868" spans="1:10" ht="14.5" customHeight="1" x14ac:dyDescent="0.35">
      <c r="A868" s="980"/>
      <c r="J868" s="363"/>
    </row>
    <row r="869" spans="1:10" ht="14.5" customHeight="1" x14ac:dyDescent="0.35">
      <c r="A869" s="980"/>
      <c r="J869" s="363"/>
    </row>
    <row r="870" spans="1:10" ht="14.5" customHeight="1" x14ac:dyDescent="0.35">
      <c r="A870" s="980"/>
      <c r="J870" s="363"/>
    </row>
    <row r="871" spans="1:10" ht="14.5" customHeight="1" x14ac:dyDescent="0.35">
      <c r="A871" s="980"/>
      <c r="J871" s="363"/>
    </row>
    <row r="872" spans="1:10" ht="14.5" customHeight="1" x14ac:dyDescent="0.35">
      <c r="A872" s="980"/>
      <c r="J872" s="363"/>
    </row>
    <row r="873" spans="1:10" ht="14.5" customHeight="1" x14ac:dyDescent="0.35">
      <c r="A873" s="980"/>
      <c r="J873" s="363"/>
    </row>
    <row r="874" spans="1:10" ht="14.5" customHeight="1" x14ac:dyDescent="0.35">
      <c r="A874" s="980"/>
      <c r="J874" s="363"/>
    </row>
    <row r="875" spans="1:10" ht="14.5" customHeight="1" x14ac:dyDescent="0.35">
      <c r="A875" s="980"/>
      <c r="J875" s="363"/>
    </row>
    <row r="876" spans="1:10" ht="14.5" customHeight="1" x14ac:dyDescent="0.35">
      <c r="A876" s="980"/>
      <c r="J876" s="363"/>
    </row>
    <row r="877" spans="1:10" ht="14.5" customHeight="1" x14ac:dyDescent="0.35">
      <c r="A877" s="980"/>
      <c r="J877" s="363"/>
    </row>
    <row r="878" spans="1:10" ht="14.5" customHeight="1" x14ac:dyDescent="0.35">
      <c r="A878" s="980"/>
      <c r="J878" s="363"/>
    </row>
    <row r="879" spans="1:10" ht="14.5" customHeight="1" x14ac:dyDescent="0.35">
      <c r="A879" s="980"/>
      <c r="J879" s="363"/>
    </row>
    <row r="880" spans="1:10" ht="14.5" customHeight="1" x14ac:dyDescent="0.35">
      <c r="A880" s="980"/>
      <c r="J880" s="363"/>
    </row>
    <row r="881" spans="1:10" ht="14.5" customHeight="1" x14ac:dyDescent="0.35">
      <c r="A881" s="980"/>
      <c r="J881" s="363"/>
    </row>
    <row r="882" spans="1:10" ht="14.5" customHeight="1" x14ac:dyDescent="0.35">
      <c r="A882" s="980"/>
      <c r="J882" s="363"/>
    </row>
    <row r="883" spans="1:10" ht="14.5" customHeight="1" x14ac:dyDescent="0.35">
      <c r="A883" s="980"/>
      <c r="J883" s="363"/>
    </row>
    <row r="884" spans="1:10" ht="14.5" customHeight="1" x14ac:dyDescent="0.35">
      <c r="A884" s="980"/>
      <c r="J884" s="363"/>
    </row>
    <row r="885" spans="1:10" ht="14.5" customHeight="1" x14ac:dyDescent="0.35">
      <c r="A885" s="980"/>
      <c r="J885" s="363"/>
    </row>
    <row r="886" spans="1:10" ht="14.5" customHeight="1" x14ac:dyDescent="0.35">
      <c r="A886" s="980"/>
      <c r="J886" s="363"/>
    </row>
    <row r="887" spans="1:10" ht="14.5" customHeight="1" x14ac:dyDescent="0.35">
      <c r="A887" s="980"/>
      <c r="J887" s="363"/>
    </row>
    <row r="888" spans="1:10" ht="14.5" customHeight="1" x14ac:dyDescent="0.35">
      <c r="A888" s="980"/>
      <c r="J888" s="363"/>
    </row>
    <row r="889" spans="1:10" ht="14.5" customHeight="1" x14ac:dyDescent="0.35">
      <c r="A889" s="980"/>
      <c r="J889" s="363"/>
    </row>
    <row r="890" spans="1:10" ht="14.5" customHeight="1" x14ac:dyDescent="0.35">
      <c r="A890" s="980"/>
      <c r="J890" s="363"/>
    </row>
    <row r="891" spans="1:10" ht="14.5" customHeight="1" x14ac:dyDescent="0.35">
      <c r="A891" s="980"/>
      <c r="J891" s="363"/>
    </row>
    <row r="892" spans="1:10" ht="14.5" customHeight="1" x14ac:dyDescent="0.35">
      <c r="A892" s="980"/>
      <c r="J892" s="363"/>
    </row>
    <row r="893" spans="1:10" ht="14.5" customHeight="1" x14ac:dyDescent="0.35">
      <c r="A893" s="980"/>
      <c r="J893" s="363"/>
    </row>
    <row r="894" spans="1:10" ht="14.5" customHeight="1" x14ac:dyDescent="0.35">
      <c r="A894" s="980"/>
      <c r="J894" s="363"/>
    </row>
    <row r="895" spans="1:10" ht="14.5" customHeight="1" x14ac:dyDescent="0.35">
      <c r="A895" s="980"/>
      <c r="J895" s="363"/>
    </row>
    <row r="896" spans="1:10" ht="14.5" customHeight="1" x14ac:dyDescent="0.35">
      <c r="A896" s="980"/>
      <c r="J896" s="363"/>
    </row>
    <row r="897" spans="1:10" ht="14.5" customHeight="1" x14ac:dyDescent="0.35">
      <c r="A897" s="980"/>
      <c r="J897" s="363"/>
    </row>
    <row r="898" spans="1:10" ht="14.5" customHeight="1" x14ac:dyDescent="0.35">
      <c r="A898" s="980"/>
      <c r="J898" s="363"/>
    </row>
    <row r="899" spans="1:10" ht="14.5" customHeight="1" x14ac:dyDescent="0.35">
      <c r="A899" s="980"/>
      <c r="J899" s="363"/>
    </row>
    <row r="900" spans="1:10" ht="14.5" customHeight="1" x14ac:dyDescent="0.35">
      <c r="A900" s="980"/>
      <c r="J900" s="363"/>
    </row>
    <row r="901" spans="1:10" ht="14.5" customHeight="1" x14ac:dyDescent="0.35">
      <c r="A901" s="980"/>
      <c r="J901" s="363"/>
    </row>
    <row r="902" spans="1:10" ht="14.5" customHeight="1" x14ac:dyDescent="0.35">
      <c r="A902" s="980"/>
      <c r="J902" s="363"/>
    </row>
    <row r="903" spans="1:10" ht="14.5" customHeight="1" x14ac:dyDescent="0.35">
      <c r="A903" s="980"/>
      <c r="J903" s="363"/>
    </row>
    <row r="904" spans="1:10" ht="14.5" customHeight="1" x14ac:dyDescent="0.35">
      <c r="A904" s="980"/>
      <c r="J904" s="363"/>
    </row>
    <row r="905" spans="1:10" ht="14.5" customHeight="1" x14ac:dyDescent="0.35">
      <c r="A905" s="980"/>
      <c r="J905" s="363"/>
    </row>
    <row r="906" spans="1:10" ht="14.5" customHeight="1" x14ac:dyDescent="0.35">
      <c r="A906" s="980"/>
      <c r="J906" s="363"/>
    </row>
    <row r="907" spans="1:10" ht="14.5" customHeight="1" x14ac:dyDescent="0.35">
      <c r="A907" s="980"/>
      <c r="J907" s="363"/>
    </row>
    <row r="908" spans="1:10" ht="14.5" customHeight="1" x14ac:dyDescent="0.35">
      <c r="A908" s="980"/>
      <c r="J908" s="363"/>
    </row>
    <row r="909" spans="1:10" ht="14.5" customHeight="1" x14ac:dyDescent="0.35">
      <c r="A909" s="980"/>
      <c r="J909" s="363"/>
    </row>
    <row r="910" spans="1:10" ht="14.5" customHeight="1" x14ac:dyDescent="0.35">
      <c r="A910" s="980"/>
      <c r="J910" s="363"/>
    </row>
    <row r="911" spans="1:10" ht="14.5" customHeight="1" x14ac:dyDescent="0.35">
      <c r="A911" s="980"/>
      <c r="J911" s="363"/>
    </row>
    <row r="912" spans="1:10" ht="14.5" customHeight="1" x14ac:dyDescent="0.35">
      <c r="A912" s="980"/>
      <c r="J912" s="363"/>
    </row>
    <row r="913" spans="1:10" ht="14.5" customHeight="1" x14ac:dyDescent="0.35">
      <c r="A913" s="980"/>
      <c r="J913" s="363"/>
    </row>
    <row r="914" spans="1:10" ht="14.5" customHeight="1" x14ac:dyDescent="0.35">
      <c r="A914" s="980"/>
      <c r="J914" s="363"/>
    </row>
    <row r="915" spans="1:10" ht="14.5" customHeight="1" x14ac:dyDescent="0.35">
      <c r="A915" s="980"/>
      <c r="J915" s="363"/>
    </row>
    <row r="916" spans="1:10" ht="14.5" customHeight="1" x14ac:dyDescent="0.35">
      <c r="A916" s="980"/>
      <c r="J916" s="363"/>
    </row>
    <row r="917" spans="1:10" ht="14.5" customHeight="1" x14ac:dyDescent="0.35">
      <c r="A917" s="980"/>
      <c r="J917" s="363"/>
    </row>
    <row r="918" spans="1:10" ht="14.5" customHeight="1" x14ac:dyDescent="0.35">
      <c r="A918" s="980"/>
      <c r="J918" s="363"/>
    </row>
    <row r="919" spans="1:10" ht="14.5" customHeight="1" x14ac:dyDescent="0.35">
      <c r="A919" s="980"/>
      <c r="J919" s="363"/>
    </row>
    <row r="920" spans="1:10" ht="14.5" customHeight="1" x14ac:dyDescent="0.35">
      <c r="A920" s="980"/>
      <c r="J920" s="363"/>
    </row>
    <row r="921" spans="1:10" ht="14.5" customHeight="1" x14ac:dyDescent="0.35">
      <c r="A921" s="980"/>
      <c r="J921" s="363"/>
    </row>
    <row r="922" spans="1:10" ht="14.5" customHeight="1" x14ac:dyDescent="0.35">
      <c r="A922" s="980"/>
      <c r="J922" s="363"/>
    </row>
    <row r="923" spans="1:10" ht="14.5" customHeight="1" x14ac:dyDescent="0.35">
      <c r="A923" s="980"/>
      <c r="J923" s="363"/>
    </row>
    <row r="924" spans="1:10" ht="14.5" customHeight="1" x14ac:dyDescent="0.35">
      <c r="A924" s="980"/>
      <c r="J924" s="363"/>
    </row>
    <row r="925" spans="1:10" ht="14.5" customHeight="1" x14ac:dyDescent="0.35">
      <c r="A925" s="980"/>
      <c r="J925" s="363"/>
    </row>
    <row r="926" spans="1:10" ht="14.5" customHeight="1" x14ac:dyDescent="0.35">
      <c r="A926" s="980"/>
      <c r="J926" s="363"/>
    </row>
    <row r="927" spans="1:10" ht="14.5" customHeight="1" x14ac:dyDescent="0.35">
      <c r="A927" s="980"/>
      <c r="J927" s="363"/>
    </row>
    <row r="928" spans="1:10" ht="14.5" customHeight="1" x14ac:dyDescent="0.35">
      <c r="A928" s="980"/>
      <c r="J928" s="363"/>
    </row>
    <row r="929" spans="1:10" ht="14.5" customHeight="1" x14ac:dyDescent="0.35">
      <c r="A929" s="980"/>
      <c r="J929" s="363"/>
    </row>
    <row r="930" spans="1:10" ht="14.5" customHeight="1" x14ac:dyDescent="0.35">
      <c r="A930" s="980"/>
      <c r="J930" s="363"/>
    </row>
    <row r="931" spans="1:10" ht="14.5" customHeight="1" x14ac:dyDescent="0.35">
      <c r="A931" s="980"/>
      <c r="J931" s="363"/>
    </row>
    <row r="932" spans="1:10" ht="14.5" customHeight="1" x14ac:dyDescent="0.35">
      <c r="A932" s="980"/>
      <c r="J932" s="363"/>
    </row>
    <row r="933" spans="1:10" ht="14.5" customHeight="1" x14ac:dyDescent="0.35">
      <c r="A933" s="980"/>
      <c r="J933" s="363"/>
    </row>
    <row r="934" spans="1:10" ht="14.5" customHeight="1" x14ac:dyDescent="0.35">
      <c r="A934" s="980"/>
      <c r="J934" s="363"/>
    </row>
    <row r="935" spans="1:10" ht="14.5" customHeight="1" x14ac:dyDescent="0.35">
      <c r="A935" s="980"/>
      <c r="J935" s="363"/>
    </row>
    <row r="936" spans="1:10" ht="14.5" customHeight="1" x14ac:dyDescent="0.35">
      <c r="A936" s="980"/>
      <c r="J936" s="363"/>
    </row>
    <row r="937" spans="1:10" ht="14.5" customHeight="1" x14ac:dyDescent="0.35">
      <c r="A937" s="980"/>
      <c r="J937" s="363"/>
    </row>
    <row r="938" spans="1:10" ht="14.5" customHeight="1" x14ac:dyDescent="0.35">
      <c r="A938" s="980"/>
      <c r="J938" s="363"/>
    </row>
    <row r="939" spans="1:10" ht="14.5" customHeight="1" x14ac:dyDescent="0.35">
      <c r="A939" s="980"/>
      <c r="J939" s="363"/>
    </row>
    <row r="940" spans="1:10" ht="14.5" customHeight="1" x14ac:dyDescent="0.35">
      <c r="A940" s="980"/>
      <c r="J940" s="363"/>
    </row>
    <row r="941" spans="1:10" ht="14.5" customHeight="1" x14ac:dyDescent="0.35">
      <c r="A941" s="980"/>
      <c r="J941" s="363"/>
    </row>
    <row r="942" spans="1:10" ht="14.5" customHeight="1" x14ac:dyDescent="0.35">
      <c r="A942" s="980"/>
      <c r="J942" s="363"/>
    </row>
    <row r="943" spans="1:10" ht="14.5" customHeight="1" x14ac:dyDescent="0.35">
      <c r="A943" s="980"/>
      <c r="J943" s="363"/>
    </row>
    <row r="944" spans="1:10" ht="14.5" customHeight="1" x14ac:dyDescent="0.35">
      <c r="A944" s="980"/>
      <c r="J944" s="363"/>
    </row>
    <row r="945" spans="1:10" ht="14.5" customHeight="1" x14ac:dyDescent="0.35">
      <c r="A945" s="980"/>
      <c r="J945" s="363"/>
    </row>
    <row r="946" spans="1:10" ht="14.5" customHeight="1" x14ac:dyDescent="0.35">
      <c r="A946" s="980"/>
      <c r="J946" s="363"/>
    </row>
    <row r="947" spans="1:10" ht="14.5" customHeight="1" x14ac:dyDescent="0.35">
      <c r="A947" s="980"/>
      <c r="J947" s="363"/>
    </row>
    <row r="948" spans="1:10" ht="14.5" customHeight="1" x14ac:dyDescent="0.35">
      <c r="A948" s="980"/>
      <c r="J948" s="363"/>
    </row>
    <row r="949" spans="1:10" ht="14.5" customHeight="1" x14ac:dyDescent="0.35">
      <c r="A949" s="980"/>
      <c r="J949" s="363"/>
    </row>
    <row r="950" spans="1:10" ht="14.5" customHeight="1" x14ac:dyDescent="0.35">
      <c r="A950" s="980"/>
      <c r="J950" s="363"/>
    </row>
    <row r="951" spans="1:10" ht="14.5" customHeight="1" x14ac:dyDescent="0.35">
      <c r="A951" s="980"/>
      <c r="J951" s="363"/>
    </row>
    <row r="952" spans="1:10" ht="14.5" customHeight="1" x14ac:dyDescent="0.35">
      <c r="A952" s="980"/>
      <c r="J952" s="363"/>
    </row>
    <row r="953" spans="1:10" ht="14.5" customHeight="1" x14ac:dyDescent="0.35">
      <c r="A953" s="980"/>
      <c r="J953" s="363"/>
    </row>
    <row r="954" spans="1:10" ht="14.5" customHeight="1" x14ac:dyDescent="0.35">
      <c r="A954" s="980"/>
      <c r="J954" s="363"/>
    </row>
    <row r="955" spans="1:10" ht="14.5" customHeight="1" x14ac:dyDescent="0.35">
      <c r="A955" s="980"/>
      <c r="J955" s="363"/>
    </row>
    <row r="956" spans="1:10" ht="14.5" customHeight="1" x14ac:dyDescent="0.35">
      <c r="A956" s="980"/>
      <c r="J956" s="363"/>
    </row>
    <row r="957" spans="1:10" ht="14.5" customHeight="1" x14ac:dyDescent="0.35">
      <c r="A957" s="980"/>
      <c r="J957" s="363"/>
    </row>
    <row r="958" spans="1:10" ht="14.5" customHeight="1" x14ac:dyDescent="0.35">
      <c r="A958" s="980"/>
      <c r="J958" s="363"/>
    </row>
    <row r="959" spans="1:10" ht="14.5" customHeight="1" x14ac:dyDescent="0.35">
      <c r="A959" s="980"/>
      <c r="J959" s="363"/>
    </row>
    <row r="960" spans="1:10" ht="14.5" customHeight="1" x14ac:dyDescent="0.35">
      <c r="A960" s="980"/>
      <c r="J960" s="363"/>
    </row>
    <row r="961" spans="1:10" ht="14.5" customHeight="1" x14ac:dyDescent="0.35">
      <c r="A961" s="980"/>
      <c r="J961" s="363"/>
    </row>
    <row r="962" spans="1:10" ht="14.5" customHeight="1" x14ac:dyDescent="0.35">
      <c r="A962" s="980"/>
      <c r="J962" s="363"/>
    </row>
    <row r="963" spans="1:10" ht="14.5" customHeight="1" x14ac:dyDescent="0.35">
      <c r="A963" s="980"/>
      <c r="J963" s="363"/>
    </row>
    <row r="964" spans="1:10" ht="14.5" customHeight="1" x14ac:dyDescent="0.35">
      <c r="A964" s="980"/>
      <c r="J964" s="363"/>
    </row>
    <row r="965" spans="1:10" ht="14.5" customHeight="1" x14ac:dyDescent="0.35">
      <c r="A965" s="980"/>
      <c r="J965" s="363"/>
    </row>
    <row r="966" spans="1:10" ht="14.5" customHeight="1" x14ac:dyDescent="0.35">
      <c r="A966" s="980"/>
      <c r="J966" s="363"/>
    </row>
    <row r="967" spans="1:10" ht="14.5" customHeight="1" x14ac:dyDescent="0.35">
      <c r="A967" s="980"/>
      <c r="J967" s="363"/>
    </row>
    <row r="968" spans="1:10" ht="14.5" customHeight="1" x14ac:dyDescent="0.35">
      <c r="A968" s="980"/>
      <c r="J968" s="363"/>
    </row>
    <row r="969" spans="1:10" ht="14.5" customHeight="1" x14ac:dyDescent="0.35">
      <c r="A969" s="980"/>
      <c r="J969" s="363"/>
    </row>
    <row r="970" spans="1:10" ht="14.5" customHeight="1" x14ac:dyDescent="0.35">
      <c r="A970" s="980"/>
      <c r="J970" s="363"/>
    </row>
    <row r="971" spans="1:10" ht="14.5" customHeight="1" x14ac:dyDescent="0.35">
      <c r="A971" s="980"/>
      <c r="J971" s="363"/>
    </row>
    <row r="972" spans="1:10" ht="14.5" customHeight="1" x14ac:dyDescent="0.35">
      <c r="A972" s="980"/>
      <c r="J972" s="363"/>
    </row>
    <row r="973" spans="1:10" ht="14.5" customHeight="1" x14ac:dyDescent="0.35">
      <c r="A973" s="980"/>
      <c r="J973" s="363"/>
    </row>
    <row r="974" spans="1:10" ht="14.5" customHeight="1" x14ac:dyDescent="0.35">
      <c r="A974" s="980"/>
      <c r="J974" s="363"/>
    </row>
    <row r="975" spans="1:10" ht="14.5" customHeight="1" x14ac:dyDescent="0.35">
      <c r="A975" s="980"/>
      <c r="J975" s="363"/>
    </row>
    <row r="976" spans="1:10" ht="14.5" customHeight="1" x14ac:dyDescent="0.35">
      <c r="A976" s="980"/>
      <c r="J976" s="363"/>
    </row>
    <row r="977" spans="1:10" ht="14.5" customHeight="1" x14ac:dyDescent="0.35">
      <c r="A977" s="980"/>
      <c r="J977" s="363"/>
    </row>
    <row r="978" spans="1:10" ht="14.5" customHeight="1" x14ac:dyDescent="0.35">
      <c r="A978" s="980"/>
      <c r="J978" s="363"/>
    </row>
    <row r="979" spans="1:10" ht="14.5" customHeight="1" x14ac:dyDescent="0.35">
      <c r="A979" s="980"/>
      <c r="J979" s="363"/>
    </row>
    <row r="980" spans="1:10" ht="14.5" customHeight="1" x14ac:dyDescent="0.35">
      <c r="A980" s="980"/>
      <c r="J980" s="363"/>
    </row>
    <row r="981" spans="1:10" ht="14.5" customHeight="1" x14ac:dyDescent="0.35">
      <c r="A981" s="980"/>
      <c r="J981" s="363"/>
    </row>
    <row r="982" spans="1:10" ht="14.5" customHeight="1" x14ac:dyDescent="0.35">
      <c r="A982" s="980"/>
      <c r="J982" s="363"/>
    </row>
    <row r="983" spans="1:10" ht="14.5" customHeight="1" x14ac:dyDescent="0.35">
      <c r="A983" s="980"/>
      <c r="J983" s="363"/>
    </row>
    <row r="984" spans="1:10" ht="14.5" customHeight="1" x14ac:dyDescent="0.35">
      <c r="A984" s="980"/>
      <c r="J984" s="363"/>
    </row>
    <row r="985" spans="1:10" ht="14.5" customHeight="1" x14ac:dyDescent="0.35">
      <c r="A985" s="980"/>
      <c r="J985" s="363"/>
    </row>
    <row r="986" spans="1:10" ht="14.5" customHeight="1" x14ac:dyDescent="0.35">
      <c r="A986" s="980"/>
      <c r="J986" s="363"/>
    </row>
    <row r="987" spans="1:10" ht="14.5" customHeight="1" x14ac:dyDescent="0.35">
      <c r="A987" s="980"/>
      <c r="J987" s="363"/>
    </row>
    <row r="988" spans="1:10" ht="14.5" customHeight="1" x14ac:dyDescent="0.35">
      <c r="A988" s="980"/>
      <c r="J988" s="363"/>
    </row>
    <row r="989" spans="1:10" ht="14.5" customHeight="1" x14ac:dyDescent="0.35">
      <c r="A989" s="980"/>
      <c r="J989" s="363"/>
    </row>
    <row r="990" spans="1:10" ht="14.5" customHeight="1" x14ac:dyDescent="0.35">
      <c r="A990" s="980"/>
      <c r="J990" s="363"/>
    </row>
    <row r="991" spans="1:10" ht="14.5" customHeight="1" x14ac:dyDescent="0.35">
      <c r="A991" s="980"/>
      <c r="J991" s="363"/>
    </row>
    <row r="992" spans="1:10" ht="14.5" customHeight="1" x14ac:dyDescent="0.35">
      <c r="A992" s="980"/>
      <c r="J992" s="363"/>
    </row>
    <row r="993" spans="1:10" ht="14.5" customHeight="1" x14ac:dyDescent="0.35">
      <c r="A993" s="980"/>
      <c r="J993" s="363"/>
    </row>
    <row r="994" spans="1:10" ht="14.5" customHeight="1" x14ac:dyDescent="0.35">
      <c r="A994" s="980"/>
      <c r="J994" s="363"/>
    </row>
    <row r="995" spans="1:10" ht="14.5" customHeight="1" x14ac:dyDescent="0.35">
      <c r="A995" s="980"/>
      <c r="J995" s="363"/>
    </row>
    <row r="996" spans="1:10" ht="14.5" customHeight="1" x14ac:dyDescent="0.35">
      <c r="A996" s="980"/>
      <c r="J996" s="363"/>
    </row>
    <row r="997" spans="1:10" ht="14.5" customHeight="1" x14ac:dyDescent="0.35">
      <c r="A997" s="980"/>
      <c r="J997" s="363"/>
    </row>
    <row r="998" spans="1:10" ht="14.5" customHeight="1" x14ac:dyDescent="0.35">
      <c r="A998" s="980"/>
      <c r="J998" s="363"/>
    </row>
    <row r="999" spans="1:10" ht="14.5" customHeight="1" x14ac:dyDescent="0.35">
      <c r="A999" s="980"/>
      <c r="J999" s="363"/>
    </row>
    <row r="1000" spans="1:10" ht="14.5" customHeight="1" x14ac:dyDescent="0.35">
      <c r="A1000" s="980"/>
      <c r="J1000" s="363"/>
    </row>
    <row r="1001" spans="1:10" ht="14.5" customHeight="1" x14ac:dyDescent="0.35">
      <c r="A1001" s="980"/>
      <c r="J1001" s="363"/>
    </row>
    <row r="1002" spans="1:10" ht="14.5" customHeight="1" x14ac:dyDescent="0.35">
      <c r="A1002" s="980"/>
      <c r="J1002" s="363"/>
    </row>
    <row r="1003" spans="1:10" ht="14.5" customHeight="1" x14ac:dyDescent="0.35">
      <c r="A1003" s="980"/>
      <c r="J1003" s="363"/>
    </row>
    <row r="1004" spans="1:10" ht="14.5" customHeight="1" x14ac:dyDescent="0.35">
      <c r="A1004" s="980"/>
      <c r="J1004" s="363"/>
    </row>
    <row r="1005" spans="1:10" ht="14.5" customHeight="1" x14ac:dyDescent="0.35">
      <c r="A1005" s="980"/>
      <c r="J1005" s="363"/>
    </row>
    <row r="1006" spans="1:10" ht="14.5" customHeight="1" x14ac:dyDescent="0.35">
      <c r="A1006" s="980"/>
      <c r="J1006" s="363"/>
    </row>
    <row r="1007" spans="1:10" ht="14.5" customHeight="1" x14ac:dyDescent="0.35">
      <c r="A1007" s="980"/>
      <c r="J1007" s="363"/>
    </row>
    <row r="1008" spans="1:10" ht="14.5" customHeight="1" x14ac:dyDescent="0.35">
      <c r="A1008" s="980"/>
      <c r="J1008" s="363"/>
    </row>
    <row r="1009" spans="1:10" ht="14.5" customHeight="1" x14ac:dyDescent="0.35">
      <c r="A1009" s="980"/>
      <c r="J1009" s="363"/>
    </row>
    <row r="1010" spans="1:10" ht="14.5" customHeight="1" x14ac:dyDescent="0.35">
      <c r="A1010" s="980"/>
      <c r="J1010" s="363"/>
    </row>
    <row r="1011" spans="1:10" ht="14.5" customHeight="1" x14ac:dyDescent="0.35">
      <c r="A1011" s="980"/>
      <c r="J1011" s="363"/>
    </row>
    <row r="1012" spans="1:10" ht="14.5" customHeight="1" x14ac:dyDescent="0.35">
      <c r="A1012" s="980"/>
      <c r="J1012" s="363"/>
    </row>
    <row r="1013" spans="1:10" ht="14.5" customHeight="1" x14ac:dyDescent="0.35">
      <c r="A1013" s="980"/>
      <c r="J1013" s="363"/>
    </row>
    <row r="1014" spans="1:10" ht="14.5" customHeight="1" x14ac:dyDescent="0.35">
      <c r="A1014" s="980"/>
      <c r="J1014" s="363"/>
    </row>
    <row r="1015" spans="1:10" ht="14.5" customHeight="1" x14ac:dyDescent="0.35">
      <c r="A1015" s="980"/>
      <c r="J1015" s="363"/>
    </row>
    <row r="1016" spans="1:10" ht="14.5" customHeight="1" x14ac:dyDescent="0.35">
      <c r="A1016" s="980"/>
      <c r="J1016" s="363"/>
    </row>
    <row r="1017" spans="1:10" ht="14.5" customHeight="1" x14ac:dyDescent="0.35">
      <c r="A1017" s="980"/>
      <c r="J1017" s="363"/>
    </row>
    <row r="1018" spans="1:10" ht="14.5" customHeight="1" x14ac:dyDescent="0.35">
      <c r="A1018" s="980"/>
      <c r="J1018" s="363"/>
    </row>
    <row r="1019" spans="1:10" ht="14.5" customHeight="1" x14ac:dyDescent="0.35">
      <c r="A1019" s="980"/>
      <c r="J1019" s="363"/>
    </row>
    <row r="1020" spans="1:10" ht="14.5" customHeight="1" x14ac:dyDescent="0.35">
      <c r="A1020" s="980"/>
      <c r="J1020" s="363"/>
    </row>
    <row r="1021" spans="1:10" ht="14.5" customHeight="1" x14ac:dyDescent="0.35">
      <c r="A1021" s="980"/>
      <c r="J1021" s="363"/>
    </row>
    <row r="1022" spans="1:10" ht="14.5" customHeight="1" x14ac:dyDescent="0.35">
      <c r="A1022" s="980"/>
      <c r="J1022" s="363"/>
    </row>
    <row r="1023" spans="1:10" ht="14.5" customHeight="1" x14ac:dyDescent="0.35">
      <c r="A1023" s="980"/>
      <c r="J1023" s="363"/>
    </row>
    <row r="1024" spans="1:10" ht="14.5" customHeight="1" x14ac:dyDescent="0.35">
      <c r="A1024" s="980"/>
      <c r="J1024" s="363"/>
    </row>
    <row r="1025" spans="1:10" ht="14.5" customHeight="1" x14ac:dyDescent="0.35">
      <c r="A1025" s="980"/>
      <c r="J1025" s="363"/>
    </row>
    <row r="1026" spans="1:10" ht="14.5" customHeight="1" x14ac:dyDescent="0.35">
      <c r="A1026" s="980"/>
      <c r="J1026" s="363"/>
    </row>
    <row r="1027" spans="1:10" ht="14.5" customHeight="1" x14ac:dyDescent="0.35">
      <c r="A1027" s="980"/>
      <c r="J1027" s="363"/>
    </row>
    <row r="1028" spans="1:10" ht="14.5" customHeight="1" x14ac:dyDescent="0.35">
      <c r="A1028" s="980"/>
      <c r="J1028" s="363"/>
    </row>
    <row r="1029" spans="1:10" ht="14.5" customHeight="1" x14ac:dyDescent="0.35">
      <c r="A1029" s="980"/>
      <c r="J1029" s="363"/>
    </row>
    <row r="1030" spans="1:10" ht="14.5" customHeight="1" x14ac:dyDescent="0.35">
      <c r="A1030" s="980"/>
      <c r="J1030" s="363"/>
    </row>
    <row r="1031" spans="1:10" ht="14.5" customHeight="1" x14ac:dyDescent="0.35">
      <c r="A1031" s="980"/>
      <c r="J1031" s="363"/>
    </row>
    <row r="1032" spans="1:10" ht="14.5" customHeight="1" x14ac:dyDescent="0.35">
      <c r="A1032" s="980"/>
      <c r="J1032" s="363"/>
    </row>
    <row r="1033" spans="1:10" ht="14.5" customHeight="1" x14ac:dyDescent="0.35">
      <c r="A1033" s="980"/>
      <c r="J1033" s="363"/>
    </row>
    <row r="1034" spans="1:10" ht="14.5" customHeight="1" x14ac:dyDescent="0.35">
      <c r="A1034" s="980"/>
      <c r="J1034" s="363"/>
    </row>
    <row r="1035" spans="1:10" ht="14.5" customHeight="1" x14ac:dyDescent="0.35">
      <c r="A1035" s="980"/>
      <c r="J1035" s="363"/>
    </row>
    <row r="1036" spans="1:10" ht="14.5" customHeight="1" x14ac:dyDescent="0.35">
      <c r="A1036" s="980"/>
      <c r="J1036" s="363"/>
    </row>
    <row r="1037" spans="1:10" ht="14.5" customHeight="1" x14ac:dyDescent="0.35">
      <c r="A1037" s="980"/>
      <c r="J1037" s="363"/>
    </row>
    <row r="1038" spans="1:10" ht="14.5" customHeight="1" x14ac:dyDescent="0.35">
      <c r="A1038" s="980"/>
      <c r="J1038" s="363"/>
    </row>
    <row r="1039" spans="1:10" ht="14.5" customHeight="1" x14ac:dyDescent="0.35">
      <c r="A1039" s="980"/>
      <c r="J1039" s="363"/>
    </row>
    <row r="1040" spans="1:10" ht="14.5" customHeight="1" x14ac:dyDescent="0.35">
      <c r="A1040" s="980"/>
      <c r="J1040" s="363"/>
    </row>
    <row r="1041" spans="1:10" ht="14.5" customHeight="1" x14ac:dyDescent="0.35">
      <c r="A1041" s="980"/>
      <c r="J1041" s="363"/>
    </row>
    <row r="1042" spans="1:10" ht="14.5" customHeight="1" x14ac:dyDescent="0.35">
      <c r="A1042" s="980"/>
      <c r="J1042" s="363"/>
    </row>
    <row r="1043" spans="1:10" ht="14.5" customHeight="1" x14ac:dyDescent="0.35">
      <c r="A1043" s="980"/>
      <c r="J1043" s="363"/>
    </row>
    <row r="1044" spans="1:10" ht="14.5" customHeight="1" x14ac:dyDescent="0.35">
      <c r="A1044" s="980"/>
      <c r="J1044" s="363"/>
    </row>
    <row r="1045" spans="1:10" ht="14.5" customHeight="1" x14ac:dyDescent="0.35">
      <c r="A1045" s="980"/>
      <c r="J1045" s="363"/>
    </row>
    <row r="1046" spans="1:10" ht="14.5" customHeight="1" x14ac:dyDescent="0.35">
      <c r="A1046" s="980"/>
      <c r="J1046" s="363"/>
    </row>
    <row r="1047" spans="1:10" ht="14.5" customHeight="1" x14ac:dyDescent="0.35">
      <c r="A1047" s="980"/>
      <c r="J1047" s="363"/>
    </row>
    <row r="1048" spans="1:10" ht="14.5" customHeight="1" x14ac:dyDescent="0.35">
      <c r="A1048" s="980"/>
      <c r="J1048" s="363"/>
    </row>
    <row r="1049" spans="1:10" ht="14.5" customHeight="1" x14ac:dyDescent="0.35">
      <c r="A1049" s="980"/>
      <c r="J1049" s="363"/>
    </row>
    <row r="1050" spans="1:10" ht="14.5" customHeight="1" x14ac:dyDescent="0.35">
      <c r="A1050" s="980"/>
      <c r="J1050" s="363"/>
    </row>
    <row r="1051" spans="1:10" ht="14.5" customHeight="1" x14ac:dyDescent="0.35">
      <c r="A1051" s="980"/>
      <c r="J1051" s="363"/>
    </row>
    <row r="1052" spans="1:10" ht="14.5" customHeight="1" x14ac:dyDescent="0.35">
      <c r="A1052" s="980"/>
      <c r="J1052" s="363"/>
    </row>
    <row r="1053" spans="1:10" ht="14.5" customHeight="1" x14ac:dyDescent="0.35">
      <c r="A1053" s="980"/>
      <c r="J1053" s="363"/>
    </row>
    <row r="1054" spans="1:10" ht="14.5" customHeight="1" x14ac:dyDescent="0.35">
      <c r="A1054" s="980"/>
      <c r="J1054" s="363"/>
    </row>
    <row r="1055" spans="1:10" ht="14.5" customHeight="1" x14ac:dyDescent="0.35">
      <c r="A1055" s="980"/>
      <c r="J1055" s="363"/>
    </row>
    <row r="1056" spans="1:10" ht="14.5" customHeight="1" x14ac:dyDescent="0.35">
      <c r="A1056" s="980"/>
      <c r="J1056" s="363"/>
    </row>
    <row r="1057" spans="1:10" ht="14.5" customHeight="1" x14ac:dyDescent="0.35">
      <c r="A1057" s="980"/>
      <c r="J1057" s="363"/>
    </row>
    <row r="1058" spans="1:10" ht="14.5" customHeight="1" x14ac:dyDescent="0.35">
      <c r="A1058" s="980"/>
      <c r="J1058" s="363"/>
    </row>
    <row r="1059" spans="1:10" ht="14.5" customHeight="1" x14ac:dyDescent="0.35">
      <c r="A1059" s="980"/>
      <c r="J1059" s="363"/>
    </row>
    <row r="1060" spans="1:10" ht="14.5" customHeight="1" x14ac:dyDescent="0.35">
      <c r="A1060" s="980"/>
      <c r="J1060" s="363"/>
    </row>
    <row r="1061" spans="1:10" ht="14.5" customHeight="1" x14ac:dyDescent="0.35">
      <c r="A1061" s="980"/>
      <c r="J1061" s="363"/>
    </row>
    <row r="1062" spans="1:10" ht="14.5" customHeight="1" x14ac:dyDescent="0.35">
      <c r="A1062" s="980"/>
      <c r="J1062" s="363"/>
    </row>
    <row r="1063" spans="1:10" ht="14.5" customHeight="1" x14ac:dyDescent="0.35">
      <c r="A1063" s="980"/>
      <c r="J1063" s="363"/>
    </row>
    <row r="1064" spans="1:10" ht="14.5" customHeight="1" x14ac:dyDescent="0.35">
      <c r="A1064" s="980"/>
      <c r="J1064" s="363"/>
    </row>
    <row r="1065" spans="1:10" ht="14.5" customHeight="1" x14ac:dyDescent="0.35">
      <c r="A1065" s="980"/>
      <c r="J1065" s="363"/>
    </row>
    <row r="1066" spans="1:10" ht="14.5" customHeight="1" x14ac:dyDescent="0.35">
      <c r="A1066" s="980"/>
      <c r="J1066" s="363"/>
    </row>
    <row r="1067" spans="1:10" ht="14.5" customHeight="1" x14ac:dyDescent="0.35">
      <c r="A1067" s="980"/>
      <c r="J1067" s="363"/>
    </row>
    <row r="1068" spans="1:10" ht="14.5" customHeight="1" x14ac:dyDescent="0.35">
      <c r="A1068" s="980"/>
      <c r="J1068" s="363"/>
    </row>
    <row r="1069" spans="1:10" ht="14.5" customHeight="1" x14ac:dyDescent="0.35">
      <c r="A1069" s="980"/>
      <c r="J1069" s="363"/>
    </row>
    <row r="1070" spans="1:10" ht="14.5" customHeight="1" x14ac:dyDescent="0.35">
      <c r="A1070" s="980"/>
      <c r="J1070" s="363"/>
    </row>
    <row r="1071" spans="1:10" ht="14.5" customHeight="1" x14ac:dyDescent="0.35">
      <c r="A1071" s="980"/>
      <c r="J1071" s="363"/>
    </row>
    <row r="1072" spans="1:10" ht="14.5" customHeight="1" x14ac:dyDescent="0.35">
      <c r="A1072" s="980"/>
      <c r="J1072" s="363"/>
    </row>
    <row r="1073" spans="1:10" ht="14.5" customHeight="1" x14ac:dyDescent="0.35">
      <c r="A1073" s="980"/>
      <c r="J1073" s="363"/>
    </row>
    <row r="1074" spans="1:10" ht="14.5" customHeight="1" x14ac:dyDescent="0.35">
      <c r="A1074" s="980"/>
      <c r="J1074" s="363"/>
    </row>
    <row r="1075" spans="1:10" ht="14.5" customHeight="1" x14ac:dyDescent="0.35">
      <c r="A1075" s="980"/>
      <c r="J1075" s="363"/>
    </row>
    <row r="1076" spans="1:10" ht="14.5" customHeight="1" x14ac:dyDescent="0.35">
      <c r="A1076" s="980"/>
      <c r="J1076" s="363"/>
    </row>
    <row r="1077" spans="1:10" ht="14.5" customHeight="1" x14ac:dyDescent="0.35">
      <c r="A1077" s="980"/>
      <c r="J1077" s="363"/>
    </row>
    <row r="1078" spans="1:10" ht="14.5" customHeight="1" x14ac:dyDescent="0.35">
      <c r="A1078" s="980"/>
      <c r="J1078" s="363"/>
    </row>
    <row r="1079" spans="1:10" ht="14.5" customHeight="1" x14ac:dyDescent="0.35">
      <c r="A1079" s="980"/>
      <c r="J1079" s="363"/>
    </row>
    <row r="1080" spans="1:10" ht="14.5" customHeight="1" x14ac:dyDescent="0.35">
      <c r="A1080" s="980"/>
      <c r="J1080" s="363"/>
    </row>
    <row r="1081" spans="1:10" ht="14.5" customHeight="1" x14ac:dyDescent="0.35">
      <c r="A1081" s="980"/>
      <c r="J1081" s="363"/>
    </row>
    <row r="1082" spans="1:10" ht="14.5" customHeight="1" x14ac:dyDescent="0.35">
      <c r="A1082" s="980"/>
      <c r="J1082" s="363"/>
    </row>
    <row r="1083" spans="1:10" ht="14.5" customHeight="1" x14ac:dyDescent="0.35">
      <c r="A1083" s="980"/>
      <c r="J1083" s="363"/>
    </row>
    <row r="1084" spans="1:10" ht="14.5" customHeight="1" x14ac:dyDescent="0.35">
      <c r="A1084" s="980"/>
      <c r="J1084" s="363"/>
    </row>
    <row r="1085" spans="1:10" ht="14.5" customHeight="1" x14ac:dyDescent="0.35">
      <c r="A1085" s="980"/>
      <c r="J1085" s="363"/>
    </row>
    <row r="1086" spans="1:10" ht="14.5" customHeight="1" x14ac:dyDescent="0.35">
      <c r="A1086" s="980"/>
      <c r="J1086" s="363"/>
    </row>
    <row r="1087" spans="1:10" ht="14.5" customHeight="1" x14ac:dyDescent="0.35">
      <c r="A1087" s="980"/>
      <c r="J1087" s="363"/>
    </row>
    <row r="1088" spans="1:10" ht="14.5" customHeight="1" x14ac:dyDescent="0.35">
      <c r="A1088" s="980"/>
      <c r="J1088" s="363"/>
    </row>
    <row r="1089" spans="1:10" ht="14.5" customHeight="1" x14ac:dyDescent="0.35">
      <c r="A1089" s="980"/>
      <c r="J1089" s="363"/>
    </row>
    <row r="1090" spans="1:10" ht="14.5" customHeight="1" x14ac:dyDescent="0.35">
      <c r="A1090" s="980"/>
      <c r="J1090" s="363"/>
    </row>
    <row r="1091" spans="1:10" ht="14.5" customHeight="1" x14ac:dyDescent="0.35">
      <c r="A1091" s="980"/>
      <c r="J1091" s="363"/>
    </row>
    <row r="1092" spans="1:10" ht="14.5" customHeight="1" x14ac:dyDescent="0.35">
      <c r="A1092" s="980"/>
      <c r="J1092" s="363"/>
    </row>
    <row r="1093" spans="1:10" ht="14.5" customHeight="1" x14ac:dyDescent="0.35">
      <c r="A1093" s="980"/>
      <c r="J1093" s="363"/>
    </row>
    <row r="1094" spans="1:10" ht="14.5" customHeight="1" x14ac:dyDescent="0.35">
      <c r="A1094" s="980"/>
      <c r="J1094" s="363"/>
    </row>
    <row r="1095" spans="1:10" ht="14.5" customHeight="1" x14ac:dyDescent="0.35">
      <c r="A1095" s="980"/>
      <c r="J1095" s="363"/>
    </row>
    <row r="1096" spans="1:10" ht="14.5" customHeight="1" x14ac:dyDescent="0.35">
      <c r="A1096" s="980"/>
      <c r="J1096" s="363"/>
    </row>
    <row r="1097" spans="1:10" ht="14.5" customHeight="1" x14ac:dyDescent="0.35">
      <c r="A1097" s="980"/>
      <c r="J1097" s="363"/>
    </row>
    <row r="1098" spans="1:10" ht="14.5" customHeight="1" x14ac:dyDescent="0.35">
      <c r="A1098" s="980"/>
      <c r="J1098" s="363"/>
    </row>
    <row r="1099" spans="1:10" ht="14.5" customHeight="1" x14ac:dyDescent="0.35">
      <c r="A1099" s="980"/>
      <c r="J1099" s="363"/>
    </row>
    <row r="1100" spans="1:10" ht="14.5" customHeight="1" x14ac:dyDescent="0.35">
      <c r="A1100" s="980"/>
      <c r="J1100" s="363"/>
    </row>
    <row r="1101" spans="1:10" ht="14.5" customHeight="1" x14ac:dyDescent="0.35">
      <c r="A1101" s="980"/>
      <c r="J1101" s="363"/>
    </row>
    <row r="1102" spans="1:10" ht="14.5" customHeight="1" x14ac:dyDescent="0.35">
      <c r="A1102" s="980"/>
      <c r="J1102" s="363"/>
    </row>
    <row r="1103" spans="1:10" ht="14.5" customHeight="1" x14ac:dyDescent="0.35">
      <c r="A1103" s="980"/>
      <c r="J1103" s="363"/>
    </row>
    <row r="1104" spans="1:10" ht="14.5" customHeight="1" x14ac:dyDescent="0.35">
      <c r="A1104" s="980"/>
      <c r="J1104" s="363"/>
    </row>
    <row r="1105" spans="1:10" ht="14.5" customHeight="1" x14ac:dyDescent="0.35">
      <c r="A1105" s="980"/>
      <c r="J1105" s="363"/>
    </row>
    <row r="1106" spans="1:10" ht="14.5" customHeight="1" x14ac:dyDescent="0.35">
      <c r="A1106" s="980"/>
      <c r="J1106" s="363"/>
    </row>
    <row r="1107" spans="1:10" ht="14.5" customHeight="1" x14ac:dyDescent="0.35">
      <c r="A1107" s="980"/>
      <c r="J1107" s="363"/>
    </row>
    <row r="1108" spans="1:10" ht="14.5" customHeight="1" x14ac:dyDescent="0.35">
      <c r="A1108" s="980"/>
      <c r="J1108" s="363"/>
    </row>
    <row r="1109" spans="1:10" ht="14.5" customHeight="1" x14ac:dyDescent="0.35">
      <c r="A1109" s="980"/>
      <c r="J1109" s="363"/>
    </row>
    <row r="1110" spans="1:10" ht="14.5" customHeight="1" x14ac:dyDescent="0.35">
      <c r="A1110" s="980"/>
      <c r="J1110" s="363"/>
    </row>
    <row r="1111" spans="1:10" ht="14.5" customHeight="1" x14ac:dyDescent="0.35">
      <c r="A1111" s="980"/>
      <c r="J1111" s="363"/>
    </row>
    <row r="1112" spans="1:10" ht="14.5" customHeight="1" x14ac:dyDescent="0.35">
      <c r="A1112" s="980"/>
      <c r="J1112" s="363"/>
    </row>
    <row r="1113" spans="1:10" ht="14.5" customHeight="1" x14ac:dyDescent="0.35">
      <c r="A1113" s="980"/>
      <c r="J1113" s="363"/>
    </row>
    <row r="1114" spans="1:10" ht="14.5" customHeight="1" x14ac:dyDescent="0.35">
      <c r="A1114" s="980"/>
      <c r="J1114" s="363"/>
    </row>
    <row r="1115" spans="1:10" ht="14.5" customHeight="1" x14ac:dyDescent="0.35">
      <c r="A1115" s="980"/>
      <c r="J1115" s="363"/>
    </row>
    <row r="1116" spans="1:10" ht="14.5" customHeight="1" x14ac:dyDescent="0.35">
      <c r="A1116" s="980"/>
      <c r="J1116" s="363"/>
    </row>
    <row r="1117" spans="1:10" ht="14.5" customHeight="1" x14ac:dyDescent="0.35">
      <c r="A1117" s="980"/>
      <c r="J1117" s="363"/>
    </row>
    <row r="1118" spans="1:10" ht="14.5" customHeight="1" x14ac:dyDescent="0.35">
      <c r="A1118" s="980"/>
      <c r="J1118" s="363"/>
    </row>
    <row r="1119" spans="1:10" ht="14.5" customHeight="1" x14ac:dyDescent="0.35">
      <c r="A1119" s="980"/>
      <c r="J1119" s="363"/>
    </row>
    <row r="1120" spans="1:10" ht="14.5" customHeight="1" x14ac:dyDescent="0.35">
      <c r="A1120" s="980"/>
      <c r="J1120" s="363"/>
    </row>
    <row r="1121" spans="1:10" ht="14.5" customHeight="1" x14ac:dyDescent="0.35">
      <c r="A1121" s="980"/>
      <c r="J1121" s="363"/>
    </row>
    <row r="1122" spans="1:10" ht="14.5" customHeight="1" x14ac:dyDescent="0.35">
      <c r="A1122" s="980"/>
      <c r="J1122" s="363"/>
    </row>
    <row r="1123" spans="1:10" ht="14.5" customHeight="1" x14ac:dyDescent="0.35">
      <c r="A1123" s="980"/>
      <c r="J1123" s="363"/>
    </row>
    <row r="1124" spans="1:10" ht="14.5" customHeight="1" x14ac:dyDescent="0.35">
      <c r="A1124" s="980"/>
      <c r="J1124" s="363"/>
    </row>
    <row r="1125" spans="1:10" ht="14.5" customHeight="1" x14ac:dyDescent="0.35">
      <c r="A1125" s="980"/>
      <c r="J1125" s="363"/>
    </row>
    <row r="1126" spans="1:10" ht="14.5" customHeight="1" x14ac:dyDescent="0.35">
      <c r="A1126" s="980"/>
      <c r="J1126" s="363"/>
    </row>
    <row r="1127" spans="1:10" ht="14.5" customHeight="1" x14ac:dyDescent="0.35">
      <c r="A1127" s="980"/>
      <c r="J1127" s="363"/>
    </row>
    <row r="1128" spans="1:10" ht="14.5" customHeight="1" x14ac:dyDescent="0.35">
      <c r="A1128" s="980"/>
      <c r="J1128" s="363"/>
    </row>
    <row r="1129" spans="1:10" ht="14.5" customHeight="1" x14ac:dyDescent="0.35">
      <c r="A1129" s="980"/>
      <c r="J1129" s="363"/>
    </row>
    <row r="1130" spans="1:10" ht="14.5" customHeight="1" x14ac:dyDescent="0.35">
      <c r="A1130" s="980"/>
      <c r="J1130" s="363"/>
    </row>
    <row r="1131" spans="1:10" ht="14.5" customHeight="1" x14ac:dyDescent="0.35">
      <c r="A1131" s="980"/>
      <c r="J1131" s="363"/>
    </row>
    <row r="1132" spans="1:10" ht="14.5" customHeight="1" x14ac:dyDescent="0.35">
      <c r="A1132" s="980"/>
      <c r="J1132" s="363"/>
    </row>
    <row r="1133" spans="1:10" ht="14.5" customHeight="1" x14ac:dyDescent="0.35">
      <c r="A1133" s="980"/>
      <c r="J1133" s="363"/>
    </row>
    <row r="1134" spans="1:10" ht="14.5" customHeight="1" x14ac:dyDescent="0.35">
      <c r="A1134" s="980"/>
      <c r="J1134" s="363"/>
    </row>
    <row r="1135" spans="1:10" ht="14.5" customHeight="1" x14ac:dyDescent="0.35">
      <c r="A1135" s="980"/>
      <c r="J1135" s="363"/>
    </row>
    <row r="1136" spans="1:10" ht="14.5" customHeight="1" x14ac:dyDescent="0.35">
      <c r="A1136" s="980"/>
      <c r="J1136" s="363"/>
    </row>
    <row r="1137" spans="1:10" ht="14.5" customHeight="1" x14ac:dyDescent="0.35">
      <c r="A1137" s="980"/>
      <c r="J1137" s="363"/>
    </row>
    <row r="1138" spans="1:10" ht="14.5" customHeight="1" x14ac:dyDescent="0.35">
      <c r="A1138" s="980"/>
      <c r="J1138" s="363"/>
    </row>
    <row r="1139" spans="1:10" ht="14.5" customHeight="1" x14ac:dyDescent="0.35">
      <c r="A1139" s="980"/>
      <c r="J1139" s="363"/>
    </row>
    <row r="1140" spans="1:10" ht="14.5" customHeight="1" x14ac:dyDescent="0.35">
      <c r="A1140" s="980"/>
      <c r="J1140" s="363"/>
    </row>
    <row r="1141" spans="1:10" ht="14.5" customHeight="1" x14ac:dyDescent="0.35">
      <c r="A1141" s="980"/>
      <c r="J1141" s="363"/>
    </row>
    <row r="1142" spans="1:10" ht="14.5" customHeight="1" x14ac:dyDescent="0.35">
      <c r="A1142" s="980"/>
      <c r="J1142" s="363"/>
    </row>
    <row r="1143" spans="1:10" ht="14.5" customHeight="1" x14ac:dyDescent="0.35">
      <c r="A1143" s="980"/>
      <c r="J1143" s="363"/>
    </row>
    <row r="1144" spans="1:10" ht="14.5" customHeight="1" x14ac:dyDescent="0.35">
      <c r="A1144" s="980"/>
      <c r="J1144" s="363"/>
    </row>
    <row r="1145" spans="1:10" ht="14.5" customHeight="1" x14ac:dyDescent="0.35">
      <c r="A1145" s="980"/>
      <c r="J1145" s="363"/>
    </row>
    <row r="1146" spans="1:10" ht="14.5" customHeight="1" x14ac:dyDescent="0.35">
      <c r="A1146" s="980"/>
      <c r="J1146" s="363"/>
    </row>
    <row r="1147" spans="1:10" ht="14.5" customHeight="1" x14ac:dyDescent="0.35">
      <c r="A1147" s="980"/>
      <c r="J1147" s="363"/>
    </row>
    <row r="1148" spans="1:10" ht="14.5" customHeight="1" x14ac:dyDescent="0.35">
      <c r="A1148" s="980"/>
      <c r="J1148" s="363"/>
    </row>
    <row r="1149" spans="1:10" ht="14.5" customHeight="1" x14ac:dyDescent="0.35">
      <c r="A1149" s="980"/>
      <c r="J1149" s="363"/>
    </row>
    <row r="1150" spans="1:10" ht="14.5" customHeight="1" x14ac:dyDescent="0.35">
      <c r="A1150" s="980"/>
      <c r="J1150" s="363"/>
    </row>
    <row r="1151" spans="1:10" ht="14.5" customHeight="1" x14ac:dyDescent="0.35">
      <c r="A1151" s="980"/>
      <c r="J1151" s="363"/>
    </row>
    <row r="1152" spans="1:10" ht="14.5" customHeight="1" x14ac:dyDescent="0.35">
      <c r="A1152" s="980"/>
      <c r="J1152" s="363"/>
    </row>
    <row r="1153" spans="1:10" ht="14.5" customHeight="1" x14ac:dyDescent="0.35">
      <c r="A1153" s="980"/>
      <c r="J1153" s="363"/>
    </row>
    <row r="1154" spans="1:10" ht="14.5" customHeight="1" x14ac:dyDescent="0.35">
      <c r="A1154" s="980"/>
      <c r="J1154" s="363"/>
    </row>
    <row r="1155" spans="1:10" ht="14.5" customHeight="1" x14ac:dyDescent="0.35">
      <c r="A1155" s="980"/>
      <c r="J1155" s="363"/>
    </row>
    <row r="1156" spans="1:10" ht="14.5" customHeight="1" x14ac:dyDescent="0.35">
      <c r="A1156" s="980"/>
      <c r="J1156" s="363"/>
    </row>
    <row r="1157" spans="1:10" ht="14.5" customHeight="1" x14ac:dyDescent="0.35">
      <c r="A1157" s="980"/>
      <c r="J1157" s="363"/>
    </row>
    <row r="1158" spans="1:10" ht="14.5" customHeight="1" x14ac:dyDescent="0.35">
      <c r="A1158" s="980"/>
      <c r="J1158" s="363"/>
    </row>
    <row r="1159" spans="1:10" ht="14.5" customHeight="1" x14ac:dyDescent="0.35">
      <c r="A1159" s="980"/>
      <c r="J1159" s="363"/>
    </row>
    <row r="1160" spans="1:10" ht="14.5" customHeight="1" x14ac:dyDescent="0.35">
      <c r="A1160" s="980"/>
      <c r="J1160" s="363"/>
    </row>
    <row r="1161" spans="1:10" ht="14.5" customHeight="1" x14ac:dyDescent="0.35">
      <c r="A1161" s="980"/>
      <c r="J1161" s="363"/>
    </row>
    <row r="1162" spans="1:10" ht="14.5" customHeight="1" x14ac:dyDescent="0.35">
      <c r="A1162" s="980"/>
      <c r="J1162" s="363"/>
    </row>
    <row r="1163" spans="1:10" ht="14.5" customHeight="1" x14ac:dyDescent="0.35">
      <c r="A1163" s="980"/>
      <c r="J1163" s="363"/>
    </row>
    <row r="1164" spans="1:10" ht="14.5" customHeight="1" x14ac:dyDescent="0.35">
      <c r="A1164" s="980"/>
      <c r="J1164" s="363"/>
    </row>
    <row r="1165" spans="1:10" ht="14.5" customHeight="1" x14ac:dyDescent="0.35">
      <c r="A1165" s="980"/>
      <c r="J1165" s="363"/>
    </row>
    <row r="1166" spans="1:10" ht="14.5" customHeight="1" x14ac:dyDescent="0.35">
      <c r="A1166" s="980"/>
      <c r="J1166" s="363"/>
    </row>
    <row r="1167" spans="1:10" ht="14.5" customHeight="1" x14ac:dyDescent="0.35">
      <c r="A1167" s="980"/>
      <c r="J1167" s="363"/>
    </row>
    <row r="1168" spans="1:10" ht="14.5" customHeight="1" x14ac:dyDescent="0.35">
      <c r="A1168" s="980"/>
      <c r="J1168" s="363"/>
    </row>
    <row r="1169" spans="1:10" ht="14.5" customHeight="1" x14ac:dyDescent="0.35">
      <c r="A1169" s="980"/>
      <c r="J1169" s="363"/>
    </row>
    <row r="1170" spans="1:10" ht="14.5" customHeight="1" x14ac:dyDescent="0.35">
      <c r="A1170" s="980"/>
      <c r="J1170" s="363"/>
    </row>
    <row r="1171" spans="1:10" ht="14.5" customHeight="1" x14ac:dyDescent="0.35">
      <c r="A1171" s="980"/>
      <c r="J1171" s="363"/>
    </row>
    <row r="1172" spans="1:10" ht="14.5" customHeight="1" x14ac:dyDescent="0.35">
      <c r="A1172" s="980"/>
      <c r="J1172" s="363"/>
    </row>
    <row r="1173" spans="1:10" ht="14.5" customHeight="1" x14ac:dyDescent="0.35">
      <c r="A1173" s="980"/>
      <c r="J1173" s="363"/>
    </row>
    <row r="1174" spans="1:10" ht="14.5" customHeight="1" x14ac:dyDescent="0.35">
      <c r="A1174" s="980"/>
      <c r="J1174" s="363"/>
    </row>
    <row r="1175" spans="1:10" ht="14.5" customHeight="1" x14ac:dyDescent="0.35">
      <c r="A1175" s="980"/>
      <c r="J1175" s="363"/>
    </row>
    <row r="1176" spans="1:10" ht="14.5" customHeight="1" x14ac:dyDescent="0.35">
      <c r="A1176" s="980"/>
      <c r="J1176" s="363"/>
    </row>
    <row r="1177" spans="1:10" ht="14.5" customHeight="1" x14ac:dyDescent="0.35">
      <c r="A1177" s="980"/>
      <c r="J1177" s="363"/>
    </row>
    <row r="1178" spans="1:10" ht="14.5" customHeight="1" x14ac:dyDescent="0.35">
      <c r="A1178" s="980"/>
      <c r="J1178" s="363"/>
    </row>
    <row r="1179" spans="1:10" ht="14.5" customHeight="1" x14ac:dyDescent="0.35">
      <c r="A1179" s="980"/>
      <c r="J1179" s="363"/>
    </row>
    <row r="1180" spans="1:10" ht="14.5" customHeight="1" x14ac:dyDescent="0.35">
      <c r="A1180" s="980"/>
      <c r="J1180" s="363"/>
    </row>
    <row r="1181" spans="1:10" ht="14.5" customHeight="1" x14ac:dyDescent="0.35">
      <c r="A1181" s="980"/>
      <c r="J1181" s="363"/>
    </row>
    <row r="1182" spans="1:10" ht="14.5" customHeight="1" x14ac:dyDescent="0.35">
      <c r="A1182" s="980"/>
      <c r="J1182" s="363"/>
    </row>
    <row r="1183" spans="1:10" ht="14.5" customHeight="1" x14ac:dyDescent="0.35">
      <c r="A1183" s="980"/>
      <c r="J1183" s="363"/>
    </row>
    <row r="1184" spans="1:10" ht="14.5" customHeight="1" x14ac:dyDescent="0.35">
      <c r="A1184" s="980"/>
      <c r="J1184" s="363"/>
    </row>
    <row r="1185" spans="1:10" ht="14.5" customHeight="1" x14ac:dyDescent="0.35">
      <c r="A1185" s="980"/>
      <c r="J1185" s="363"/>
    </row>
    <row r="1186" spans="1:10" ht="14.5" customHeight="1" x14ac:dyDescent="0.35">
      <c r="A1186" s="980"/>
      <c r="J1186" s="363"/>
    </row>
    <row r="1187" spans="1:10" ht="14.5" customHeight="1" x14ac:dyDescent="0.35">
      <c r="A1187" s="980"/>
      <c r="J1187" s="363"/>
    </row>
    <row r="1188" spans="1:10" ht="14.5" customHeight="1" x14ac:dyDescent="0.35">
      <c r="A1188" s="980"/>
      <c r="J1188" s="363"/>
    </row>
    <row r="1189" spans="1:10" ht="14.5" customHeight="1" x14ac:dyDescent="0.35">
      <c r="A1189" s="980"/>
      <c r="J1189" s="363"/>
    </row>
    <row r="1190" spans="1:10" ht="14.5" customHeight="1" x14ac:dyDescent="0.35">
      <c r="A1190" s="980"/>
      <c r="J1190" s="363"/>
    </row>
    <row r="1191" spans="1:10" ht="14.5" customHeight="1" x14ac:dyDescent="0.35">
      <c r="A1191" s="980"/>
      <c r="J1191" s="363"/>
    </row>
    <row r="1192" spans="1:10" ht="14.5" customHeight="1" x14ac:dyDescent="0.35">
      <c r="A1192" s="980"/>
      <c r="J1192" s="363"/>
    </row>
    <row r="1193" spans="1:10" ht="14.5" customHeight="1" x14ac:dyDescent="0.35">
      <c r="A1193" s="980"/>
      <c r="J1193" s="363"/>
    </row>
    <row r="1194" spans="1:10" ht="14.5" customHeight="1" x14ac:dyDescent="0.35">
      <c r="A1194" s="980"/>
      <c r="J1194" s="363"/>
    </row>
    <row r="1195" spans="1:10" ht="14.5" customHeight="1" x14ac:dyDescent="0.35">
      <c r="A1195" s="980"/>
      <c r="J1195" s="363"/>
    </row>
    <row r="1196" spans="1:10" ht="14.5" customHeight="1" x14ac:dyDescent="0.35">
      <c r="A1196" s="980"/>
      <c r="J1196" s="363"/>
    </row>
    <row r="1197" spans="1:10" ht="14.5" customHeight="1" x14ac:dyDescent="0.35">
      <c r="A1197" s="980"/>
      <c r="J1197" s="363"/>
    </row>
    <row r="1198" spans="1:10" ht="14.5" customHeight="1" x14ac:dyDescent="0.35">
      <c r="A1198" s="980"/>
      <c r="J1198" s="363"/>
    </row>
    <row r="1199" spans="1:10" ht="14.5" customHeight="1" x14ac:dyDescent="0.35">
      <c r="A1199" s="980"/>
      <c r="J1199" s="363"/>
    </row>
    <row r="1200" spans="1:10" ht="14.5" customHeight="1" x14ac:dyDescent="0.35">
      <c r="A1200" s="980"/>
      <c r="J1200" s="363"/>
    </row>
    <row r="1201" spans="1:10" ht="14.5" customHeight="1" x14ac:dyDescent="0.35">
      <c r="A1201" s="980"/>
      <c r="J1201" s="363"/>
    </row>
    <row r="1202" spans="1:10" ht="14.5" customHeight="1" x14ac:dyDescent="0.35">
      <c r="A1202" s="980"/>
      <c r="J1202" s="363"/>
    </row>
    <row r="1203" spans="1:10" ht="14.5" customHeight="1" x14ac:dyDescent="0.35">
      <c r="A1203" s="980"/>
      <c r="J1203" s="363"/>
    </row>
    <row r="1204" spans="1:10" ht="14.5" customHeight="1" x14ac:dyDescent="0.35">
      <c r="A1204" s="980"/>
      <c r="J1204" s="363"/>
    </row>
    <row r="1205" spans="1:10" ht="14.5" customHeight="1" x14ac:dyDescent="0.35">
      <c r="A1205" s="980"/>
      <c r="J1205" s="363"/>
    </row>
    <row r="1206" spans="1:10" ht="14.5" customHeight="1" x14ac:dyDescent="0.35">
      <c r="A1206" s="980"/>
      <c r="J1206" s="363"/>
    </row>
    <row r="1207" spans="1:10" ht="14.5" customHeight="1" x14ac:dyDescent="0.35">
      <c r="A1207" s="980"/>
      <c r="J1207" s="363"/>
    </row>
    <row r="1208" spans="1:10" ht="14.5" customHeight="1" x14ac:dyDescent="0.35">
      <c r="A1208" s="980"/>
      <c r="J1208" s="363"/>
    </row>
    <row r="1209" spans="1:10" ht="14.5" customHeight="1" x14ac:dyDescent="0.35">
      <c r="A1209" s="980"/>
      <c r="J1209" s="363"/>
    </row>
    <row r="1210" spans="1:10" ht="14.5" customHeight="1" x14ac:dyDescent="0.35">
      <c r="A1210" s="980"/>
      <c r="J1210" s="363"/>
    </row>
    <row r="1211" spans="1:10" ht="14.5" customHeight="1" x14ac:dyDescent="0.35">
      <c r="A1211" s="980"/>
      <c r="J1211" s="363"/>
    </row>
    <row r="1212" spans="1:10" ht="14.5" customHeight="1" x14ac:dyDescent="0.35">
      <c r="A1212" s="980"/>
      <c r="J1212" s="363"/>
    </row>
    <row r="1213" spans="1:10" ht="14.5" customHeight="1" x14ac:dyDescent="0.35">
      <c r="A1213" s="980"/>
      <c r="J1213" s="363"/>
    </row>
    <row r="1214" spans="1:10" ht="14.5" customHeight="1" x14ac:dyDescent="0.35">
      <c r="A1214" s="980"/>
      <c r="J1214" s="363"/>
    </row>
    <row r="1215" spans="1:10" ht="14.5" customHeight="1" x14ac:dyDescent="0.35">
      <c r="A1215" s="980"/>
      <c r="J1215" s="363"/>
    </row>
    <row r="1216" spans="1:10" ht="14.5" customHeight="1" x14ac:dyDescent="0.35">
      <c r="A1216" s="980"/>
      <c r="J1216" s="363"/>
    </row>
    <row r="1217" spans="1:10" ht="14.5" customHeight="1" x14ac:dyDescent="0.35">
      <c r="A1217" s="980"/>
      <c r="J1217" s="363"/>
    </row>
    <row r="1218" spans="1:10" ht="14.5" customHeight="1" x14ac:dyDescent="0.35">
      <c r="A1218" s="980"/>
      <c r="J1218" s="363"/>
    </row>
    <row r="1219" spans="1:10" ht="14.5" customHeight="1" x14ac:dyDescent="0.35">
      <c r="A1219" s="980"/>
      <c r="J1219" s="363"/>
    </row>
    <row r="1220" spans="1:10" ht="14.5" customHeight="1" x14ac:dyDescent="0.35">
      <c r="A1220" s="980"/>
      <c r="J1220" s="363"/>
    </row>
    <row r="1221" spans="1:10" ht="14.5" customHeight="1" x14ac:dyDescent="0.35">
      <c r="A1221" s="980"/>
      <c r="J1221" s="363"/>
    </row>
    <row r="1222" spans="1:10" ht="14.5" customHeight="1" x14ac:dyDescent="0.35">
      <c r="A1222" s="980"/>
      <c r="J1222" s="363"/>
    </row>
    <row r="1223" spans="1:10" ht="14.5" customHeight="1" x14ac:dyDescent="0.35">
      <c r="A1223" s="980"/>
      <c r="J1223" s="363"/>
    </row>
    <row r="1224" spans="1:10" ht="14.5" customHeight="1" x14ac:dyDescent="0.35">
      <c r="A1224" s="980"/>
      <c r="J1224" s="363"/>
    </row>
    <row r="1225" spans="1:10" ht="14.5" customHeight="1" x14ac:dyDescent="0.35">
      <c r="A1225" s="980"/>
      <c r="J1225" s="363"/>
    </row>
    <row r="1226" spans="1:10" ht="14.5" customHeight="1" x14ac:dyDescent="0.35">
      <c r="A1226" s="980"/>
      <c r="J1226" s="363"/>
    </row>
    <row r="1227" spans="1:10" ht="14.5" customHeight="1" x14ac:dyDescent="0.35">
      <c r="A1227" s="980"/>
      <c r="J1227" s="363"/>
    </row>
    <row r="1228" spans="1:10" ht="14.5" customHeight="1" x14ac:dyDescent="0.35">
      <c r="A1228" s="980"/>
      <c r="J1228" s="363"/>
    </row>
    <row r="1229" spans="1:10" ht="14.5" customHeight="1" x14ac:dyDescent="0.35">
      <c r="A1229" s="980"/>
      <c r="J1229" s="363"/>
    </row>
    <row r="1230" spans="1:10" ht="14.5" customHeight="1" x14ac:dyDescent="0.35">
      <c r="A1230" s="980"/>
      <c r="J1230" s="363"/>
    </row>
    <row r="1231" spans="1:10" ht="14.5" customHeight="1" x14ac:dyDescent="0.35">
      <c r="A1231" s="980"/>
      <c r="J1231" s="363"/>
    </row>
    <row r="1232" spans="1:10" ht="14.5" customHeight="1" x14ac:dyDescent="0.35">
      <c r="A1232" s="980"/>
      <c r="J1232" s="363"/>
    </row>
    <row r="1233" spans="1:10" ht="14.5" customHeight="1" x14ac:dyDescent="0.35">
      <c r="A1233" s="980"/>
      <c r="J1233" s="363"/>
    </row>
    <row r="1234" spans="1:10" ht="14.5" customHeight="1" x14ac:dyDescent="0.35">
      <c r="A1234" s="980"/>
      <c r="J1234" s="363"/>
    </row>
    <row r="1235" spans="1:10" ht="14.5" customHeight="1" x14ac:dyDescent="0.35">
      <c r="A1235" s="980"/>
      <c r="J1235" s="363"/>
    </row>
    <row r="1236" spans="1:10" ht="14.5" customHeight="1" x14ac:dyDescent="0.35">
      <c r="A1236" s="980"/>
      <c r="J1236" s="363"/>
    </row>
    <row r="1237" spans="1:10" ht="14.5" customHeight="1" x14ac:dyDescent="0.35">
      <c r="A1237" s="980"/>
      <c r="J1237" s="363"/>
    </row>
    <row r="1238" spans="1:10" ht="14.5" customHeight="1" x14ac:dyDescent="0.35">
      <c r="A1238" s="980"/>
      <c r="J1238" s="363"/>
    </row>
    <row r="1239" spans="1:10" ht="14.5" customHeight="1" x14ac:dyDescent="0.35">
      <c r="A1239" s="980"/>
      <c r="J1239" s="363"/>
    </row>
    <row r="1240" spans="1:10" ht="14.5" customHeight="1" x14ac:dyDescent="0.35">
      <c r="A1240" s="980"/>
      <c r="J1240" s="363"/>
    </row>
    <row r="1241" spans="1:10" ht="14.5" customHeight="1" x14ac:dyDescent="0.35">
      <c r="A1241" s="980"/>
      <c r="J1241" s="363"/>
    </row>
    <row r="1242" spans="1:10" ht="14.5" customHeight="1" x14ac:dyDescent="0.35">
      <c r="A1242" s="980"/>
      <c r="J1242" s="363"/>
    </row>
    <row r="1243" spans="1:10" ht="14.5" customHeight="1" x14ac:dyDescent="0.35">
      <c r="A1243" s="980"/>
      <c r="J1243" s="363"/>
    </row>
    <row r="1244" spans="1:10" ht="14.5" customHeight="1" x14ac:dyDescent="0.35">
      <c r="A1244" s="980"/>
      <c r="J1244" s="363"/>
    </row>
    <row r="1245" spans="1:10" ht="14.5" customHeight="1" x14ac:dyDescent="0.35">
      <c r="A1245" s="980"/>
      <c r="J1245" s="363"/>
    </row>
    <row r="1246" spans="1:10" ht="14.5" customHeight="1" x14ac:dyDescent="0.35">
      <c r="A1246" s="980"/>
      <c r="J1246" s="363"/>
    </row>
    <row r="1247" spans="1:10" ht="14.5" customHeight="1" x14ac:dyDescent="0.35">
      <c r="A1247" s="980"/>
      <c r="J1247" s="363"/>
    </row>
    <row r="1248" spans="1:10" ht="14.5" customHeight="1" x14ac:dyDescent="0.35">
      <c r="A1248" s="980"/>
      <c r="J1248" s="363"/>
    </row>
    <row r="1249" spans="1:10" ht="14.5" customHeight="1" x14ac:dyDescent="0.35">
      <c r="A1249" s="980"/>
      <c r="J1249" s="363"/>
    </row>
    <row r="1250" spans="1:10" ht="14.5" customHeight="1" x14ac:dyDescent="0.35">
      <c r="A1250" s="980"/>
      <c r="J1250" s="363"/>
    </row>
    <row r="1251" spans="1:10" ht="14.5" customHeight="1" x14ac:dyDescent="0.35">
      <c r="A1251" s="980"/>
      <c r="J1251" s="363"/>
    </row>
    <row r="1252" spans="1:10" ht="14.5" customHeight="1" x14ac:dyDescent="0.35">
      <c r="A1252" s="980"/>
      <c r="J1252" s="363"/>
    </row>
    <row r="1253" spans="1:10" ht="14.5" customHeight="1" x14ac:dyDescent="0.35">
      <c r="A1253" s="980"/>
      <c r="J1253" s="363"/>
    </row>
    <row r="1254" spans="1:10" ht="14.5" customHeight="1" x14ac:dyDescent="0.35">
      <c r="A1254" s="980"/>
      <c r="J1254" s="363"/>
    </row>
    <row r="1255" spans="1:10" ht="14.5" customHeight="1" x14ac:dyDescent="0.35">
      <c r="A1255" s="980"/>
      <c r="J1255" s="363"/>
    </row>
    <row r="1256" spans="1:10" ht="14.5" customHeight="1" x14ac:dyDescent="0.35">
      <c r="A1256" s="980"/>
      <c r="J1256" s="363"/>
    </row>
    <row r="1257" spans="1:10" ht="14.5" customHeight="1" x14ac:dyDescent="0.35">
      <c r="A1257" s="980"/>
      <c r="J1257" s="363"/>
    </row>
    <row r="1258" spans="1:10" ht="14.5" customHeight="1" x14ac:dyDescent="0.35">
      <c r="A1258" s="980"/>
      <c r="J1258" s="363"/>
    </row>
    <row r="1259" spans="1:10" ht="14.5" customHeight="1" x14ac:dyDescent="0.35">
      <c r="A1259" s="980"/>
      <c r="J1259" s="363"/>
    </row>
    <row r="1260" spans="1:10" ht="14.5" customHeight="1" x14ac:dyDescent="0.35">
      <c r="A1260" s="980"/>
      <c r="J1260" s="363"/>
    </row>
    <row r="1261" spans="1:10" ht="14.5" customHeight="1" x14ac:dyDescent="0.35">
      <c r="A1261" s="980"/>
      <c r="J1261" s="363"/>
    </row>
    <row r="1262" spans="1:10" ht="14.5" customHeight="1" x14ac:dyDescent="0.35">
      <c r="A1262" s="980"/>
      <c r="J1262" s="363"/>
    </row>
    <row r="1263" spans="1:10" ht="14.5" customHeight="1" x14ac:dyDescent="0.35">
      <c r="A1263" s="980"/>
      <c r="J1263" s="363"/>
    </row>
    <row r="1264" spans="1:10" ht="14.5" customHeight="1" x14ac:dyDescent="0.35">
      <c r="A1264" s="980"/>
      <c r="J1264" s="363"/>
    </row>
    <row r="1265" spans="1:10" ht="14.5" customHeight="1" x14ac:dyDescent="0.35">
      <c r="A1265" s="980"/>
      <c r="J1265" s="363"/>
    </row>
    <row r="1266" spans="1:10" ht="14.5" customHeight="1" x14ac:dyDescent="0.35">
      <c r="A1266" s="980"/>
      <c r="J1266" s="363"/>
    </row>
    <row r="1267" spans="1:10" ht="14.5" customHeight="1" x14ac:dyDescent="0.35">
      <c r="A1267" s="980"/>
      <c r="J1267" s="363"/>
    </row>
    <row r="1268" spans="1:10" ht="14.5" customHeight="1" x14ac:dyDescent="0.35">
      <c r="A1268" s="980"/>
      <c r="J1268" s="363"/>
    </row>
    <row r="1269" spans="1:10" ht="14.5" customHeight="1" x14ac:dyDescent="0.35">
      <c r="A1269" s="980"/>
      <c r="J1269" s="363"/>
    </row>
    <row r="1270" spans="1:10" ht="14.5" customHeight="1" x14ac:dyDescent="0.35">
      <c r="A1270" s="980"/>
      <c r="J1270" s="363"/>
    </row>
    <row r="1271" spans="1:10" ht="14.5" customHeight="1" x14ac:dyDescent="0.35">
      <c r="A1271" s="980"/>
      <c r="J1271" s="363"/>
    </row>
    <row r="1272" spans="1:10" ht="14.5" customHeight="1" x14ac:dyDescent="0.35">
      <c r="A1272" s="980"/>
      <c r="J1272" s="363"/>
    </row>
    <row r="1273" spans="1:10" ht="14.5" customHeight="1" x14ac:dyDescent="0.35">
      <c r="A1273" s="980"/>
      <c r="J1273" s="363"/>
    </row>
    <row r="1274" spans="1:10" ht="14.5" customHeight="1" x14ac:dyDescent="0.35">
      <c r="A1274" s="980"/>
      <c r="J1274" s="363"/>
    </row>
    <row r="1275" spans="1:10" ht="14.5" customHeight="1" x14ac:dyDescent="0.35">
      <c r="A1275" s="980"/>
      <c r="J1275" s="363"/>
    </row>
    <row r="1276" spans="1:10" ht="14.5" customHeight="1" x14ac:dyDescent="0.35">
      <c r="A1276" s="980"/>
      <c r="J1276" s="363"/>
    </row>
    <row r="1277" spans="1:10" ht="14.5" customHeight="1" x14ac:dyDescent="0.35">
      <c r="A1277" s="980"/>
      <c r="J1277" s="363"/>
    </row>
    <row r="1278" spans="1:10" ht="14.5" customHeight="1" x14ac:dyDescent="0.35">
      <c r="A1278" s="980"/>
      <c r="J1278" s="363"/>
    </row>
    <row r="1279" spans="1:10" ht="14.5" customHeight="1" x14ac:dyDescent="0.35">
      <c r="A1279" s="980"/>
      <c r="J1279" s="363"/>
    </row>
    <row r="1280" spans="1:10" ht="14.5" customHeight="1" x14ac:dyDescent="0.35">
      <c r="A1280" s="980"/>
      <c r="J1280" s="363"/>
    </row>
    <row r="1281" spans="1:10" ht="14.5" customHeight="1" x14ac:dyDescent="0.35">
      <c r="A1281" s="980"/>
      <c r="J1281" s="363"/>
    </row>
    <row r="1282" spans="1:10" ht="14.5" customHeight="1" x14ac:dyDescent="0.35">
      <c r="A1282" s="980"/>
      <c r="J1282" s="363"/>
    </row>
    <row r="1283" spans="1:10" ht="14.5" customHeight="1" x14ac:dyDescent="0.35">
      <c r="A1283" s="980"/>
      <c r="J1283" s="363"/>
    </row>
    <row r="1284" spans="1:10" ht="14.5" customHeight="1" x14ac:dyDescent="0.35">
      <c r="A1284" s="980"/>
      <c r="J1284" s="363"/>
    </row>
    <row r="1285" spans="1:10" ht="14.5" customHeight="1" x14ac:dyDescent="0.35">
      <c r="A1285" s="980"/>
      <c r="J1285" s="363"/>
    </row>
    <row r="1286" spans="1:10" ht="14.5" customHeight="1" x14ac:dyDescent="0.35">
      <c r="A1286" s="980"/>
      <c r="J1286" s="363"/>
    </row>
    <row r="1287" spans="1:10" ht="14.5" customHeight="1" x14ac:dyDescent="0.35">
      <c r="A1287" s="980"/>
      <c r="J1287" s="363"/>
    </row>
    <row r="1288" spans="1:10" ht="14.5" customHeight="1" x14ac:dyDescent="0.35">
      <c r="A1288" s="980"/>
      <c r="J1288" s="363"/>
    </row>
    <row r="1289" spans="1:10" ht="14.5" customHeight="1" x14ac:dyDescent="0.35">
      <c r="A1289" s="980"/>
      <c r="J1289" s="363"/>
    </row>
    <row r="1290" spans="1:10" ht="14.5" customHeight="1" x14ac:dyDescent="0.35">
      <c r="A1290" s="980"/>
      <c r="J1290" s="363"/>
    </row>
    <row r="1291" spans="1:10" ht="14.5" customHeight="1" x14ac:dyDescent="0.35">
      <c r="A1291" s="980"/>
      <c r="J1291" s="363"/>
    </row>
    <row r="1292" spans="1:10" ht="14.5" customHeight="1" x14ac:dyDescent="0.35">
      <c r="A1292" s="980"/>
      <c r="J1292" s="363"/>
    </row>
    <row r="1293" spans="1:10" ht="14.5" customHeight="1" x14ac:dyDescent="0.35">
      <c r="A1293" s="980"/>
      <c r="J1293" s="363"/>
    </row>
    <row r="1294" spans="1:10" ht="14.5" customHeight="1" x14ac:dyDescent="0.35">
      <c r="A1294" s="980"/>
      <c r="J1294" s="363"/>
    </row>
    <row r="1295" spans="1:10" ht="14.5" customHeight="1" x14ac:dyDescent="0.35">
      <c r="A1295" s="980"/>
      <c r="J1295" s="363"/>
    </row>
    <row r="1296" spans="1:10" ht="14.5" customHeight="1" x14ac:dyDescent="0.35">
      <c r="A1296" s="980"/>
      <c r="J1296" s="363"/>
    </row>
    <row r="1297" spans="1:10" ht="14.5" customHeight="1" x14ac:dyDescent="0.35">
      <c r="A1297" s="980"/>
      <c r="J1297" s="363"/>
    </row>
    <row r="1298" spans="1:10" ht="14.5" customHeight="1" x14ac:dyDescent="0.35">
      <c r="A1298" s="980"/>
      <c r="J1298" s="363"/>
    </row>
    <row r="1299" spans="1:10" ht="14.5" customHeight="1" x14ac:dyDescent="0.35">
      <c r="A1299" s="980"/>
      <c r="J1299" s="363"/>
    </row>
    <row r="1300" spans="1:10" ht="14.5" customHeight="1" x14ac:dyDescent="0.35">
      <c r="A1300" s="980"/>
      <c r="J1300" s="363"/>
    </row>
    <row r="1301" spans="1:10" ht="14.5" customHeight="1" x14ac:dyDescent="0.35">
      <c r="A1301" s="980"/>
      <c r="J1301" s="363"/>
    </row>
    <row r="1302" spans="1:10" ht="14.5" customHeight="1" x14ac:dyDescent="0.35">
      <c r="A1302" s="980"/>
      <c r="J1302" s="363"/>
    </row>
    <row r="1303" spans="1:10" ht="14.5" customHeight="1" x14ac:dyDescent="0.35">
      <c r="A1303" s="980"/>
      <c r="J1303" s="363"/>
    </row>
    <row r="1304" spans="1:10" ht="14.5" customHeight="1" x14ac:dyDescent="0.35">
      <c r="A1304" s="980"/>
      <c r="J1304" s="363"/>
    </row>
    <row r="1305" spans="1:10" ht="14.5" customHeight="1" x14ac:dyDescent="0.35">
      <c r="A1305" s="980"/>
      <c r="J1305" s="363"/>
    </row>
    <row r="1306" spans="1:10" ht="14.5" customHeight="1" x14ac:dyDescent="0.35">
      <c r="A1306" s="980"/>
      <c r="J1306" s="363"/>
    </row>
    <row r="1307" spans="1:10" ht="14.5" customHeight="1" x14ac:dyDescent="0.35">
      <c r="A1307" s="980"/>
      <c r="J1307" s="363"/>
    </row>
    <row r="1308" spans="1:10" ht="14.5" customHeight="1" x14ac:dyDescent="0.35">
      <c r="A1308" s="980"/>
      <c r="J1308" s="363"/>
    </row>
    <row r="1309" spans="1:10" ht="14.5" customHeight="1" x14ac:dyDescent="0.35">
      <c r="A1309" s="980"/>
      <c r="J1309" s="363"/>
    </row>
    <row r="1310" spans="1:10" ht="14.5" customHeight="1" x14ac:dyDescent="0.35">
      <c r="A1310" s="980"/>
      <c r="J1310" s="363"/>
    </row>
    <row r="1311" spans="1:10" ht="14.5" customHeight="1" x14ac:dyDescent="0.35">
      <c r="A1311" s="980"/>
      <c r="J1311" s="363"/>
    </row>
    <row r="1312" spans="1:10" ht="14.5" customHeight="1" x14ac:dyDescent="0.35">
      <c r="A1312" s="980"/>
      <c r="J1312" s="363"/>
    </row>
    <row r="1313" spans="1:10" ht="14.5" customHeight="1" x14ac:dyDescent="0.35">
      <c r="A1313" s="980"/>
      <c r="J1313" s="363"/>
    </row>
    <row r="1314" spans="1:10" ht="14.5" customHeight="1" x14ac:dyDescent="0.35">
      <c r="A1314" s="980"/>
      <c r="J1314" s="363"/>
    </row>
    <row r="1315" spans="1:10" ht="14.5" customHeight="1" x14ac:dyDescent="0.35">
      <c r="A1315" s="980"/>
      <c r="J1315" s="363"/>
    </row>
    <row r="1316" spans="1:10" ht="14.5" customHeight="1" x14ac:dyDescent="0.35">
      <c r="A1316" s="980"/>
      <c r="J1316" s="363"/>
    </row>
    <row r="1317" spans="1:10" ht="14.5" customHeight="1" x14ac:dyDescent="0.35">
      <c r="A1317" s="980"/>
      <c r="J1317" s="363"/>
    </row>
    <row r="1318" spans="1:10" ht="14.5" customHeight="1" x14ac:dyDescent="0.35">
      <c r="A1318" s="980"/>
      <c r="J1318" s="363"/>
    </row>
    <row r="1319" spans="1:10" ht="14.5" customHeight="1" x14ac:dyDescent="0.35">
      <c r="A1319" s="980"/>
      <c r="J1319" s="363"/>
    </row>
    <row r="1320" spans="1:10" ht="14.5" customHeight="1" x14ac:dyDescent="0.35">
      <c r="A1320" s="980"/>
      <c r="J1320" s="363"/>
    </row>
    <row r="1321" spans="1:10" ht="14.5" customHeight="1" x14ac:dyDescent="0.35">
      <c r="A1321" s="980"/>
      <c r="J1321" s="363"/>
    </row>
    <row r="1322" spans="1:10" ht="14.5" customHeight="1" x14ac:dyDescent="0.35">
      <c r="A1322" s="980"/>
      <c r="J1322" s="363"/>
    </row>
    <row r="1323" spans="1:10" ht="14.5" customHeight="1" x14ac:dyDescent="0.35">
      <c r="A1323" s="980"/>
      <c r="J1323" s="363"/>
    </row>
    <row r="1324" spans="1:10" ht="14.5" customHeight="1" x14ac:dyDescent="0.35">
      <c r="A1324" s="980"/>
      <c r="J1324" s="363"/>
    </row>
    <row r="1325" spans="1:10" ht="14.5" customHeight="1" x14ac:dyDescent="0.35">
      <c r="A1325" s="980"/>
      <c r="J1325" s="363"/>
    </row>
    <row r="1326" spans="1:10" ht="14.5" customHeight="1" x14ac:dyDescent="0.35">
      <c r="A1326" s="980"/>
      <c r="J1326" s="363"/>
    </row>
    <row r="1327" spans="1:10" ht="14.5" customHeight="1" x14ac:dyDescent="0.35">
      <c r="A1327" s="980"/>
      <c r="J1327" s="363"/>
    </row>
    <row r="1328" spans="1:10" ht="14.5" customHeight="1" x14ac:dyDescent="0.35">
      <c r="A1328" s="980"/>
      <c r="J1328" s="363"/>
    </row>
    <row r="1329" spans="1:10" ht="14.5" customHeight="1" x14ac:dyDescent="0.35">
      <c r="A1329" s="980"/>
      <c r="J1329" s="363"/>
    </row>
    <row r="1330" spans="1:10" ht="14.5" customHeight="1" x14ac:dyDescent="0.35">
      <c r="A1330" s="980"/>
      <c r="J1330" s="363"/>
    </row>
    <row r="1331" spans="1:10" ht="14.5" customHeight="1" x14ac:dyDescent="0.35">
      <c r="A1331" s="980"/>
      <c r="J1331" s="363"/>
    </row>
    <row r="1332" spans="1:10" ht="14.5" customHeight="1" x14ac:dyDescent="0.35">
      <c r="A1332" s="980"/>
      <c r="J1332" s="363"/>
    </row>
    <row r="1333" spans="1:10" ht="14.5" customHeight="1" x14ac:dyDescent="0.35">
      <c r="A1333" s="980"/>
      <c r="J1333" s="363"/>
    </row>
    <row r="1334" spans="1:10" ht="14.5" customHeight="1" x14ac:dyDescent="0.35">
      <c r="A1334" s="980"/>
      <c r="J1334" s="363"/>
    </row>
    <row r="1335" spans="1:10" ht="14.5" customHeight="1" x14ac:dyDescent="0.35">
      <c r="A1335" s="980"/>
      <c r="J1335" s="363"/>
    </row>
    <row r="1336" spans="1:10" ht="14.5" customHeight="1" x14ac:dyDescent="0.35">
      <c r="A1336" s="980"/>
      <c r="J1336" s="363"/>
    </row>
    <row r="1337" spans="1:10" ht="14.5" customHeight="1" x14ac:dyDescent="0.35">
      <c r="A1337" s="980"/>
      <c r="J1337" s="363"/>
    </row>
    <row r="1338" spans="1:10" ht="14.5" customHeight="1" x14ac:dyDescent="0.35">
      <c r="A1338" s="980"/>
      <c r="J1338" s="363"/>
    </row>
    <row r="1339" spans="1:10" ht="14.5" customHeight="1" x14ac:dyDescent="0.35">
      <c r="A1339" s="980"/>
      <c r="J1339" s="363"/>
    </row>
    <row r="1340" spans="1:10" ht="14.5" customHeight="1" x14ac:dyDescent="0.35">
      <c r="A1340" s="980"/>
      <c r="J1340" s="363"/>
    </row>
    <row r="1341" spans="1:10" x14ac:dyDescent="0.35">
      <c r="A1341" s="980"/>
      <c r="J1341" s="363"/>
    </row>
    <row r="1342" spans="1:10" x14ac:dyDescent="0.35">
      <c r="A1342" s="980"/>
      <c r="J1342" s="363"/>
    </row>
    <row r="1343" spans="1:10" ht="14.5" customHeight="1" x14ac:dyDescent="0.35">
      <c r="A1343" s="980"/>
      <c r="J1343" s="363"/>
    </row>
    <row r="1344" spans="1:10" ht="14.5" customHeight="1" x14ac:dyDescent="0.35">
      <c r="A1344" s="980"/>
      <c r="J1344" s="363"/>
    </row>
    <row r="1345" spans="1:10" ht="14.5" customHeight="1" x14ac:dyDescent="0.35">
      <c r="A1345" s="980"/>
      <c r="J1345" s="363"/>
    </row>
    <row r="1346" spans="1:10" ht="14.5" customHeight="1" x14ac:dyDescent="0.35">
      <c r="A1346" s="980"/>
      <c r="J1346" s="363"/>
    </row>
    <row r="1347" spans="1:10" x14ac:dyDescent="0.35">
      <c r="A1347" s="980"/>
      <c r="J1347" s="363"/>
    </row>
    <row r="1348" spans="1:10" ht="14.5" customHeight="1" x14ac:dyDescent="0.35">
      <c r="A1348" s="980"/>
      <c r="J1348" s="363"/>
    </row>
    <row r="1349" spans="1:10" ht="14.5" customHeight="1" x14ac:dyDescent="0.35">
      <c r="A1349" s="980"/>
      <c r="J1349" s="363"/>
    </row>
    <row r="1350" spans="1:10" ht="14.5" customHeight="1" x14ac:dyDescent="0.35">
      <c r="A1350" s="980"/>
      <c r="J1350" s="363"/>
    </row>
    <row r="1351" spans="1:10" ht="14.5" customHeight="1" x14ac:dyDescent="0.35">
      <c r="A1351" s="980"/>
      <c r="J1351" s="363"/>
    </row>
    <row r="1352" spans="1:10" ht="14.5" customHeight="1" x14ac:dyDescent="0.35">
      <c r="A1352" s="980"/>
      <c r="J1352" s="363"/>
    </row>
    <row r="1353" spans="1:10" ht="14.5" customHeight="1" x14ac:dyDescent="0.35">
      <c r="A1353" s="980"/>
      <c r="J1353" s="363"/>
    </row>
    <row r="1354" spans="1:10" ht="14.5" customHeight="1" x14ac:dyDescent="0.35">
      <c r="A1354" s="980"/>
      <c r="J1354" s="363"/>
    </row>
    <row r="1355" spans="1:10" ht="14.5" customHeight="1" x14ac:dyDescent="0.35">
      <c r="A1355" s="980"/>
      <c r="J1355" s="363"/>
    </row>
    <row r="1356" spans="1:10" ht="14.5" customHeight="1" x14ac:dyDescent="0.35">
      <c r="A1356" s="980"/>
      <c r="J1356" s="363"/>
    </row>
    <row r="1357" spans="1:10" ht="14.5" customHeight="1" x14ac:dyDescent="0.35">
      <c r="A1357" s="980"/>
      <c r="J1357" s="363"/>
    </row>
    <row r="1358" spans="1:10" ht="14.5" customHeight="1" x14ac:dyDescent="0.35">
      <c r="A1358" s="980"/>
      <c r="J1358" s="363"/>
    </row>
    <row r="1359" spans="1:10" ht="14.5" customHeight="1" x14ac:dyDescent="0.35">
      <c r="A1359" s="980"/>
      <c r="J1359" s="363"/>
    </row>
    <row r="1360" spans="1:10" ht="14.5" customHeight="1" x14ac:dyDescent="0.35">
      <c r="A1360" s="980"/>
      <c r="J1360" s="363"/>
    </row>
    <row r="1361" spans="1:10" ht="14.5" customHeight="1" x14ac:dyDescent="0.35">
      <c r="A1361" s="980"/>
      <c r="J1361" s="363"/>
    </row>
    <row r="1362" spans="1:10" ht="14.5" customHeight="1" x14ac:dyDescent="0.35">
      <c r="A1362" s="980"/>
      <c r="J1362" s="363"/>
    </row>
    <row r="1363" spans="1:10" ht="14.5" customHeight="1" x14ac:dyDescent="0.35">
      <c r="A1363" s="980"/>
      <c r="J1363" s="363"/>
    </row>
    <row r="1364" spans="1:10" ht="14.5" customHeight="1" x14ac:dyDescent="0.35">
      <c r="A1364" s="980"/>
      <c r="J1364" s="363"/>
    </row>
    <row r="1365" spans="1:10" ht="14.5" customHeight="1" x14ac:dyDescent="0.35">
      <c r="A1365" s="980"/>
      <c r="J1365" s="363"/>
    </row>
    <row r="1366" spans="1:10" ht="14.5" customHeight="1" x14ac:dyDescent="0.35">
      <c r="A1366" s="980"/>
      <c r="J1366" s="363"/>
    </row>
    <row r="1367" spans="1:10" ht="14.5" customHeight="1" x14ac:dyDescent="0.35">
      <c r="A1367" s="980"/>
      <c r="J1367" s="363"/>
    </row>
    <row r="1368" spans="1:10" ht="14.5" customHeight="1" x14ac:dyDescent="0.35">
      <c r="A1368" s="980"/>
      <c r="J1368" s="363"/>
    </row>
    <row r="1369" spans="1:10" ht="14.5" customHeight="1" x14ac:dyDescent="0.35">
      <c r="A1369" s="980"/>
      <c r="J1369" s="363"/>
    </row>
    <row r="1370" spans="1:10" ht="14.5" customHeight="1" x14ac:dyDescent="0.35">
      <c r="A1370" s="980"/>
      <c r="J1370" s="363"/>
    </row>
    <row r="1371" spans="1:10" ht="14.5" customHeight="1" x14ac:dyDescent="0.35">
      <c r="A1371" s="980"/>
      <c r="J1371" s="363"/>
    </row>
    <row r="1372" spans="1:10" ht="14.5" customHeight="1" x14ac:dyDescent="0.35">
      <c r="A1372" s="980"/>
      <c r="J1372" s="363"/>
    </row>
    <row r="1373" spans="1:10" ht="14.5" customHeight="1" x14ac:dyDescent="0.35">
      <c r="A1373" s="980"/>
      <c r="J1373" s="363"/>
    </row>
    <row r="1374" spans="1:10" ht="14.5" customHeight="1" x14ac:dyDescent="0.35">
      <c r="A1374" s="980"/>
      <c r="J1374" s="363"/>
    </row>
    <row r="1375" spans="1:10" ht="14.5" customHeight="1" x14ac:dyDescent="0.35">
      <c r="A1375" s="980"/>
      <c r="J1375" s="363"/>
    </row>
    <row r="1376" spans="1:10" ht="14.5" customHeight="1" x14ac:dyDescent="0.35">
      <c r="A1376" s="980"/>
      <c r="J1376" s="363"/>
    </row>
    <row r="1377" spans="1:10" ht="14.5" customHeight="1" x14ac:dyDescent="0.35">
      <c r="A1377" s="980"/>
      <c r="J1377" s="363"/>
    </row>
    <row r="1378" spans="1:10" ht="14.5" customHeight="1" x14ac:dyDescent="0.35">
      <c r="A1378" s="980"/>
      <c r="J1378" s="363"/>
    </row>
    <row r="1379" spans="1:10" ht="14.5" customHeight="1" x14ac:dyDescent="0.35">
      <c r="A1379" s="980"/>
      <c r="J1379" s="363"/>
    </row>
    <row r="1380" spans="1:10" ht="14.5" customHeight="1" x14ac:dyDescent="0.35">
      <c r="A1380" s="980"/>
      <c r="J1380" s="363"/>
    </row>
    <row r="1381" spans="1:10" ht="14.5" customHeight="1" x14ac:dyDescent="0.35">
      <c r="A1381" s="980"/>
      <c r="J1381" s="363"/>
    </row>
    <row r="1382" spans="1:10" ht="14.5" customHeight="1" x14ac:dyDescent="0.35">
      <c r="A1382" s="980"/>
      <c r="J1382" s="363"/>
    </row>
    <row r="1383" spans="1:10" ht="14.5" customHeight="1" x14ac:dyDescent="0.35">
      <c r="A1383" s="980"/>
      <c r="J1383" s="363"/>
    </row>
    <row r="1384" spans="1:10" ht="14.5" customHeight="1" x14ac:dyDescent="0.35">
      <c r="A1384" s="980"/>
      <c r="J1384" s="363"/>
    </row>
    <row r="1385" spans="1:10" ht="14.5" customHeight="1" x14ac:dyDescent="0.35">
      <c r="A1385" s="980"/>
      <c r="J1385" s="363"/>
    </row>
    <row r="1386" spans="1:10" ht="14.5" customHeight="1" x14ac:dyDescent="0.35">
      <c r="A1386" s="980"/>
      <c r="J1386" s="363"/>
    </row>
    <row r="1387" spans="1:10" ht="14.5" customHeight="1" x14ac:dyDescent="0.35">
      <c r="A1387" s="980"/>
      <c r="J1387" s="363"/>
    </row>
    <row r="1388" spans="1:10" ht="14.5" customHeight="1" x14ac:dyDescent="0.35">
      <c r="A1388" s="980"/>
      <c r="J1388" s="363"/>
    </row>
    <row r="1389" spans="1:10" ht="14.5" customHeight="1" x14ac:dyDescent="0.35">
      <c r="A1389" s="980"/>
      <c r="J1389" s="363"/>
    </row>
    <row r="1390" spans="1:10" ht="14.5" customHeight="1" x14ac:dyDescent="0.35">
      <c r="A1390" s="980"/>
      <c r="J1390" s="363"/>
    </row>
    <row r="1391" spans="1:10" ht="14.5" customHeight="1" x14ac:dyDescent="0.35">
      <c r="A1391" s="980"/>
      <c r="J1391" s="363"/>
    </row>
    <row r="1392" spans="1:10" ht="14.5" customHeight="1" x14ac:dyDescent="0.35">
      <c r="A1392" s="980"/>
      <c r="J1392" s="363"/>
    </row>
    <row r="1393" spans="1:10" ht="14.5" customHeight="1" x14ac:dyDescent="0.35">
      <c r="A1393" s="980"/>
      <c r="J1393" s="363"/>
    </row>
    <row r="1394" spans="1:10" ht="14.5" customHeight="1" x14ac:dyDescent="0.35">
      <c r="A1394" s="980"/>
      <c r="J1394" s="363"/>
    </row>
    <row r="1395" spans="1:10" ht="14.5" customHeight="1" x14ac:dyDescent="0.35">
      <c r="A1395" s="980"/>
      <c r="J1395" s="363"/>
    </row>
    <row r="1396" spans="1:10" ht="14.5" customHeight="1" x14ac:dyDescent="0.35">
      <c r="A1396" s="980"/>
      <c r="J1396" s="363"/>
    </row>
    <row r="1397" spans="1:10" ht="14.5" customHeight="1" x14ac:dyDescent="0.35">
      <c r="A1397" s="980"/>
      <c r="J1397" s="363"/>
    </row>
    <row r="1398" spans="1:10" ht="14.5" customHeight="1" x14ac:dyDescent="0.35">
      <c r="A1398" s="980"/>
      <c r="J1398" s="363"/>
    </row>
    <row r="1399" spans="1:10" ht="14.5" customHeight="1" x14ac:dyDescent="0.35">
      <c r="A1399" s="980"/>
      <c r="J1399" s="363"/>
    </row>
    <row r="1400" spans="1:10" ht="14.5" customHeight="1" x14ac:dyDescent="0.35">
      <c r="A1400" s="980"/>
      <c r="J1400" s="363"/>
    </row>
    <row r="1401" spans="1:10" ht="14.5" customHeight="1" x14ac:dyDescent="0.35">
      <c r="A1401" s="980"/>
      <c r="J1401" s="363"/>
    </row>
    <row r="1402" spans="1:10" ht="14.5" customHeight="1" x14ac:dyDescent="0.35">
      <c r="A1402" s="980"/>
      <c r="J1402" s="363"/>
    </row>
    <row r="1403" spans="1:10" ht="14.5" customHeight="1" x14ac:dyDescent="0.35">
      <c r="A1403" s="980"/>
      <c r="J1403" s="363"/>
    </row>
    <row r="1404" spans="1:10" ht="14.5" customHeight="1" x14ac:dyDescent="0.35">
      <c r="A1404" s="980"/>
      <c r="J1404" s="363"/>
    </row>
    <row r="1405" spans="1:10" ht="14.5" customHeight="1" x14ac:dyDescent="0.35">
      <c r="A1405" s="980"/>
      <c r="J1405" s="363"/>
    </row>
    <row r="1406" spans="1:10" ht="14.5" customHeight="1" x14ac:dyDescent="0.35">
      <c r="A1406" s="980"/>
      <c r="J1406" s="363"/>
    </row>
    <row r="1407" spans="1:10" ht="14.5" customHeight="1" x14ac:dyDescent="0.35">
      <c r="A1407" s="980"/>
      <c r="J1407" s="363"/>
    </row>
    <row r="1408" spans="1:10" ht="14.5" customHeight="1" x14ac:dyDescent="0.35">
      <c r="A1408" s="980"/>
      <c r="J1408" s="363"/>
    </row>
    <row r="1409" spans="1:10" ht="14.5" customHeight="1" x14ac:dyDescent="0.35">
      <c r="A1409" s="980"/>
      <c r="J1409" s="363"/>
    </row>
    <row r="1410" spans="1:10" ht="14.5" customHeight="1" x14ac:dyDescent="0.35">
      <c r="A1410" s="980"/>
      <c r="J1410" s="363"/>
    </row>
    <row r="1411" spans="1:10" ht="14.5" customHeight="1" x14ac:dyDescent="0.35">
      <c r="A1411" s="980"/>
      <c r="J1411" s="363"/>
    </row>
    <row r="1412" spans="1:10" ht="14.5" customHeight="1" x14ac:dyDescent="0.35">
      <c r="A1412" s="980"/>
      <c r="J1412" s="363"/>
    </row>
    <row r="1413" spans="1:10" ht="14.5" customHeight="1" x14ac:dyDescent="0.35">
      <c r="A1413" s="980"/>
      <c r="J1413" s="363"/>
    </row>
    <row r="1414" spans="1:10" ht="14.5" customHeight="1" x14ac:dyDescent="0.35">
      <c r="A1414" s="980"/>
      <c r="J1414" s="363"/>
    </row>
    <row r="1415" spans="1:10" ht="14.5" customHeight="1" x14ac:dyDescent="0.35">
      <c r="A1415" s="980"/>
      <c r="J1415" s="363"/>
    </row>
    <row r="1416" spans="1:10" ht="14.5" customHeight="1" x14ac:dyDescent="0.35">
      <c r="A1416" s="980"/>
      <c r="J1416" s="363"/>
    </row>
    <row r="1417" spans="1:10" ht="14.5" customHeight="1" x14ac:dyDescent="0.35">
      <c r="A1417" s="980"/>
      <c r="J1417" s="363"/>
    </row>
    <row r="1418" spans="1:10" ht="14.5" customHeight="1" x14ac:dyDescent="0.35">
      <c r="A1418" s="980"/>
      <c r="J1418" s="363"/>
    </row>
    <row r="1419" spans="1:10" ht="14.5" customHeight="1" x14ac:dyDescent="0.35">
      <c r="A1419" s="980"/>
      <c r="J1419" s="363"/>
    </row>
    <row r="1420" spans="1:10" ht="14.5" customHeight="1" x14ac:dyDescent="0.35">
      <c r="A1420" s="980"/>
      <c r="J1420" s="363"/>
    </row>
    <row r="1421" spans="1:10" ht="14.5" customHeight="1" x14ac:dyDescent="0.35">
      <c r="A1421" s="980"/>
      <c r="J1421" s="363"/>
    </row>
    <row r="1422" spans="1:10" ht="14.5" customHeight="1" x14ac:dyDescent="0.35">
      <c r="A1422" s="980"/>
      <c r="J1422" s="363"/>
    </row>
    <row r="1423" spans="1:10" ht="14.5" customHeight="1" x14ac:dyDescent="0.35">
      <c r="A1423" s="980"/>
      <c r="J1423" s="363"/>
    </row>
    <row r="1424" spans="1:10" ht="14.5" customHeight="1" x14ac:dyDescent="0.35">
      <c r="A1424" s="980"/>
      <c r="J1424" s="363"/>
    </row>
    <row r="1425" spans="1:10" ht="14.5" customHeight="1" x14ac:dyDescent="0.35">
      <c r="A1425" s="980"/>
      <c r="J1425" s="363"/>
    </row>
    <row r="1426" spans="1:10" ht="14.5" customHeight="1" x14ac:dyDescent="0.35">
      <c r="A1426" s="980"/>
      <c r="J1426" s="363"/>
    </row>
    <row r="1427" spans="1:10" ht="14.5" customHeight="1" x14ac:dyDescent="0.35">
      <c r="A1427" s="980"/>
      <c r="J1427" s="363"/>
    </row>
    <row r="1428" spans="1:10" ht="14.5" customHeight="1" x14ac:dyDescent="0.35">
      <c r="A1428" s="980"/>
      <c r="J1428" s="363"/>
    </row>
    <row r="1429" spans="1:10" ht="14.5" customHeight="1" x14ac:dyDescent="0.35">
      <c r="A1429" s="980"/>
      <c r="J1429" s="363"/>
    </row>
    <row r="1430" spans="1:10" ht="14.5" customHeight="1" x14ac:dyDescent="0.35">
      <c r="A1430" s="980"/>
      <c r="J1430" s="363"/>
    </row>
    <row r="1431" spans="1:10" ht="14.5" customHeight="1" x14ac:dyDescent="0.35">
      <c r="A1431" s="980"/>
      <c r="J1431" s="363"/>
    </row>
    <row r="1432" spans="1:10" ht="14.5" customHeight="1" x14ac:dyDescent="0.35">
      <c r="A1432" s="980"/>
      <c r="J1432" s="363"/>
    </row>
    <row r="1433" spans="1:10" ht="14.5" customHeight="1" x14ac:dyDescent="0.35">
      <c r="A1433" s="980"/>
      <c r="J1433" s="363"/>
    </row>
    <row r="1434" spans="1:10" ht="14.5" customHeight="1" x14ac:dyDescent="0.35">
      <c r="A1434" s="980"/>
      <c r="J1434" s="363"/>
    </row>
    <row r="1435" spans="1:10" ht="14.5" customHeight="1" x14ac:dyDescent="0.35">
      <c r="A1435" s="980"/>
      <c r="J1435" s="363"/>
    </row>
    <row r="1436" spans="1:10" ht="14.5" customHeight="1" x14ac:dyDescent="0.35">
      <c r="A1436" s="980"/>
      <c r="J1436" s="363"/>
    </row>
    <row r="1437" spans="1:10" ht="14.5" customHeight="1" x14ac:dyDescent="0.35">
      <c r="A1437" s="980"/>
      <c r="J1437" s="363"/>
    </row>
    <row r="1438" spans="1:10" ht="14.5" customHeight="1" x14ac:dyDescent="0.35">
      <c r="A1438" s="980"/>
      <c r="J1438" s="363"/>
    </row>
    <row r="1439" spans="1:10" ht="14.5" customHeight="1" x14ac:dyDescent="0.35">
      <c r="A1439" s="980"/>
      <c r="J1439" s="363"/>
    </row>
    <row r="1440" spans="1:10" ht="14.5" customHeight="1" x14ac:dyDescent="0.35">
      <c r="A1440" s="980"/>
      <c r="J1440" s="363"/>
    </row>
    <row r="1441" spans="1:10" ht="14.5" customHeight="1" x14ac:dyDescent="0.35">
      <c r="A1441" s="980"/>
      <c r="J1441" s="363"/>
    </row>
    <row r="1442" spans="1:10" ht="14.5" customHeight="1" x14ac:dyDescent="0.35">
      <c r="A1442" s="980"/>
      <c r="J1442" s="363"/>
    </row>
    <row r="1443" spans="1:10" ht="14.5" customHeight="1" x14ac:dyDescent="0.35">
      <c r="A1443" s="980"/>
      <c r="J1443" s="363"/>
    </row>
    <row r="1444" spans="1:10" ht="14.5" customHeight="1" x14ac:dyDescent="0.35">
      <c r="A1444" s="980"/>
      <c r="J1444" s="363"/>
    </row>
    <row r="1445" spans="1:10" ht="14.5" customHeight="1" x14ac:dyDescent="0.35">
      <c r="A1445" s="980"/>
      <c r="J1445" s="363"/>
    </row>
    <row r="1446" spans="1:10" ht="14.5" customHeight="1" x14ac:dyDescent="0.35">
      <c r="A1446" s="980"/>
      <c r="J1446" s="363"/>
    </row>
    <row r="1447" spans="1:10" ht="14.5" customHeight="1" x14ac:dyDescent="0.35">
      <c r="A1447" s="980"/>
      <c r="J1447" s="363"/>
    </row>
    <row r="1448" spans="1:10" ht="14.5" customHeight="1" x14ac:dyDescent="0.35">
      <c r="A1448" s="980"/>
      <c r="J1448" s="363"/>
    </row>
    <row r="1449" spans="1:10" ht="14.5" customHeight="1" x14ac:dyDescent="0.35">
      <c r="A1449" s="980"/>
      <c r="J1449" s="363"/>
    </row>
    <row r="1450" spans="1:10" ht="14.5" customHeight="1" x14ac:dyDescent="0.35">
      <c r="A1450" s="980"/>
      <c r="J1450" s="363"/>
    </row>
    <row r="1451" spans="1:10" ht="14.5" customHeight="1" x14ac:dyDescent="0.35">
      <c r="A1451" s="980"/>
      <c r="J1451" s="363"/>
    </row>
    <row r="1452" spans="1:10" ht="14.5" customHeight="1" x14ac:dyDescent="0.35">
      <c r="A1452" s="980"/>
      <c r="J1452" s="363"/>
    </row>
    <row r="1453" spans="1:10" ht="14.5" customHeight="1" x14ac:dyDescent="0.35">
      <c r="A1453" s="980"/>
      <c r="J1453" s="363"/>
    </row>
    <row r="1454" spans="1:10" ht="14.5" customHeight="1" x14ac:dyDescent="0.35">
      <c r="A1454" s="980"/>
      <c r="J1454" s="363"/>
    </row>
    <row r="1455" spans="1:10" ht="14.5" customHeight="1" x14ac:dyDescent="0.35">
      <c r="A1455" s="980"/>
      <c r="J1455" s="363"/>
    </row>
    <row r="1456" spans="1:10" ht="14.5" customHeight="1" x14ac:dyDescent="0.35">
      <c r="A1456" s="980"/>
      <c r="J1456" s="363"/>
    </row>
    <row r="1457" spans="1:10" ht="14.5" customHeight="1" x14ac:dyDescent="0.35">
      <c r="A1457" s="980"/>
      <c r="J1457" s="363"/>
    </row>
    <row r="1458" spans="1:10" ht="14.5" customHeight="1" x14ac:dyDescent="0.35">
      <c r="A1458" s="980"/>
      <c r="J1458" s="363"/>
    </row>
    <row r="1459" spans="1:10" ht="14.5" customHeight="1" x14ac:dyDescent="0.35">
      <c r="A1459" s="980"/>
      <c r="J1459" s="363"/>
    </row>
    <row r="1460" spans="1:10" ht="14.5" customHeight="1" x14ac:dyDescent="0.35">
      <c r="A1460" s="980"/>
      <c r="J1460" s="363"/>
    </row>
    <row r="1461" spans="1:10" ht="14.5" customHeight="1" x14ac:dyDescent="0.35">
      <c r="A1461" s="980"/>
      <c r="J1461" s="363"/>
    </row>
    <row r="1462" spans="1:10" ht="14.5" customHeight="1" x14ac:dyDescent="0.35">
      <c r="A1462" s="980"/>
      <c r="J1462" s="363"/>
    </row>
    <row r="1463" spans="1:10" ht="14.5" customHeight="1" x14ac:dyDescent="0.35">
      <c r="A1463" s="980"/>
      <c r="J1463" s="363"/>
    </row>
    <row r="1464" spans="1:10" ht="14.5" customHeight="1" x14ac:dyDescent="0.35">
      <c r="A1464" s="980"/>
      <c r="J1464" s="363"/>
    </row>
    <row r="1465" spans="1:10" ht="14.5" customHeight="1" x14ac:dyDescent="0.35">
      <c r="A1465" s="980"/>
      <c r="J1465" s="363"/>
    </row>
    <row r="1466" spans="1:10" ht="14.5" customHeight="1" x14ac:dyDescent="0.35">
      <c r="A1466" s="980"/>
      <c r="J1466" s="363"/>
    </row>
    <row r="1467" spans="1:10" ht="14.5" customHeight="1" x14ac:dyDescent="0.35">
      <c r="A1467" s="980"/>
      <c r="J1467" s="363"/>
    </row>
    <row r="1468" spans="1:10" ht="14.5" customHeight="1" x14ac:dyDescent="0.35">
      <c r="A1468" s="980"/>
      <c r="J1468" s="363"/>
    </row>
    <row r="1469" spans="1:10" ht="14.5" customHeight="1" x14ac:dyDescent="0.35">
      <c r="A1469" s="980"/>
      <c r="J1469" s="363"/>
    </row>
    <row r="1470" spans="1:10" ht="14.5" customHeight="1" x14ac:dyDescent="0.35">
      <c r="A1470" s="980"/>
      <c r="J1470" s="363"/>
    </row>
    <row r="1471" spans="1:10" ht="14.5" customHeight="1" x14ac:dyDescent="0.35">
      <c r="A1471" s="980"/>
      <c r="J1471" s="363"/>
    </row>
    <row r="1472" spans="1:10" ht="14.5" customHeight="1" x14ac:dyDescent="0.35">
      <c r="A1472" s="980"/>
      <c r="J1472" s="363"/>
    </row>
    <row r="1473" spans="1:10" ht="14.5" customHeight="1" x14ac:dyDescent="0.35">
      <c r="A1473" s="980"/>
      <c r="J1473" s="363"/>
    </row>
    <row r="1474" spans="1:10" ht="14.5" customHeight="1" x14ac:dyDescent="0.35">
      <c r="A1474" s="980"/>
      <c r="J1474" s="363"/>
    </row>
    <row r="1475" spans="1:10" ht="14.5" customHeight="1" x14ac:dyDescent="0.35">
      <c r="A1475" s="980"/>
      <c r="J1475" s="363"/>
    </row>
    <row r="1476" spans="1:10" ht="14.5" customHeight="1" x14ac:dyDescent="0.35">
      <c r="A1476" s="980"/>
      <c r="J1476" s="363"/>
    </row>
    <row r="1477" spans="1:10" ht="14.5" customHeight="1" x14ac:dyDescent="0.35">
      <c r="A1477" s="980"/>
      <c r="J1477" s="363"/>
    </row>
    <row r="1478" spans="1:10" ht="14.5" customHeight="1" x14ac:dyDescent="0.35">
      <c r="A1478" s="980"/>
      <c r="J1478" s="363"/>
    </row>
    <row r="1479" spans="1:10" ht="14.5" customHeight="1" x14ac:dyDescent="0.35">
      <c r="A1479" s="980"/>
      <c r="J1479" s="363"/>
    </row>
    <row r="1480" spans="1:10" ht="14.5" customHeight="1" x14ac:dyDescent="0.35">
      <c r="A1480" s="980"/>
      <c r="J1480" s="363"/>
    </row>
    <row r="1481" spans="1:10" ht="14.5" customHeight="1" x14ac:dyDescent="0.35">
      <c r="A1481" s="980"/>
      <c r="J1481" s="363"/>
    </row>
    <row r="1482" spans="1:10" ht="14.5" customHeight="1" x14ac:dyDescent="0.35">
      <c r="A1482" s="980"/>
      <c r="J1482" s="363"/>
    </row>
    <row r="1483" spans="1:10" ht="14.5" customHeight="1" x14ac:dyDescent="0.35">
      <c r="A1483" s="980"/>
      <c r="J1483" s="363"/>
    </row>
    <row r="1484" spans="1:10" ht="14.5" customHeight="1" x14ac:dyDescent="0.35">
      <c r="A1484" s="980"/>
      <c r="J1484" s="363"/>
    </row>
    <row r="1485" spans="1:10" ht="14.5" customHeight="1" x14ac:dyDescent="0.35">
      <c r="A1485" s="980"/>
      <c r="J1485" s="363"/>
    </row>
    <row r="1486" spans="1:10" ht="14.5" customHeight="1" x14ac:dyDescent="0.35">
      <c r="A1486" s="980"/>
      <c r="J1486" s="363"/>
    </row>
    <row r="1487" spans="1:10" ht="14.5" customHeight="1" x14ac:dyDescent="0.35">
      <c r="A1487" s="980"/>
      <c r="J1487" s="363"/>
    </row>
    <row r="1488" spans="1:10" ht="14.5" customHeight="1" x14ac:dyDescent="0.35">
      <c r="A1488" s="980"/>
      <c r="J1488" s="363"/>
    </row>
    <row r="1489" spans="1:10" ht="14.5" customHeight="1" x14ac:dyDescent="0.35">
      <c r="A1489" s="980"/>
      <c r="J1489" s="363"/>
    </row>
    <row r="1490" spans="1:10" ht="14.5" customHeight="1" x14ac:dyDescent="0.35">
      <c r="A1490" s="980"/>
      <c r="J1490" s="363"/>
    </row>
    <row r="1491" spans="1:10" ht="14.5" customHeight="1" x14ac:dyDescent="0.35">
      <c r="A1491" s="980"/>
      <c r="J1491" s="363"/>
    </row>
    <row r="1492" spans="1:10" ht="14.5" customHeight="1" x14ac:dyDescent="0.35">
      <c r="A1492" s="980"/>
      <c r="J1492" s="363"/>
    </row>
    <row r="1493" spans="1:10" ht="14.5" customHeight="1" x14ac:dyDescent="0.35">
      <c r="A1493" s="980"/>
      <c r="J1493" s="363"/>
    </row>
    <row r="1494" spans="1:10" ht="14.5" customHeight="1" x14ac:dyDescent="0.35">
      <c r="A1494" s="980"/>
      <c r="J1494" s="363"/>
    </row>
    <row r="1495" spans="1:10" ht="14.5" customHeight="1" x14ac:dyDescent="0.35">
      <c r="A1495" s="980"/>
      <c r="J1495" s="363"/>
    </row>
    <row r="1496" spans="1:10" ht="14.5" customHeight="1" x14ac:dyDescent="0.35">
      <c r="A1496" s="980"/>
      <c r="J1496" s="363"/>
    </row>
    <row r="1497" spans="1:10" ht="14.5" customHeight="1" x14ac:dyDescent="0.35">
      <c r="A1497" s="980"/>
      <c r="J1497" s="363"/>
    </row>
    <row r="1498" spans="1:10" x14ac:dyDescent="0.35">
      <c r="A1498" s="980"/>
      <c r="J1498" s="363"/>
    </row>
    <row r="1499" spans="1:10" x14ac:dyDescent="0.35">
      <c r="A1499" s="980"/>
      <c r="J1499" s="363"/>
    </row>
    <row r="1500" spans="1:10" ht="14.5" customHeight="1" x14ac:dyDescent="0.35">
      <c r="A1500" s="980"/>
      <c r="J1500" s="363"/>
    </row>
    <row r="1501" spans="1:10" ht="14.5" customHeight="1" x14ac:dyDescent="0.35">
      <c r="A1501" s="980"/>
      <c r="J1501" s="363"/>
    </row>
    <row r="1502" spans="1:10" ht="14.5" customHeight="1" x14ac:dyDescent="0.35">
      <c r="A1502" s="980"/>
      <c r="J1502" s="363"/>
    </row>
    <row r="1503" spans="1:10" ht="14.5" customHeight="1" x14ac:dyDescent="0.35">
      <c r="A1503" s="980"/>
      <c r="J1503" s="363"/>
    </row>
    <row r="1504" spans="1:10" ht="14.5" customHeight="1" x14ac:dyDescent="0.35">
      <c r="A1504" s="980"/>
      <c r="J1504" s="363"/>
    </row>
    <row r="1505" spans="1:10" ht="14.5" customHeight="1" x14ac:dyDescent="0.35">
      <c r="A1505" s="980"/>
      <c r="J1505" s="363"/>
    </row>
    <row r="1506" spans="1:10" ht="14.5" customHeight="1" x14ac:dyDescent="0.35">
      <c r="A1506" s="980"/>
      <c r="J1506" s="363"/>
    </row>
    <row r="1507" spans="1:10" ht="14.5" customHeight="1" x14ac:dyDescent="0.35">
      <c r="A1507" s="980"/>
      <c r="J1507" s="363"/>
    </row>
    <row r="1508" spans="1:10" ht="14.5" customHeight="1" x14ac:dyDescent="0.35">
      <c r="A1508" s="980"/>
      <c r="J1508" s="363"/>
    </row>
    <row r="1509" spans="1:10" ht="14.5" customHeight="1" x14ac:dyDescent="0.35">
      <c r="A1509" s="980"/>
      <c r="J1509" s="363"/>
    </row>
    <row r="1510" spans="1:10" ht="14.5" customHeight="1" x14ac:dyDescent="0.35">
      <c r="A1510" s="980"/>
      <c r="J1510" s="363"/>
    </row>
    <row r="1511" spans="1:10" ht="14.5" customHeight="1" x14ac:dyDescent="0.35">
      <c r="A1511" s="980"/>
      <c r="J1511" s="363"/>
    </row>
    <row r="1512" spans="1:10" ht="14.5" customHeight="1" x14ac:dyDescent="0.35">
      <c r="A1512" s="980"/>
      <c r="J1512" s="363"/>
    </row>
    <row r="1513" spans="1:10" ht="14.5" customHeight="1" x14ac:dyDescent="0.35">
      <c r="A1513" s="980"/>
      <c r="J1513" s="363"/>
    </row>
    <row r="1514" spans="1:10" ht="14.5" customHeight="1" x14ac:dyDescent="0.35">
      <c r="A1514" s="980"/>
      <c r="J1514" s="363"/>
    </row>
    <row r="1515" spans="1:10" ht="14.5" customHeight="1" x14ac:dyDescent="0.35">
      <c r="A1515" s="980"/>
      <c r="J1515" s="363"/>
    </row>
    <row r="1516" spans="1:10" ht="14.5" customHeight="1" x14ac:dyDescent="0.35">
      <c r="A1516" s="980"/>
      <c r="J1516" s="363"/>
    </row>
    <row r="1517" spans="1:10" ht="14.5" customHeight="1" x14ac:dyDescent="0.35">
      <c r="A1517" s="980"/>
      <c r="J1517" s="363"/>
    </row>
    <row r="1518" spans="1:10" ht="14.5" customHeight="1" x14ac:dyDescent="0.35">
      <c r="A1518" s="980"/>
      <c r="J1518" s="363"/>
    </row>
    <row r="1519" spans="1:10" ht="14.5" customHeight="1" x14ac:dyDescent="0.35">
      <c r="A1519" s="980"/>
      <c r="J1519" s="363"/>
    </row>
    <row r="1520" spans="1:10" x14ac:dyDescent="0.35">
      <c r="A1520" s="980"/>
      <c r="J1520" s="363"/>
    </row>
    <row r="1521" spans="1:10" x14ac:dyDescent="0.35">
      <c r="A1521" s="980"/>
      <c r="J1521" s="363"/>
    </row>
    <row r="1522" spans="1:10" x14ac:dyDescent="0.35">
      <c r="A1522" s="980"/>
      <c r="J1522" s="363"/>
    </row>
    <row r="1523" spans="1:10" x14ac:dyDescent="0.35">
      <c r="A1523" s="980"/>
      <c r="J1523" s="363"/>
    </row>
    <row r="1524" spans="1:10" x14ac:dyDescent="0.35">
      <c r="A1524" s="980"/>
      <c r="J1524" s="363"/>
    </row>
    <row r="1525" spans="1:10" x14ac:dyDescent="0.35">
      <c r="A1525" s="980"/>
      <c r="J1525" s="363"/>
    </row>
    <row r="1526" spans="1:10" x14ac:dyDescent="0.35">
      <c r="A1526" s="980"/>
      <c r="J1526" s="363"/>
    </row>
    <row r="1527" spans="1:10" x14ac:dyDescent="0.35">
      <c r="A1527" s="980"/>
    </row>
    <row r="1528" spans="1:10" x14ac:dyDescent="0.35">
      <c r="A1528" s="980"/>
    </row>
    <row r="1529" spans="1:10" x14ac:dyDescent="0.35">
      <c r="A1529" s="980"/>
    </row>
    <row r="1530" spans="1:10" x14ac:dyDescent="0.35">
      <c r="A1530" s="980"/>
    </row>
    <row r="1531" spans="1:10" x14ac:dyDescent="0.35">
      <c r="A1531" s="980"/>
    </row>
    <row r="1532" spans="1:10" x14ac:dyDescent="0.35">
      <c r="A1532" s="980"/>
    </row>
    <row r="1533" spans="1:10" x14ac:dyDescent="0.35">
      <c r="A1533" s="980"/>
    </row>
    <row r="1534" spans="1:10" x14ac:dyDescent="0.35">
      <c r="A1534" s="980"/>
    </row>
    <row r="1535" spans="1:10" x14ac:dyDescent="0.35">
      <c r="A1535" s="980"/>
    </row>
    <row r="1536" spans="1:10" x14ac:dyDescent="0.35">
      <c r="A1536" s="980"/>
    </row>
    <row r="1537" spans="1:1" x14ac:dyDescent="0.35">
      <c r="A1537" s="980"/>
    </row>
    <row r="1538" spans="1:1" x14ac:dyDescent="0.35">
      <c r="A1538" s="980"/>
    </row>
    <row r="1539" spans="1:1" x14ac:dyDescent="0.35">
      <c r="A1539" s="980"/>
    </row>
    <row r="1540" spans="1:1" x14ac:dyDescent="0.35">
      <c r="A1540" s="980"/>
    </row>
    <row r="1541" spans="1:1" x14ac:dyDescent="0.35">
      <c r="A1541" s="980"/>
    </row>
    <row r="1542" spans="1:1" x14ac:dyDescent="0.35">
      <c r="A1542" s="980"/>
    </row>
    <row r="1543" spans="1:1" x14ac:dyDescent="0.35">
      <c r="A1543" s="980"/>
    </row>
    <row r="1544" spans="1:1" x14ac:dyDescent="0.35">
      <c r="A1544" s="980"/>
    </row>
    <row r="1545" spans="1:1" x14ac:dyDescent="0.35">
      <c r="A1545" s="980"/>
    </row>
    <row r="1546" spans="1:1" x14ac:dyDescent="0.35">
      <c r="A1546" s="980"/>
    </row>
    <row r="1547" spans="1:1" x14ac:dyDescent="0.35">
      <c r="A1547" s="980"/>
    </row>
    <row r="1548" spans="1:1" x14ac:dyDescent="0.35">
      <c r="A1548" s="980"/>
    </row>
    <row r="1549" spans="1:1" x14ac:dyDescent="0.35">
      <c r="A1549" s="980"/>
    </row>
    <row r="1550" spans="1:1" x14ac:dyDescent="0.35">
      <c r="A1550" s="980"/>
    </row>
    <row r="1551" spans="1:1" x14ac:dyDescent="0.35">
      <c r="A1551" s="980"/>
    </row>
    <row r="1552" spans="1:1" x14ac:dyDescent="0.35">
      <c r="A1552" s="980"/>
    </row>
    <row r="1553" spans="1:1" x14ac:dyDescent="0.35">
      <c r="A1553" s="980"/>
    </row>
    <row r="1554" spans="1:1" x14ac:dyDescent="0.35">
      <c r="A1554" s="980"/>
    </row>
    <row r="1555" spans="1:1" x14ac:dyDescent="0.35">
      <c r="A1555" s="980"/>
    </row>
    <row r="1556" spans="1:1" x14ac:dyDescent="0.35">
      <c r="A1556" s="980"/>
    </row>
    <row r="1557" spans="1:1" x14ac:dyDescent="0.35">
      <c r="A1557" s="980"/>
    </row>
    <row r="1558" spans="1:1" x14ac:dyDescent="0.35">
      <c r="A1558" s="980"/>
    </row>
    <row r="1559" spans="1:1" x14ac:dyDescent="0.35">
      <c r="A1559" s="980"/>
    </row>
    <row r="1560" spans="1:1" x14ac:dyDescent="0.35">
      <c r="A1560" s="980"/>
    </row>
    <row r="1561" spans="1:1" x14ac:dyDescent="0.35">
      <c r="A1561" s="980"/>
    </row>
    <row r="1562" spans="1:1" x14ac:dyDescent="0.35">
      <c r="A1562" s="980"/>
    </row>
    <row r="1563" spans="1:1" x14ac:dyDescent="0.35">
      <c r="A1563" s="980"/>
    </row>
    <row r="1564" spans="1:1" x14ac:dyDescent="0.35">
      <c r="A1564" s="980"/>
    </row>
    <row r="1565" spans="1:1" x14ac:dyDescent="0.35">
      <c r="A1565" s="980"/>
    </row>
    <row r="1566" spans="1:1" x14ac:dyDescent="0.35">
      <c r="A1566" s="980"/>
    </row>
    <row r="1567" spans="1:1" x14ac:dyDescent="0.35">
      <c r="A1567" s="980"/>
    </row>
    <row r="1568" spans="1:1" x14ac:dyDescent="0.35">
      <c r="A1568" s="980"/>
    </row>
    <row r="1569" spans="1:1" x14ac:dyDescent="0.35">
      <c r="A1569" s="980"/>
    </row>
    <row r="1570" spans="1:1" x14ac:dyDescent="0.35">
      <c r="A1570" s="980"/>
    </row>
    <row r="1571" spans="1:1" x14ac:dyDescent="0.35">
      <c r="A1571" s="980"/>
    </row>
    <row r="1572" spans="1:1" x14ac:dyDescent="0.35">
      <c r="A1572" s="980"/>
    </row>
    <row r="1573" spans="1:1" x14ac:dyDescent="0.35">
      <c r="A1573" s="980"/>
    </row>
    <row r="1574" spans="1:1" x14ac:dyDescent="0.35">
      <c r="A1574" s="980"/>
    </row>
    <row r="1575" spans="1:1" x14ac:dyDescent="0.35">
      <c r="A1575" s="980"/>
    </row>
    <row r="1576" spans="1:1" x14ac:dyDescent="0.35">
      <c r="A1576" s="980"/>
    </row>
    <row r="1577" spans="1:1" x14ac:dyDescent="0.35">
      <c r="A1577" s="980"/>
    </row>
    <row r="1578" spans="1:1" x14ac:dyDescent="0.35">
      <c r="A1578" s="980"/>
    </row>
    <row r="1579" spans="1:1" x14ac:dyDescent="0.35">
      <c r="A1579" s="980"/>
    </row>
    <row r="1580" spans="1:1" x14ac:dyDescent="0.35">
      <c r="A1580" s="980"/>
    </row>
    <row r="1581" spans="1:1" x14ac:dyDescent="0.35">
      <c r="A1581" s="980"/>
    </row>
    <row r="1582" spans="1:1" x14ac:dyDescent="0.35">
      <c r="A1582" s="980"/>
    </row>
    <row r="1583" spans="1:1" x14ac:dyDescent="0.35">
      <c r="A1583" s="980"/>
    </row>
    <row r="1584" spans="1:1" x14ac:dyDescent="0.35">
      <c r="A1584" s="980"/>
    </row>
    <row r="1585" spans="1:1" x14ac:dyDescent="0.35">
      <c r="A1585" s="980"/>
    </row>
    <row r="1586" spans="1:1" x14ac:dyDescent="0.35">
      <c r="A1586" s="980"/>
    </row>
    <row r="1587" spans="1:1" x14ac:dyDescent="0.35">
      <c r="A1587" s="980"/>
    </row>
    <row r="1588" spans="1:1" x14ac:dyDescent="0.35">
      <c r="A1588" s="980"/>
    </row>
    <row r="1589" spans="1:1" x14ac:dyDescent="0.35">
      <c r="A1589" s="980"/>
    </row>
    <row r="1590" spans="1:1" x14ac:dyDescent="0.35">
      <c r="A1590" s="980"/>
    </row>
    <row r="1591" spans="1:1" x14ac:dyDescent="0.35">
      <c r="A1591" s="980"/>
    </row>
    <row r="1592" spans="1:1" x14ac:dyDescent="0.35">
      <c r="A1592" s="980"/>
    </row>
    <row r="1593" spans="1:1" x14ac:dyDescent="0.35">
      <c r="A1593" s="980"/>
    </row>
    <row r="1594" spans="1:1" x14ac:dyDescent="0.35">
      <c r="A1594" s="980"/>
    </row>
    <row r="1595" spans="1:1" x14ac:dyDescent="0.35">
      <c r="A1595" s="980"/>
    </row>
    <row r="1596" spans="1:1" x14ac:dyDescent="0.35">
      <c r="A1596" s="980"/>
    </row>
    <row r="1597" spans="1:1" x14ac:dyDescent="0.35">
      <c r="A1597" s="980"/>
    </row>
    <row r="1598" spans="1:1" x14ac:dyDescent="0.35">
      <c r="A1598" s="980"/>
    </row>
    <row r="1599" spans="1:1" x14ac:dyDescent="0.35">
      <c r="A1599" s="980"/>
    </row>
    <row r="1600" spans="1:1" x14ac:dyDescent="0.35">
      <c r="A1600" s="980"/>
    </row>
    <row r="1601" spans="1:1" x14ac:dyDescent="0.35">
      <c r="A1601" s="980"/>
    </row>
    <row r="1602" spans="1:1" x14ac:dyDescent="0.35">
      <c r="A1602" s="980"/>
    </row>
    <row r="1603" spans="1:1" x14ac:dyDescent="0.35">
      <c r="A1603" s="980"/>
    </row>
    <row r="1604" spans="1:1" x14ac:dyDescent="0.35">
      <c r="A1604" s="980"/>
    </row>
    <row r="1605" spans="1:1" x14ac:dyDescent="0.35">
      <c r="A1605" s="980"/>
    </row>
    <row r="1606" spans="1:1" x14ac:dyDescent="0.35">
      <c r="A1606" s="980"/>
    </row>
    <row r="1607" spans="1:1" x14ac:dyDescent="0.35">
      <c r="A1607" s="980"/>
    </row>
    <row r="1608" spans="1:1" x14ac:dyDescent="0.35">
      <c r="A1608" s="980"/>
    </row>
    <row r="1609" spans="1:1" x14ac:dyDescent="0.35">
      <c r="A1609" s="980"/>
    </row>
    <row r="1610" spans="1:1" x14ac:dyDescent="0.35">
      <c r="A1610" s="980"/>
    </row>
    <row r="1611" spans="1:1" x14ac:dyDescent="0.35">
      <c r="A1611" s="980"/>
    </row>
    <row r="1612" spans="1:1" x14ac:dyDescent="0.35">
      <c r="A1612" s="980"/>
    </row>
    <row r="1613" spans="1:1" x14ac:dyDescent="0.35">
      <c r="A1613" s="980"/>
    </row>
    <row r="1614" spans="1:1" x14ac:dyDescent="0.35">
      <c r="A1614" s="980"/>
    </row>
    <row r="1615" spans="1:1" x14ac:dyDescent="0.35">
      <c r="A1615" s="980"/>
    </row>
    <row r="1616" spans="1:1" x14ac:dyDescent="0.35">
      <c r="A1616" s="980"/>
    </row>
    <row r="1617" spans="1:1" x14ac:dyDescent="0.35">
      <c r="A1617" s="980"/>
    </row>
    <row r="1618" spans="1:1" x14ac:dyDescent="0.35">
      <c r="A1618" s="980"/>
    </row>
    <row r="1619" spans="1:1" x14ac:dyDescent="0.35">
      <c r="A1619" s="980"/>
    </row>
    <row r="1620" spans="1:1" x14ac:dyDescent="0.35">
      <c r="A1620" s="980"/>
    </row>
    <row r="1621" spans="1:1" x14ac:dyDescent="0.35">
      <c r="A1621" s="980"/>
    </row>
    <row r="1622" spans="1:1" x14ac:dyDescent="0.35">
      <c r="A1622" s="980"/>
    </row>
    <row r="1623" spans="1:1" x14ac:dyDescent="0.35">
      <c r="A1623" s="980"/>
    </row>
    <row r="1624" spans="1:1" x14ac:dyDescent="0.35">
      <c r="A1624" s="980"/>
    </row>
    <row r="1625" spans="1:1" x14ac:dyDescent="0.35">
      <c r="A1625" s="980"/>
    </row>
    <row r="1626" spans="1:1" x14ac:dyDescent="0.35">
      <c r="A1626" s="980"/>
    </row>
    <row r="1627" spans="1:1" x14ac:dyDescent="0.35">
      <c r="A1627" s="980"/>
    </row>
    <row r="1628" spans="1:1" x14ac:dyDescent="0.35">
      <c r="A1628" s="980"/>
    </row>
    <row r="1629" spans="1:1" x14ac:dyDescent="0.35">
      <c r="A1629" s="980"/>
    </row>
    <row r="1630" spans="1:1" x14ac:dyDescent="0.35">
      <c r="A1630" s="980"/>
    </row>
    <row r="1631" spans="1:1" x14ac:dyDescent="0.35">
      <c r="A1631" s="980"/>
    </row>
    <row r="1632" spans="1:1" x14ac:dyDescent="0.35">
      <c r="A1632" s="980"/>
    </row>
    <row r="1633" spans="1:1" x14ac:dyDescent="0.35">
      <c r="A1633" s="980"/>
    </row>
    <row r="1634" spans="1:1" x14ac:dyDescent="0.35">
      <c r="A1634" s="980"/>
    </row>
    <row r="1635" spans="1:1" x14ac:dyDescent="0.35">
      <c r="A1635" s="980"/>
    </row>
    <row r="1636" spans="1:1" x14ac:dyDescent="0.35">
      <c r="A1636" s="980"/>
    </row>
    <row r="1637" spans="1:1" x14ac:dyDescent="0.35">
      <c r="A1637" s="980"/>
    </row>
    <row r="1638" spans="1:1" x14ac:dyDescent="0.35">
      <c r="A1638" s="980"/>
    </row>
    <row r="1639" spans="1:1" x14ac:dyDescent="0.35">
      <c r="A1639" s="980"/>
    </row>
    <row r="1640" spans="1:1" x14ac:dyDescent="0.35">
      <c r="A1640" s="980"/>
    </row>
    <row r="1641" spans="1:1" x14ac:dyDescent="0.35">
      <c r="A1641" s="980"/>
    </row>
    <row r="1642" spans="1:1" x14ac:dyDescent="0.35">
      <c r="A1642" s="980"/>
    </row>
    <row r="1643" spans="1:1" x14ac:dyDescent="0.35">
      <c r="A1643" s="980"/>
    </row>
    <row r="1644" spans="1:1" x14ac:dyDescent="0.35">
      <c r="A1644" s="980"/>
    </row>
    <row r="1645" spans="1:1" x14ac:dyDescent="0.35">
      <c r="A1645" s="980"/>
    </row>
    <row r="1646" spans="1:1" x14ac:dyDescent="0.35">
      <c r="A1646" s="980"/>
    </row>
    <row r="1647" spans="1:1" x14ac:dyDescent="0.35">
      <c r="A1647" s="980"/>
    </row>
    <row r="1648" spans="1:1" x14ac:dyDescent="0.35">
      <c r="A1648" s="980"/>
    </row>
    <row r="1649" spans="1:1" x14ac:dyDescent="0.35">
      <c r="A1649" s="980"/>
    </row>
    <row r="1650" spans="1:1" x14ac:dyDescent="0.35">
      <c r="A1650" s="980"/>
    </row>
    <row r="1651" spans="1:1" x14ac:dyDescent="0.35">
      <c r="A1651" s="980"/>
    </row>
    <row r="1652" spans="1:1" x14ac:dyDescent="0.35">
      <c r="A1652" s="980"/>
    </row>
    <row r="1653" spans="1:1" x14ac:dyDescent="0.35">
      <c r="A1653" s="980"/>
    </row>
    <row r="1654" spans="1:1" x14ac:dyDescent="0.35">
      <c r="A1654" s="980"/>
    </row>
    <row r="1655" spans="1:1" x14ac:dyDescent="0.35">
      <c r="A1655" s="980"/>
    </row>
    <row r="1656" spans="1:1" x14ac:dyDescent="0.35">
      <c r="A1656" s="980"/>
    </row>
    <row r="1657" spans="1:1" x14ac:dyDescent="0.35">
      <c r="A1657" s="980"/>
    </row>
    <row r="1658" spans="1:1" x14ac:dyDescent="0.35">
      <c r="A1658" s="980"/>
    </row>
    <row r="1659" spans="1:1" x14ac:dyDescent="0.35">
      <c r="A1659" s="980"/>
    </row>
    <row r="1660" spans="1:1" x14ac:dyDescent="0.35">
      <c r="A1660" s="980"/>
    </row>
    <row r="1661" spans="1:1" x14ac:dyDescent="0.35">
      <c r="A1661" s="980"/>
    </row>
    <row r="1662" spans="1:1" x14ac:dyDescent="0.35">
      <c r="A1662" s="980"/>
    </row>
    <row r="1663" spans="1:1" x14ac:dyDescent="0.35">
      <c r="A1663" s="980"/>
    </row>
    <row r="1664" spans="1:1" x14ac:dyDescent="0.35">
      <c r="A1664" s="980"/>
    </row>
    <row r="1665" spans="1:1" x14ac:dyDescent="0.35">
      <c r="A1665" s="980"/>
    </row>
    <row r="1666" spans="1:1" x14ac:dyDescent="0.35">
      <c r="A1666" s="980"/>
    </row>
    <row r="1667" spans="1:1" x14ac:dyDescent="0.35">
      <c r="A1667" s="980"/>
    </row>
    <row r="1668" spans="1:1" x14ac:dyDescent="0.35">
      <c r="A1668" s="980"/>
    </row>
    <row r="1669" spans="1:1" x14ac:dyDescent="0.35">
      <c r="A1669" s="980"/>
    </row>
    <row r="1670" spans="1:1" x14ac:dyDescent="0.35">
      <c r="A1670" s="980"/>
    </row>
    <row r="1671" spans="1:1" x14ac:dyDescent="0.35">
      <c r="A1671" s="980"/>
    </row>
    <row r="1672" spans="1:1" x14ac:dyDescent="0.35">
      <c r="A1672" s="980"/>
    </row>
    <row r="1673" spans="1:1" x14ac:dyDescent="0.35">
      <c r="A1673" s="980"/>
    </row>
    <row r="1674" spans="1:1" x14ac:dyDescent="0.35">
      <c r="A1674" s="980"/>
    </row>
    <row r="1675" spans="1:1" x14ac:dyDescent="0.35">
      <c r="A1675" s="980"/>
    </row>
    <row r="1676" spans="1:1" x14ac:dyDescent="0.35">
      <c r="A1676" s="980"/>
    </row>
    <row r="1677" spans="1:1" x14ac:dyDescent="0.35">
      <c r="A1677" s="980"/>
    </row>
    <row r="1678" spans="1:1" x14ac:dyDescent="0.35">
      <c r="A1678" s="980"/>
    </row>
    <row r="1679" spans="1:1" x14ac:dyDescent="0.35">
      <c r="A1679" s="980"/>
    </row>
    <row r="1680" spans="1:1" x14ac:dyDescent="0.35">
      <c r="A1680" s="980"/>
    </row>
    <row r="1681" spans="1:1" x14ac:dyDescent="0.35">
      <c r="A1681" s="980"/>
    </row>
    <row r="1682" spans="1:1" x14ac:dyDescent="0.35">
      <c r="A1682" s="980"/>
    </row>
    <row r="1683" spans="1:1" x14ac:dyDescent="0.35">
      <c r="A1683" s="980"/>
    </row>
    <row r="1684" spans="1:1" x14ac:dyDescent="0.35">
      <c r="A1684" s="980"/>
    </row>
    <row r="1685" spans="1:1" x14ac:dyDescent="0.35">
      <c r="A1685" s="980"/>
    </row>
    <row r="1686" spans="1:1" x14ac:dyDescent="0.35">
      <c r="A1686" s="980"/>
    </row>
    <row r="1687" spans="1:1" x14ac:dyDescent="0.35">
      <c r="A1687" s="980"/>
    </row>
    <row r="1688" spans="1:1" x14ac:dyDescent="0.35">
      <c r="A1688" s="980"/>
    </row>
    <row r="1689" spans="1:1" x14ac:dyDescent="0.35">
      <c r="A1689" s="980"/>
    </row>
    <row r="1690" spans="1:1" x14ac:dyDescent="0.35">
      <c r="A1690" s="980"/>
    </row>
    <row r="1691" spans="1:1" x14ac:dyDescent="0.35">
      <c r="A1691" s="980"/>
    </row>
    <row r="1692" spans="1:1" x14ac:dyDescent="0.35">
      <c r="A1692" s="980"/>
    </row>
    <row r="1693" spans="1:1" x14ac:dyDescent="0.35">
      <c r="A1693" s="980"/>
    </row>
    <row r="1694" spans="1:1" x14ac:dyDescent="0.35">
      <c r="A1694" s="980"/>
    </row>
    <row r="1695" spans="1:1" x14ac:dyDescent="0.35">
      <c r="A1695" s="980"/>
    </row>
    <row r="1696" spans="1:1" x14ac:dyDescent="0.35">
      <c r="A1696" s="980"/>
    </row>
    <row r="1697" spans="1:1" x14ac:dyDescent="0.35">
      <c r="A1697" s="980"/>
    </row>
    <row r="1698" spans="1:1" x14ac:dyDescent="0.35">
      <c r="A1698" s="980"/>
    </row>
    <row r="1699" spans="1:1" x14ac:dyDescent="0.35">
      <c r="A1699" s="980"/>
    </row>
    <row r="1700" spans="1:1" x14ac:dyDescent="0.35">
      <c r="A1700" s="980"/>
    </row>
    <row r="1701" spans="1:1" x14ac:dyDescent="0.35">
      <c r="A1701" s="980"/>
    </row>
    <row r="1702" spans="1:1" x14ac:dyDescent="0.35">
      <c r="A1702" s="980"/>
    </row>
    <row r="1703" spans="1:1" x14ac:dyDescent="0.35">
      <c r="A1703" s="980"/>
    </row>
    <row r="1704" spans="1:1" x14ac:dyDescent="0.35">
      <c r="A1704" s="980"/>
    </row>
    <row r="1705" spans="1:1" x14ac:dyDescent="0.35">
      <c r="A1705" s="980"/>
    </row>
    <row r="1706" spans="1:1" x14ac:dyDescent="0.35">
      <c r="A1706" s="980"/>
    </row>
    <row r="1707" spans="1:1" x14ac:dyDescent="0.35">
      <c r="A1707" s="980"/>
    </row>
    <row r="1708" spans="1:1" x14ac:dyDescent="0.35">
      <c r="A1708" s="980"/>
    </row>
    <row r="1709" spans="1:1" x14ac:dyDescent="0.35">
      <c r="A1709" s="980"/>
    </row>
    <row r="1710" spans="1:1" x14ac:dyDescent="0.35">
      <c r="A1710" s="980"/>
    </row>
    <row r="1711" spans="1:1" x14ac:dyDescent="0.35">
      <c r="A1711" s="980"/>
    </row>
    <row r="1712" spans="1:1" x14ac:dyDescent="0.35">
      <c r="A1712" s="980"/>
    </row>
    <row r="1713" spans="1:1" x14ac:dyDescent="0.35">
      <c r="A1713" s="980"/>
    </row>
    <row r="1714" spans="1:1" x14ac:dyDescent="0.35">
      <c r="A1714" s="980"/>
    </row>
    <row r="1715" spans="1:1" x14ac:dyDescent="0.35">
      <c r="A1715" s="980"/>
    </row>
    <row r="1716" spans="1:1" x14ac:dyDescent="0.35">
      <c r="A1716" s="980"/>
    </row>
    <row r="1717" spans="1:1" x14ac:dyDescent="0.35">
      <c r="A1717" s="980"/>
    </row>
    <row r="1718" spans="1:1" x14ac:dyDescent="0.35">
      <c r="A1718" s="980"/>
    </row>
    <row r="1719" spans="1:1" x14ac:dyDescent="0.35">
      <c r="A1719" s="980"/>
    </row>
    <row r="1720" spans="1:1" x14ac:dyDescent="0.35">
      <c r="A1720" s="980"/>
    </row>
    <row r="1721" spans="1:1" x14ac:dyDescent="0.35">
      <c r="A1721" s="980"/>
    </row>
    <row r="1722" spans="1:1" x14ac:dyDescent="0.35">
      <c r="A1722" s="980"/>
    </row>
    <row r="1723" spans="1:1" x14ac:dyDescent="0.35">
      <c r="A1723" s="980"/>
    </row>
    <row r="1724" spans="1:1" x14ac:dyDescent="0.35">
      <c r="A1724" s="980"/>
    </row>
    <row r="1725" spans="1:1" x14ac:dyDescent="0.35">
      <c r="A1725" s="980"/>
    </row>
    <row r="1726" spans="1:1" x14ac:dyDescent="0.35">
      <c r="A1726" s="980"/>
    </row>
    <row r="1727" spans="1:1" x14ac:dyDescent="0.35">
      <c r="A1727" s="980"/>
    </row>
    <row r="1728" spans="1:1" x14ac:dyDescent="0.35">
      <c r="A1728" s="980"/>
    </row>
    <row r="1729" spans="1:1" x14ac:dyDescent="0.35">
      <c r="A1729" s="980"/>
    </row>
    <row r="1730" spans="1:1" x14ac:dyDescent="0.35">
      <c r="A1730" s="980"/>
    </row>
    <row r="1731" spans="1:1" x14ac:dyDescent="0.35">
      <c r="A1731" s="980"/>
    </row>
    <row r="1732" spans="1:1" x14ac:dyDescent="0.35">
      <c r="A1732" s="980"/>
    </row>
    <row r="1733" spans="1:1" x14ac:dyDescent="0.35">
      <c r="A1733" s="980"/>
    </row>
    <row r="1734" spans="1:1" x14ac:dyDescent="0.35">
      <c r="A1734" s="980"/>
    </row>
    <row r="1735" spans="1:1" x14ac:dyDescent="0.35">
      <c r="A1735" s="980"/>
    </row>
    <row r="1736" spans="1:1" x14ac:dyDescent="0.35">
      <c r="A1736" s="980"/>
    </row>
    <row r="1737" spans="1:1" x14ac:dyDescent="0.35">
      <c r="A1737" s="980"/>
    </row>
    <row r="1738" spans="1:1" x14ac:dyDescent="0.35">
      <c r="A1738" s="980"/>
    </row>
    <row r="1739" spans="1:1" x14ac:dyDescent="0.35">
      <c r="A1739" s="980"/>
    </row>
    <row r="1740" spans="1:1" x14ac:dyDescent="0.35">
      <c r="A1740" s="980"/>
    </row>
    <row r="1741" spans="1:1" x14ac:dyDescent="0.35">
      <c r="A1741" s="980"/>
    </row>
    <row r="1742" spans="1:1" x14ac:dyDescent="0.35">
      <c r="A1742" s="980"/>
    </row>
    <row r="1743" spans="1:1" x14ac:dyDescent="0.35">
      <c r="A1743" s="980"/>
    </row>
    <row r="1744" spans="1:1" x14ac:dyDescent="0.35">
      <c r="A1744" s="980"/>
    </row>
    <row r="1745" spans="1:1" x14ac:dyDescent="0.35">
      <c r="A1745" s="980"/>
    </row>
    <row r="1746" spans="1:1" x14ac:dyDescent="0.35">
      <c r="A1746" s="980"/>
    </row>
    <row r="1747" spans="1:1" x14ac:dyDescent="0.35">
      <c r="A1747" s="980"/>
    </row>
    <row r="1748" spans="1:1" x14ac:dyDescent="0.35">
      <c r="A1748" s="980"/>
    </row>
    <row r="1749" spans="1:1" x14ac:dyDescent="0.35">
      <c r="A1749" s="980"/>
    </row>
    <row r="1750" spans="1:1" x14ac:dyDescent="0.35">
      <c r="A1750" s="980"/>
    </row>
    <row r="1751" spans="1:1" x14ac:dyDescent="0.35">
      <c r="A1751" s="980"/>
    </row>
    <row r="1752" spans="1:1" x14ac:dyDescent="0.35">
      <c r="A1752" s="980"/>
    </row>
    <row r="1753" spans="1:1" x14ac:dyDescent="0.35">
      <c r="A1753" s="980"/>
    </row>
    <row r="1754" spans="1:1" x14ac:dyDescent="0.35">
      <c r="A1754" s="980"/>
    </row>
    <row r="1755" spans="1:1" x14ac:dyDescent="0.35">
      <c r="A1755" s="980"/>
    </row>
    <row r="1756" spans="1:1" x14ac:dyDescent="0.35">
      <c r="A1756" s="980"/>
    </row>
    <row r="1757" spans="1:1" x14ac:dyDescent="0.35">
      <c r="A1757" s="980"/>
    </row>
    <row r="1758" spans="1:1" x14ac:dyDescent="0.35">
      <c r="A1758" s="980"/>
    </row>
    <row r="1759" spans="1:1" x14ac:dyDescent="0.35">
      <c r="A1759" s="980"/>
    </row>
    <row r="1760" spans="1:1" x14ac:dyDescent="0.35">
      <c r="A1760" s="980"/>
    </row>
    <row r="1761" spans="1:1" x14ac:dyDescent="0.35">
      <c r="A1761" s="980"/>
    </row>
    <row r="1762" spans="1:1" x14ac:dyDescent="0.35">
      <c r="A1762" s="980"/>
    </row>
    <row r="1763" spans="1:1" x14ac:dyDescent="0.35">
      <c r="A1763" s="980"/>
    </row>
    <row r="1764" spans="1:1" x14ac:dyDescent="0.35">
      <c r="A1764" s="980"/>
    </row>
    <row r="1765" spans="1:1" x14ac:dyDescent="0.35">
      <c r="A1765" s="980"/>
    </row>
    <row r="1766" spans="1:1" x14ac:dyDescent="0.35">
      <c r="A1766" s="980"/>
    </row>
    <row r="1767" spans="1:1" x14ac:dyDescent="0.35">
      <c r="A1767" s="980"/>
    </row>
    <row r="1768" spans="1:1" x14ac:dyDescent="0.35">
      <c r="A1768" s="980"/>
    </row>
    <row r="1769" spans="1:1" x14ac:dyDescent="0.35">
      <c r="A1769" s="980"/>
    </row>
    <row r="1770" spans="1:1" x14ac:dyDescent="0.35">
      <c r="A1770" s="980"/>
    </row>
    <row r="1771" spans="1:1" x14ac:dyDescent="0.35">
      <c r="A1771" s="980"/>
    </row>
    <row r="1772" spans="1:1" x14ac:dyDescent="0.35">
      <c r="A1772" s="980"/>
    </row>
    <row r="1773" spans="1:1" x14ac:dyDescent="0.35">
      <c r="A1773" s="980"/>
    </row>
    <row r="1774" spans="1:1" x14ac:dyDescent="0.35">
      <c r="A1774" s="980"/>
    </row>
    <row r="1775" spans="1:1" x14ac:dyDescent="0.35">
      <c r="A1775" s="980"/>
    </row>
    <row r="1776" spans="1:1" x14ac:dyDescent="0.35">
      <c r="A1776" s="980"/>
    </row>
    <row r="1777" spans="1:1" x14ac:dyDescent="0.35">
      <c r="A1777" s="980"/>
    </row>
    <row r="1778" spans="1:1" x14ac:dyDescent="0.35">
      <c r="A1778" s="980"/>
    </row>
    <row r="1779" spans="1:1" x14ac:dyDescent="0.35">
      <c r="A1779" s="980"/>
    </row>
    <row r="1780" spans="1:1" x14ac:dyDescent="0.35">
      <c r="A1780" s="980"/>
    </row>
    <row r="1781" spans="1:1" x14ac:dyDescent="0.35">
      <c r="A1781" s="980"/>
    </row>
    <row r="1782" spans="1:1" x14ac:dyDescent="0.35">
      <c r="A1782" s="980"/>
    </row>
    <row r="1783" spans="1:1" x14ac:dyDescent="0.35">
      <c r="A1783" s="980"/>
    </row>
    <row r="1784" spans="1:1" x14ac:dyDescent="0.35">
      <c r="A1784" s="980"/>
    </row>
    <row r="1785" spans="1:1" x14ac:dyDescent="0.35">
      <c r="A1785" s="980"/>
    </row>
    <row r="1786" spans="1:1" x14ac:dyDescent="0.35">
      <c r="A1786" s="980"/>
    </row>
    <row r="1787" spans="1:1" x14ac:dyDescent="0.35">
      <c r="A1787" s="980"/>
    </row>
    <row r="1788" spans="1:1" x14ac:dyDescent="0.35">
      <c r="A1788" s="980"/>
    </row>
    <row r="1789" spans="1:1" x14ac:dyDescent="0.35">
      <c r="A1789" s="980"/>
    </row>
    <row r="1790" spans="1:1" x14ac:dyDescent="0.35">
      <c r="A1790" s="980"/>
    </row>
    <row r="1791" spans="1:1" x14ac:dyDescent="0.35">
      <c r="A1791" s="980"/>
    </row>
    <row r="1792" spans="1:1" x14ac:dyDescent="0.35">
      <c r="A1792" s="980"/>
    </row>
    <row r="1793" spans="1:1" x14ac:dyDescent="0.35">
      <c r="A1793" s="980"/>
    </row>
    <row r="1794" spans="1:1" x14ac:dyDescent="0.35">
      <c r="A1794" s="980"/>
    </row>
    <row r="1795" spans="1:1" x14ac:dyDescent="0.35">
      <c r="A1795" s="980"/>
    </row>
    <row r="1796" spans="1:1" x14ac:dyDescent="0.35">
      <c r="A1796" s="980"/>
    </row>
    <row r="1797" spans="1:1" x14ac:dyDescent="0.35">
      <c r="A1797" s="980"/>
    </row>
    <row r="1798" spans="1:1" x14ac:dyDescent="0.35">
      <c r="A1798" s="980"/>
    </row>
    <row r="1799" spans="1:1" x14ac:dyDescent="0.35">
      <c r="A1799" s="980"/>
    </row>
    <row r="1800" spans="1:1" x14ac:dyDescent="0.35">
      <c r="A1800" s="980"/>
    </row>
    <row r="1801" spans="1:1" x14ac:dyDescent="0.35">
      <c r="A1801" s="980"/>
    </row>
    <row r="1802" spans="1:1" x14ac:dyDescent="0.35">
      <c r="A1802" s="980"/>
    </row>
    <row r="1803" spans="1:1" x14ac:dyDescent="0.35">
      <c r="A1803" s="980"/>
    </row>
    <row r="1804" spans="1:1" x14ac:dyDescent="0.35">
      <c r="A1804" s="980"/>
    </row>
    <row r="1805" spans="1:1" x14ac:dyDescent="0.35">
      <c r="A1805" s="980"/>
    </row>
    <row r="1806" spans="1:1" x14ac:dyDescent="0.35">
      <c r="A1806" s="980"/>
    </row>
    <row r="1807" spans="1:1" x14ac:dyDescent="0.35">
      <c r="A1807" s="980"/>
    </row>
    <row r="1808" spans="1:1" x14ac:dyDescent="0.35">
      <c r="A1808" s="980"/>
    </row>
    <row r="1809" spans="1:1" x14ac:dyDescent="0.35">
      <c r="A1809" s="980"/>
    </row>
    <row r="1810" spans="1:1" x14ac:dyDescent="0.35">
      <c r="A1810" s="980"/>
    </row>
    <row r="1811" spans="1:1" x14ac:dyDescent="0.35">
      <c r="A1811" s="980"/>
    </row>
    <row r="1812" spans="1:1" x14ac:dyDescent="0.35">
      <c r="A1812" s="980"/>
    </row>
    <row r="1813" spans="1:1" x14ac:dyDescent="0.35">
      <c r="A1813" s="980"/>
    </row>
    <row r="1814" spans="1:1" x14ac:dyDescent="0.35">
      <c r="A1814" s="980"/>
    </row>
    <row r="1815" spans="1:1" x14ac:dyDescent="0.35">
      <c r="A1815" s="980"/>
    </row>
    <row r="1816" spans="1:1" x14ac:dyDescent="0.35">
      <c r="A1816" s="980"/>
    </row>
    <row r="1817" spans="1:1" x14ac:dyDescent="0.35">
      <c r="A1817" s="980"/>
    </row>
    <row r="1818" spans="1:1" x14ac:dyDescent="0.35">
      <c r="A1818" s="980"/>
    </row>
    <row r="1819" spans="1:1" x14ac:dyDescent="0.35">
      <c r="A1819" s="980"/>
    </row>
    <row r="1820" spans="1:1" x14ac:dyDescent="0.35">
      <c r="A1820" s="980"/>
    </row>
    <row r="1821" spans="1:1" x14ac:dyDescent="0.35">
      <c r="A1821" s="980"/>
    </row>
    <row r="1822" spans="1:1" x14ac:dyDescent="0.35">
      <c r="A1822" s="980"/>
    </row>
    <row r="1823" spans="1:1" x14ac:dyDescent="0.35">
      <c r="A1823" s="980"/>
    </row>
    <row r="1824" spans="1:1" x14ac:dyDescent="0.35">
      <c r="A1824" s="980"/>
    </row>
    <row r="1825" spans="1:1" x14ac:dyDescent="0.35">
      <c r="A1825" s="980"/>
    </row>
    <row r="1826" spans="1:1" x14ac:dyDescent="0.35">
      <c r="A1826" s="980"/>
    </row>
    <row r="1827" spans="1:1" x14ac:dyDescent="0.35">
      <c r="A1827" s="980"/>
    </row>
    <row r="1828" spans="1:1" x14ac:dyDescent="0.35">
      <c r="A1828" s="980"/>
    </row>
    <row r="1829" spans="1:1" x14ac:dyDescent="0.35">
      <c r="A1829" s="980"/>
    </row>
    <row r="1830" spans="1:1" x14ac:dyDescent="0.35">
      <c r="A1830" s="980"/>
    </row>
    <row r="1831" spans="1:1" x14ac:dyDescent="0.35">
      <c r="A1831" s="980"/>
    </row>
    <row r="1832" spans="1:1" x14ac:dyDescent="0.35">
      <c r="A1832" s="980"/>
    </row>
    <row r="1833" spans="1:1" x14ac:dyDescent="0.35">
      <c r="A1833" s="980"/>
    </row>
    <row r="1834" spans="1:1" x14ac:dyDescent="0.35">
      <c r="A1834" s="980"/>
    </row>
    <row r="1835" spans="1:1" x14ac:dyDescent="0.35">
      <c r="A1835" s="980"/>
    </row>
    <row r="1836" spans="1:1" x14ac:dyDescent="0.35">
      <c r="A1836" s="980"/>
    </row>
    <row r="1837" spans="1:1" x14ac:dyDescent="0.35">
      <c r="A1837" s="980"/>
    </row>
    <row r="1838" spans="1:1" x14ac:dyDescent="0.35">
      <c r="A1838" s="980"/>
    </row>
    <row r="1839" spans="1:1" x14ac:dyDescent="0.35">
      <c r="A1839" s="980"/>
    </row>
    <row r="1840" spans="1:1" x14ac:dyDescent="0.35">
      <c r="A1840" s="980"/>
    </row>
    <row r="1841" spans="1:1" x14ac:dyDescent="0.35">
      <c r="A1841" s="980"/>
    </row>
    <row r="1842" spans="1:1" x14ac:dyDescent="0.35">
      <c r="A1842" s="980"/>
    </row>
    <row r="1843" spans="1:1" x14ac:dyDescent="0.35">
      <c r="A1843" s="980"/>
    </row>
    <row r="1844" spans="1:1" x14ac:dyDescent="0.35">
      <c r="A1844" s="980"/>
    </row>
    <row r="1845" spans="1:1" x14ac:dyDescent="0.35">
      <c r="A1845" s="980"/>
    </row>
    <row r="1846" spans="1:1" x14ac:dyDescent="0.35">
      <c r="A1846" s="980"/>
    </row>
    <row r="1847" spans="1:1" x14ac:dyDescent="0.35">
      <c r="A1847" s="980"/>
    </row>
    <row r="1848" spans="1:1" x14ac:dyDescent="0.35">
      <c r="A1848" s="980"/>
    </row>
    <row r="1849" spans="1:1" x14ac:dyDescent="0.35">
      <c r="A1849" s="980"/>
    </row>
    <row r="1850" spans="1:1" x14ac:dyDescent="0.35">
      <c r="A1850" s="980"/>
    </row>
    <row r="1851" spans="1:1" x14ac:dyDescent="0.35">
      <c r="A1851" s="980"/>
    </row>
    <row r="1852" spans="1:1" x14ac:dyDescent="0.35">
      <c r="A1852" s="980"/>
    </row>
    <row r="1853" spans="1:1" x14ac:dyDescent="0.35">
      <c r="A1853" s="980"/>
    </row>
    <row r="1854" spans="1:1" x14ac:dyDescent="0.35">
      <c r="A1854" s="980"/>
    </row>
    <row r="1855" spans="1:1" x14ac:dyDescent="0.35">
      <c r="A1855" s="980"/>
    </row>
    <row r="1856" spans="1:1" x14ac:dyDescent="0.35">
      <c r="A1856" s="980"/>
    </row>
    <row r="1857" spans="1:1" x14ac:dyDescent="0.35">
      <c r="A1857" s="980"/>
    </row>
    <row r="1858" spans="1:1" x14ac:dyDescent="0.35">
      <c r="A1858" s="980"/>
    </row>
    <row r="1859" spans="1:1" x14ac:dyDescent="0.35">
      <c r="A1859" s="980"/>
    </row>
    <row r="1860" spans="1:1" x14ac:dyDescent="0.35">
      <c r="A1860" s="980"/>
    </row>
    <row r="1861" spans="1:1" x14ac:dyDescent="0.35">
      <c r="A1861" s="980"/>
    </row>
    <row r="1862" spans="1:1" x14ac:dyDescent="0.35">
      <c r="A1862" s="980"/>
    </row>
    <row r="1863" spans="1:1" x14ac:dyDescent="0.35">
      <c r="A1863" s="980"/>
    </row>
    <row r="1864" spans="1:1" x14ac:dyDescent="0.35">
      <c r="A1864" s="980"/>
    </row>
    <row r="1865" spans="1:1" x14ac:dyDescent="0.35">
      <c r="A1865" s="980"/>
    </row>
    <row r="1866" spans="1:1" x14ac:dyDescent="0.35">
      <c r="A1866" s="980"/>
    </row>
    <row r="1867" spans="1:1" x14ac:dyDescent="0.35">
      <c r="A1867" s="980"/>
    </row>
    <row r="1868" spans="1:1" x14ac:dyDescent="0.35">
      <c r="A1868" s="980"/>
    </row>
    <row r="1869" spans="1:1" x14ac:dyDescent="0.35">
      <c r="A1869" s="980"/>
    </row>
    <row r="1870" spans="1:1" x14ac:dyDescent="0.35">
      <c r="A1870" s="980"/>
    </row>
    <row r="1871" spans="1:1" x14ac:dyDescent="0.35">
      <c r="A1871" s="980"/>
    </row>
    <row r="1872" spans="1:1" x14ac:dyDescent="0.35">
      <c r="A1872" s="980"/>
    </row>
    <row r="1873" spans="1:1" x14ac:dyDescent="0.35">
      <c r="A1873" s="980"/>
    </row>
    <row r="1874" spans="1:1" x14ac:dyDescent="0.35">
      <c r="A1874" s="980"/>
    </row>
    <row r="1875" spans="1:1" x14ac:dyDescent="0.35">
      <c r="A1875" s="980"/>
    </row>
    <row r="1876" spans="1:1" x14ac:dyDescent="0.35">
      <c r="A1876" s="980"/>
    </row>
    <row r="1877" spans="1:1" x14ac:dyDescent="0.35">
      <c r="A1877" s="980"/>
    </row>
    <row r="1878" spans="1:1" x14ac:dyDescent="0.35">
      <c r="A1878" s="980"/>
    </row>
    <row r="1879" spans="1:1" x14ac:dyDescent="0.35">
      <c r="A1879" s="980"/>
    </row>
    <row r="1880" spans="1:1" x14ac:dyDescent="0.35">
      <c r="A1880" s="980"/>
    </row>
    <row r="1881" spans="1:1" x14ac:dyDescent="0.35">
      <c r="A1881" s="980"/>
    </row>
    <row r="1882" spans="1:1" x14ac:dyDescent="0.35">
      <c r="A1882" s="980"/>
    </row>
    <row r="1883" spans="1:1" x14ac:dyDescent="0.35">
      <c r="A1883" s="980"/>
    </row>
    <row r="1884" spans="1:1" x14ac:dyDescent="0.35">
      <c r="A1884" s="980"/>
    </row>
    <row r="1885" spans="1:1" x14ac:dyDescent="0.35">
      <c r="A1885" s="980"/>
    </row>
    <row r="1886" spans="1:1" x14ac:dyDescent="0.35">
      <c r="A1886" s="980"/>
    </row>
    <row r="1887" spans="1:1" x14ac:dyDescent="0.35">
      <c r="A1887" s="980"/>
    </row>
    <row r="1888" spans="1:1" x14ac:dyDescent="0.35">
      <c r="A1888" s="980"/>
    </row>
    <row r="1889" spans="1:1" x14ac:dyDescent="0.35">
      <c r="A1889" s="980"/>
    </row>
    <row r="1890" spans="1:1" x14ac:dyDescent="0.35">
      <c r="A1890" s="980"/>
    </row>
    <row r="1891" spans="1:1" x14ac:dyDescent="0.35">
      <c r="A1891" s="980"/>
    </row>
    <row r="1892" spans="1:1" x14ac:dyDescent="0.35">
      <c r="A1892" s="980"/>
    </row>
    <row r="1893" spans="1:1" x14ac:dyDescent="0.35">
      <c r="A1893" s="980"/>
    </row>
    <row r="1894" spans="1:1" x14ac:dyDescent="0.35">
      <c r="A1894" s="980"/>
    </row>
    <row r="1895" spans="1:1" x14ac:dyDescent="0.35">
      <c r="A1895" s="980"/>
    </row>
    <row r="1896" spans="1:1" x14ac:dyDescent="0.35">
      <c r="A1896" s="980"/>
    </row>
    <row r="1897" spans="1:1" x14ac:dyDescent="0.35">
      <c r="A1897" s="980"/>
    </row>
    <row r="1898" spans="1:1" x14ac:dyDescent="0.35">
      <c r="A1898" s="980"/>
    </row>
    <row r="1899" spans="1:1" x14ac:dyDescent="0.35">
      <c r="A1899" s="980"/>
    </row>
    <row r="1900" spans="1:1" x14ac:dyDescent="0.35">
      <c r="A1900" s="980"/>
    </row>
    <row r="1901" spans="1:1" x14ac:dyDescent="0.35">
      <c r="A1901" s="980"/>
    </row>
    <row r="1902" spans="1:1" x14ac:dyDescent="0.35">
      <c r="A1902" s="980"/>
    </row>
    <row r="1903" spans="1:1" x14ac:dyDescent="0.35">
      <c r="A1903" s="980"/>
    </row>
    <row r="1904" spans="1:1" x14ac:dyDescent="0.35">
      <c r="A1904" s="980"/>
    </row>
    <row r="1905" spans="1:1" x14ac:dyDescent="0.35">
      <c r="A1905" s="980"/>
    </row>
    <row r="1906" spans="1:1" x14ac:dyDescent="0.35">
      <c r="A1906" s="980"/>
    </row>
    <row r="1907" spans="1:1" x14ac:dyDescent="0.35">
      <c r="A1907" s="980"/>
    </row>
    <row r="1908" spans="1:1" x14ac:dyDescent="0.35">
      <c r="A1908" s="980"/>
    </row>
    <row r="1909" spans="1:1" x14ac:dyDescent="0.35">
      <c r="A1909" s="980"/>
    </row>
    <row r="1910" spans="1:1" x14ac:dyDescent="0.35">
      <c r="A1910" s="980"/>
    </row>
    <row r="1911" spans="1:1" x14ac:dyDescent="0.35">
      <c r="A1911" s="980"/>
    </row>
    <row r="1912" spans="1:1" x14ac:dyDescent="0.35">
      <c r="A1912" s="980"/>
    </row>
    <row r="1913" spans="1:1" x14ac:dyDescent="0.35">
      <c r="A1913" s="980"/>
    </row>
    <row r="1914" spans="1:1" x14ac:dyDescent="0.35">
      <c r="A1914" s="980"/>
    </row>
    <row r="1915" spans="1:1" x14ac:dyDescent="0.35">
      <c r="A1915" s="980"/>
    </row>
    <row r="1916" spans="1:1" x14ac:dyDescent="0.35">
      <c r="A1916" s="980"/>
    </row>
    <row r="1917" spans="1:1" x14ac:dyDescent="0.35">
      <c r="A1917" s="980"/>
    </row>
    <row r="1918" spans="1:1" x14ac:dyDescent="0.35">
      <c r="A1918" s="980"/>
    </row>
    <row r="1919" spans="1:1" x14ac:dyDescent="0.35">
      <c r="A1919" s="980"/>
    </row>
    <row r="1920" spans="1:1" x14ac:dyDescent="0.35">
      <c r="A1920" s="980"/>
    </row>
    <row r="1921" spans="1:1" x14ac:dyDescent="0.35">
      <c r="A1921" s="980"/>
    </row>
    <row r="1922" spans="1:1" x14ac:dyDescent="0.35">
      <c r="A1922" s="980"/>
    </row>
    <row r="1923" spans="1:1" x14ac:dyDescent="0.35">
      <c r="A1923" s="980"/>
    </row>
    <row r="1924" spans="1:1" x14ac:dyDescent="0.35">
      <c r="A1924" s="980"/>
    </row>
    <row r="1925" spans="1:1" x14ac:dyDescent="0.35">
      <c r="A1925" s="980"/>
    </row>
    <row r="1926" spans="1:1" x14ac:dyDescent="0.35">
      <c r="A1926" s="980"/>
    </row>
    <row r="1927" spans="1:1" x14ac:dyDescent="0.35">
      <c r="A1927" s="980"/>
    </row>
    <row r="1928" spans="1:1" x14ac:dyDescent="0.35">
      <c r="A1928" s="980"/>
    </row>
    <row r="1929" spans="1:1" x14ac:dyDescent="0.35">
      <c r="A1929" s="980"/>
    </row>
    <row r="1930" spans="1:1" x14ac:dyDescent="0.35">
      <c r="A1930" s="980"/>
    </row>
    <row r="1931" spans="1:1" x14ac:dyDescent="0.35">
      <c r="A1931" s="980"/>
    </row>
    <row r="1932" spans="1:1" x14ac:dyDescent="0.35">
      <c r="A1932" s="980"/>
    </row>
    <row r="1933" spans="1:1" x14ac:dyDescent="0.35">
      <c r="A1933" s="980"/>
    </row>
    <row r="1934" spans="1:1" x14ac:dyDescent="0.35">
      <c r="A1934" s="980"/>
    </row>
    <row r="1935" spans="1:1" x14ac:dyDescent="0.35">
      <c r="A1935" s="980"/>
    </row>
    <row r="1936" spans="1:1" x14ac:dyDescent="0.35">
      <c r="A1936" s="980"/>
    </row>
    <row r="1937" spans="1:1" x14ac:dyDescent="0.35">
      <c r="A1937" s="980"/>
    </row>
    <row r="1938" spans="1:1" x14ac:dyDescent="0.35">
      <c r="A1938" s="980"/>
    </row>
    <row r="1939" spans="1:1" x14ac:dyDescent="0.35">
      <c r="A1939" s="980"/>
    </row>
    <row r="1940" spans="1:1" x14ac:dyDescent="0.35">
      <c r="A1940" s="980"/>
    </row>
    <row r="1941" spans="1:1" x14ac:dyDescent="0.35">
      <c r="A1941" s="980"/>
    </row>
    <row r="1942" spans="1:1" x14ac:dyDescent="0.35">
      <c r="A1942" s="980"/>
    </row>
    <row r="1943" spans="1:1" x14ac:dyDescent="0.35">
      <c r="A1943" s="980"/>
    </row>
    <row r="1944" spans="1:1" x14ac:dyDescent="0.35">
      <c r="A1944" s="980"/>
    </row>
    <row r="1945" spans="1:1" x14ac:dyDescent="0.35">
      <c r="A1945" s="980"/>
    </row>
    <row r="1946" spans="1:1" x14ac:dyDescent="0.35">
      <c r="A1946" s="980"/>
    </row>
    <row r="1947" spans="1:1" x14ac:dyDescent="0.35">
      <c r="A1947" s="980"/>
    </row>
    <row r="1948" spans="1:1" x14ac:dyDescent="0.35">
      <c r="A1948" s="980"/>
    </row>
    <row r="1949" spans="1:1" x14ac:dyDescent="0.35">
      <c r="A1949" s="980"/>
    </row>
    <row r="1950" spans="1:1" x14ac:dyDescent="0.35">
      <c r="A1950" s="980"/>
    </row>
    <row r="1951" spans="1:1" x14ac:dyDescent="0.35">
      <c r="A1951" s="980"/>
    </row>
    <row r="1952" spans="1:1" x14ac:dyDescent="0.35">
      <c r="A1952" s="980"/>
    </row>
    <row r="1953" spans="1:1" x14ac:dyDescent="0.35">
      <c r="A1953" s="980"/>
    </row>
    <row r="1954" spans="1:1" x14ac:dyDescent="0.35">
      <c r="A1954" s="980"/>
    </row>
    <row r="1955" spans="1:1" x14ac:dyDescent="0.35">
      <c r="A1955" s="980"/>
    </row>
    <row r="1956" spans="1:1" x14ac:dyDescent="0.35">
      <c r="A1956" s="980"/>
    </row>
    <row r="1957" spans="1:1" x14ac:dyDescent="0.35">
      <c r="A1957" s="980"/>
    </row>
    <row r="1958" spans="1:1" x14ac:dyDescent="0.35">
      <c r="A1958" s="980"/>
    </row>
    <row r="1959" spans="1:1" x14ac:dyDescent="0.35">
      <c r="A1959" s="980"/>
    </row>
    <row r="1960" spans="1:1" x14ac:dyDescent="0.35">
      <c r="A1960" s="980"/>
    </row>
    <row r="1961" spans="1:1" x14ac:dyDescent="0.35">
      <c r="A1961" s="980"/>
    </row>
    <row r="1962" spans="1:1" x14ac:dyDescent="0.35">
      <c r="A1962" s="980"/>
    </row>
    <row r="1963" spans="1:1" x14ac:dyDescent="0.35">
      <c r="A1963" s="980"/>
    </row>
    <row r="1964" spans="1:1" x14ac:dyDescent="0.35">
      <c r="A1964" s="980"/>
    </row>
    <row r="1965" spans="1:1" x14ac:dyDescent="0.35">
      <c r="A1965" s="980"/>
    </row>
    <row r="1966" spans="1:1" x14ac:dyDescent="0.35">
      <c r="A1966" s="980"/>
    </row>
    <row r="1967" spans="1:1" x14ac:dyDescent="0.35">
      <c r="A1967" s="980"/>
    </row>
    <row r="1968" spans="1:1" x14ac:dyDescent="0.35">
      <c r="A1968" s="980"/>
    </row>
    <row r="1969" spans="1:1" x14ac:dyDescent="0.35">
      <c r="A1969" s="980"/>
    </row>
    <row r="1970" spans="1:1" x14ac:dyDescent="0.35">
      <c r="A1970" s="980"/>
    </row>
    <row r="1971" spans="1:1" x14ac:dyDescent="0.35">
      <c r="A1971" s="980"/>
    </row>
    <row r="1972" spans="1:1" x14ac:dyDescent="0.35">
      <c r="A1972" s="980"/>
    </row>
    <row r="1973" spans="1:1" x14ac:dyDescent="0.35">
      <c r="A1973" s="980"/>
    </row>
    <row r="1974" spans="1:1" x14ac:dyDescent="0.35">
      <c r="A1974" s="980"/>
    </row>
    <row r="1975" spans="1:1" x14ac:dyDescent="0.35">
      <c r="A1975" s="980"/>
    </row>
    <row r="1976" spans="1:1" x14ac:dyDescent="0.35">
      <c r="A1976" s="980"/>
    </row>
    <row r="1977" spans="1:1" x14ac:dyDescent="0.35">
      <c r="A1977" s="980"/>
    </row>
    <row r="1978" spans="1:1" x14ac:dyDescent="0.35">
      <c r="A1978" s="980"/>
    </row>
    <row r="1979" spans="1:1" x14ac:dyDescent="0.35">
      <c r="A1979" s="980"/>
    </row>
    <row r="1980" spans="1:1" x14ac:dyDescent="0.35">
      <c r="A1980" s="980"/>
    </row>
    <row r="1981" spans="1:1" x14ac:dyDescent="0.35">
      <c r="A1981" s="980"/>
    </row>
    <row r="1982" spans="1:1" x14ac:dyDescent="0.35">
      <c r="A1982" s="980"/>
    </row>
    <row r="1983" spans="1:1" x14ac:dyDescent="0.35">
      <c r="A1983" s="980"/>
    </row>
    <row r="1984" spans="1:1" x14ac:dyDescent="0.35">
      <c r="A1984" s="980"/>
    </row>
    <row r="1985" spans="1:1" x14ac:dyDescent="0.35">
      <c r="A1985" s="980"/>
    </row>
    <row r="1986" spans="1:1" x14ac:dyDescent="0.35">
      <c r="A1986" s="980"/>
    </row>
    <row r="1987" spans="1:1" x14ac:dyDescent="0.35">
      <c r="A1987" s="980"/>
    </row>
    <row r="1988" spans="1:1" x14ac:dyDescent="0.35">
      <c r="A1988" s="980"/>
    </row>
    <row r="1989" spans="1:1" x14ac:dyDescent="0.35">
      <c r="A1989" s="980"/>
    </row>
    <row r="1990" spans="1:1" x14ac:dyDescent="0.35">
      <c r="A1990" s="980"/>
    </row>
    <row r="1991" spans="1:1" x14ac:dyDescent="0.35">
      <c r="A1991" s="980"/>
    </row>
    <row r="1992" spans="1:1" x14ac:dyDescent="0.35">
      <c r="A1992" s="980"/>
    </row>
    <row r="1993" spans="1:1" x14ac:dyDescent="0.35">
      <c r="A1993" s="980"/>
    </row>
    <row r="1994" spans="1:1" x14ac:dyDescent="0.35">
      <c r="A1994" s="980"/>
    </row>
    <row r="1995" spans="1:1" x14ac:dyDescent="0.35">
      <c r="A1995" s="980"/>
    </row>
    <row r="1996" spans="1:1" x14ac:dyDescent="0.35">
      <c r="A1996" s="980"/>
    </row>
    <row r="1997" spans="1:1" x14ac:dyDescent="0.35">
      <c r="A1997" s="980"/>
    </row>
    <row r="1998" spans="1:1" x14ac:dyDescent="0.35">
      <c r="A1998" s="980"/>
    </row>
    <row r="1999" spans="1:1" x14ac:dyDescent="0.35">
      <c r="A1999" s="980"/>
    </row>
    <row r="2000" spans="1:1" x14ac:dyDescent="0.35">
      <c r="A2000" s="980"/>
    </row>
    <row r="2001" spans="1:1" x14ac:dyDescent="0.35">
      <c r="A2001" s="980"/>
    </row>
    <row r="2002" spans="1:1" x14ac:dyDescent="0.35">
      <c r="A2002" s="980"/>
    </row>
    <row r="2003" spans="1:1" x14ac:dyDescent="0.35">
      <c r="A2003" s="980"/>
    </row>
    <row r="2004" spans="1:1" x14ac:dyDescent="0.35">
      <c r="A2004" s="980"/>
    </row>
    <row r="2005" spans="1:1" x14ac:dyDescent="0.35">
      <c r="A2005" s="980"/>
    </row>
    <row r="2006" spans="1:1" x14ac:dyDescent="0.35">
      <c r="A2006" s="980"/>
    </row>
    <row r="2007" spans="1:1" x14ac:dyDescent="0.35">
      <c r="A2007" s="980"/>
    </row>
    <row r="2008" spans="1:1" x14ac:dyDescent="0.35">
      <c r="A2008" s="980"/>
    </row>
    <row r="2009" spans="1:1" x14ac:dyDescent="0.35">
      <c r="A2009" s="980"/>
    </row>
    <row r="2010" spans="1:1" x14ac:dyDescent="0.35">
      <c r="A2010" s="980"/>
    </row>
    <row r="2011" spans="1:1" x14ac:dyDescent="0.35">
      <c r="A2011" s="980"/>
    </row>
    <row r="2012" spans="1:1" x14ac:dyDescent="0.35">
      <c r="A2012" s="980"/>
    </row>
    <row r="2013" spans="1:1" x14ac:dyDescent="0.35">
      <c r="A2013" s="980"/>
    </row>
    <row r="2014" spans="1:1" x14ac:dyDescent="0.35">
      <c r="A2014" s="980"/>
    </row>
    <row r="2015" spans="1:1" x14ac:dyDescent="0.35">
      <c r="A2015" s="980"/>
    </row>
    <row r="2016" spans="1:1" x14ac:dyDescent="0.35">
      <c r="A2016" s="980"/>
    </row>
    <row r="2017" spans="1:1" x14ac:dyDescent="0.35">
      <c r="A2017" s="980"/>
    </row>
    <row r="2018" spans="1:1" x14ac:dyDescent="0.35">
      <c r="A2018" s="980"/>
    </row>
    <row r="2019" spans="1:1" x14ac:dyDescent="0.35">
      <c r="A2019" s="980"/>
    </row>
    <row r="2020" spans="1:1" x14ac:dyDescent="0.35">
      <c r="A2020" s="980"/>
    </row>
    <row r="2021" spans="1:1" x14ac:dyDescent="0.35">
      <c r="A2021" s="980"/>
    </row>
    <row r="2022" spans="1:1" x14ac:dyDescent="0.35">
      <c r="A2022" s="980"/>
    </row>
    <row r="2023" spans="1:1" x14ac:dyDescent="0.35">
      <c r="A2023" s="980"/>
    </row>
    <row r="2024" spans="1:1" x14ac:dyDescent="0.35">
      <c r="A2024" s="980"/>
    </row>
    <row r="2025" spans="1:1" x14ac:dyDescent="0.35">
      <c r="A2025" s="980"/>
    </row>
    <row r="2026" spans="1:1" x14ac:dyDescent="0.35">
      <c r="A2026" s="980"/>
    </row>
    <row r="2027" spans="1:1" x14ac:dyDescent="0.35">
      <c r="A2027" s="980"/>
    </row>
    <row r="2028" spans="1:1" x14ac:dyDescent="0.35">
      <c r="A2028" s="980"/>
    </row>
    <row r="2029" spans="1:1" x14ac:dyDescent="0.35">
      <c r="A2029" s="980"/>
    </row>
    <row r="2030" spans="1:1" x14ac:dyDescent="0.35">
      <c r="A2030" s="980"/>
    </row>
    <row r="2031" spans="1:1" x14ac:dyDescent="0.35">
      <c r="A2031" s="980"/>
    </row>
    <row r="2032" spans="1:1" x14ac:dyDescent="0.35">
      <c r="A2032" s="980"/>
    </row>
    <row r="2033" spans="1:1" x14ac:dyDescent="0.35">
      <c r="A2033" s="980"/>
    </row>
    <row r="2034" spans="1:1" x14ac:dyDescent="0.35">
      <c r="A2034" s="980"/>
    </row>
    <row r="2035" spans="1:1" x14ac:dyDescent="0.35">
      <c r="A2035" s="980"/>
    </row>
    <row r="2036" spans="1:1" x14ac:dyDescent="0.35">
      <c r="A2036" s="980"/>
    </row>
    <row r="2037" spans="1:1" x14ac:dyDescent="0.35">
      <c r="A2037" s="980"/>
    </row>
    <row r="2038" spans="1:1" x14ac:dyDescent="0.35">
      <c r="A2038" s="980"/>
    </row>
    <row r="2039" spans="1:1" x14ac:dyDescent="0.35">
      <c r="A2039" s="980"/>
    </row>
    <row r="2040" spans="1:1" x14ac:dyDescent="0.35">
      <c r="A2040" s="980"/>
    </row>
    <row r="2041" spans="1:1" x14ac:dyDescent="0.35">
      <c r="A2041" s="980"/>
    </row>
    <row r="2042" spans="1:1" x14ac:dyDescent="0.35">
      <c r="A2042" s="980"/>
    </row>
    <row r="2043" spans="1:1" x14ac:dyDescent="0.35">
      <c r="A2043" s="980"/>
    </row>
    <row r="2044" spans="1:1" x14ac:dyDescent="0.35">
      <c r="A2044" s="980"/>
    </row>
    <row r="2045" spans="1:1" x14ac:dyDescent="0.35">
      <c r="A2045" s="980"/>
    </row>
    <row r="2046" spans="1:1" x14ac:dyDescent="0.35">
      <c r="A2046" s="980"/>
    </row>
    <row r="2047" spans="1:1" x14ac:dyDescent="0.35">
      <c r="A2047" s="980"/>
    </row>
    <row r="2048" spans="1:1" x14ac:dyDescent="0.35">
      <c r="A2048" s="980"/>
    </row>
    <row r="2049" spans="1:1" x14ac:dyDescent="0.35">
      <c r="A2049" s="980"/>
    </row>
    <row r="2050" spans="1:1" x14ac:dyDescent="0.35">
      <c r="A2050" s="980"/>
    </row>
    <row r="2051" spans="1:1" x14ac:dyDescent="0.35">
      <c r="A2051" s="980"/>
    </row>
    <row r="2052" spans="1:1" x14ac:dyDescent="0.35">
      <c r="A2052" s="980"/>
    </row>
    <row r="2053" spans="1:1" x14ac:dyDescent="0.35">
      <c r="A2053" s="980"/>
    </row>
    <row r="2054" spans="1:1" x14ac:dyDescent="0.35">
      <c r="A2054" s="980"/>
    </row>
    <row r="2055" spans="1:1" x14ac:dyDescent="0.35">
      <c r="A2055" s="980"/>
    </row>
    <row r="2056" spans="1:1" x14ac:dyDescent="0.35">
      <c r="A2056" s="980"/>
    </row>
    <row r="2057" spans="1:1" x14ac:dyDescent="0.35">
      <c r="A2057" s="980"/>
    </row>
    <row r="2058" spans="1:1" x14ac:dyDescent="0.35">
      <c r="A2058" s="980"/>
    </row>
    <row r="2059" spans="1:1" x14ac:dyDescent="0.35">
      <c r="A2059" s="980"/>
    </row>
    <row r="2060" spans="1:1" x14ac:dyDescent="0.35">
      <c r="A2060" s="980"/>
    </row>
    <row r="2061" spans="1:1" x14ac:dyDescent="0.35">
      <c r="A2061" s="980"/>
    </row>
    <row r="2062" spans="1:1" x14ac:dyDescent="0.35">
      <c r="A2062" s="980"/>
    </row>
    <row r="2063" spans="1:1" x14ac:dyDescent="0.35">
      <c r="A2063" s="980"/>
    </row>
    <row r="2064" spans="1:1" x14ac:dyDescent="0.35">
      <c r="A2064" s="980"/>
    </row>
    <row r="2065" spans="1:1" x14ac:dyDescent="0.35">
      <c r="A2065" s="980"/>
    </row>
    <row r="2066" spans="1:1" x14ac:dyDescent="0.35">
      <c r="A2066" s="980"/>
    </row>
    <row r="2067" spans="1:1" x14ac:dyDescent="0.35">
      <c r="A2067" s="980"/>
    </row>
    <row r="2068" spans="1:1" x14ac:dyDescent="0.35">
      <c r="A2068" s="980"/>
    </row>
    <row r="2069" spans="1:1" x14ac:dyDescent="0.35">
      <c r="A2069" s="980"/>
    </row>
    <row r="2070" spans="1:1" x14ac:dyDescent="0.35">
      <c r="A2070" s="980"/>
    </row>
    <row r="2071" spans="1:1" x14ac:dyDescent="0.35">
      <c r="A2071" s="980"/>
    </row>
    <row r="2072" spans="1:1" x14ac:dyDescent="0.35">
      <c r="A2072" s="980"/>
    </row>
    <row r="2073" spans="1:1" x14ac:dyDescent="0.35">
      <c r="A2073" s="980"/>
    </row>
    <row r="2074" spans="1:1" x14ac:dyDescent="0.35">
      <c r="A2074" s="980"/>
    </row>
    <row r="2075" spans="1:1" x14ac:dyDescent="0.35">
      <c r="A2075" s="980"/>
    </row>
    <row r="2076" spans="1:1" x14ac:dyDescent="0.35">
      <c r="A2076" s="980"/>
    </row>
    <row r="2077" spans="1:1" x14ac:dyDescent="0.35">
      <c r="A2077" s="980"/>
    </row>
    <row r="2078" spans="1:1" x14ac:dyDescent="0.35">
      <c r="A2078" s="980"/>
    </row>
    <row r="2079" spans="1:1" x14ac:dyDescent="0.35">
      <c r="A2079" s="980"/>
    </row>
    <row r="2080" spans="1:1" x14ac:dyDescent="0.35">
      <c r="A2080" s="980"/>
    </row>
    <row r="2081" spans="1:1" x14ac:dyDescent="0.35">
      <c r="A2081" s="980"/>
    </row>
    <row r="2082" spans="1:1" x14ac:dyDescent="0.35">
      <c r="A2082" s="980"/>
    </row>
    <row r="2083" spans="1:1" x14ac:dyDescent="0.35">
      <c r="A2083" s="980"/>
    </row>
    <row r="2084" spans="1:1" x14ac:dyDescent="0.35">
      <c r="A2084" s="980"/>
    </row>
    <row r="2085" spans="1:1" x14ac:dyDescent="0.35">
      <c r="A2085" s="980"/>
    </row>
    <row r="2086" spans="1:1" x14ac:dyDescent="0.35">
      <c r="A2086" s="980"/>
    </row>
    <row r="2087" spans="1:1" x14ac:dyDescent="0.35">
      <c r="A2087" s="980"/>
    </row>
    <row r="2088" spans="1:1" x14ac:dyDescent="0.35">
      <c r="A2088" s="980"/>
    </row>
    <row r="2089" spans="1:1" x14ac:dyDescent="0.35">
      <c r="A2089" s="980"/>
    </row>
    <row r="2090" spans="1:1" x14ac:dyDescent="0.35">
      <c r="A2090" s="980"/>
    </row>
    <row r="2091" spans="1:1" x14ac:dyDescent="0.35">
      <c r="A2091" s="980"/>
    </row>
    <row r="2092" spans="1:1" x14ac:dyDescent="0.35">
      <c r="A2092" s="980"/>
    </row>
    <row r="2093" spans="1:1" x14ac:dyDescent="0.35">
      <c r="A2093" s="980"/>
    </row>
    <row r="2094" spans="1:1" x14ac:dyDescent="0.35">
      <c r="A2094" s="980"/>
    </row>
    <row r="2095" spans="1:1" x14ac:dyDescent="0.35">
      <c r="A2095" s="980"/>
    </row>
    <row r="2096" spans="1:1" x14ac:dyDescent="0.35">
      <c r="A2096" s="980"/>
    </row>
    <row r="2097" spans="1:1" x14ac:dyDescent="0.35">
      <c r="A2097" s="980"/>
    </row>
    <row r="2098" spans="1:1" x14ac:dyDescent="0.35">
      <c r="A2098" s="980"/>
    </row>
    <row r="2099" spans="1:1" x14ac:dyDescent="0.35">
      <c r="A2099" s="980"/>
    </row>
    <row r="2100" spans="1:1" x14ac:dyDescent="0.35">
      <c r="A2100" s="980"/>
    </row>
    <row r="2101" spans="1:1" x14ac:dyDescent="0.35">
      <c r="A2101" s="980"/>
    </row>
    <row r="2102" spans="1:1" x14ac:dyDescent="0.35">
      <c r="A2102" s="980"/>
    </row>
    <row r="2103" spans="1:1" x14ac:dyDescent="0.35">
      <c r="A2103" s="980"/>
    </row>
    <row r="2104" spans="1:1" x14ac:dyDescent="0.35">
      <c r="A2104" s="980"/>
    </row>
    <row r="2105" spans="1:1" x14ac:dyDescent="0.35">
      <c r="A2105" s="980"/>
    </row>
    <row r="2106" spans="1:1" x14ac:dyDescent="0.35">
      <c r="A2106" s="980"/>
    </row>
    <row r="2107" spans="1:1" x14ac:dyDescent="0.35">
      <c r="A2107" s="980"/>
    </row>
    <row r="2108" spans="1:1" x14ac:dyDescent="0.35">
      <c r="A2108" s="980"/>
    </row>
    <row r="2109" spans="1:1" x14ac:dyDescent="0.35">
      <c r="A2109" s="980"/>
    </row>
    <row r="2110" spans="1:1" x14ac:dyDescent="0.35">
      <c r="A2110" s="980"/>
    </row>
    <row r="2111" spans="1:1" x14ac:dyDescent="0.35">
      <c r="A2111" s="980"/>
    </row>
    <row r="2112" spans="1:1" x14ac:dyDescent="0.35">
      <c r="A2112" s="980"/>
    </row>
    <row r="2113" spans="1:1" x14ac:dyDescent="0.35">
      <c r="A2113" s="980"/>
    </row>
    <row r="2114" spans="1:1" x14ac:dyDescent="0.35">
      <c r="A2114" s="980"/>
    </row>
    <row r="2115" spans="1:1" x14ac:dyDescent="0.35">
      <c r="A2115" s="980"/>
    </row>
    <row r="2116" spans="1:1" x14ac:dyDescent="0.35">
      <c r="A2116" s="980"/>
    </row>
    <row r="2117" spans="1:1" x14ac:dyDescent="0.35">
      <c r="A2117" s="980"/>
    </row>
    <row r="2118" spans="1:1" x14ac:dyDescent="0.35">
      <c r="A2118" s="980"/>
    </row>
    <row r="2119" spans="1:1" x14ac:dyDescent="0.35">
      <c r="A2119" s="980"/>
    </row>
    <row r="2120" spans="1:1" x14ac:dyDescent="0.35">
      <c r="A2120" s="980"/>
    </row>
    <row r="2121" spans="1:1" x14ac:dyDescent="0.35">
      <c r="A2121" s="980"/>
    </row>
    <row r="2122" spans="1:1" x14ac:dyDescent="0.35">
      <c r="A2122" s="980"/>
    </row>
    <row r="2123" spans="1:1" x14ac:dyDescent="0.35">
      <c r="A2123" s="980"/>
    </row>
    <row r="2124" spans="1:1" x14ac:dyDescent="0.35">
      <c r="A2124" s="980"/>
    </row>
    <row r="2125" spans="1:1" x14ac:dyDescent="0.35">
      <c r="A2125" s="980"/>
    </row>
    <row r="2126" spans="1:1" x14ac:dyDescent="0.35">
      <c r="A2126" s="980"/>
    </row>
    <row r="2127" spans="1:1" x14ac:dyDescent="0.35">
      <c r="A2127" s="980"/>
    </row>
    <row r="2128" spans="1:1" x14ac:dyDescent="0.35">
      <c r="A2128" s="980"/>
    </row>
    <row r="2129" spans="1:1" x14ac:dyDescent="0.35">
      <c r="A2129" s="980"/>
    </row>
    <row r="2130" spans="1:1" x14ac:dyDescent="0.35">
      <c r="A2130" s="980"/>
    </row>
    <row r="2131" spans="1:1" x14ac:dyDescent="0.35">
      <c r="A2131" s="980"/>
    </row>
    <row r="2132" spans="1:1" x14ac:dyDescent="0.35">
      <c r="A2132" s="980"/>
    </row>
    <row r="2133" spans="1:1" x14ac:dyDescent="0.35">
      <c r="A2133" s="980"/>
    </row>
    <row r="2134" spans="1:1" x14ac:dyDescent="0.35">
      <c r="A2134" s="980"/>
    </row>
    <row r="2135" spans="1:1" x14ac:dyDescent="0.35">
      <c r="A2135" s="980"/>
    </row>
    <row r="2136" spans="1:1" x14ac:dyDescent="0.35">
      <c r="A2136" s="980"/>
    </row>
    <row r="2137" spans="1:1" x14ac:dyDescent="0.35">
      <c r="A2137" s="980"/>
    </row>
    <row r="2138" spans="1:1" x14ac:dyDescent="0.35">
      <c r="A2138" s="980"/>
    </row>
    <row r="2139" spans="1:1" x14ac:dyDescent="0.35">
      <c r="A2139" s="980"/>
    </row>
    <row r="2140" spans="1:1" x14ac:dyDescent="0.35">
      <c r="A2140" s="980"/>
    </row>
    <row r="2141" spans="1:1" x14ac:dyDescent="0.35">
      <c r="A2141" s="980"/>
    </row>
    <row r="2142" spans="1:1" x14ac:dyDescent="0.35">
      <c r="A2142" s="980"/>
    </row>
    <row r="2143" spans="1:1" x14ac:dyDescent="0.35">
      <c r="A2143" s="980"/>
    </row>
    <row r="2144" spans="1:1" x14ac:dyDescent="0.35">
      <c r="A2144" s="980"/>
    </row>
    <row r="2145" spans="1:1" x14ac:dyDescent="0.35">
      <c r="A2145" s="980"/>
    </row>
    <row r="2146" spans="1:1" x14ac:dyDescent="0.35">
      <c r="A2146" s="980"/>
    </row>
    <row r="2147" spans="1:1" x14ac:dyDescent="0.35">
      <c r="A2147" s="980"/>
    </row>
    <row r="2148" spans="1:1" x14ac:dyDescent="0.35">
      <c r="A2148" s="980"/>
    </row>
    <row r="2149" spans="1:1" x14ac:dyDescent="0.35">
      <c r="A2149" s="980"/>
    </row>
    <row r="2150" spans="1:1" x14ac:dyDescent="0.35">
      <c r="A2150" s="980"/>
    </row>
    <row r="2151" spans="1:1" x14ac:dyDescent="0.35">
      <c r="A2151" s="980"/>
    </row>
    <row r="2152" spans="1:1" x14ac:dyDescent="0.35">
      <c r="A2152" s="980"/>
    </row>
    <row r="2153" spans="1:1" x14ac:dyDescent="0.35">
      <c r="A2153" s="980"/>
    </row>
    <row r="2154" spans="1:1" x14ac:dyDescent="0.35">
      <c r="A2154" s="980"/>
    </row>
    <row r="2155" spans="1:1" x14ac:dyDescent="0.35">
      <c r="A2155" s="980"/>
    </row>
    <row r="2156" spans="1:1" x14ac:dyDescent="0.35">
      <c r="A2156" s="980"/>
    </row>
    <row r="2157" spans="1:1" x14ac:dyDescent="0.35">
      <c r="A2157" s="980"/>
    </row>
    <row r="2158" spans="1:1" x14ac:dyDescent="0.35">
      <c r="A2158" s="980"/>
    </row>
    <row r="2159" spans="1:1" x14ac:dyDescent="0.35">
      <c r="A2159" s="980"/>
    </row>
    <row r="2160" spans="1:1" x14ac:dyDescent="0.35">
      <c r="A2160" s="980"/>
    </row>
    <row r="2161" spans="1:1" x14ac:dyDescent="0.35">
      <c r="A2161" s="980"/>
    </row>
    <row r="2162" spans="1:1" x14ac:dyDescent="0.35">
      <c r="A2162" s="980"/>
    </row>
    <row r="2163" spans="1:1" x14ac:dyDescent="0.35">
      <c r="A2163" s="980"/>
    </row>
    <row r="2164" spans="1:1" x14ac:dyDescent="0.35">
      <c r="A2164" s="980"/>
    </row>
    <row r="2165" spans="1:1" x14ac:dyDescent="0.35">
      <c r="A2165" s="980"/>
    </row>
    <row r="2166" spans="1:1" x14ac:dyDescent="0.35">
      <c r="A2166" s="980"/>
    </row>
    <row r="2167" spans="1:1" x14ac:dyDescent="0.35">
      <c r="A2167" s="980"/>
    </row>
    <row r="2168" spans="1:1" x14ac:dyDescent="0.35">
      <c r="A2168" s="980"/>
    </row>
    <row r="2169" spans="1:1" x14ac:dyDescent="0.35">
      <c r="A2169" s="980"/>
    </row>
    <row r="2170" spans="1:1" x14ac:dyDescent="0.35">
      <c r="A2170" s="980"/>
    </row>
    <row r="2171" spans="1:1" x14ac:dyDescent="0.35">
      <c r="A2171" s="980"/>
    </row>
    <row r="2172" spans="1:1" x14ac:dyDescent="0.35">
      <c r="A2172" s="980"/>
    </row>
    <row r="2173" spans="1:1" x14ac:dyDescent="0.35">
      <c r="A2173" s="980"/>
    </row>
    <row r="2174" spans="1:1" x14ac:dyDescent="0.35">
      <c r="A2174" s="980"/>
    </row>
    <row r="2175" spans="1:1" x14ac:dyDescent="0.35">
      <c r="A2175" s="980"/>
    </row>
    <row r="2176" spans="1:1" x14ac:dyDescent="0.35">
      <c r="A2176" s="980"/>
    </row>
    <row r="2177" spans="1:1" x14ac:dyDescent="0.35">
      <c r="A2177" s="980"/>
    </row>
    <row r="2178" spans="1:1" x14ac:dyDescent="0.35">
      <c r="A2178" s="980"/>
    </row>
    <row r="2179" spans="1:1" x14ac:dyDescent="0.35">
      <c r="A2179" s="980"/>
    </row>
    <row r="2180" spans="1:1" x14ac:dyDescent="0.35">
      <c r="A2180" s="980"/>
    </row>
    <row r="2181" spans="1:1" x14ac:dyDescent="0.35">
      <c r="A2181" s="980"/>
    </row>
    <row r="2182" spans="1:1" x14ac:dyDescent="0.35">
      <c r="A2182" s="980"/>
    </row>
    <row r="2183" spans="1:1" x14ac:dyDescent="0.35">
      <c r="A2183" s="980"/>
    </row>
    <row r="2184" spans="1:1" x14ac:dyDescent="0.35">
      <c r="A2184" s="980"/>
    </row>
    <row r="2185" spans="1:1" x14ac:dyDescent="0.35">
      <c r="A2185" s="980"/>
    </row>
    <row r="2186" spans="1:1" x14ac:dyDescent="0.35">
      <c r="A2186" s="980"/>
    </row>
    <row r="2187" spans="1:1" x14ac:dyDescent="0.35">
      <c r="A2187" s="980"/>
    </row>
    <row r="2188" spans="1:1" x14ac:dyDescent="0.35">
      <c r="A2188" s="980"/>
    </row>
    <row r="2189" spans="1:1" x14ac:dyDescent="0.35">
      <c r="A2189" s="980"/>
    </row>
    <row r="2190" spans="1:1" x14ac:dyDescent="0.35">
      <c r="A2190" s="980"/>
    </row>
    <row r="2191" spans="1:1" x14ac:dyDescent="0.35">
      <c r="A2191" s="980"/>
    </row>
    <row r="2192" spans="1:1" x14ac:dyDescent="0.35">
      <c r="A2192" s="980"/>
    </row>
    <row r="2193" spans="1:1" x14ac:dyDescent="0.35">
      <c r="A2193" s="980"/>
    </row>
    <row r="2194" spans="1:1" x14ac:dyDescent="0.35">
      <c r="A2194" s="980"/>
    </row>
    <row r="2195" spans="1:1" x14ac:dyDescent="0.35">
      <c r="A2195" s="980"/>
    </row>
    <row r="2196" spans="1:1" x14ac:dyDescent="0.35">
      <c r="A2196" s="980"/>
    </row>
    <row r="2197" spans="1:1" x14ac:dyDescent="0.35">
      <c r="A2197" s="980"/>
    </row>
    <row r="2198" spans="1:1" x14ac:dyDescent="0.35">
      <c r="A2198" s="980"/>
    </row>
    <row r="2199" spans="1:1" x14ac:dyDescent="0.35">
      <c r="A2199" s="980"/>
    </row>
    <row r="2200" spans="1:1" x14ac:dyDescent="0.35">
      <c r="A2200" s="980"/>
    </row>
    <row r="2201" spans="1:1" x14ac:dyDescent="0.35">
      <c r="A2201" s="980"/>
    </row>
    <row r="2202" spans="1:1" x14ac:dyDescent="0.35">
      <c r="A2202" s="980"/>
    </row>
    <row r="2203" spans="1:1" x14ac:dyDescent="0.35">
      <c r="A2203" s="980"/>
    </row>
    <row r="2204" spans="1:1" x14ac:dyDescent="0.35">
      <c r="A2204" s="980"/>
    </row>
    <row r="2205" spans="1:1" x14ac:dyDescent="0.35">
      <c r="A2205" s="980"/>
    </row>
    <row r="2206" spans="1:1" x14ac:dyDescent="0.35">
      <c r="A2206" s="980"/>
    </row>
    <row r="2207" spans="1:1" x14ac:dyDescent="0.35">
      <c r="A2207" s="980"/>
    </row>
    <row r="2208" spans="1:1" x14ac:dyDescent="0.35">
      <c r="A2208" s="980"/>
    </row>
    <row r="2209" spans="1:1" x14ac:dyDescent="0.35">
      <c r="A2209" s="980"/>
    </row>
    <row r="2210" spans="1:1" x14ac:dyDescent="0.35">
      <c r="A2210" s="980"/>
    </row>
    <row r="2211" spans="1:1" x14ac:dyDescent="0.35">
      <c r="A2211" s="980"/>
    </row>
    <row r="2212" spans="1:1" x14ac:dyDescent="0.35">
      <c r="A2212" s="980"/>
    </row>
    <row r="2213" spans="1:1" x14ac:dyDescent="0.35">
      <c r="A2213" s="980"/>
    </row>
    <row r="2214" spans="1:1" x14ac:dyDescent="0.35">
      <c r="A2214" s="980"/>
    </row>
    <row r="2215" spans="1:1" x14ac:dyDescent="0.35">
      <c r="A2215" s="980"/>
    </row>
    <row r="2216" spans="1:1" x14ac:dyDescent="0.35">
      <c r="A2216" s="980"/>
    </row>
    <row r="2217" spans="1:1" x14ac:dyDescent="0.35">
      <c r="A2217" s="980"/>
    </row>
    <row r="2218" spans="1:1" x14ac:dyDescent="0.35">
      <c r="A2218" s="980"/>
    </row>
    <row r="2219" spans="1:1" x14ac:dyDescent="0.35">
      <c r="A2219" s="980"/>
    </row>
    <row r="2220" spans="1:1" x14ac:dyDescent="0.35">
      <c r="A2220" s="980"/>
    </row>
    <row r="2221" spans="1:1" x14ac:dyDescent="0.35">
      <c r="A2221" s="980"/>
    </row>
    <row r="2222" spans="1:1" x14ac:dyDescent="0.35">
      <c r="A2222" s="980"/>
    </row>
    <row r="2223" spans="1:1" x14ac:dyDescent="0.35">
      <c r="A2223" s="980"/>
    </row>
    <row r="2224" spans="1:1" x14ac:dyDescent="0.35">
      <c r="A2224" s="980"/>
    </row>
    <row r="2225" spans="1:1" x14ac:dyDescent="0.35">
      <c r="A2225" s="980"/>
    </row>
    <row r="2226" spans="1:1" x14ac:dyDescent="0.35">
      <c r="A2226" s="980"/>
    </row>
    <row r="2227" spans="1:1" x14ac:dyDescent="0.35">
      <c r="A2227" s="980"/>
    </row>
    <row r="2228" spans="1:1" x14ac:dyDescent="0.35">
      <c r="A2228" s="980"/>
    </row>
    <row r="2229" spans="1:1" x14ac:dyDescent="0.35">
      <c r="A2229" s="980"/>
    </row>
    <row r="2230" spans="1:1" x14ac:dyDescent="0.35">
      <c r="A2230" s="980"/>
    </row>
    <row r="2231" spans="1:1" x14ac:dyDescent="0.35">
      <c r="A2231" s="980"/>
    </row>
    <row r="2232" spans="1:1" x14ac:dyDescent="0.35">
      <c r="A2232" s="980"/>
    </row>
    <row r="2233" spans="1:1" x14ac:dyDescent="0.35">
      <c r="A2233" s="980"/>
    </row>
    <row r="2234" spans="1:1" x14ac:dyDescent="0.35">
      <c r="A2234" s="980"/>
    </row>
    <row r="2235" spans="1:1" x14ac:dyDescent="0.35">
      <c r="A2235" s="980"/>
    </row>
    <row r="2236" spans="1:1" x14ac:dyDescent="0.35">
      <c r="A2236" s="980"/>
    </row>
    <row r="2237" spans="1:1" x14ac:dyDescent="0.35">
      <c r="A2237" s="980"/>
    </row>
    <row r="2238" spans="1:1" x14ac:dyDescent="0.35">
      <c r="A2238" s="980"/>
    </row>
    <row r="2239" spans="1:1" x14ac:dyDescent="0.35">
      <c r="A2239" s="980"/>
    </row>
    <row r="2240" spans="1:1" x14ac:dyDescent="0.35">
      <c r="A2240" s="980"/>
    </row>
    <row r="2241" spans="1:8" x14ac:dyDescent="0.35">
      <c r="A2241" s="980"/>
    </row>
    <row r="2242" spans="1:8" x14ac:dyDescent="0.35">
      <c r="A2242" s="980"/>
    </row>
    <row r="2243" spans="1:8" x14ac:dyDescent="0.35">
      <c r="A2243" s="980"/>
    </row>
    <row r="2244" spans="1:8" x14ac:dyDescent="0.35">
      <c r="A2244" s="980"/>
    </row>
    <row r="2245" spans="1:8" x14ac:dyDescent="0.35">
      <c r="A2245" s="980"/>
    </row>
    <row r="2246" spans="1:8" x14ac:dyDescent="0.35">
      <c r="A2246" s="980"/>
    </row>
    <row r="2247" spans="1:8" x14ac:dyDescent="0.35">
      <c r="A2247" s="980"/>
    </row>
    <row r="2248" spans="1:8" x14ac:dyDescent="0.35">
      <c r="A2248" s="980"/>
    </row>
    <row r="2249" spans="1:8" x14ac:dyDescent="0.35">
      <c r="A2249" s="980" t="s">
        <v>655</v>
      </c>
      <c r="B2249" s="900">
        <v>0.31158360838142451</v>
      </c>
      <c r="C2249" s="900">
        <v>737360.83742150152</v>
      </c>
      <c r="D2249" s="900">
        <v>777688.55756677513</v>
      </c>
      <c r="E2249" s="900">
        <v>695290.23331904039</v>
      </c>
      <c r="F2249" s="900">
        <v>528183.56555787928</v>
      </c>
      <c r="G2249" s="900">
        <v>164022.05118488401</v>
      </c>
      <c r="H2249" s="900">
        <v>1.4093780033679749E-3</v>
      </c>
    </row>
    <row r="2250" spans="1:8" x14ac:dyDescent="0.35">
      <c r="A2250" s="980" t="s">
        <v>3108</v>
      </c>
      <c r="B2250" s="900">
        <v>8.1011738179170373E-2</v>
      </c>
      <c r="C2250" s="900">
        <v>191713.8177295904</v>
      </c>
      <c r="D2250" s="900">
        <v>202199.0249673615</v>
      </c>
      <c r="E2250" s="900">
        <v>180775.4606629505</v>
      </c>
      <c r="F2250" s="900">
        <v>137327.72704504861</v>
      </c>
      <c r="G2250" s="900">
        <v>42645.73330806983</v>
      </c>
      <c r="H2250" s="900">
        <v>3.6643828087567349E-4</v>
      </c>
    </row>
    <row r="2251" spans="1:8" x14ac:dyDescent="0.35">
      <c r="A2251" s="980" t="s">
        <v>3053</v>
      </c>
      <c r="B2251" s="900">
        <v>0.1059384268496843</v>
      </c>
      <c r="C2251" s="900">
        <v>250702.68472331049</v>
      </c>
      <c r="D2251" s="900">
        <v>264414.10957270348</v>
      </c>
      <c r="E2251" s="900">
        <v>236398.67932847381</v>
      </c>
      <c r="F2251" s="900">
        <v>179582.41228967899</v>
      </c>
      <c r="G2251" s="900">
        <v>55767.49740286055</v>
      </c>
      <c r="H2251" s="900">
        <v>4.7918852114511151E-4</v>
      </c>
    </row>
    <row r="2252" spans="1:8" x14ac:dyDescent="0.35">
      <c r="A2252" s="980" t="s">
        <v>3109</v>
      </c>
      <c r="B2252" s="900">
        <v>1.8695016502885471E-2</v>
      </c>
      <c r="C2252" s="900">
        <v>44241.65024529009</v>
      </c>
      <c r="D2252" s="900">
        <v>46661.313454006508</v>
      </c>
      <c r="E2252" s="900">
        <v>41717.413999142424</v>
      </c>
      <c r="F2252" s="900">
        <v>31691.013933472761</v>
      </c>
      <c r="G2252" s="900">
        <v>9841.3230710930366</v>
      </c>
      <c r="H2252" s="900">
        <v>8.4562680202078495E-5</v>
      </c>
    </row>
    <row r="2253" spans="1:8" x14ac:dyDescent="0.35">
      <c r="A2253" s="980" t="s">
        <v>3042</v>
      </c>
      <c r="B2253" s="900">
        <v>2.1810852586699719E-2</v>
      </c>
      <c r="C2253" s="900">
        <v>51615.258619505112</v>
      </c>
      <c r="D2253" s="900">
        <v>54438.199029674273</v>
      </c>
      <c r="E2253" s="900">
        <v>48670.316332332834</v>
      </c>
      <c r="F2253" s="900">
        <v>36972.849589051562</v>
      </c>
      <c r="G2253" s="900">
        <v>11481.54358294188</v>
      </c>
      <c r="H2253" s="900">
        <v>9.8656460235758248E-5</v>
      </c>
    </row>
    <row r="2254" spans="1:8" x14ac:dyDescent="0.35">
      <c r="A2254" s="980" t="s">
        <v>656</v>
      </c>
      <c r="B2254" s="900">
        <v>7.2425176429977409E-2</v>
      </c>
      <c r="C2254" s="900">
        <v>0.3947366457414343</v>
      </c>
      <c r="D2254" s="900">
        <v>8.7913162416138402</v>
      </c>
      <c r="E2254" s="900">
        <v>1.2151518151527929E-2</v>
      </c>
      <c r="F2254" s="900">
        <v>4.4671680576641136E-3</v>
      </c>
      <c r="G2254" s="900">
        <v>1.09632428431773E-3</v>
      </c>
      <c r="H2254" s="900">
        <v>2.330625007936029E-4</v>
      </c>
    </row>
    <row r="2255" spans="1:8" x14ac:dyDescent="0.35">
      <c r="A2255" s="980" t="s">
        <v>3110</v>
      </c>
      <c r="B2255" s="900">
        <v>1.6657790578894809E-2</v>
      </c>
      <c r="C2255" s="900">
        <v>9.0789428520529888E-2</v>
      </c>
      <c r="D2255" s="900">
        <v>2.0220027355711832</v>
      </c>
      <c r="E2255" s="900">
        <v>2.7948491748514231E-3</v>
      </c>
      <c r="F2255" s="900">
        <v>1.027448653262746E-3</v>
      </c>
      <c r="G2255" s="900">
        <v>2.5215458539307802E-4</v>
      </c>
      <c r="H2255" s="900">
        <v>5.3604375182528671E-5</v>
      </c>
    </row>
    <row r="2256" spans="1:8" x14ac:dyDescent="0.35">
      <c r="A2256" s="980" t="s">
        <v>3054</v>
      </c>
      <c r="B2256" s="900">
        <v>1.013952470019684E-2</v>
      </c>
      <c r="C2256" s="900">
        <v>5.5263130403800813E-2</v>
      </c>
      <c r="D2256" s="900">
        <v>1.230784273825938</v>
      </c>
      <c r="E2256" s="900">
        <v>1.70121254121391E-3</v>
      </c>
      <c r="F2256" s="900">
        <v>6.2540352807297593E-4</v>
      </c>
      <c r="G2256" s="900">
        <v>1.534853998044823E-4</v>
      </c>
      <c r="H2256" s="900">
        <v>3.2628750111104409E-5</v>
      </c>
    </row>
    <row r="2257" spans="1:8" x14ac:dyDescent="0.35">
      <c r="A2257" s="980" t="s">
        <v>3111</v>
      </c>
      <c r="B2257" s="900">
        <v>2.317605645759277E-2</v>
      </c>
      <c r="C2257" s="900">
        <v>0.12631572663725901</v>
      </c>
      <c r="D2257" s="900">
        <v>2.8132211973164289</v>
      </c>
      <c r="E2257" s="900">
        <v>3.8884858084889369E-3</v>
      </c>
      <c r="F2257" s="900">
        <v>1.429493778452516E-3</v>
      </c>
      <c r="G2257" s="900">
        <v>3.5082377098167368E-4</v>
      </c>
      <c r="H2257" s="900">
        <v>7.4580000253952926E-5</v>
      </c>
    </row>
    <row r="2258" spans="1:8" x14ac:dyDescent="0.35">
      <c r="A2258" s="980" t="s">
        <v>3043</v>
      </c>
      <c r="B2258" s="900">
        <v>5.0697623500984192E-3</v>
      </c>
      <c r="C2258" s="900">
        <v>2.7631565201900399E-2</v>
      </c>
      <c r="D2258" s="900">
        <v>0.6153921369129689</v>
      </c>
      <c r="E2258" s="900">
        <v>8.5060627060695487E-4</v>
      </c>
      <c r="F2258" s="900">
        <v>3.1270176403648802E-4</v>
      </c>
      <c r="G2258" s="900">
        <v>7.6742699902241135E-5</v>
      </c>
      <c r="H2258" s="900">
        <v>1.6314375055552201E-5</v>
      </c>
    </row>
    <row r="2259" spans="1:8" x14ac:dyDescent="0.35">
      <c r="A2259" s="980" t="s">
        <v>654</v>
      </c>
      <c r="B2259" s="900">
        <v>7.2016417185952877E-2</v>
      </c>
      <c r="C2259" s="900">
        <v>437040.71055254468</v>
      </c>
      <c r="D2259" s="900">
        <v>267464.6217766616</v>
      </c>
      <c r="E2259" s="900">
        <v>0.1239469318867943</v>
      </c>
      <c r="F2259" s="900">
        <v>7.0881622972531304E-3</v>
      </c>
      <c r="G2259" s="900">
        <v>19666.81033550237</v>
      </c>
      <c r="H2259" s="900">
        <v>2.3320735549338961E-4</v>
      </c>
    </row>
    <row r="2260" spans="1:8" x14ac:dyDescent="0.35">
      <c r="A2260" s="980" t="s">
        <v>3106</v>
      </c>
      <c r="B2260" s="900">
        <v>2.592591018694303E-2</v>
      </c>
      <c r="C2260" s="900">
        <v>157334.65579891609</v>
      </c>
      <c r="D2260" s="900">
        <v>96287.263839598178</v>
      </c>
      <c r="E2260" s="900">
        <v>4.4620895479245928E-2</v>
      </c>
      <c r="F2260" s="900">
        <v>2.551738427011127E-3</v>
      </c>
      <c r="G2260" s="900">
        <v>7080.0517207808534</v>
      </c>
      <c r="H2260" s="900">
        <v>8.3954647977620253E-5</v>
      </c>
    </row>
    <row r="2261" spans="1:8" x14ac:dyDescent="0.35">
      <c r="A2261" s="980" t="s">
        <v>3052</v>
      </c>
      <c r="B2261" s="900">
        <v>1.1522626749752461E-2</v>
      </c>
      <c r="C2261" s="900">
        <v>69926.513688407154</v>
      </c>
      <c r="D2261" s="900">
        <v>42794.33948426586</v>
      </c>
      <c r="E2261" s="900">
        <v>1.9831509101887079E-2</v>
      </c>
      <c r="F2261" s="900">
        <v>1.134105967560501E-3</v>
      </c>
      <c r="G2261" s="900">
        <v>3146.6896536803788</v>
      </c>
      <c r="H2261" s="900">
        <v>3.731317687894234E-5</v>
      </c>
    </row>
    <row r="2262" spans="1:8" x14ac:dyDescent="0.35">
      <c r="A2262" s="980" t="s">
        <v>3107</v>
      </c>
      <c r="B2262" s="900">
        <v>1.296295509347152E-2</v>
      </c>
      <c r="C2262" s="900">
        <v>78667.327899458047</v>
      </c>
      <c r="D2262" s="900">
        <v>48143.631919799089</v>
      </c>
      <c r="E2262" s="900">
        <v>2.2310447739622961E-2</v>
      </c>
      <c r="F2262" s="900">
        <v>1.2758692135055631E-3</v>
      </c>
      <c r="G2262" s="900">
        <v>3540.0258603904272</v>
      </c>
      <c r="H2262" s="900">
        <v>4.1977323988810127E-5</v>
      </c>
    </row>
    <row r="2263" spans="1:8" x14ac:dyDescent="0.35">
      <c r="A2263" s="980" t="s">
        <v>3041</v>
      </c>
      <c r="B2263" s="900">
        <v>5.0411492030167024E-3</v>
      </c>
      <c r="C2263" s="900">
        <v>30592.849738678131</v>
      </c>
      <c r="D2263" s="900">
        <v>18722.523524366319</v>
      </c>
      <c r="E2263" s="900">
        <v>8.6762852320755989E-3</v>
      </c>
      <c r="F2263" s="900">
        <v>4.961713608077191E-4</v>
      </c>
      <c r="G2263" s="900">
        <v>1376.6767234851659</v>
      </c>
      <c r="H2263" s="900">
        <v>1.632451488453727E-5</v>
      </c>
    </row>
    <row r="2264" spans="1:8" x14ac:dyDescent="0.35">
      <c r="A2264" s="980" t="s">
        <v>3113</v>
      </c>
      <c r="B2264" s="900">
        <v>2.5491571524567119E-7</v>
      </c>
      <c r="C2264" s="900">
        <v>6.8576534369331248E-7</v>
      </c>
      <c r="D2264" s="900">
        <v>1.628767084014922E-5</v>
      </c>
      <c r="E2264" s="900">
        <v>2.7196839867599099E-8</v>
      </c>
      <c r="F2264" s="900">
        <v>1.5585005472943991E-8</v>
      </c>
      <c r="G2264" s="900">
        <v>7.958700939685927E-10</v>
      </c>
      <c r="H2264" s="900">
        <v>8.182330990707687E-10</v>
      </c>
    </row>
    <row r="2265" spans="1:8" x14ac:dyDescent="0.35">
      <c r="A2265" s="980" t="s">
        <v>4493</v>
      </c>
      <c r="B2265" s="900">
        <v>2.5491571524567119E-7</v>
      </c>
      <c r="C2265" s="900">
        <v>6.8576534369331248E-7</v>
      </c>
      <c r="D2265" s="900">
        <v>1.628767084014922E-5</v>
      </c>
      <c r="E2265" s="900">
        <v>2.7196839867599099E-8</v>
      </c>
      <c r="F2265" s="900">
        <v>1.5585005472943991E-8</v>
      </c>
      <c r="G2265" s="900">
        <v>7.958700939685927E-10</v>
      </c>
      <c r="H2265" s="900">
        <v>8.182330990707687E-10</v>
      </c>
    </row>
    <row r="2266" spans="1:8" x14ac:dyDescent="0.35">
      <c r="A2266" s="980" t="s">
        <v>1685</v>
      </c>
      <c r="B2266" s="900">
        <v>4.0353884161597783E-2</v>
      </c>
      <c r="C2266" s="900">
        <v>0.23877440962549809</v>
      </c>
      <c r="D2266" s="900">
        <v>9.0229830099796011</v>
      </c>
      <c r="E2266" s="900">
        <v>440.98082736252331</v>
      </c>
      <c r="F2266" s="900">
        <v>4.1519997938699914E-3</v>
      </c>
      <c r="G2266" s="900">
        <v>4.1647379226232632E-4</v>
      </c>
      <c r="H2266" s="900">
        <v>1.9292531372048201E-4</v>
      </c>
    </row>
    <row r="2267" spans="1:8" x14ac:dyDescent="0.35">
      <c r="A2267" s="980" t="s">
        <v>4494</v>
      </c>
      <c r="B2267" s="900">
        <v>3.6318495745438009E-2</v>
      </c>
      <c r="C2267" s="900">
        <v>0.2148969686629483</v>
      </c>
      <c r="D2267" s="900">
        <v>8.1206847089816421</v>
      </c>
      <c r="E2267" s="900">
        <v>396.88274462627101</v>
      </c>
      <c r="F2267" s="900">
        <v>3.7367998144829909E-3</v>
      </c>
      <c r="G2267" s="900">
        <v>3.7482641303609359E-4</v>
      </c>
      <c r="H2267" s="900">
        <v>1.7363278234843379E-4</v>
      </c>
    </row>
    <row r="2268" spans="1:8" x14ac:dyDescent="0.35">
      <c r="A2268" s="980" t="s">
        <v>4495</v>
      </c>
      <c r="B2268" s="900">
        <v>21023.525058211679</v>
      </c>
      <c r="C2268" s="900">
        <v>0</v>
      </c>
      <c r="D2268" s="900">
        <v>6.6806163448372899</v>
      </c>
      <c r="E2268" s="900">
        <v>557.60679127511401</v>
      </c>
      <c r="F2268" s="900">
        <v>3110.768673400411</v>
      </c>
      <c r="G2268" s="900">
        <v>8000.7412225740518</v>
      </c>
      <c r="H2268" s="900">
        <v>12223.92702151702</v>
      </c>
    </row>
    <row r="2269" spans="1:8" x14ac:dyDescent="0.35">
      <c r="A2269" s="980" t="s">
        <v>4496</v>
      </c>
      <c r="B2269" s="900">
        <v>2628.9918085293698</v>
      </c>
      <c r="D2269" s="900">
        <v>0.83541107392190306</v>
      </c>
      <c r="E2269" s="900">
        <v>84.856052455315762</v>
      </c>
      <c r="F2269" s="900">
        <v>524.34857657494717</v>
      </c>
      <c r="G2269" s="900">
        <v>1329.144522662235</v>
      </c>
      <c r="H2269" s="900">
        <v>2821.469488959649</v>
      </c>
    </row>
    <row r="2270" spans="1:8" x14ac:dyDescent="0.35">
      <c r="A2270" s="980" t="s">
        <v>4497</v>
      </c>
      <c r="C2270" s="900">
        <v>0</v>
      </c>
    </row>
    <row r="2271" spans="1:8" x14ac:dyDescent="0.35">
      <c r="A2271" s="980" t="s">
        <v>2475</v>
      </c>
      <c r="B2271" s="900">
        <v>0</v>
      </c>
      <c r="C2271" s="900">
        <v>0</v>
      </c>
      <c r="D2271" s="900">
        <v>0</v>
      </c>
      <c r="E2271" s="900">
        <v>0</v>
      </c>
      <c r="F2271" s="900">
        <v>0</v>
      </c>
      <c r="G2271" s="900">
        <v>0</v>
      </c>
      <c r="H2271" s="900">
        <v>0</v>
      </c>
    </row>
    <row r="2272" spans="1:8" x14ac:dyDescent="0.35">
      <c r="A2272" s="980" t="s">
        <v>4498</v>
      </c>
      <c r="B2272" s="900">
        <v>0</v>
      </c>
      <c r="C2272" s="900">
        <v>0</v>
      </c>
      <c r="D2272" s="900">
        <v>0</v>
      </c>
      <c r="E2272" s="900">
        <v>0</v>
      </c>
      <c r="F2272" s="900">
        <v>0</v>
      </c>
      <c r="G2272" s="900">
        <v>0</v>
      </c>
      <c r="H2272" s="900">
        <v>0</v>
      </c>
    </row>
    <row r="2273" spans="1:8" x14ac:dyDescent="0.35">
      <c r="A2273" s="980" t="s">
        <v>4499</v>
      </c>
      <c r="B2273" s="900">
        <v>0</v>
      </c>
      <c r="C2273" s="900">
        <v>0</v>
      </c>
      <c r="D2273" s="900">
        <v>0</v>
      </c>
      <c r="E2273" s="900">
        <v>0</v>
      </c>
      <c r="F2273" s="900">
        <v>0</v>
      </c>
      <c r="G2273" s="900">
        <v>0</v>
      </c>
      <c r="H2273" s="900">
        <v>0</v>
      </c>
    </row>
    <row r="2274" spans="1:8" x14ac:dyDescent="0.35">
      <c r="A2274" s="980" t="s">
        <v>4500</v>
      </c>
      <c r="B2274" s="900">
        <v>0</v>
      </c>
      <c r="C2274" s="900">
        <v>0</v>
      </c>
      <c r="D2274" s="900">
        <v>0</v>
      </c>
      <c r="E2274" s="900">
        <v>0</v>
      </c>
      <c r="F2274" s="900">
        <v>0</v>
      </c>
      <c r="G2274" s="900">
        <v>0</v>
      </c>
      <c r="H2274" s="900">
        <v>0</v>
      </c>
    </row>
    <row r="2275" spans="1:8" x14ac:dyDescent="0.35">
      <c r="A2275" s="980" t="s">
        <v>4501</v>
      </c>
      <c r="B2275" s="900">
        <v>227.58438216599879</v>
      </c>
      <c r="C2275" s="900">
        <v>2579.8199310015889</v>
      </c>
      <c r="D2275" s="900">
        <v>2781.7647950606552</v>
      </c>
      <c r="E2275" s="900">
        <v>2641.0164886866892</v>
      </c>
      <c r="F2275" s="900">
        <v>2134.9519141527749</v>
      </c>
      <c r="G2275" s="900">
        <v>882.53614521766883</v>
      </c>
      <c r="H2275" s="900">
        <v>227.58197983985579</v>
      </c>
    </row>
    <row r="2276" spans="1:8" x14ac:dyDescent="0.35">
      <c r="A2276" s="980" t="s">
        <v>4292</v>
      </c>
      <c r="B2276" s="900">
        <v>1327.499701174271</v>
      </c>
      <c r="C2276" s="900">
        <v>15048.089657532269</v>
      </c>
      <c r="D2276" s="900">
        <v>16226.034049588799</v>
      </c>
      <c r="E2276" s="900">
        <v>15405.04917850946</v>
      </c>
      <c r="F2276" s="900">
        <v>12453.17451525314</v>
      </c>
      <c r="G2276" s="900">
        <v>5147.8333350546627</v>
      </c>
      <c r="H2276" s="900">
        <v>1327.485688405879</v>
      </c>
    </row>
    <row r="2277" spans="1:8" x14ac:dyDescent="0.35">
      <c r="A2277" s="980" t="s">
        <v>2492</v>
      </c>
      <c r="B2277" s="900">
        <v>471.09967108361741</v>
      </c>
      <c r="C2277" s="900">
        <v>5340.2272571732883</v>
      </c>
      <c r="D2277" s="900">
        <v>5758.2531257755563</v>
      </c>
      <c r="E2277" s="900">
        <v>5466.9041315814447</v>
      </c>
      <c r="F2277" s="900">
        <v>4419.3504622962446</v>
      </c>
      <c r="G2277" s="900">
        <v>1826.849820600574</v>
      </c>
      <c r="H2277" s="900">
        <v>471.09469826850147</v>
      </c>
    </row>
    <row r="2278" spans="1:8" x14ac:dyDescent="0.35">
      <c r="A2278" s="980" t="s">
        <v>2506</v>
      </c>
      <c r="B2278" s="900">
        <v>417.1621725102757</v>
      </c>
      <c r="C2278" s="900">
        <v>4728.8099335259121</v>
      </c>
      <c r="D2278" s="900">
        <v>5098.9748693461806</v>
      </c>
      <c r="E2278" s="900">
        <v>4840.9832237626997</v>
      </c>
      <c r="F2278" s="900">
        <v>3913.3668586420372</v>
      </c>
      <c r="G2278" s="900">
        <v>1617.6887541839869</v>
      </c>
      <c r="H2278" s="900">
        <v>417.15776904645571</v>
      </c>
    </row>
    <row r="2279" spans="1:8" x14ac:dyDescent="0.35">
      <c r="A2279" s="980" t="s">
        <v>2510</v>
      </c>
      <c r="B2279" s="900">
        <v>3369.9703764612609</v>
      </c>
      <c r="C2279" s="900">
        <v>0</v>
      </c>
      <c r="D2279" s="900">
        <v>1.8726297521572719</v>
      </c>
      <c r="E2279" s="900">
        <v>346.01765200402019</v>
      </c>
      <c r="F2279" s="900">
        <v>1055.5791591478501</v>
      </c>
      <c r="G2279" s="900">
        <v>2511.491859776791</v>
      </c>
      <c r="H2279" s="900">
        <v>3369.971994018797</v>
      </c>
    </row>
    <row r="2280" spans="1:8" x14ac:dyDescent="0.35">
      <c r="A2280" s="980" t="s">
        <v>2493</v>
      </c>
      <c r="B2280" s="900">
        <v>5796.3490475133694</v>
      </c>
      <c r="D2280" s="900">
        <v>3.2209231737105082</v>
      </c>
      <c r="E2280" s="900">
        <v>595.15036144691476</v>
      </c>
      <c r="F2280" s="900">
        <v>1815.5961537343021</v>
      </c>
      <c r="G2280" s="900">
        <v>4319.7659988160794</v>
      </c>
      <c r="H2280" s="900">
        <v>5796.3518297123301</v>
      </c>
    </row>
    <row r="2281" spans="1:8" x14ac:dyDescent="0.35">
      <c r="A2281" s="980" t="s">
        <v>4502</v>
      </c>
      <c r="C2281" s="900">
        <v>0</v>
      </c>
    </row>
    <row r="2282" spans="1:8" x14ac:dyDescent="0.35">
      <c r="A2282" s="980" t="s">
        <v>2501</v>
      </c>
      <c r="B2282" s="900">
        <v>19994.034243544658</v>
      </c>
      <c r="D2282" s="900">
        <v>11.1103123195491</v>
      </c>
      <c r="E2282" s="900">
        <v>2052.9227293398508</v>
      </c>
      <c r="F2282" s="900">
        <v>6262.7511512241936</v>
      </c>
      <c r="G2282" s="900">
        <v>14900.681204055691</v>
      </c>
      <c r="H2282" s="900">
        <v>19994.04384051351</v>
      </c>
    </row>
    <row r="2283" spans="1:8" x14ac:dyDescent="0.35">
      <c r="A2283" s="980" t="s">
        <v>4503</v>
      </c>
      <c r="C2283" s="900">
        <v>0</v>
      </c>
    </row>
    <row r="2284" spans="1:8" x14ac:dyDescent="0.35">
      <c r="A2284" s="980" t="s">
        <v>2521</v>
      </c>
      <c r="B2284" s="900">
        <v>401.35915339862498</v>
      </c>
      <c r="C2284" s="900">
        <v>519.99999921213987</v>
      </c>
      <c r="D2284" s="900">
        <v>559.79264982477866</v>
      </c>
      <c r="E2284" s="900">
        <v>601.99714413574225</v>
      </c>
      <c r="F2284" s="900">
        <v>642.99887858741522</v>
      </c>
      <c r="G2284" s="900">
        <v>683.99987455658834</v>
      </c>
      <c r="H2284" s="900">
        <v>401.37896808487938</v>
      </c>
    </row>
    <row r="2285" spans="1:8" x14ac:dyDescent="0.35">
      <c r="A2285" s="980" t="s">
        <v>4504</v>
      </c>
      <c r="B2285" s="900">
        <v>294.19625944119213</v>
      </c>
      <c r="C2285" s="900">
        <v>381.15999942249857</v>
      </c>
      <c r="D2285" s="900">
        <v>410.32801232156282</v>
      </c>
      <c r="E2285" s="900">
        <v>441.2639066514991</v>
      </c>
      <c r="F2285" s="900">
        <v>471.31817800457532</v>
      </c>
      <c r="G2285" s="900">
        <v>501.37190804997931</v>
      </c>
      <c r="H2285" s="900">
        <v>294.21078360621658</v>
      </c>
    </row>
    <row r="2286" spans="1:8" x14ac:dyDescent="0.35">
      <c r="A2286" s="980" t="s">
        <v>2499</v>
      </c>
      <c r="B2286" s="900">
        <v>22.476112590323002</v>
      </c>
      <c r="C2286" s="900">
        <v>29.11999995587983</v>
      </c>
      <c r="D2286" s="900">
        <v>31.348388390187608</v>
      </c>
      <c r="E2286" s="900">
        <v>33.711840071601557</v>
      </c>
      <c r="F2286" s="900">
        <v>36.007937200895249</v>
      </c>
      <c r="G2286" s="900">
        <v>38.303992975168953</v>
      </c>
      <c r="H2286" s="900">
        <v>22.477222212753251</v>
      </c>
    </row>
    <row r="2287" spans="1:8" x14ac:dyDescent="0.35">
      <c r="A2287" s="980" t="s">
        <v>2516</v>
      </c>
      <c r="B2287" s="900">
        <v>227.57063997702031</v>
      </c>
      <c r="C2287" s="900">
        <v>294.83999955328329</v>
      </c>
      <c r="D2287" s="900">
        <v>317.40243245064948</v>
      </c>
      <c r="E2287" s="900">
        <v>341.33238072496579</v>
      </c>
      <c r="F2287" s="900">
        <v>364.5803641590644</v>
      </c>
      <c r="G2287" s="900">
        <v>387.82792887358562</v>
      </c>
      <c r="H2287" s="900">
        <v>227.58187490412669</v>
      </c>
    </row>
    <row r="2288" spans="1:8" x14ac:dyDescent="0.35">
      <c r="A2288" s="980" t="s">
        <v>2522</v>
      </c>
      <c r="B2288" s="900">
        <v>323.69199195934141</v>
      </c>
      <c r="C2288" s="900">
        <v>0</v>
      </c>
      <c r="D2288" s="900">
        <v>1.210601852122098</v>
      </c>
      <c r="E2288" s="900">
        <v>2.8612460700554458E-3</v>
      </c>
      <c r="F2288" s="900">
        <v>1.1245141346485079E-3</v>
      </c>
      <c r="G2288" s="900">
        <v>1.256010362085046E-4</v>
      </c>
      <c r="H2288" s="900">
        <v>323.67212761863442</v>
      </c>
    </row>
    <row r="2289" spans="1:8" x14ac:dyDescent="0.35">
      <c r="A2289" s="980" t="s">
        <v>4505</v>
      </c>
      <c r="B2289" s="900">
        <v>237.26623010619721</v>
      </c>
      <c r="D2289" s="900">
        <v>0.88737115760549756</v>
      </c>
      <c r="E2289" s="900">
        <v>2.0972933693506422E-3</v>
      </c>
      <c r="F2289" s="900">
        <v>8.2426886069735612E-4</v>
      </c>
      <c r="G2289" s="900">
        <v>9.2065559540833853E-5</v>
      </c>
      <c r="H2289" s="900">
        <v>237.25166954445891</v>
      </c>
    </row>
    <row r="2290" spans="1:8" x14ac:dyDescent="0.35">
      <c r="A2290" s="980" t="s">
        <v>4506</v>
      </c>
      <c r="C2290" s="900">
        <v>0</v>
      </c>
    </row>
    <row r="2291" spans="1:8" x14ac:dyDescent="0.35">
      <c r="A2291" s="980" t="s">
        <v>2500</v>
      </c>
      <c r="B2291" s="900">
        <v>18.126751549723121</v>
      </c>
      <c r="D2291" s="900">
        <v>6.7793703718837472E-2</v>
      </c>
      <c r="E2291" s="900">
        <v>1.6022977992310501E-4</v>
      </c>
      <c r="F2291" s="900">
        <v>6.2972791540316439E-5</v>
      </c>
      <c r="G2291" s="900">
        <v>7.0336580276762563E-6</v>
      </c>
      <c r="H2291" s="900">
        <v>18.125639146643518</v>
      </c>
    </row>
    <row r="2292" spans="1:8" x14ac:dyDescent="0.35">
      <c r="A2292" s="980" t="s">
        <v>4507</v>
      </c>
      <c r="C2292" s="900">
        <v>0</v>
      </c>
    </row>
    <row r="2293" spans="1:8" x14ac:dyDescent="0.35">
      <c r="A2293" s="980" t="s">
        <v>2509</v>
      </c>
      <c r="B2293" s="900">
        <v>295.85448065083813</v>
      </c>
      <c r="D2293" s="900">
        <v>1.1064900928395971</v>
      </c>
      <c r="E2293" s="900">
        <v>2.6151789080306781E-3</v>
      </c>
      <c r="F2293" s="900">
        <v>1.027805919068736E-3</v>
      </c>
      <c r="G2293" s="900">
        <v>1.147993470945732E-4</v>
      </c>
      <c r="H2293" s="900">
        <v>295.83632464343179</v>
      </c>
    </row>
    <row r="2294" spans="1:8" x14ac:dyDescent="0.35">
      <c r="A2294" s="980" t="s">
        <v>4508</v>
      </c>
      <c r="C2294" s="900">
        <v>0</v>
      </c>
    </row>
    <row r="2295" spans="1:8" x14ac:dyDescent="0.35">
      <c r="A2295" s="980" t="s">
        <v>2517</v>
      </c>
      <c r="B2295" s="900">
        <v>183.53335944094661</v>
      </c>
      <c r="D2295" s="900">
        <v>0.68641125015322924</v>
      </c>
      <c r="E2295" s="900">
        <v>1.6223265217214381E-3</v>
      </c>
      <c r="F2295" s="900">
        <v>6.3759951434570381E-4</v>
      </c>
      <c r="G2295" s="900">
        <v>7.1215787530222081E-5</v>
      </c>
      <c r="H2295" s="900">
        <v>183.5220963597657</v>
      </c>
    </row>
    <row r="2296" spans="1:8" x14ac:dyDescent="0.35">
      <c r="A2296" s="980" t="s">
        <v>4509</v>
      </c>
      <c r="C2296" s="900">
        <v>0</v>
      </c>
    </row>
    <row r="2297" spans="1:8" x14ac:dyDescent="0.35">
      <c r="A2297" s="980" t="s">
        <v>4510</v>
      </c>
      <c r="B2297" s="900">
        <v>1.308065314670759E-2</v>
      </c>
      <c r="C2297" s="900">
        <v>2285.2000681631798</v>
      </c>
      <c r="D2297" s="900">
        <v>2464.270352704697</v>
      </c>
      <c r="E2297" s="900">
        <v>2299.6839810480942</v>
      </c>
      <c r="F2297" s="900">
        <v>1770.371484576046</v>
      </c>
      <c r="G2297" s="900">
        <v>494.70821175339393</v>
      </c>
      <c r="H2297" s="900">
        <v>1.026584635180298E-4</v>
      </c>
    </row>
    <row r="2298" spans="1:8" x14ac:dyDescent="0.35">
      <c r="A2298" s="980" t="s">
        <v>4511</v>
      </c>
      <c r="B2298" s="900">
        <v>1.308065314670759E-2</v>
      </c>
      <c r="C2298" s="900">
        <v>2285.2000681631798</v>
      </c>
      <c r="D2298" s="900">
        <v>2464.270352704697</v>
      </c>
      <c r="E2298" s="900">
        <v>2299.6839810480942</v>
      </c>
      <c r="F2298" s="900">
        <v>1770.371484576046</v>
      </c>
      <c r="G2298" s="900">
        <v>494.70821175339393</v>
      </c>
      <c r="H2298" s="900">
        <v>1.026584635180298E-4</v>
      </c>
    </row>
    <row r="2299" spans="1:8" x14ac:dyDescent="0.35">
      <c r="A2299" s="980" t="s">
        <v>4512</v>
      </c>
      <c r="B2299" s="900">
        <v>3186.4369686923628</v>
      </c>
      <c r="C2299" s="900">
        <v>0</v>
      </c>
      <c r="D2299" s="900">
        <v>1.1830004795994571</v>
      </c>
      <c r="E2299" s="900">
        <v>346.01602436597079</v>
      </c>
      <c r="F2299" s="900">
        <v>1055.578518517156</v>
      </c>
      <c r="G2299" s="900">
        <v>2511.4917884039628</v>
      </c>
      <c r="H2299" s="900">
        <v>3186.4498975003771</v>
      </c>
    </row>
    <row r="2300" spans="1:8" x14ac:dyDescent="0.35">
      <c r="A2300" s="980" t="s">
        <v>4513</v>
      </c>
      <c r="B2300" s="900">
        <v>3186.4369686923628</v>
      </c>
      <c r="D2300" s="900">
        <v>1.1830004795994571</v>
      </c>
      <c r="E2300" s="900">
        <v>346.01602436597079</v>
      </c>
      <c r="F2300" s="900">
        <v>1055.578518517156</v>
      </c>
      <c r="G2300" s="900">
        <v>2511.4917884039628</v>
      </c>
      <c r="H2300" s="900">
        <v>3186.4498975003771</v>
      </c>
    </row>
    <row r="2301" spans="1:8" x14ac:dyDescent="0.35">
      <c r="A2301" s="980" t="s">
        <v>4514</v>
      </c>
      <c r="C2301" s="900">
        <v>0</v>
      </c>
    </row>
    <row r="2302" spans="1:8" x14ac:dyDescent="0.35">
      <c r="A2302" s="980" t="s">
        <v>4515</v>
      </c>
      <c r="B2302" s="900">
        <v>1575.5924783438011</v>
      </c>
      <c r="C2302" s="900">
        <v>452.00252233874079</v>
      </c>
      <c r="D2302" s="900">
        <v>508.48011998354349</v>
      </c>
      <c r="E2302" s="900">
        <v>2579.812160717097</v>
      </c>
      <c r="F2302" s="900">
        <v>6160.6237037478086</v>
      </c>
      <c r="G2302" s="900">
        <v>12111.270291389499</v>
      </c>
      <c r="H2302" s="900">
        <v>1553.2262122811881</v>
      </c>
    </row>
    <row r="2303" spans="1:8" x14ac:dyDescent="0.35">
      <c r="A2303" s="980" t="s">
        <v>4293</v>
      </c>
      <c r="B2303" s="900">
        <v>15886.69895914054</v>
      </c>
      <c r="C2303" s="900">
        <v>4557.5414327415228</v>
      </c>
      <c r="D2303" s="900">
        <v>5127.0050497940692</v>
      </c>
      <c r="E2303" s="900">
        <v>26012.246016510489</v>
      </c>
      <c r="F2303" s="900">
        <v>62117.568804889161</v>
      </c>
      <c r="G2303" s="900">
        <v>122117.9383480804</v>
      </c>
      <c r="H2303" s="900">
        <v>15661.179898431221</v>
      </c>
    </row>
    <row r="2304" spans="1:8" x14ac:dyDescent="0.35">
      <c r="A2304" s="980" t="s">
        <v>2497</v>
      </c>
      <c r="B2304" s="900">
        <v>267.85072131844612</v>
      </c>
      <c r="C2304" s="900">
        <v>76.840428797585943</v>
      </c>
      <c r="D2304" s="900">
        <v>86.441620397202414</v>
      </c>
      <c r="E2304" s="900">
        <v>438.56806732190648</v>
      </c>
      <c r="F2304" s="900">
        <v>1047.3060296371279</v>
      </c>
      <c r="G2304" s="900">
        <v>2058.915949536216</v>
      </c>
      <c r="H2304" s="900">
        <v>264.04845608780198</v>
      </c>
    </row>
    <row r="2305" spans="1:8" x14ac:dyDescent="0.35">
      <c r="A2305" s="980" t="s">
        <v>4160</v>
      </c>
      <c r="B2305" s="900">
        <v>16502.670712103321</v>
      </c>
      <c r="C2305" s="900">
        <v>0</v>
      </c>
      <c r="D2305" s="900">
        <v>0.49107680590368391</v>
      </c>
      <c r="E2305" s="900">
        <v>2.7122418447224732E-3</v>
      </c>
      <c r="F2305" s="900">
        <v>2.9735059541241E-3</v>
      </c>
      <c r="G2305" s="900">
        <v>2.1482145293314129E-4</v>
      </c>
      <c r="H2305" s="900">
        <v>16476.364785163289</v>
      </c>
    </row>
    <row r="2306" spans="1:8" x14ac:dyDescent="0.35">
      <c r="A2306" s="980" t="s">
        <v>4516</v>
      </c>
      <c r="B2306" s="900">
        <v>22608.65887558155</v>
      </c>
      <c r="D2306" s="900">
        <v>0.67277522408804691</v>
      </c>
      <c r="E2306" s="900">
        <v>3.7157713272697882E-3</v>
      </c>
      <c r="F2306" s="900">
        <v>4.0737031571500184E-3</v>
      </c>
      <c r="G2306" s="900">
        <v>2.9430539051840361E-4</v>
      </c>
      <c r="H2306" s="900">
        <v>22572.61975567371</v>
      </c>
    </row>
    <row r="2307" spans="1:8" x14ac:dyDescent="0.35">
      <c r="A2307" s="980" t="s">
        <v>4517</v>
      </c>
      <c r="C2307" s="900">
        <v>0</v>
      </c>
    </row>
    <row r="2308" spans="1:8" x14ac:dyDescent="0.35">
      <c r="A2308" s="980" t="s">
        <v>2498</v>
      </c>
      <c r="B2308" s="900">
        <v>24754.00606815498</v>
      </c>
      <c r="D2308" s="900">
        <v>0.73661520885552578</v>
      </c>
      <c r="E2308" s="900">
        <v>4.0683627670837098E-3</v>
      </c>
      <c r="F2308" s="900">
        <v>4.4602589311861507E-3</v>
      </c>
      <c r="G2308" s="900">
        <v>3.2223217939971192E-4</v>
      </c>
      <c r="H2308" s="900">
        <v>24714.547177744938</v>
      </c>
    </row>
    <row r="2309" spans="1:8" x14ac:dyDescent="0.35">
      <c r="A2309" s="980" t="s">
        <v>4518</v>
      </c>
      <c r="C2309" s="900">
        <v>0</v>
      </c>
    </row>
    <row r="2310" spans="1:8" x14ac:dyDescent="0.35">
      <c r="A2310" s="980" t="s">
        <v>2502</v>
      </c>
      <c r="B2310" s="900">
        <v>104511.4136197503</v>
      </c>
      <c r="D2310" s="900">
        <v>3.10998941178803</v>
      </c>
      <c r="E2310" s="900">
        <v>1.717662760262742E-2</v>
      </c>
      <c r="F2310" s="900">
        <v>1.8831213207467921E-2</v>
      </c>
      <c r="G2310" s="900">
        <v>1.3604642614255839E-3</v>
      </c>
      <c r="H2310" s="900">
        <v>104344.81818443909</v>
      </c>
    </row>
    <row r="2311" spans="1:8" x14ac:dyDescent="0.35">
      <c r="A2311" s="980" t="s">
        <v>4519</v>
      </c>
      <c r="C2311" s="900">
        <v>0</v>
      </c>
    </row>
    <row r="2312" spans="1:8" x14ac:dyDescent="0.35">
      <c r="A2312" s="980" t="s">
        <v>4154</v>
      </c>
      <c r="B2312" s="900">
        <v>1.510695086941379E-2</v>
      </c>
      <c r="C2312" s="900">
        <v>0</v>
      </c>
      <c r="D2312" s="900">
        <v>1.69418573722554</v>
      </c>
      <c r="E2312" s="900">
        <v>6.0665292013843827E-4</v>
      </c>
      <c r="F2312" s="900">
        <v>1.6945242657136851E-4</v>
      </c>
      <c r="G2312" s="900">
        <v>2.3938098239038551E-5</v>
      </c>
      <c r="H2312" s="900">
        <v>2.7980879004743911E-5</v>
      </c>
    </row>
    <row r="2313" spans="1:8" x14ac:dyDescent="0.35">
      <c r="A2313" s="980" t="s">
        <v>2496</v>
      </c>
      <c r="B2313" s="900">
        <v>2.5681816478003452E-3</v>
      </c>
      <c r="D2313" s="900">
        <v>0.28801157532834187</v>
      </c>
      <c r="E2313" s="900">
        <v>1.031309964235345E-4</v>
      </c>
      <c r="F2313" s="900">
        <v>2.8806912517132649E-5</v>
      </c>
      <c r="G2313" s="900">
        <v>4.0694767006365541E-6</v>
      </c>
      <c r="H2313" s="900">
        <v>4.7567494308064657E-6</v>
      </c>
    </row>
    <row r="2314" spans="1:8" x14ac:dyDescent="0.35">
      <c r="A2314" s="980" t="s">
        <v>4520</v>
      </c>
      <c r="C2314" s="900">
        <v>0</v>
      </c>
    </row>
    <row r="2315" spans="1:8" x14ac:dyDescent="0.35">
      <c r="A2315" s="980" t="s">
        <v>2508</v>
      </c>
      <c r="B2315" s="900">
        <v>5.0351467247756167E-2</v>
      </c>
      <c r="D2315" s="900">
        <v>5.646721062172726</v>
      </c>
      <c r="E2315" s="900">
        <v>2.0219741828214149E-3</v>
      </c>
      <c r="F2315" s="900">
        <v>5.6478493776237115E-4</v>
      </c>
      <c r="G2315" s="900">
        <v>7.9785681430715507E-5</v>
      </c>
      <c r="H2315" s="900">
        <v>9.3260269722811467E-5</v>
      </c>
    </row>
    <row r="2316" spans="1:8" x14ac:dyDescent="0.35">
      <c r="A2316" s="980" t="s">
        <v>4521</v>
      </c>
      <c r="C2316" s="900">
        <v>0</v>
      </c>
    </row>
    <row r="2317" spans="1:8" x14ac:dyDescent="0.35">
      <c r="A2317" s="980" t="s">
        <v>4294</v>
      </c>
      <c r="B2317" s="900">
        <v>0.15232338561629921</v>
      </c>
      <c r="D2317" s="900">
        <v>17.082474788445118</v>
      </c>
      <c r="E2317" s="900">
        <v>6.1168813937558728E-3</v>
      </c>
      <c r="F2317" s="900">
        <v>1.708588817119109E-3</v>
      </c>
      <c r="G2317" s="900">
        <v>2.4136784454422571E-4</v>
      </c>
      <c r="H2317" s="900">
        <v>2.8213120300483291E-4</v>
      </c>
    </row>
    <row r="2318" spans="1:8" x14ac:dyDescent="0.35">
      <c r="A2318" s="980" t="s">
        <v>4522</v>
      </c>
      <c r="C2318" s="900">
        <v>0</v>
      </c>
    </row>
    <row r="2319" spans="1:8" x14ac:dyDescent="0.35">
      <c r="A2319" s="980" t="s">
        <v>2482</v>
      </c>
      <c r="B2319" s="900">
        <v>5389.325444394708</v>
      </c>
      <c r="C2319" s="900">
        <v>2898.6839993141111</v>
      </c>
      <c r="D2319" s="900">
        <v>3065.9999714949081</v>
      </c>
      <c r="E2319" s="900">
        <v>4171.5069556026201</v>
      </c>
      <c r="F2319" s="900">
        <v>4779.5971402908672</v>
      </c>
      <c r="G2319" s="900">
        <v>5084.4995909125737</v>
      </c>
      <c r="H2319" s="900">
        <v>5389.3497233575827</v>
      </c>
    </row>
    <row r="2320" spans="1:8" x14ac:dyDescent="0.35">
      <c r="A2320" s="980" t="s">
        <v>2483</v>
      </c>
      <c r="B2320" s="900">
        <v>5109.0805212861833</v>
      </c>
      <c r="C2320" s="900">
        <v>2747.9524313497768</v>
      </c>
      <c r="D2320" s="900">
        <v>2906.5679729771732</v>
      </c>
      <c r="E2320" s="900">
        <v>3954.5885939112841</v>
      </c>
      <c r="F2320" s="900">
        <v>4531.0580889957419</v>
      </c>
      <c r="G2320" s="900">
        <v>4820.1056121851198</v>
      </c>
      <c r="H2320" s="900">
        <v>5109.103537742988</v>
      </c>
    </row>
    <row r="2321" spans="1:8" x14ac:dyDescent="0.35">
      <c r="A2321" s="980" t="s">
        <v>2491</v>
      </c>
      <c r="B2321" s="900">
        <v>12664.91479432756</v>
      </c>
      <c r="C2321" s="900">
        <v>6811.9073983881608</v>
      </c>
      <c r="D2321" s="900">
        <v>7205.0999330130326</v>
      </c>
      <c r="E2321" s="900">
        <v>9803.041345666159</v>
      </c>
      <c r="F2321" s="900">
        <v>11232.05327968354</v>
      </c>
      <c r="G2321" s="900">
        <v>11948.57403864455</v>
      </c>
      <c r="H2321" s="900">
        <v>12664.97184989032</v>
      </c>
    </row>
    <row r="2322" spans="1:8" x14ac:dyDescent="0.35">
      <c r="A2322" s="980" t="s">
        <v>2505</v>
      </c>
      <c r="B2322" s="900">
        <v>1616.797633318412</v>
      </c>
      <c r="C2322" s="900">
        <v>869.60519979423339</v>
      </c>
      <c r="D2322" s="900">
        <v>919.79999144847238</v>
      </c>
      <c r="E2322" s="900">
        <v>1251.4520866807859</v>
      </c>
      <c r="F2322" s="900">
        <v>1433.8791420872601</v>
      </c>
      <c r="G2322" s="900">
        <v>1525.3498772737721</v>
      </c>
      <c r="H2322" s="900">
        <v>1616.804917007275</v>
      </c>
    </row>
    <row r="2323" spans="1:8" x14ac:dyDescent="0.35">
      <c r="A2323" s="980" t="s">
        <v>2479</v>
      </c>
      <c r="B2323" s="900">
        <v>2.4606224751165529E-2</v>
      </c>
      <c r="C2323" s="900">
        <v>966.22799931327381</v>
      </c>
      <c r="D2323" s="900">
        <v>1021.415971735199</v>
      </c>
      <c r="E2323" s="900">
        <v>303.19304979982331</v>
      </c>
      <c r="F2323" s="900">
        <v>2.8628304966692541E-3</v>
      </c>
      <c r="G2323" s="900">
        <v>4.0924542019660622E-4</v>
      </c>
      <c r="H2323" s="900">
        <v>2.768048563776382E-4</v>
      </c>
    </row>
    <row r="2324" spans="1:8" x14ac:dyDescent="0.35">
      <c r="A2324" s="980" t="s">
        <v>2480</v>
      </c>
      <c r="B2324" s="900">
        <v>2.3326701064104921E-2</v>
      </c>
      <c r="C2324" s="900">
        <v>915.98414334898348</v>
      </c>
      <c r="D2324" s="900">
        <v>968.30234120496868</v>
      </c>
      <c r="E2324" s="900">
        <v>287.42701121023248</v>
      </c>
      <c r="F2324" s="900">
        <v>2.7139633108424531E-3</v>
      </c>
      <c r="G2324" s="900">
        <v>3.879646583463827E-4</v>
      </c>
      <c r="H2324" s="900">
        <v>2.6241100384600098E-4</v>
      </c>
    </row>
    <row r="2325" spans="1:8" x14ac:dyDescent="0.35">
      <c r="A2325" s="980" t="s">
        <v>2490</v>
      </c>
      <c r="B2325" s="900">
        <v>6.3976184353030374E-2</v>
      </c>
      <c r="C2325" s="900">
        <v>2512.1927982145121</v>
      </c>
      <c r="D2325" s="900">
        <v>2655.6815265115179</v>
      </c>
      <c r="E2325" s="900">
        <v>788.3019294795406</v>
      </c>
      <c r="F2325" s="900">
        <v>7.4433592913400607E-3</v>
      </c>
      <c r="G2325" s="900">
        <v>1.064038092511176E-3</v>
      </c>
      <c r="H2325" s="900">
        <v>7.1969262658185928E-4</v>
      </c>
    </row>
    <row r="2326" spans="1:8" x14ac:dyDescent="0.35">
      <c r="A2326" s="980" t="s">
        <v>4523</v>
      </c>
      <c r="B2326" s="900">
        <v>2.2145602276048969E-2</v>
      </c>
      <c r="C2326" s="900">
        <v>869.60519938194636</v>
      </c>
      <c r="D2326" s="900">
        <v>919.27437456167911</v>
      </c>
      <c r="E2326" s="900">
        <v>272.87374481984091</v>
      </c>
      <c r="F2326" s="900">
        <v>2.576547447002329E-3</v>
      </c>
      <c r="G2326" s="900">
        <v>3.6832087817694549E-4</v>
      </c>
      <c r="H2326" s="900">
        <v>2.4912437073987427E-4</v>
      </c>
    </row>
    <row r="2327" spans="1:8" x14ac:dyDescent="0.35">
      <c r="A2327" s="980" t="s">
        <v>4524</v>
      </c>
      <c r="B2327" s="900">
        <v>4.4281387718264212E-3</v>
      </c>
      <c r="C2327" s="900">
        <v>678.00373539098121</v>
      </c>
      <c r="D2327" s="900">
        <v>708.68537655571663</v>
      </c>
      <c r="E2327" s="900">
        <v>4.2194025886226911E-3</v>
      </c>
      <c r="F2327" s="900">
        <v>1.406792828632612E-3</v>
      </c>
      <c r="G2327" s="900">
        <v>3.8081465299244488E-4</v>
      </c>
      <c r="H2327" s="900">
        <v>2.2825680757713282E-5</v>
      </c>
    </row>
    <row r="2328" spans="1:8" x14ac:dyDescent="0.35">
      <c r="A2328" s="980" t="s">
        <v>4525</v>
      </c>
      <c r="B2328" s="900">
        <v>7.9706497892875576E-4</v>
      </c>
      <c r="C2328" s="900">
        <v>122.0406723703766</v>
      </c>
      <c r="D2328" s="900">
        <v>127.563367780029</v>
      </c>
      <c r="E2328" s="900">
        <v>7.5949246595208427E-4</v>
      </c>
      <c r="F2328" s="900">
        <v>2.5322270915387022E-4</v>
      </c>
      <c r="G2328" s="900">
        <v>6.8546637538640076E-5</v>
      </c>
      <c r="H2328" s="900">
        <v>4.1086225363883912E-6</v>
      </c>
    </row>
    <row r="2329" spans="1:8" x14ac:dyDescent="0.35">
      <c r="A2329" s="980" t="s">
        <v>4526</v>
      </c>
      <c r="B2329" s="900">
        <v>1.867788933956384E-3</v>
      </c>
      <c r="C2329" s="900">
        <v>285.98197558791588</v>
      </c>
      <c r="D2329" s="900">
        <v>298.92349183120132</v>
      </c>
      <c r="E2329" s="900">
        <v>1.779744011881051E-3</v>
      </c>
      <c r="F2329" s="900">
        <v>5.9338521511723575E-4</v>
      </c>
      <c r="G2329" s="900">
        <v>1.6062762063221331E-4</v>
      </c>
      <c r="H2329" s="900">
        <v>9.6278721436034653E-6</v>
      </c>
    </row>
    <row r="2330" spans="1:8" x14ac:dyDescent="0.35">
      <c r="A2330" s="980" t="s">
        <v>2512</v>
      </c>
      <c r="B2330" s="900">
        <v>3.8967621192072512E-2</v>
      </c>
      <c r="C2330" s="900">
        <v>5966.4328714406338</v>
      </c>
      <c r="D2330" s="900">
        <v>6236.4313136903056</v>
      </c>
      <c r="E2330" s="900">
        <v>3.7130742779879683E-2</v>
      </c>
      <c r="F2330" s="900">
        <v>1.237977689196699E-2</v>
      </c>
      <c r="G2330" s="900">
        <v>3.3511689463335149E-3</v>
      </c>
      <c r="H2330" s="900">
        <v>2.0086599066787691E-4</v>
      </c>
    </row>
    <row r="2331" spans="1:8" x14ac:dyDescent="0.35">
      <c r="A2331" s="980" t="s">
        <v>4527</v>
      </c>
      <c r="B2331" s="900">
        <v>20498.392024388351</v>
      </c>
      <c r="C2331" s="900">
        <v>20339.375416472649</v>
      </c>
      <c r="D2331" s="900">
        <v>20494.934728134689</v>
      </c>
      <c r="E2331" s="900">
        <v>20498.39843478478</v>
      </c>
      <c r="F2331" s="900">
        <v>20498.399451952999</v>
      </c>
      <c r="G2331" s="900">
        <v>20498.39989934738</v>
      </c>
      <c r="H2331" s="900">
        <v>20498.39999628978</v>
      </c>
    </row>
    <row r="2332" spans="1:8" x14ac:dyDescent="0.35">
      <c r="A2332" s="980" t="s">
        <v>4528</v>
      </c>
      <c r="B2332" s="900">
        <v>20498.392024388351</v>
      </c>
      <c r="C2332" s="900">
        <v>20339.375416472649</v>
      </c>
      <c r="D2332" s="900">
        <v>20494.934728134689</v>
      </c>
      <c r="E2332" s="900">
        <v>20498.39843478478</v>
      </c>
      <c r="F2332" s="900">
        <v>20498.399451952999</v>
      </c>
      <c r="G2332" s="900">
        <v>20498.39989934738</v>
      </c>
      <c r="H2332" s="900">
        <v>20498.39999628978</v>
      </c>
    </row>
    <row r="2333" spans="1:8" x14ac:dyDescent="0.35">
      <c r="A2333" s="980" t="s">
        <v>3919</v>
      </c>
      <c r="B2333" s="900">
        <v>2495.067190771329</v>
      </c>
      <c r="C2333" s="900">
        <v>0</v>
      </c>
      <c r="D2333" s="900">
        <v>0.29791517172856119</v>
      </c>
      <c r="E2333" s="900">
        <v>3.5511824346520879E-4</v>
      </c>
      <c r="F2333" s="900">
        <v>2.2869046206334251E-4</v>
      </c>
      <c r="G2333" s="900">
        <v>2301.883477601481</v>
      </c>
      <c r="H2333" s="900">
        <v>2515.8861596017309</v>
      </c>
    </row>
    <row r="2334" spans="1:8" x14ac:dyDescent="0.35">
      <c r="A2334" s="980" t="s">
        <v>4529</v>
      </c>
      <c r="B2334" s="900">
        <v>3032.5046636634738</v>
      </c>
      <c r="D2334" s="900">
        <v>0.36208609971889327</v>
      </c>
      <c r="E2334" s="900">
        <v>4.3161071310761492E-4</v>
      </c>
      <c r="F2334" s="900">
        <v>2.7795038759178653E-4</v>
      </c>
      <c r="G2334" s="900">
        <v>2797.709178676841</v>
      </c>
      <c r="H2334" s="900">
        <v>3057.8080383799452</v>
      </c>
    </row>
    <row r="2335" spans="1:8" x14ac:dyDescent="0.35">
      <c r="A2335" s="980" t="s">
        <v>4530</v>
      </c>
      <c r="C2335" s="900">
        <v>0</v>
      </c>
    </row>
    <row r="2336" spans="1:8" x14ac:dyDescent="0.35">
      <c r="A2336" s="980" t="s">
        <v>4531</v>
      </c>
      <c r="B2336" s="900">
        <v>2495.067190771329</v>
      </c>
      <c r="D2336" s="900">
        <v>0.29791517172856119</v>
      </c>
      <c r="E2336" s="900">
        <v>3.5511824346520879E-4</v>
      </c>
      <c r="F2336" s="900">
        <v>2.2869046206334251E-4</v>
      </c>
      <c r="G2336" s="900">
        <v>2301.883477601481</v>
      </c>
      <c r="H2336" s="900">
        <v>2515.8861596017309</v>
      </c>
    </row>
    <row r="2337" spans="1:8" x14ac:dyDescent="0.35">
      <c r="A2337" s="980" t="s">
        <v>4532</v>
      </c>
      <c r="C2337" s="900">
        <v>0</v>
      </c>
    </row>
    <row r="2338" spans="1:8" x14ac:dyDescent="0.35">
      <c r="A2338" s="980" t="s">
        <v>3918</v>
      </c>
      <c r="B2338" s="900">
        <v>6285.670595967511</v>
      </c>
      <c r="C2338" s="900">
        <v>12604.93066366337</v>
      </c>
      <c r="D2338" s="900">
        <v>13266.04968075352</v>
      </c>
      <c r="E2338" s="900">
        <v>13376.444911127301</v>
      </c>
      <c r="F2338" s="900">
        <v>12529.62029728744</v>
      </c>
      <c r="G2338" s="900">
        <v>8359.9971236877991</v>
      </c>
      <c r="H2338" s="900">
        <v>6285.6640099236511</v>
      </c>
    </row>
    <row r="2339" spans="1:8" x14ac:dyDescent="0.35">
      <c r="A2339" s="980" t="s">
        <v>3916</v>
      </c>
      <c r="B2339" s="900">
        <v>7639.604042338914</v>
      </c>
      <c r="C2339" s="900">
        <v>15320.032728616459</v>
      </c>
      <c r="D2339" s="900">
        <v>16123.556781987831</v>
      </c>
      <c r="E2339" s="900">
        <v>16257.731144984131</v>
      </c>
      <c r="F2339" s="900">
        <v>15228.50050932315</v>
      </c>
      <c r="G2339" s="900">
        <v>10160.74050413015</v>
      </c>
      <c r="H2339" s="900">
        <v>7639.5960376612047</v>
      </c>
    </row>
    <row r="2340" spans="1:8" x14ac:dyDescent="0.35">
      <c r="A2340" s="980" t="s">
        <v>4533</v>
      </c>
      <c r="B2340" s="900">
        <v>6285.670595967511</v>
      </c>
      <c r="C2340" s="900">
        <v>12604.93066366337</v>
      </c>
      <c r="D2340" s="900">
        <v>13266.04968075352</v>
      </c>
      <c r="E2340" s="900">
        <v>13376.444911127301</v>
      </c>
      <c r="F2340" s="900">
        <v>12529.62029728744</v>
      </c>
      <c r="G2340" s="900">
        <v>8359.9971236877991</v>
      </c>
      <c r="H2340" s="900">
        <v>6285.6640099236511</v>
      </c>
    </row>
    <row r="2341" spans="1:8" x14ac:dyDescent="0.35">
      <c r="A2341" s="980" t="s">
        <v>4534</v>
      </c>
      <c r="B2341" s="900">
        <v>8353.7208412890141</v>
      </c>
      <c r="C2341" s="900">
        <v>0</v>
      </c>
      <c r="D2341" s="900">
        <v>0.29810812548680632</v>
      </c>
      <c r="E2341" s="900">
        <v>83.849475620608601</v>
      </c>
      <c r="F2341" s="900">
        <v>761.03214914554496</v>
      </c>
      <c r="G2341" s="900">
        <v>2.254231629115399E-4</v>
      </c>
      <c r="H2341" s="900">
        <v>8546.7219175638511</v>
      </c>
    </row>
    <row r="2342" spans="1:8" x14ac:dyDescent="0.35">
      <c r="A2342" s="980" t="s">
        <v>3929</v>
      </c>
      <c r="B2342" s="900">
        <v>39262.487954058357</v>
      </c>
      <c r="D2342" s="900">
        <v>1.40110818978799</v>
      </c>
      <c r="E2342" s="900">
        <v>394.09253541686053</v>
      </c>
      <c r="F2342" s="900">
        <v>3576.8511009840608</v>
      </c>
      <c r="G2342" s="900">
        <v>1.0594888656842371E-3</v>
      </c>
      <c r="H2342" s="900">
        <v>40169.593012550104</v>
      </c>
    </row>
    <row r="2343" spans="1:8" x14ac:dyDescent="0.35">
      <c r="A2343" s="980" t="s">
        <v>4535</v>
      </c>
      <c r="C2343" s="900">
        <v>0</v>
      </c>
    </row>
    <row r="2344" spans="1:8" x14ac:dyDescent="0.35">
      <c r="A2344" s="980" t="s">
        <v>4536</v>
      </c>
      <c r="B2344" s="900">
        <v>427.01817575834372</v>
      </c>
      <c r="C2344" s="900">
        <v>12604.93685536</v>
      </c>
      <c r="D2344" s="900">
        <v>13266.19324343675</v>
      </c>
      <c r="E2344" s="900">
        <v>13292.59600293911</v>
      </c>
      <c r="F2344" s="900">
        <v>11768.588486196861</v>
      </c>
      <c r="G2344" s="900">
        <v>10661.880382579569</v>
      </c>
      <c r="H2344" s="900">
        <v>254.82825589817421</v>
      </c>
    </row>
    <row r="2345" spans="1:8" x14ac:dyDescent="0.35">
      <c r="A2345" s="980" t="s">
        <v>3928</v>
      </c>
      <c r="B2345" s="900">
        <v>42.701817575834362</v>
      </c>
      <c r="C2345" s="900">
        <v>1260.4936855359999</v>
      </c>
      <c r="D2345" s="900">
        <v>1326.6193243436751</v>
      </c>
      <c r="E2345" s="900">
        <v>1329.259600293911</v>
      </c>
      <c r="F2345" s="900">
        <v>1176.858848619687</v>
      </c>
      <c r="G2345" s="900">
        <v>1066.188038257957</v>
      </c>
      <c r="H2345" s="900">
        <v>25.48282558981742</v>
      </c>
    </row>
    <row r="2346" spans="1:8" x14ac:dyDescent="0.35">
      <c r="A2346" s="980" t="s">
        <v>3921</v>
      </c>
      <c r="B2346" s="900">
        <v>9551.3919545312947</v>
      </c>
      <c r="C2346" s="900">
        <v>0</v>
      </c>
      <c r="D2346" s="900">
        <v>0.29795667025572009</v>
      </c>
      <c r="E2346" s="900">
        <v>1.4336302855096131E-3</v>
      </c>
      <c r="F2346" s="900">
        <v>1.377997392212636E-3</v>
      </c>
      <c r="G2346" s="900">
        <v>2301.8835580440491</v>
      </c>
      <c r="H2346" s="900">
        <v>9551.3934929063162</v>
      </c>
    </row>
    <row r="2347" spans="1:8" x14ac:dyDescent="0.35">
      <c r="A2347" s="980" t="s">
        <v>4537</v>
      </c>
      <c r="B2347" s="900">
        <v>9551.3919545312947</v>
      </c>
      <c r="D2347" s="900">
        <v>0.29795667025572009</v>
      </c>
      <c r="E2347" s="900">
        <v>1.4336302855096131E-3</v>
      </c>
      <c r="F2347" s="900">
        <v>1.377997392212636E-3</v>
      </c>
      <c r="G2347" s="900">
        <v>2301.8835580440491</v>
      </c>
      <c r="H2347" s="900">
        <v>9551.3934929063162</v>
      </c>
    </row>
    <row r="2348" spans="1:8" x14ac:dyDescent="0.35">
      <c r="A2348" s="980" t="s">
        <v>4538</v>
      </c>
      <c r="C2348" s="900">
        <v>0</v>
      </c>
    </row>
    <row r="2349" spans="1:8" x14ac:dyDescent="0.35">
      <c r="A2349" s="980" t="s">
        <v>3920</v>
      </c>
      <c r="B2349" s="900">
        <v>6285.6723868525587</v>
      </c>
      <c r="C2349" s="900">
        <v>12604.93066366337</v>
      </c>
      <c r="D2349" s="900">
        <v>13266.04972223709</v>
      </c>
      <c r="E2349" s="900">
        <v>13920.130227950531</v>
      </c>
      <c r="F2349" s="900">
        <v>14566.31820345009</v>
      </c>
      <c r="G2349" s="900">
        <v>12903.02133060535</v>
      </c>
      <c r="H2349" s="900">
        <v>6285.6640277522392</v>
      </c>
    </row>
    <row r="2350" spans="1:8" x14ac:dyDescent="0.35">
      <c r="A2350" s="980" t="s">
        <v>4539</v>
      </c>
      <c r="B2350" s="900">
        <v>6285.6723868525587</v>
      </c>
      <c r="C2350" s="900">
        <v>12604.93066366337</v>
      </c>
      <c r="D2350" s="900">
        <v>13266.04972223709</v>
      </c>
      <c r="E2350" s="900">
        <v>13920.130227950531</v>
      </c>
      <c r="F2350" s="900">
        <v>14566.31820345009</v>
      </c>
      <c r="G2350" s="900">
        <v>12903.02133060535</v>
      </c>
      <c r="H2350" s="900">
        <v>6285.6640277522392</v>
      </c>
    </row>
    <row r="2351" spans="1:8" x14ac:dyDescent="0.35">
      <c r="A2351" s="980" t="s">
        <v>3966</v>
      </c>
      <c r="B2351" s="900">
        <v>5647.0884401727562</v>
      </c>
      <c r="C2351" s="900">
        <v>4377.9993083896852</v>
      </c>
      <c r="D2351" s="900">
        <v>4631.7844243842856</v>
      </c>
      <c r="E2351" s="900">
        <v>4885.5982454809264</v>
      </c>
      <c r="F2351" s="900">
        <v>5139.449485685097</v>
      </c>
      <c r="G2351" s="900">
        <v>5393.2999130850949</v>
      </c>
      <c r="H2351" s="900">
        <v>5647.0999565712154</v>
      </c>
    </row>
    <row r="2352" spans="1:8" x14ac:dyDescent="0.35">
      <c r="A2352" s="980" t="s">
        <v>3967</v>
      </c>
      <c r="B2352" s="900">
        <v>6856.7714066902017</v>
      </c>
      <c r="C2352" s="900">
        <v>5315.8261632179301</v>
      </c>
      <c r="D2352" s="900">
        <v>5623.9754945469958</v>
      </c>
      <c r="E2352" s="900">
        <v>5932.1596800004454</v>
      </c>
      <c r="F2352" s="900">
        <v>6240.3893002419791</v>
      </c>
      <c r="G2352" s="900">
        <v>6548.617933565657</v>
      </c>
      <c r="H2352" s="900">
        <v>6856.7853900574701</v>
      </c>
    </row>
    <row r="2353" spans="1:8" x14ac:dyDescent="0.35">
      <c r="A2353" s="980" t="s">
        <v>3944</v>
      </c>
      <c r="B2353" s="900">
        <v>4992.0261811127166</v>
      </c>
      <c r="C2353" s="900">
        <v>3870.1513886164821</v>
      </c>
      <c r="D2353" s="900">
        <v>4094.497431155708</v>
      </c>
      <c r="E2353" s="900">
        <v>4318.8688490051391</v>
      </c>
      <c r="F2353" s="900">
        <v>4543.2733453456258</v>
      </c>
      <c r="G2353" s="900">
        <v>4767.6771231672237</v>
      </c>
      <c r="H2353" s="900">
        <v>4992.0363616089526</v>
      </c>
    </row>
    <row r="2354" spans="1:8" x14ac:dyDescent="0.35">
      <c r="A2354" s="980" t="s">
        <v>3950</v>
      </c>
      <c r="B2354" s="900">
        <v>655.06225906003965</v>
      </c>
      <c r="C2354" s="900">
        <v>507.84791977320339</v>
      </c>
      <c r="D2354" s="900">
        <v>537.2869932285771</v>
      </c>
      <c r="E2354" s="900">
        <v>566.72939647578744</v>
      </c>
      <c r="F2354" s="900">
        <v>596.1761403394712</v>
      </c>
      <c r="G2354" s="900">
        <v>625.62278991787093</v>
      </c>
      <c r="H2354" s="900">
        <v>655.06359496226082</v>
      </c>
    </row>
    <row r="2355" spans="1:8" x14ac:dyDescent="0.35">
      <c r="A2355" s="980" t="s">
        <v>3968</v>
      </c>
      <c r="B2355" s="900">
        <v>1.158447746889715E-2</v>
      </c>
      <c r="C2355" s="900">
        <v>7.4815472178616567E-4</v>
      </c>
      <c r="D2355" s="900">
        <v>1.695240801170788E-2</v>
      </c>
      <c r="E2355" s="900">
        <v>1.7571957891883651E-3</v>
      </c>
      <c r="F2355" s="900">
        <v>5.1585620037348763E-4</v>
      </c>
      <c r="G2355" s="900">
        <v>8.6990132447161913E-5</v>
      </c>
      <c r="H2355" s="900">
        <v>4.3508033804520839E-5</v>
      </c>
    </row>
    <row r="2356" spans="1:8" x14ac:dyDescent="0.35">
      <c r="A2356" s="980" t="s">
        <v>3969</v>
      </c>
      <c r="B2356" s="900">
        <v>1.406602972694914E-2</v>
      </c>
      <c r="C2356" s="900">
        <v>9.0841961454506777E-4</v>
      </c>
      <c r="D2356" s="900">
        <v>2.0583843826902849E-2</v>
      </c>
      <c r="E2356" s="900">
        <v>2.1336109697787211E-3</v>
      </c>
      <c r="F2356" s="900">
        <v>6.2635959789866043E-4</v>
      </c>
      <c r="G2356" s="900">
        <v>1.056245991446959E-4</v>
      </c>
      <c r="H2356" s="900">
        <v>5.2828044985076031E-5</v>
      </c>
    </row>
    <row r="2357" spans="1:8" x14ac:dyDescent="0.35">
      <c r="A2357" s="980" t="s">
        <v>3945</v>
      </c>
      <c r="B2357" s="900">
        <v>1.158447746889715E-2</v>
      </c>
      <c r="C2357" s="900">
        <v>7.4815472178616567E-4</v>
      </c>
      <c r="D2357" s="900">
        <v>1.695240801170788E-2</v>
      </c>
      <c r="E2357" s="900">
        <v>1.7571957891883651E-3</v>
      </c>
      <c r="F2357" s="900">
        <v>5.1585620037348763E-4</v>
      </c>
      <c r="G2357" s="900">
        <v>8.6990132447161913E-5</v>
      </c>
      <c r="H2357" s="900">
        <v>4.3508033804520839E-5</v>
      </c>
    </row>
    <row r="2358" spans="1:8" x14ac:dyDescent="0.35">
      <c r="A2358" s="980" t="s">
        <v>2973</v>
      </c>
      <c r="B2358" s="900">
        <v>2934.7041715602022</v>
      </c>
      <c r="C2358" s="900">
        <v>1873.7839834864239</v>
      </c>
      <c r="D2358" s="900">
        <v>2061.2108244562501</v>
      </c>
      <c r="E2358" s="900">
        <v>2257.274225692523</v>
      </c>
      <c r="F2358" s="900">
        <v>2470.373002647701</v>
      </c>
      <c r="G2358" s="900">
        <v>2692.93670323588</v>
      </c>
      <c r="H2358" s="900">
        <v>2934.7041695205921</v>
      </c>
    </row>
    <row r="2359" spans="1:8" x14ac:dyDescent="0.35">
      <c r="A2359" s="980" t="s">
        <v>4540</v>
      </c>
      <c r="B2359" s="900">
        <v>6856.7854475705653</v>
      </c>
      <c r="C2359" s="900">
        <v>4377.9999614168792</v>
      </c>
      <c r="D2359" s="900">
        <v>4815.9131412529196</v>
      </c>
      <c r="E2359" s="900">
        <v>5274.0052002161756</v>
      </c>
      <c r="F2359" s="900">
        <v>5771.8995388964977</v>
      </c>
      <c r="G2359" s="900">
        <v>6291.90818513056</v>
      </c>
      <c r="H2359" s="900">
        <v>6856.7854428051223</v>
      </c>
    </row>
    <row r="2360" spans="1:8" x14ac:dyDescent="0.35">
      <c r="A2360" s="980" t="s">
        <v>3955</v>
      </c>
      <c r="B2360" s="900">
        <v>4540.3444207655193</v>
      </c>
      <c r="C2360" s="900">
        <v>3519.999746595719</v>
      </c>
      <c r="D2360" s="900">
        <v>3724.044091826845</v>
      </c>
      <c r="E2360" s="900">
        <v>3928.0992136071609</v>
      </c>
      <c r="F2360" s="900">
        <v>4132.1997633992414</v>
      </c>
      <c r="G2360" s="900">
        <v>4336.2999589868459</v>
      </c>
      <c r="H2360" s="900">
        <v>4540.349979049518</v>
      </c>
    </row>
    <row r="2361" spans="1:8" x14ac:dyDescent="0.35">
      <c r="A2361" s="980" t="s">
        <v>3956</v>
      </c>
      <c r="B2361" s="900">
        <v>5512.9478014475726</v>
      </c>
      <c r="C2361" s="900">
        <v>4274.0314535034822</v>
      </c>
      <c r="D2361" s="900">
        <v>4521.7848660628952</v>
      </c>
      <c r="E2361" s="900">
        <v>4769.5513636545556</v>
      </c>
      <c r="F2361" s="900">
        <v>5017.3730205544916</v>
      </c>
      <c r="G2361" s="900">
        <v>5265.1942473745466</v>
      </c>
      <c r="H2361" s="900">
        <v>5512.9545503914214</v>
      </c>
    </row>
    <row r="2362" spans="1:8" x14ac:dyDescent="0.35">
      <c r="A2362" s="980" t="s">
        <v>3938</v>
      </c>
      <c r="B2362" s="900">
        <v>3450.661759781794</v>
      </c>
      <c r="C2362" s="900">
        <v>2675.1998074127459</v>
      </c>
      <c r="D2362" s="900">
        <v>2830.273509788402</v>
      </c>
      <c r="E2362" s="900">
        <v>2985.3554023414422</v>
      </c>
      <c r="F2362" s="900">
        <v>3140.471820183423</v>
      </c>
      <c r="G2362" s="900">
        <v>3295.587968830002</v>
      </c>
      <c r="H2362" s="900">
        <v>3450.6659840776329</v>
      </c>
    </row>
    <row r="2363" spans="1:8" x14ac:dyDescent="0.35">
      <c r="A2363" s="980" t="s">
        <v>3947</v>
      </c>
      <c r="B2363" s="900">
        <v>1089.6826609837251</v>
      </c>
      <c r="C2363" s="900">
        <v>844.79993918297237</v>
      </c>
      <c r="D2363" s="900">
        <v>893.77058203844274</v>
      </c>
      <c r="E2363" s="900">
        <v>942.7438112657187</v>
      </c>
      <c r="F2363" s="900">
        <v>991.72794321581796</v>
      </c>
      <c r="G2363" s="900">
        <v>1040.7119901568431</v>
      </c>
      <c r="H2363" s="900">
        <v>1089.683994971884</v>
      </c>
    </row>
    <row r="2364" spans="1:8" x14ac:dyDescent="0.35">
      <c r="A2364" s="980" t="s">
        <v>3957</v>
      </c>
      <c r="B2364" s="900">
        <v>5.6039421301510616E-3</v>
      </c>
      <c r="C2364" s="900">
        <v>3.1660150497935262E-4</v>
      </c>
      <c r="D2364" s="900">
        <v>7.4334286291705678E-3</v>
      </c>
      <c r="E2364" s="900">
        <v>7.8907456628309449E-4</v>
      </c>
      <c r="F2364" s="900">
        <v>2.3814764726526799E-4</v>
      </c>
      <c r="G2364" s="900">
        <v>4.1088051071547291E-5</v>
      </c>
      <c r="H2364" s="900">
        <v>2.1029560921977962E-5</v>
      </c>
    </row>
    <row r="2365" spans="1:8" x14ac:dyDescent="0.35">
      <c r="A2365" s="980" t="s">
        <v>3958</v>
      </c>
      <c r="B2365" s="900">
        <v>6.8043825716302894E-3</v>
      </c>
      <c r="C2365" s="900">
        <v>3.844218431597822E-4</v>
      </c>
      <c r="D2365" s="900">
        <v>9.0257699021639246E-3</v>
      </c>
      <c r="E2365" s="900">
        <v>9.5810504495496727E-4</v>
      </c>
      <c r="F2365" s="900">
        <v>2.8916210462060329E-4</v>
      </c>
      <c r="G2365" s="900">
        <v>4.9889669115115443E-5</v>
      </c>
      <c r="H2365" s="900">
        <v>2.5534378211483599E-5</v>
      </c>
    </row>
    <row r="2366" spans="1:8" x14ac:dyDescent="0.35">
      <c r="A2366" s="980" t="s">
        <v>3939</v>
      </c>
      <c r="B2366" s="900">
        <v>5.6039421301510616E-3</v>
      </c>
      <c r="C2366" s="900">
        <v>3.1660150497935262E-4</v>
      </c>
      <c r="D2366" s="900">
        <v>7.4334286291705678E-3</v>
      </c>
      <c r="E2366" s="900">
        <v>7.8907456628309449E-4</v>
      </c>
      <c r="F2366" s="900">
        <v>2.3814764726526799E-4</v>
      </c>
      <c r="G2366" s="900">
        <v>4.1088051071547291E-5</v>
      </c>
      <c r="H2366" s="900">
        <v>2.1029560921977962E-5</v>
      </c>
    </row>
    <row r="2367" spans="1:8" x14ac:dyDescent="0.35">
      <c r="A2367" s="980" t="s">
        <v>2970</v>
      </c>
      <c r="B2367" s="900">
        <v>2359.54456053079</v>
      </c>
      <c r="C2367" s="900">
        <v>1506.5599863399109</v>
      </c>
      <c r="D2367" s="900">
        <v>1657.250338480502</v>
      </c>
      <c r="E2367" s="900">
        <v>1814.8843306947749</v>
      </c>
      <c r="F2367" s="900">
        <v>1986.2194051190779</v>
      </c>
      <c r="G2367" s="900">
        <v>2165.164449641909</v>
      </c>
      <c r="H2367" s="900">
        <v>2359.5445584618042</v>
      </c>
    </row>
    <row r="2368" spans="1:8" x14ac:dyDescent="0.35">
      <c r="A2368" s="980" t="s">
        <v>4541</v>
      </c>
      <c r="B2368" s="900">
        <v>5512.9545806794167</v>
      </c>
      <c r="C2368" s="900">
        <v>3519.9999680839042</v>
      </c>
      <c r="D2368" s="900">
        <v>3872.0802300946302</v>
      </c>
      <c r="E2368" s="900">
        <v>4240.3839502214378</v>
      </c>
      <c r="F2368" s="900">
        <v>4640.6995446707433</v>
      </c>
      <c r="G2368" s="900">
        <v>5058.7954430885738</v>
      </c>
      <c r="H2368" s="900">
        <v>5512.954575845336</v>
      </c>
    </row>
    <row r="2369" spans="1:8" x14ac:dyDescent="0.35">
      <c r="A2369" s="980" t="s">
        <v>3951</v>
      </c>
      <c r="B2369" s="900">
        <v>2077.9778636858218</v>
      </c>
      <c r="C2369" s="900">
        <v>1610.9986355314279</v>
      </c>
      <c r="D2369" s="900">
        <v>1704.368934153282</v>
      </c>
      <c r="E2369" s="900">
        <v>1797.796656933142</v>
      </c>
      <c r="F2369" s="900">
        <v>1891.199019443724</v>
      </c>
      <c r="G2369" s="900">
        <v>1984.5998335744371</v>
      </c>
      <c r="H2369" s="900">
        <v>2077.9999166607658</v>
      </c>
    </row>
    <row r="2370" spans="1:8" x14ac:dyDescent="0.35">
      <c r="A2370" s="980" t="s">
        <v>3952</v>
      </c>
      <c r="B2370" s="900">
        <v>2523.1089171715271</v>
      </c>
      <c r="C2370" s="900">
        <v>1956.0964021294651</v>
      </c>
      <c r="D2370" s="900">
        <v>2069.4678856128849</v>
      </c>
      <c r="E2370" s="900">
        <v>2182.9090942881162</v>
      </c>
      <c r="F2370" s="900">
        <v>2296.319510180288</v>
      </c>
      <c r="G2370" s="900">
        <v>2409.728046008614</v>
      </c>
      <c r="H2370" s="900">
        <v>2523.1356941929312</v>
      </c>
    </row>
    <row r="2371" spans="1:8" x14ac:dyDescent="0.35">
      <c r="A2371" s="980" t="s">
        <v>3936</v>
      </c>
      <c r="B2371" s="900">
        <v>1952.26020293283</v>
      </c>
      <c r="C2371" s="900">
        <v>1513.5332180817761</v>
      </c>
      <c r="D2371" s="900">
        <v>1601.2546136370081</v>
      </c>
      <c r="E2371" s="900">
        <v>1689.0299591886869</v>
      </c>
      <c r="F2371" s="900">
        <v>1776.781478767379</v>
      </c>
      <c r="G2371" s="900">
        <v>1864.5315436431831</v>
      </c>
      <c r="H2371" s="900">
        <v>1952.28092170279</v>
      </c>
    </row>
    <row r="2372" spans="1:8" x14ac:dyDescent="0.35">
      <c r="A2372" s="980" t="s">
        <v>3946</v>
      </c>
      <c r="B2372" s="900">
        <v>125.7176607529922</v>
      </c>
      <c r="C2372" s="900">
        <v>97.465417449651355</v>
      </c>
      <c r="D2372" s="900">
        <v>103.11432051627349</v>
      </c>
      <c r="E2372" s="900">
        <v>108.7666977444551</v>
      </c>
      <c r="F2372" s="900">
        <v>114.4175406763453</v>
      </c>
      <c r="G2372" s="900">
        <v>120.0682899312534</v>
      </c>
      <c r="H2372" s="900">
        <v>125.71899495797631</v>
      </c>
    </row>
    <row r="2373" spans="1:8" x14ac:dyDescent="0.35">
      <c r="A2373" s="980" t="s">
        <v>3953</v>
      </c>
      <c r="B2373" s="900">
        <v>2.216091977957009E-2</v>
      </c>
      <c r="C2373" s="900">
        <v>1.419013164365151E-3</v>
      </c>
      <c r="D2373" s="900">
        <v>3.2372773838057887E-2</v>
      </c>
      <c r="E2373" s="900">
        <v>3.3457407794595562E-3</v>
      </c>
      <c r="F2373" s="900">
        <v>9.8209466831510484E-4</v>
      </c>
      <c r="G2373" s="900">
        <v>1.6650082858824089E-4</v>
      </c>
      <c r="H2373" s="900">
        <v>8.3418110322730938E-5</v>
      </c>
    </row>
    <row r="2374" spans="1:8" x14ac:dyDescent="0.35">
      <c r="A2374" s="980" t="s">
        <v>3954</v>
      </c>
      <c r="B2374" s="900">
        <v>2.690808948723725E-2</v>
      </c>
      <c r="C2374" s="900">
        <v>1.7229850380806671E-3</v>
      </c>
      <c r="D2374" s="900">
        <v>3.9307461244799162E-2</v>
      </c>
      <c r="E2374" s="900">
        <v>4.0624438511704724E-3</v>
      </c>
      <c r="F2374" s="900">
        <v>1.1924726718393491E-3</v>
      </c>
      <c r="G2374" s="900">
        <v>2.0216756524166481E-4</v>
      </c>
      <c r="H2374" s="900">
        <v>1.012874014141582E-4</v>
      </c>
    </row>
    <row r="2375" spans="1:8" x14ac:dyDescent="0.35">
      <c r="A2375" s="980" t="s">
        <v>3937</v>
      </c>
      <c r="B2375" s="900">
        <v>2.216091977957009E-2</v>
      </c>
      <c r="C2375" s="900">
        <v>1.419013164365151E-3</v>
      </c>
      <c r="D2375" s="900">
        <v>3.2372773838057887E-2</v>
      </c>
      <c r="E2375" s="900">
        <v>3.3457407794595562E-3</v>
      </c>
      <c r="F2375" s="900">
        <v>9.8209466831510484E-4</v>
      </c>
      <c r="G2375" s="900">
        <v>1.6650082858824089E-4</v>
      </c>
      <c r="H2375" s="900">
        <v>8.3418110322730938E-5</v>
      </c>
    </row>
    <row r="2376" spans="1:8" x14ac:dyDescent="0.35">
      <c r="A2376" s="980" t="s">
        <v>2969</v>
      </c>
      <c r="B2376" s="900">
        <v>1079.9021224447911</v>
      </c>
      <c r="C2376" s="900">
        <v>689.50798261723583</v>
      </c>
      <c r="D2376" s="900">
        <v>758.47973247758227</v>
      </c>
      <c r="E2376" s="900">
        <v>830.63034289010454</v>
      </c>
      <c r="F2376" s="900">
        <v>909.04073838096895</v>
      </c>
      <c r="G2376" s="900">
        <v>990.93359933123838</v>
      </c>
      <c r="H2376" s="900">
        <v>1079.902120431055</v>
      </c>
    </row>
    <row r="2377" spans="1:8" x14ac:dyDescent="0.35">
      <c r="A2377" s="980" t="s">
        <v>4542</v>
      </c>
      <c r="B2377" s="900">
        <v>2523.1358001046519</v>
      </c>
      <c r="C2377" s="900">
        <v>1610.999959386065</v>
      </c>
      <c r="D2377" s="900">
        <v>1772.148907657903</v>
      </c>
      <c r="E2377" s="900">
        <v>1940.7251002105249</v>
      </c>
      <c r="F2377" s="900">
        <v>2123.9269588340399</v>
      </c>
      <c r="G2377" s="900">
        <v>2315.26541899822</v>
      </c>
      <c r="H2377" s="900">
        <v>2523.1357953996621</v>
      </c>
    </row>
    <row r="2378" spans="1:8" x14ac:dyDescent="0.35">
      <c r="A2378" s="980" t="s">
        <v>3959</v>
      </c>
      <c r="B2378" s="900">
        <v>1162.1192185656159</v>
      </c>
      <c r="C2378" s="900">
        <v>900.99792291884364</v>
      </c>
      <c r="D2378" s="900">
        <v>953.20364442855544</v>
      </c>
      <c r="E2378" s="900">
        <v>1005.495212312302</v>
      </c>
      <c r="F2378" s="900">
        <v>1057.698621540701</v>
      </c>
      <c r="G2378" s="900">
        <v>1109.899770125176</v>
      </c>
      <c r="H2378" s="900">
        <v>1162.149884044813</v>
      </c>
    </row>
    <row r="2379" spans="1:8" x14ac:dyDescent="0.35">
      <c r="A2379" s="980" t="s">
        <v>3960</v>
      </c>
      <c r="B2379" s="900">
        <v>1411.06092342023</v>
      </c>
      <c r="C2379" s="900">
        <v>1094.003903216397</v>
      </c>
      <c r="D2379" s="900">
        <v>1157.392798627865</v>
      </c>
      <c r="E2379" s="900">
        <v>1220.8859298714949</v>
      </c>
      <c r="F2379" s="900">
        <v>1284.272017679619</v>
      </c>
      <c r="G2379" s="900">
        <v>1347.6553605832171</v>
      </c>
      <c r="H2379" s="900">
        <v>1411.0981578611561</v>
      </c>
    </row>
    <row r="2380" spans="1:8" x14ac:dyDescent="0.35">
      <c r="A2380" s="980" t="s">
        <v>3940</v>
      </c>
      <c r="B2380" s="900">
        <v>1111.567032558012</v>
      </c>
      <c r="C2380" s="900">
        <v>861.80451327187382</v>
      </c>
      <c r="D2380" s="900">
        <v>911.73928589591321</v>
      </c>
      <c r="E2380" s="900">
        <v>961.75617057671673</v>
      </c>
      <c r="F2380" s="900">
        <v>1011.6887315036799</v>
      </c>
      <c r="G2380" s="900">
        <v>1061.6191301247311</v>
      </c>
      <c r="H2380" s="900">
        <v>1111.5963640888631</v>
      </c>
    </row>
    <row r="2381" spans="1:8" x14ac:dyDescent="0.35">
      <c r="A2381" s="980" t="s">
        <v>3948</v>
      </c>
      <c r="B2381" s="900">
        <v>50.552186007604298</v>
      </c>
      <c r="C2381" s="900">
        <v>39.193409646969698</v>
      </c>
      <c r="D2381" s="900">
        <v>41.464358532642159</v>
      </c>
      <c r="E2381" s="900">
        <v>43.739041735585133</v>
      </c>
      <c r="F2381" s="900">
        <v>46.009890037020483</v>
      </c>
      <c r="G2381" s="900">
        <v>48.280640000445153</v>
      </c>
      <c r="H2381" s="900">
        <v>50.553519955949341</v>
      </c>
    </row>
    <row r="2382" spans="1:8" x14ac:dyDescent="0.35">
      <c r="A2382" s="980" t="s">
        <v>3961</v>
      </c>
      <c r="B2382" s="900">
        <v>3.0806131064290108E-2</v>
      </c>
      <c r="C2382" s="900">
        <v>2.1308994061012289E-3</v>
      </c>
      <c r="D2382" s="900">
        <v>4.7635962441207887E-2</v>
      </c>
      <c r="E2382" s="900">
        <v>4.790360609120835E-3</v>
      </c>
      <c r="F2382" s="900">
        <v>1.3799973907769501E-3</v>
      </c>
      <c r="G2382" s="900">
        <v>2.2995310993431669E-4</v>
      </c>
      <c r="H2382" s="900">
        <v>1.16034023185529E-4</v>
      </c>
    </row>
    <row r="2383" spans="1:8" x14ac:dyDescent="0.35">
      <c r="A2383" s="980" t="s">
        <v>3962</v>
      </c>
      <c r="B2383" s="900">
        <v>3.7405222331866522E-2</v>
      </c>
      <c r="C2383" s="900">
        <v>2.5873669720393208E-3</v>
      </c>
      <c r="D2383" s="900">
        <v>5.7840231945623703E-2</v>
      </c>
      <c r="E2383" s="900">
        <v>5.8165208496982488E-3</v>
      </c>
      <c r="F2383" s="900">
        <v>1.6756115564035691E-3</v>
      </c>
      <c r="G2383" s="900">
        <v>2.7921218620561851E-4</v>
      </c>
      <c r="H2383" s="900">
        <v>1.408900853618335E-4</v>
      </c>
    </row>
    <row r="2384" spans="1:8" x14ac:dyDescent="0.35">
      <c r="A2384" s="980" t="s">
        <v>3941</v>
      </c>
      <c r="B2384" s="900">
        <v>3.0806131064290108E-2</v>
      </c>
      <c r="C2384" s="900">
        <v>2.1308994061012289E-3</v>
      </c>
      <c r="D2384" s="900">
        <v>4.7635962441207887E-2</v>
      </c>
      <c r="E2384" s="900">
        <v>4.790360609120835E-3</v>
      </c>
      <c r="F2384" s="900">
        <v>1.3799973907769501E-3</v>
      </c>
      <c r="G2384" s="900">
        <v>2.2995310993431669E-4</v>
      </c>
      <c r="H2384" s="900">
        <v>1.16034023185529E-4</v>
      </c>
    </row>
    <row r="2385" spans="1:8" x14ac:dyDescent="0.35">
      <c r="A2385" s="980" t="s">
        <v>2971</v>
      </c>
      <c r="B2385" s="900">
        <v>603.95007389076329</v>
      </c>
      <c r="C2385" s="900">
        <v>385.62798228485411</v>
      </c>
      <c r="D2385" s="900">
        <v>424.20820371424742</v>
      </c>
      <c r="E2385" s="900">
        <v>464.56714308889758</v>
      </c>
      <c r="F2385" s="900">
        <v>508.40333600537838</v>
      </c>
      <c r="G2385" s="900">
        <v>554.18583185721684</v>
      </c>
      <c r="H2385" s="900">
        <v>603.95007183098869</v>
      </c>
    </row>
    <row r="2386" spans="1:8" x14ac:dyDescent="0.35">
      <c r="A2386" s="980" t="s">
        <v>4543</v>
      </c>
      <c r="B2386" s="900">
        <v>1411.098303483092</v>
      </c>
      <c r="C2386" s="900">
        <v>900.99995860947229</v>
      </c>
      <c r="D2386" s="900">
        <v>991.14066288375557</v>
      </c>
      <c r="E2386" s="900">
        <v>1085.4372502077049</v>
      </c>
      <c r="F2386" s="900">
        <v>1187.858261694809</v>
      </c>
      <c r="G2386" s="900">
        <v>1294.826709946768</v>
      </c>
      <c r="H2386" s="900">
        <v>1411.0982986705339</v>
      </c>
    </row>
    <row r="2387" spans="1:8" x14ac:dyDescent="0.35">
      <c r="A2387" s="980" t="s">
        <v>3963</v>
      </c>
      <c r="B2387" s="900">
        <v>5107.8911923760515</v>
      </c>
      <c r="C2387" s="900">
        <v>3959.9995231277971</v>
      </c>
      <c r="D2387" s="900">
        <v>4189.5890814332424</v>
      </c>
      <c r="E2387" s="900">
        <v>4419.198708912606</v>
      </c>
      <c r="F2387" s="900">
        <v>4648.7496167167083</v>
      </c>
      <c r="G2387" s="900">
        <v>4878.299934468876</v>
      </c>
      <c r="H2387" s="900">
        <v>5107.8999669185341</v>
      </c>
    </row>
    <row r="2388" spans="1:8" x14ac:dyDescent="0.35">
      <c r="A2388" s="980" t="s">
        <v>3964</v>
      </c>
      <c r="B2388" s="900">
        <v>6202.0707923068021</v>
      </c>
      <c r="C2388" s="900">
        <v>4808.2851523145</v>
      </c>
      <c r="D2388" s="900">
        <v>5087.0559091994846</v>
      </c>
      <c r="E2388" s="900">
        <v>5365.851034347751</v>
      </c>
      <c r="F2388" s="900">
        <v>5644.5748612695752</v>
      </c>
      <c r="G2388" s="900">
        <v>5923.297971742335</v>
      </c>
      <c r="H2388" s="900">
        <v>6202.0814464753421</v>
      </c>
    </row>
    <row r="2389" spans="1:8" x14ac:dyDescent="0.35">
      <c r="A2389" s="980" t="s">
        <v>3942</v>
      </c>
      <c r="B2389" s="900">
        <v>4330.470152896416</v>
      </c>
      <c r="C2389" s="900">
        <v>3357.2875957077458</v>
      </c>
      <c r="D2389" s="900">
        <v>3551.9336232391029</v>
      </c>
      <c r="E2389" s="900">
        <v>3746.596665416107</v>
      </c>
      <c r="F2389" s="900">
        <v>3941.2099250524252</v>
      </c>
      <c r="G2389" s="900">
        <v>4135.8226844427127</v>
      </c>
      <c r="H2389" s="900">
        <v>4330.4775919535332</v>
      </c>
    </row>
    <row r="2390" spans="1:8" x14ac:dyDescent="0.35">
      <c r="A2390" s="980" t="s">
        <v>3949</v>
      </c>
      <c r="B2390" s="900">
        <v>777.42103947963506</v>
      </c>
      <c r="C2390" s="900">
        <v>602.71192742005076</v>
      </c>
      <c r="D2390" s="900">
        <v>637.65545819413956</v>
      </c>
      <c r="E2390" s="900">
        <v>672.6020434964986</v>
      </c>
      <c r="F2390" s="900">
        <v>707.53969166428305</v>
      </c>
      <c r="G2390" s="900">
        <v>742.47725002616289</v>
      </c>
      <c r="H2390" s="900">
        <v>777.42237496500093</v>
      </c>
    </row>
    <row r="2391" spans="1:8" x14ac:dyDescent="0.35">
      <c r="A2391" s="980" t="s">
        <v>3965</v>
      </c>
      <c r="B2391" s="900">
        <v>8.832290102057121E-3</v>
      </c>
      <c r="C2391" s="900">
        <v>5.3519930574164965E-4</v>
      </c>
      <c r="D2391" s="900">
        <v>1.2334268844543309E-2</v>
      </c>
      <c r="E2391" s="900">
        <v>1.293765571620689E-3</v>
      </c>
      <c r="F2391" s="900">
        <v>3.8482599148603031E-4</v>
      </c>
      <c r="G2391" s="900">
        <v>6.5596820971030158E-5</v>
      </c>
      <c r="H2391" s="900">
        <v>3.3160342054531368E-5</v>
      </c>
    </row>
    <row r="2392" spans="1:8" x14ac:dyDescent="0.35">
      <c r="A2392" s="980" t="s">
        <v>4544</v>
      </c>
      <c r="B2392" s="900">
        <v>1.0724286483022649E-2</v>
      </c>
      <c r="C2392" s="900">
        <v>6.4984625889399482E-4</v>
      </c>
      <c r="D2392" s="900">
        <v>1.497643658881799E-2</v>
      </c>
      <c r="E2392" s="900">
        <v>1.5709077115458739E-3</v>
      </c>
      <c r="F2392" s="900">
        <v>4.6726094038149982E-4</v>
      </c>
      <c r="G2392" s="900">
        <v>7.9648550074802081E-5</v>
      </c>
      <c r="H2392" s="900">
        <v>4.0263737259376349E-5</v>
      </c>
    </row>
    <row r="2393" spans="1:8" x14ac:dyDescent="0.35">
      <c r="A2393" s="980" t="s">
        <v>3943</v>
      </c>
      <c r="B2393" s="900">
        <v>8.832290102057121E-3</v>
      </c>
      <c r="C2393" s="900">
        <v>5.3519930574164965E-4</v>
      </c>
      <c r="D2393" s="900">
        <v>1.2334268844543309E-2</v>
      </c>
      <c r="E2393" s="900">
        <v>1.293765571620689E-3</v>
      </c>
      <c r="F2393" s="900">
        <v>3.8482599148603031E-4</v>
      </c>
      <c r="G2393" s="900">
        <v>6.5596820971030158E-5</v>
      </c>
      <c r="H2393" s="900">
        <v>3.3160342054531368E-5</v>
      </c>
    </row>
    <row r="2394" spans="1:8" x14ac:dyDescent="0.35">
      <c r="A2394" s="980" t="s">
        <v>2972</v>
      </c>
      <c r="B2394" s="900">
        <v>2654.4908783377859</v>
      </c>
      <c r="C2394" s="900">
        <v>1694.8799842557571</v>
      </c>
      <c r="D2394" s="900">
        <v>1864.426092636073</v>
      </c>
      <c r="E2394" s="900">
        <v>2041.785299293266</v>
      </c>
      <c r="F2394" s="900">
        <v>2234.5088474648778</v>
      </c>
      <c r="G2394" s="900">
        <v>2435.7912816734211</v>
      </c>
      <c r="H2394" s="900">
        <v>2654.4908762897312</v>
      </c>
    </row>
    <row r="2395" spans="1:8" x14ac:dyDescent="0.35">
      <c r="A2395" s="980" t="s">
        <v>4545</v>
      </c>
      <c r="B2395" s="900">
        <v>6202.0814914434259</v>
      </c>
      <c r="C2395" s="900">
        <v>3959.9999632143858</v>
      </c>
      <c r="D2395" s="900">
        <v>4356.1357304581152</v>
      </c>
      <c r="E2395" s="900">
        <v>4770.5264002179119</v>
      </c>
      <c r="F2395" s="900">
        <v>5220.8150641702769</v>
      </c>
      <c r="G2395" s="900">
        <v>5691.1011254051891</v>
      </c>
      <c r="H2395" s="900">
        <v>6202.0814866582496</v>
      </c>
    </row>
    <row r="2396" spans="1:8" x14ac:dyDescent="0.35">
      <c r="A2396" s="980" t="s">
        <v>2835</v>
      </c>
      <c r="B2396" s="900">
        <v>3597.914441722291</v>
      </c>
      <c r="C2396" s="900">
        <v>2870.081205646241</v>
      </c>
      <c r="D2396" s="900">
        <v>3048.527520349503</v>
      </c>
      <c r="E2396" s="900">
        <v>2821.4259137820059</v>
      </c>
      <c r="F2396" s="900">
        <v>3070.6423381021141</v>
      </c>
      <c r="G2396" s="900">
        <v>3329.9935027429701</v>
      </c>
      <c r="H2396" s="900">
        <v>3597.9233153634632</v>
      </c>
    </row>
    <row r="2397" spans="1:8" x14ac:dyDescent="0.35">
      <c r="A2397" s="980" t="s">
        <v>2832</v>
      </c>
      <c r="B2397" s="900">
        <v>2698.4358312917179</v>
      </c>
      <c r="C2397" s="900">
        <v>2075.5604447907431</v>
      </c>
      <c r="D2397" s="900">
        <v>2205.9260568127311</v>
      </c>
      <c r="E2397" s="900">
        <v>2116.0690721853789</v>
      </c>
      <c r="F2397" s="900">
        <v>2302.981078079169</v>
      </c>
      <c r="G2397" s="900">
        <v>2497.4951164443569</v>
      </c>
      <c r="H2397" s="900">
        <v>2698.442479892969</v>
      </c>
    </row>
    <row r="2398" spans="1:8" x14ac:dyDescent="0.35">
      <c r="A2398" s="980" t="s">
        <v>3979</v>
      </c>
      <c r="B2398" s="900">
        <v>3032.4968790810249</v>
      </c>
      <c r="C2398" s="900">
        <v>0</v>
      </c>
      <c r="D2398" s="900">
        <v>1.9605579913334339E-5</v>
      </c>
      <c r="E2398" s="900">
        <v>3.1541208307871692E-8</v>
      </c>
      <c r="F2398" s="900">
        <v>7.2351639767060053E-8</v>
      </c>
      <c r="G2398" s="900">
        <v>2768.3508511331752</v>
      </c>
      <c r="H2398" s="900">
        <v>3032.4967080184711</v>
      </c>
    </row>
    <row r="2399" spans="1:8" x14ac:dyDescent="0.35">
      <c r="A2399" s="980" t="s">
        <v>4546</v>
      </c>
      <c r="B2399" s="900">
        <v>394.22459428053332</v>
      </c>
      <c r="D2399" s="900">
        <v>2.5487253887334641E-6</v>
      </c>
      <c r="E2399" s="900">
        <v>4.1003570800233202E-9</v>
      </c>
      <c r="F2399" s="900">
        <v>9.4057131697178074E-9</v>
      </c>
      <c r="G2399" s="900">
        <v>359.88561064731277</v>
      </c>
      <c r="H2399" s="900">
        <v>394.22457204240118</v>
      </c>
    </row>
    <row r="2400" spans="1:8" x14ac:dyDescent="0.35">
      <c r="A2400" s="980" t="s">
        <v>4547</v>
      </c>
      <c r="C2400" s="900">
        <v>0</v>
      </c>
    </row>
    <row r="2401" spans="1:8" x14ac:dyDescent="0.35">
      <c r="A2401" s="980" t="s">
        <v>3977</v>
      </c>
      <c r="B2401" s="900">
        <v>9434.4010405089757</v>
      </c>
      <c r="D2401" s="900">
        <v>6.0994919668374467E-5</v>
      </c>
      <c r="E2401" s="900">
        <v>9.8127853166619626E-8</v>
      </c>
      <c r="F2401" s="900">
        <v>2.250931864793005E-7</v>
      </c>
      <c r="G2401" s="900">
        <v>8612.6163329604206</v>
      </c>
      <c r="H2401" s="900">
        <v>9434.400508316261</v>
      </c>
    </row>
    <row r="2402" spans="1:8" x14ac:dyDescent="0.35">
      <c r="A2402" s="980" t="s">
        <v>4548</v>
      </c>
      <c r="C2402" s="900">
        <v>0</v>
      </c>
    </row>
    <row r="2403" spans="1:8" x14ac:dyDescent="0.35">
      <c r="A2403" s="980" t="s">
        <v>3981</v>
      </c>
      <c r="B2403" s="900">
        <v>6034.6687893712406</v>
      </c>
      <c r="D2403" s="900">
        <v>3.9015104027535343E-5</v>
      </c>
      <c r="E2403" s="900">
        <v>6.2767004532664673E-8</v>
      </c>
      <c r="F2403" s="900">
        <v>1.439797631364495E-7</v>
      </c>
      <c r="G2403" s="900">
        <v>5509.0181937550187</v>
      </c>
      <c r="H2403" s="900">
        <v>6034.6684489567579</v>
      </c>
    </row>
    <row r="2404" spans="1:8" x14ac:dyDescent="0.35">
      <c r="A2404" s="980" t="s">
        <v>4549</v>
      </c>
      <c r="C2404" s="900">
        <v>0</v>
      </c>
    </row>
    <row r="2405" spans="1:8" x14ac:dyDescent="0.35">
      <c r="A2405" s="980" t="s">
        <v>4550</v>
      </c>
      <c r="B2405" s="900">
        <v>3032.4968790810249</v>
      </c>
      <c r="D2405" s="900">
        <v>1.9605579913334339E-5</v>
      </c>
      <c r="E2405" s="900">
        <v>3.1541208307871692E-8</v>
      </c>
      <c r="F2405" s="900">
        <v>7.2351639767060053E-8</v>
      </c>
      <c r="G2405" s="900">
        <v>2768.3508511331752</v>
      </c>
      <c r="H2405" s="900">
        <v>3032.4967080184711</v>
      </c>
    </row>
    <row r="2406" spans="1:8" x14ac:dyDescent="0.35">
      <c r="A2406" s="980" t="s">
        <v>4551</v>
      </c>
      <c r="C2406" s="900">
        <v>0</v>
      </c>
    </row>
    <row r="2407" spans="1:8" x14ac:dyDescent="0.35">
      <c r="A2407" s="980" t="s">
        <v>3980</v>
      </c>
      <c r="B2407" s="900">
        <v>1.465839340169222E-3</v>
      </c>
      <c r="C2407" s="900">
        <v>0</v>
      </c>
      <c r="D2407" s="900">
        <v>4.3226986067560289E-5</v>
      </c>
      <c r="E2407" s="900">
        <v>8.121661041607425E-8</v>
      </c>
      <c r="F2407" s="900">
        <v>1.257098286590411E-7</v>
      </c>
      <c r="G2407" s="900">
        <v>1.1338725367385059E-5</v>
      </c>
      <c r="H2407" s="900">
        <v>4.390902741604404E-6</v>
      </c>
    </row>
    <row r="2408" spans="1:8" x14ac:dyDescent="0.35">
      <c r="A2408" s="980" t="s">
        <v>4552</v>
      </c>
      <c r="B2408" s="900">
        <v>1.9055911422199889E-4</v>
      </c>
      <c r="D2408" s="900">
        <v>5.6195081887828378E-6</v>
      </c>
      <c r="E2408" s="900">
        <v>1.055815935408965E-8</v>
      </c>
      <c r="F2408" s="900">
        <v>1.6342277725675351E-8</v>
      </c>
      <c r="G2408" s="900">
        <v>1.4740342977600579E-6</v>
      </c>
      <c r="H2408" s="900">
        <v>5.7081735640857255E-7</v>
      </c>
    </row>
    <row r="2409" spans="1:8" x14ac:dyDescent="0.35">
      <c r="A2409" s="980" t="s">
        <v>4553</v>
      </c>
      <c r="C2409" s="900">
        <v>0</v>
      </c>
    </row>
    <row r="2410" spans="1:8" x14ac:dyDescent="0.35">
      <c r="A2410" s="980" t="s">
        <v>3978</v>
      </c>
      <c r="B2410" s="900">
        <v>4.5603727712004664E-3</v>
      </c>
      <c r="D2410" s="900">
        <v>1.344834763547868E-4</v>
      </c>
      <c r="E2410" s="900">
        <v>2.5267299666544858E-7</v>
      </c>
      <c r="F2410" s="900">
        <v>3.9109584794114278E-7</v>
      </c>
      <c r="G2410" s="900">
        <v>3.5275908490471671E-5</v>
      </c>
      <c r="H2410" s="900">
        <v>1.366053751940546E-5</v>
      </c>
    </row>
    <row r="2411" spans="1:8" x14ac:dyDescent="0.35">
      <c r="A2411" s="980" t="s">
        <v>4554</v>
      </c>
      <c r="C2411" s="900">
        <v>0</v>
      </c>
    </row>
    <row r="2412" spans="1:8" x14ac:dyDescent="0.35">
      <c r="A2412" s="980" t="s">
        <v>3982</v>
      </c>
      <c r="B2412" s="900">
        <v>2.9170202869367519E-3</v>
      </c>
      <c r="D2412" s="900">
        <v>8.6021702274444986E-5</v>
      </c>
      <c r="E2412" s="900">
        <v>1.6162105472798781E-7</v>
      </c>
      <c r="F2412" s="900">
        <v>2.5016255903149192E-7</v>
      </c>
      <c r="G2412" s="900">
        <v>2.2564063481096281E-5</v>
      </c>
      <c r="H2412" s="900">
        <v>8.7378964557927646E-6</v>
      </c>
    </row>
    <row r="2413" spans="1:8" x14ac:dyDescent="0.35">
      <c r="A2413" s="980" t="s">
        <v>4555</v>
      </c>
      <c r="C2413" s="900">
        <v>0</v>
      </c>
    </row>
    <row r="2414" spans="1:8" x14ac:dyDescent="0.35">
      <c r="A2414" s="980" t="s">
        <v>4556</v>
      </c>
      <c r="B2414" s="900">
        <v>1.465839340169222E-3</v>
      </c>
      <c r="D2414" s="900">
        <v>4.3226986067560289E-5</v>
      </c>
      <c r="E2414" s="900">
        <v>8.121661041607425E-8</v>
      </c>
      <c r="F2414" s="900">
        <v>1.257098286590411E-7</v>
      </c>
      <c r="G2414" s="900">
        <v>1.1338725367385059E-5</v>
      </c>
      <c r="H2414" s="900">
        <v>4.390902741604404E-6</v>
      </c>
    </row>
    <row r="2415" spans="1:8" x14ac:dyDescent="0.35">
      <c r="A2415" s="980" t="s">
        <v>4557</v>
      </c>
      <c r="C2415" s="900">
        <v>0</v>
      </c>
    </row>
    <row r="2416" spans="1:8" x14ac:dyDescent="0.35">
      <c r="A2416" s="980" t="s">
        <v>2831</v>
      </c>
      <c r="B2416" s="900">
        <v>5.0083018344693657E-3</v>
      </c>
      <c r="C2416" s="900">
        <v>9000.0237117071429</v>
      </c>
      <c r="D2416" s="900">
        <v>10213.271146230731</v>
      </c>
      <c r="E2416" s="900">
        <v>12679.227916008</v>
      </c>
      <c r="F2416" s="900">
        <v>13882.35818479873</v>
      </c>
      <c r="G2416" s="900">
        <v>2.907531314954792E-4</v>
      </c>
      <c r="H2416" s="900">
        <v>3.3202991883267867E-5</v>
      </c>
    </row>
    <row r="2417" spans="1:8" x14ac:dyDescent="0.35">
      <c r="A2417" s="980" t="s">
        <v>2833</v>
      </c>
      <c r="B2417" s="900">
        <v>1.802974236615079E-3</v>
      </c>
      <c r="C2417" s="900">
        <v>3239.98261635364</v>
      </c>
      <c r="D2417" s="900">
        <v>3676.7481986574721</v>
      </c>
      <c r="E2417" s="900">
        <v>4564.485533878611</v>
      </c>
      <c r="F2417" s="900">
        <v>4997.6089656558179</v>
      </c>
      <c r="G2417" s="900">
        <v>1.046702899760527E-4</v>
      </c>
      <c r="H2417" s="900">
        <v>1.1952981454124801E-5</v>
      </c>
    </row>
    <row r="2418" spans="1:8" x14ac:dyDescent="0.35">
      <c r="A2418" s="980" t="s">
        <v>4558</v>
      </c>
      <c r="B2418" s="900">
        <v>23805.62566354372</v>
      </c>
      <c r="C2418" s="900">
        <v>0</v>
      </c>
      <c r="D2418" s="900">
        <v>2.255091775651318</v>
      </c>
      <c r="E2418" s="900">
        <v>2482.7777380409871</v>
      </c>
      <c r="F2418" s="900">
        <v>7627.3214557678157</v>
      </c>
      <c r="G2418" s="900">
        <v>12805.36722167767</v>
      </c>
      <c r="H2418" s="900">
        <v>23805.299995626021</v>
      </c>
    </row>
    <row r="2419" spans="1:8" x14ac:dyDescent="0.35">
      <c r="A2419" s="980" t="s">
        <v>2869</v>
      </c>
      <c r="B2419" s="900">
        <v>23805.62566354372</v>
      </c>
      <c r="D2419" s="900">
        <v>2.255091775651318</v>
      </c>
      <c r="E2419" s="900">
        <v>2482.7777380409871</v>
      </c>
      <c r="F2419" s="900">
        <v>7627.3214557678157</v>
      </c>
      <c r="G2419" s="900">
        <v>12805.36722167767</v>
      </c>
      <c r="H2419" s="900">
        <v>23805.299995626021</v>
      </c>
    </row>
    <row r="2420" spans="1:8" x14ac:dyDescent="0.35">
      <c r="A2420" s="980" t="s">
        <v>4559</v>
      </c>
      <c r="C2420" s="900">
        <v>0</v>
      </c>
    </row>
    <row r="2421" spans="1:8" x14ac:dyDescent="0.35">
      <c r="A2421" s="980" t="s">
        <v>4560</v>
      </c>
      <c r="B2421" s="900">
        <v>20498.386878399211</v>
      </c>
      <c r="C2421" s="900">
        <v>14995.594600148501</v>
      </c>
      <c r="D2421" s="900">
        <v>15383.53687976722</v>
      </c>
      <c r="E2421" s="900">
        <v>16040.42569927669</v>
      </c>
      <c r="F2421" s="900">
        <v>17274.944105712671</v>
      </c>
      <c r="G2421" s="900">
        <v>18515.500741215481</v>
      </c>
      <c r="H2421" s="900">
        <v>20498.345910066331</v>
      </c>
    </row>
    <row r="2422" spans="1:8" x14ac:dyDescent="0.35">
      <c r="A2422" s="980" t="s">
        <v>2871</v>
      </c>
      <c r="B2422" s="900">
        <v>20498.386878399211</v>
      </c>
      <c r="C2422" s="900">
        <v>14995.594600148501</v>
      </c>
      <c r="D2422" s="900">
        <v>15383.53687976722</v>
      </c>
      <c r="E2422" s="900">
        <v>16040.42569927669</v>
      </c>
      <c r="F2422" s="900">
        <v>17274.944105712671</v>
      </c>
      <c r="G2422" s="900">
        <v>18515.500741215481</v>
      </c>
      <c r="H2422" s="900">
        <v>20498.345910066331</v>
      </c>
    </row>
    <row r="2423" spans="1:8" x14ac:dyDescent="0.35">
      <c r="A2423" s="980" t="s">
        <v>4561</v>
      </c>
      <c r="B2423" s="900">
        <v>735.74559242443104</v>
      </c>
      <c r="C2423" s="900">
        <v>0</v>
      </c>
      <c r="D2423" s="900">
        <v>2.4938048644852222E-3</v>
      </c>
      <c r="E2423" s="900">
        <v>6.8286375599898094E-6</v>
      </c>
      <c r="F2423" s="900">
        <v>3.9736040614223753E-6</v>
      </c>
      <c r="G2423" s="900">
        <v>712.7153141310373</v>
      </c>
      <c r="H2423" s="900">
        <v>949.60502885052631</v>
      </c>
    </row>
    <row r="2424" spans="1:8" x14ac:dyDescent="0.35">
      <c r="A2424" s="980" t="s">
        <v>4562</v>
      </c>
      <c r="B2424" s="900">
        <v>919.68199053053877</v>
      </c>
      <c r="D2424" s="900">
        <v>3.1172560806065281E-3</v>
      </c>
      <c r="E2424" s="900">
        <v>8.5357969499872604E-6</v>
      </c>
      <c r="F2424" s="900">
        <v>4.9670050767779704E-6</v>
      </c>
      <c r="G2424" s="900">
        <v>890.89414266379663</v>
      </c>
      <c r="H2424" s="900">
        <v>1187.0062860631581</v>
      </c>
    </row>
    <row r="2425" spans="1:8" x14ac:dyDescent="0.35">
      <c r="A2425" s="980" t="s">
        <v>4563</v>
      </c>
      <c r="C2425" s="900">
        <v>0</v>
      </c>
    </row>
    <row r="2426" spans="1:8" x14ac:dyDescent="0.35">
      <c r="A2426" s="980" t="s">
        <v>4564</v>
      </c>
      <c r="B2426" s="900">
        <v>8698.6600332384496</v>
      </c>
      <c r="C2426" s="900">
        <v>0</v>
      </c>
      <c r="D2426" s="900">
        <v>2.4952702648694679E-3</v>
      </c>
      <c r="E2426" s="900">
        <v>6.8391073105712601E-6</v>
      </c>
      <c r="F2426" s="900">
        <v>3.9843567992014592E-6</v>
      </c>
      <c r="G2426" s="900">
        <v>7899.9010541687812</v>
      </c>
      <c r="H2426" s="900">
        <v>8484.7954932071279</v>
      </c>
    </row>
    <row r="2427" spans="1:8" x14ac:dyDescent="0.35">
      <c r="A2427" s="980" t="s">
        <v>2876</v>
      </c>
      <c r="B2427" s="900">
        <v>9665.1778147093883</v>
      </c>
      <c r="D2427" s="900">
        <v>2.7725225165216309E-3</v>
      </c>
      <c r="E2427" s="900">
        <v>7.599008122856956E-6</v>
      </c>
      <c r="F2427" s="900">
        <v>4.4270631102238443E-6</v>
      </c>
      <c r="G2427" s="900">
        <v>8777.6678379653113</v>
      </c>
      <c r="H2427" s="900">
        <v>9427.550548007921</v>
      </c>
    </row>
    <row r="2428" spans="1:8" x14ac:dyDescent="0.35">
      <c r="A2428" s="980" t="s">
        <v>4565</v>
      </c>
      <c r="C2428" s="900">
        <v>0</v>
      </c>
    </row>
    <row r="2429" spans="1:8" x14ac:dyDescent="0.35">
      <c r="A2429" s="980" t="s">
        <v>2894</v>
      </c>
      <c r="B2429" s="900">
        <v>809.76052887968478</v>
      </c>
      <c r="C2429" s="900">
        <v>812.9084028736421</v>
      </c>
      <c r="D2429" s="900">
        <v>812.22550660252978</v>
      </c>
      <c r="E2429" s="900">
        <v>795.48814557142441</v>
      </c>
      <c r="F2429" s="900">
        <v>789.47475092855416</v>
      </c>
      <c r="G2429" s="900">
        <v>812.92795382241627</v>
      </c>
      <c r="H2429" s="900">
        <v>810.14398491760085</v>
      </c>
    </row>
    <row r="2430" spans="1:8" x14ac:dyDescent="0.35">
      <c r="A2430" s="980" t="s">
        <v>4566</v>
      </c>
      <c r="B2430" s="900">
        <v>912.27621183585291</v>
      </c>
      <c r="C2430" s="900">
        <v>915.82260667744504</v>
      </c>
      <c r="D2430" s="900">
        <v>915.05325573840992</v>
      </c>
      <c r="E2430" s="900">
        <v>896.19694480076669</v>
      </c>
      <c r="F2430" s="900">
        <v>889.422254396109</v>
      </c>
      <c r="G2430" s="900">
        <v>915.84463277633415</v>
      </c>
      <c r="H2430" s="900">
        <v>912.70821340816894</v>
      </c>
    </row>
    <row r="2431" spans="1:8" x14ac:dyDescent="0.35">
      <c r="A2431" s="980" t="s">
        <v>4567</v>
      </c>
      <c r="B2431" s="900">
        <v>2223.116555986287</v>
      </c>
      <c r="C2431" s="900">
        <v>2231.7587292492972</v>
      </c>
      <c r="D2431" s="900">
        <v>2229.8839058265849</v>
      </c>
      <c r="E2431" s="900">
        <v>2183.9331548517889</v>
      </c>
      <c r="F2431" s="900">
        <v>2167.423981199252</v>
      </c>
      <c r="G2431" s="900">
        <v>2231.8124044240622</v>
      </c>
      <c r="H2431" s="900">
        <v>2224.169296192782</v>
      </c>
    </row>
    <row r="2432" spans="1:8" x14ac:dyDescent="0.35">
      <c r="A2432" s="980" t="s">
        <v>2891</v>
      </c>
      <c r="B2432" s="900">
        <v>4357.107697575083</v>
      </c>
      <c r="C2432" s="900">
        <v>1584.6691246475641</v>
      </c>
      <c r="D2432" s="900">
        <v>1797.5136331578601</v>
      </c>
      <c r="E2432" s="900">
        <v>3910.5297539078178</v>
      </c>
      <c r="F2432" s="900">
        <v>3695.3682129866588</v>
      </c>
      <c r="G2432" s="900">
        <v>4665.4401877734272</v>
      </c>
      <c r="H2432" s="900">
        <v>3921.5351840030812</v>
      </c>
    </row>
    <row r="2433" spans="1:8" x14ac:dyDescent="0.35">
      <c r="A2433" s="980" t="s">
        <v>4568</v>
      </c>
      <c r="B2433" s="900">
        <v>3057.382471388436</v>
      </c>
      <c r="C2433" s="900">
        <v>1111.962324765195</v>
      </c>
      <c r="D2433" s="900">
        <v>1261.315316386871</v>
      </c>
      <c r="E2433" s="900">
        <v>2744.0187283171158</v>
      </c>
      <c r="F2433" s="900">
        <v>2593.0398750527388</v>
      </c>
      <c r="G2433" s="900">
        <v>3273.7393797606142</v>
      </c>
      <c r="H2433" s="900">
        <v>2751.7412386149622</v>
      </c>
    </row>
    <row r="2434" spans="1:8" x14ac:dyDescent="0.35">
      <c r="A2434" s="980" t="s">
        <v>4569</v>
      </c>
      <c r="B2434" s="900">
        <v>25528.29400009241</v>
      </c>
      <c r="C2434" s="900">
        <v>9284.5764013100761</v>
      </c>
      <c r="D2434" s="900">
        <v>10531.6323766719</v>
      </c>
      <c r="E2434" s="900">
        <v>22911.79382814591</v>
      </c>
      <c r="F2434" s="900">
        <v>21651.16235988884</v>
      </c>
      <c r="G2434" s="900">
        <v>27334.81406016451</v>
      </c>
      <c r="H2434" s="900">
        <v>22976.274643074052</v>
      </c>
    </row>
    <row r="2435" spans="1:8" x14ac:dyDescent="0.35">
      <c r="A2435" s="980" t="s">
        <v>2909</v>
      </c>
      <c r="B2435" s="900">
        <v>19302.213521265639</v>
      </c>
      <c r="C2435" s="900">
        <v>17350.044682696342</v>
      </c>
      <c r="D2435" s="900">
        <v>18280.567562032629</v>
      </c>
      <c r="E2435" s="900">
        <v>18537.527375552621</v>
      </c>
      <c r="F2435" s="900">
        <v>18792.429699454889</v>
      </c>
      <c r="G2435" s="900">
        <v>19047.331822665859</v>
      </c>
      <c r="H2435" s="900">
        <v>19302.231934733019</v>
      </c>
    </row>
    <row r="2436" spans="1:8" x14ac:dyDescent="0.35">
      <c r="A2436" s="980" t="s">
        <v>4570</v>
      </c>
      <c r="B2436" s="900">
        <v>19302.213521265639</v>
      </c>
      <c r="C2436" s="900">
        <v>17350.044682696342</v>
      </c>
      <c r="D2436" s="900">
        <v>18280.567562032629</v>
      </c>
      <c r="E2436" s="900">
        <v>18537.527375552621</v>
      </c>
      <c r="F2436" s="900">
        <v>18792.429699454889</v>
      </c>
      <c r="G2436" s="900">
        <v>19047.331822665859</v>
      </c>
      <c r="H2436" s="900">
        <v>19302.231934733019</v>
      </c>
    </row>
    <row r="2437" spans="1:8" x14ac:dyDescent="0.35">
      <c r="A2437" s="980" t="s">
        <v>2892</v>
      </c>
      <c r="B2437" s="900">
        <v>8534.0500251272497</v>
      </c>
      <c r="C2437" s="900">
        <v>7742.9639982938761</v>
      </c>
      <c r="D2437" s="900">
        <v>7907.2016425586826</v>
      </c>
      <c r="E2437" s="900">
        <v>8071.4000026916801</v>
      </c>
      <c r="F2437" s="900">
        <v>8205.7000015627964</v>
      </c>
      <c r="G2437" s="900">
        <v>8340.0000000782347</v>
      </c>
      <c r="H2437" s="900">
        <v>8534.0500000813463</v>
      </c>
    </row>
    <row r="2438" spans="1:8" x14ac:dyDescent="0.35">
      <c r="A2438" s="980" t="s">
        <v>2893</v>
      </c>
      <c r="B2438" s="900">
        <v>8534.0500251272497</v>
      </c>
      <c r="C2438" s="900">
        <v>7742.9639982938761</v>
      </c>
      <c r="D2438" s="900">
        <v>7907.2016425586826</v>
      </c>
      <c r="E2438" s="900">
        <v>8071.4000026916801</v>
      </c>
      <c r="F2438" s="900">
        <v>8205.7000015627964</v>
      </c>
      <c r="G2438" s="900">
        <v>8340.0000000782347</v>
      </c>
      <c r="H2438" s="900">
        <v>8534.0500000813463</v>
      </c>
    </row>
    <row r="2439" spans="1:8" x14ac:dyDescent="0.35">
      <c r="A2439" s="980" t="s">
        <v>2897</v>
      </c>
      <c r="B2439" s="900">
        <v>3907.7415065057671</v>
      </c>
      <c r="C2439" s="900">
        <v>3545.5032148187652</v>
      </c>
      <c r="D2439" s="900">
        <v>3620.7076321276199</v>
      </c>
      <c r="E2439" s="900">
        <v>3695.89406123252</v>
      </c>
      <c r="F2439" s="900">
        <v>3757.3900307156041</v>
      </c>
      <c r="G2439" s="900">
        <v>3818.8860000358231</v>
      </c>
      <c r="H2439" s="900">
        <v>3907.7414950372481</v>
      </c>
    </row>
    <row r="2440" spans="1:8" x14ac:dyDescent="0.35">
      <c r="A2440" s="980" t="s">
        <v>2965</v>
      </c>
      <c r="B2440" s="900">
        <v>8693.6367605971282</v>
      </c>
      <c r="C2440" s="900">
        <v>7887.7574250619691</v>
      </c>
      <c r="D2440" s="900">
        <v>8055.0663132745294</v>
      </c>
      <c r="E2440" s="900">
        <v>8222.335182742012</v>
      </c>
      <c r="F2440" s="900">
        <v>8359.1465915920198</v>
      </c>
      <c r="G2440" s="900">
        <v>8495.9580000796959</v>
      </c>
      <c r="H2440" s="900">
        <v>8693.6367350828659</v>
      </c>
    </row>
    <row r="2441" spans="1:8" x14ac:dyDescent="0.35">
      <c r="A2441" s="980" t="s">
        <v>2895</v>
      </c>
      <c r="B2441" s="900">
        <v>13295.500025444901</v>
      </c>
      <c r="C2441" s="900">
        <v>12021.000067020341</v>
      </c>
      <c r="D2441" s="900">
        <v>12275.90165431684</v>
      </c>
      <c r="E2441" s="900">
        <v>12530.80000270494</v>
      </c>
      <c r="F2441" s="900">
        <v>12785.70000157239</v>
      </c>
      <c r="G2441" s="900">
        <v>13040.600000079139</v>
      </c>
      <c r="H2441" s="900">
        <v>13295.50000008084</v>
      </c>
    </row>
    <row r="2442" spans="1:8" x14ac:dyDescent="0.35">
      <c r="A2442" s="980" t="s">
        <v>2896</v>
      </c>
      <c r="B2442" s="900">
        <v>13295.500025444901</v>
      </c>
      <c r="C2442" s="900">
        <v>12021.000067020341</v>
      </c>
      <c r="D2442" s="900">
        <v>12275.90165431684</v>
      </c>
      <c r="E2442" s="900">
        <v>12530.80000270494</v>
      </c>
      <c r="F2442" s="900">
        <v>12785.70000157239</v>
      </c>
      <c r="G2442" s="900">
        <v>13040.600000079139</v>
      </c>
      <c r="H2442" s="900">
        <v>13295.50000008084</v>
      </c>
    </row>
    <row r="2443" spans="1:8" x14ac:dyDescent="0.35">
      <c r="A2443" s="980" t="s">
        <v>2898</v>
      </c>
      <c r="B2443" s="900">
        <v>1913.222453661522</v>
      </c>
      <c r="C2443" s="900">
        <v>1729.821909644226</v>
      </c>
      <c r="D2443" s="900">
        <v>1766.502248056194</v>
      </c>
      <c r="E2443" s="900">
        <v>1803.1821203892409</v>
      </c>
      <c r="F2443" s="900">
        <v>1839.862230226267</v>
      </c>
      <c r="G2443" s="900">
        <v>1876.542340011388</v>
      </c>
      <c r="H2443" s="900">
        <v>1913.2224500116331</v>
      </c>
    </row>
    <row r="2444" spans="1:8" x14ac:dyDescent="0.35">
      <c r="A2444" s="980" t="s">
        <v>2966</v>
      </c>
      <c r="B2444" s="900">
        <v>13544.125875920719</v>
      </c>
      <c r="C2444" s="900">
        <v>12245.792768273621</v>
      </c>
      <c r="D2444" s="900">
        <v>12505.46101525256</v>
      </c>
      <c r="E2444" s="900">
        <v>12765.125962755519</v>
      </c>
      <c r="F2444" s="900">
        <v>13024.792591601799</v>
      </c>
      <c r="G2444" s="900">
        <v>13284.459220080609</v>
      </c>
      <c r="H2444" s="900">
        <v>13544.12585008235</v>
      </c>
    </row>
    <row r="2445" spans="1:8" x14ac:dyDescent="0.35">
      <c r="A2445" s="980" t="s">
        <v>2905</v>
      </c>
      <c r="B2445" s="900">
        <v>1665.8000249864331</v>
      </c>
      <c r="C2445" s="900">
        <v>1505.843999317776</v>
      </c>
      <c r="D2445" s="900">
        <v>1537.951615367557</v>
      </c>
      <c r="E2445" s="900">
        <v>1569.90000267861</v>
      </c>
      <c r="F2445" s="900">
        <v>1601.9500015480151</v>
      </c>
      <c r="G2445" s="900">
        <v>1634.000000078116</v>
      </c>
      <c r="H2445" s="900">
        <v>1665.8000000801539</v>
      </c>
    </row>
    <row r="2446" spans="1:8" x14ac:dyDescent="0.35">
      <c r="A2446" s="980" t="s">
        <v>2899</v>
      </c>
      <c r="B2446" s="900">
        <v>1617.1586642568291</v>
      </c>
      <c r="C2446" s="900">
        <v>1461.873354537697</v>
      </c>
      <c r="D2446" s="900">
        <v>1493.0434281988239</v>
      </c>
      <c r="E2446" s="900">
        <v>1524.058922600394</v>
      </c>
      <c r="F2446" s="900">
        <v>1555.173061502813</v>
      </c>
      <c r="G2446" s="900">
        <v>1586.2872000758359</v>
      </c>
      <c r="H2446" s="900">
        <v>1617.158640077814</v>
      </c>
    </row>
    <row r="2447" spans="1:8" x14ac:dyDescent="0.35">
      <c r="A2447" s="980" t="s">
        <v>2967</v>
      </c>
      <c r="B2447" s="900">
        <v>1696.950485453679</v>
      </c>
      <c r="C2447" s="900">
        <v>1534.0032821050179</v>
      </c>
      <c r="D2447" s="900">
        <v>1566.7113105749299</v>
      </c>
      <c r="E2447" s="900">
        <v>1599.2571327286989</v>
      </c>
      <c r="F2447" s="900">
        <v>1631.9064665769631</v>
      </c>
      <c r="G2447" s="900">
        <v>1664.555800079577</v>
      </c>
      <c r="H2447" s="900">
        <v>1696.9504600816531</v>
      </c>
    </row>
    <row r="2448" spans="1:8" x14ac:dyDescent="0.35">
      <c r="A2448" s="980" t="s">
        <v>2906</v>
      </c>
      <c r="B2448" s="900">
        <v>1665.8000249864331</v>
      </c>
      <c r="C2448" s="900">
        <v>1505.843999317776</v>
      </c>
      <c r="D2448" s="900">
        <v>1537.951615367557</v>
      </c>
      <c r="E2448" s="900">
        <v>1569.90000267861</v>
      </c>
      <c r="F2448" s="900">
        <v>1601.9500015480151</v>
      </c>
      <c r="G2448" s="900">
        <v>1634.000000078116</v>
      </c>
      <c r="H2448" s="900">
        <v>1665.8000000801539</v>
      </c>
    </row>
    <row r="2449" spans="1:8" x14ac:dyDescent="0.35">
      <c r="A2449" s="980" t="s">
        <v>2907</v>
      </c>
      <c r="B2449" s="900">
        <v>1540.6500252321589</v>
      </c>
      <c r="C2449" s="900">
        <v>1392.8399993222799</v>
      </c>
      <c r="D2449" s="900">
        <v>1422.551623750513</v>
      </c>
      <c r="E2449" s="900">
        <v>1452.100002690305</v>
      </c>
      <c r="F2449" s="900">
        <v>1481.6000015615029</v>
      </c>
      <c r="G2449" s="900">
        <v>1511.1000000781321</v>
      </c>
      <c r="H2449" s="900">
        <v>1540.650000080248</v>
      </c>
    </row>
    <row r="2450" spans="1:8" x14ac:dyDescent="0.35">
      <c r="A2450" s="980" t="s">
        <v>2900</v>
      </c>
      <c r="B2450" s="900">
        <v>355.27389581853578</v>
      </c>
      <c r="C2450" s="900">
        <v>321.18890384371792</v>
      </c>
      <c r="D2450" s="900">
        <v>328.04040443686841</v>
      </c>
      <c r="E2450" s="900">
        <v>334.85426062038442</v>
      </c>
      <c r="F2450" s="900">
        <v>341.65696036008268</v>
      </c>
      <c r="G2450" s="900">
        <v>348.45966001801742</v>
      </c>
      <c r="H2450" s="900">
        <v>355.2738900185052</v>
      </c>
    </row>
    <row r="2451" spans="1:8" x14ac:dyDescent="0.35">
      <c r="A2451" s="980" t="s">
        <v>2968</v>
      </c>
      <c r="B2451" s="900">
        <v>1569.4601807040001</v>
      </c>
      <c r="C2451" s="900">
        <v>1418.886107309607</v>
      </c>
      <c r="D2451" s="900">
        <v>1449.1533391146479</v>
      </c>
      <c r="E2451" s="900">
        <v>1479.2542727406139</v>
      </c>
      <c r="F2451" s="900">
        <v>1509.305921590704</v>
      </c>
      <c r="G2451" s="900">
        <v>1539.357570079593</v>
      </c>
      <c r="H2451" s="900">
        <v>1569.460155081749</v>
      </c>
    </row>
    <row r="2452" spans="1:8" x14ac:dyDescent="0.35">
      <c r="A2452" s="980" t="s">
        <v>2908</v>
      </c>
      <c r="B2452" s="900">
        <v>1540.6500252321589</v>
      </c>
      <c r="C2452" s="900">
        <v>1392.8399993222799</v>
      </c>
      <c r="D2452" s="900">
        <v>1422.551623750513</v>
      </c>
      <c r="E2452" s="900">
        <v>1452.100002690305</v>
      </c>
      <c r="F2452" s="900">
        <v>1481.6000015615029</v>
      </c>
      <c r="G2452" s="900">
        <v>1511.1000000781321</v>
      </c>
      <c r="H2452" s="900">
        <v>1540.650000080248</v>
      </c>
    </row>
    <row r="2453" spans="1:8" x14ac:dyDescent="0.35">
      <c r="A2453" s="980" t="s">
        <v>4571</v>
      </c>
      <c r="B2453" s="900">
        <v>4450.9513802426618</v>
      </c>
      <c r="C2453" s="900">
        <v>3949.0079988604871</v>
      </c>
      <c r="D2453" s="900">
        <v>4450.3640425444</v>
      </c>
      <c r="E2453" s="900">
        <v>4450.9548497889746</v>
      </c>
      <c r="F2453" s="900">
        <v>4450.9554273116746</v>
      </c>
      <c r="G2453" s="900">
        <v>4450.9559557889079</v>
      </c>
      <c r="H2453" s="900">
        <v>4450.9559867587104</v>
      </c>
    </row>
    <row r="2454" spans="1:8" x14ac:dyDescent="0.35">
      <c r="A2454" s="980" t="s">
        <v>4572</v>
      </c>
      <c r="B2454" s="900">
        <v>1759.639118665134</v>
      </c>
      <c r="C2454" s="900">
        <v>1561.2008222695049</v>
      </c>
      <c r="D2454" s="900">
        <v>1759.4069205795031</v>
      </c>
      <c r="E2454" s="900">
        <v>1759.640490315574</v>
      </c>
      <c r="F2454" s="900">
        <v>1759.6407186333979</v>
      </c>
      <c r="G2454" s="900">
        <v>1759.640927561587</v>
      </c>
      <c r="H2454" s="900">
        <v>1759.640939805189</v>
      </c>
    </row>
    <row r="2455" spans="1:8" x14ac:dyDescent="0.35">
      <c r="A2455" s="980" t="s">
        <v>4573</v>
      </c>
      <c r="B2455" s="900">
        <v>1353.979409869818</v>
      </c>
      <c r="C2455" s="900">
        <v>1201.28823325336</v>
      </c>
      <c r="D2455" s="900">
        <v>1353.800741742006</v>
      </c>
      <c r="E2455" s="900">
        <v>1353.9804653058061</v>
      </c>
      <c r="F2455" s="900">
        <v>1353.980640988211</v>
      </c>
      <c r="G2455" s="900">
        <v>1353.9808017509861</v>
      </c>
      <c r="H2455" s="900">
        <v>1353.980811171999</v>
      </c>
    </row>
    <row r="2456" spans="1:8" x14ac:dyDescent="0.35">
      <c r="A2456" s="980" t="s">
        <v>4574</v>
      </c>
      <c r="B2456" s="900">
        <v>4450.9513802426618</v>
      </c>
      <c r="C2456" s="900">
        <v>3949.0079988604871</v>
      </c>
      <c r="D2456" s="900">
        <v>4450.3640425444</v>
      </c>
      <c r="E2456" s="900">
        <v>4450.9548497889746</v>
      </c>
      <c r="F2456" s="900">
        <v>4450.9554273116746</v>
      </c>
      <c r="G2456" s="900">
        <v>4450.9559557889079</v>
      </c>
      <c r="H2456" s="900">
        <v>4450.9559867587104</v>
      </c>
    </row>
    <row r="2457" spans="1:8" x14ac:dyDescent="0.35">
      <c r="A2457" s="980" t="s">
        <v>4575</v>
      </c>
      <c r="B2457" s="900">
        <v>13295.49575425988</v>
      </c>
      <c r="C2457" s="900">
        <v>12021.00013415781</v>
      </c>
      <c r="D2457" s="900">
        <v>12275.645835061719</v>
      </c>
      <c r="E2457" s="900">
        <v>12530.798961176681</v>
      </c>
      <c r="F2457" s="900">
        <v>12785.69947717696</v>
      </c>
      <c r="G2457" s="900">
        <v>13040.59995931618</v>
      </c>
      <c r="H2457" s="900">
        <v>13295.4999753253</v>
      </c>
    </row>
    <row r="2458" spans="1:8" x14ac:dyDescent="0.35">
      <c r="A2458" s="980" t="s">
        <v>4576</v>
      </c>
      <c r="B2458" s="900">
        <v>2919.690867635471</v>
      </c>
      <c r="C2458" s="900">
        <v>2639.811629461055</v>
      </c>
      <c r="D2458" s="900">
        <v>2695.7318253795538</v>
      </c>
      <c r="E2458" s="900">
        <v>2751.763451874398</v>
      </c>
      <c r="F2458" s="900">
        <v>2807.7396051880601</v>
      </c>
      <c r="G2458" s="900">
        <v>2863.715751065834</v>
      </c>
      <c r="H2458" s="900">
        <v>2919.6917945814362</v>
      </c>
    </row>
    <row r="2459" spans="1:8" x14ac:dyDescent="0.35">
      <c r="A2459" s="980" t="s">
        <v>4577</v>
      </c>
      <c r="B2459" s="900">
        <v>13295.49575425988</v>
      </c>
      <c r="C2459" s="900">
        <v>12021.00013415781</v>
      </c>
      <c r="D2459" s="900">
        <v>12275.645835061719</v>
      </c>
      <c r="E2459" s="900">
        <v>12530.798961176681</v>
      </c>
      <c r="F2459" s="900">
        <v>12785.69947717696</v>
      </c>
      <c r="G2459" s="900">
        <v>13040.59995931618</v>
      </c>
      <c r="H2459" s="900">
        <v>13295.4999753253</v>
      </c>
    </row>
    <row r="2460" spans="1:8" x14ac:dyDescent="0.35">
      <c r="A2460" s="980" t="s">
        <v>4578</v>
      </c>
      <c r="B2460" s="900">
        <v>848.83922539670061</v>
      </c>
      <c r="C2460" s="900">
        <v>753.13443724010199</v>
      </c>
      <c r="D2460" s="900">
        <v>848.23907550800652</v>
      </c>
      <c r="E2460" s="900">
        <v>848.84279622053668</v>
      </c>
      <c r="F2460" s="900">
        <v>848.84340357527219</v>
      </c>
      <c r="G2460" s="900">
        <v>848.8439541881927</v>
      </c>
      <c r="H2460" s="900">
        <v>848.84398638669711</v>
      </c>
    </row>
    <row r="2461" spans="1:8" x14ac:dyDescent="0.35">
      <c r="A2461" s="980" t="s">
        <v>4579</v>
      </c>
      <c r="B2461" s="900">
        <v>419.49634519104939</v>
      </c>
      <c r="C2461" s="900">
        <v>372.19903888405838</v>
      </c>
      <c r="D2461" s="900">
        <v>419.19975111605692</v>
      </c>
      <c r="E2461" s="900">
        <v>419.49810989218918</v>
      </c>
      <c r="F2461" s="900">
        <v>419.49841004689961</v>
      </c>
      <c r="G2461" s="900">
        <v>419.49868215980479</v>
      </c>
      <c r="H2461" s="900">
        <v>419.49869807230567</v>
      </c>
    </row>
    <row r="2462" spans="1:8" x14ac:dyDescent="0.35">
      <c r="A2462" s="980" t="s">
        <v>4580</v>
      </c>
      <c r="B2462" s="900">
        <v>330.53799436947531</v>
      </c>
      <c r="C2462" s="900">
        <v>293.27054986129582</v>
      </c>
      <c r="D2462" s="900">
        <v>330.30429600281781</v>
      </c>
      <c r="E2462" s="900">
        <v>330.53938484827711</v>
      </c>
      <c r="F2462" s="900">
        <v>330.53962135221099</v>
      </c>
      <c r="G2462" s="900">
        <v>330.53983576088228</v>
      </c>
      <c r="H2462" s="900">
        <v>330.5398482989799</v>
      </c>
    </row>
    <row r="2463" spans="1:8" x14ac:dyDescent="0.35">
      <c r="A2463" s="980" t="s">
        <v>4581</v>
      </c>
      <c r="B2463" s="900">
        <v>848.83922539670061</v>
      </c>
      <c r="C2463" s="900">
        <v>753.13443724010199</v>
      </c>
      <c r="D2463" s="900">
        <v>848.23907550800652</v>
      </c>
      <c r="E2463" s="900">
        <v>848.84279622053668</v>
      </c>
      <c r="F2463" s="900">
        <v>848.84340357527219</v>
      </c>
      <c r="G2463" s="900">
        <v>848.8439541881927</v>
      </c>
      <c r="H2463" s="900">
        <v>848.84398638669711</v>
      </c>
    </row>
    <row r="2464" spans="1:8" x14ac:dyDescent="0.35">
      <c r="A2464" s="980" t="s">
        <v>4582</v>
      </c>
      <c r="B2464" s="900">
        <v>706.92713675028654</v>
      </c>
      <c r="C2464" s="900">
        <v>626.90204528606</v>
      </c>
      <c r="D2464" s="900">
        <v>706.31705762316335</v>
      </c>
      <c r="E2464" s="900">
        <v>706.93076570423909</v>
      </c>
      <c r="F2464" s="900">
        <v>706.93138988780652</v>
      </c>
      <c r="G2464" s="900">
        <v>706.93195329389687</v>
      </c>
      <c r="H2464" s="900">
        <v>706.93198618040321</v>
      </c>
    </row>
    <row r="2465" spans="1:8" x14ac:dyDescent="0.35">
      <c r="A2465" s="980" t="s">
        <v>4583</v>
      </c>
      <c r="B2465" s="900">
        <v>388.17369078958228</v>
      </c>
      <c r="C2465" s="900">
        <v>344.23191306657549</v>
      </c>
      <c r="D2465" s="900">
        <v>387.83869634087898</v>
      </c>
      <c r="E2465" s="900">
        <v>388.17568344819767</v>
      </c>
      <c r="F2465" s="900">
        <v>388.1760261873946</v>
      </c>
      <c r="G2465" s="900">
        <v>388.17633555367883</v>
      </c>
      <c r="H2465" s="900">
        <v>388.17635361165941</v>
      </c>
    </row>
    <row r="2466" spans="1:8" x14ac:dyDescent="0.35">
      <c r="A2466" s="980" t="s">
        <v>4584</v>
      </c>
      <c r="B2466" s="900">
        <v>303.9079760889482</v>
      </c>
      <c r="C2466" s="900">
        <v>269.50518926847718</v>
      </c>
      <c r="D2466" s="900">
        <v>303.64570307219788</v>
      </c>
      <c r="E2466" s="900">
        <v>303.90953617625229</v>
      </c>
      <c r="F2466" s="900">
        <v>303.90980451276801</v>
      </c>
      <c r="G2466" s="900">
        <v>303.91004672104623</v>
      </c>
      <c r="H2466" s="900">
        <v>303.91006085895532</v>
      </c>
    </row>
    <row r="2467" spans="1:8" x14ac:dyDescent="0.35">
      <c r="A2467" s="980" t="s">
        <v>4585</v>
      </c>
      <c r="B2467" s="900">
        <v>706.92713675028654</v>
      </c>
      <c r="C2467" s="900">
        <v>626.90204528606</v>
      </c>
      <c r="D2467" s="900">
        <v>706.31705762316335</v>
      </c>
      <c r="E2467" s="900">
        <v>706.93076570423909</v>
      </c>
      <c r="F2467" s="900">
        <v>706.93138988780652</v>
      </c>
      <c r="G2467" s="900">
        <v>706.93195329389687</v>
      </c>
      <c r="H2467" s="900">
        <v>706.93198618040321</v>
      </c>
    </row>
    <row r="2468" spans="1:8" x14ac:dyDescent="0.35">
      <c r="A2468" s="980" t="s">
        <v>2901</v>
      </c>
      <c r="B2468" s="900">
        <v>4083.0986702429732</v>
      </c>
      <c r="C2468" s="900">
        <v>3793.9559988592391</v>
      </c>
      <c r="D2468" s="900">
        <v>3456.839259613826</v>
      </c>
      <c r="E2468" s="900">
        <v>3620.445155601999</v>
      </c>
      <c r="F2468" s="900">
        <v>3754.7445758209328</v>
      </c>
      <c r="G2468" s="900">
        <v>3889.0440443676571</v>
      </c>
      <c r="H2468" s="900">
        <v>4083.0940134015241</v>
      </c>
    </row>
    <row r="2469" spans="1:8" x14ac:dyDescent="0.35">
      <c r="A2469" s="980" t="s">
        <v>4586</v>
      </c>
      <c r="B2469" s="900">
        <v>4083.0986702429732</v>
      </c>
      <c r="C2469" s="900">
        <v>3793.9559988592391</v>
      </c>
      <c r="D2469" s="900">
        <v>3456.839259613826</v>
      </c>
      <c r="E2469" s="900">
        <v>3620.445155601999</v>
      </c>
      <c r="F2469" s="900">
        <v>3754.7445758209328</v>
      </c>
      <c r="G2469" s="900">
        <v>3889.0440443676571</v>
      </c>
      <c r="H2469" s="900">
        <v>4083.0940134015241</v>
      </c>
    </row>
    <row r="2470" spans="1:8" x14ac:dyDescent="0.35">
      <c r="A2470" s="980" t="s">
        <v>2902</v>
      </c>
      <c r="B2470" s="900">
        <v>4.2965623233605383E-3</v>
      </c>
      <c r="C2470" s="900">
        <v>0</v>
      </c>
      <c r="D2470" s="900">
        <v>0.25749951079614469</v>
      </c>
      <c r="E2470" s="900">
        <v>1.044257084005424E-3</v>
      </c>
      <c r="F2470" s="900">
        <v>5.2599562085333675E-4</v>
      </c>
      <c r="G2470" s="900">
        <v>4.0841110608664098E-5</v>
      </c>
      <c r="H2470" s="900">
        <v>2.4835591552703701E-5</v>
      </c>
    </row>
    <row r="2471" spans="1:8" x14ac:dyDescent="0.35">
      <c r="A2471" s="980" t="s">
        <v>4587</v>
      </c>
      <c r="B2471" s="900">
        <v>4.2965623233605383E-3</v>
      </c>
      <c r="D2471" s="900">
        <v>0.25749951079614469</v>
      </c>
      <c r="E2471" s="900">
        <v>1.044257084005424E-3</v>
      </c>
      <c r="F2471" s="900">
        <v>5.2599562085333675E-4</v>
      </c>
      <c r="G2471" s="900">
        <v>4.0841110608664098E-5</v>
      </c>
      <c r="H2471" s="900">
        <v>2.4835591552703701E-5</v>
      </c>
    </row>
    <row r="2472" spans="1:8" x14ac:dyDescent="0.35">
      <c r="A2472" s="980" t="s">
        <v>4588</v>
      </c>
      <c r="C2472" s="900">
        <v>0</v>
      </c>
    </row>
    <row r="2473" spans="1:8" x14ac:dyDescent="0.35">
      <c r="A2473" s="980" t="s">
        <v>2903</v>
      </c>
      <c r="B2473" s="900">
        <v>816.96082486463808</v>
      </c>
      <c r="C2473" s="900">
        <v>752.70962910749881</v>
      </c>
      <c r="D2473" s="900">
        <v>689.71420296481597</v>
      </c>
      <c r="E2473" s="900">
        <v>721.05720916504163</v>
      </c>
      <c r="F2473" s="900">
        <v>753.10659955371716</v>
      </c>
      <c r="G2473" s="900">
        <v>785.15604596829507</v>
      </c>
      <c r="H2473" s="900">
        <v>816.95601377381763</v>
      </c>
    </row>
    <row r="2474" spans="1:8" x14ac:dyDescent="0.35">
      <c r="A2474" s="980" t="s">
        <v>4589</v>
      </c>
      <c r="B2474" s="900">
        <v>816.96082486463808</v>
      </c>
      <c r="C2474" s="900">
        <v>752.70962910749881</v>
      </c>
      <c r="D2474" s="900">
        <v>689.71420296481597</v>
      </c>
      <c r="E2474" s="900">
        <v>721.05720916504163</v>
      </c>
      <c r="F2474" s="900">
        <v>753.10659955371716</v>
      </c>
      <c r="G2474" s="900">
        <v>785.15604596829507</v>
      </c>
      <c r="H2474" s="900">
        <v>816.95601377381763</v>
      </c>
    </row>
    <row r="2475" spans="1:8" x14ac:dyDescent="0.35">
      <c r="A2475" s="980" t="s">
        <v>2904</v>
      </c>
      <c r="B2475" s="900">
        <v>833.72291354836341</v>
      </c>
      <c r="C2475" s="900">
        <v>765.93802105892939</v>
      </c>
      <c r="D2475" s="900">
        <v>716.23620824918919</v>
      </c>
      <c r="E2475" s="900">
        <v>745.16923967610603</v>
      </c>
      <c r="F2475" s="900">
        <v>774.66861323254761</v>
      </c>
      <c r="G2475" s="900">
        <v>804.1680468626414</v>
      </c>
      <c r="H2475" s="900">
        <v>833.71801398017362</v>
      </c>
    </row>
    <row r="2476" spans="1:8" x14ac:dyDescent="0.35">
      <c r="A2476" s="980" t="s">
        <v>4590</v>
      </c>
      <c r="B2476" s="900">
        <v>833.72291354836341</v>
      </c>
      <c r="C2476" s="900">
        <v>765.93802105892939</v>
      </c>
      <c r="D2476" s="900">
        <v>716.23620824918919</v>
      </c>
      <c r="E2476" s="900">
        <v>745.16923967610603</v>
      </c>
      <c r="F2476" s="900">
        <v>774.66861323254761</v>
      </c>
      <c r="G2476" s="900">
        <v>804.1680468626414</v>
      </c>
      <c r="H2476" s="900">
        <v>833.71801398017362</v>
      </c>
    </row>
    <row r="2477" spans="1:8" x14ac:dyDescent="0.35">
      <c r="A2477" s="980" t="s">
        <v>4591</v>
      </c>
      <c r="B2477" s="900">
        <v>0</v>
      </c>
      <c r="G2477" s="900">
        <v>0</v>
      </c>
      <c r="H2477" s="900">
        <v>0</v>
      </c>
    </row>
    <row r="2478" spans="1:8" x14ac:dyDescent="0.35">
      <c r="A2478" s="980" t="s">
        <v>4592</v>
      </c>
      <c r="C2478" s="900">
        <v>2234.969110060083</v>
      </c>
      <c r="D2478" s="900">
        <v>450.78088308471848</v>
      </c>
      <c r="E2478" s="900">
        <v>3.754695684213548E-3</v>
      </c>
      <c r="F2478" s="900">
        <v>9.684450019307885E-4</v>
      </c>
    </row>
    <row r="2479" spans="1:8" x14ac:dyDescent="0.35">
      <c r="A2479" s="980" t="s">
        <v>4593</v>
      </c>
      <c r="B2479" s="900">
        <v>0</v>
      </c>
      <c r="C2479" s="900">
        <v>285.40555535467257</v>
      </c>
      <c r="D2479" s="900">
        <v>57.564718769918557</v>
      </c>
      <c r="E2479" s="900">
        <v>4.7947463887406999E-4</v>
      </c>
      <c r="F2479" s="900">
        <v>1.2367042674656171E-4</v>
      </c>
      <c r="G2479" s="900">
        <v>0</v>
      </c>
      <c r="H2479" s="900">
        <v>0</v>
      </c>
    </row>
    <row r="2480" spans="1:8" x14ac:dyDescent="0.35">
      <c r="A2480" s="980" t="s">
        <v>4594</v>
      </c>
      <c r="B2480" s="900">
        <v>0</v>
      </c>
      <c r="C2480" s="900">
        <v>1383.669376038197</v>
      </c>
      <c r="D2480" s="900">
        <v>279.07844471774922</v>
      </c>
      <c r="E2480" s="900">
        <v>2.324532098096607E-3</v>
      </c>
      <c r="F2480" s="900">
        <v>5.9956430069535113E-4</v>
      </c>
      <c r="G2480" s="900">
        <v>0</v>
      </c>
      <c r="H2480" s="900">
        <v>0</v>
      </c>
    </row>
    <row r="2481" spans="1:8" x14ac:dyDescent="0.35">
      <c r="A2481" s="980" t="s">
        <v>4595</v>
      </c>
      <c r="B2481" s="900">
        <v>0</v>
      </c>
      <c r="G2481" s="900">
        <v>0</v>
      </c>
      <c r="H2481" s="900">
        <v>0</v>
      </c>
    </row>
    <row r="2482" spans="1:8" x14ac:dyDescent="0.35">
      <c r="A2482" s="980" t="s">
        <v>4596</v>
      </c>
      <c r="C2482" s="900">
        <v>1908.2551995205649</v>
      </c>
      <c r="D2482" s="900">
        <v>1414.225381069318</v>
      </c>
      <c r="E2482" s="900">
        <v>7.4150700442521334E-3</v>
      </c>
      <c r="F2482" s="900">
        <v>1.524383841507091E-3</v>
      </c>
    </row>
    <row r="2483" spans="1:8" x14ac:dyDescent="0.35">
      <c r="A2483" s="980" t="s">
        <v>4597</v>
      </c>
      <c r="B2483" s="900">
        <v>0</v>
      </c>
      <c r="C2483" s="900">
        <v>243.68418897877609</v>
      </c>
      <c r="D2483" s="900">
        <v>180.59658116255201</v>
      </c>
      <c r="E2483" s="900">
        <v>9.4690444465099749E-4</v>
      </c>
      <c r="F2483" s="900">
        <v>1.9466381656045559E-4</v>
      </c>
      <c r="G2483" s="900">
        <v>0</v>
      </c>
      <c r="H2483" s="900">
        <v>0</v>
      </c>
    </row>
    <row r="2484" spans="1:8" x14ac:dyDescent="0.35">
      <c r="A2484" s="980" t="s">
        <v>4598</v>
      </c>
      <c r="B2484" s="900">
        <v>0</v>
      </c>
      <c r="C2484" s="900">
        <v>1181.400794023182</v>
      </c>
      <c r="D2484" s="900">
        <v>875.54693342001508</v>
      </c>
      <c r="E2484" s="900">
        <v>4.5906698643964957E-3</v>
      </c>
      <c r="F2484" s="900">
        <v>9.4374603627704026E-4</v>
      </c>
      <c r="G2484" s="900">
        <v>0</v>
      </c>
      <c r="H2484" s="900">
        <v>0</v>
      </c>
    </row>
    <row r="2485" spans="1:8" x14ac:dyDescent="0.35">
      <c r="A2485" s="980" t="s">
        <v>4599</v>
      </c>
      <c r="B2485" s="900">
        <v>6.2854000189456194E-3</v>
      </c>
      <c r="C2485" s="900">
        <v>0.37072398146427238</v>
      </c>
      <c r="D2485" s="900">
        <v>16.869807489217411</v>
      </c>
      <c r="E2485" s="900">
        <v>9.3412772080545114E-3</v>
      </c>
      <c r="F2485" s="900">
        <v>3.130402009867703E-3</v>
      </c>
      <c r="G2485" s="900">
        <v>3.9221214862618711E-4</v>
      </c>
      <c r="H2485" s="900">
        <v>4.0982831764300849E-5</v>
      </c>
    </row>
    <row r="2486" spans="1:8" x14ac:dyDescent="0.35">
      <c r="A2486" s="980" t="s">
        <v>4600</v>
      </c>
      <c r="B2486" s="900">
        <v>8.2527302248755973E-4</v>
      </c>
      <c r="C2486" s="900">
        <v>4.867605876625896E-2</v>
      </c>
      <c r="D2486" s="900">
        <v>2.2150057233342459</v>
      </c>
      <c r="E2486" s="900">
        <v>1.2265096974175571E-3</v>
      </c>
      <c r="F2486" s="900">
        <v>4.1102178389562931E-4</v>
      </c>
      <c r="G2486" s="900">
        <v>5.149745511461836E-5</v>
      </c>
      <c r="H2486" s="900">
        <v>5.3810458106527022E-6</v>
      </c>
    </row>
    <row r="2487" spans="1:8" x14ac:dyDescent="0.35">
      <c r="A2487" s="980" t="s">
        <v>4601</v>
      </c>
      <c r="B2487" s="900">
        <v>3.9676587619594224E-3</v>
      </c>
      <c r="C2487" s="900">
        <v>0.2340380494983951</v>
      </c>
      <c r="D2487" s="900">
        <v>10.649557818081689</v>
      </c>
      <c r="E2487" s="900">
        <v>5.89691213475225E-3</v>
      </c>
      <c r="F2487" s="900">
        <v>1.976141171019523E-3</v>
      </c>
      <c r="G2487" s="900">
        <v>2.4759357771958718E-4</v>
      </c>
      <c r="H2487" s="900">
        <v>2.587137068882958E-5</v>
      </c>
    </row>
    <row r="2488" spans="1:8" x14ac:dyDescent="0.35">
      <c r="A2488" s="980" t="s">
        <v>2963</v>
      </c>
      <c r="B2488" s="900">
        <v>5.2090263070617267E-2</v>
      </c>
      <c r="C2488" s="900">
        <v>18459.13312967023</v>
      </c>
      <c r="D2488" s="900">
        <v>20909.604965384518</v>
      </c>
      <c r="E2488" s="900">
        <v>8199.5814038235894</v>
      </c>
      <c r="F2488" s="900">
        <v>765.87913030661878</v>
      </c>
      <c r="G2488" s="900">
        <v>3657.874838557133</v>
      </c>
      <c r="H2488" s="900">
        <v>2.8714420488176712E-4</v>
      </c>
    </row>
    <row r="2489" spans="1:8" x14ac:dyDescent="0.35">
      <c r="A2489" s="980" t="s">
        <v>4602</v>
      </c>
      <c r="B2489" s="900">
        <v>1.100667258682143E-2</v>
      </c>
      <c r="C2489" s="900">
        <v>3900.4148302993199</v>
      </c>
      <c r="D2489" s="900">
        <v>4418.1995291857493</v>
      </c>
      <c r="E2489" s="900">
        <v>1732.571550627925</v>
      </c>
      <c r="F2489" s="900">
        <v>161.83026023378861</v>
      </c>
      <c r="G2489" s="900">
        <v>772.9089533871221</v>
      </c>
      <c r="H2489" s="900">
        <v>6.0673570491517389E-5</v>
      </c>
    </row>
    <row r="2490" spans="1:8" x14ac:dyDescent="0.35">
      <c r="A2490" s="980" t="s">
        <v>4603</v>
      </c>
      <c r="B2490" s="900">
        <v>3.2639758840048792E-2</v>
      </c>
      <c r="C2490" s="900">
        <v>11566.492819051369</v>
      </c>
      <c r="D2490" s="900">
        <v>13101.958471309939</v>
      </c>
      <c r="E2490" s="900">
        <v>5137.8577076358624</v>
      </c>
      <c r="F2490" s="900">
        <v>479.89986305012729</v>
      </c>
      <c r="G2490" s="900">
        <v>2292.024373839899</v>
      </c>
      <c r="H2490" s="900">
        <v>1.7992455877891529E-4</v>
      </c>
    </row>
    <row r="2491" spans="1:8" x14ac:dyDescent="0.35">
      <c r="A2491" s="980" t="s">
        <v>4604</v>
      </c>
      <c r="B2491" s="900">
        <v>39467.883649726493</v>
      </c>
      <c r="C2491" s="900">
        <v>1790.7451745005619</v>
      </c>
      <c r="D2491" s="900">
        <v>3893.6169759580421</v>
      </c>
      <c r="E2491" s="900">
        <v>56972.211901903422</v>
      </c>
      <c r="F2491" s="900">
        <v>49971.13991329931</v>
      </c>
      <c r="G2491" s="900">
        <v>48220.860633155178</v>
      </c>
      <c r="H2491" s="900">
        <v>39787.165662838001</v>
      </c>
    </row>
    <row r="2492" spans="1:8" x14ac:dyDescent="0.35">
      <c r="A2492" s="980" t="s">
        <v>4605</v>
      </c>
      <c r="B2492" s="900">
        <v>39467.883649726493</v>
      </c>
      <c r="C2492" s="900">
        <v>1790.7451745005619</v>
      </c>
      <c r="D2492" s="900">
        <v>3893.6169759580421</v>
      </c>
      <c r="E2492" s="900">
        <v>56972.211901903422</v>
      </c>
      <c r="F2492" s="900">
        <v>49971.13991329931</v>
      </c>
      <c r="G2492" s="900">
        <v>48220.860633155178</v>
      </c>
      <c r="H2492" s="900">
        <v>39787.165662838001</v>
      </c>
    </row>
    <row r="2493" spans="1:8" x14ac:dyDescent="0.35">
      <c r="A2493" s="980" t="s">
        <v>4606</v>
      </c>
      <c r="B2493" s="900">
        <v>0.5827391915305018</v>
      </c>
      <c r="C2493" s="900">
        <v>11880.57920665352</v>
      </c>
      <c r="D2493" s="900">
        <v>12632.089050630189</v>
      </c>
      <c r="E2493" s="900">
        <v>63960.058632700173</v>
      </c>
      <c r="F2493" s="900">
        <v>52590.889940939967</v>
      </c>
      <c r="G2493" s="900">
        <v>41397.456998740126</v>
      </c>
      <c r="H2493" s="900">
        <v>10501.113011411029</v>
      </c>
    </row>
    <row r="2494" spans="1:8" x14ac:dyDescent="0.35">
      <c r="A2494" s="980" t="s">
        <v>4607</v>
      </c>
      <c r="B2494" s="900">
        <v>9.6909527551522448E-2</v>
      </c>
      <c r="C2494" s="900">
        <v>1975.740322066481</v>
      </c>
      <c r="D2494" s="900">
        <v>2100.716409119801</v>
      </c>
      <c r="E2494" s="900">
        <v>10636.55775061804</v>
      </c>
      <c r="F2494" s="900">
        <v>8745.8649971783179</v>
      </c>
      <c r="G2494" s="900">
        <v>6884.397098890483</v>
      </c>
      <c r="H2494" s="900">
        <v>1746.3350937976541</v>
      </c>
    </row>
    <row r="2495" spans="1:8" x14ac:dyDescent="0.35">
      <c r="A2495" s="980" t="s">
        <v>4608</v>
      </c>
      <c r="B2495" s="900">
        <v>0.33693980054293621</v>
      </c>
      <c r="C2495" s="900">
        <v>6869.3508972870668</v>
      </c>
      <c r="D2495" s="900">
        <v>7303.8738890743789</v>
      </c>
      <c r="E2495" s="900">
        <v>36981.705901427238</v>
      </c>
      <c r="F2495" s="900">
        <v>30408.052563851488</v>
      </c>
      <c r="G2495" s="900">
        <v>23936.009636671541</v>
      </c>
      <c r="H2495" s="900">
        <v>6071.7435431978556</v>
      </c>
    </row>
    <row r="2496" spans="1:8" x14ac:dyDescent="0.35">
      <c r="A2496" s="980" t="s">
        <v>4609</v>
      </c>
      <c r="B2496" s="900">
        <v>3995.8668414623198</v>
      </c>
      <c r="D2496" s="900">
        <v>3.322414673289396</v>
      </c>
      <c r="E2496" s="900">
        <v>118.58656860986881</v>
      </c>
      <c r="F2496" s="900">
        <v>1152.8536139575949</v>
      </c>
      <c r="G2496" s="900">
        <v>4088.2188069708509</v>
      </c>
      <c r="H2496" s="900">
        <v>5431.9029001919635</v>
      </c>
    </row>
    <row r="2497" spans="1:8" x14ac:dyDescent="0.35">
      <c r="A2497" s="980" t="s">
        <v>4610</v>
      </c>
      <c r="C2497" s="900">
        <v>0</v>
      </c>
    </row>
    <row r="2498" spans="1:8" x14ac:dyDescent="0.35">
      <c r="A2498" s="980" t="s">
        <v>4611</v>
      </c>
      <c r="B2498" s="900">
        <v>1598.3467365849281</v>
      </c>
      <c r="C2498" s="900">
        <v>0</v>
      </c>
      <c r="D2498" s="900">
        <v>1.328965869315758</v>
      </c>
      <c r="E2498" s="900">
        <v>47.322065761582643</v>
      </c>
      <c r="F2498" s="900">
        <v>459.96232807884229</v>
      </c>
      <c r="G2498" s="900">
        <v>1630.3446634165509</v>
      </c>
      <c r="H2498" s="900">
        <v>2166.6631819025679</v>
      </c>
    </row>
    <row r="2499" spans="1:8" x14ac:dyDescent="0.35">
      <c r="A2499" s="980" t="s">
        <v>4612</v>
      </c>
      <c r="B2499" s="900">
        <v>1278.6773892679421</v>
      </c>
      <c r="C2499" s="900">
        <v>0</v>
      </c>
      <c r="D2499" s="900">
        <v>1.0631726954526071</v>
      </c>
      <c r="E2499" s="900">
        <v>38.06026363752293</v>
      </c>
      <c r="F2499" s="900">
        <v>370.09227397062631</v>
      </c>
      <c r="G2499" s="900">
        <v>1313.172877602462</v>
      </c>
      <c r="H2499" s="900">
        <v>1744.3069062356451</v>
      </c>
    </row>
    <row r="2500" spans="1:8" x14ac:dyDescent="0.35">
      <c r="A2500" s="980" t="s">
        <v>4613</v>
      </c>
      <c r="B2500" s="900">
        <v>16962.440116572521</v>
      </c>
      <c r="C2500" s="900">
        <v>8914.2583358706434</v>
      </c>
      <c r="D2500" s="900">
        <v>9201.1003304431615</v>
      </c>
      <c r="E2500" s="900">
        <v>5189.8356660075406</v>
      </c>
      <c r="F2500" s="900">
        <v>8269.3169607167292</v>
      </c>
      <c r="G2500" s="900">
        <v>9286.4567816581311</v>
      </c>
      <c r="H2500" s="900">
        <v>14343.316454349169</v>
      </c>
    </row>
    <row r="2501" spans="1:8" x14ac:dyDescent="0.35">
      <c r="A2501" s="980" t="s">
        <v>4614</v>
      </c>
      <c r="B2501" s="900">
        <v>16962.440116572521</v>
      </c>
      <c r="C2501" s="900">
        <v>8914.2583358706434</v>
      </c>
      <c r="D2501" s="900">
        <v>9201.1003304431615</v>
      </c>
      <c r="E2501" s="900">
        <v>5189.8356660075406</v>
      </c>
      <c r="F2501" s="900">
        <v>8269.3169607167292</v>
      </c>
      <c r="G2501" s="900">
        <v>9286.4567816581311</v>
      </c>
      <c r="H2501" s="900">
        <v>14343.316454349169</v>
      </c>
    </row>
    <row r="2502" spans="1:8" x14ac:dyDescent="0.35">
      <c r="A2502" s="980" t="s">
        <v>2998</v>
      </c>
      <c r="B2502" s="900">
        <v>5611.666866504861</v>
      </c>
      <c r="C2502" s="900">
        <v>6966.9450982945946</v>
      </c>
      <c r="D2502" s="900">
        <v>7681.248078055829</v>
      </c>
      <c r="E2502" s="900">
        <v>1609.6046241139411</v>
      </c>
      <c r="F2502" s="900">
        <v>8737.8983172903372</v>
      </c>
      <c r="G2502" s="900">
        <v>10085.008691862629</v>
      </c>
      <c r="H2502" s="900">
        <v>5780.6744494661634</v>
      </c>
    </row>
    <row r="2503" spans="1:8" x14ac:dyDescent="0.35">
      <c r="A2503" s="980" t="s">
        <v>4615</v>
      </c>
      <c r="B2503" s="900">
        <v>5611.666866504861</v>
      </c>
      <c r="C2503" s="900">
        <v>6966.9450982945946</v>
      </c>
      <c r="D2503" s="900">
        <v>7681.248078055829</v>
      </c>
      <c r="E2503" s="900">
        <v>1609.6046241139411</v>
      </c>
      <c r="F2503" s="900">
        <v>8737.8983172903372</v>
      </c>
      <c r="G2503" s="900">
        <v>10085.008691862629</v>
      </c>
      <c r="H2503" s="900">
        <v>5780.6744494661634</v>
      </c>
    </row>
    <row r="2504" spans="1:8" x14ac:dyDescent="0.35">
      <c r="A2504" s="980" t="s">
        <v>4616</v>
      </c>
      <c r="B2504" s="900">
        <v>50242.057786691868</v>
      </c>
      <c r="C2504" s="900">
        <v>684.77144913652887</v>
      </c>
      <c r="D2504" s="900">
        <v>2032.621455480139</v>
      </c>
      <c r="E2504" s="900">
        <v>3786.9476744088761</v>
      </c>
      <c r="F2504" s="900">
        <v>8155.0474609471084</v>
      </c>
      <c r="G2504" s="900">
        <v>17598.203441294711</v>
      </c>
      <c r="H2504" s="900">
        <v>40060.852501794077</v>
      </c>
    </row>
    <row r="2505" spans="1:8" x14ac:dyDescent="0.35">
      <c r="A2505" s="980" t="s">
        <v>4617</v>
      </c>
      <c r="B2505" s="900">
        <v>45217.852008022681</v>
      </c>
      <c r="C2505" s="900">
        <v>611.05853258009085</v>
      </c>
      <c r="D2505" s="900">
        <v>1828.8892213809779</v>
      </c>
      <c r="E2505" s="900">
        <v>3398.4969615877899</v>
      </c>
      <c r="F2505" s="900">
        <v>7302.0775044888514</v>
      </c>
      <c r="G2505" s="900">
        <v>15789.508529896329</v>
      </c>
      <c r="H2505" s="900">
        <v>35959.444984871487</v>
      </c>
    </row>
    <row r="2506" spans="1:8" x14ac:dyDescent="0.35">
      <c r="A2506" s="980" t="s">
        <v>2964</v>
      </c>
      <c r="B2506" s="900">
        <v>5.1872406854841693E-2</v>
      </c>
      <c r="C2506" s="900">
        <v>5225.941373157103</v>
      </c>
      <c r="D2506" s="900">
        <v>4614.8026660096066</v>
      </c>
      <c r="E2506" s="900">
        <v>1049.75718761077</v>
      </c>
      <c r="F2506" s="900">
        <v>25.564910906472079</v>
      </c>
      <c r="G2506" s="900">
        <v>11.217998058961919</v>
      </c>
      <c r="H2506" s="900">
        <v>2.898188296573404E-4</v>
      </c>
    </row>
    <row r="2507" spans="1:8" x14ac:dyDescent="0.35">
      <c r="A2507" s="980" t="s">
        <v>4618</v>
      </c>
      <c r="B2507" s="900">
        <v>4.6685166169357528E-2</v>
      </c>
      <c r="C2507" s="900">
        <v>4703.3472358413928</v>
      </c>
      <c r="D2507" s="900">
        <v>4153.3223994086466</v>
      </c>
      <c r="E2507" s="900">
        <v>944.7814688496934</v>
      </c>
      <c r="F2507" s="900">
        <v>23.008419815824869</v>
      </c>
      <c r="G2507" s="900">
        <v>10.096198253065729</v>
      </c>
      <c r="H2507" s="900">
        <v>2.6083694669160642E-4</v>
      </c>
    </row>
    <row r="2508" spans="1:8" x14ac:dyDescent="0.35">
      <c r="A2508" s="980" t="s">
        <v>4619</v>
      </c>
      <c r="B2508" s="900">
        <v>4.3098814166056109E-3</v>
      </c>
      <c r="C2508" s="900">
        <v>0</v>
      </c>
      <c r="D2508" s="900">
        <v>0.36206393624737671</v>
      </c>
      <c r="E2508" s="900">
        <v>4.315771586678132E-4</v>
      </c>
      <c r="F2508" s="900">
        <v>2.7787717240590888E-4</v>
      </c>
      <c r="G2508" s="900">
        <v>7.2484588479564879E-6</v>
      </c>
      <c r="H2508" s="900">
        <v>22.266340858072699</v>
      </c>
    </row>
    <row r="2509" spans="1:8" x14ac:dyDescent="0.35">
      <c r="A2509" s="980" t="s">
        <v>4620</v>
      </c>
      <c r="B2509" s="900">
        <v>5.107209478677649E-2</v>
      </c>
      <c r="D2509" s="900">
        <v>4.290457644531414</v>
      </c>
      <c r="E2509" s="900">
        <v>5.1141893302135864E-3</v>
      </c>
      <c r="F2509" s="900">
        <v>3.2928444930100209E-3</v>
      </c>
      <c r="G2509" s="900">
        <v>8.5894237348284379E-5</v>
      </c>
      <c r="H2509" s="900">
        <v>263.85613916816141</v>
      </c>
    </row>
    <row r="2510" spans="1:8" x14ac:dyDescent="0.35">
      <c r="A2510" s="980" t="s">
        <v>4621</v>
      </c>
      <c r="C2510" s="900">
        <v>0</v>
      </c>
    </row>
    <row r="2511" spans="1:8" x14ac:dyDescent="0.35">
      <c r="A2511" s="980" t="s">
        <v>4622</v>
      </c>
      <c r="B2511" s="900">
        <v>9.7517762383220082E-3</v>
      </c>
      <c r="C2511" s="900">
        <v>7680.4540410129785</v>
      </c>
      <c r="D2511" s="900">
        <v>8484.3175630898313</v>
      </c>
      <c r="E2511" s="900">
        <v>8618.1355570126889</v>
      </c>
      <c r="F2511" s="900">
        <v>7588.9046437219031</v>
      </c>
      <c r="G2511" s="900">
        <v>2521.1445176905559</v>
      </c>
      <c r="H2511" s="900">
        <v>4.3085390199666562E-5</v>
      </c>
    </row>
    <row r="2512" spans="1:8" x14ac:dyDescent="0.35">
      <c r="A2512" s="980" t="s">
        <v>4623</v>
      </c>
      <c r="B2512" s="900">
        <v>0.1155585484241158</v>
      </c>
      <c r="C2512" s="900">
        <v>91013.380386003788</v>
      </c>
      <c r="D2512" s="900">
        <v>100539.1631226145</v>
      </c>
      <c r="E2512" s="900">
        <v>102124.9063506004</v>
      </c>
      <c r="F2512" s="900">
        <v>89928.520028104555</v>
      </c>
      <c r="G2512" s="900">
        <v>29875.562534633089</v>
      </c>
      <c r="H2512" s="900">
        <v>5.1056187386604862E-4</v>
      </c>
    </row>
    <row r="2513" spans="1:8" x14ac:dyDescent="0.35">
      <c r="A2513" s="980" t="s">
        <v>4624</v>
      </c>
      <c r="B2513" s="900">
        <v>1.7803157452617579E-2</v>
      </c>
      <c r="C2513" s="900">
        <v>6.8558213900714859E-7</v>
      </c>
      <c r="D2513" s="900">
        <v>5.2656100022294519</v>
      </c>
      <c r="E2513" s="900">
        <v>1.03560709718779E-2</v>
      </c>
      <c r="F2513" s="900">
        <v>263.77346287051341</v>
      </c>
      <c r="G2513" s="900">
        <v>263.85608285319182</v>
      </c>
      <c r="H2513" s="900">
        <v>9.024810006235671E-5</v>
      </c>
    </row>
    <row r="2514" spans="1:8" x14ac:dyDescent="0.35">
      <c r="A2514" s="980" t="s">
        <v>4625</v>
      </c>
      <c r="B2514" s="900">
        <v>1.7803157452617579E-2</v>
      </c>
      <c r="C2514" s="900">
        <v>6.8558213900714859E-7</v>
      </c>
      <c r="D2514" s="900">
        <v>5.2656100022294519</v>
      </c>
      <c r="E2514" s="900">
        <v>1.03560709718779E-2</v>
      </c>
      <c r="F2514" s="900">
        <v>263.77346287051341</v>
      </c>
      <c r="G2514" s="900">
        <v>263.85608285319182</v>
      </c>
      <c r="H2514" s="900">
        <v>9.024810006235671E-5</v>
      </c>
    </row>
    <row r="2515" spans="1:8" x14ac:dyDescent="0.35">
      <c r="A2515" s="980" t="s">
        <v>4626</v>
      </c>
      <c r="B2515" s="900">
        <v>4.3298194882618116E-3</v>
      </c>
      <c r="C2515" s="900">
        <v>230666.83198727321</v>
      </c>
      <c r="D2515" s="900">
        <v>207014.82635901691</v>
      </c>
      <c r="E2515" s="900">
        <v>134273.79340214681</v>
      </c>
      <c r="F2515" s="900">
        <v>89653.894464600642</v>
      </c>
      <c r="G2515" s="900">
        <v>29038.62465491928</v>
      </c>
      <c r="H2515" s="900">
        <v>1.5213275054950291E-5</v>
      </c>
    </row>
    <row r="2516" spans="1:8" x14ac:dyDescent="0.35">
      <c r="A2516" s="980" t="s">
        <v>4627</v>
      </c>
      <c r="B2516" s="900">
        <v>4.3298194882618116E-3</v>
      </c>
      <c r="C2516" s="900">
        <v>230666.83198727321</v>
      </c>
      <c r="D2516" s="900">
        <v>207014.82635901691</v>
      </c>
      <c r="E2516" s="900">
        <v>134273.79340214681</v>
      </c>
      <c r="F2516" s="900">
        <v>89653.894464600642</v>
      </c>
      <c r="G2516" s="900">
        <v>29038.62465491928</v>
      </c>
      <c r="H2516" s="900">
        <v>1.5213275054950291E-5</v>
      </c>
    </row>
    <row r="2517" spans="1:8" x14ac:dyDescent="0.35">
      <c r="A2517" s="980" t="s">
        <v>4628</v>
      </c>
      <c r="B2517" s="900">
        <v>7056.3265546450139</v>
      </c>
      <c r="C2517" s="900">
        <v>0</v>
      </c>
      <c r="D2517" s="900">
        <v>8.2982116783821531E-5</v>
      </c>
      <c r="E2517" s="900">
        <v>543.68639532864051</v>
      </c>
      <c r="F2517" s="900">
        <v>2036.699055460758</v>
      </c>
      <c r="G2517" s="900">
        <v>4543.0242873562911</v>
      </c>
      <c r="H2517" s="900">
        <v>7035.5073511331366</v>
      </c>
    </row>
    <row r="2518" spans="1:8" x14ac:dyDescent="0.35">
      <c r="A2518" s="980" t="s">
        <v>4629</v>
      </c>
      <c r="B2518" s="900">
        <v>9800.5319517464595</v>
      </c>
      <c r="D2518" s="900">
        <v>1.152538620010497E-4</v>
      </c>
      <c r="E2518" s="900">
        <v>755.12603447194886</v>
      </c>
      <c r="F2518" s="900">
        <v>2828.7713181294471</v>
      </c>
      <c r="G2518" s="900">
        <v>6309.8064327091524</v>
      </c>
      <c r="H2518" s="900">
        <v>9771.6161599888146</v>
      </c>
    </row>
    <row r="2519" spans="1:8" x14ac:dyDescent="0.35">
      <c r="A2519" s="980" t="s">
        <v>4630</v>
      </c>
      <c r="C2519" s="900">
        <v>0</v>
      </c>
    </row>
    <row r="2520" spans="1:8" x14ac:dyDescent="0.35">
      <c r="A2520" s="980" t="s">
        <v>4631</v>
      </c>
      <c r="B2520" s="900">
        <v>7056.3265546450139</v>
      </c>
      <c r="D2520" s="900">
        <v>8.2982116783821531E-5</v>
      </c>
      <c r="E2520" s="900">
        <v>543.68639532864051</v>
      </c>
      <c r="F2520" s="900">
        <v>2036.699055460758</v>
      </c>
      <c r="G2520" s="900">
        <v>4543.0242873562911</v>
      </c>
      <c r="H2520" s="900">
        <v>7035.5073511331366</v>
      </c>
    </row>
    <row r="2521" spans="1:8" x14ac:dyDescent="0.35">
      <c r="A2521" s="980" t="s">
        <v>4632</v>
      </c>
      <c r="C2521" s="900">
        <v>0</v>
      </c>
    </row>
    <row r="2522" spans="1:8" x14ac:dyDescent="0.35">
      <c r="A2522" s="980" t="s">
        <v>4633</v>
      </c>
      <c r="B2522" s="900">
        <v>4276.2442411174407</v>
      </c>
      <c r="C2522" s="900">
        <v>14191.145932269001</v>
      </c>
      <c r="D2522" s="900">
        <v>14413.27235049869</v>
      </c>
      <c r="E2522" s="900">
        <v>23652.010591255668</v>
      </c>
      <c r="F2522" s="900">
        <v>191.4429272135516</v>
      </c>
      <c r="G2522" s="900">
        <v>18183.301288377679</v>
      </c>
      <c r="H2522" s="900">
        <v>4430.3815983909844</v>
      </c>
    </row>
    <row r="2523" spans="1:8" x14ac:dyDescent="0.35">
      <c r="A2523" s="980" t="s">
        <v>4634</v>
      </c>
      <c r="B2523" s="900">
        <v>4276.2442411174407</v>
      </c>
      <c r="C2523" s="900">
        <v>14191.145932269001</v>
      </c>
      <c r="D2523" s="900">
        <v>14413.27235049869</v>
      </c>
      <c r="E2523" s="900">
        <v>23652.010591255668</v>
      </c>
      <c r="F2523" s="900">
        <v>191.4429272135516</v>
      </c>
      <c r="G2523" s="900">
        <v>18183.301288377679</v>
      </c>
      <c r="H2523" s="900">
        <v>4430.3815983909844</v>
      </c>
    </row>
    <row r="2524" spans="1:8" x14ac:dyDescent="0.35">
      <c r="A2524" s="980" t="s">
        <v>4635</v>
      </c>
      <c r="B2524" s="900">
        <v>12099.69668094585</v>
      </c>
      <c r="C2524" s="900">
        <v>3.7636091633585708E-2</v>
      </c>
      <c r="D2524" s="900">
        <v>1.451041484672013</v>
      </c>
      <c r="E2524" s="900">
        <v>4.0793888881896908E-3</v>
      </c>
      <c r="F2524" s="900">
        <v>29.99794013894202</v>
      </c>
      <c r="G2524" s="900">
        <v>383.25318564610632</v>
      </c>
      <c r="H2524" s="900">
        <v>13420.05596372792</v>
      </c>
    </row>
    <row r="2525" spans="1:8" x14ac:dyDescent="0.35">
      <c r="A2525" s="980" t="s">
        <v>4636</v>
      </c>
      <c r="B2525" s="900">
        <v>12099.69668094585</v>
      </c>
      <c r="C2525" s="900">
        <v>3.7636091633585708E-2</v>
      </c>
      <c r="D2525" s="900">
        <v>1.451041484672013</v>
      </c>
      <c r="E2525" s="900">
        <v>4.0793888881896908E-3</v>
      </c>
      <c r="F2525" s="900">
        <v>29.99794013894202</v>
      </c>
      <c r="G2525" s="900">
        <v>383.25318564610632</v>
      </c>
      <c r="H2525" s="900">
        <v>13420.05596372792</v>
      </c>
    </row>
    <row r="2526" spans="1:8" x14ac:dyDescent="0.35">
      <c r="A2526" s="980" t="s">
        <v>4637</v>
      </c>
      <c r="B2526" s="900">
        <v>9.0454129759350507E-3</v>
      </c>
      <c r="C2526" s="900">
        <v>349048.70683593722</v>
      </c>
      <c r="D2526" s="900">
        <v>298491.46529571462</v>
      </c>
      <c r="E2526" s="900">
        <v>180775.50924119301</v>
      </c>
      <c r="F2526" s="900">
        <v>137327.43385337989</v>
      </c>
      <c r="G2526" s="900">
        <v>49725.785286970131</v>
      </c>
      <c r="H2526" s="900">
        <v>3.5516031686865273E-5</v>
      </c>
    </row>
    <row r="2527" spans="1:8" x14ac:dyDescent="0.35">
      <c r="A2527" s="980" t="s">
        <v>4638</v>
      </c>
      <c r="B2527" s="900">
        <v>9.0454129759350507E-3</v>
      </c>
      <c r="C2527" s="900">
        <v>349048.70683593722</v>
      </c>
      <c r="D2527" s="900">
        <v>298491.46529571462</v>
      </c>
      <c r="E2527" s="900">
        <v>180775.50924119301</v>
      </c>
      <c r="F2527" s="900">
        <v>137327.43385337989</v>
      </c>
      <c r="G2527" s="900">
        <v>49725.785286970131</v>
      </c>
      <c r="H2527" s="900">
        <v>3.5516031686865273E-5</v>
      </c>
    </row>
    <row r="2528" spans="1:8" x14ac:dyDescent="0.35">
      <c r="A2528" s="980" t="s">
        <v>4639</v>
      </c>
      <c r="B2528" s="900">
        <v>7.0308600784088513E-3</v>
      </c>
      <c r="C2528" s="900">
        <v>14341.69293281564</v>
      </c>
      <c r="D2528" s="900">
        <v>14519.168798062041</v>
      </c>
      <c r="E2528" s="900">
        <v>14327.216228888439</v>
      </c>
      <c r="F2528" s="900">
        <v>14161.732801854079</v>
      </c>
      <c r="G2528" s="900">
        <v>13381.349162992239</v>
      </c>
      <c r="H2528" s="900">
        <v>2.5281032435056611E-5</v>
      </c>
    </row>
    <row r="2529" spans="1:8" x14ac:dyDescent="0.35">
      <c r="A2529" s="980" t="s">
        <v>4640</v>
      </c>
      <c r="B2529" s="900">
        <v>7.0308600784088513E-3</v>
      </c>
      <c r="C2529" s="900">
        <v>14341.69293281564</v>
      </c>
      <c r="D2529" s="900">
        <v>14519.168798062041</v>
      </c>
      <c r="E2529" s="900">
        <v>14327.216228888439</v>
      </c>
      <c r="F2529" s="900">
        <v>14161.732801854079</v>
      </c>
      <c r="G2529" s="900">
        <v>13381.349162992239</v>
      </c>
      <c r="H2529" s="900">
        <v>2.5281032435056611E-5</v>
      </c>
    </row>
    <row r="2530" spans="1:8" x14ac:dyDescent="0.35">
      <c r="A2530" s="980" t="s">
        <v>4641</v>
      </c>
      <c r="B2530" s="900">
        <v>0.9034562044833484</v>
      </c>
      <c r="C2530" s="900">
        <v>5255.6651414654834</v>
      </c>
      <c r="D2530" s="900">
        <v>5953.1991544050616</v>
      </c>
      <c r="E2530" s="900">
        <v>29609.67414144097</v>
      </c>
      <c r="F2530" s="900">
        <v>50194.799337929333</v>
      </c>
      <c r="G2530" s="900">
        <v>50194.799931177258</v>
      </c>
      <c r="H2530" s="900">
        <v>2724.906745442087</v>
      </c>
    </row>
    <row r="2531" spans="1:8" x14ac:dyDescent="0.35">
      <c r="A2531" s="980" t="s">
        <v>4642</v>
      </c>
      <c r="B2531" s="900">
        <v>0.9034562044833484</v>
      </c>
      <c r="C2531" s="900">
        <v>5255.6651414654834</v>
      </c>
      <c r="D2531" s="900">
        <v>5953.1991544050616</v>
      </c>
      <c r="E2531" s="900">
        <v>29609.67414144097</v>
      </c>
      <c r="F2531" s="900">
        <v>50194.799337929333</v>
      </c>
      <c r="G2531" s="900">
        <v>50194.799931177258</v>
      </c>
      <c r="H2531" s="900">
        <v>2724.906745442087</v>
      </c>
    </row>
    <row r="2532" spans="1:8" x14ac:dyDescent="0.35">
      <c r="A2532" s="980" t="s">
        <v>3890</v>
      </c>
      <c r="B2532" s="900">
        <v>4379.9631321032984</v>
      </c>
      <c r="C2532" s="900">
        <v>2838.0748052862859</v>
      </c>
      <c r="D2532" s="900">
        <v>2911.1009775129619</v>
      </c>
      <c r="E2532" s="900">
        <v>3505.7031327876039</v>
      </c>
      <c r="F2532" s="900">
        <v>4.5088325233072372E-2</v>
      </c>
      <c r="G2532" s="900">
        <v>5927.7557852660711</v>
      </c>
      <c r="H2532" s="900">
        <v>4328.4678144655218</v>
      </c>
    </row>
    <row r="2533" spans="1:8" x14ac:dyDescent="0.35">
      <c r="A2533" s="980" t="s">
        <v>3891</v>
      </c>
      <c r="B2533" s="900">
        <v>4379.9631321032984</v>
      </c>
      <c r="C2533" s="900">
        <v>2838.0748052862859</v>
      </c>
      <c r="D2533" s="900">
        <v>2911.1009775129619</v>
      </c>
      <c r="E2533" s="900">
        <v>3505.7031327876039</v>
      </c>
      <c r="F2533" s="900">
        <v>4.5088325233072372E-2</v>
      </c>
      <c r="G2533" s="900">
        <v>5927.7557852660711</v>
      </c>
      <c r="H2533" s="900">
        <v>4328.4678144655218</v>
      </c>
    </row>
    <row r="2534" spans="1:8" x14ac:dyDescent="0.35">
      <c r="A2534" s="980" t="s">
        <v>4643</v>
      </c>
      <c r="B2534" s="900">
        <v>4005.039287317009</v>
      </c>
      <c r="D2534" s="900">
        <v>1.651125082986914</v>
      </c>
      <c r="E2534" s="900">
        <v>1.043996556456998E-2</v>
      </c>
      <c r="F2534" s="900">
        <v>4712.972958622131</v>
      </c>
      <c r="G2534" s="900">
        <v>4.9450103762454269E-2</v>
      </c>
      <c r="H2534" s="900">
        <v>4056.4652361869789</v>
      </c>
    </row>
    <row r="2535" spans="1:8" x14ac:dyDescent="0.35">
      <c r="A2535" s="980" t="s">
        <v>4644</v>
      </c>
      <c r="C2535" s="900">
        <v>0</v>
      </c>
    </row>
    <row r="2536" spans="1:8" x14ac:dyDescent="0.35">
      <c r="A2536" s="980" t="s">
        <v>4223</v>
      </c>
      <c r="B2536" s="900">
        <v>4005.039287317009</v>
      </c>
      <c r="C2536" s="900">
        <v>0</v>
      </c>
      <c r="D2536" s="900">
        <v>1.651125082986914</v>
      </c>
      <c r="E2536" s="900">
        <v>9.1672203015324312E-3</v>
      </c>
      <c r="F2536" s="900">
        <v>4712.9720061677363</v>
      </c>
      <c r="G2536" s="900">
        <v>4.9331093052695459E-2</v>
      </c>
      <c r="H2536" s="900">
        <v>4056.4651695948169</v>
      </c>
    </row>
    <row r="2537" spans="1:8" x14ac:dyDescent="0.35">
      <c r="A2537" s="980" t="s">
        <v>4645</v>
      </c>
      <c r="B2537" s="900">
        <v>8385.0023941767067</v>
      </c>
      <c r="C2537" s="900">
        <v>2838.0747373175491</v>
      </c>
      <c r="D2537" s="900">
        <v>2911.9249353899991</v>
      </c>
      <c r="E2537" s="900">
        <v>3505.7119203318121</v>
      </c>
      <c r="F2537" s="900">
        <v>4713.0168108373673</v>
      </c>
      <c r="G2537" s="900">
        <v>5927.8051162803868</v>
      </c>
      <c r="H2537" s="900">
        <v>8384.9329839794646</v>
      </c>
    </row>
    <row r="2538" spans="1:8" x14ac:dyDescent="0.35">
      <c r="A2538" s="980" t="s">
        <v>4646</v>
      </c>
      <c r="B2538" s="900">
        <v>8385.0023941767067</v>
      </c>
      <c r="C2538" s="900">
        <v>2838.0747373175491</v>
      </c>
      <c r="D2538" s="900">
        <v>2911.9249353899991</v>
      </c>
      <c r="E2538" s="900">
        <v>3505.7119203318121</v>
      </c>
      <c r="F2538" s="900">
        <v>4713.0168108373673</v>
      </c>
      <c r="G2538" s="900">
        <v>5927.8051162803868</v>
      </c>
      <c r="H2538" s="900">
        <v>8384.9329839794646</v>
      </c>
    </row>
    <row r="2539" spans="1:8" x14ac:dyDescent="0.35">
      <c r="A2539" s="980" t="s">
        <v>3295</v>
      </c>
      <c r="B2539" s="900">
        <v>699995.72153098648</v>
      </c>
      <c r="C2539" s="900">
        <v>493499.78345298918</v>
      </c>
      <c r="D2539" s="900">
        <v>487334.35286551679</v>
      </c>
      <c r="E2539" s="900">
        <v>507043.85624948621</v>
      </c>
      <c r="F2539" s="900">
        <v>529867.03350509016</v>
      </c>
      <c r="G2539" s="900">
        <v>576214.41288738337</v>
      </c>
      <c r="H2539" s="900">
        <v>699999.98194333643</v>
      </c>
    </row>
    <row r="2540" spans="1:8" x14ac:dyDescent="0.35">
      <c r="A2540" s="980" t="s">
        <v>3307</v>
      </c>
      <c r="B2540" s="900">
        <v>710.91565478686982</v>
      </c>
      <c r="C2540" s="900">
        <v>501.19838007485578</v>
      </c>
      <c r="D2540" s="900">
        <v>494.93676877021869</v>
      </c>
      <c r="E2540" s="900">
        <v>514.95374040697811</v>
      </c>
      <c r="F2540" s="900">
        <v>538.13295922776945</v>
      </c>
      <c r="G2540" s="900">
        <v>585.20335772842645</v>
      </c>
      <c r="H2540" s="900">
        <v>710.9199816616524</v>
      </c>
    </row>
    <row r="2541" spans="1:8" x14ac:dyDescent="0.35">
      <c r="A2541" s="980" t="s">
        <v>3308</v>
      </c>
      <c r="B2541" s="900">
        <v>70.76956744678273</v>
      </c>
      <c r="C2541" s="900">
        <v>49.892828107097223</v>
      </c>
      <c r="D2541" s="900">
        <v>49.269503074703749</v>
      </c>
      <c r="E2541" s="900">
        <v>51.262133866823063</v>
      </c>
      <c r="F2541" s="900">
        <v>53.569557087364608</v>
      </c>
      <c r="G2541" s="900">
        <v>58.255277142914473</v>
      </c>
      <c r="H2541" s="900">
        <v>70.769998174471311</v>
      </c>
    </row>
    <row r="2542" spans="1:8" x14ac:dyDescent="0.35">
      <c r="A2542" s="980" t="s">
        <v>4647</v>
      </c>
      <c r="B2542" s="900">
        <v>1761.889231093493</v>
      </c>
      <c r="C2542" s="900">
        <v>1242.1389549511739</v>
      </c>
      <c r="D2542" s="900">
        <v>1226.6205661625061</v>
      </c>
      <c r="E2542" s="900">
        <v>1276.2293861799569</v>
      </c>
      <c r="F2542" s="900">
        <v>1333.675323332312</v>
      </c>
      <c r="G2542" s="900">
        <v>1450.331677237544</v>
      </c>
      <c r="H2542" s="900">
        <v>1761.899954551378</v>
      </c>
    </row>
    <row r="2543" spans="1:8" x14ac:dyDescent="0.35">
      <c r="A2543" s="980" t="s">
        <v>4648</v>
      </c>
      <c r="B2543" s="900">
        <v>367.8477516645334</v>
      </c>
      <c r="C2543" s="900">
        <v>259.33413620454581</v>
      </c>
      <c r="D2543" s="900">
        <v>256.09420243082911</v>
      </c>
      <c r="E2543" s="900">
        <v>266.45154645910497</v>
      </c>
      <c r="F2543" s="900">
        <v>278.44512610692487</v>
      </c>
      <c r="G2543" s="900">
        <v>302.80067397231988</v>
      </c>
      <c r="H2543" s="900">
        <v>367.84999051122333</v>
      </c>
    </row>
    <row r="2544" spans="1:8" x14ac:dyDescent="0.35">
      <c r="A2544" s="980" t="s">
        <v>3309</v>
      </c>
      <c r="B2544" s="900">
        <v>1004.913857829884</v>
      </c>
      <c r="C2544" s="900">
        <v>708.46828912511137</v>
      </c>
      <c r="D2544" s="900">
        <v>699.61719697373587</v>
      </c>
      <c r="E2544" s="900">
        <v>727.91216003176237</v>
      </c>
      <c r="F2544" s="900">
        <v>760.67711329990743</v>
      </c>
      <c r="G2544" s="900">
        <v>827.21341114112761</v>
      </c>
      <c r="H2544" s="900">
        <v>1004.919974077854</v>
      </c>
    </row>
    <row r="2545" spans="1:8" x14ac:dyDescent="0.35">
      <c r="A2545" s="980" t="s">
        <v>3299</v>
      </c>
      <c r="B2545" s="900">
        <v>4.6451228870780659</v>
      </c>
      <c r="C2545" s="900">
        <v>206500.28368659911</v>
      </c>
      <c r="D2545" s="900">
        <v>212692.05768621701</v>
      </c>
      <c r="E2545" s="900">
        <v>192956.18710488419</v>
      </c>
      <c r="F2545" s="900">
        <v>170132.99079105191</v>
      </c>
      <c r="G2545" s="900">
        <v>123785.5884191166</v>
      </c>
      <c r="H2545" s="900">
        <v>1.9325917761479849E-2</v>
      </c>
    </row>
    <row r="2546" spans="1:8" x14ac:dyDescent="0.35">
      <c r="A2546" s="980" t="s">
        <v>3193</v>
      </c>
      <c r="B2546" s="900">
        <v>0.24804956216996879</v>
      </c>
      <c r="C2546" s="900">
        <v>11027.11514886439</v>
      </c>
      <c r="D2546" s="900">
        <v>11357.75588044399</v>
      </c>
      <c r="E2546" s="900">
        <v>10303.86039140082</v>
      </c>
      <c r="F2546" s="900">
        <v>9085.1017082421713</v>
      </c>
      <c r="G2546" s="900">
        <v>6610.1504215808254</v>
      </c>
      <c r="H2546" s="900">
        <v>1.0320040084630239E-3</v>
      </c>
    </row>
    <row r="2547" spans="1:8" x14ac:dyDescent="0.35">
      <c r="A2547" s="980" t="s">
        <v>3313</v>
      </c>
      <c r="B2547" s="900">
        <v>2.5845463743702358E-3</v>
      </c>
      <c r="C2547" s="900">
        <v>114.8967578432237</v>
      </c>
      <c r="D2547" s="900">
        <v>118.3418608966111</v>
      </c>
      <c r="E2547" s="900">
        <v>107.3608225051576</v>
      </c>
      <c r="F2547" s="900">
        <v>94.661996076141278</v>
      </c>
      <c r="G2547" s="900">
        <v>68.874301396396461</v>
      </c>
      <c r="H2547" s="900">
        <v>1.075294064248739E-5</v>
      </c>
    </row>
    <row r="2548" spans="1:8" x14ac:dyDescent="0.35">
      <c r="A2548" s="980" t="s">
        <v>3315</v>
      </c>
      <c r="B2548" s="900">
        <v>5.5555669729453669E-4</v>
      </c>
      <c r="C2548" s="900">
        <v>24.697433928917249</v>
      </c>
      <c r="D2548" s="900">
        <v>25.43797009927156</v>
      </c>
      <c r="E2548" s="900">
        <v>23.077559977744151</v>
      </c>
      <c r="F2548" s="900">
        <v>20.347905698609811</v>
      </c>
      <c r="G2548" s="900">
        <v>14.804756374926351</v>
      </c>
      <c r="H2548" s="900">
        <v>2.311379764272991E-6</v>
      </c>
    </row>
    <row r="2549" spans="1:8" x14ac:dyDescent="0.35">
      <c r="A2549" s="980" t="s">
        <v>4649</v>
      </c>
      <c r="B2549" s="900">
        <v>9.6507073101933898E-3</v>
      </c>
      <c r="C2549" s="900">
        <v>429.02498938727831</v>
      </c>
      <c r="D2549" s="900">
        <v>441.88901904888451</v>
      </c>
      <c r="E2549" s="900">
        <v>400.88577432910739</v>
      </c>
      <c r="F2549" s="900">
        <v>353.46830166748953</v>
      </c>
      <c r="G2549" s="900">
        <v>257.17693849955663</v>
      </c>
      <c r="H2549" s="900">
        <v>4.0151526741250541E-5</v>
      </c>
    </row>
    <row r="2550" spans="1:8" x14ac:dyDescent="0.35">
      <c r="A2550" s="980" t="s">
        <v>3317</v>
      </c>
      <c r="B2550" s="900">
        <v>3.9850509248242722E-3</v>
      </c>
      <c r="C2550" s="900">
        <v>177.15659337473329</v>
      </c>
      <c r="D2550" s="900">
        <v>182.46851628900561</v>
      </c>
      <c r="E2550" s="900">
        <v>165.53711291728021</v>
      </c>
      <c r="F2550" s="900">
        <v>145.95709279964339</v>
      </c>
      <c r="G2550" s="900">
        <v>106.19565630476011</v>
      </c>
      <c r="H2550" s="900">
        <v>1.6579704847573569E-5</v>
      </c>
    </row>
    <row r="2551" spans="1:8" x14ac:dyDescent="0.35">
      <c r="A2551" s="980" t="s">
        <v>3319</v>
      </c>
      <c r="B2551" s="900">
        <v>5.5551024606566588E-3</v>
      </c>
      <c r="C2551" s="900">
        <v>246.9536892608038</v>
      </c>
      <c r="D2551" s="900">
        <v>254.35843178694691</v>
      </c>
      <c r="E2551" s="900">
        <v>230.75630415873101</v>
      </c>
      <c r="F2551" s="900">
        <v>203.46204368701899</v>
      </c>
      <c r="G2551" s="900">
        <v>148.03518519042149</v>
      </c>
      <c r="H2551" s="900">
        <v>2.311186505095375E-5</v>
      </c>
    </row>
    <row r="2552" spans="1:8" x14ac:dyDescent="0.35">
      <c r="A2552" s="980" t="s">
        <v>4650</v>
      </c>
      <c r="B2552" s="900">
        <v>367.8583369411644</v>
      </c>
      <c r="C2552" s="900">
        <v>688.36163162360219</v>
      </c>
      <c r="D2552" s="900">
        <v>698.04021371150441</v>
      </c>
      <c r="E2552" s="900">
        <v>667.33742000970005</v>
      </c>
      <c r="F2552" s="900">
        <v>631.91348475064649</v>
      </c>
      <c r="G2552" s="900">
        <v>559.97761539247745</v>
      </c>
      <c r="H2552" s="900">
        <v>367.8500336654634</v>
      </c>
    </row>
    <row r="2553" spans="1:8" x14ac:dyDescent="0.35">
      <c r="A2553" s="980" t="s">
        <v>4651</v>
      </c>
      <c r="B2553" s="900">
        <v>367.8583369411644</v>
      </c>
      <c r="C2553" s="900">
        <v>688.36163162360219</v>
      </c>
      <c r="D2553" s="900">
        <v>698.04021371150441</v>
      </c>
      <c r="E2553" s="900">
        <v>667.33742000970005</v>
      </c>
      <c r="F2553" s="900">
        <v>631.91348475064649</v>
      </c>
      <c r="G2553" s="900">
        <v>559.97761539247745</v>
      </c>
      <c r="H2553" s="900">
        <v>367.8500336654634</v>
      </c>
    </row>
    <row r="2554" spans="1:8" x14ac:dyDescent="0.35">
      <c r="A2554" s="980" t="s">
        <v>4652</v>
      </c>
      <c r="B2554" s="900">
        <v>1.111438515824846E-2</v>
      </c>
      <c r="C2554" s="900">
        <v>261.90355606350971</v>
      </c>
      <c r="D2554" s="900">
        <v>127.02185792716899</v>
      </c>
      <c r="E2554" s="900">
        <v>5.0500775404712774</v>
      </c>
      <c r="F2554" s="900">
        <v>5.7999012009611493</v>
      </c>
      <c r="G2554" s="900">
        <v>0.9055476085664429</v>
      </c>
      <c r="H2554" s="900">
        <v>1.7443371076200881E-4</v>
      </c>
    </row>
    <row r="2555" spans="1:8" x14ac:dyDescent="0.35">
      <c r="A2555" s="980" t="s">
        <v>4653</v>
      </c>
      <c r="B2555" s="900">
        <v>1.111438515824846E-2</v>
      </c>
      <c r="C2555" s="900">
        <v>261.90355606350971</v>
      </c>
      <c r="D2555" s="900">
        <v>127.02185792716899</v>
      </c>
      <c r="E2555" s="900">
        <v>5.0500775404712774</v>
      </c>
      <c r="F2555" s="900">
        <v>5.7999012009611493</v>
      </c>
      <c r="G2555" s="900">
        <v>0.9055476085664429</v>
      </c>
      <c r="H2555" s="900">
        <v>1.7443371076200881E-4</v>
      </c>
    </row>
    <row r="2556" spans="1:8" x14ac:dyDescent="0.35">
      <c r="A2556" s="980" t="s">
        <v>4654</v>
      </c>
      <c r="B2556" s="900">
        <v>3.5193467916847562E-2</v>
      </c>
      <c r="C2556" s="900">
        <v>83.269394798546429</v>
      </c>
      <c r="D2556" s="900">
        <v>93.586299037944428</v>
      </c>
      <c r="E2556" s="900">
        <v>0.56350775456407687</v>
      </c>
      <c r="F2556" s="900">
        <v>2.041546819595923</v>
      </c>
      <c r="G2556" s="900">
        <v>1.3848050449745021E-4</v>
      </c>
      <c r="H2556" s="900">
        <v>1.2785439574696119E-4</v>
      </c>
    </row>
    <row r="2557" spans="1:8" x14ac:dyDescent="0.35">
      <c r="A2557" s="980" t="s">
        <v>4655</v>
      </c>
      <c r="B2557" s="900">
        <v>3.5193467916847562E-2</v>
      </c>
      <c r="C2557" s="900">
        <v>83.269394798546429</v>
      </c>
      <c r="D2557" s="900">
        <v>93.586299037944428</v>
      </c>
      <c r="E2557" s="900">
        <v>0.56350775456407687</v>
      </c>
      <c r="F2557" s="900">
        <v>2.041546819595923</v>
      </c>
      <c r="G2557" s="900">
        <v>1.3848050449745021E-4</v>
      </c>
      <c r="H2557" s="900">
        <v>1.2785439574696119E-4</v>
      </c>
    </row>
    <row r="2558" spans="1:8" x14ac:dyDescent="0.35">
      <c r="A2558" s="980" t="s">
        <v>3188</v>
      </c>
      <c r="B2558" s="900">
        <v>10.83335977942963</v>
      </c>
      <c r="C2558" s="900">
        <v>0</v>
      </c>
      <c r="D2558" s="900">
        <v>3568.122634574966</v>
      </c>
      <c r="E2558" s="900">
        <v>1.3075949440169741</v>
      </c>
      <c r="F2558" s="900">
        <v>150.00172722400239</v>
      </c>
      <c r="G2558" s="900">
        <v>3.382461793115199E-2</v>
      </c>
      <c r="H2558" s="900">
        <v>3.8079365322521028E-2</v>
      </c>
    </row>
    <row r="2559" spans="1:8" x14ac:dyDescent="0.35">
      <c r="A2559" s="980" t="s">
        <v>4656</v>
      </c>
      <c r="B2559" s="900">
        <v>7.2222398529530867E-3</v>
      </c>
      <c r="C2559" s="900">
        <v>0</v>
      </c>
      <c r="D2559" s="900">
        <v>2.3787484230499771</v>
      </c>
      <c r="E2559" s="900">
        <v>8.7172996267798281E-4</v>
      </c>
      <c r="F2559" s="900">
        <v>0.10000115148266819</v>
      </c>
      <c r="G2559" s="900">
        <v>2.2549745287434659E-5</v>
      </c>
      <c r="H2559" s="900">
        <v>2.538624354834735E-5</v>
      </c>
    </row>
    <row r="2560" spans="1:8" x14ac:dyDescent="0.35">
      <c r="A2560" s="980" t="s">
        <v>3233</v>
      </c>
      <c r="B2560" s="900">
        <v>1.3922873494303999E-2</v>
      </c>
      <c r="D2560" s="900">
        <v>4.5856983488796779</v>
      </c>
      <c r="E2560" s="900">
        <v>1.680501650273667E-3</v>
      </c>
      <c r="F2560" s="900">
        <v>0.19277999758047709</v>
      </c>
      <c r="G2560" s="900">
        <v>4.3470897859665701E-5</v>
      </c>
      <c r="H2560" s="900">
        <v>4.8939036173758488E-5</v>
      </c>
    </row>
    <row r="2561" spans="1:8" x14ac:dyDescent="0.35">
      <c r="A2561" s="980" t="s">
        <v>4657</v>
      </c>
      <c r="C2561" s="900">
        <v>0</v>
      </c>
    </row>
    <row r="2562" spans="1:8" x14ac:dyDescent="0.35">
      <c r="A2562" s="980" t="s">
        <v>3235</v>
      </c>
      <c r="B2562" s="900">
        <v>1.8055599632382721E-2</v>
      </c>
      <c r="D2562" s="900">
        <v>5.9468710576249437</v>
      </c>
      <c r="E2562" s="900">
        <v>2.1793249066949568E-3</v>
      </c>
      <c r="F2562" s="900">
        <v>0.25000287870667071</v>
      </c>
      <c r="G2562" s="900">
        <v>5.6374363218586663E-5</v>
      </c>
      <c r="H2562" s="900">
        <v>6.3465608870868373E-5</v>
      </c>
    </row>
    <row r="2563" spans="1:8" x14ac:dyDescent="0.35">
      <c r="A2563" s="980" t="s">
        <v>4658</v>
      </c>
      <c r="C2563" s="900">
        <v>0</v>
      </c>
    </row>
    <row r="2564" spans="1:8" x14ac:dyDescent="0.35">
      <c r="A2564" s="980" t="s">
        <v>3236</v>
      </c>
      <c r="B2564" s="900">
        <v>6.1830397852226139E-3</v>
      </c>
      <c r="D2564" s="900">
        <v>2.036472955511119</v>
      </c>
      <c r="E2564" s="900">
        <v>7.4629770693709517E-4</v>
      </c>
      <c r="F2564" s="900">
        <v>8.5612096908217653E-2</v>
      </c>
      <c r="G2564" s="900">
        <v>1.930508749329823E-5</v>
      </c>
      <c r="H2564" s="900">
        <v>2.1733445171112921E-5</v>
      </c>
    </row>
    <row r="2565" spans="1:8" x14ac:dyDescent="0.35">
      <c r="A2565" s="980" t="s">
        <v>4659</v>
      </c>
      <c r="C2565" s="900">
        <v>0</v>
      </c>
    </row>
    <row r="2566" spans="1:8" x14ac:dyDescent="0.35">
      <c r="A2566" s="980" t="s">
        <v>4660</v>
      </c>
      <c r="B2566" s="900">
        <v>2.0061777369314131E-2</v>
      </c>
      <c r="D2566" s="900">
        <v>6.6076345084721586</v>
      </c>
      <c r="E2566" s="900">
        <v>2.421472118549952E-3</v>
      </c>
      <c r="F2566" s="900">
        <v>0.27778097634074522</v>
      </c>
      <c r="G2566" s="900">
        <v>6.2638181353985166E-5</v>
      </c>
      <c r="H2566" s="900">
        <v>7.0517343189853749E-5</v>
      </c>
    </row>
    <row r="2567" spans="1:8" x14ac:dyDescent="0.35">
      <c r="A2567" s="980" t="s">
        <v>4661</v>
      </c>
      <c r="C2567" s="900">
        <v>0</v>
      </c>
    </row>
    <row r="2568" spans="1:8" x14ac:dyDescent="0.35">
      <c r="A2568" s="980" t="s">
        <v>3182</v>
      </c>
      <c r="B2568" s="900">
        <v>7.0838579424937791</v>
      </c>
      <c r="C2568" s="900">
        <v>44963.001318412797</v>
      </c>
      <c r="D2568" s="900">
        <v>46926.573609620362</v>
      </c>
      <c r="E2568" s="900">
        <v>302.87980723346902</v>
      </c>
      <c r="F2568" s="900">
        <v>952.37166609535029</v>
      </c>
      <c r="G2568" s="900">
        <v>3.7712801567738499E-2</v>
      </c>
      <c r="H2568" s="900">
        <v>2.7574867841388389E-2</v>
      </c>
    </row>
    <row r="2569" spans="1:8" x14ac:dyDescent="0.35">
      <c r="A2569" s="980" t="s">
        <v>4662</v>
      </c>
      <c r="B2569" s="900">
        <v>4.7225719616625196E-3</v>
      </c>
      <c r="C2569" s="900">
        <v>29.9753342122752</v>
      </c>
      <c r="D2569" s="900">
        <v>31.28438240641357</v>
      </c>
      <c r="E2569" s="900">
        <v>0.2019198714889793</v>
      </c>
      <c r="F2569" s="900">
        <v>0.6349144440635669</v>
      </c>
      <c r="G2569" s="900">
        <v>2.5141867711825669E-5</v>
      </c>
      <c r="H2569" s="900">
        <v>1.8383245227592261E-5</v>
      </c>
    </row>
    <row r="2570" spans="1:8" x14ac:dyDescent="0.35">
      <c r="A2570" s="980" t="s">
        <v>3223</v>
      </c>
      <c r="B2570" s="900">
        <v>9.1040692816494115E-3</v>
      </c>
      <c r="C2570" s="900">
        <v>57.785783175886067</v>
      </c>
      <c r="D2570" s="900">
        <v>60.309337194586163</v>
      </c>
      <c r="E2570" s="900">
        <v>0.38925664114819891</v>
      </c>
      <c r="F2570" s="900">
        <v>1.223973956055876</v>
      </c>
      <c r="G2570" s="900">
        <v>4.8467933866686139E-5</v>
      </c>
      <c r="H2570" s="900">
        <v>3.5438811633191748E-5</v>
      </c>
    </row>
    <row r="2571" spans="1:8" x14ac:dyDescent="0.35">
      <c r="A2571" s="980" t="s">
        <v>3227</v>
      </c>
      <c r="B2571" s="900">
        <v>1.0494604359250041E-3</v>
      </c>
      <c r="C2571" s="900">
        <v>6.6611853805055992</v>
      </c>
      <c r="D2571" s="900">
        <v>6.9520849792030166</v>
      </c>
      <c r="E2571" s="900">
        <v>4.4871082553106512E-2</v>
      </c>
      <c r="F2571" s="900">
        <v>0.14109209868079259</v>
      </c>
      <c r="G2571" s="900">
        <v>5.5870817137390374E-6</v>
      </c>
      <c r="H2571" s="900">
        <v>4.0851656061316139E-6</v>
      </c>
    </row>
    <row r="2572" spans="1:8" x14ac:dyDescent="0.35">
      <c r="A2572" s="980" t="s">
        <v>3229</v>
      </c>
      <c r="B2572" s="900">
        <v>1.757846230174382E-2</v>
      </c>
      <c r="C2572" s="900">
        <v>111.57485512346879</v>
      </c>
      <c r="D2572" s="900">
        <v>116.4474234016505</v>
      </c>
      <c r="E2572" s="900">
        <v>0.75159063276453397</v>
      </c>
      <c r="F2572" s="900">
        <v>2.3632926529032772</v>
      </c>
      <c r="G2572" s="900">
        <v>9.3583618705128866E-5</v>
      </c>
      <c r="H2572" s="900">
        <v>6.8426523902704515E-5</v>
      </c>
    </row>
    <row r="2573" spans="1:8" x14ac:dyDescent="0.35">
      <c r="A2573" s="980" t="s">
        <v>4663</v>
      </c>
      <c r="B2573" s="900">
        <v>1.311825544906256E-2</v>
      </c>
      <c r="C2573" s="900">
        <v>83.264817256320001</v>
      </c>
      <c r="D2573" s="900">
        <v>86.901062240037703</v>
      </c>
      <c r="E2573" s="900">
        <v>0.56088853191383148</v>
      </c>
      <c r="F2573" s="900">
        <v>1.7636512335099079</v>
      </c>
      <c r="G2573" s="900">
        <v>6.9838521421737972E-5</v>
      </c>
      <c r="H2573" s="900">
        <v>5.1064570076645183E-5</v>
      </c>
    </row>
    <row r="2574" spans="1:8" x14ac:dyDescent="0.35">
      <c r="A2574" s="980" t="s">
        <v>3170</v>
      </c>
      <c r="B2574" s="900">
        <v>274980.57580186531</v>
      </c>
      <c r="C2574" s="900">
        <v>164994.22860571861</v>
      </c>
      <c r="D2574" s="900">
        <v>186992.43315663579</v>
      </c>
      <c r="E2574" s="900">
        <v>263350.47936031251</v>
      </c>
      <c r="F2574" s="900">
        <v>263616.35667319049</v>
      </c>
      <c r="G2574" s="900">
        <v>268203.01233863609</v>
      </c>
      <c r="H2574" s="900">
        <v>274999.90083769569</v>
      </c>
    </row>
    <row r="2575" spans="1:8" x14ac:dyDescent="0.35">
      <c r="A2575" s="980" t="s">
        <v>3207</v>
      </c>
      <c r="B2575" s="900">
        <v>1096.8975168736411</v>
      </c>
      <c r="C2575" s="900">
        <v>658.16197790821172</v>
      </c>
      <c r="D2575" s="900">
        <v>745.91281586182026</v>
      </c>
      <c r="E2575" s="900">
        <v>1050.5050621682869</v>
      </c>
      <c r="F2575" s="900">
        <v>1051.565646769357</v>
      </c>
      <c r="G2575" s="900">
        <v>1069.8618162188191</v>
      </c>
      <c r="H2575" s="900">
        <v>1096.9746044415681</v>
      </c>
    </row>
    <row r="2576" spans="1:8" x14ac:dyDescent="0.35">
      <c r="A2576" s="980" t="s">
        <v>3213</v>
      </c>
      <c r="B2576" s="900">
        <v>9.2393473469426741</v>
      </c>
      <c r="C2576" s="900">
        <v>5.5438060811521446</v>
      </c>
      <c r="D2576" s="900">
        <v>6.2829457540629612</v>
      </c>
      <c r="E2576" s="900">
        <v>8.8485761065064992</v>
      </c>
      <c r="F2576" s="900">
        <v>8.8575095842191995</v>
      </c>
      <c r="G2576" s="900">
        <v>9.0116212145781702</v>
      </c>
      <c r="H2576" s="900">
        <v>9.2399966681465742</v>
      </c>
    </row>
    <row r="2577" spans="1:8" x14ac:dyDescent="0.35">
      <c r="A2577" s="980" t="s">
        <v>4664</v>
      </c>
      <c r="B2577" s="900">
        <v>548.03628757311753</v>
      </c>
      <c r="C2577" s="900">
        <v>328.83349761119717</v>
      </c>
      <c r="D2577" s="900">
        <v>372.67591928117508</v>
      </c>
      <c r="E2577" s="900">
        <v>524.85750536510284</v>
      </c>
      <c r="F2577" s="900">
        <v>525.38739884966867</v>
      </c>
      <c r="G2577" s="900">
        <v>534.52860359090164</v>
      </c>
      <c r="H2577" s="900">
        <v>548.07480236952756</v>
      </c>
    </row>
    <row r="2578" spans="1:8" x14ac:dyDescent="0.35">
      <c r="A2578" s="980" t="s">
        <v>3176</v>
      </c>
      <c r="B2578" s="900">
        <v>2.2923419388887418</v>
      </c>
      <c r="C2578" s="900">
        <v>54017.608438098927</v>
      </c>
      <c r="D2578" s="900">
        <v>26198.2577662158</v>
      </c>
      <c r="E2578" s="900">
        <v>1041.578492417397</v>
      </c>
      <c r="F2578" s="900">
        <v>1196.2296222989039</v>
      </c>
      <c r="G2578" s="900">
        <v>186.7691942652603</v>
      </c>
      <c r="H2578" s="900">
        <v>3.5976951513289203E-2</v>
      </c>
    </row>
    <row r="2579" spans="1:8" x14ac:dyDescent="0.35">
      <c r="A2579" s="980" t="s">
        <v>3241</v>
      </c>
      <c r="B2579" s="900">
        <v>5.6683364307067081E-4</v>
      </c>
      <c r="C2579" s="900">
        <v>13.357081359239009</v>
      </c>
      <c r="D2579" s="900">
        <v>6.4781146476460876</v>
      </c>
      <c r="E2579" s="900">
        <v>0.25755395448866542</v>
      </c>
      <c r="F2579" s="900">
        <v>0.29579496115027448</v>
      </c>
      <c r="G2579" s="900">
        <v>4.6182928036500717E-2</v>
      </c>
      <c r="H2579" s="900">
        <v>8.896118919649692E-6</v>
      </c>
    </row>
    <row r="2580" spans="1:8" x14ac:dyDescent="0.35">
      <c r="A2580" s="980" t="s">
        <v>3243</v>
      </c>
      <c r="B2580" s="900">
        <v>1.667157773737267E-3</v>
      </c>
      <c r="C2580" s="900">
        <v>39.285533409526487</v>
      </c>
      <c r="D2580" s="900">
        <v>19.05327837542967</v>
      </c>
      <c r="E2580" s="900">
        <v>0.75751163084901585</v>
      </c>
      <c r="F2580" s="900">
        <v>0.86998517985374846</v>
      </c>
      <c r="G2580" s="900">
        <v>0.13583214128382559</v>
      </c>
      <c r="H2580" s="900">
        <v>2.616505564602851E-5</v>
      </c>
    </row>
    <row r="2581" spans="1:8" x14ac:dyDescent="0.35">
      <c r="A2581" s="980" t="s">
        <v>3247</v>
      </c>
      <c r="B2581" s="900">
        <v>4.5324462675337171E-2</v>
      </c>
      <c r="C2581" s="900">
        <v>1068.0427016269939</v>
      </c>
      <c r="D2581" s="900">
        <v>517.99512810001465</v>
      </c>
      <c r="E2581" s="900">
        <v>20.59421620401525</v>
      </c>
      <c r="F2581" s="900">
        <v>23.651997089623912</v>
      </c>
      <c r="G2581" s="900">
        <v>3.6928231477029398</v>
      </c>
      <c r="H2581" s="900">
        <v>7.1134064616336173E-4</v>
      </c>
    </row>
    <row r="2582" spans="1:8" x14ac:dyDescent="0.35">
      <c r="A2582" s="980" t="s">
        <v>4665</v>
      </c>
      <c r="B2582" s="900">
        <v>1.111438515824845E-2</v>
      </c>
      <c r="C2582" s="900">
        <v>261.90355606351</v>
      </c>
      <c r="D2582" s="900">
        <v>127.0218558361978</v>
      </c>
      <c r="E2582" s="900">
        <v>5.0500775389934391</v>
      </c>
      <c r="F2582" s="900">
        <v>5.7999011990249896</v>
      </c>
      <c r="G2582" s="900">
        <v>0.90554760855883776</v>
      </c>
      <c r="H2582" s="900">
        <v>1.7443370430685669E-4</v>
      </c>
    </row>
    <row r="2583" spans="1:8" x14ac:dyDescent="0.35">
      <c r="A2583" s="980" t="s">
        <v>3253</v>
      </c>
      <c r="B2583" s="900">
        <v>1.9241701895489061E-2</v>
      </c>
      <c r="C2583" s="900">
        <v>0</v>
      </c>
      <c r="D2583" s="900">
        <v>13.940445686206051</v>
      </c>
      <c r="E2583" s="900">
        <v>5.8677448716194777E-2</v>
      </c>
      <c r="F2583" s="900">
        <v>42.806889692570408</v>
      </c>
      <c r="G2583" s="900">
        <v>5.9425214543539981E-4</v>
      </c>
      <c r="H2583" s="900">
        <v>5.4921196506714632E-5</v>
      </c>
    </row>
    <row r="2584" spans="1:8" x14ac:dyDescent="0.35">
      <c r="A2584" s="980" t="s">
        <v>3352</v>
      </c>
      <c r="B2584" s="900">
        <v>3.4283081060133558E-2</v>
      </c>
      <c r="D2584" s="900">
        <v>24.83779408237444</v>
      </c>
      <c r="E2584" s="900">
        <v>0.10454603972482999</v>
      </c>
      <c r="F2584" s="900">
        <v>76.269348586396802</v>
      </c>
      <c r="G2584" s="900">
        <v>1.058783395708682E-3</v>
      </c>
      <c r="H2584" s="900">
        <v>9.7853497678426939E-5</v>
      </c>
    </row>
    <row r="2585" spans="1:8" x14ac:dyDescent="0.35">
      <c r="A2585" s="980" t="s">
        <v>4666</v>
      </c>
      <c r="C2585" s="900">
        <v>0</v>
      </c>
    </row>
    <row r="2586" spans="1:8" x14ac:dyDescent="0.35">
      <c r="A2586" s="980" t="s">
        <v>3399</v>
      </c>
      <c r="B2586" s="900">
        <v>2.5812039128095079E-3</v>
      </c>
      <c r="D2586" s="900">
        <v>1.8700597871739819</v>
      </c>
      <c r="E2586" s="900">
        <v>7.8713650716846668E-3</v>
      </c>
      <c r="F2586" s="900">
        <v>5.7423876416862747</v>
      </c>
      <c r="G2586" s="900">
        <v>7.9716751216943882E-5</v>
      </c>
      <c r="H2586" s="900">
        <v>7.3674775801690362E-6</v>
      </c>
    </row>
    <row r="2587" spans="1:8" x14ac:dyDescent="0.35">
      <c r="A2587" s="980" t="s">
        <v>4667</v>
      </c>
      <c r="C2587" s="900">
        <v>0</v>
      </c>
    </row>
    <row r="2588" spans="1:8" x14ac:dyDescent="0.35">
      <c r="A2588" s="980" t="s">
        <v>3565</v>
      </c>
      <c r="B2588" s="900">
        <v>4.6930980232900146E-3</v>
      </c>
      <c r="D2588" s="900">
        <v>3.4001087039526952</v>
      </c>
      <c r="E2588" s="900">
        <v>1.4311572857608489E-2</v>
      </c>
      <c r="F2588" s="900">
        <v>10.44070480306595</v>
      </c>
      <c r="G2588" s="900">
        <v>1.4493954766717069E-4</v>
      </c>
      <c r="H2588" s="900">
        <v>1.339541378212552E-5</v>
      </c>
    </row>
    <row r="2589" spans="1:8" x14ac:dyDescent="0.35">
      <c r="A2589" s="980" t="s">
        <v>3631</v>
      </c>
      <c r="C2589" s="900">
        <v>0</v>
      </c>
    </row>
    <row r="2590" spans="1:8" x14ac:dyDescent="0.35">
      <c r="A2590" s="980" t="s">
        <v>3497</v>
      </c>
      <c r="B2590" s="900">
        <v>1.8772392093160058E-2</v>
      </c>
      <c r="D2590" s="900">
        <v>13.600434815810781</v>
      </c>
      <c r="E2590" s="900">
        <v>5.7246291430433943E-2</v>
      </c>
      <c r="F2590" s="900">
        <v>41.762819212263807</v>
      </c>
      <c r="G2590" s="900">
        <v>5.7975819066868276E-4</v>
      </c>
      <c r="H2590" s="900">
        <v>5.3581655128502087E-5</v>
      </c>
    </row>
    <row r="2591" spans="1:8" x14ac:dyDescent="0.35">
      <c r="A2591" s="980" t="s">
        <v>4668</v>
      </c>
      <c r="C2591" s="900">
        <v>0</v>
      </c>
    </row>
    <row r="2592" spans="1:8" x14ac:dyDescent="0.35">
      <c r="A2592" s="980" t="s">
        <v>3454</v>
      </c>
      <c r="B2592" s="900">
        <v>4.9042874343380657E-3</v>
      </c>
      <c r="D2592" s="900">
        <v>3.5531135956305659</v>
      </c>
      <c r="E2592" s="900">
        <v>1.4955593636200869E-2</v>
      </c>
      <c r="F2592" s="900">
        <v>10.910536519203919</v>
      </c>
      <c r="G2592" s="900">
        <v>1.5146182731219339E-4</v>
      </c>
      <c r="H2592" s="900">
        <v>1.399820740232117E-5</v>
      </c>
    </row>
    <row r="2593" spans="1:8" x14ac:dyDescent="0.35">
      <c r="A2593" s="980" t="s">
        <v>4669</v>
      </c>
      <c r="C2593" s="900">
        <v>0</v>
      </c>
    </row>
    <row r="2594" spans="1:8" x14ac:dyDescent="0.35">
      <c r="A2594" s="980" t="s">
        <v>3271</v>
      </c>
      <c r="B2594" s="900">
        <v>1.964392606963216E-2</v>
      </c>
      <c r="C2594" s="900">
        <v>0</v>
      </c>
      <c r="D2594" s="900">
        <v>3.697546614258973</v>
      </c>
      <c r="E2594" s="900">
        <v>7.7692436829988526E-2</v>
      </c>
      <c r="F2594" s="900">
        <v>3.9400633041791642E-3</v>
      </c>
      <c r="G2594" s="900">
        <v>2.0200979814758639E-4</v>
      </c>
      <c r="H2594" s="900">
        <v>4.4491631027556432E-5</v>
      </c>
    </row>
    <row r="2595" spans="1:8" x14ac:dyDescent="0.35">
      <c r="A2595" s="980" t="s">
        <v>3357</v>
      </c>
      <c r="B2595" s="900">
        <v>3.289159816293287E-2</v>
      </c>
      <c r="D2595" s="900">
        <v>6.1911359772897203</v>
      </c>
      <c r="E2595" s="900">
        <v>0.1300874582531393</v>
      </c>
      <c r="F2595" s="900">
        <v>6.5972035568756006E-3</v>
      </c>
      <c r="G2595" s="900">
        <v>3.3824323519101972E-4</v>
      </c>
      <c r="H2595" s="900">
        <v>7.4496352927847523E-5</v>
      </c>
    </row>
    <row r="2596" spans="1:8" x14ac:dyDescent="0.35">
      <c r="A2596" s="980" t="s">
        <v>4670</v>
      </c>
      <c r="C2596" s="900">
        <v>0</v>
      </c>
    </row>
    <row r="2597" spans="1:8" x14ac:dyDescent="0.35">
      <c r="A2597" s="980" t="s">
        <v>3406</v>
      </c>
      <c r="B2597" s="900">
        <v>2.467468762405015E-3</v>
      </c>
      <c r="D2597" s="900">
        <v>0.46444792837643212</v>
      </c>
      <c r="E2597" s="900">
        <v>9.7589280408400224E-3</v>
      </c>
      <c r="F2597" s="900">
        <v>4.9491039064689503E-4</v>
      </c>
      <c r="G2597" s="900">
        <v>2.5374401474635859E-5</v>
      </c>
      <c r="H2597" s="900">
        <v>5.5885829217540393E-6</v>
      </c>
    </row>
    <row r="2598" spans="1:8" x14ac:dyDescent="0.35">
      <c r="A2598" s="980" t="s">
        <v>4671</v>
      </c>
      <c r="C2598" s="900">
        <v>0</v>
      </c>
    </row>
    <row r="2599" spans="1:8" x14ac:dyDescent="0.35">
      <c r="A2599" s="980" t="s">
        <v>3574</v>
      </c>
      <c r="B2599" s="900">
        <v>9.5824029607961773E-3</v>
      </c>
      <c r="D2599" s="900">
        <v>1.80368127524828</v>
      </c>
      <c r="E2599" s="900">
        <v>3.7898749673165137E-2</v>
      </c>
      <c r="F2599" s="900">
        <v>1.9219820995995921E-3</v>
      </c>
      <c r="G2599" s="900">
        <v>9.8541364950042182E-5</v>
      </c>
      <c r="H2599" s="900">
        <v>2.1703234647588502E-5</v>
      </c>
    </row>
    <row r="2600" spans="1:8" x14ac:dyDescent="0.35">
      <c r="A2600" s="980" t="s">
        <v>3640</v>
      </c>
      <c r="C2600" s="900">
        <v>0</v>
      </c>
    </row>
    <row r="2601" spans="1:8" x14ac:dyDescent="0.35">
      <c r="A2601" s="980" t="s">
        <v>3506</v>
      </c>
      <c r="B2601" s="900">
        <v>1.437360444119426E-2</v>
      </c>
      <c r="D2601" s="900">
        <v>2.7055219128724191</v>
      </c>
      <c r="E2601" s="900">
        <v>5.6848124509747702E-2</v>
      </c>
      <c r="F2601" s="900">
        <v>2.8829731493993879E-3</v>
      </c>
      <c r="G2601" s="900">
        <v>1.4781204742506321E-4</v>
      </c>
      <c r="H2601" s="900">
        <v>3.2554851971382752E-5</v>
      </c>
    </row>
    <row r="2602" spans="1:8" x14ac:dyDescent="0.35">
      <c r="A2602" s="980" t="s">
        <v>4672</v>
      </c>
      <c r="C2602" s="900">
        <v>0</v>
      </c>
    </row>
    <row r="2603" spans="1:8" x14ac:dyDescent="0.35">
      <c r="A2603" s="980" t="s">
        <v>3457</v>
      </c>
      <c r="B2603" s="900">
        <v>4.6953774507901263E-3</v>
      </c>
      <c r="D2603" s="900">
        <v>0.88380382487165698</v>
      </c>
      <c r="E2603" s="900">
        <v>1.8570387339850919E-2</v>
      </c>
      <c r="F2603" s="900">
        <v>9.4177122880380023E-4</v>
      </c>
      <c r="G2603" s="900">
        <v>4.8285268825520657E-5</v>
      </c>
      <c r="H2603" s="900">
        <v>1.0634584977318361E-5</v>
      </c>
    </row>
    <row r="2604" spans="1:8" x14ac:dyDescent="0.35">
      <c r="A2604" s="980" t="s">
        <v>4673</v>
      </c>
      <c r="C2604" s="900">
        <v>0</v>
      </c>
    </row>
    <row r="2605" spans="1:8" x14ac:dyDescent="0.35">
      <c r="A2605" s="980" t="s">
        <v>3240</v>
      </c>
      <c r="B2605" s="900">
        <v>2022.590822414674</v>
      </c>
      <c r="C2605" s="900">
        <v>0</v>
      </c>
      <c r="D2605" s="900">
        <v>6.4380158964001284</v>
      </c>
      <c r="E2605" s="900">
        <v>129.3768913381017</v>
      </c>
      <c r="F2605" s="900">
        <v>335.16682017055979</v>
      </c>
      <c r="G2605" s="900">
        <v>810.29869553704157</v>
      </c>
      <c r="H2605" s="900">
        <v>2022.6838086872431</v>
      </c>
    </row>
    <row r="2606" spans="1:8" x14ac:dyDescent="0.35">
      <c r="A2606" s="980" t="s">
        <v>3395</v>
      </c>
      <c r="B2606" s="900">
        <v>2713.2315910440748</v>
      </c>
      <c r="D2606" s="900">
        <v>8.636362787853832</v>
      </c>
      <c r="E2606" s="900">
        <v>173.55436642916081</v>
      </c>
      <c r="F2606" s="900">
        <v>449.61402705806807</v>
      </c>
      <c r="G2606" s="900">
        <v>1086.9860549887139</v>
      </c>
      <c r="H2606" s="900">
        <v>2713.3563287267898</v>
      </c>
    </row>
    <row r="2607" spans="1:8" x14ac:dyDescent="0.35">
      <c r="A2607" s="980" t="s">
        <v>4674</v>
      </c>
      <c r="C2607" s="900">
        <v>0</v>
      </c>
    </row>
    <row r="2608" spans="1:8" x14ac:dyDescent="0.35">
      <c r="A2608" s="980" t="s">
        <v>3559</v>
      </c>
      <c r="B2608" s="900">
        <v>493.31483473528641</v>
      </c>
      <c r="D2608" s="900">
        <v>1.570247779609788</v>
      </c>
      <c r="E2608" s="900">
        <v>31.555339350756508</v>
      </c>
      <c r="F2608" s="900">
        <v>81.74800491964875</v>
      </c>
      <c r="G2608" s="900">
        <v>197.6338281797662</v>
      </c>
      <c r="H2608" s="900">
        <v>493.33751431396172</v>
      </c>
    </row>
    <row r="2609" spans="1:8" x14ac:dyDescent="0.35">
      <c r="A2609" s="980" t="s">
        <v>3625</v>
      </c>
      <c r="C2609" s="900">
        <v>0</v>
      </c>
    </row>
    <row r="2610" spans="1:8" x14ac:dyDescent="0.35">
      <c r="A2610" s="980" t="s">
        <v>3491</v>
      </c>
      <c r="B2610" s="900">
        <v>1973.2593389411461</v>
      </c>
      <c r="D2610" s="900">
        <v>6.2809911184391503</v>
      </c>
      <c r="E2610" s="900">
        <v>126.221357403026</v>
      </c>
      <c r="F2610" s="900">
        <v>326.992019678595</v>
      </c>
      <c r="G2610" s="900">
        <v>790.5353127190649</v>
      </c>
      <c r="H2610" s="900">
        <v>1973.3500572558471</v>
      </c>
    </row>
    <row r="2611" spans="1:8" x14ac:dyDescent="0.35">
      <c r="A2611" s="980" t="s">
        <v>4675</v>
      </c>
      <c r="C2611" s="900">
        <v>0</v>
      </c>
    </row>
    <row r="2612" spans="1:8" x14ac:dyDescent="0.35">
      <c r="A2612" s="980" t="s">
        <v>3259</v>
      </c>
      <c r="B2612" s="900">
        <v>390.2616708777436</v>
      </c>
      <c r="C2612" s="900">
        <v>0</v>
      </c>
      <c r="D2612" s="900">
        <v>2.0711367379993941</v>
      </c>
      <c r="E2612" s="900">
        <v>25.381442273125291</v>
      </c>
      <c r="F2612" s="900">
        <v>204.9204290723419</v>
      </c>
      <c r="G2612" s="900">
        <v>224.1570577427515</v>
      </c>
      <c r="H2612" s="900">
        <v>390.45460135316091</v>
      </c>
    </row>
    <row r="2613" spans="1:8" x14ac:dyDescent="0.35">
      <c r="A2613" s="980" t="s">
        <v>3402</v>
      </c>
      <c r="B2613" s="900">
        <v>492.11044839949619</v>
      </c>
      <c r="D2613" s="900">
        <v>2.6116529110870408</v>
      </c>
      <c r="E2613" s="900">
        <v>32.005379646843359</v>
      </c>
      <c r="F2613" s="900">
        <v>258.39966300097751</v>
      </c>
      <c r="G2613" s="900">
        <v>282.65658256829892</v>
      </c>
      <c r="H2613" s="900">
        <v>492.35372902337599</v>
      </c>
    </row>
    <row r="2614" spans="1:8" x14ac:dyDescent="0.35">
      <c r="A2614" s="980" t="s">
        <v>4676</v>
      </c>
      <c r="C2614" s="900">
        <v>0</v>
      </c>
    </row>
    <row r="2615" spans="1:8" x14ac:dyDescent="0.35">
      <c r="A2615" s="980" t="s">
        <v>3568</v>
      </c>
      <c r="B2615" s="900">
        <v>190.37154676963101</v>
      </c>
      <c r="D2615" s="900">
        <v>1.0103106039021441</v>
      </c>
      <c r="E2615" s="900">
        <v>12.38119135274405</v>
      </c>
      <c r="F2615" s="900">
        <v>99.961184913337533</v>
      </c>
      <c r="G2615" s="900">
        <v>109.34490621597639</v>
      </c>
      <c r="H2615" s="900">
        <v>190.46565919666389</v>
      </c>
    </row>
    <row r="2616" spans="1:8" x14ac:dyDescent="0.35">
      <c r="A2616" s="980" t="s">
        <v>3634</v>
      </c>
      <c r="C2616" s="900">
        <v>0</v>
      </c>
    </row>
    <row r="2617" spans="1:8" x14ac:dyDescent="0.35">
      <c r="A2617" s="980" t="s">
        <v>3500</v>
      </c>
      <c r="B2617" s="900">
        <v>285.55732015444647</v>
      </c>
      <c r="D2617" s="900">
        <v>1.5154659058532149</v>
      </c>
      <c r="E2617" s="900">
        <v>18.57178702911607</v>
      </c>
      <c r="F2617" s="900">
        <v>149.94177737000629</v>
      </c>
      <c r="G2617" s="900">
        <v>164.01735932396451</v>
      </c>
      <c r="H2617" s="900">
        <v>285.69848879499568</v>
      </c>
    </row>
    <row r="2618" spans="1:8" x14ac:dyDescent="0.35">
      <c r="A2618" s="980" t="s">
        <v>4677</v>
      </c>
      <c r="C2618" s="900">
        <v>0</v>
      </c>
    </row>
    <row r="2619" spans="1:8" x14ac:dyDescent="0.35">
      <c r="A2619" s="980" t="s">
        <v>3242</v>
      </c>
      <c r="B2619" s="900">
        <v>1.5944705565791171E-2</v>
      </c>
      <c r="C2619" s="900">
        <v>696.33745385340058</v>
      </c>
      <c r="D2619" s="900">
        <v>747.40941300050952</v>
      </c>
      <c r="E2619" s="900">
        <v>702.94782985577694</v>
      </c>
      <c r="F2619" s="900">
        <v>247.91299499270411</v>
      </c>
      <c r="G2619" s="900">
        <v>284.69653867601011</v>
      </c>
      <c r="H2619" s="900">
        <v>9.9621070477017018E-5</v>
      </c>
    </row>
    <row r="2620" spans="1:8" x14ac:dyDescent="0.35">
      <c r="A2620" s="980" t="s">
        <v>3349</v>
      </c>
      <c r="B2620" s="900">
        <v>3.6945049481711241E-2</v>
      </c>
      <c r="C2620" s="900">
        <v>1613.4648320993431</v>
      </c>
      <c r="D2620" s="900">
        <v>1731.8022984158149</v>
      </c>
      <c r="E2620" s="900">
        <v>1628.7815569828981</v>
      </c>
      <c r="F2620" s="900">
        <v>574.43254937333859</v>
      </c>
      <c r="G2620" s="900">
        <v>659.66271156636469</v>
      </c>
      <c r="H2620" s="900">
        <v>2.308293096418687E-4</v>
      </c>
    </row>
    <row r="2621" spans="1:8" x14ac:dyDescent="0.35">
      <c r="A2621" s="980" t="s">
        <v>3560</v>
      </c>
      <c r="B2621" s="900">
        <v>3.8889525770222362E-3</v>
      </c>
      <c r="C2621" s="900">
        <v>169.83840337887821</v>
      </c>
      <c r="D2621" s="900">
        <v>182.2949787806121</v>
      </c>
      <c r="E2621" s="900">
        <v>171.45069020872609</v>
      </c>
      <c r="F2621" s="900">
        <v>60.466584144561963</v>
      </c>
      <c r="G2621" s="900">
        <v>69.438180164880507</v>
      </c>
      <c r="H2621" s="900">
        <v>2.4297822067565131E-5</v>
      </c>
    </row>
    <row r="2622" spans="1:8" x14ac:dyDescent="0.35">
      <c r="A2622" s="980" t="s">
        <v>3492</v>
      </c>
      <c r="B2622" s="900">
        <v>1.555581030808894E-2</v>
      </c>
      <c r="C2622" s="900">
        <v>679.35361351551285</v>
      </c>
      <c r="D2622" s="900">
        <v>729.17991512244839</v>
      </c>
      <c r="E2622" s="900">
        <v>685.80276083490435</v>
      </c>
      <c r="F2622" s="900">
        <v>241.86633657824791</v>
      </c>
      <c r="G2622" s="900">
        <v>277.75272065952203</v>
      </c>
      <c r="H2622" s="900">
        <v>9.7191288270260525E-5</v>
      </c>
    </row>
    <row r="2623" spans="1:8" x14ac:dyDescent="0.35">
      <c r="A2623" s="980" t="s">
        <v>3261</v>
      </c>
      <c r="B2623" s="900">
        <v>1.6319972375647241E-2</v>
      </c>
      <c r="C2623" s="900">
        <v>0</v>
      </c>
      <c r="D2623" s="900">
        <v>9.7562854914191046</v>
      </c>
      <c r="E2623" s="900">
        <v>117.7740536643639</v>
      </c>
      <c r="F2623" s="900">
        <v>30.894616805503361</v>
      </c>
      <c r="G2623" s="900">
        <v>41.109666959495797</v>
      </c>
      <c r="H2623" s="900">
        <v>3.8201573539991618E-5</v>
      </c>
    </row>
    <row r="2624" spans="1:8" x14ac:dyDescent="0.35">
      <c r="A2624" s="980" t="s">
        <v>3354</v>
      </c>
      <c r="B2624" s="900">
        <v>3.5545695930373142E-2</v>
      </c>
      <c r="D2624" s="900">
        <v>21.249665716676251</v>
      </c>
      <c r="E2624" s="900">
        <v>256.51763395677318</v>
      </c>
      <c r="F2624" s="900">
        <v>67.289982456864649</v>
      </c>
      <c r="G2624" s="900">
        <v>89.538859987389628</v>
      </c>
      <c r="H2624" s="900">
        <v>8.3204890661493964E-5</v>
      </c>
    </row>
    <row r="2625" spans="1:8" x14ac:dyDescent="0.35">
      <c r="A2625" s="980" t="s">
        <v>4678</v>
      </c>
      <c r="C2625" s="900">
        <v>0</v>
      </c>
    </row>
    <row r="2626" spans="1:8" x14ac:dyDescent="0.35">
      <c r="A2626" s="980" t="s">
        <v>3569</v>
      </c>
      <c r="B2626" s="900">
        <v>7.9609621344620702E-3</v>
      </c>
      <c r="D2626" s="900">
        <v>4.7591636543507834</v>
      </c>
      <c r="E2626" s="900">
        <v>57.45075788505558</v>
      </c>
      <c r="F2626" s="900">
        <v>15.07054478317237</v>
      </c>
      <c r="G2626" s="900">
        <v>20.05349607780283</v>
      </c>
      <c r="H2626" s="900">
        <v>1.8634913921947139E-5</v>
      </c>
    </row>
    <row r="2627" spans="1:8" x14ac:dyDescent="0.35">
      <c r="A2627" s="980" t="s">
        <v>3635</v>
      </c>
      <c r="C2627" s="900">
        <v>0</v>
      </c>
    </row>
    <row r="2628" spans="1:8" x14ac:dyDescent="0.35">
      <c r="A2628" s="980" t="s">
        <v>3501</v>
      </c>
      <c r="B2628" s="900">
        <v>1.1941443201693099E-2</v>
      </c>
      <c r="D2628" s="900">
        <v>7.1387454815261737</v>
      </c>
      <c r="E2628" s="900">
        <v>86.176136827583363</v>
      </c>
      <c r="F2628" s="900">
        <v>22.60581717475856</v>
      </c>
      <c r="G2628" s="900">
        <v>30.08024411670424</v>
      </c>
      <c r="H2628" s="900">
        <v>2.7952370882920701E-5</v>
      </c>
    </row>
    <row r="2629" spans="1:8" x14ac:dyDescent="0.35">
      <c r="A2629" s="980" t="s">
        <v>4679</v>
      </c>
      <c r="C2629" s="900">
        <v>0</v>
      </c>
    </row>
    <row r="2630" spans="1:8" x14ac:dyDescent="0.35">
      <c r="A2630" s="980" t="s">
        <v>3246</v>
      </c>
      <c r="B2630" s="900">
        <v>1.746389482736168E-2</v>
      </c>
      <c r="C2630" s="900">
        <v>1220.1748570078689</v>
      </c>
      <c r="D2630" s="900">
        <v>1303.1146272626131</v>
      </c>
      <c r="E2630" s="900">
        <v>930.78655823060171</v>
      </c>
      <c r="F2630" s="900">
        <v>752.46400018200416</v>
      </c>
      <c r="G2630" s="900">
        <v>153.29977567240269</v>
      </c>
      <c r="H2630" s="900">
        <v>1.131841392166068E-4</v>
      </c>
    </row>
    <row r="2631" spans="1:8" x14ac:dyDescent="0.35">
      <c r="A2631" s="980" t="s">
        <v>3350</v>
      </c>
      <c r="B2631" s="900">
        <v>3.6205635617701043E-2</v>
      </c>
      <c r="C2631" s="900">
        <v>2529.6308011138749</v>
      </c>
      <c r="D2631" s="900">
        <v>2701.5791053005391</v>
      </c>
      <c r="E2631" s="900">
        <v>1929.679449990271</v>
      </c>
      <c r="F2631" s="900">
        <v>1559.9863418407399</v>
      </c>
      <c r="G2631" s="900">
        <v>317.81660810132257</v>
      </c>
      <c r="H2631" s="900">
        <v>2.3465004471735559E-4</v>
      </c>
    </row>
    <row r="2632" spans="1:8" x14ac:dyDescent="0.35">
      <c r="A2632" s="980" t="s">
        <v>3396</v>
      </c>
      <c r="B2632" s="900">
        <v>2.34271759879242E-3</v>
      </c>
      <c r="C2632" s="900">
        <v>163.6819930132508</v>
      </c>
      <c r="D2632" s="900">
        <v>174.80805975474081</v>
      </c>
      <c r="E2632" s="900">
        <v>124.8616114699588</v>
      </c>
      <c r="F2632" s="900">
        <v>100.9402927073421</v>
      </c>
      <c r="G2632" s="900">
        <v>20.564604053615</v>
      </c>
      <c r="H2632" s="900">
        <v>1.5183238187593599E-5</v>
      </c>
    </row>
    <row r="2633" spans="1:8" x14ac:dyDescent="0.35">
      <c r="A2633" s="980" t="s">
        <v>3561</v>
      </c>
      <c r="B2633" s="900">
        <v>4.2594865432589463E-3</v>
      </c>
      <c r="C2633" s="900">
        <v>297.60362366045598</v>
      </c>
      <c r="D2633" s="900">
        <v>317.8328359177105</v>
      </c>
      <c r="E2633" s="900">
        <v>227.02111176356141</v>
      </c>
      <c r="F2633" s="900">
        <v>183.52780492244011</v>
      </c>
      <c r="G2633" s="900">
        <v>37.390189188390913</v>
      </c>
      <c r="H2633" s="900">
        <v>2.7605887613806539E-5</v>
      </c>
    </row>
    <row r="2634" spans="1:8" x14ac:dyDescent="0.35">
      <c r="A2634" s="980" t="s">
        <v>3493</v>
      </c>
      <c r="B2634" s="900">
        <v>1.7037946173035789E-2</v>
      </c>
      <c r="C2634" s="900">
        <v>1190.4144946418239</v>
      </c>
      <c r="D2634" s="900">
        <v>1271.331343670842</v>
      </c>
      <c r="E2634" s="900">
        <v>908.08444705424563</v>
      </c>
      <c r="F2634" s="900">
        <v>734.11121968976022</v>
      </c>
      <c r="G2634" s="900">
        <v>149.5607567535636</v>
      </c>
      <c r="H2634" s="900">
        <v>1.104235504552262E-4</v>
      </c>
    </row>
    <row r="2635" spans="1:8" x14ac:dyDescent="0.35">
      <c r="A2635" s="980" t="s">
        <v>3263</v>
      </c>
      <c r="B2635" s="900">
        <v>1.793410883098074E-2</v>
      </c>
      <c r="C2635" s="900">
        <v>0</v>
      </c>
      <c r="D2635" s="900">
        <v>6.1584119076822512</v>
      </c>
      <c r="E2635" s="900">
        <v>56.225828611113243</v>
      </c>
      <c r="F2635" s="900">
        <v>3.4068163621914899E-3</v>
      </c>
      <c r="G2635" s="900">
        <v>1.9040265613754439E-4</v>
      </c>
      <c r="H2635" s="900">
        <v>4.1542003443958778E-5</v>
      </c>
    </row>
    <row r="2636" spans="1:8" x14ac:dyDescent="0.35">
      <c r="A2636" s="980" t="s">
        <v>3355</v>
      </c>
      <c r="B2636" s="900">
        <v>3.4949641355984419E-2</v>
      </c>
      <c r="D2636" s="900">
        <v>12.001392961556389</v>
      </c>
      <c r="E2636" s="900">
        <v>109.5717977079987</v>
      </c>
      <c r="F2636" s="900">
        <v>6.6391372521731737E-3</v>
      </c>
      <c r="G2636" s="900">
        <v>3.7105298110706822E-4</v>
      </c>
      <c r="H2636" s="900">
        <v>8.0956245735909921E-5</v>
      </c>
    </row>
    <row r="2637" spans="1:8" x14ac:dyDescent="0.35">
      <c r="A2637" s="980" t="s">
        <v>4680</v>
      </c>
      <c r="C2637" s="900">
        <v>0</v>
      </c>
    </row>
    <row r="2638" spans="1:8" x14ac:dyDescent="0.35">
      <c r="A2638" s="980" t="s">
        <v>3403</v>
      </c>
      <c r="B2638" s="900">
        <v>2.252699036086605E-3</v>
      </c>
      <c r="D2638" s="900">
        <v>0.77355661767228279</v>
      </c>
      <c r="E2638" s="900">
        <v>7.0625126182251998</v>
      </c>
      <c r="F2638" s="900">
        <v>4.2792937232405311E-4</v>
      </c>
      <c r="G2638" s="900">
        <v>2.3916431197764719E-5</v>
      </c>
      <c r="H2638" s="900">
        <v>5.2180809203996999E-6</v>
      </c>
    </row>
    <row r="2639" spans="1:8" x14ac:dyDescent="0.35">
      <c r="A2639" s="980" t="s">
        <v>4681</v>
      </c>
      <c r="C2639" s="900">
        <v>0</v>
      </c>
    </row>
    <row r="2640" spans="1:8" x14ac:dyDescent="0.35">
      <c r="A2640" s="980" t="s">
        <v>3570</v>
      </c>
      <c r="B2640" s="900">
        <v>8.7483457712101177E-3</v>
      </c>
      <c r="D2640" s="900">
        <v>3.0041033696010979</v>
      </c>
      <c r="E2640" s="900">
        <v>27.42723346883573</v>
      </c>
      <c r="F2640" s="900">
        <v>1.6618616400934101E-3</v>
      </c>
      <c r="G2640" s="900">
        <v>9.287934445733874E-5</v>
      </c>
      <c r="H2640" s="900">
        <v>2.026439192388233E-5</v>
      </c>
    </row>
    <row r="2641" spans="1:8" x14ac:dyDescent="0.35">
      <c r="A2641" s="980" t="s">
        <v>3636</v>
      </c>
      <c r="C2641" s="900">
        <v>0</v>
      </c>
    </row>
    <row r="2642" spans="1:8" x14ac:dyDescent="0.35">
      <c r="A2642" s="980" t="s">
        <v>3502</v>
      </c>
      <c r="B2642" s="900">
        <v>1.312251865681517E-2</v>
      </c>
      <c r="D2642" s="900">
        <v>4.5061550544016473</v>
      </c>
      <c r="E2642" s="900">
        <v>41.140850203253592</v>
      </c>
      <c r="F2642" s="900">
        <v>2.492792460140115E-3</v>
      </c>
      <c r="G2642" s="900">
        <v>1.393190166860081E-4</v>
      </c>
      <c r="H2642" s="900">
        <v>3.0396587885823499E-5</v>
      </c>
    </row>
    <row r="2643" spans="1:8" x14ac:dyDescent="0.35">
      <c r="A2643" s="980" t="s">
        <v>4682</v>
      </c>
      <c r="C2643" s="900">
        <v>0</v>
      </c>
    </row>
    <row r="2644" spans="1:8" x14ac:dyDescent="0.35">
      <c r="A2644" s="980" t="s">
        <v>3254</v>
      </c>
      <c r="B2644" s="900">
        <v>1.9459702336643771E-2</v>
      </c>
      <c r="C2644" s="900">
        <v>0</v>
      </c>
      <c r="D2644" s="900">
        <v>0.67484196207673419</v>
      </c>
      <c r="E2644" s="900">
        <v>1.7457973276892331E-3</v>
      </c>
      <c r="F2644" s="900">
        <v>2.2320339324659339E-3</v>
      </c>
      <c r="G2644" s="900">
        <v>1.253348295809506E-4</v>
      </c>
      <c r="H2644" s="900">
        <v>5.9789586780876621E-5</v>
      </c>
    </row>
    <row r="2645" spans="1:8" x14ac:dyDescent="0.35">
      <c r="A2645" s="980" t="s">
        <v>3400</v>
      </c>
      <c r="B2645" s="900">
        <v>6.2176122100008162E-3</v>
      </c>
      <c r="D2645" s="900">
        <v>0.21562023666354191</v>
      </c>
      <c r="E2645" s="900">
        <v>5.578035364080233E-4</v>
      </c>
      <c r="F2645" s="900">
        <v>7.1316206134887188E-4</v>
      </c>
      <c r="G2645" s="900">
        <v>4.0046006524645193E-5</v>
      </c>
      <c r="H2645" s="900">
        <v>1.9103502117792291E-5</v>
      </c>
    </row>
    <row r="2646" spans="1:8" x14ac:dyDescent="0.35">
      <c r="A2646" s="980" t="s">
        <v>4683</v>
      </c>
      <c r="C2646" s="900">
        <v>0</v>
      </c>
    </row>
    <row r="2647" spans="1:8" x14ac:dyDescent="0.35">
      <c r="A2647" s="980" t="s">
        <v>3566</v>
      </c>
      <c r="B2647" s="900">
        <v>4.746268862596042E-3</v>
      </c>
      <c r="D2647" s="900">
        <v>0.16459560050652061</v>
      </c>
      <c r="E2647" s="900">
        <v>4.2580422626566658E-4</v>
      </c>
      <c r="F2647" s="900">
        <v>5.4439852011364256E-4</v>
      </c>
      <c r="G2647" s="900">
        <v>3.0569470629500138E-5</v>
      </c>
      <c r="H2647" s="900">
        <v>1.4582826044116251E-5</v>
      </c>
    </row>
    <row r="2648" spans="1:8" x14ac:dyDescent="0.35">
      <c r="A2648" s="980" t="s">
        <v>3632</v>
      </c>
      <c r="C2648" s="900">
        <v>0</v>
      </c>
    </row>
    <row r="2649" spans="1:8" x14ac:dyDescent="0.35">
      <c r="A2649" s="980" t="s">
        <v>3498</v>
      </c>
      <c r="B2649" s="900">
        <v>1.8985075450384171E-2</v>
      </c>
      <c r="D2649" s="900">
        <v>0.65838240202608223</v>
      </c>
      <c r="E2649" s="900">
        <v>1.7032169050626661E-3</v>
      </c>
      <c r="F2649" s="900">
        <v>2.1775940804545698E-3</v>
      </c>
      <c r="G2649" s="900">
        <v>1.2227788251800061E-4</v>
      </c>
      <c r="H2649" s="900">
        <v>5.8331304176465002E-5</v>
      </c>
    </row>
    <row r="2650" spans="1:8" x14ac:dyDescent="0.35">
      <c r="A2650" s="980" t="s">
        <v>4684</v>
      </c>
      <c r="C2650" s="900">
        <v>0</v>
      </c>
    </row>
    <row r="2651" spans="1:8" x14ac:dyDescent="0.35">
      <c r="A2651" s="980" t="s">
        <v>3453</v>
      </c>
      <c r="B2651" s="900">
        <v>4.9598509614128643E-2</v>
      </c>
      <c r="D2651" s="900">
        <v>1.72002402529314</v>
      </c>
      <c r="E2651" s="900">
        <v>4.4496541644762156E-3</v>
      </c>
      <c r="F2651" s="900">
        <v>5.6889645351875648E-3</v>
      </c>
      <c r="G2651" s="900">
        <v>3.1945096807827638E-4</v>
      </c>
      <c r="H2651" s="900">
        <v>1.523905321610148E-4</v>
      </c>
    </row>
    <row r="2652" spans="1:8" x14ac:dyDescent="0.35">
      <c r="A2652" s="980" t="s">
        <v>4685</v>
      </c>
      <c r="C2652" s="900">
        <v>0</v>
      </c>
    </row>
    <row r="2653" spans="1:8" x14ac:dyDescent="0.35">
      <c r="A2653" s="980" t="s">
        <v>3272</v>
      </c>
      <c r="B2653" s="900">
        <v>1.976997678528487E-2</v>
      </c>
      <c r="C2653" s="900">
        <v>0</v>
      </c>
      <c r="D2653" s="900">
        <v>0.61884093540315632</v>
      </c>
      <c r="E2653" s="900">
        <v>1.8449744566373331E-3</v>
      </c>
      <c r="F2653" s="900">
        <v>1.359627237955156E-3</v>
      </c>
      <c r="G2653" s="900">
        <v>8.6830505617881053E-5</v>
      </c>
      <c r="H2653" s="900">
        <v>4.4621562827983118E-5</v>
      </c>
    </row>
    <row r="2654" spans="1:8" x14ac:dyDescent="0.35">
      <c r="A2654" s="980" t="s">
        <v>3407</v>
      </c>
      <c r="B2654" s="900">
        <v>5.9309930355854633E-3</v>
      </c>
      <c r="D2654" s="900">
        <v>0.18565228062094691</v>
      </c>
      <c r="E2654" s="900">
        <v>5.5349233699119997E-4</v>
      </c>
      <c r="F2654" s="900">
        <v>4.078881713865468E-4</v>
      </c>
      <c r="G2654" s="900">
        <v>2.6049151685364319E-5</v>
      </c>
      <c r="H2654" s="900">
        <v>1.3386468848394939E-5</v>
      </c>
    </row>
    <row r="2655" spans="1:8" x14ac:dyDescent="0.35">
      <c r="A2655" s="980" t="s">
        <v>4686</v>
      </c>
      <c r="C2655" s="900">
        <v>0</v>
      </c>
    </row>
    <row r="2656" spans="1:8" x14ac:dyDescent="0.35">
      <c r="A2656" s="980" t="s">
        <v>3575</v>
      </c>
      <c r="B2656" s="900">
        <v>9.6438911147731093E-3</v>
      </c>
      <c r="D2656" s="900">
        <v>0.30187362702593001</v>
      </c>
      <c r="E2656" s="900">
        <v>8.9998753982308932E-4</v>
      </c>
      <c r="F2656" s="900">
        <v>6.6323279900251512E-4</v>
      </c>
      <c r="G2656" s="900">
        <v>4.2356344203844422E-5</v>
      </c>
      <c r="H2656" s="900">
        <v>2.1766616013650308E-5</v>
      </c>
    </row>
    <row r="2657" spans="1:8" x14ac:dyDescent="0.35">
      <c r="A2657" s="980" t="s">
        <v>3641</v>
      </c>
      <c r="C2657" s="900">
        <v>0</v>
      </c>
    </row>
    <row r="2658" spans="1:8" x14ac:dyDescent="0.35">
      <c r="A2658" s="980" t="s">
        <v>3507</v>
      </c>
      <c r="B2658" s="900">
        <v>1.4465836672159661E-2</v>
      </c>
      <c r="D2658" s="900">
        <v>0.45281044053889491</v>
      </c>
      <c r="E2658" s="900">
        <v>1.3499813097346341E-3</v>
      </c>
      <c r="F2658" s="900">
        <v>9.9484919850377257E-4</v>
      </c>
      <c r="G2658" s="900">
        <v>6.3534516305766619E-5</v>
      </c>
      <c r="H2658" s="900">
        <v>3.2649924020475463E-5</v>
      </c>
    </row>
    <row r="2659" spans="1:8" x14ac:dyDescent="0.35">
      <c r="A2659" s="980" t="s">
        <v>4687</v>
      </c>
      <c r="C2659" s="900">
        <v>0</v>
      </c>
    </row>
    <row r="2660" spans="1:8" x14ac:dyDescent="0.35">
      <c r="A2660" s="980" t="s">
        <v>3456</v>
      </c>
      <c r="B2660" s="900">
        <v>4.7375615101322897E-2</v>
      </c>
      <c r="D2660" s="900">
        <v>1.4829541927648811</v>
      </c>
      <c r="E2660" s="900">
        <v>4.4211887893809256E-3</v>
      </c>
      <c r="F2660" s="900">
        <v>3.258131125099855E-3</v>
      </c>
      <c r="G2660" s="900">
        <v>2.080755409013857E-4</v>
      </c>
      <c r="H2660" s="900">
        <v>1.069285011670571E-4</v>
      </c>
    </row>
    <row r="2661" spans="1:8" x14ac:dyDescent="0.35">
      <c r="A2661" s="980" t="s">
        <v>4688</v>
      </c>
      <c r="C2661" s="900">
        <v>0</v>
      </c>
    </row>
    <row r="2662" spans="1:8" x14ac:dyDescent="0.35">
      <c r="A2662" s="980" t="s">
        <v>3248</v>
      </c>
      <c r="B2662" s="900">
        <v>2.34447462334133E-3</v>
      </c>
      <c r="C2662" s="900">
        <v>76.781765255169844</v>
      </c>
      <c r="D2662" s="900">
        <v>17.0472685184975</v>
      </c>
      <c r="E2662" s="900">
        <v>1.576117631638573</v>
      </c>
      <c r="F2662" s="900">
        <v>0.32849452067497359</v>
      </c>
      <c r="G2662" s="900">
        <v>1.2596086790174439E-4</v>
      </c>
      <c r="H2662" s="900">
        <v>8.078810693425503E-6</v>
      </c>
    </row>
    <row r="2663" spans="1:8" x14ac:dyDescent="0.35">
      <c r="A2663" s="980" t="s">
        <v>3562</v>
      </c>
      <c r="B2663" s="900">
        <v>5.7182307886373906E-4</v>
      </c>
      <c r="C2663" s="900">
        <v>18.727259818334112</v>
      </c>
      <c r="D2663" s="900">
        <v>4.1578703703652451</v>
      </c>
      <c r="E2663" s="900">
        <v>0.38441893454599352</v>
      </c>
      <c r="F2663" s="900">
        <v>8.0120614798774067E-2</v>
      </c>
      <c r="G2663" s="900">
        <v>3.0722162902864492E-5</v>
      </c>
      <c r="H2663" s="900">
        <v>1.9704416325428059E-6</v>
      </c>
    </row>
    <row r="2664" spans="1:8" x14ac:dyDescent="0.35">
      <c r="A2664" s="980" t="s">
        <v>3441</v>
      </c>
      <c r="B2664" s="900">
        <v>5.0606342479440902E-3</v>
      </c>
      <c r="C2664" s="900">
        <v>165.73624939225689</v>
      </c>
      <c r="D2664" s="900">
        <v>36.797152777732407</v>
      </c>
      <c r="E2664" s="900">
        <v>3.402107570732043</v>
      </c>
      <c r="F2664" s="900">
        <v>0.70906744096915042</v>
      </c>
      <c r="G2664" s="900">
        <v>2.7189114169035071E-4</v>
      </c>
      <c r="H2664" s="900">
        <v>1.7438408448003831E-5</v>
      </c>
    </row>
    <row r="2665" spans="1:8" x14ac:dyDescent="0.35">
      <c r="A2665" s="980" t="s">
        <v>3494</v>
      </c>
      <c r="B2665" s="900">
        <v>2.2872923154549558E-3</v>
      </c>
      <c r="C2665" s="900">
        <v>74.909039273336447</v>
      </c>
      <c r="D2665" s="900">
        <v>16.63148148146098</v>
      </c>
      <c r="E2665" s="900">
        <v>1.5376757381839741</v>
      </c>
      <c r="F2665" s="900">
        <v>0.32048245919509633</v>
      </c>
      <c r="G2665" s="900">
        <v>1.2288865161145791E-4</v>
      </c>
      <c r="H2665" s="900">
        <v>7.8817665301712235E-6</v>
      </c>
    </row>
    <row r="2666" spans="1:8" x14ac:dyDescent="0.35">
      <c r="A2666" s="980" t="s">
        <v>3265</v>
      </c>
      <c r="B2666" s="900">
        <v>2.502007259229457E-3</v>
      </c>
      <c r="C2666" s="900">
        <v>0</v>
      </c>
      <c r="D2666" s="900">
        <v>2.7696136200164281</v>
      </c>
      <c r="E2666" s="900">
        <v>4.715947899025786E-3</v>
      </c>
      <c r="F2666" s="900">
        <v>1.2293527280205609E-3</v>
      </c>
      <c r="G2666" s="900">
        <v>1.077808410944347E-4</v>
      </c>
      <c r="H2666" s="900">
        <v>8.2931667681084899E-6</v>
      </c>
    </row>
    <row r="2667" spans="1:8" x14ac:dyDescent="0.35">
      <c r="A2667" s="980" t="s">
        <v>3571</v>
      </c>
      <c r="B2667" s="900">
        <v>1.2204913459655891E-3</v>
      </c>
      <c r="D2667" s="900">
        <v>1.351031034154355</v>
      </c>
      <c r="E2667" s="900">
        <v>2.3004623897686762E-3</v>
      </c>
      <c r="F2667" s="900">
        <v>5.996842575710055E-4</v>
      </c>
      <c r="G2667" s="900">
        <v>5.2576020046065718E-5</v>
      </c>
      <c r="H2667" s="900">
        <v>4.0454472039553613E-6</v>
      </c>
    </row>
    <row r="2668" spans="1:8" x14ac:dyDescent="0.35">
      <c r="A2668" s="980" t="s">
        <v>3637</v>
      </c>
      <c r="C2668" s="900">
        <v>0</v>
      </c>
    </row>
    <row r="2669" spans="1:8" x14ac:dyDescent="0.35">
      <c r="A2669" s="980" t="s">
        <v>3443</v>
      </c>
      <c r="B2669" s="900">
        <v>4.5310741218972479E-3</v>
      </c>
      <c r="D2669" s="900">
        <v>5.0157027142980439</v>
      </c>
      <c r="E2669" s="900">
        <v>8.5404666220162111E-3</v>
      </c>
      <c r="F2669" s="900">
        <v>2.226327806232358E-3</v>
      </c>
      <c r="G2669" s="900">
        <v>1.9518847442101899E-4</v>
      </c>
      <c r="H2669" s="900">
        <v>1.501872274468428E-5</v>
      </c>
    </row>
    <row r="2670" spans="1:8" x14ac:dyDescent="0.35">
      <c r="A2670" s="980" t="s">
        <v>4689</v>
      </c>
      <c r="C2670" s="900">
        <v>0</v>
      </c>
    </row>
    <row r="2671" spans="1:8" x14ac:dyDescent="0.35">
      <c r="A2671" s="980" t="s">
        <v>3503</v>
      </c>
      <c r="B2671" s="900">
        <v>1.830737018948383E-3</v>
      </c>
      <c r="D2671" s="900">
        <v>2.0265465512315322</v>
      </c>
      <c r="E2671" s="900">
        <v>3.4506935846530138E-3</v>
      </c>
      <c r="F2671" s="900">
        <v>8.9952638635650809E-4</v>
      </c>
      <c r="G2671" s="900">
        <v>7.8864030069098574E-5</v>
      </c>
      <c r="H2671" s="900">
        <v>6.0681708059330412E-6</v>
      </c>
    </row>
    <row r="2672" spans="1:8" x14ac:dyDescent="0.35">
      <c r="A2672" s="980" t="s">
        <v>4690</v>
      </c>
      <c r="C2672" s="900">
        <v>0</v>
      </c>
    </row>
    <row r="2673" spans="1:8" x14ac:dyDescent="0.35">
      <c r="A2673" s="980" t="s">
        <v>3249</v>
      </c>
      <c r="B2673" s="900">
        <v>2.6299342743122552E-3</v>
      </c>
      <c r="C2673" s="900">
        <v>136.31013065485581</v>
      </c>
      <c r="D2673" s="900">
        <v>18.41886746762825</v>
      </c>
      <c r="E2673" s="900">
        <v>2.1808100781633359</v>
      </c>
      <c r="F2673" s="900">
        <v>0.29970000845309119</v>
      </c>
      <c r="G2673" s="900">
        <v>1.400957560966961E-4</v>
      </c>
      <c r="H2673" s="900">
        <v>9.0605321323422182E-6</v>
      </c>
    </row>
    <row r="2674" spans="1:8" x14ac:dyDescent="0.35">
      <c r="A2674" s="980" t="s">
        <v>3397</v>
      </c>
      <c r="B2674" s="900">
        <v>3.3034540274897838E-4</v>
      </c>
      <c r="C2674" s="900">
        <v>18.285505331748951</v>
      </c>
      <c r="D2674" s="900">
        <v>2.4373725982102861</v>
      </c>
      <c r="E2674" s="900">
        <v>0.29251304642639991</v>
      </c>
      <c r="F2674" s="900">
        <v>4.0189278190565787E-2</v>
      </c>
      <c r="G2674" s="900">
        <v>1.759739375360938E-5</v>
      </c>
      <c r="H2674" s="900">
        <v>1.13809123125762E-6</v>
      </c>
    </row>
    <row r="2675" spans="1:8" x14ac:dyDescent="0.35">
      <c r="A2675" s="980" t="s">
        <v>3563</v>
      </c>
      <c r="B2675" s="900">
        <v>6.4144738397859888E-4</v>
      </c>
      <c r="C2675" s="900">
        <v>33.246373330452627</v>
      </c>
      <c r="D2675" s="900">
        <v>4.492406699421525</v>
      </c>
      <c r="E2675" s="900">
        <v>0.53190489711300892</v>
      </c>
      <c r="F2675" s="900">
        <v>7.309756303733933E-2</v>
      </c>
      <c r="G2675" s="900">
        <v>3.4169696608950263E-5</v>
      </c>
      <c r="H2675" s="900">
        <v>2.2098858859371261E-6</v>
      </c>
    </row>
    <row r="2676" spans="1:8" x14ac:dyDescent="0.35">
      <c r="A2676" s="980" t="s">
        <v>3442</v>
      </c>
      <c r="B2676" s="900">
        <v>5.0674343334309296E-3</v>
      </c>
      <c r="C2676" s="900">
        <v>262.64634931057577</v>
      </c>
      <c r="D2676" s="900">
        <v>35.490012925430037</v>
      </c>
      <c r="E2676" s="900">
        <v>4.2020486871927698</v>
      </c>
      <c r="F2676" s="900">
        <v>0.57747074799498055</v>
      </c>
      <c r="G2676" s="900">
        <v>2.6994060321070711E-4</v>
      </c>
      <c r="H2676" s="900">
        <v>1.74580984989033E-5</v>
      </c>
    </row>
    <row r="2677" spans="1:8" x14ac:dyDescent="0.35">
      <c r="A2677" s="980" t="s">
        <v>3495</v>
      </c>
      <c r="B2677" s="900">
        <v>2.5657895359143959E-3</v>
      </c>
      <c r="C2677" s="900">
        <v>132.98549332181051</v>
      </c>
      <c r="D2677" s="900">
        <v>17.9696267976861</v>
      </c>
      <c r="E2677" s="900">
        <v>2.1276195884520361</v>
      </c>
      <c r="F2677" s="900">
        <v>0.29239025214935732</v>
      </c>
      <c r="G2677" s="900">
        <v>1.3667878643580111E-4</v>
      </c>
      <c r="H2677" s="900">
        <v>8.839543543748506E-6</v>
      </c>
    </row>
    <row r="2678" spans="1:8" x14ac:dyDescent="0.35">
      <c r="A2678" s="980" t="s">
        <v>3269</v>
      </c>
      <c r="B2678" s="900">
        <v>2.751395688420118E-3</v>
      </c>
      <c r="C2678" s="900">
        <v>0</v>
      </c>
      <c r="D2678" s="900">
        <v>1.909000683842595</v>
      </c>
      <c r="E2678" s="900">
        <v>3.630418899491639E-3</v>
      </c>
      <c r="F2678" s="900">
        <v>1.140923220601793E-3</v>
      </c>
      <c r="G2678" s="900">
        <v>8.6409375414420558E-5</v>
      </c>
      <c r="H2678" s="900">
        <v>9.0653480445317296E-6</v>
      </c>
    </row>
    <row r="2679" spans="1:8" x14ac:dyDescent="0.35">
      <c r="A2679" s="980" t="s">
        <v>3404</v>
      </c>
      <c r="B2679" s="900">
        <v>3.4560214135033202E-4</v>
      </c>
      <c r="D2679" s="900">
        <v>0.23978911028754549</v>
      </c>
      <c r="E2679" s="900">
        <v>4.5601603249712051E-4</v>
      </c>
      <c r="F2679" s="900">
        <v>1.4331108746583489E-4</v>
      </c>
      <c r="G2679" s="900">
        <v>1.085386057034795E-5</v>
      </c>
      <c r="H2679" s="900">
        <v>1.138696156813132E-6</v>
      </c>
    </row>
    <row r="2680" spans="1:8" x14ac:dyDescent="0.35">
      <c r="A2680" s="980" t="s">
        <v>4691</v>
      </c>
      <c r="C2680" s="900">
        <v>0</v>
      </c>
    </row>
    <row r="2681" spans="1:8" x14ac:dyDescent="0.35">
      <c r="A2681" s="980" t="s">
        <v>3572</v>
      </c>
      <c r="B2681" s="900">
        <v>1.342144238253716E-3</v>
      </c>
      <c r="D2681" s="900">
        <v>0.93121984577687589</v>
      </c>
      <c r="E2681" s="900">
        <v>1.7709360485325071E-3</v>
      </c>
      <c r="F2681" s="900">
        <v>5.5654791248867946E-4</v>
      </c>
      <c r="G2681" s="900">
        <v>4.2150914836302722E-5</v>
      </c>
      <c r="H2681" s="900">
        <v>4.4221209973325513E-6</v>
      </c>
    </row>
    <row r="2682" spans="1:8" x14ac:dyDescent="0.35">
      <c r="A2682" s="980" t="s">
        <v>3638</v>
      </c>
      <c r="C2682" s="900">
        <v>0</v>
      </c>
    </row>
    <row r="2683" spans="1:8" x14ac:dyDescent="0.35">
      <c r="A2683" s="980" t="s">
        <v>3444</v>
      </c>
      <c r="B2683" s="900">
        <v>5.5833200311354598E-3</v>
      </c>
      <c r="D2683" s="900">
        <v>3.8738745584318042</v>
      </c>
      <c r="E2683" s="900">
        <v>7.3670939618952266E-3</v>
      </c>
      <c r="F2683" s="900">
        <v>2.315239315952906E-3</v>
      </c>
      <c r="G2683" s="900">
        <v>1.7534780571901929E-4</v>
      </c>
      <c r="H2683" s="900">
        <v>1.8396023348903409E-5</v>
      </c>
    </row>
    <row r="2684" spans="1:8" x14ac:dyDescent="0.35">
      <c r="A2684" s="980" t="s">
        <v>4692</v>
      </c>
      <c r="C2684" s="900">
        <v>0</v>
      </c>
    </row>
    <row r="2685" spans="1:8" x14ac:dyDescent="0.35">
      <c r="A2685" s="980" t="s">
        <v>3504</v>
      </c>
      <c r="B2685" s="900">
        <v>2.0132163573805739E-3</v>
      </c>
      <c r="D2685" s="900">
        <v>1.3968297686653139</v>
      </c>
      <c r="E2685" s="900">
        <v>2.6564040727987599E-3</v>
      </c>
      <c r="F2685" s="900">
        <v>8.3482186873301903E-4</v>
      </c>
      <c r="G2685" s="900">
        <v>6.3226372254454063E-5</v>
      </c>
      <c r="H2685" s="900">
        <v>6.6331814959988261E-6</v>
      </c>
    </row>
    <row r="2686" spans="1:8" x14ac:dyDescent="0.35">
      <c r="A2686" s="980" t="s">
        <v>4693</v>
      </c>
      <c r="C2686" s="900">
        <v>0</v>
      </c>
    </row>
    <row r="2687" spans="1:8" x14ac:dyDescent="0.35">
      <c r="A2687" s="980" t="s">
        <v>3250</v>
      </c>
      <c r="B2687" s="900">
        <v>2.1828459100121451E-2</v>
      </c>
      <c r="C2687" s="900">
        <v>0</v>
      </c>
      <c r="D2687" s="900">
        <v>40.806417560779458</v>
      </c>
      <c r="E2687" s="900">
        <v>110.5457161501505</v>
      </c>
      <c r="F2687" s="900">
        <v>352.99223758596128</v>
      </c>
      <c r="G2687" s="900">
        <v>413.47095809611591</v>
      </c>
      <c r="H2687" s="900">
        <v>1.4287044927209771E-4</v>
      </c>
    </row>
    <row r="2688" spans="1:8" x14ac:dyDescent="0.35">
      <c r="A2688" s="980" t="s">
        <v>3351</v>
      </c>
      <c r="B2688" s="900">
        <v>3.7001900181913183E-2</v>
      </c>
      <c r="D2688" s="900">
        <v>69.171854157906637</v>
      </c>
      <c r="E2688" s="900">
        <v>187.38847005940141</v>
      </c>
      <c r="F2688" s="900">
        <v>598.3648905420564</v>
      </c>
      <c r="G2688" s="900">
        <v>700.88369726048904</v>
      </c>
      <c r="H2688" s="900">
        <v>2.421828347417265E-4</v>
      </c>
    </row>
    <row r="2689" spans="1:8" x14ac:dyDescent="0.35">
      <c r="A2689" s="980" t="s">
        <v>4694</v>
      </c>
      <c r="C2689" s="900">
        <v>0</v>
      </c>
    </row>
    <row r="2690" spans="1:8" x14ac:dyDescent="0.35">
      <c r="A2690" s="980" t="s">
        <v>3398</v>
      </c>
      <c r="B2690" s="900">
        <v>8.305462486875477E-3</v>
      </c>
      <c r="D2690" s="900">
        <v>15.526344242638039</v>
      </c>
      <c r="E2690" s="900">
        <v>42.061296876642622</v>
      </c>
      <c r="F2690" s="900">
        <v>134.30924161807309</v>
      </c>
      <c r="G2690" s="900">
        <v>157.3206572268148</v>
      </c>
      <c r="H2690" s="900">
        <v>5.4360463625481052E-5</v>
      </c>
    </row>
    <row r="2691" spans="1:8" x14ac:dyDescent="0.35">
      <c r="A2691" s="980" t="s">
        <v>4695</v>
      </c>
      <c r="C2691" s="900">
        <v>0</v>
      </c>
    </row>
    <row r="2692" spans="1:8" x14ac:dyDescent="0.35">
      <c r="A2692" s="980" t="s">
        <v>3564</v>
      </c>
      <c r="B2692" s="900">
        <v>5.3240144146637679E-3</v>
      </c>
      <c r="D2692" s="900">
        <v>9.95278477092182</v>
      </c>
      <c r="E2692" s="900">
        <v>26.962369792719631</v>
      </c>
      <c r="F2692" s="900">
        <v>86.095667703893028</v>
      </c>
      <c r="G2692" s="900">
        <v>100.8465751453941</v>
      </c>
      <c r="H2692" s="900">
        <v>3.4846451041975028E-5</v>
      </c>
    </row>
    <row r="2693" spans="1:8" x14ac:dyDescent="0.35">
      <c r="A2693" s="980" t="s">
        <v>3630</v>
      </c>
      <c r="C2693" s="900">
        <v>0</v>
      </c>
    </row>
    <row r="2694" spans="1:8" x14ac:dyDescent="0.35">
      <c r="A2694" s="980" t="s">
        <v>3496</v>
      </c>
      <c r="B2694" s="900">
        <v>2.1296057658655072E-2</v>
      </c>
      <c r="D2694" s="900">
        <v>39.81113908368728</v>
      </c>
      <c r="E2694" s="900">
        <v>107.8494791708785</v>
      </c>
      <c r="F2694" s="900">
        <v>344.38267081557211</v>
      </c>
      <c r="G2694" s="900">
        <v>403.38630058157651</v>
      </c>
      <c r="H2694" s="900">
        <v>1.3938580416790011E-4</v>
      </c>
    </row>
    <row r="2695" spans="1:8" x14ac:dyDescent="0.35">
      <c r="A2695" s="980" t="s">
        <v>4696</v>
      </c>
      <c r="C2695" s="900">
        <v>0</v>
      </c>
    </row>
    <row r="2696" spans="1:8" x14ac:dyDescent="0.35">
      <c r="A2696" s="980" t="s">
        <v>3270</v>
      </c>
      <c r="B2696" s="900">
        <v>2.2659905898865861E-2</v>
      </c>
      <c r="C2696" s="900">
        <v>0</v>
      </c>
      <c r="D2696" s="900">
        <v>4.5616019739640628</v>
      </c>
      <c r="E2696" s="900">
        <v>161.58958163516749</v>
      </c>
      <c r="F2696" s="900">
        <v>46.291567737671429</v>
      </c>
      <c r="G2696" s="900">
        <v>63.377877492702119</v>
      </c>
      <c r="H2696" s="900">
        <v>1.107067155127378E-4</v>
      </c>
    </row>
    <row r="2697" spans="1:8" x14ac:dyDescent="0.35">
      <c r="A2697" s="980" t="s">
        <v>3356</v>
      </c>
      <c r="B2697" s="900">
        <v>3.6117679280265463E-2</v>
      </c>
      <c r="D2697" s="900">
        <v>7.2707485121597921</v>
      </c>
      <c r="E2697" s="900">
        <v>257.55802828922418</v>
      </c>
      <c r="F2697" s="900">
        <v>73.784242723337258</v>
      </c>
      <c r="G2697" s="900">
        <v>101.0181535158069</v>
      </c>
      <c r="H2697" s="900">
        <v>1.7645570387213211E-4</v>
      </c>
    </row>
    <row r="2698" spans="1:8" x14ac:dyDescent="0.35">
      <c r="A2698" s="980" t="s">
        <v>4697</v>
      </c>
      <c r="C2698" s="900">
        <v>0</v>
      </c>
    </row>
    <row r="2699" spans="1:8" x14ac:dyDescent="0.35">
      <c r="A2699" s="980" t="s">
        <v>3405</v>
      </c>
      <c r="B2699" s="900">
        <v>8.0967712541069499E-3</v>
      </c>
      <c r="D2699" s="900">
        <v>1.629938266306671</v>
      </c>
      <c r="E2699" s="900">
        <v>57.738716364761068</v>
      </c>
      <c r="F2699" s="900">
        <v>16.540767496509432</v>
      </c>
      <c r="G2699" s="900">
        <v>22.64599768946551</v>
      </c>
      <c r="H2699" s="900">
        <v>3.9557399567356321E-5</v>
      </c>
    </row>
    <row r="2700" spans="1:8" x14ac:dyDescent="0.35">
      <c r="A2700" s="980" t="s">
        <v>4698</v>
      </c>
      <c r="C2700" s="900">
        <v>0</v>
      </c>
    </row>
    <row r="2701" spans="1:8" x14ac:dyDescent="0.35">
      <c r="A2701" s="980" t="s">
        <v>3573</v>
      </c>
      <c r="B2701" s="900">
        <v>1.1053612633593109E-2</v>
      </c>
      <c r="D2701" s="900">
        <v>2.2251716946166158</v>
      </c>
      <c r="E2701" s="900">
        <v>78.82418616349635</v>
      </c>
      <c r="F2701" s="900">
        <v>22.581252554961669</v>
      </c>
      <c r="G2701" s="900">
        <v>30.916037801318112</v>
      </c>
      <c r="H2701" s="900">
        <v>5.4003275859872107E-5</v>
      </c>
    </row>
    <row r="2702" spans="1:8" x14ac:dyDescent="0.35">
      <c r="A2702" s="980" t="s">
        <v>3639</v>
      </c>
      <c r="C2702" s="900">
        <v>0</v>
      </c>
    </row>
    <row r="2703" spans="1:8" x14ac:dyDescent="0.35">
      <c r="A2703" s="980" t="s">
        <v>3505</v>
      </c>
      <c r="B2703" s="900">
        <v>1.6580418950389659E-2</v>
      </c>
      <c r="D2703" s="900">
        <v>3.3377575419249239</v>
      </c>
      <c r="E2703" s="900">
        <v>118.2362792452445</v>
      </c>
      <c r="F2703" s="900">
        <v>33.871878832442512</v>
      </c>
      <c r="G2703" s="900">
        <v>46.374056701977153</v>
      </c>
      <c r="H2703" s="900">
        <v>8.100491378980817E-5</v>
      </c>
    </row>
    <row r="2704" spans="1:8" x14ac:dyDescent="0.35">
      <c r="A2704" s="980" t="s">
        <v>4699</v>
      </c>
      <c r="C2704" s="900">
        <v>0</v>
      </c>
    </row>
    <row r="2705" spans="1:8" x14ac:dyDescent="0.35">
      <c r="A2705" s="980" t="s">
        <v>3255</v>
      </c>
      <c r="B2705" s="900">
        <v>7.7107406006548876E-2</v>
      </c>
      <c r="C2705" s="900">
        <v>0</v>
      </c>
      <c r="D2705" s="900">
        <v>2.9092045221746412</v>
      </c>
      <c r="E2705" s="900">
        <v>3.1490104859644139E-2</v>
      </c>
      <c r="F2705" s="900">
        <v>192.42151505736251</v>
      </c>
      <c r="G2705" s="900">
        <v>309.52027151355628</v>
      </c>
      <c r="H2705" s="900">
        <v>6.0510573381991027E-2</v>
      </c>
    </row>
    <row r="2706" spans="1:8" x14ac:dyDescent="0.35">
      <c r="A2706" s="980" t="s">
        <v>3353</v>
      </c>
      <c r="B2706" s="900">
        <v>3.5732700344498262E-2</v>
      </c>
      <c r="D2706" s="900">
        <v>1.348167949300443</v>
      </c>
      <c r="E2706" s="900">
        <v>1.459297542276192E-2</v>
      </c>
      <c r="F2706" s="900">
        <v>89.17094600219238</v>
      </c>
      <c r="G2706" s="900">
        <v>143.4362233843309</v>
      </c>
      <c r="H2706" s="900">
        <v>2.804148522580072E-2</v>
      </c>
    </row>
    <row r="2707" spans="1:8" x14ac:dyDescent="0.35">
      <c r="A2707" s="980" t="s">
        <v>4700</v>
      </c>
      <c r="C2707" s="900">
        <v>0</v>
      </c>
    </row>
    <row r="2708" spans="1:8" x14ac:dyDescent="0.35">
      <c r="A2708" s="980" t="s">
        <v>3401</v>
      </c>
      <c r="B2708" s="900">
        <v>8.6604781624428681E-2</v>
      </c>
      <c r="D2708" s="900">
        <v>3.267533371857128</v>
      </c>
      <c r="E2708" s="900">
        <v>3.5368764116746651E-2</v>
      </c>
      <c r="F2708" s="900">
        <v>216.1222138632084</v>
      </c>
      <c r="G2708" s="900">
        <v>347.64410983412853</v>
      </c>
      <c r="H2708" s="900">
        <v>6.7963704981480175E-2</v>
      </c>
    </row>
    <row r="2709" spans="1:8" x14ac:dyDescent="0.35">
      <c r="A2709" s="980" t="s">
        <v>4701</v>
      </c>
      <c r="C2709" s="900">
        <v>0</v>
      </c>
    </row>
    <row r="2710" spans="1:8" x14ac:dyDescent="0.35">
      <c r="A2710" s="980" t="s">
        <v>3567</v>
      </c>
      <c r="B2710" s="900">
        <v>1.8806684391841189E-2</v>
      </c>
      <c r="D2710" s="900">
        <v>0.70956207857918085</v>
      </c>
      <c r="E2710" s="900">
        <v>7.6805133804010101E-3</v>
      </c>
      <c r="F2710" s="900">
        <v>46.932076843259154</v>
      </c>
      <c r="G2710" s="900">
        <v>75.492749149647878</v>
      </c>
      <c r="H2710" s="900">
        <v>1.4758676434631961E-2</v>
      </c>
    </row>
    <row r="2711" spans="1:8" x14ac:dyDescent="0.35">
      <c r="A2711" s="980" t="s">
        <v>3633</v>
      </c>
      <c r="C2711" s="900">
        <v>0</v>
      </c>
    </row>
    <row r="2712" spans="1:8" x14ac:dyDescent="0.35">
      <c r="A2712" s="980" t="s">
        <v>3499</v>
      </c>
      <c r="B2712" s="900">
        <v>7.5226737567364768E-2</v>
      </c>
      <c r="D2712" s="900">
        <v>2.838248314316723</v>
      </c>
      <c r="E2712" s="900">
        <v>3.072205352160404E-2</v>
      </c>
      <c r="F2712" s="900">
        <v>187.72830737303661</v>
      </c>
      <c r="G2712" s="900">
        <v>301.97099659859151</v>
      </c>
      <c r="H2712" s="900">
        <v>5.9034705738527843E-2</v>
      </c>
    </row>
    <row r="2713" spans="1:8" x14ac:dyDescent="0.35">
      <c r="A2713" s="980" t="s">
        <v>4702</v>
      </c>
      <c r="C2713" s="900">
        <v>0</v>
      </c>
    </row>
    <row r="2714" spans="1:8" x14ac:dyDescent="0.35">
      <c r="A2714" s="980" t="s">
        <v>3274</v>
      </c>
      <c r="B2714" s="900">
        <v>7.1230374113179895E-2</v>
      </c>
      <c r="C2714" s="900">
        <v>0</v>
      </c>
      <c r="D2714" s="900">
        <v>1.909215156516316</v>
      </c>
      <c r="E2714" s="900">
        <v>3.5544073684819107E-2</v>
      </c>
      <c r="F2714" s="900">
        <v>89.287512265700329</v>
      </c>
      <c r="G2714" s="900">
        <v>53.067504504058327</v>
      </c>
      <c r="H2714" s="900">
        <v>2.9901955693023162E-4</v>
      </c>
    </row>
    <row r="2715" spans="1:8" x14ac:dyDescent="0.35">
      <c r="A2715" s="980" t="s">
        <v>3358</v>
      </c>
      <c r="B2715" s="900">
        <v>3.1011272632201499E-2</v>
      </c>
      <c r="D2715" s="900">
        <v>0.83120708643454233</v>
      </c>
      <c r="E2715" s="900">
        <v>1.54746759822932E-2</v>
      </c>
      <c r="F2715" s="900">
        <v>38.872733998603692</v>
      </c>
      <c r="G2715" s="900">
        <v>23.10377939993759</v>
      </c>
      <c r="H2715" s="900">
        <v>1.3018290466352769E-4</v>
      </c>
    </row>
    <row r="2716" spans="1:8" x14ac:dyDescent="0.35">
      <c r="A2716" s="980" t="s">
        <v>4703</v>
      </c>
      <c r="C2716" s="900">
        <v>0</v>
      </c>
    </row>
    <row r="2717" spans="1:8" x14ac:dyDescent="0.35">
      <c r="A2717" s="980" t="s">
        <v>3408</v>
      </c>
      <c r="B2717" s="900">
        <v>7.5139358058415387E-2</v>
      </c>
      <c r="D2717" s="900">
        <v>2.013989159008065</v>
      </c>
      <c r="E2717" s="900">
        <v>3.7494663094351871E-2</v>
      </c>
      <c r="F2717" s="900">
        <v>94.187436719305836</v>
      </c>
      <c r="G2717" s="900">
        <v>55.97974560489078</v>
      </c>
      <c r="H2717" s="900">
        <v>3.1542916676176872E-4</v>
      </c>
    </row>
    <row r="2718" spans="1:8" x14ac:dyDescent="0.35">
      <c r="A2718" s="980" t="s">
        <v>4704</v>
      </c>
      <c r="C2718" s="900">
        <v>0</v>
      </c>
    </row>
    <row r="2719" spans="1:8" x14ac:dyDescent="0.35">
      <c r="A2719" s="980" t="s">
        <v>3576</v>
      </c>
      <c r="B2719" s="900">
        <v>3.4746523957648733E-2</v>
      </c>
      <c r="D2719" s="900">
        <v>0.9313244665933248</v>
      </c>
      <c r="E2719" s="900">
        <v>1.7338572529180061E-2</v>
      </c>
      <c r="F2719" s="900">
        <v>43.554884032048953</v>
      </c>
      <c r="G2719" s="900">
        <v>25.886587562955281</v>
      </c>
      <c r="H2719" s="900">
        <v>1.45863198502552E-4</v>
      </c>
    </row>
    <row r="2720" spans="1:8" x14ac:dyDescent="0.35">
      <c r="A2720" s="980" t="s">
        <v>3642</v>
      </c>
      <c r="C2720" s="900">
        <v>0</v>
      </c>
    </row>
    <row r="2721" spans="1:8" x14ac:dyDescent="0.35">
      <c r="A2721" s="980" t="s">
        <v>3508</v>
      </c>
      <c r="B2721" s="900">
        <v>5.2119785936473102E-2</v>
      </c>
      <c r="D2721" s="900">
        <v>1.3969866998899869</v>
      </c>
      <c r="E2721" s="900">
        <v>2.6007858793770079E-2</v>
      </c>
      <c r="F2721" s="900">
        <v>65.332326048073412</v>
      </c>
      <c r="G2721" s="900">
        <v>38.82988134443292</v>
      </c>
      <c r="H2721" s="900">
        <v>2.18794797753828E-4</v>
      </c>
    </row>
    <row r="2722" spans="1:8" x14ac:dyDescent="0.35">
      <c r="A2722" s="980" t="s">
        <v>4705</v>
      </c>
      <c r="C2722" s="900">
        <v>0</v>
      </c>
    </row>
    <row r="2723" spans="1:8" x14ac:dyDescent="0.35">
      <c r="A2723" s="980" t="s">
        <v>4706</v>
      </c>
      <c r="B2723" s="900">
        <v>6216.4871609811426</v>
      </c>
      <c r="C2723" s="900">
        <v>4721.959937204032</v>
      </c>
      <c r="D2723" s="900">
        <v>4917.8110265233327</v>
      </c>
      <c r="E2723" s="900">
        <v>5764.2893460437799</v>
      </c>
      <c r="F2723" s="900">
        <v>5913.980673261206</v>
      </c>
      <c r="G2723" s="900">
        <v>6063.6647119508971</v>
      </c>
      <c r="H2723" s="900">
        <v>6216.530379255435</v>
      </c>
    </row>
    <row r="2724" spans="1:8" x14ac:dyDescent="0.35">
      <c r="A2724" s="980" t="s">
        <v>4707</v>
      </c>
      <c r="B2724" s="900">
        <v>6369.3515993659239</v>
      </c>
      <c r="C2724" s="900">
        <v>4838.073706151672</v>
      </c>
      <c r="D2724" s="900">
        <v>5038.7408058640704</v>
      </c>
      <c r="E2724" s="900">
        <v>5906.0341660284621</v>
      </c>
      <c r="F2724" s="900">
        <v>6059.406427521727</v>
      </c>
      <c r="G2724" s="900">
        <v>6212.7712212611641</v>
      </c>
      <c r="H2724" s="900">
        <v>6369.3958803846663</v>
      </c>
    </row>
    <row r="2725" spans="1:8" x14ac:dyDescent="0.35">
      <c r="A2725" s="980" t="s">
        <v>4708</v>
      </c>
      <c r="B2725" s="900">
        <v>3302.902021477656</v>
      </c>
      <c r="C2725" s="900">
        <v>4691.9243913689515</v>
      </c>
      <c r="D2725" s="900">
        <v>4073.1382961667819</v>
      </c>
      <c r="E2725" s="900">
        <v>3427.1102303429971</v>
      </c>
      <c r="F2725" s="900">
        <v>3242.236911298839</v>
      </c>
      <c r="G2725" s="900">
        <v>3280.3810235874139</v>
      </c>
      <c r="H2725" s="900">
        <v>3302.837762780493</v>
      </c>
    </row>
    <row r="2726" spans="1:8" x14ac:dyDescent="0.35">
      <c r="A2726" s="980" t="s">
        <v>4709</v>
      </c>
      <c r="B2726" s="900">
        <v>3965.0684531544489</v>
      </c>
      <c r="C2726" s="900">
        <v>5632.5622945605683</v>
      </c>
      <c r="D2726" s="900">
        <v>4889.7218441377936</v>
      </c>
      <c r="E2726" s="900">
        <v>4114.1779475906333</v>
      </c>
      <c r="F2726" s="900">
        <v>3892.241190034621</v>
      </c>
      <c r="G2726" s="900">
        <v>3938.0324412814098</v>
      </c>
      <c r="H2726" s="900">
        <v>3964.9913118613358</v>
      </c>
    </row>
    <row r="2727" spans="1:8" x14ac:dyDescent="0.35">
      <c r="A2727" s="980" t="s">
        <v>3828</v>
      </c>
      <c r="B2727" s="900">
        <v>683.8135877079244</v>
      </c>
      <c r="C2727" s="900">
        <v>519.41559309244406</v>
      </c>
      <c r="D2727" s="900">
        <v>540.95921291756451</v>
      </c>
      <c r="E2727" s="900">
        <v>634.07182806481774</v>
      </c>
      <c r="F2727" s="900">
        <v>650.53787405873334</v>
      </c>
      <c r="G2727" s="900">
        <v>667.00311831459408</v>
      </c>
      <c r="H2727" s="900">
        <v>683.81834171809464</v>
      </c>
    </row>
    <row r="2728" spans="1:8" x14ac:dyDescent="0.35">
      <c r="A2728" s="980" t="s">
        <v>3831</v>
      </c>
      <c r="B2728" s="900">
        <v>4973.1897287849042</v>
      </c>
      <c r="C2728" s="900">
        <v>3777.56794976323</v>
      </c>
      <c r="D2728" s="900">
        <v>3934.2488212186508</v>
      </c>
      <c r="E2728" s="900">
        <v>4611.4314768350378</v>
      </c>
      <c r="F2728" s="900">
        <v>4731.1845386089699</v>
      </c>
      <c r="G2728" s="900">
        <v>4850.9317695606842</v>
      </c>
      <c r="H2728" s="900">
        <v>4973.2243034043258</v>
      </c>
    </row>
    <row r="2729" spans="1:8" x14ac:dyDescent="0.35">
      <c r="A2729" s="980" t="s">
        <v>4710</v>
      </c>
      <c r="B2729" s="900">
        <v>133.40581447465499</v>
      </c>
      <c r="C2729" s="900">
        <v>101.3332602523986</v>
      </c>
      <c r="D2729" s="900">
        <v>105.5362246291903</v>
      </c>
      <c r="E2729" s="900">
        <v>123.7016493660999</v>
      </c>
      <c r="F2729" s="900">
        <v>126.9140252481856</v>
      </c>
      <c r="G2729" s="900">
        <v>130.12624471846539</v>
      </c>
      <c r="H2729" s="900">
        <v>133.406741938821</v>
      </c>
    </row>
    <row r="2730" spans="1:8" x14ac:dyDescent="0.35">
      <c r="A2730" s="980" t="s">
        <v>4711</v>
      </c>
      <c r="B2730" s="900">
        <v>6216.4871609811316</v>
      </c>
      <c r="C2730" s="900">
        <v>4721.9599372040366</v>
      </c>
      <c r="D2730" s="900">
        <v>4917.8110265233136</v>
      </c>
      <c r="E2730" s="900">
        <v>5764.2893460437981</v>
      </c>
      <c r="F2730" s="900">
        <v>5913.9806732612133</v>
      </c>
      <c r="G2730" s="900">
        <v>6063.6647119508552</v>
      </c>
      <c r="H2730" s="900">
        <v>6216.5303792554059</v>
      </c>
    </row>
    <row r="2731" spans="1:8" x14ac:dyDescent="0.35">
      <c r="A2731" s="980" t="s">
        <v>4712</v>
      </c>
      <c r="B2731" s="900">
        <v>202.6200090538625</v>
      </c>
      <c r="C2731" s="900">
        <v>153.18580936462271</v>
      </c>
      <c r="D2731" s="900">
        <v>181.1344009419974</v>
      </c>
      <c r="E2731" s="900">
        <v>179.36569072375079</v>
      </c>
      <c r="F2731" s="900">
        <v>190.9442966755916</v>
      </c>
      <c r="G2731" s="900">
        <v>197.64660264688379</v>
      </c>
      <c r="H2731" s="900">
        <v>202.62929088495281</v>
      </c>
    </row>
    <row r="2732" spans="1:8" x14ac:dyDescent="0.35">
      <c r="A2732" s="980" t="s">
        <v>4713</v>
      </c>
      <c r="B2732" s="900">
        <v>207.6024682928919</v>
      </c>
      <c r="C2732" s="900">
        <v>156.95267352932649</v>
      </c>
      <c r="D2732" s="900">
        <v>185.58852555532519</v>
      </c>
      <c r="E2732" s="900">
        <v>183.7763224628595</v>
      </c>
      <c r="F2732" s="900">
        <v>195.6396482331881</v>
      </c>
      <c r="G2732" s="900">
        <v>202.5067650070531</v>
      </c>
      <c r="H2732" s="900">
        <v>207.61197836573041</v>
      </c>
    </row>
    <row r="2733" spans="1:8" x14ac:dyDescent="0.35">
      <c r="A2733" s="980" t="s">
        <v>4714</v>
      </c>
      <c r="B2733" s="900">
        <v>545.86724340966941</v>
      </c>
      <c r="C2733" s="900">
        <v>0.1102396627541896</v>
      </c>
      <c r="D2733" s="900">
        <v>10.79583612314298</v>
      </c>
      <c r="E2733" s="900">
        <v>118.2505910711789</v>
      </c>
      <c r="F2733" s="900">
        <v>416.11734424821208</v>
      </c>
      <c r="G2733" s="900">
        <v>463.4850741524744</v>
      </c>
      <c r="H2733" s="900">
        <v>545.87781260602696</v>
      </c>
    </row>
    <row r="2734" spans="1:8" x14ac:dyDescent="0.35">
      <c r="A2734" s="980" t="s">
        <v>4715</v>
      </c>
      <c r="B2734" s="900">
        <v>559.29020841154647</v>
      </c>
      <c r="C2734" s="900">
        <v>0.1129504741333909</v>
      </c>
      <c r="D2734" s="900">
        <v>11.06130750322027</v>
      </c>
      <c r="E2734" s="900">
        <v>121.158392490962</v>
      </c>
      <c r="F2734" s="900">
        <v>426.34973795923372</v>
      </c>
      <c r="G2734" s="900">
        <v>474.88224810704338</v>
      </c>
      <c r="H2734" s="900">
        <v>559.30103750617513</v>
      </c>
    </row>
    <row r="2735" spans="1:8" x14ac:dyDescent="0.35">
      <c r="A2735" s="980" t="s">
        <v>3825</v>
      </c>
      <c r="B2735" s="900">
        <v>491.28051906870189</v>
      </c>
      <c r="C2735" s="900">
        <v>9.3703713341061118E-2</v>
      </c>
      <c r="D2735" s="900">
        <v>9.4404295471221111</v>
      </c>
      <c r="E2735" s="900">
        <v>103.03623694788349</v>
      </c>
      <c r="F2735" s="900">
        <v>369.15369913867278</v>
      </c>
      <c r="G2735" s="900">
        <v>417.13656673722562</v>
      </c>
      <c r="H2735" s="900">
        <v>491.29003134542188</v>
      </c>
    </row>
    <row r="2736" spans="1:8" x14ac:dyDescent="0.35">
      <c r="A2736" s="980" t="s">
        <v>4716</v>
      </c>
      <c r="B2736" s="900">
        <v>11.71431104357149</v>
      </c>
      <c r="C2736" s="900">
        <v>2.2343129869990788E-3</v>
      </c>
      <c r="D2736" s="900">
        <v>0.22510179786804499</v>
      </c>
      <c r="E2736" s="900">
        <v>2.4568418276684212</v>
      </c>
      <c r="F2736" s="900">
        <v>8.8022648705732411</v>
      </c>
      <c r="G2736" s="900">
        <v>9.9463896913120671</v>
      </c>
      <c r="H2736" s="900">
        <v>11.714537858525279</v>
      </c>
    </row>
    <row r="2737" spans="1:8" x14ac:dyDescent="0.35">
      <c r="A2737" s="980" t="s">
        <v>4717</v>
      </c>
      <c r="B2737" s="900">
        <v>545.86724340966884</v>
      </c>
      <c r="C2737" s="900">
        <v>0.1041152370456235</v>
      </c>
      <c r="D2737" s="900">
        <v>10.489366163469009</v>
      </c>
      <c r="E2737" s="900">
        <v>114.4847077198705</v>
      </c>
      <c r="F2737" s="900">
        <v>410.17077682074751</v>
      </c>
      <c r="G2737" s="900">
        <v>463.48507415247298</v>
      </c>
      <c r="H2737" s="900">
        <v>545.87781260602435</v>
      </c>
    </row>
    <row r="2738" spans="1:8" x14ac:dyDescent="0.35">
      <c r="A2738" s="980" t="s">
        <v>3286</v>
      </c>
      <c r="B2738" s="900">
        <v>7.5468640319944248E-3</v>
      </c>
      <c r="C2738" s="900">
        <v>0</v>
      </c>
      <c r="D2738" s="900">
        <v>4.3816637008973913</v>
      </c>
      <c r="E2738" s="900">
        <v>4.9311793743336847E-3</v>
      </c>
      <c r="F2738" s="900">
        <v>1.4038170150860131E-3</v>
      </c>
      <c r="G2738" s="900">
        <v>1.11182737925484E-4</v>
      </c>
      <c r="H2738" s="900">
        <v>3.0880831464007422E-5</v>
      </c>
    </row>
    <row r="2739" spans="1:8" x14ac:dyDescent="0.35">
      <c r="A2739" s="980" t="s">
        <v>3362</v>
      </c>
      <c r="B2739" s="900">
        <v>1.688610827158752E-2</v>
      </c>
      <c r="D2739" s="900">
        <v>9.8039725307579122</v>
      </c>
      <c r="E2739" s="900">
        <v>1.1033513850071621E-2</v>
      </c>
      <c r="F2739" s="900">
        <v>3.141040571254953E-3</v>
      </c>
      <c r="G2739" s="900">
        <v>2.4877137610827051E-4</v>
      </c>
      <c r="H2739" s="900">
        <v>6.9095860400716604E-5</v>
      </c>
    </row>
    <row r="2740" spans="1:8" x14ac:dyDescent="0.35">
      <c r="A2740" s="980" t="s">
        <v>4718</v>
      </c>
      <c r="C2740" s="900">
        <v>0</v>
      </c>
    </row>
    <row r="2741" spans="1:8" x14ac:dyDescent="0.35">
      <c r="A2741" s="980" t="s">
        <v>3413</v>
      </c>
      <c r="B2741" s="900">
        <v>9.433580039993031E-4</v>
      </c>
      <c r="D2741" s="900">
        <v>0.54770796261217392</v>
      </c>
      <c r="E2741" s="900">
        <v>6.1639742179171058E-4</v>
      </c>
      <c r="F2741" s="900">
        <v>1.7547712688575161E-4</v>
      </c>
      <c r="G2741" s="900">
        <v>1.38978422406855E-5</v>
      </c>
      <c r="H2741" s="900">
        <v>3.8601039330009278E-6</v>
      </c>
    </row>
    <row r="2742" spans="1:8" x14ac:dyDescent="0.35">
      <c r="A2742" s="980" t="s">
        <v>4719</v>
      </c>
      <c r="C2742" s="900">
        <v>0</v>
      </c>
    </row>
    <row r="2743" spans="1:8" x14ac:dyDescent="0.35">
      <c r="A2743" s="980" t="s">
        <v>3513</v>
      </c>
      <c r="B2743" s="900">
        <v>5.6601480239958177E-3</v>
      </c>
      <c r="D2743" s="900">
        <v>3.286247775673043</v>
      </c>
      <c r="E2743" s="900">
        <v>3.6983845307502631E-3</v>
      </c>
      <c r="F2743" s="900">
        <v>1.05286276131451E-3</v>
      </c>
      <c r="G2743" s="900">
        <v>8.3387053444112993E-5</v>
      </c>
      <c r="H2743" s="900">
        <v>2.3160623598005562E-5</v>
      </c>
    </row>
    <row r="2744" spans="1:8" x14ac:dyDescent="0.35">
      <c r="A2744" s="980" t="s">
        <v>4720</v>
      </c>
      <c r="C2744" s="900">
        <v>0</v>
      </c>
    </row>
    <row r="2745" spans="1:8" x14ac:dyDescent="0.35">
      <c r="A2745" s="980" t="s">
        <v>3460</v>
      </c>
      <c r="B2745" s="900">
        <v>2.1791569892383898E-3</v>
      </c>
      <c r="D2745" s="900">
        <v>1.2652053936341221</v>
      </c>
      <c r="E2745" s="900">
        <v>1.423878044338852E-3</v>
      </c>
      <c r="F2745" s="900">
        <v>4.0535216310608619E-4</v>
      </c>
      <c r="G2745" s="900">
        <v>3.2104015575983513E-5</v>
      </c>
      <c r="H2745" s="900">
        <v>8.9168400852321433E-6</v>
      </c>
    </row>
    <row r="2746" spans="1:8" x14ac:dyDescent="0.35">
      <c r="A2746" s="980" t="s">
        <v>4721</v>
      </c>
      <c r="C2746" s="900">
        <v>0</v>
      </c>
    </row>
    <row r="2747" spans="1:8" x14ac:dyDescent="0.35">
      <c r="A2747" s="980" t="s">
        <v>3581</v>
      </c>
      <c r="B2747" s="900">
        <v>3.773432015997212E-3</v>
      </c>
      <c r="D2747" s="900">
        <v>2.1908318504486961</v>
      </c>
      <c r="E2747" s="900">
        <v>2.4655896871668419E-3</v>
      </c>
      <c r="F2747" s="900">
        <v>7.0190850754300643E-4</v>
      </c>
      <c r="G2747" s="900">
        <v>5.5591368962742002E-5</v>
      </c>
      <c r="H2747" s="900">
        <v>1.5440415732003711E-5</v>
      </c>
    </row>
    <row r="2748" spans="1:8" x14ac:dyDescent="0.35">
      <c r="A2748" s="980" t="s">
        <v>3647</v>
      </c>
      <c r="C2748" s="900">
        <v>0</v>
      </c>
    </row>
    <row r="2749" spans="1:8" x14ac:dyDescent="0.35">
      <c r="A2749" s="980" t="s">
        <v>3302</v>
      </c>
      <c r="B2749" s="900">
        <v>2.1981260858648169E-2</v>
      </c>
      <c r="C2749" s="900">
        <v>0</v>
      </c>
      <c r="D2749" s="900">
        <v>37.240990974467358</v>
      </c>
      <c r="E2749" s="900">
        <v>7.8774170049629966</v>
      </c>
      <c r="F2749" s="900">
        <v>5.1714750884636999E-3</v>
      </c>
      <c r="G2749" s="900">
        <v>2.049114682694996E-4</v>
      </c>
      <c r="H2749" s="900">
        <v>1.468434214818873E-4</v>
      </c>
    </row>
    <row r="2750" spans="1:8" x14ac:dyDescent="0.35">
      <c r="A2750" s="980" t="s">
        <v>3367</v>
      </c>
      <c r="B2750" s="900">
        <v>4.3275607315463593E-2</v>
      </c>
      <c r="D2750" s="900">
        <v>73.31820098098261</v>
      </c>
      <c r="E2750" s="900">
        <v>15.5086647285209</v>
      </c>
      <c r="F2750" s="900">
        <v>1.018134158041291E-2</v>
      </c>
      <c r="G2750" s="900">
        <v>4.0341945315557732E-4</v>
      </c>
      <c r="H2750" s="900">
        <v>2.8909798604246549E-4</v>
      </c>
    </row>
    <row r="2751" spans="1:8" x14ac:dyDescent="0.35">
      <c r="A2751" s="980" t="s">
        <v>4722</v>
      </c>
      <c r="C2751" s="900">
        <v>0</v>
      </c>
    </row>
    <row r="2752" spans="1:8" x14ac:dyDescent="0.35">
      <c r="A2752" s="980" t="s">
        <v>3420</v>
      </c>
      <c r="B2752" s="900">
        <v>2.4179386944512991E-3</v>
      </c>
      <c r="D2752" s="900">
        <v>4.0965090071914094</v>
      </c>
      <c r="E2752" s="900">
        <v>0.8665158705459296</v>
      </c>
      <c r="F2752" s="900">
        <v>5.6886225973100694E-4</v>
      </c>
      <c r="G2752" s="900">
        <v>2.2540261509644961E-5</v>
      </c>
      <c r="H2752" s="900">
        <v>1.6152776363007601E-5</v>
      </c>
    </row>
    <row r="2753" spans="1:8" x14ac:dyDescent="0.35">
      <c r="A2753" s="980" t="s">
        <v>4723</v>
      </c>
      <c r="C2753" s="900">
        <v>0</v>
      </c>
    </row>
    <row r="2754" spans="1:8" x14ac:dyDescent="0.35">
      <c r="A2754" s="980" t="s">
        <v>3520</v>
      </c>
      <c r="B2754" s="900">
        <v>5.4953152146620431E-3</v>
      </c>
      <c r="D2754" s="900">
        <v>9.3102477436168396</v>
      </c>
      <c r="E2754" s="900">
        <v>1.9693542512407489</v>
      </c>
      <c r="F2754" s="900">
        <v>1.292868772115925E-3</v>
      </c>
      <c r="G2754" s="900">
        <v>5.1227867067374913E-5</v>
      </c>
      <c r="H2754" s="900">
        <v>3.6710855370471819E-5</v>
      </c>
    </row>
    <row r="2755" spans="1:8" x14ac:dyDescent="0.35">
      <c r="A2755" s="980" t="s">
        <v>4724</v>
      </c>
      <c r="C2755" s="900">
        <v>0</v>
      </c>
    </row>
    <row r="2756" spans="1:8" x14ac:dyDescent="0.35">
      <c r="A2756" s="980" t="s">
        <v>3463</v>
      </c>
      <c r="B2756" s="900">
        <v>5.577744942881973E-3</v>
      </c>
      <c r="D2756" s="900">
        <v>9.4499014597710911</v>
      </c>
      <c r="E2756" s="900">
        <v>1.9988945650093599</v>
      </c>
      <c r="F2756" s="900">
        <v>1.3122618036976641E-3</v>
      </c>
      <c r="G2756" s="900">
        <v>5.1996285073385533E-5</v>
      </c>
      <c r="H2756" s="900">
        <v>3.7261518201028902E-5</v>
      </c>
    </row>
    <row r="2757" spans="1:8" x14ac:dyDescent="0.35">
      <c r="A2757" s="980" t="s">
        <v>4725</v>
      </c>
      <c r="C2757" s="900">
        <v>0</v>
      </c>
    </row>
    <row r="2758" spans="1:8" x14ac:dyDescent="0.35">
      <c r="A2758" s="980" t="s">
        <v>3588</v>
      </c>
      <c r="B2758" s="900">
        <v>2.1981260858648169E-2</v>
      </c>
      <c r="D2758" s="900">
        <v>37.240990974467358</v>
      </c>
      <c r="E2758" s="900">
        <v>7.8774170049629966</v>
      </c>
      <c r="F2758" s="900">
        <v>5.1714750884636999E-3</v>
      </c>
      <c r="G2758" s="900">
        <v>2.049114682694996E-4</v>
      </c>
      <c r="H2758" s="900">
        <v>1.468434214818873E-4</v>
      </c>
    </row>
    <row r="2759" spans="1:8" x14ac:dyDescent="0.35">
      <c r="A2759" s="980" t="s">
        <v>3654</v>
      </c>
      <c r="C2759" s="900">
        <v>0</v>
      </c>
    </row>
    <row r="2760" spans="1:8" x14ac:dyDescent="0.35">
      <c r="A2760" s="980" t="s">
        <v>3279</v>
      </c>
      <c r="B2760" s="900">
        <v>1.6805669193556791E-2</v>
      </c>
      <c r="C2760" s="900">
        <v>100.7399305384159</v>
      </c>
      <c r="D2760" s="900">
        <v>8.7374122264901644</v>
      </c>
      <c r="E2760" s="900">
        <v>41.423954957230507</v>
      </c>
      <c r="F2760" s="900">
        <v>102.16822561492469</v>
      </c>
      <c r="G2760" s="900">
        <v>67.940119614313545</v>
      </c>
      <c r="H2760" s="900">
        <v>4.2105681649179633E-2</v>
      </c>
    </row>
    <row r="2761" spans="1:8" x14ac:dyDescent="0.35">
      <c r="A2761" s="980" t="s">
        <v>3409</v>
      </c>
      <c r="B2761" s="900">
        <v>2.1007086491945989E-2</v>
      </c>
      <c r="C2761" s="900">
        <v>125.9249131730199</v>
      </c>
      <c r="D2761" s="900">
        <v>10.921765283112711</v>
      </c>
      <c r="E2761" s="900">
        <v>51.779943696538133</v>
      </c>
      <c r="F2761" s="900">
        <v>127.7102820186558</v>
      </c>
      <c r="G2761" s="900">
        <v>84.925149517891924</v>
      </c>
      <c r="H2761" s="900">
        <v>5.2632102061474527E-2</v>
      </c>
    </row>
    <row r="2762" spans="1:8" x14ac:dyDescent="0.35">
      <c r="A2762" s="980" t="s">
        <v>3509</v>
      </c>
      <c r="B2762" s="900">
        <v>1.260425189516759E-2</v>
      </c>
      <c r="C2762" s="900">
        <v>75.554947903811936</v>
      </c>
      <c r="D2762" s="900">
        <v>6.5530591698676224</v>
      </c>
      <c r="E2762" s="900">
        <v>31.067966217922869</v>
      </c>
      <c r="F2762" s="900">
        <v>76.626169211193471</v>
      </c>
      <c r="G2762" s="900">
        <v>50.955089710735137</v>
      </c>
      <c r="H2762" s="900">
        <v>3.1579261236884718E-2</v>
      </c>
    </row>
    <row r="2763" spans="1:8" x14ac:dyDescent="0.35">
      <c r="A2763" s="980" t="s">
        <v>3577</v>
      </c>
      <c r="B2763" s="900">
        <v>8.4028345967783972E-3</v>
      </c>
      <c r="C2763" s="900">
        <v>50.369965269207967</v>
      </c>
      <c r="D2763" s="900">
        <v>4.3687061132450822</v>
      </c>
      <c r="E2763" s="900">
        <v>20.71197747861525</v>
      </c>
      <c r="F2763" s="900">
        <v>51.084112807462333</v>
      </c>
      <c r="G2763" s="900">
        <v>33.970059807156773</v>
      </c>
      <c r="H2763" s="900">
        <v>2.105284082458982E-2</v>
      </c>
    </row>
    <row r="2764" spans="1:8" x14ac:dyDescent="0.35">
      <c r="A2764" s="980" t="s">
        <v>3290</v>
      </c>
      <c r="B2764" s="900">
        <v>216.33621617055539</v>
      </c>
      <c r="C2764" s="900">
        <v>0</v>
      </c>
      <c r="D2764" s="900">
        <v>6.894790469985927</v>
      </c>
      <c r="E2764" s="900">
        <v>20.38925826273822</v>
      </c>
      <c r="F2764" s="900">
        <v>43.231058941267747</v>
      </c>
      <c r="G2764" s="900">
        <v>86.23562614096474</v>
      </c>
      <c r="H2764" s="900">
        <v>216.37194224837799</v>
      </c>
    </row>
    <row r="2765" spans="1:8" x14ac:dyDescent="0.35">
      <c r="A2765" s="980" t="s">
        <v>3416</v>
      </c>
      <c r="B2765" s="900">
        <v>246.08244589400681</v>
      </c>
      <c r="D2765" s="900">
        <v>7.842824159608992</v>
      </c>
      <c r="E2765" s="900">
        <v>23.192781273864721</v>
      </c>
      <c r="F2765" s="900">
        <v>49.175329545692058</v>
      </c>
      <c r="G2765" s="900">
        <v>98.093024735347385</v>
      </c>
      <c r="H2765" s="900">
        <v>246.12308430753001</v>
      </c>
    </row>
    <row r="2766" spans="1:8" x14ac:dyDescent="0.35">
      <c r="A2766" s="980" t="s">
        <v>4726</v>
      </c>
      <c r="C2766" s="900">
        <v>0</v>
      </c>
    </row>
    <row r="2767" spans="1:8" x14ac:dyDescent="0.35">
      <c r="A2767" s="980" t="s">
        <v>3516</v>
      </c>
      <c r="B2767" s="900">
        <v>54.084054042638861</v>
      </c>
      <c r="D2767" s="900">
        <v>1.723697617496482</v>
      </c>
      <c r="E2767" s="900">
        <v>5.0973145656845551</v>
      </c>
      <c r="F2767" s="900">
        <v>10.80776473531694</v>
      </c>
      <c r="G2767" s="900">
        <v>21.558906535241189</v>
      </c>
      <c r="H2767" s="900">
        <v>54.092985562094498</v>
      </c>
    </row>
    <row r="2768" spans="1:8" x14ac:dyDescent="0.35">
      <c r="A2768" s="980" t="s">
        <v>4727</v>
      </c>
      <c r="C2768" s="900">
        <v>0</v>
      </c>
    </row>
    <row r="2769" spans="1:8" x14ac:dyDescent="0.35">
      <c r="A2769" s="980" t="s">
        <v>3584</v>
      </c>
      <c r="B2769" s="900">
        <v>216.33621617055539</v>
      </c>
      <c r="D2769" s="900">
        <v>6.894790469985927</v>
      </c>
      <c r="E2769" s="900">
        <v>20.38925826273822</v>
      </c>
      <c r="F2769" s="900">
        <v>43.231058941267747</v>
      </c>
      <c r="G2769" s="900">
        <v>86.23562614096474</v>
      </c>
      <c r="H2769" s="900">
        <v>216.37194224837799</v>
      </c>
    </row>
    <row r="2770" spans="1:8" x14ac:dyDescent="0.35">
      <c r="A2770" s="980" t="s">
        <v>3650</v>
      </c>
      <c r="C2770" s="900">
        <v>0</v>
      </c>
    </row>
    <row r="2771" spans="1:8" x14ac:dyDescent="0.35">
      <c r="A2771" s="980" t="s">
        <v>3281</v>
      </c>
      <c r="B2771" s="900">
        <v>7.7067472186326032E-3</v>
      </c>
      <c r="C2771" s="900">
        <v>135.77993057958619</v>
      </c>
      <c r="D2771" s="900">
        <v>133.01944751603921</v>
      </c>
      <c r="E2771" s="900">
        <v>23.051283741744381</v>
      </c>
      <c r="F2771" s="900">
        <v>2.9644790502978768</v>
      </c>
      <c r="G2771" s="900">
        <v>0.34336818086213539</v>
      </c>
      <c r="H2771" s="900">
        <v>3.1265421883517812E-5</v>
      </c>
    </row>
    <row r="2772" spans="1:8" x14ac:dyDescent="0.35">
      <c r="A2772" s="980" t="s">
        <v>3359</v>
      </c>
      <c r="B2772" s="900">
        <v>2.023021144891058E-2</v>
      </c>
      <c r="C2772" s="900">
        <v>356.42231777141382</v>
      </c>
      <c r="D2772" s="900">
        <v>349.17604972960282</v>
      </c>
      <c r="E2772" s="900">
        <v>60.509619822078989</v>
      </c>
      <c r="F2772" s="900">
        <v>7.7817575070319274</v>
      </c>
      <c r="G2772" s="900">
        <v>0.90134147476310544</v>
      </c>
      <c r="H2772" s="900">
        <v>8.2071732444234245E-5</v>
      </c>
    </row>
    <row r="2773" spans="1:8" x14ac:dyDescent="0.35">
      <c r="A2773" s="980" t="s">
        <v>3510</v>
      </c>
      <c r="B2773" s="900">
        <v>5.780060413974452E-3</v>
      </c>
      <c r="C2773" s="900">
        <v>101.83494793468959</v>
      </c>
      <c r="D2773" s="900">
        <v>99.764585637029356</v>
      </c>
      <c r="E2773" s="900">
        <v>17.288462806308281</v>
      </c>
      <c r="F2773" s="900">
        <v>2.2233592877234072</v>
      </c>
      <c r="G2773" s="900">
        <v>0.25752613564660148</v>
      </c>
      <c r="H2773" s="900">
        <v>2.3449066412638351E-5</v>
      </c>
    </row>
    <row r="2774" spans="1:8" x14ac:dyDescent="0.35">
      <c r="A2774" s="980" t="s">
        <v>3578</v>
      </c>
      <c r="B2774" s="900">
        <v>3.8533736093163021E-3</v>
      </c>
      <c r="C2774" s="900">
        <v>67.889965289793096</v>
      </c>
      <c r="D2774" s="900">
        <v>66.509723758019589</v>
      </c>
      <c r="E2774" s="900">
        <v>11.525641870872191</v>
      </c>
      <c r="F2774" s="900">
        <v>1.482239525148938</v>
      </c>
      <c r="G2774" s="900">
        <v>0.17168409043106769</v>
      </c>
      <c r="H2774" s="900">
        <v>1.5632710941758899E-5</v>
      </c>
    </row>
    <row r="2775" spans="1:8" x14ac:dyDescent="0.35">
      <c r="A2775" s="980" t="s">
        <v>3292</v>
      </c>
      <c r="B2775" s="900">
        <v>2.333246448617796E-2</v>
      </c>
      <c r="C2775" s="900">
        <v>0</v>
      </c>
      <c r="D2775" s="900">
        <v>42.516704911620323</v>
      </c>
      <c r="E2775" s="900">
        <v>91.974835314372243</v>
      </c>
      <c r="F2775" s="900">
        <v>31.9271366262595</v>
      </c>
      <c r="G2775" s="900">
        <v>39.192339503663902</v>
      </c>
      <c r="H2775" s="900">
        <v>6.7339687829217959E-4</v>
      </c>
    </row>
    <row r="2776" spans="1:8" x14ac:dyDescent="0.35">
      <c r="A2776" s="980" t="s">
        <v>3364</v>
      </c>
      <c r="B2776" s="900">
        <v>5.3897992963071087E-2</v>
      </c>
      <c r="D2776" s="900">
        <v>98.213588345842936</v>
      </c>
      <c r="E2776" s="900">
        <v>212.46186957619989</v>
      </c>
      <c r="F2776" s="900">
        <v>73.751685606659436</v>
      </c>
      <c r="G2776" s="900">
        <v>90.534304253463574</v>
      </c>
      <c r="H2776" s="900">
        <v>1.555546788854935E-3</v>
      </c>
    </row>
    <row r="2777" spans="1:8" x14ac:dyDescent="0.35">
      <c r="A2777" s="980" t="s">
        <v>4728</v>
      </c>
      <c r="C2777" s="900">
        <v>0</v>
      </c>
    </row>
    <row r="2778" spans="1:8" x14ac:dyDescent="0.35">
      <c r="A2778" s="980" t="s">
        <v>3517</v>
      </c>
      <c r="B2778" s="900">
        <v>5.8331161215444899E-3</v>
      </c>
      <c r="D2778" s="900">
        <v>10.629176227905081</v>
      </c>
      <c r="E2778" s="900">
        <v>22.993708828593061</v>
      </c>
      <c r="F2778" s="900">
        <v>7.9817841565648742</v>
      </c>
      <c r="G2778" s="900">
        <v>9.7980848759159738</v>
      </c>
      <c r="H2778" s="900">
        <v>1.683492195730449E-4</v>
      </c>
    </row>
    <row r="2779" spans="1:8" x14ac:dyDescent="0.35">
      <c r="A2779" s="980" t="s">
        <v>4729</v>
      </c>
      <c r="C2779" s="900">
        <v>0</v>
      </c>
    </row>
    <row r="2780" spans="1:8" x14ac:dyDescent="0.35">
      <c r="A2780" s="980" t="s">
        <v>3585</v>
      </c>
      <c r="B2780" s="900">
        <v>2.333246448617796E-2</v>
      </c>
      <c r="D2780" s="900">
        <v>42.516704911620323</v>
      </c>
      <c r="E2780" s="900">
        <v>91.974835314372243</v>
      </c>
      <c r="F2780" s="900">
        <v>31.9271366262595</v>
      </c>
      <c r="G2780" s="900">
        <v>39.192339503663902</v>
      </c>
      <c r="H2780" s="900">
        <v>6.7339687829217959E-4</v>
      </c>
    </row>
    <row r="2781" spans="1:8" x14ac:dyDescent="0.35">
      <c r="A2781" s="980" t="s">
        <v>3651</v>
      </c>
      <c r="C2781" s="900">
        <v>0</v>
      </c>
    </row>
    <row r="2782" spans="1:8" x14ac:dyDescent="0.35">
      <c r="A2782" s="980" t="s">
        <v>3284</v>
      </c>
      <c r="B2782" s="900">
        <v>8.032697073637976E-3</v>
      </c>
      <c r="C2782" s="900">
        <v>0</v>
      </c>
      <c r="D2782" s="900">
        <v>17.610134079780831</v>
      </c>
      <c r="E2782" s="900">
        <v>3.8741717682995769</v>
      </c>
      <c r="F2782" s="900">
        <v>1.6947047622451869E-3</v>
      </c>
      <c r="G2782" s="900">
        <v>1.3015419051641029E-4</v>
      </c>
      <c r="H2782" s="900">
        <v>3.3201658670847251E-5</v>
      </c>
    </row>
    <row r="2783" spans="1:8" x14ac:dyDescent="0.35">
      <c r="A2783" s="980" t="s">
        <v>3360</v>
      </c>
      <c r="B2783" s="900">
        <v>1.897724683646972E-2</v>
      </c>
      <c r="D2783" s="900">
        <v>41.603941763482212</v>
      </c>
      <c r="E2783" s="900">
        <v>9.152730802607751</v>
      </c>
      <c r="F2783" s="900">
        <v>4.0037400008042547E-3</v>
      </c>
      <c r="G2783" s="900">
        <v>3.0748927509501928E-4</v>
      </c>
      <c r="H2783" s="900">
        <v>7.8438918609876625E-5</v>
      </c>
    </row>
    <row r="2784" spans="1:8" x14ac:dyDescent="0.35">
      <c r="A2784" s="980" t="s">
        <v>4730</v>
      </c>
      <c r="C2784" s="900">
        <v>0</v>
      </c>
    </row>
    <row r="2785" spans="1:8" x14ac:dyDescent="0.35">
      <c r="A2785" s="980" t="s">
        <v>3410</v>
      </c>
      <c r="B2785" s="900">
        <v>1.004087134204747E-3</v>
      </c>
      <c r="D2785" s="900">
        <v>2.2012667599726039</v>
      </c>
      <c r="E2785" s="900">
        <v>0.48427147103744722</v>
      </c>
      <c r="F2785" s="900">
        <v>2.1183809528064839E-4</v>
      </c>
      <c r="G2785" s="900">
        <v>1.626927381455129E-5</v>
      </c>
      <c r="H2785" s="900">
        <v>4.1502073338559064E-6</v>
      </c>
    </row>
    <row r="2786" spans="1:8" x14ac:dyDescent="0.35">
      <c r="A2786" s="980" t="s">
        <v>4731</v>
      </c>
      <c r="C2786" s="900">
        <v>0</v>
      </c>
    </row>
    <row r="2787" spans="1:8" x14ac:dyDescent="0.35">
      <c r="A2787" s="980" t="s">
        <v>3511</v>
      </c>
      <c r="B2787" s="900">
        <v>6.0245228052284812E-3</v>
      </c>
      <c r="D2787" s="900">
        <v>13.207600559835621</v>
      </c>
      <c r="E2787" s="900">
        <v>2.905628826224683</v>
      </c>
      <c r="F2787" s="900">
        <v>1.2710285716838899E-3</v>
      </c>
      <c r="G2787" s="900">
        <v>9.7615642887307727E-5</v>
      </c>
      <c r="H2787" s="900">
        <v>2.490124400313543E-5</v>
      </c>
    </row>
    <row r="2788" spans="1:8" x14ac:dyDescent="0.35">
      <c r="A2788" s="980" t="s">
        <v>4732</v>
      </c>
      <c r="C2788" s="900">
        <v>0</v>
      </c>
    </row>
    <row r="2789" spans="1:8" x14ac:dyDescent="0.35">
      <c r="A2789" s="980" t="s">
        <v>3579</v>
      </c>
      <c r="B2789" s="900">
        <v>4.016348536818988E-3</v>
      </c>
      <c r="D2789" s="900">
        <v>8.8050670398904156</v>
      </c>
      <c r="E2789" s="900">
        <v>1.9370858841497891</v>
      </c>
      <c r="F2789" s="900">
        <v>8.4735238112259356E-4</v>
      </c>
      <c r="G2789" s="900">
        <v>6.507709525820516E-5</v>
      </c>
      <c r="H2789" s="900">
        <v>1.6600829335423629E-5</v>
      </c>
    </row>
    <row r="2790" spans="1:8" x14ac:dyDescent="0.35">
      <c r="A2790" s="980" t="s">
        <v>3645</v>
      </c>
      <c r="C2790" s="900">
        <v>0</v>
      </c>
    </row>
    <row r="2791" spans="1:8" x14ac:dyDescent="0.35">
      <c r="A2791" s="980" t="s">
        <v>3294</v>
      </c>
      <c r="B2791" s="900">
        <v>2.5102410334580289E-2</v>
      </c>
      <c r="C2791" s="900">
        <v>0</v>
      </c>
      <c r="D2791" s="900">
        <v>42.37850442685076</v>
      </c>
      <c r="E2791" s="900">
        <v>91.975126026590743</v>
      </c>
      <c r="F2791" s="900">
        <v>108.2055378001951</v>
      </c>
      <c r="G2791" s="900">
        <v>109.4969008500311</v>
      </c>
      <c r="H2791" s="900">
        <v>0.1247253495988165</v>
      </c>
    </row>
    <row r="2792" spans="1:8" x14ac:dyDescent="0.35">
      <c r="A2792" s="980" t="s">
        <v>3365</v>
      </c>
      <c r="B2792" s="900">
        <v>5.2181635483008783E-2</v>
      </c>
      <c r="D2792" s="900">
        <v>88.094316077316009</v>
      </c>
      <c r="E2792" s="900">
        <v>191.19329322777551</v>
      </c>
      <c r="F2792" s="900">
        <v>224.9322617021555</v>
      </c>
      <c r="G2792" s="900">
        <v>227.61668264200199</v>
      </c>
      <c r="H2792" s="900">
        <v>0.25927282047853972</v>
      </c>
    </row>
    <row r="2793" spans="1:8" x14ac:dyDescent="0.35">
      <c r="A2793" s="980" t="s">
        <v>4733</v>
      </c>
      <c r="C2793" s="900">
        <v>0</v>
      </c>
    </row>
    <row r="2794" spans="1:8" x14ac:dyDescent="0.35">
      <c r="A2794" s="980" t="s">
        <v>3417</v>
      </c>
      <c r="B2794" s="900">
        <v>2.7612651368038319E-3</v>
      </c>
      <c r="D2794" s="900">
        <v>4.6616354869535828</v>
      </c>
      <c r="E2794" s="900">
        <v>10.117263862924981</v>
      </c>
      <c r="F2794" s="900">
        <v>11.902609158021461</v>
      </c>
      <c r="G2794" s="900">
        <v>12.044659093503411</v>
      </c>
      <c r="H2794" s="900">
        <v>1.3719788455869811E-2</v>
      </c>
    </row>
    <row r="2795" spans="1:8" x14ac:dyDescent="0.35">
      <c r="A2795" s="980" t="s">
        <v>4734</v>
      </c>
      <c r="C2795" s="900">
        <v>0</v>
      </c>
    </row>
    <row r="2796" spans="1:8" x14ac:dyDescent="0.35">
      <c r="A2796" s="980" t="s">
        <v>3518</v>
      </c>
      <c r="B2796" s="900">
        <v>6.2756025836450732E-3</v>
      </c>
      <c r="D2796" s="900">
        <v>10.59462610671269</v>
      </c>
      <c r="E2796" s="900">
        <v>22.993781506647689</v>
      </c>
      <c r="F2796" s="900">
        <v>27.051384450048769</v>
      </c>
      <c r="G2796" s="900">
        <v>27.374225212507771</v>
      </c>
      <c r="H2796" s="900">
        <v>3.118133739970411E-2</v>
      </c>
    </row>
    <row r="2797" spans="1:8" x14ac:dyDescent="0.35">
      <c r="A2797" s="980" t="s">
        <v>4735</v>
      </c>
      <c r="C2797" s="900">
        <v>0</v>
      </c>
    </row>
    <row r="2798" spans="1:8" x14ac:dyDescent="0.35">
      <c r="A2798" s="980" t="s">
        <v>3586</v>
      </c>
      <c r="B2798" s="900">
        <v>2.5102410334580289E-2</v>
      </c>
      <c r="D2798" s="900">
        <v>42.37850442685076</v>
      </c>
      <c r="E2798" s="900">
        <v>91.975126026590743</v>
      </c>
      <c r="F2798" s="900">
        <v>108.2055378001951</v>
      </c>
      <c r="G2798" s="900">
        <v>109.4969008500311</v>
      </c>
      <c r="H2798" s="900">
        <v>0.1247253495988165</v>
      </c>
    </row>
    <row r="2799" spans="1:8" x14ac:dyDescent="0.35">
      <c r="A2799" s="980" t="s">
        <v>3652</v>
      </c>
      <c r="C2799" s="900">
        <v>0</v>
      </c>
    </row>
    <row r="2800" spans="1:8" x14ac:dyDescent="0.35">
      <c r="A2800" s="980" t="s">
        <v>3287</v>
      </c>
      <c r="B2800" s="900">
        <v>6.4610973037098184E-3</v>
      </c>
      <c r="C2800" s="900">
        <v>0</v>
      </c>
      <c r="D2800" s="900">
        <v>0.54125825750428935</v>
      </c>
      <c r="E2800" s="900">
        <v>1.183775115640062E-3</v>
      </c>
      <c r="F2800" s="900">
        <v>7.9937912645642597E-4</v>
      </c>
      <c r="G2800" s="900">
        <v>6.5009762844448336E-5</v>
      </c>
      <c r="H2800" s="900">
        <v>2.6929573792904781E-5</v>
      </c>
    </row>
    <row r="2801" spans="1:8" x14ac:dyDescent="0.35">
      <c r="A2801" s="980" t="s">
        <v>3414</v>
      </c>
      <c r="B2801" s="900">
        <v>2.3340714009651722E-3</v>
      </c>
      <c r="D2801" s="900">
        <v>0.1955295455234245</v>
      </c>
      <c r="E2801" s="900">
        <v>4.276387605249722E-4</v>
      </c>
      <c r="F2801" s="900">
        <v>2.8877570943238378E-4</v>
      </c>
      <c r="G2801" s="900">
        <v>2.348477682755696E-5</v>
      </c>
      <c r="H2801" s="900">
        <v>9.7283085326868503E-6</v>
      </c>
    </row>
    <row r="2802" spans="1:8" x14ac:dyDescent="0.35">
      <c r="A2802" s="980" t="s">
        <v>4736</v>
      </c>
      <c r="C2802" s="900">
        <v>0</v>
      </c>
    </row>
    <row r="2803" spans="1:8" x14ac:dyDescent="0.35">
      <c r="A2803" s="980" t="s">
        <v>3514</v>
      </c>
      <c r="B2803" s="900">
        <v>4.8458229777823634E-3</v>
      </c>
      <c r="D2803" s="900">
        <v>0.40594369312821688</v>
      </c>
      <c r="E2803" s="900">
        <v>8.8783133673004603E-4</v>
      </c>
      <c r="F2803" s="900">
        <v>5.995343448423194E-4</v>
      </c>
      <c r="G2803" s="900">
        <v>4.8757322133336242E-5</v>
      </c>
      <c r="H2803" s="900">
        <v>2.0197180344678579E-5</v>
      </c>
    </row>
    <row r="2804" spans="1:8" x14ac:dyDescent="0.35">
      <c r="A2804" s="980" t="s">
        <v>4737</v>
      </c>
      <c r="C2804" s="900">
        <v>0</v>
      </c>
    </row>
    <row r="2805" spans="1:8" x14ac:dyDescent="0.35">
      <c r="A2805" s="980" t="s">
        <v>3459</v>
      </c>
      <c r="B2805" s="900">
        <v>1.8656418464462102E-2</v>
      </c>
      <c r="D2805" s="900">
        <v>1.5628832185436361</v>
      </c>
      <c r="E2805" s="900">
        <v>3.418150646410678E-3</v>
      </c>
      <c r="F2805" s="900">
        <v>2.3082072276429302E-3</v>
      </c>
      <c r="G2805" s="900">
        <v>1.877156902133446E-4</v>
      </c>
      <c r="H2805" s="900">
        <v>7.7759144327012552E-5</v>
      </c>
    </row>
    <row r="2806" spans="1:8" x14ac:dyDescent="0.35">
      <c r="A2806" s="980" t="s">
        <v>4738</v>
      </c>
      <c r="C2806" s="900">
        <v>0</v>
      </c>
    </row>
    <row r="2807" spans="1:8" x14ac:dyDescent="0.35">
      <c r="A2807" s="980" t="s">
        <v>3582</v>
      </c>
      <c r="B2807" s="900">
        <v>3.2305486518549092E-3</v>
      </c>
      <c r="D2807" s="900">
        <v>0.27062912875214468</v>
      </c>
      <c r="E2807" s="900">
        <v>5.9188755782003076E-4</v>
      </c>
      <c r="F2807" s="900">
        <v>3.9968956322821298E-4</v>
      </c>
      <c r="G2807" s="900">
        <v>3.2504881422224168E-5</v>
      </c>
      <c r="H2807" s="900">
        <v>1.346478689645239E-5</v>
      </c>
    </row>
    <row r="2808" spans="1:8" x14ac:dyDescent="0.35">
      <c r="A2808" s="980" t="s">
        <v>3648</v>
      </c>
      <c r="C2808" s="900">
        <v>0</v>
      </c>
    </row>
    <row r="2809" spans="1:8" x14ac:dyDescent="0.35">
      <c r="A2809" s="980" t="s">
        <v>3305</v>
      </c>
      <c r="B2809" s="900">
        <v>1.6649255179219179E-2</v>
      </c>
      <c r="C2809" s="900">
        <v>0</v>
      </c>
      <c r="D2809" s="900">
        <v>0.67213848197071668</v>
      </c>
      <c r="E2809" s="900">
        <v>1.6379061210700951E-3</v>
      </c>
      <c r="F2809" s="900">
        <v>1.410360958282615E-3</v>
      </c>
      <c r="G2809" s="900">
        <v>8.8740030287581275E-5</v>
      </c>
      <c r="H2809" s="900">
        <v>9.8615988970932359E-5</v>
      </c>
    </row>
    <row r="2810" spans="1:8" x14ac:dyDescent="0.35">
      <c r="A2810" s="980" t="s">
        <v>3421</v>
      </c>
      <c r="B2810" s="900">
        <v>5.3069500883761124E-3</v>
      </c>
      <c r="D2810" s="900">
        <v>0.21424414112816589</v>
      </c>
      <c r="E2810" s="900">
        <v>5.2208257609109268E-4</v>
      </c>
      <c r="F2810" s="900">
        <v>4.4955255545258359E-4</v>
      </c>
      <c r="G2810" s="900">
        <v>2.8285884654166529E-5</v>
      </c>
      <c r="H2810" s="900">
        <v>3.1433846484484688E-5</v>
      </c>
    </row>
    <row r="2811" spans="1:8" x14ac:dyDescent="0.35">
      <c r="A2811" s="980" t="s">
        <v>4739</v>
      </c>
      <c r="C2811" s="900">
        <v>0</v>
      </c>
    </row>
    <row r="2812" spans="1:8" x14ac:dyDescent="0.35">
      <c r="A2812" s="980" t="s">
        <v>3521</v>
      </c>
      <c r="B2812" s="900">
        <v>4.162313794804794E-3</v>
      </c>
      <c r="D2812" s="900">
        <v>0.1680346204926792</v>
      </c>
      <c r="E2812" s="900">
        <v>4.0947653026752372E-4</v>
      </c>
      <c r="F2812" s="900">
        <v>3.5259023957065391E-4</v>
      </c>
      <c r="G2812" s="900">
        <v>2.2185007571895319E-5</v>
      </c>
      <c r="H2812" s="900">
        <v>2.465399724273309E-5</v>
      </c>
    </row>
    <row r="2813" spans="1:8" x14ac:dyDescent="0.35">
      <c r="A2813" s="980" t="s">
        <v>4740</v>
      </c>
      <c r="C2813" s="900">
        <v>0</v>
      </c>
    </row>
    <row r="2814" spans="1:8" x14ac:dyDescent="0.35">
      <c r="A2814" s="980" t="s">
        <v>3462</v>
      </c>
      <c r="B2814" s="900">
        <v>4.3745917983398393E-2</v>
      </c>
      <c r="D2814" s="900">
        <v>1.766043861378058</v>
      </c>
      <c r="E2814" s="900">
        <v>4.3035983331116733E-3</v>
      </c>
      <c r="F2814" s="900">
        <v>3.7057234178875719E-3</v>
      </c>
      <c r="G2814" s="900">
        <v>2.3316442958061981E-4</v>
      </c>
      <c r="H2814" s="900">
        <v>2.5911351102112477E-4</v>
      </c>
    </row>
    <row r="2815" spans="1:8" x14ac:dyDescent="0.35">
      <c r="A2815" s="980" t="s">
        <v>4741</v>
      </c>
      <c r="C2815" s="900">
        <v>0</v>
      </c>
    </row>
    <row r="2816" spans="1:8" x14ac:dyDescent="0.35">
      <c r="A2816" s="980" t="s">
        <v>3589</v>
      </c>
      <c r="B2816" s="900">
        <v>1.6649255179219179E-2</v>
      </c>
      <c r="D2816" s="900">
        <v>0.67213848197071668</v>
      </c>
      <c r="E2816" s="900">
        <v>1.6379061210700951E-3</v>
      </c>
      <c r="F2816" s="900">
        <v>1.410360958282615E-3</v>
      </c>
      <c r="G2816" s="900">
        <v>8.8740030287581275E-5</v>
      </c>
      <c r="H2816" s="900">
        <v>9.8615988970932359E-5</v>
      </c>
    </row>
    <row r="2817" spans="1:8" x14ac:dyDescent="0.35">
      <c r="A2817" s="980" t="s">
        <v>3655</v>
      </c>
      <c r="C2817" s="900">
        <v>0</v>
      </c>
    </row>
    <row r="2818" spans="1:8" x14ac:dyDescent="0.35">
      <c r="A2818" s="980" t="s">
        <v>3285</v>
      </c>
      <c r="B2818" s="900">
        <v>8.1369783749473696E-3</v>
      </c>
      <c r="C2818" s="900">
        <v>135.77993055619521</v>
      </c>
      <c r="D2818" s="900">
        <v>33.956776239187413</v>
      </c>
      <c r="E2818" s="900">
        <v>1.298264740867731</v>
      </c>
      <c r="F2818" s="900">
        <v>0.14599182752768669</v>
      </c>
      <c r="G2818" s="900">
        <v>1.2263753023629439E-4</v>
      </c>
      <c r="H2818" s="900">
        <v>3.4101686383821211E-5</v>
      </c>
    </row>
    <row r="2819" spans="1:8" x14ac:dyDescent="0.35">
      <c r="A2819" s="980" t="s">
        <v>3361</v>
      </c>
      <c r="B2819" s="900">
        <v>1.7138510702232899E-2</v>
      </c>
      <c r="C2819" s="900">
        <v>285.98647873398602</v>
      </c>
      <c r="D2819" s="900">
        <v>71.521459953788451</v>
      </c>
      <c r="E2819" s="900">
        <v>2.734470110452659</v>
      </c>
      <c r="F2819" s="900">
        <v>0.30749528673019022</v>
      </c>
      <c r="G2819" s="900">
        <v>2.5830529806019498E-4</v>
      </c>
      <c r="H2819" s="900">
        <v>7.1826676945923416E-5</v>
      </c>
    </row>
    <row r="2820" spans="1:8" x14ac:dyDescent="0.35">
      <c r="A2820" s="980" t="s">
        <v>3412</v>
      </c>
      <c r="B2820" s="900">
        <v>3.509071924196052E-3</v>
      </c>
      <c r="C2820" s="900">
        <v>58.55509505235915</v>
      </c>
      <c r="D2820" s="900">
        <v>14.64385975314956</v>
      </c>
      <c r="E2820" s="900">
        <v>0.559876669499209</v>
      </c>
      <c r="F2820" s="900">
        <v>6.2958975621314889E-2</v>
      </c>
      <c r="G2820" s="900">
        <v>5.2887434914401947E-5</v>
      </c>
      <c r="H2820" s="900">
        <v>1.4706352253022889E-5</v>
      </c>
    </row>
    <row r="2821" spans="1:8" x14ac:dyDescent="0.35">
      <c r="A2821" s="980" t="s">
        <v>3512</v>
      </c>
      <c r="B2821" s="900">
        <v>6.1027337812105259E-3</v>
      </c>
      <c r="C2821" s="900">
        <v>101.83494791714639</v>
      </c>
      <c r="D2821" s="900">
        <v>25.467582179390551</v>
      </c>
      <c r="E2821" s="900">
        <v>0.97369855565079821</v>
      </c>
      <c r="F2821" s="900">
        <v>0.109493870645765</v>
      </c>
      <c r="G2821" s="900">
        <v>9.1978147677220773E-5</v>
      </c>
      <c r="H2821" s="900">
        <v>2.5576264787865899E-5</v>
      </c>
    </row>
    <row r="2822" spans="1:8" x14ac:dyDescent="0.35">
      <c r="A2822" s="980" t="s">
        <v>3580</v>
      </c>
      <c r="B2822" s="900">
        <v>4.0684891874736848E-3</v>
      </c>
      <c r="C2822" s="900">
        <v>67.889965278097577</v>
      </c>
      <c r="D2822" s="900">
        <v>16.978388119593699</v>
      </c>
      <c r="E2822" s="900">
        <v>0.64913237043386562</v>
      </c>
      <c r="F2822" s="900">
        <v>7.2995913763843373E-2</v>
      </c>
      <c r="G2822" s="900">
        <v>6.1318765118147195E-5</v>
      </c>
      <c r="H2822" s="900">
        <v>1.7050843191910609E-5</v>
      </c>
    </row>
    <row r="2823" spans="1:8" x14ac:dyDescent="0.35">
      <c r="A2823" s="980" t="s">
        <v>3298</v>
      </c>
      <c r="B2823" s="900">
        <v>2.236897750036887E-2</v>
      </c>
      <c r="C2823" s="900">
        <v>0</v>
      </c>
      <c r="D2823" s="900">
        <v>41.131708712984363</v>
      </c>
      <c r="E2823" s="900">
        <v>66.160463606206008</v>
      </c>
      <c r="F2823" s="900">
        <v>10.984378874373821</v>
      </c>
      <c r="G2823" s="900">
        <v>2.5844660488938398E-4</v>
      </c>
      <c r="H2823" s="900">
        <v>1.609129203924709E-4</v>
      </c>
    </row>
    <row r="2824" spans="1:8" x14ac:dyDescent="0.35">
      <c r="A2824" s="980" t="s">
        <v>3366</v>
      </c>
      <c r="B2824" s="900">
        <v>4.0208237056913038E-2</v>
      </c>
      <c r="D2824" s="900">
        <v>73.934246411589385</v>
      </c>
      <c r="E2824" s="900">
        <v>118.9234333321553</v>
      </c>
      <c r="F2824" s="900">
        <v>19.744421026686929</v>
      </c>
      <c r="G2824" s="900">
        <v>4.6455777228866758E-4</v>
      </c>
      <c r="H2824" s="900">
        <v>2.8924097440546638E-4</v>
      </c>
    </row>
    <row r="2825" spans="1:8" x14ac:dyDescent="0.35">
      <c r="A2825" s="980" t="s">
        <v>4742</v>
      </c>
      <c r="C2825" s="900">
        <v>0</v>
      </c>
    </row>
    <row r="2826" spans="1:8" x14ac:dyDescent="0.35">
      <c r="A2826" s="980" t="s">
        <v>3419</v>
      </c>
      <c r="B2826" s="900">
        <v>8.5002114501401705E-3</v>
      </c>
      <c r="D2826" s="900">
        <v>15.63004931093406</v>
      </c>
      <c r="E2826" s="900">
        <v>25.140976170358279</v>
      </c>
      <c r="F2826" s="900">
        <v>4.1740639722620489</v>
      </c>
      <c r="G2826" s="900">
        <v>9.82097098579659E-5</v>
      </c>
      <c r="H2826" s="900">
        <v>6.1146909749138951E-5</v>
      </c>
    </row>
    <row r="2827" spans="1:8" x14ac:dyDescent="0.35">
      <c r="A2827" s="980" t="s">
        <v>4743</v>
      </c>
      <c r="C2827" s="900">
        <v>0</v>
      </c>
    </row>
    <row r="2828" spans="1:8" x14ac:dyDescent="0.35">
      <c r="A2828" s="980" t="s">
        <v>3519</v>
      </c>
      <c r="B2828" s="900">
        <v>5.5922443750922183E-3</v>
      </c>
      <c r="D2828" s="900">
        <v>10.282927178246091</v>
      </c>
      <c r="E2828" s="900">
        <v>16.540115901551498</v>
      </c>
      <c r="F2828" s="900">
        <v>2.7460947185934539</v>
      </c>
      <c r="G2828" s="900">
        <v>6.4611651222345996E-5</v>
      </c>
      <c r="H2828" s="900">
        <v>4.0228230098117733E-5</v>
      </c>
    </row>
    <row r="2829" spans="1:8" x14ac:dyDescent="0.35">
      <c r="A2829" s="980" t="s">
        <v>4744</v>
      </c>
      <c r="C2829" s="900">
        <v>0</v>
      </c>
    </row>
    <row r="2830" spans="1:8" x14ac:dyDescent="0.35">
      <c r="A2830" s="980" t="s">
        <v>3587</v>
      </c>
      <c r="B2830" s="900">
        <v>2.236897750036887E-2</v>
      </c>
      <c r="D2830" s="900">
        <v>41.131708712984363</v>
      </c>
      <c r="E2830" s="900">
        <v>66.160463606206008</v>
      </c>
      <c r="F2830" s="900">
        <v>10.984378874373821</v>
      </c>
      <c r="G2830" s="900">
        <v>2.5844660488938398E-4</v>
      </c>
      <c r="H2830" s="900">
        <v>1.609129203924709E-4</v>
      </c>
    </row>
    <row r="2831" spans="1:8" x14ac:dyDescent="0.35">
      <c r="A2831" s="980" t="s">
        <v>3653</v>
      </c>
      <c r="C2831" s="900">
        <v>0</v>
      </c>
    </row>
    <row r="2832" spans="1:8" x14ac:dyDescent="0.35">
      <c r="A2832" s="980" t="s">
        <v>3289</v>
      </c>
      <c r="B2832" s="900">
        <v>1.2887933847392711E-2</v>
      </c>
      <c r="C2832" s="900">
        <v>0</v>
      </c>
      <c r="D2832" s="900">
        <v>2.9842114542238991</v>
      </c>
      <c r="E2832" s="900">
        <v>2.5168313322265171E-2</v>
      </c>
      <c r="F2832" s="900">
        <v>10.314290288935331</v>
      </c>
      <c r="G2832" s="900">
        <v>3.4250799711596763E-4</v>
      </c>
      <c r="H2832" s="900">
        <v>7.0934361684574091E-5</v>
      </c>
    </row>
    <row r="2833" spans="1:8" x14ac:dyDescent="0.35">
      <c r="A2833" s="980" t="s">
        <v>3363</v>
      </c>
      <c r="B2833" s="900">
        <v>6.7661652698811714E-3</v>
      </c>
      <c r="D2833" s="900">
        <v>1.566711013467547</v>
      </c>
      <c r="E2833" s="900">
        <v>1.321336449418921E-2</v>
      </c>
      <c r="F2833" s="900">
        <v>5.4150024016910496</v>
      </c>
      <c r="G2833" s="900">
        <v>1.79816698485883E-4</v>
      </c>
      <c r="H2833" s="900">
        <v>3.7240539884401402E-5</v>
      </c>
    </row>
    <row r="2834" spans="1:8" x14ac:dyDescent="0.35">
      <c r="A2834" s="980" t="s">
        <v>4745</v>
      </c>
      <c r="C2834" s="900">
        <v>0</v>
      </c>
    </row>
    <row r="2835" spans="1:8" x14ac:dyDescent="0.35">
      <c r="A2835" s="980" t="s">
        <v>3415</v>
      </c>
      <c r="B2835" s="900">
        <v>1.356455037438082E-2</v>
      </c>
      <c r="D2835" s="900">
        <v>3.140882555570653</v>
      </c>
      <c r="E2835" s="900">
        <v>2.6489649771684089E-2</v>
      </c>
      <c r="F2835" s="900">
        <v>10.855790529104439</v>
      </c>
      <c r="G2835" s="900">
        <v>3.6048966696455587E-4</v>
      </c>
      <c r="H2835" s="900">
        <v>7.4658415673014227E-5</v>
      </c>
    </row>
    <row r="2836" spans="1:8" x14ac:dyDescent="0.35">
      <c r="A2836" s="980" t="s">
        <v>4746</v>
      </c>
      <c r="C2836" s="900">
        <v>0</v>
      </c>
    </row>
    <row r="2837" spans="1:8" x14ac:dyDescent="0.35">
      <c r="A2837" s="980" t="s">
        <v>3515</v>
      </c>
      <c r="B2837" s="900">
        <v>9.6659503855445281E-3</v>
      </c>
      <c r="D2837" s="900">
        <v>2.2381585906679242</v>
      </c>
      <c r="E2837" s="900">
        <v>1.8876234991698871E-2</v>
      </c>
      <c r="F2837" s="900">
        <v>7.7357177167014983</v>
      </c>
      <c r="G2837" s="900">
        <v>2.5688099783697572E-4</v>
      </c>
      <c r="H2837" s="900">
        <v>5.3200771263430561E-5</v>
      </c>
    </row>
    <row r="2838" spans="1:8" x14ac:dyDescent="0.35">
      <c r="A2838" s="980" t="s">
        <v>4747</v>
      </c>
      <c r="C2838" s="900">
        <v>0</v>
      </c>
    </row>
    <row r="2839" spans="1:8" x14ac:dyDescent="0.35">
      <c r="A2839" s="980" t="s">
        <v>3583</v>
      </c>
      <c r="B2839" s="900">
        <v>6.4439669236963527E-3</v>
      </c>
      <c r="D2839" s="900">
        <v>1.4921057271119491</v>
      </c>
      <c r="E2839" s="900">
        <v>1.258415666113258E-2</v>
      </c>
      <c r="F2839" s="900">
        <v>5.1571451444676661</v>
      </c>
      <c r="G2839" s="900">
        <v>1.7125399855798381E-4</v>
      </c>
      <c r="H2839" s="900">
        <v>3.5467180842287052E-5</v>
      </c>
    </row>
    <row r="2840" spans="1:8" x14ac:dyDescent="0.35">
      <c r="A2840" s="980" t="s">
        <v>3649</v>
      </c>
      <c r="C2840" s="900">
        <v>0</v>
      </c>
    </row>
    <row r="2841" spans="1:8" x14ac:dyDescent="0.35">
      <c r="A2841" s="980" t="s">
        <v>3306</v>
      </c>
      <c r="B2841" s="900">
        <v>205.8879773147786</v>
      </c>
      <c r="C2841" s="900">
        <v>0</v>
      </c>
      <c r="D2841" s="900">
        <v>10.31668741481135</v>
      </c>
      <c r="E2841" s="900">
        <v>43.742433219651979</v>
      </c>
      <c r="F2841" s="900">
        <v>91.898494630355813</v>
      </c>
      <c r="G2841" s="900">
        <v>108.690326140233</v>
      </c>
      <c r="H2841" s="900">
        <v>205.85992333261709</v>
      </c>
    </row>
    <row r="2842" spans="1:8" x14ac:dyDescent="0.35">
      <c r="A2842" s="980" t="s">
        <v>3368</v>
      </c>
      <c r="B2842" s="900">
        <v>95.223189508085113</v>
      </c>
      <c r="D2842" s="900">
        <v>4.7714679293502513</v>
      </c>
      <c r="E2842" s="900">
        <v>20.230875364089041</v>
      </c>
      <c r="F2842" s="900">
        <v>42.503053766539558</v>
      </c>
      <c r="G2842" s="900">
        <v>50.269275839857748</v>
      </c>
      <c r="H2842" s="900">
        <v>95.21021454133539</v>
      </c>
    </row>
    <row r="2843" spans="1:8" x14ac:dyDescent="0.35">
      <c r="A2843" s="900" t="s">
        <v>4748</v>
      </c>
      <c r="C2843" s="900">
        <v>0</v>
      </c>
    </row>
    <row r="2844" spans="1:8" x14ac:dyDescent="0.35">
      <c r="A2844" s="900" t="s">
        <v>3422</v>
      </c>
      <c r="B2844" s="900">
        <v>190.4463790161702</v>
      </c>
      <c r="D2844" s="900">
        <v>9.5429358587005026</v>
      </c>
      <c r="E2844" s="900">
        <v>40.461750728178068</v>
      </c>
      <c r="F2844" s="900">
        <v>85.006107533079117</v>
      </c>
      <c r="G2844" s="900">
        <v>100.5385516797155</v>
      </c>
      <c r="H2844" s="900">
        <v>190.42042908267081</v>
      </c>
    </row>
    <row r="2845" spans="1:8" x14ac:dyDescent="0.35">
      <c r="A2845" s="900" t="s">
        <v>4749</v>
      </c>
      <c r="C2845" s="900">
        <v>0</v>
      </c>
    </row>
    <row r="2846" spans="1:8" x14ac:dyDescent="0.35">
      <c r="A2846" s="900" t="s">
        <v>3522</v>
      </c>
      <c r="B2846" s="900">
        <v>51.471994328694663</v>
      </c>
      <c r="D2846" s="900">
        <v>2.5791718537028392</v>
      </c>
      <c r="E2846" s="900">
        <v>10.935608304912989</v>
      </c>
      <c r="F2846" s="900">
        <v>22.97462365758895</v>
      </c>
      <c r="G2846" s="900">
        <v>27.172581535058249</v>
      </c>
      <c r="H2846" s="900">
        <v>51.464980833154272</v>
      </c>
    </row>
    <row r="2847" spans="1:8" x14ac:dyDescent="0.35">
      <c r="A2847" s="900" t="s">
        <v>4750</v>
      </c>
      <c r="C2847" s="900">
        <v>0</v>
      </c>
    </row>
    <row r="2848" spans="1:8" x14ac:dyDescent="0.35">
      <c r="A2848" s="900" t="s">
        <v>3590</v>
      </c>
      <c r="B2848" s="900">
        <v>205.8879773147786</v>
      </c>
      <c r="D2848" s="900">
        <v>10.31668741481135</v>
      </c>
      <c r="E2848" s="900">
        <v>43.742433219651979</v>
      </c>
      <c r="F2848" s="900">
        <v>91.898494630355813</v>
      </c>
      <c r="G2848" s="900">
        <v>108.690326140233</v>
      </c>
      <c r="H2848" s="900">
        <v>205.85992333261709</v>
      </c>
    </row>
    <row r="2849" spans="1:8" x14ac:dyDescent="0.35">
      <c r="A2849" s="900" t="s">
        <v>3656</v>
      </c>
      <c r="C2849" s="900">
        <v>0</v>
      </c>
    </row>
    <row r="2850" spans="1:8" x14ac:dyDescent="0.35">
      <c r="A2850" s="900" t="s">
        <v>3196</v>
      </c>
      <c r="B2850" s="900">
        <v>1.163640525708862E-2</v>
      </c>
      <c r="C2850" s="900">
        <v>0</v>
      </c>
      <c r="D2850" s="900">
        <v>7.9592529080201233</v>
      </c>
      <c r="E2850" s="900">
        <v>7.7612151823239278E-3</v>
      </c>
      <c r="F2850" s="900">
        <v>2.9727282861527859E-3</v>
      </c>
      <c r="G2850" s="900">
        <v>3.5872091794846538E-4</v>
      </c>
      <c r="H2850" s="900">
        <v>3.4321616938606618E-5</v>
      </c>
    </row>
    <row r="2851" spans="1:8" x14ac:dyDescent="0.35">
      <c r="A2851" s="900" t="s">
        <v>3342</v>
      </c>
      <c r="B2851" s="900">
        <v>1.475259513949541E-2</v>
      </c>
      <c r="D2851" s="900">
        <v>10.090713856269581</v>
      </c>
      <c r="E2851" s="900">
        <v>9.8396422989462679E-3</v>
      </c>
      <c r="F2851" s="900">
        <v>3.768814844139465E-3</v>
      </c>
      <c r="G2851" s="900">
        <v>4.5478516377195279E-4</v>
      </c>
      <c r="H2851" s="900">
        <v>4.3512829610301273E-5</v>
      </c>
    </row>
    <row r="2852" spans="1:8" x14ac:dyDescent="0.35">
      <c r="A2852" s="900" t="s">
        <v>4751</v>
      </c>
      <c r="C2852" s="900">
        <v>0</v>
      </c>
    </row>
    <row r="2853" spans="1:8" x14ac:dyDescent="0.35">
      <c r="A2853" s="900" t="s">
        <v>3385</v>
      </c>
      <c r="B2853" s="900">
        <v>1.314848051648432E-3</v>
      </c>
      <c r="D2853" s="900">
        <v>0.89935061107572012</v>
      </c>
      <c r="E2853" s="900">
        <v>8.7697346692925738E-4</v>
      </c>
      <c r="F2853" s="900">
        <v>3.3590150126020191E-4</v>
      </c>
      <c r="G2853" s="900">
        <v>4.0533437056323783E-5</v>
      </c>
      <c r="H2853" s="900">
        <v>3.8781488066222164E-6</v>
      </c>
    </row>
    <row r="2854" spans="1:8" x14ac:dyDescent="0.35">
      <c r="A2854" s="900" t="s">
        <v>4752</v>
      </c>
      <c r="C2854" s="900">
        <v>0</v>
      </c>
    </row>
    <row r="2855" spans="1:8" x14ac:dyDescent="0.35">
      <c r="A2855" s="900" t="s">
        <v>3479</v>
      </c>
      <c r="B2855" s="900">
        <v>5.2593922065937273E-3</v>
      </c>
      <c r="D2855" s="900">
        <v>3.59740244430288</v>
      </c>
      <c r="E2855" s="900">
        <v>3.5078938677170299E-3</v>
      </c>
      <c r="F2855" s="900">
        <v>1.343606005040807E-3</v>
      </c>
      <c r="G2855" s="900">
        <v>1.621337482252951E-4</v>
      </c>
      <c r="H2855" s="900">
        <v>1.5512595226488869E-5</v>
      </c>
    </row>
    <row r="2856" spans="1:8" x14ac:dyDescent="0.35">
      <c r="A2856" s="900" t="s">
        <v>4753</v>
      </c>
      <c r="C2856" s="900">
        <v>0</v>
      </c>
    </row>
    <row r="2857" spans="1:8" x14ac:dyDescent="0.35">
      <c r="A2857" s="900" t="s">
        <v>3448</v>
      </c>
      <c r="B2857" s="900">
        <v>2.024865999538585E-3</v>
      </c>
      <c r="D2857" s="900">
        <v>1.384999941056609</v>
      </c>
      <c r="E2857" s="900">
        <v>1.3505391390710561E-3</v>
      </c>
      <c r="F2857" s="900">
        <v>5.1728831194071086E-4</v>
      </c>
      <c r="G2857" s="900">
        <v>6.242149306673862E-5</v>
      </c>
      <c r="H2857" s="900">
        <v>5.972349162198214E-6</v>
      </c>
    </row>
    <row r="2858" spans="1:8" x14ac:dyDescent="0.35">
      <c r="A2858" s="900" t="s">
        <v>4754</v>
      </c>
      <c r="C2858" s="900">
        <v>0</v>
      </c>
    </row>
    <row r="2859" spans="1:8" x14ac:dyDescent="0.35">
      <c r="A2859" s="900" t="s">
        <v>3545</v>
      </c>
      <c r="B2859" s="900">
        <v>7.8890883098905913E-3</v>
      </c>
      <c r="D2859" s="900">
        <v>5.3961036664543203</v>
      </c>
      <c r="E2859" s="900">
        <v>5.2618408015755441E-3</v>
      </c>
      <c r="F2859" s="900">
        <v>2.0154090075612109E-3</v>
      </c>
      <c r="G2859" s="900">
        <v>2.4320062233794271E-4</v>
      </c>
      <c r="H2859" s="900">
        <v>2.32688928397333E-5</v>
      </c>
    </row>
    <row r="2860" spans="1:8" x14ac:dyDescent="0.35">
      <c r="A2860" s="900" t="s">
        <v>3613</v>
      </c>
      <c r="C2860" s="900">
        <v>0</v>
      </c>
    </row>
    <row r="2861" spans="1:8" x14ac:dyDescent="0.35">
      <c r="A2861" s="900" t="s">
        <v>3231</v>
      </c>
      <c r="B2861" s="900">
        <v>3.7366385727630048E-2</v>
      </c>
      <c r="C2861" s="900">
        <v>0</v>
      </c>
      <c r="D2861" s="900">
        <v>224.68838501494821</v>
      </c>
      <c r="E2861" s="900">
        <v>229.5706991814105</v>
      </c>
      <c r="F2861" s="900">
        <v>229.51914892051121</v>
      </c>
      <c r="G2861" s="900">
        <v>1.7781477346790751E-3</v>
      </c>
      <c r="H2861" s="900">
        <v>8.6301248130788824E-5</v>
      </c>
    </row>
    <row r="2862" spans="1:8" x14ac:dyDescent="0.35">
      <c r="A2862" s="900" t="s">
        <v>3347</v>
      </c>
      <c r="B2862" s="900">
        <v>4.3108564777299747E-2</v>
      </c>
      <c r="D2862" s="900">
        <v>259.21676960481591</v>
      </c>
      <c r="E2862" s="900">
        <v>264.84936029855368</v>
      </c>
      <c r="F2862" s="900">
        <v>264.78988818965189</v>
      </c>
      <c r="G2862" s="900">
        <v>2.051399815940492E-3</v>
      </c>
      <c r="H2862" s="900">
        <v>9.9563360837893089E-5</v>
      </c>
    </row>
    <row r="2863" spans="1:8" x14ac:dyDescent="0.35">
      <c r="A2863" s="900" t="s">
        <v>4755</v>
      </c>
      <c r="C2863" s="900">
        <v>0</v>
      </c>
    </row>
    <row r="2864" spans="1:8" x14ac:dyDescent="0.35">
      <c r="A2864" s="900" t="s">
        <v>3392</v>
      </c>
      <c r="B2864" s="900">
        <v>3.842193334705462E-3</v>
      </c>
      <c r="D2864" s="900">
        <v>23.103551453514442</v>
      </c>
      <c r="E2864" s="900">
        <v>23.60557471808853</v>
      </c>
      <c r="F2864" s="900">
        <v>23.600274069792679</v>
      </c>
      <c r="G2864" s="900">
        <v>1.8283778966756591E-4</v>
      </c>
      <c r="H2864" s="900">
        <v>8.8739136496065337E-6</v>
      </c>
    </row>
    <row r="2865" spans="1:8" x14ac:dyDescent="0.35">
      <c r="A2865" s="900" t="s">
        <v>4756</v>
      </c>
      <c r="C2865" s="900">
        <v>0</v>
      </c>
    </row>
    <row r="2866" spans="1:8" x14ac:dyDescent="0.35">
      <c r="A2866" s="900" t="s">
        <v>3488</v>
      </c>
      <c r="B2866" s="900">
        <v>4.2221904776983104E-3</v>
      </c>
      <c r="D2866" s="900">
        <v>25.388518080785101</v>
      </c>
      <c r="E2866" s="900">
        <v>25.94019199789949</v>
      </c>
      <c r="F2866" s="900">
        <v>25.93436710966229</v>
      </c>
      <c r="G2866" s="900">
        <v>2.0092064798633621E-4</v>
      </c>
      <c r="H2866" s="900">
        <v>9.7515534611060811E-6</v>
      </c>
    </row>
    <row r="2867" spans="1:8" x14ac:dyDescent="0.35">
      <c r="A2867" s="900" t="s">
        <v>4757</v>
      </c>
      <c r="C2867" s="900">
        <v>0</v>
      </c>
    </row>
    <row r="2868" spans="1:8" x14ac:dyDescent="0.35">
      <c r="A2868" s="900" t="s">
        <v>3451</v>
      </c>
      <c r="B2868" s="900">
        <v>5.9110666687776352E-3</v>
      </c>
      <c r="D2868" s="900">
        <v>35.543925313099137</v>
      </c>
      <c r="E2868" s="900">
        <v>36.316268797059287</v>
      </c>
      <c r="F2868" s="900">
        <v>36.308113953527211</v>
      </c>
      <c r="G2868" s="900">
        <v>2.8128890718087072E-4</v>
      </c>
      <c r="H2868" s="900">
        <v>1.365217484554852E-5</v>
      </c>
    </row>
    <row r="2869" spans="1:8" x14ac:dyDescent="0.35">
      <c r="A2869" s="900" t="s">
        <v>4758</v>
      </c>
      <c r="C2869" s="900">
        <v>0</v>
      </c>
    </row>
    <row r="2870" spans="1:8" x14ac:dyDescent="0.35">
      <c r="A2870" s="900" t="s">
        <v>3556</v>
      </c>
      <c r="B2870" s="900">
        <v>3.7999714299284802E-2</v>
      </c>
      <c r="D2870" s="900">
        <v>228.49666272706591</v>
      </c>
      <c r="E2870" s="900">
        <v>233.46172798109541</v>
      </c>
      <c r="F2870" s="900">
        <v>233.40930398696059</v>
      </c>
      <c r="G2870" s="900">
        <v>1.808285831877026E-3</v>
      </c>
      <c r="H2870" s="900">
        <v>8.7763981149954732E-5</v>
      </c>
    </row>
    <row r="2871" spans="1:8" x14ac:dyDescent="0.35">
      <c r="A2871" s="900" t="s">
        <v>3622</v>
      </c>
      <c r="C2871" s="900">
        <v>0</v>
      </c>
    </row>
    <row r="2872" spans="1:8" x14ac:dyDescent="0.35">
      <c r="A2872" s="900" t="s">
        <v>3162</v>
      </c>
      <c r="B2872" s="900">
        <v>1.9782103774775541E-2</v>
      </c>
      <c r="C2872" s="900">
        <v>174.63758200163011</v>
      </c>
      <c r="D2872" s="900">
        <v>5.2822577159152777</v>
      </c>
      <c r="E2872" s="900">
        <v>2.2308892958832871</v>
      </c>
      <c r="F2872" s="900">
        <v>1.5857663397695562E-2</v>
      </c>
      <c r="G2872" s="900">
        <v>3.6738802928294181E-4</v>
      </c>
      <c r="H2872" s="900">
        <v>5.628076622388068E-5</v>
      </c>
    </row>
    <row r="2873" spans="1:8" x14ac:dyDescent="0.35">
      <c r="A2873" s="900" t="s">
        <v>3379</v>
      </c>
      <c r="B2873" s="900">
        <v>2.2352659632514739E-2</v>
      </c>
      <c r="C2873" s="900">
        <v>197.33060113178539</v>
      </c>
      <c r="D2873" s="900">
        <v>5.9686527863449461</v>
      </c>
      <c r="E2873" s="900">
        <v>2.5207788654048442</v>
      </c>
      <c r="F2873" s="900">
        <v>1.7918263726209669E-2</v>
      </c>
      <c r="G2873" s="900">
        <v>4.1512771670388911E-4</v>
      </c>
      <c r="H2873" s="900">
        <v>6.3594086128678735E-5</v>
      </c>
    </row>
    <row r="2874" spans="1:8" x14ac:dyDescent="0.35">
      <c r="A2874" s="900" t="s">
        <v>3471</v>
      </c>
      <c r="B2874" s="900">
        <v>8.9410638530058942E-3</v>
      </c>
      <c r="C2874" s="900">
        <v>78.932240452714169</v>
      </c>
      <c r="D2874" s="900">
        <v>2.3874611145379778</v>
      </c>
      <c r="E2874" s="900">
        <v>1.0083115461619381</v>
      </c>
      <c r="F2874" s="900">
        <v>7.1673054904838676E-3</v>
      </c>
      <c r="G2874" s="900">
        <v>1.6605108668155561E-4</v>
      </c>
      <c r="H2874" s="900">
        <v>2.543763445147149E-5</v>
      </c>
    </row>
    <row r="2875" spans="1:8" x14ac:dyDescent="0.35">
      <c r="A2875" s="900" t="s">
        <v>3537</v>
      </c>
      <c r="B2875" s="900">
        <v>1.341159577950884E-2</v>
      </c>
      <c r="C2875" s="900">
        <v>118.3983606790713</v>
      </c>
      <c r="D2875" s="900">
        <v>3.5811916718069678</v>
      </c>
      <c r="E2875" s="900">
        <v>1.5124673192429059</v>
      </c>
      <c r="F2875" s="900">
        <v>1.07509582357258E-2</v>
      </c>
      <c r="G2875" s="900">
        <v>2.4907663002233339E-4</v>
      </c>
      <c r="H2875" s="900">
        <v>3.8156451677207238E-5</v>
      </c>
    </row>
    <row r="2876" spans="1:8" x14ac:dyDescent="0.35">
      <c r="A2876" s="900" t="s">
        <v>3216</v>
      </c>
      <c r="B2876" s="900">
        <v>4957.5945567132594</v>
      </c>
      <c r="C2876" s="900">
        <v>0</v>
      </c>
      <c r="D2876" s="900">
        <v>13.170063894648059</v>
      </c>
      <c r="E2876" s="900">
        <v>167.90885011091891</v>
      </c>
      <c r="F2876" s="900">
        <v>677.03264783707709</v>
      </c>
      <c r="G2876" s="900">
        <v>1985.888855745249</v>
      </c>
      <c r="H2876" s="900">
        <v>4957.2836945879908</v>
      </c>
    </row>
    <row r="2877" spans="1:8" x14ac:dyDescent="0.35">
      <c r="A2877" s="900" t="s">
        <v>3388</v>
      </c>
      <c r="B2877" s="900">
        <v>5097.6396006882114</v>
      </c>
      <c r="D2877" s="900">
        <v>13.542099597886709</v>
      </c>
      <c r="E2877" s="900">
        <v>172.65203796715949</v>
      </c>
      <c r="F2877" s="900">
        <v>696.15786387767253</v>
      </c>
      <c r="G2877" s="900">
        <v>2041.987410992291</v>
      </c>
      <c r="H2877" s="900">
        <v>5097.319957146974</v>
      </c>
    </row>
    <row r="2878" spans="1:8" x14ac:dyDescent="0.35">
      <c r="A2878" s="900" t="s">
        <v>4759</v>
      </c>
      <c r="C2878" s="900">
        <v>0</v>
      </c>
    </row>
    <row r="2879" spans="1:8" x14ac:dyDescent="0.35">
      <c r="A2879" s="900" t="s">
        <v>3482</v>
      </c>
      <c r="B2879" s="900">
        <v>560.18017589980332</v>
      </c>
      <c r="D2879" s="900">
        <v>1.4881428129545831</v>
      </c>
      <c r="E2879" s="900">
        <v>18.972751424962588</v>
      </c>
      <c r="F2879" s="900">
        <v>76.500864162381589</v>
      </c>
      <c r="G2879" s="900">
        <v>224.3942209881638</v>
      </c>
      <c r="H2879" s="900">
        <v>560.14505023593119</v>
      </c>
    </row>
    <row r="2880" spans="1:8" x14ac:dyDescent="0.35">
      <c r="A2880" s="900" t="s">
        <v>4760</v>
      </c>
      <c r="C2880" s="900">
        <v>0</v>
      </c>
    </row>
    <row r="2881" spans="1:8" x14ac:dyDescent="0.35">
      <c r="A2881" s="900" t="s">
        <v>3550</v>
      </c>
      <c r="B2881" s="900">
        <v>5041.6215830982301</v>
      </c>
      <c r="D2881" s="900">
        <v>13.39328531659125</v>
      </c>
      <c r="E2881" s="900">
        <v>170.75476282466329</v>
      </c>
      <c r="F2881" s="900">
        <v>688.50777746143444</v>
      </c>
      <c r="G2881" s="900">
        <v>2019.547988893474</v>
      </c>
      <c r="H2881" s="900">
        <v>5041.3054521233807</v>
      </c>
    </row>
    <row r="2882" spans="1:8" x14ac:dyDescent="0.35">
      <c r="A2882" s="900" t="s">
        <v>3616</v>
      </c>
      <c r="C2882" s="900">
        <v>0</v>
      </c>
    </row>
    <row r="2883" spans="1:8" x14ac:dyDescent="0.35">
      <c r="A2883" s="900" t="s">
        <v>3168</v>
      </c>
      <c r="B2883" s="900">
        <v>1.111581965676132E-2</v>
      </c>
      <c r="C2883" s="900">
        <v>905.72152540420529</v>
      </c>
      <c r="D2883" s="900">
        <v>916.79168599575655</v>
      </c>
      <c r="E2883" s="900">
        <v>564.95939684750408</v>
      </c>
      <c r="F2883" s="900">
        <v>112.9973478338149</v>
      </c>
      <c r="G2883" s="900">
        <v>77.081745239632141</v>
      </c>
      <c r="H2883" s="900">
        <v>3.2626789843041641E-5</v>
      </c>
    </row>
    <row r="2884" spans="1:8" x14ac:dyDescent="0.35">
      <c r="A2884" s="900" t="s">
        <v>3336</v>
      </c>
      <c r="B2884" s="900">
        <v>1.7584347479622418E-2</v>
      </c>
      <c r="C2884" s="900">
        <v>1432.779814198743</v>
      </c>
      <c r="D2884" s="900">
        <v>1450.291932648654</v>
      </c>
      <c r="E2884" s="900">
        <v>893.72107975876361</v>
      </c>
      <c r="F2884" s="900">
        <v>178.7528666297637</v>
      </c>
      <c r="G2884" s="900">
        <v>121.9372241078926</v>
      </c>
      <c r="H2884" s="900">
        <v>5.1613000881647791E-5</v>
      </c>
    </row>
    <row r="2885" spans="1:8" x14ac:dyDescent="0.35">
      <c r="A2885" s="900" t="s">
        <v>3474</v>
      </c>
      <c r="B2885" s="900">
        <v>5.0240992798921214E-3</v>
      </c>
      <c r="C2885" s="900">
        <v>409.36566119964078</v>
      </c>
      <c r="D2885" s="900">
        <v>414.36912361390131</v>
      </c>
      <c r="E2885" s="900">
        <v>255.34887993107529</v>
      </c>
      <c r="F2885" s="900">
        <v>51.072247608503922</v>
      </c>
      <c r="G2885" s="900">
        <v>34.839206887969333</v>
      </c>
      <c r="H2885" s="900">
        <v>1.4746571680470801E-5</v>
      </c>
    </row>
    <row r="2886" spans="1:8" x14ac:dyDescent="0.35">
      <c r="A2886" s="900" t="s">
        <v>3540</v>
      </c>
      <c r="B2886" s="900">
        <v>7.5361489198381799E-3</v>
      </c>
      <c r="C2886" s="900">
        <v>614.04849179946132</v>
      </c>
      <c r="D2886" s="900">
        <v>621.55368542085193</v>
      </c>
      <c r="E2886" s="900">
        <v>383.02331989661297</v>
      </c>
      <c r="F2886" s="900">
        <v>76.608371412755901</v>
      </c>
      <c r="G2886" s="900">
        <v>52.258810331954002</v>
      </c>
      <c r="H2886" s="900">
        <v>2.21198575207062E-5</v>
      </c>
    </row>
    <row r="2887" spans="1:8" x14ac:dyDescent="0.35">
      <c r="A2887" s="900" t="s">
        <v>3219</v>
      </c>
      <c r="B2887" s="900">
        <v>3.3147056432207993E-2</v>
      </c>
      <c r="C2887" s="900">
        <v>0</v>
      </c>
      <c r="D2887" s="900">
        <v>518.31085473158555</v>
      </c>
      <c r="E2887" s="900">
        <v>1590.8008006713731</v>
      </c>
      <c r="F2887" s="900">
        <v>1424.758367104065</v>
      </c>
      <c r="G2887" s="900">
        <v>1277.213586161859</v>
      </c>
      <c r="H2887" s="900">
        <v>1.8725352897707351E-4</v>
      </c>
    </row>
    <row r="2888" spans="1:8" x14ac:dyDescent="0.35">
      <c r="A2888" s="900" t="s">
        <v>3344</v>
      </c>
      <c r="B2888" s="900">
        <v>4.7716779541958167E-2</v>
      </c>
      <c r="D2888" s="900">
        <v>746.13336602038419</v>
      </c>
      <c r="E2888" s="900">
        <v>2290.0341469551749</v>
      </c>
      <c r="F2888" s="900">
        <v>2051.008090045852</v>
      </c>
      <c r="G2888" s="900">
        <v>1838.610292395716</v>
      </c>
      <c r="H2888" s="900">
        <v>2.695604473636063E-4</v>
      </c>
    </row>
    <row r="2889" spans="1:8" x14ac:dyDescent="0.35">
      <c r="A2889" s="900" t="s">
        <v>4761</v>
      </c>
      <c r="C2889" s="900">
        <v>0</v>
      </c>
    </row>
    <row r="2890" spans="1:8" x14ac:dyDescent="0.35">
      <c r="A2890" s="900" t="s">
        <v>3483</v>
      </c>
      <c r="B2890" s="900">
        <v>3.7454301053342358E-3</v>
      </c>
      <c r="D2890" s="900">
        <v>58.566198274755429</v>
      </c>
      <c r="E2890" s="900">
        <v>179.75150290072011</v>
      </c>
      <c r="F2890" s="900">
        <v>160.98964600045929</v>
      </c>
      <c r="G2890" s="900">
        <v>144.3179193403231</v>
      </c>
      <c r="H2890" s="900">
        <v>2.1158590844867061E-5</v>
      </c>
    </row>
    <row r="2891" spans="1:8" x14ac:dyDescent="0.35">
      <c r="A2891" s="900" t="s">
        <v>4762</v>
      </c>
      <c r="C2891" s="900">
        <v>0</v>
      </c>
    </row>
    <row r="2892" spans="1:8" x14ac:dyDescent="0.35">
      <c r="A2892" s="900" t="s">
        <v>3551</v>
      </c>
      <c r="B2892" s="900">
        <v>3.3708870948008118E-2</v>
      </c>
      <c r="D2892" s="900">
        <v>527.09578447279887</v>
      </c>
      <c r="E2892" s="900">
        <v>1617.7635261064811</v>
      </c>
      <c r="F2892" s="900">
        <v>1448.906814004134</v>
      </c>
      <c r="G2892" s="900">
        <v>1298.861274062908</v>
      </c>
      <c r="H2892" s="900">
        <v>1.9042731760380351E-4</v>
      </c>
    </row>
    <row r="2893" spans="1:8" x14ac:dyDescent="0.35">
      <c r="A2893" s="900" t="s">
        <v>3617</v>
      </c>
      <c r="C2893" s="900">
        <v>0</v>
      </c>
    </row>
    <row r="2894" spans="1:8" x14ac:dyDescent="0.35">
      <c r="A2894" s="900" t="s">
        <v>3173</v>
      </c>
      <c r="B2894" s="900">
        <v>1.1454101003975479E-2</v>
      </c>
      <c r="C2894" s="900">
        <v>2717.2834650057639</v>
      </c>
      <c r="D2894" s="900">
        <v>1607.109925732339</v>
      </c>
      <c r="E2894" s="900">
        <v>373.29113890400129</v>
      </c>
      <c r="F2894" s="900">
        <v>5.0229409736971329</v>
      </c>
      <c r="G2894" s="900">
        <v>3.7246703928169917E-4</v>
      </c>
      <c r="H2894" s="900">
        <v>3.3703336978990297E-5</v>
      </c>
    </row>
    <row r="2895" spans="1:8" x14ac:dyDescent="0.35">
      <c r="A2895" s="900" t="s">
        <v>3340</v>
      </c>
      <c r="B2895" s="900">
        <v>1.6307533632778641E-2</v>
      </c>
      <c r="C2895" s="900">
        <v>3868.6747637370208</v>
      </c>
      <c r="D2895" s="900">
        <v>2288.0887078223141</v>
      </c>
      <c r="E2895" s="900">
        <v>531.46535030400196</v>
      </c>
      <c r="F2895" s="900">
        <v>7.1513057930603257</v>
      </c>
      <c r="G2895" s="900">
        <v>5.3029205592648699E-4</v>
      </c>
      <c r="H2895" s="900">
        <v>4.7984411970087899E-5</v>
      </c>
    </row>
    <row r="2896" spans="1:8" x14ac:dyDescent="0.35">
      <c r="A2896" s="900" t="s">
        <v>3382</v>
      </c>
      <c r="B2896" s="900">
        <v>1.2942487010141779E-3</v>
      </c>
      <c r="C2896" s="900">
        <v>307.03767966166828</v>
      </c>
      <c r="D2896" s="900">
        <v>181.59434189065979</v>
      </c>
      <c r="E2896" s="900">
        <v>42.17978970666681</v>
      </c>
      <c r="F2896" s="900">
        <v>0.56756395183018449</v>
      </c>
      <c r="G2896" s="900">
        <v>4.2086671105276741E-5</v>
      </c>
      <c r="H2896" s="900">
        <v>3.8082866642926901E-6</v>
      </c>
    </row>
    <row r="2897" spans="1:8" x14ac:dyDescent="0.35">
      <c r="A2897" s="900" t="s">
        <v>3475</v>
      </c>
      <c r="B2897" s="900">
        <v>5.1769948040567126E-3</v>
      </c>
      <c r="C2897" s="900">
        <v>1228.1507186466731</v>
      </c>
      <c r="D2897" s="900">
        <v>726.37736756263928</v>
      </c>
      <c r="E2897" s="900">
        <v>168.71915882666721</v>
      </c>
      <c r="F2897" s="900">
        <v>2.270255807320738</v>
      </c>
      <c r="G2897" s="900">
        <v>1.6834668442110699E-4</v>
      </c>
      <c r="H2897" s="900">
        <v>1.523314665717076E-5</v>
      </c>
    </row>
    <row r="2898" spans="1:8" x14ac:dyDescent="0.35">
      <c r="A2898" s="900" t="s">
        <v>3541</v>
      </c>
      <c r="B2898" s="900">
        <v>7.765492206085068E-3</v>
      </c>
      <c r="C2898" s="900">
        <v>1842.22607797001</v>
      </c>
      <c r="D2898" s="900">
        <v>1089.5660513439591</v>
      </c>
      <c r="E2898" s="900">
        <v>253.07873824000089</v>
      </c>
      <c r="F2898" s="900">
        <v>3.4053837109811069</v>
      </c>
      <c r="G2898" s="900">
        <v>2.5252002663166042E-4</v>
      </c>
      <c r="H2898" s="900">
        <v>2.2849719985756139E-5</v>
      </c>
    </row>
    <row r="2899" spans="1:8" x14ac:dyDescent="0.35">
      <c r="A2899" s="900" t="s">
        <v>3222</v>
      </c>
      <c r="B2899" s="900">
        <v>3.5819989778187768E-2</v>
      </c>
      <c r="C2899" s="900">
        <v>0</v>
      </c>
      <c r="D2899" s="900">
        <v>517.89540672977034</v>
      </c>
      <c r="E2899" s="900">
        <v>922.76197506076574</v>
      </c>
      <c r="F2899" s="900">
        <v>1000.3617207113811</v>
      </c>
      <c r="G2899" s="900">
        <v>479.17388800410259</v>
      </c>
      <c r="H2899" s="900">
        <v>2.1302477828642511E-4</v>
      </c>
    </row>
    <row r="2900" spans="1:8" x14ac:dyDescent="0.35">
      <c r="A2900" s="900" t="s">
        <v>3345</v>
      </c>
      <c r="B2900" s="900">
        <v>4.6424325735120203E-2</v>
      </c>
      <c r="D2900" s="900">
        <v>671.21585482378146</v>
      </c>
      <c r="E2900" s="900">
        <v>1195.941226434687</v>
      </c>
      <c r="F2900" s="900">
        <v>1296.5140041310219</v>
      </c>
      <c r="G2900" s="900">
        <v>621.03101643017612</v>
      </c>
      <c r="H2900" s="900">
        <v>2.7608974089777361E-4</v>
      </c>
    </row>
    <row r="2901" spans="1:8" x14ac:dyDescent="0.35">
      <c r="A2901" s="900" t="s">
        <v>4763</v>
      </c>
      <c r="C2901" s="900">
        <v>0</v>
      </c>
    </row>
    <row r="2902" spans="1:8" x14ac:dyDescent="0.35">
      <c r="A2902" s="900" t="s">
        <v>3389</v>
      </c>
      <c r="B2902" s="900">
        <v>3.6831853896215671E-3</v>
      </c>
      <c r="D2902" s="900">
        <v>53.252522047919882</v>
      </c>
      <c r="E2902" s="900">
        <v>94.882869752010933</v>
      </c>
      <c r="F2902" s="900">
        <v>102.86205263811939</v>
      </c>
      <c r="G2902" s="900">
        <v>49.270987354094167</v>
      </c>
      <c r="H2902" s="900">
        <v>2.1904242739056139E-5</v>
      </c>
    </row>
    <row r="2903" spans="1:8" x14ac:dyDescent="0.35">
      <c r="A2903" s="900" t="s">
        <v>4764</v>
      </c>
      <c r="C2903" s="900">
        <v>0</v>
      </c>
    </row>
    <row r="2904" spans="1:8" x14ac:dyDescent="0.35">
      <c r="A2904" s="900" t="s">
        <v>3484</v>
      </c>
      <c r="B2904" s="900">
        <v>4.0474564721116133E-3</v>
      </c>
      <c r="D2904" s="900">
        <v>58.519254997714157</v>
      </c>
      <c r="E2904" s="900">
        <v>104.26688983737471</v>
      </c>
      <c r="F2904" s="900">
        <v>113.0352226792521</v>
      </c>
      <c r="G2904" s="900">
        <v>54.143942147356242</v>
      </c>
      <c r="H2904" s="900">
        <v>2.4070596416545212E-5</v>
      </c>
    </row>
    <row r="2905" spans="1:8" x14ac:dyDescent="0.35">
      <c r="A2905" s="900" t="s">
        <v>4765</v>
      </c>
      <c r="C2905" s="900">
        <v>0</v>
      </c>
    </row>
    <row r="2906" spans="1:8" x14ac:dyDescent="0.35">
      <c r="A2906" s="900" t="s">
        <v>3552</v>
      </c>
      <c r="B2906" s="900">
        <v>3.6427108249004518E-2</v>
      </c>
      <c r="D2906" s="900">
        <v>526.6732949794274</v>
      </c>
      <c r="E2906" s="900">
        <v>938.4020085363718</v>
      </c>
      <c r="F2906" s="900">
        <v>1017.317004113269</v>
      </c>
      <c r="G2906" s="900">
        <v>487.29547932620602</v>
      </c>
      <c r="H2906" s="900">
        <v>2.1663536774890689E-4</v>
      </c>
    </row>
    <row r="2907" spans="1:8" x14ac:dyDescent="0.35">
      <c r="A2907" s="900" t="s">
        <v>3618</v>
      </c>
      <c r="C2907" s="900">
        <v>0</v>
      </c>
    </row>
    <row r="2908" spans="1:8" x14ac:dyDescent="0.35">
      <c r="A2908" s="900" t="s">
        <v>3201</v>
      </c>
      <c r="B2908" s="900">
        <v>1.226208884145929E-2</v>
      </c>
      <c r="C2908" s="900">
        <v>0</v>
      </c>
      <c r="D2908" s="900">
        <v>0.94102244942559343</v>
      </c>
      <c r="E2908" s="900">
        <v>2.0044253841493588E-3</v>
      </c>
      <c r="F2908" s="900">
        <v>1.6589727194258031E-3</v>
      </c>
      <c r="G2908" s="900">
        <v>1.5338783279009909E-4</v>
      </c>
      <c r="H2908" s="900">
        <v>3.5385401003791222E-5</v>
      </c>
    </row>
    <row r="2909" spans="1:8" x14ac:dyDescent="0.35">
      <c r="A2909" s="900" t="s">
        <v>3386</v>
      </c>
      <c r="B2909" s="900">
        <v>2.6741052501713472E-3</v>
      </c>
      <c r="D2909" s="900">
        <v>0.2052173251289712</v>
      </c>
      <c r="E2909" s="900">
        <v>4.3712327586534037E-4</v>
      </c>
      <c r="F2909" s="900">
        <v>3.6178727101602247E-4</v>
      </c>
      <c r="G2909" s="900">
        <v>3.3450679919196743E-5</v>
      </c>
      <c r="H2909" s="900">
        <v>7.7168162641036202E-6</v>
      </c>
    </row>
    <row r="2910" spans="1:8" x14ac:dyDescent="0.35">
      <c r="A2910" s="900" t="s">
        <v>4766</v>
      </c>
      <c r="C2910" s="900">
        <v>0</v>
      </c>
    </row>
    <row r="2911" spans="1:8" x14ac:dyDescent="0.35">
      <c r="A2911" s="900" t="s">
        <v>3480</v>
      </c>
      <c r="B2911" s="900">
        <v>5.5421870469872479E-3</v>
      </c>
      <c r="D2911" s="900">
        <v>0.42532088109631339</v>
      </c>
      <c r="E2911" s="900">
        <v>9.0595497588671589E-4</v>
      </c>
      <c r="F2911" s="900">
        <v>7.4981817827154918E-4</v>
      </c>
      <c r="G2911" s="900">
        <v>6.9327834029423306E-5</v>
      </c>
      <c r="H2911" s="900">
        <v>1.599340158363445E-5</v>
      </c>
    </row>
    <row r="2912" spans="1:8" x14ac:dyDescent="0.35">
      <c r="A2912" s="900" t="s">
        <v>4767</v>
      </c>
      <c r="C2912" s="900">
        <v>0</v>
      </c>
    </row>
    <row r="2913" spans="1:8" x14ac:dyDescent="0.35">
      <c r="A2913" s="900" t="s">
        <v>3445</v>
      </c>
      <c r="B2913" s="900">
        <v>2.1337420130900901E-2</v>
      </c>
      <c r="D2913" s="900">
        <v>1.637485392220807</v>
      </c>
      <c r="E2913" s="900">
        <v>3.487926657163856E-3</v>
      </c>
      <c r="F2913" s="900">
        <v>2.8867999863454639E-3</v>
      </c>
      <c r="G2913" s="900">
        <v>2.669121610132797E-4</v>
      </c>
      <c r="H2913" s="900">
        <v>6.1574596096992625E-5</v>
      </c>
    </row>
    <row r="2914" spans="1:8" x14ac:dyDescent="0.35">
      <c r="A2914" s="900" t="s">
        <v>4768</v>
      </c>
      <c r="C2914" s="900">
        <v>0</v>
      </c>
    </row>
    <row r="2915" spans="1:8" x14ac:dyDescent="0.35">
      <c r="A2915" s="900" t="s">
        <v>3546</v>
      </c>
      <c r="B2915" s="900">
        <v>8.3132805704808719E-3</v>
      </c>
      <c r="D2915" s="900">
        <v>0.63798132164447008</v>
      </c>
      <c r="E2915" s="900">
        <v>1.3589324638300739E-3</v>
      </c>
      <c r="F2915" s="900">
        <v>1.124727267407324E-3</v>
      </c>
      <c r="G2915" s="900">
        <v>1.0399175104413501E-4</v>
      </c>
      <c r="H2915" s="900">
        <v>2.3990102375451668E-5</v>
      </c>
    </row>
    <row r="2916" spans="1:8" x14ac:dyDescent="0.35">
      <c r="A2916" s="900" t="s">
        <v>3614</v>
      </c>
      <c r="C2916" s="900">
        <v>0</v>
      </c>
    </row>
    <row r="2917" spans="1:8" x14ac:dyDescent="0.35">
      <c r="A2917" s="900" t="s">
        <v>3232</v>
      </c>
      <c r="B2917" s="900">
        <v>4.767006581010607E-2</v>
      </c>
      <c r="C2917" s="900">
        <v>0</v>
      </c>
      <c r="D2917" s="900">
        <v>1.184939360802598</v>
      </c>
      <c r="E2917" s="900">
        <v>2.853287100980581E-3</v>
      </c>
      <c r="F2917" s="900">
        <v>3.6936771719895622E-3</v>
      </c>
      <c r="G2917" s="900">
        <v>2.5217289321458622E-4</v>
      </c>
      <c r="H2917" s="900">
        <v>1.130420615900036E-4</v>
      </c>
    </row>
    <row r="2918" spans="1:8" x14ac:dyDescent="0.35">
      <c r="A2918" s="900" t="s">
        <v>3393</v>
      </c>
      <c r="B2918" s="900">
        <v>9.426284199738488E-3</v>
      </c>
      <c r="D2918" s="900">
        <v>0.23431004309655901</v>
      </c>
      <c r="E2918" s="900">
        <v>5.6420931375322206E-4</v>
      </c>
      <c r="F2918" s="900">
        <v>7.3038814135386806E-4</v>
      </c>
      <c r="G2918" s="900">
        <v>4.9864696398364501E-5</v>
      </c>
      <c r="H2918" s="900">
        <v>2.235295003192161E-5</v>
      </c>
    </row>
    <row r="2919" spans="1:8" x14ac:dyDescent="0.35">
      <c r="A2919" s="900" t="s">
        <v>4769</v>
      </c>
      <c r="C2919" s="900">
        <v>0</v>
      </c>
    </row>
    <row r="2920" spans="1:8" x14ac:dyDescent="0.35">
      <c r="A2920" s="900" t="s">
        <v>3489</v>
      </c>
      <c r="B2920" s="900">
        <v>5.3864481141362788E-3</v>
      </c>
      <c r="D2920" s="900">
        <v>0.13389145319803369</v>
      </c>
      <c r="E2920" s="900">
        <v>3.224053221446984E-4</v>
      </c>
      <c r="F2920" s="900">
        <v>4.1736465220221041E-4</v>
      </c>
      <c r="G2920" s="900">
        <v>2.849411222763686E-5</v>
      </c>
      <c r="H2920" s="900">
        <v>1.277311430395521E-5</v>
      </c>
    </row>
    <row r="2921" spans="1:8" x14ac:dyDescent="0.35">
      <c r="A2921" s="900" t="s">
        <v>4770</v>
      </c>
      <c r="C2921" s="900">
        <v>0</v>
      </c>
    </row>
    <row r="2922" spans="1:8" x14ac:dyDescent="0.35">
      <c r="A2922" s="900" t="s">
        <v>3450</v>
      </c>
      <c r="B2922" s="900">
        <v>7.5464138079049267E-2</v>
      </c>
      <c r="D2922" s="900">
        <v>1.875819259304452</v>
      </c>
      <c r="E2922" s="900">
        <v>4.5168985632472241E-3</v>
      </c>
      <c r="F2922" s="900">
        <v>5.8472787773529667E-3</v>
      </c>
      <c r="G2922" s="900">
        <v>3.9920251230919239E-4</v>
      </c>
      <c r="H2922" s="900">
        <v>1.789513313984124E-4</v>
      </c>
    </row>
    <row r="2923" spans="1:8" x14ac:dyDescent="0.35">
      <c r="A2923" s="900" t="s">
        <v>4771</v>
      </c>
      <c r="C2923" s="900">
        <v>0</v>
      </c>
    </row>
    <row r="2924" spans="1:8" x14ac:dyDescent="0.35">
      <c r="A2924" s="900" t="s">
        <v>3557</v>
      </c>
      <c r="B2924" s="900">
        <v>4.8478033027226509E-2</v>
      </c>
      <c r="D2924" s="900">
        <v>1.2050230787823031</v>
      </c>
      <c r="E2924" s="900">
        <v>2.9016478993022848E-3</v>
      </c>
      <c r="F2924" s="900">
        <v>3.756281869819893E-3</v>
      </c>
      <c r="G2924" s="900">
        <v>2.5644701004873168E-4</v>
      </c>
      <c r="H2924" s="900">
        <v>1.1495802873559679E-4</v>
      </c>
    </row>
    <row r="2925" spans="1:8" x14ac:dyDescent="0.35">
      <c r="A2925" s="900" t="s">
        <v>3623</v>
      </c>
      <c r="C2925" s="900">
        <v>0</v>
      </c>
    </row>
    <row r="2926" spans="1:8" x14ac:dyDescent="0.35">
      <c r="A2926" s="900" t="s">
        <v>3179</v>
      </c>
      <c r="B2926" s="900">
        <v>2.9836579218879681E-3</v>
      </c>
      <c r="C2926" s="900">
        <v>100.63708066336331</v>
      </c>
      <c r="D2926" s="900">
        <v>29.893253836942499</v>
      </c>
      <c r="E2926" s="900">
        <v>9.3854777868325814E-3</v>
      </c>
      <c r="F2926" s="900">
        <v>0.356767759234215</v>
      </c>
      <c r="G2926" s="900">
        <v>1.5908617267529359E-4</v>
      </c>
      <c r="H2926" s="900">
        <v>1.000844640631628E-5</v>
      </c>
    </row>
    <row r="2927" spans="1:8" x14ac:dyDescent="0.35">
      <c r="A2927" s="900" t="s">
        <v>3435</v>
      </c>
      <c r="B2927" s="900">
        <v>4.3827743485359977E-3</v>
      </c>
      <c r="C2927" s="900">
        <v>147.82848007047721</v>
      </c>
      <c r="D2927" s="900">
        <v>43.910994336751699</v>
      </c>
      <c r="E2927" s="900">
        <v>1.378657753998006E-2</v>
      </c>
      <c r="F2927" s="900">
        <v>0.52406563503331016</v>
      </c>
      <c r="G2927" s="900">
        <v>2.3368590336483809E-4</v>
      </c>
      <c r="H2927" s="900">
        <v>1.4701672687244249E-5</v>
      </c>
    </row>
    <row r="2928" spans="1:8" x14ac:dyDescent="0.35">
      <c r="A2928" s="900" t="s">
        <v>3476</v>
      </c>
      <c r="B2928" s="900">
        <v>1.3485459533956921E-3</v>
      </c>
      <c r="C2928" s="900">
        <v>45.485686175531441</v>
      </c>
      <c r="D2928" s="900">
        <v>13.511075180538979</v>
      </c>
      <c r="E2928" s="900">
        <v>4.2420238584554041E-3</v>
      </c>
      <c r="F2928" s="900">
        <v>0.1612509646256339</v>
      </c>
      <c r="G2928" s="900">
        <v>7.1903354881488636E-5</v>
      </c>
      <c r="H2928" s="900">
        <v>4.5235915960751536E-6</v>
      </c>
    </row>
    <row r="2929" spans="1:8" x14ac:dyDescent="0.35">
      <c r="A2929" s="900" t="s">
        <v>3542</v>
      </c>
      <c r="B2929" s="900">
        <v>2.0228189300935369E-3</v>
      </c>
      <c r="C2929" s="900">
        <v>68.228529263297148</v>
      </c>
      <c r="D2929" s="900">
        <v>20.266612770808479</v>
      </c>
      <c r="E2929" s="900">
        <v>6.3630357876831066E-3</v>
      </c>
      <c r="F2929" s="900">
        <v>0.24187644693845081</v>
      </c>
      <c r="G2929" s="900">
        <v>1.07855032322233E-4</v>
      </c>
      <c r="H2929" s="900">
        <v>6.7853873941127317E-6</v>
      </c>
    </row>
    <row r="2930" spans="1:8" x14ac:dyDescent="0.35">
      <c r="A2930" s="900" t="s">
        <v>3226</v>
      </c>
      <c r="B2930" s="900">
        <v>3.9402669402699552E-3</v>
      </c>
      <c r="C2930" s="900">
        <v>0</v>
      </c>
      <c r="D2930" s="900">
        <v>18.33222911058424</v>
      </c>
      <c r="E2930" s="900">
        <v>6.2193950099036967E-3</v>
      </c>
      <c r="F2930" s="900">
        <v>2.5233713457612451E-3</v>
      </c>
      <c r="G2930" s="900">
        <v>2.6495568956673887E-4</v>
      </c>
      <c r="H2930" s="900">
        <v>1.313843527207661E-5</v>
      </c>
    </row>
    <row r="2931" spans="1:8" x14ac:dyDescent="0.35">
      <c r="A2931" s="900" t="s">
        <v>3439</v>
      </c>
      <c r="B2931" s="900">
        <v>5.2670460907789348E-3</v>
      </c>
      <c r="D2931" s="900">
        <v>24.505115296973059</v>
      </c>
      <c r="E2931" s="900">
        <v>8.3136093748204225E-3</v>
      </c>
      <c r="F2931" s="900">
        <v>3.3730489288537318E-3</v>
      </c>
      <c r="G2931" s="900">
        <v>3.5417240763553918E-4</v>
      </c>
      <c r="H2931" s="900">
        <v>1.7562450764821051E-5</v>
      </c>
    </row>
    <row r="2932" spans="1:8" x14ac:dyDescent="0.35">
      <c r="A2932" s="900" t="s">
        <v>4772</v>
      </c>
      <c r="C2932" s="900">
        <v>0</v>
      </c>
    </row>
    <row r="2933" spans="1:8" x14ac:dyDescent="0.35">
      <c r="A2933" s="900" t="s">
        <v>3485</v>
      </c>
      <c r="B2933" s="900">
        <v>4.4522790285536222E-4</v>
      </c>
      <c r="D2933" s="900">
        <v>2.071438317580141</v>
      </c>
      <c r="E2933" s="900">
        <v>7.0275649829420301E-4</v>
      </c>
      <c r="F2933" s="900">
        <v>2.8512670573573392E-4</v>
      </c>
      <c r="G2933" s="900">
        <v>2.9938495996241692E-5</v>
      </c>
      <c r="H2933" s="900">
        <v>1.484568957296792E-6</v>
      </c>
    </row>
    <row r="2934" spans="1:8" x14ac:dyDescent="0.35">
      <c r="A2934" s="900" t="s">
        <v>4773</v>
      </c>
      <c r="C2934" s="900">
        <v>0</v>
      </c>
    </row>
    <row r="2935" spans="1:8" x14ac:dyDescent="0.35">
      <c r="A2935" s="900" t="s">
        <v>3553</v>
      </c>
      <c r="B2935" s="900">
        <v>4.0070511256982593E-3</v>
      </c>
      <c r="D2935" s="900">
        <v>18.642944858221259</v>
      </c>
      <c r="E2935" s="900">
        <v>6.3248084846478274E-3</v>
      </c>
      <c r="F2935" s="900">
        <v>2.5661403516216048E-3</v>
      </c>
      <c r="G2935" s="900">
        <v>2.6944646396617522E-4</v>
      </c>
      <c r="H2935" s="900">
        <v>1.336112061567113E-5</v>
      </c>
    </row>
    <row r="2936" spans="1:8" x14ac:dyDescent="0.35">
      <c r="A2936" s="900" t="s">
        <v>3619</v>
      </c>
      <c r="C2936" s="900">
        <v>0</v>
      </c>
    </row>
    <row r="2937" spans="1:8" x14ac:dyDescent="0.35">
      <c r="A2937" s="900" t="s">
        <v>3185</v>
      </c>
      <c r="B2937" s="900">
        <v>3.248813182437524E-3</v>
      </c>
      <c r="C2937" s="900">
        <v>302.10780600177048</v>
      </c>
      <c r="D2937" s="900">
        <v>26.36284132422837</v>
      </c>
      <c r="E2937" s="900">
        <v>9.1088842676277943E-3</v>
      </c>
      <c r="F2937" s="900">
        <v>0.29486126344761843</v>
      </c>
      <c r="G2937" s="900">
        <v>1.5876492729351919E-4</v>
      </c>
      <c r="H2937" s="900">
        <v>1.0868842292727549E-5</v>
      </c>
    </row>
    <row r="2938" spans="1:8" x14ac:dyDescent="0.35">
      <c r="A2938" s="900" t="s">
        <v>3383</v>
      </c>
      <c r="B2938" s="900">
        <v>3.6709753473870323E-4</v>
      </c>
      <c r="C2938" s="900">
        <v>34.13647525443735</v>
      </c>
      <c r="D2938" s="900">
        <v>2.978852127031455</v>
      </c>
      <c r="E2938" s="900">
        <v>1.0292524596189599E-3</v>
      </c>
      <c r="F2938" s="900">
        <v>3.3317656886736553E-2</v>
      </c>
      <c r="G2938" s="900">
        <v>1.7939539807177309E-5</v>
      </c>
      <c r="H2938" s="900">
        <v>1.228117773189554E-6</v>
      </c>
    </row>
    <row r="2939" spans="1:8" x14ac:dyDescent="0.35">
      <c r="A2939" s="900" t="s">
        <v>3438</v>
      </c>
      <c r="B2939" s="900">
        <v>4.2950411564428269E-3</v>
      </c>
      <c r="C2939" s="900">
        <v>399.39676047691688</v>
      </c>
      <c r="D2939" s="900">
        <v>34.852569886268007</v>
      </c>
      <c r="E2939" s="900">
        <v>1.2042253777541831E-2</v>
      </c>
      <c r="F2939" s="900">
        <v>0.38981658557481752</v>
      </c>
      <c r="G2939" s="900">
        <v>2.0989261574397449E-4</v>
      </c>
      <c r="H2939" s="900">
        <v>1.436897794631778E-5</v>
      </c>
    </row>
    <row r="2940" spans="1:8" x14ac:dyDescent="0.35">
      <c r="A2940" s="900" t="s">
        <v>3477</v>
      </c>
      <c r="B2940" s="900">
        <v>1.4683901389548129E-3</v>
      </c>
      <c r="C2940" s="900">
        <v>136.5459010177494</v>
      </c>
      <c r="D2940" s="900">
        <v>11.91540850812582</v>
      </c>
      <c r="E2940" s="900">
        <v>4.1170098384758396E-3</v>
      </c>
      <c r="F2940" s="900">
        <v>0.13327062754694621</v>
      </c>
      <c r="G2940" s="900">
        <v>7.1758159228709251E-5</v>
      </c>
      <c r="H2940" s="900">
        <v>4.9124710927582153E-6</v>
      </c>
    </row>
    <row r="2941" spans="1:8" x14ac:dyDescent="0.35">
      <c r="A2941" s="900" t="s">
        <v>3543</v>
      </c>
      <c r="B2941" s="900">
        <v>2.2025852084322189E-3</v>
      </c>
      <c r="C2941" s="900">
        <v>204.81885152662409</v>
      </c>
      <c r="D2941" s="900">
        <v>17.873112762188729</v>
      </c>
      <c r="E2941" s="900">
        <v>6.1755147577137589E-3</v>
      </c>
      <c r="F2941" s="900">
        <v>0.19990594132041931</v>
      </c>
      <c r="G2941" s="900">
        <v>1.076372388430639E-4</v>
      </c>
      <c r="H2941" s="900">
        <v>7.3687066391373222E-6</v>
      </c>
    </row>
    <row r="2942" spans="1:8" x14ac:dyDescent="0.35">
      <c r="A2942" s="900" t="s">
        <v>3228</v>
      </c>
      <c r="B2942" s="900">
        <v>4.3691557452337692E-3</v>
      </c>
      <c r="C2942" s="900">
        <v>0</v>
      </c>
      <c r="D2942" s="900">
        <v>10.248514530511599</v>
      </c>
      <c r="E2942" s="900">
        <v>6.0614834580150134E-3</v>
      </c>
      <c r="F2942" s="900">
        <v>2.6264392549405812E-3</v>
      </c>
      <c r="G2942" s="900">
        <v>2.6576807836864132E-4</v>
      </c>
      <c r="H2942" s="900">
        <v>1.4513985984035179E-5</v>
      </c>
    </row>
    <row r="2943" spans="1:8" x14ac:dyDescent="0.35">
      <c r="A2943" s="900" t="s">
        <v>3390</v>
      </c>
      <c r="B2943" s="900">
        <v>4.4925782239126891E-4</v>
      </c>
      <c r="D2943" s="900">
        <v>1.0538020590695549</v>
      </c>
      <c r="E2943" s="900">
        <v>6.2327118042866236E-4</v>
      </c>
      <c r="F2943" s="900">
        <v>2.700632454232687E-4</v>
      </c>
      <c r="G2943" s="900">
        <v>2.7327565120391361E-5</v>
      </c>
      <c r="H2943" s="900">
        <v>1.492398558810397E-6</v>
      </c>
    </row>
    <row r="2944" spans="1:8" x14ac:dyDescent="0.35">
      <c r="A2944" s="900" t="s">
        <v>4774</v>
      </c>
      <c r="C2944" s="900">
        <v>0</v>
      </c>
    </row>
    <row r="2945" spans="1:8" x14ac:dyDescent="0.35">
      <c r="A2945" s="900" t="s">
        <v>3440</v>
      </c>
      <c r="B2945" s="900">
        <v>5.2577975917219933E-3</v>
      </c>
      <c r="D2945" s="900">
        <v>12.332958163836</v>
      </c>
      <c r="E2945" s="900">
        <v>7.2943275511706089E-3</v>
      </c>
      <c r="F2945" s="900">
        <v>3.160630289843749E-3</v>
      </c>
      <c r="G2945" s="900">
        <v>3.198226027826022E-4</v>
      </c>
      <c r="H2945" s="900">
        <v>1.7465983133330469E-5</v>
      </c>
    </row>
    <row r="2946" spans="1:8" x14ac:dyDescent="0.35">
      <c r="A2946" s="900" t="s">
        <v>4775</v>
      </c>
      <c r="C2946" s="900">
        <v>0</v>
      </c>
    </row>
    <row r="2947" spans="1:8" x14ac:dyDescent="0.35">
      <c r="A2947" s="900" t="s">
        <v>3486</v>
      </c>
      <c r="B2947" s="900">
        <v>4.9368991471568011E-4</v>
      </c>
      <c r="D2947" s="900">
        <v>1.158024240735775</v>
      </c>
      <c r="E2947" s="900">
        <v>6.8491338508644222E-4</v>
      </c>
      <c r="F2947" s="900">
        <v>2.9677279716842719E-4</v>
      </c>
      <c r="G2947" s="900">
        <v>3.0030291341089409E-5</v>
      </c>
      <c r="H2947" s="900">
        <v>1.639998416275162E-6</v>
      </c>
    </row>
    <row r="2948" spans="1:8" x14ac:dyDescent="0.35">
      <c r="A2948" s="900" t="s">
        <v>4776</v>
      </c>
      <c r="C2948" s="900">
        <v>0</v>
      </c>
    </row>
    <row r="2949" spans="1:8" x14ac:dyDescent="0.35">
      <c r="A2949" s="900" t="s">
        <v>3554</v>
      </c>
      <c r="B2949" s="900">
        <v>4.4432092324411211E-3</v>
      </c>
      <c r="D2949" s="900">
        <v>10.42221816662197</v>
      </c>
      <c r="E2949" s="900">
        <v>6.1642204657779793E-3</v>
      </c>
      <c r="F2949" s="900">
        <v>2.6709551745158449E-3</v>
      </c>
      <c r="G2949" s="900">
        <v>2.7027262206980469E-4</v>
      </c>
      <c r="H2949" s="900">
        <v>1.475998574647646E-5</v>
      </c>
    </row>
    <row r="2950" spans="1:8" x14ac:dyDescent="0.35">
      <c r="A2950" s="900" t="s">
        <v>3620</v>
      </c>
      <c r="C2950" s="900">
        <v>0</v>
      </c>
    </row>
    <row r="2951" spans="1:8" x14ac:dyDescent="0.35">
      <c r="A2951" s="900" t="s">
        <v>3190</v>
      </c>
      <c r="B2951" s="900">
        <v>1.24257572984604E-2</v>
      </c>
      <c r="C2951" s="900">
        <v>175.11695955776389</v>
      </c>
      <c r="D2951" s="900">
        <v>66.577274759620337</v>
      </c>
      <c r="E2951" s="900">
        <v>2.4396608089465772</v>
      </c>
      <c r="F2951" s="900">
        <v>0.80610960907355034</v>
      </c>
      <c r="G2951" s="900">
        <v>4.7029447620199099E-4</v>
      </c>
      <c r="H2951" s="900">
        <v>3.6523905135789659E-5</v>
      </c>
    </row>
    <row r="2952" spans="1:8" x14ac:dyDescent="0.35">
      <c r="A2952" s="900" t="s">
        <v>3341</v>
      </c>
      <c r="B2952" s="900">
        <v>1.503727239169615E-2</v>
      </c>
      <c r="C2952" s="900">
        <v>211.92120190549741</v>
      </c>
      <c r="D2952" s="900">
        <v>80.569786742998176</v>
      </c>
      <c r="E2952" s="900">
        <v>2.9524030806573829</v>
      </c>
      <c r="F2952" s="900">
        <v>0.97552925572629656</v>
      </c>
      <c r="G2952" s="900">
        <v>5.6913602713257888E-4</v>
      </c>
      <c r="H2952" s="900">
        <v>4.4200115706701392E-5</v>
      </c>
    </row>
    <row r="2953" spans="1:8" x14ac:dyDescent="0.35">
      <c r="A2953" s="900" t="s">
        <v>3384</v>
      </c>
      <c r="B2953" s="900">
        <v>3.594343354130918E-3</v>
      </c>
      <c r="C2953" s="900">
        <v>50.65530129580516</v>
      </c>
      <c r="D2953" s="900">
        <v>19.25851111690713</v>
      </c>
      <c r="E2953" s="900">
        <v>0.70570979332239969</v>
      </c>
      <c r="F2953" s="900">
        <v>0.23317972872636031</v>
      </c>
      <c r="G2953" s="900">
        <v>1.360399840765081E-4</v>
      </c>
      <c r="H2953" s="900">
        <v>1.056510702233012E-5</v>
      </c>
    </row>
    <row r="2954" spans="1:8" x14ac:dyDescent="0.35">
      <c r="A2954" s="900" t="s">
        <v>3478</v>
      </c>
      <c r="B2954" s="900">
        <v>5.6161614908295599E-3</v>
      </c>
      <c r="C2954" s="900">
        <v>79.148908274695557</v>
      </c>
      <c r="D2954" s="900">
        <v>30.091423620167379</v>
      </c>
      <c r="E2954" s="900">
        <v>1.10267155206625</v>
      </c>
      <c r="F2954" s="900">
        <v>0.36434332613493797</v>
      </c>
      <c r="G2954" s="900">
        <v>2.1256247511954401E-4</v>
      </c>
      <c r="H2954" s="900">
        <v>1.650797972239081E-5</v>
      </c>
    </row>
    <row r="2955" spans="1:8" x14ac:dyDescent="0.35">
      <c r="A2955" s="900" t="s">
        <v>3544</v>
      </c>
      <c r="B2955" s="900">
        <v>8.4242422362443403E-3</v>
      </c>
      <c r="C2955" s="900">
        <v>118.7233624120433</v>
      </c>
      <c r="D2955" s="900">
        <v>45.137135430251071</v>
      </c>
      <c r="E2955" s="900">
        <v>1.6540073280993739</v>
      </c>
      <c r="F2955" s="900">
        <v>0.54651498920240693</v>
      </c>
      <c r="G2955" s="900">
        <v>3.1884371267931592E-4</v>
      </c>
      <c r="H2955" s="900">
        <v>2.4761969583586208E-5</v>
      </c>
    </row>
    <row r="2956" spans="1:8" x14ac:dyDescent="0.35">
      <c r="A2956" s="900" t="s">
        <v>3230</v>
      </c>
      <c r="B2956" s="900">
        <v>4.4555423953104162E-2</v>
      </c>
      <c r="C2956" s="900">
        <v>0</v>
      </c>
      <c r="D2956" s="900">
        <v>516.7224693211632</v>
      </c>
      <c r="E2956" s="900">
        <v>745.17498701764748</v>
      </c>
      <c r="F2956" s="900">
        <v>832.04562574282693</v>
      </c>
      <c r="G2956" s="900">
        <v>393.17869445046762</v>
      </c>
      <c r="H2956" s="900">
        <v>2.4866938279362631E-4</v>
      </c>
    </row>
    <row r="2957" spans="1:8" x14ac:dyDescent="0.35">
      <c r="A2957" s="900" t="s">
        <v>3346</v>
      </c>
      <c r="B2957" s="900">
        <v>4.90864840161317E-2</v>
      </c>
      <c r="D2957" s="900">
        <v>569.27051704873907</v>
      </c>
      <c r="E2957" s="900">
        <v>820.95549417198458</v>
      </c>
      <c r="F2957" s="900">
        <v>916.66043514040257</v>
      </c>
      <c r="G2957" s="900">
        <v>433.16296846237958</v>
      </c>
      <c r="H2957" s="900">
        <v>2.7395779460314762E-4</v>
      </c>
    </row>
    <row r="2958" spans="1:8" x14ac:dyDescent="0.35">
      <c r="A2958" s="900" t="s">
        <v>4777</v>
      </c>
      <c r="C2958" s="900">
        <v>0</v>
      </c>
    </row>
    <row r="2959" spans="1:8" x14ac:dyDescent="0.35">
      <c r="A2959" s="900" t="s">
        <v>3391</v>
      </c>
      <c r="B2959" s="900">
        <v>1.1730411052060191E-2</v>
      </c>
      <c r="D2959" s="900">
        <v>136.04105689472431</v>
      </c>
      <c r="E2959" s="900">
        <v>196.18731296622809</v>
      </c>
      <c r="F2959" s="900">
        <v>219.05833988483471</v>
      </c>
      <c r="G2959" s="900">
        <v>103.5148427197276</v>
      </c>
      <c r="H2959" s="900">
        <v>6.54688883513163E-5</v>
      </c>
    </row>
    <row r="2960" spans="1:8" x14ac:dyDescent="0.35">
      <c r="A2960" s="900" t="s">
        <v>4778</v>
      </c>
      <c r="C2960" s="900">
        <v>0</v>
      </c>
    </row>
    <row r="2961" spans="1:8" x14ac:dyDescent="0.35">
      <c r="A2961" s="900" t="s">
        <v>3487</v>
      </c>
      <c r="B2961" s="900">
        <v>5.0345111811417129E-3</v>
      </c>
      <c r="D2961" s="900">
        <v>58.386719697306567</v>
      </c>
      <c r="E2961" s="900">
        <v>84.20056350481893</v>
      </c>
      <c r="F2961" s="900">
        <v>94.016454886195135</v>
      </c>
      <c r="G2961" s="900">
        <v>44.426971124346622</v>
      </c>
      <c r="H2961" s="900">
        <v>2.8098235343912579E-5</v>
      </c>
    </row>
    <row r="2962" spans="1:8" x14ac:dyDescent="0.35">
      <c r="A2962" s="900" t="s">
        <v>4779</v>
      </c>
      <c r="C2962" s="900">
        <v>0</v>
      </c>
    </row>
    <row r="2963" spans="1:8" x14ac:dyDescent="0.35">
      <c r="A2963" s="900" t="s">
        <v>3555</v>
      </c>
      <c r="B2963" s="900">
        <v>4.5310600630275408E-2</v>
      </c>
      <c r="D2963" s="900">
        <v>525.4804772757592</v>
      </c>
      <c r="E2963" s="900">
        <v>757.80507154337033</v>
      </c>
      <c r="F2963" s="900">
        <v>846.14809397575607</v>
      </c>
      <c r="G2963" s="900">
        <v>399.84274011911958</v>
      </c>
      <c r="H2963" s="900">
        <v>2.5288411809521317E-4</v>
      </c>
    </row>
    <row r="2964" spans="1:8" x14ac:dyDescent="0.35">
      <c r="A2964" s="900" t="s">
        <v>3621</v>
      </c>
      <c r="C2964" s="900">
        <v>0</v>
      </c>
    </row>
    <row r="2965" spans="1:8" x14ac:dyDescent="0.35">
      <c r="A2965" s="900" t="s">
        <v>3204</v>
      </c>
      <c r="B2965" s="900">
        <v>1.665678390730916E-2</v>
      </c>
      <c r="C2965" s="900">
        <v>0</v>
      </c>
      <c r="D2965" s="900">
        <v>2.303716544461373</v>
      </c>
      <c r="E2965" s="900">
        <v>5.4381980679796176E-3</v>
      </c>
      <c r="F2965" s="900">
        <v>6.4086958064274464E-3</v>
      </c>
      <c r="G2965" s="900">
        <v>3.6817640867533203E-4</v>
      </c>
      <c r="H2965" s="900">
        <v>4.824636687508741E-5</v>
      </c>
    </row>
    <row r="2966" spans="1:8" x14ac:dyDescent="0.35">
      <c r="A2966" s="900" t="s">
        <v>3343</v>
      </c>
      <c r="B2966" s="900">
        <v>5.2699429311260622E-3</v>
      </c>
      <c r="D2966" s="900">
        <v>0.7288594716939939</v>
      </c>
      <c r="E2966" s="900">
        <v>1.7205598407167161E-3</v>
      </c>
      <c r="F2966" s="900">
        <v>2.0276099726550109E-3</v>
      </c>
      <c r="G2966" s="900">
        <v>1.164851914453028E-4</v>
      </c>
      <c r="H2966" s="900">
        <v>1.5264387259914659E-5</v>
      </c>
    </row>
    <row r="2967" spans="1:8" x14ac:dyDescent="0.35">
      <c r="A2967" s="900" t="s">
        <v>4780</v>
      </c>
      <c r="C2967" s="900">
        <v>0</v>
      </c>
    </row>
    <row r="2968" spans="1:8" x14ac:dyDescent="0.35">
      <c r="A2968" s="900" t="s">
        <v>3387</v>
      </c>
      <c r="B2968" s="900">
        <v>1.5828650018132211E-2</v>
      </c>
      <c r="D2968" s="900">
        <v>2.1891814846237461</v>
      </c>
      <c r="E2968" s="900">
        <v>5.1678243787241342E-3</v>
      </c>
      <c r="F2968" s="900">
        <v>6.0900713821530877E-3</v>
      </c>
      <c r="G2968" s="900">
        <v>3.4987159287678442E-4</v>
      </c>
      <c r="H2968" s="900">
        <v>4.5847677448529392E-5</v>
      </c>
    </row>
    <row r="2969" spans="1:8" x14ac:dyDescent="0.35">
      <c r="A2969" s="900" t="s">
        <v>4781</v>
      </c>
      <c r="C2969" s="900">
        <v>0</v>
      </c>
    </row>
    <row r="2970" spans="1:8" x14ac:dyDescent="0.35">
      <c r="A2970" s="900" t="s">
        <v>3481</v>
      </c>
      <c r="B2970" s="900">
        <v>7.5284899016086586E-3</v>
      </c>
      <c r="D2970" s="900">
        <v>1.041227816705705</v>
      </c>
      <c r="E2970" s="900">
        <v>2.457942629595308E-3</v>
      </c>
      <c r="F2970" s="900">
        <v>2.8965856752214449E-3</v>
      </c>
      <c r="G2970" s="900">
        <v>1.6640741635043249E-4</v>
      </c>
      <c r="H2970" s="900">
        <v>2.18062675141638E-5</v>
      </c>
    </row>
    <row r="2971" spans="1:8" x14ac:dyDescent="0.35">
      <c r="A2971" s="900" t="s">
        <v>4782</v>
      </c>
      <c r="C2971" s="900">
        <v>0</v>
      </c>
    </row>
    <row r="2972" spans="1:8" x14ac:dyDescent="0.35">
      <c r="A2972" s="900" t="s">
        <v>3547</v>
      </c>
      <c r="B2972" s="900">
        <v>1.129273485241299E-2</v>
      </c>
      <c r="D2972" s="900">
        <v>1.5618417250585579</v>
      </c>
      <c r="E2972" s="900">
        <v>3.686913944392961E-3</v>
      </c>
      <c r="F2972" s="900">
        <v>4.3448785128321664E-3</v>
      </c>
      <c r="G2972" s="900">
        <v>2.496111245256488E-4</v>
      </c>
      <c r="H2972" s="900">
        <v>3.2709401271245698E-5</v>
      </c>
    </row>
    <row r="2973" spans="1:8" x14ac:dyDescent="0.35">
      <c r="A2973" s="900" t="s">
        <v>3615</v>
      </c>
      <c r="C2973" s="900">
        <v>0</v>
      </c>
    </row>
    <row r="2974" spans="1:8" x14ac:dyDescent="0.35">
      <c r="A2974" s="900" t="s">
        <v>3234</v>
      </c>
      <c r="B2974" s="900">
        <v>0.19864172814470479</v>
      </c>
      <c r="C2974" s="900">
        <v>0</v>
      </c>
      <c r="D2974" s="900">
        <v>3.6919256232243378</v>
      </c>
      <c r="E2974" s="900">
        <v>1.294999092340144E-2</v>
      </c>
      <c r="F2974" s="900">
        <v>433.6188209737108</v>
      </c>
      <c r="G2974" s="900">
        <v>621.95826648894786</v>
      </c>
      <c r="H2974" s="900">
        <v>0.81513681434442375</v>
      </c>
    </row>
    <row r="2975" spans="1:8" x14ac:dyDescent="0.35">
      <c r="A2975" s="900" t="s">
        <v>3348</v>
      </c>
      <c r="B2975" s="900">
        <v>5.7235752177287817E-2</v>
      </c>
      <c r="D2975" s="900">
        <v>1.063775179573115</v>
      </c>
      <c r="E2975" s="900">
        <v>3.73135331691228E-3</v>
      </c>
      <c r="F2975" s="900">
        <v>124.9410162127641</v>
      </c>
      <c r="G2975" s="900">
        <v>179.20831407308671</v>
      </c>
      <c r="H2975" s="900">
        <v>0.23486992955686789</v>
      </c>
    </row>
    <row r="2976" spans="1:8" x14ac:dyDescent="0.35">
      <c r="A2976" s="900" t="s">
        <v>4783</v>
      </c>
      <c r="C2976" s="900">
        <v>0</v>
      </c>
    </row>
    <row r="2977" spans="1:8" x14ac:dyDescent="0.35">
      <c r="A2977" s="900" t="s">
        <v>3394</v>
      </c>
      <c r="B2977" s="900">
        <v>0.1717072565318635</v>
      </c>
      <c r="D2977" s="900">
        <v>3.1913255387193442</v>
      </c>
      <c r="E2977" s="900">
        <v>1.1194059950736839E-2</v>
      </c>
      <c r="F2977" s="900">
        <v>374.82304863829239</v>
      </c>
      <c r="G2977" s="900">
        <v>537.62494221925999</v>
      </c>
      <c r="H2977" s="900">
        <v>0.70460978867060375</v>
      </c>
    </row>
    <row r="2978" spans="1:8" x14ac:dyDescent="0.35">
      <c r="A2978" s="900" t="s">
        <v>4784</v>
      </c>
      <c r="C2978" s="900">
        <v>0</v>
      </c>
    </row>
    <row r="2979" spans="1:8" x14ac:dyDescent="0.35">
      <c r="A2979" s="900" t="s">
        <v>3490</v>
      </c>
      <c r="B2979" s="900">
        <v>2.2445393010701111E-2</v>
      </c>
      <c r="D2979" s="900">
        <v>0.41716673708749591</v>
      </c>
      <c r="E2979" s="900">
        <v>1.463275810553835E-3</v>
      </c>
      <c r="F2979" s="900">
        <v>48.996476946182007</v>
      </c>
      <c r="G2979" s="900">
        <v>70.277770224739882</v>
      </c>
      <c r="H2979" s="900">
        <v>9.2105854728183501E-2</v>
      </c>
    </row>
    <row r="2980" spans="1:8" x14ac:dyDescent="0.35">
      <c r="A2980" s="900" t="s">
        <v>4785</v>
      </c>
      <c r="C2980" s="900">
        <v>0</v>
      </c>
    </row>
    <row r="2981" spans="1:8" x14ac:dyDescent="0.35">
      <c r="A2981" s="900" t="s">
        <v>3558</v>
      </c>
      <c r="B2981" s="900">
        <v>0.20200853709630989</v>
      </c>
      <c r="D2981" s="900">
        <v>3.7545006337874631</v>
      </c>
      <c r="E2981" s="900">
        <v>1.3169482294984519E-2</v>
      </c>
      <c r="F2981" s="900">
        <v>440.9682925156381</v>
      </c>
      <c r="G2981" s="900">
        <v>632.49993202265887</v>
      </c>
      <c r="H2981" s="900">
        <v>0.82895269255365123</v>
      </c>
    </row>
    <row r="2982" spans="1:8" x14ac:dyDescent="0.35">
      <c r="A2982" s="900" t="s">
        <v>3624</v>
      </c>
      <c r="C2982" s="900">
        <v>0</v>
      </c>
    </row>
    <row r="2983" spans="1:8" x14ac:dyDescent="0.35">
      <c r="A2983" s="900" t="s">
        <v>3318</v>
      </c>
      <c r="B2983" s="900">
        <v>6.3375149659778938E-3</v>
      </c>
      <c r="C2983" s="900">
        <v>0</v>
      </c>
      <c r="D2983" s="900">
        <v>2.6803061530601382</v>
      </c>
      <c r="E2983" s="900">
        <v>1.6350137619558401E-3</v>
      </c>
      <c r="F2983" s="900">
        <v>5.0714288151281677E-4</v>
      </c>
      <c r="G2983" s="900">
        <v>6.9262658443718103E-5</v>
      </c>
      <c r="H2983" s="900">
        <v>1.9241757281272149E-5</v>
      </c>
    </row>
    <row r="2984" spans="1:8" x14ac:dyDescent="0.35">
      <c r="A2984" s="900" t="s">
        <v>3372</v>
      </c>
      <c r="B2984" s="900">
        <v>2.761345806604654E-2</v>
      </c>
      <c r="D2984" s="900">
        <v>11.67847680976203</v>
      </c>
      <c r="E2984" s="900">
        <v>7.1239885342361574E-3</v>
      </c>
      <c r="F2984" s="900">
        <v>2.209693983734416E-3</v>
      </c>
      <c r="G2984" s="900">
        <v>3.0178729750477172E-4</v>
      </c>
      <c r="H2984" s="900">
        <v>8.383908529697148E-5</v>
      </c>
    </row>
    <row r="2985" spans="1:8" x14ac:dyDescent="0.35">
      <c r="A2985" s="900" t="s">
        <v>4786</v>
      </c>
      <c r="C2985" s="900">
        <v>0</v>
      </c>
    </row>
    <row r="2986" spans="1:8" x14ac:dyDescent="0.35">
      <c r="A2986" s="900" t="s">
        <v>3426</v>
      </c>
      <c r="B2986" s="900">
        <v>1.1316991010674811E-3</v>
      </c>
      <c r="D2986" s="900">
        <v>0.47862609876073892</v>
      </c>
      <c r="E2986" s="900">
        <v>2.9196674320640002E-4</v>
      </c>
      <c r="F2986" s="900">
        <v>9.0561228841574422E-5</v>
      </c>
      <c r="G2986" s="900">
        <v>1.2368331864949661E-5</v>
      </c>
      <c r="H2986" s="900">
        <v>3.436028085941455E-6</v>
      </c>
    </row>
    <row r="2987" spans="1:8" x14ac:dyDescent="0.35">
      <c r="A2987" s="900" t="s">
        <v>4787</v>
      </c>
      <c r="C2987" s="900">
        <v>0</v>
      </c>
    </row>
    <row r="2988" spans="1:8" x14ac:dyDescent="0.35">
      <c r="A2988" s="900" t="s">
        <v>3527</v>
      </c>
      <c r="B2988" s="900">
        <v>6.3375149659778938E-3</v>
      </c>
      <c r="D2988" s="900">
        <v>2.6803061530601382</v>
      </c>
      <c r="E2988" s="900">
        <v>1.6350137619558401E-3</v>
      </c>
      <c r="F2988" s="900">
        <v>5.0714288151281677E-4</v>
      </c>
      <c r="G2988" s="900">
        <v>6.9262658443718103E-5</v>
      </c>
      <c r="H2988" s="900">
        <v>1.9241757281272149E-5</v>
      </c>
    </row>
    <row r="2989" spans="1:8" x14ac:dyDescent="0.35">
      <c r="A2989" s="900" t="s">
        <v>4788</v>
      </c>
      <c r="C2989" s="900">
        <v>0</v>
      </c>
    </row>
    <row r="2990" spans="1:8" x14ac:dyDescent="0.35">
      <c r="A2990" s="900" t="s">
        <v>3466</v>
      </c>
      <c r="B2990" s="900">
        <v>3.4856332312878419E-3</v>
      </c>
      <c r="D2990" s="900">
        <v>1.4741683841830759</v>
      </c>
      <c r="E2990" s="900">
        <v>8.9925756907571189E-4</v>
      </c>
      <c r="F2990" s="900">
        <v>2.7892858483204923E-4</v>
      </c>
      <c r="G2990" s="900">
        <v>3.8094462144044961E-5</v>
      </c>
      <c r="H2990" s="900">
        <v>1.0582966504699679E-5</v>
      </c>
    </row>
    <row r="2991" spans="1:8" x14ac:dyDescent="0.35">
      <c r="A2991" s="900" t="s">
        <v>4789</v>
      </c>
      <c r="C2991" s="900">
        <v>0</v>
      </c>
    </row>
    <row r="2992" spans="1:8" x14ac:dyDescent="0.35">
      <c r="A2992" s="900" t="s">
        <v>3595</v>
      </c>
      <c r="B2992" s="900">
        <v>2.716077842561955E-3</v>
      </c>
      <c r="D2992" s="900">
        <v>1.1487026370257729</v>
      </c>
      <c r="E2992" s="900">
        <v>7.0072018369535976E-4</v>
      </c>
      <c r="F2992" s="900">
        <v>2.1734694921977859E-4</v>
      </c>
      <c r="G2992" s="900">
        <v>2.9683996475879181E-5</v>
      </c>
      <c r="H2992" s="900">
        <v>8.2464674062594897E-6</v>
      </c>
    </row>
    <row r="2993" spans="1:8" x14ac:dyDescent="0.35">
      <c r="A2993" s="900" t="s">
        <v>3661</v>
      </c>
      <c r="C2993" s="900">
        <v>0</v>
      </c>
    </row>
    <row r="2994" spans="1:8" x14ac:dyDescent="0.35">
      <c r="A2994" s="900" t="s">
        <v>3330</v>
      </c>
      <c r="B2994" s="900">
        <v>6.4817072077992819E-3</v>
      </c>
      <c r="C2994" s="900">
        <v>0</v>
      </c>
      <c r="D2994" s="900">
        <v>2.776794744844632</v>
      </c>
      <c r="E2994" s="900">
        <v>2.1432553092598709E-3</v>
      </c>
      <c r="F2994" s="900">
        <v>6.173927627922028E-4</v>
      </c>
      <c r="G2994" s="900">
        <v>4.2013867876626087E-5</v>
      </c>
      <c r="H2994" s="900">
        <v>1.8196775053697779E-5</v>
      </c>
    </row>
    <row r="2995" spans="1:8" x14ac:dyDescent="0.35">
      <c r="A2995" s="900" t="s">
        <v>3377</v>
      </c>
      <c r="B2995" s="900">
        <v>2.633425042711594E-2</v>
      </c>
      <c r="D2995" s="900">
        <v>11.28172036334019</v>
      </c>
      <c r="E2995" s="900">
        <v>8.7077401421929625E-3</v>
      </c>
      <c r="F2995" s="900">
        <v>2.5083785962586071E-3</v>
      </c>
      <c r="G2995" s="900">
        <v>1.7069634320160661E-4</v>
      </c>
      <c r="H2995" s="900">
        <v>7.3930897503880668E-5</v>
      </c>
    </row>
    <row r="2996" spans="1:8" x14ac:dyDescent="0.35">
      <c r="A2996" s="900" t="s">
        <v>4790</v>
      </c>
      <c r="C2996" s="900">
        <v>0</v>
      </c>
    </row>
    <row r="2997" spans="1:8" x14ac:dyDescent="0.35">
      <c r="A2997" s="900" t="s">
        <v>3432</v>
      </c>
      <c r="B2997" s="900">
        <v>1.0926306436004501E-3</v>
      </c>
      <c r="D2997" s="900">
        <v>0.46808825698809498</v>
      </c>
      <c r="E2997" s="900">
        <v>3.6129160927523537E-4</v>
      </c>
      <c r="F2997" s="900">
        <v>1.040747800135427E-4</v>
      </c>
      <c r="G2997" s="900">
        <v>7.0823377277741128E-6</v>
      </c>
      <c r="H2997" s="900">
        <v>3.0674563661947682E-6</v>
      </c>
    </row>
    <row r="2998" spans="1:8" x14ac:dyDescent="0.35">
      <c r="A2998" s="900" t="s">
        <v>4791</v>
      </c>
      <c r="C2998" s="900">
        <v>0</v>
      </c>
    </row>
    <row r="2999" spans="1:8" x14ac:dyDescent="0.35">
      <c r="A2999" s="900" t="s">
        <v>3534</v>
      </c>
      <c r="B2999" s="900">
        <v>4.6297908627137728E-3</v>
      </c>
      <c r="D2999" s="900">
        <v>1.9834248177461651</v>
      </c>
      <c r="E2999" s="900">
        <v>1.5308966494713371E-3</v>
      </c>
      <c r="F2999" s="900">
        <v>4.4099483056585909E-4</v>
      </c>
      <c r="G2999" s="900">
        <v>3.0009905626161499E-5</v>
      </c>
      <c r="H2999" s="900">
        <v>1.299769646692698E-5</v>
      </c>
    </row>
    <row r="3000" spans="1:8" x14ac:dyDescent="0.35">
      <c r="A3000" s="900" t="s">
        <v>4792</v>
      </c>
      <c r="C3000" s="900">
        <v>0</v>
      </c>
    </row>
    <row r="3001" spans="1:8" x14ac:dyDescent="0.35">
      <c r="A3001" s="900" t="s">
        <v>3469</v>
      </c>
      <c r="B3001" s="900">
        <v>3.351968584604772E-3</v>
      </c>
      <c r="D3001" s="900">
        <v>1.435999568048224</v>
      </c>
      <c r="E3001" s="900">
        <v>1.1083691742172479E-3</v>
      </c>
      <c r="F3001" s="900">
        <v>3.19280257329682E-4</v>
      </c>
      <c r="G3001" s="900">
        <v>2.1727171673340922E-5</v>
      </c>
      <c r="H3001" s="900">
        <v>9.4103322420551344E-6</v>
      </c>
    </row>
    <row r="3002" spans="1:8" x14ac:dyDescent="0.35">
      <c r="A3002" s="900" t="s">
        <v>4793</v>
      </c>
      <c r="C3002" s="900">
        <v>0</v>
      </c>
    </row>
    <row r="3003" spans="1:8" x14ac:dyDescent="0.35">
      <c r="A3003" s="900" t="s">
        <v>3602</v>
      </c>
      <c r="B3003" s="900">
        <v>4.6297908627137728E-3</v>
      </c>
      <c r="D3003" s="900">
        <v>1.9834248177461651</v>
      </c>
      <c r="E3003" s="900">
        <v>1.5308966494713371E-3</v>
      </c>
      <c r="F3003" s="900">
        <v>4.4099483056585909E-4</v>
      </c>
      <c r="G3003" s="900">
        <v>3.0009905626161499E-5</v>
      </c>
      <c r="H3003" s="900">
        <v>1.299769646692698E-5</v>
      </c>
    </row>
    <row r="3004" spans="1:8" x14ac:dyDescent="0.35">
      <c r="A3004" s="900" t="s">
        <v>3668</v>
      </c>
      <c r="C3004" s="900">
        <v>0</v>
      </c>
    </row>
    <row r="3005" spans="1:8" x14ac:dyDescent="0.35">
      <c r="A3005" s="900" t="s">
        <v>3311</v>
      </c>
      <c r="B3005" s="900">
        <v>306.65037821343549</v>
      </c>
      <c r="C3005" s="900">
        <v>119.13593035283201</v>
      </c>
      <c r="D3005" s="900">
        <v>116.79694602132329</v>
      </c>
      <c r="E3005" s="900">
        <v>308.89667940820379</v>
      </c>
      <c r="F3005" s="900">
        <v>297.81753087972692</v>
      </c>
      <c r="G3005" s="900">
        <v>261.92381577805043</v>
      </c>
      <c r="H3005" s="900">
        <v>306.67222392825261</v>
      </c>
    </row>
    <row r="3006" spans="1:8" x14ac:dyDescent="0.35">
      <c r="A3006" s="900" t="s">
        <v>3423</v>
      </c>
      <c r="B3006" s="900">
        <v>547.58996109542068</v>
      </c>
      <c r="C3006" s="900">
        <v>212.74273277291439</v>
      </c>
      <c r="D3006" s="900">
        <v>208.56597503807731</v>
      </c>
      <c r="E3006" s="900">
        <v>551.60121322893531</v>
      </c>
      <c r="F3006" s="900">
        <v>531.81701942808377</v>
      </c>
      <c r="G3006" s="900">
        <v>467.7210996036614</v>
      </c>
      <c r="H3006" s="900">
        <v>547.6289713004511</v>
      </c>
    </row>
    <row r="3007" spans="1:8" x14ac:dyDescent="0.35">
      <c r="A3007" s="900" t="s">
        <v>3523</v>
      </c>
      <c r="B3007" s="900">
        <v>306.65037821343549</v>
      </c>
      <c r="C3007" s="900">
        <v>119.13593035283201</v>
      </c>
      <c r="D3007" s="900">
        <v>116.79694602132329</v>
      </c>
      <c r="E3007" s="900">
        <v>308.89667940820379</v>
      </c>
      <c r="F3007" s="900">
        <v>297.81753087972692</v>
      </c>
      <c r="G3007" s="900">
        <v>261.92381577805043</v>
      </c>
      <c r="H3007" s="900">
        <v>306.67222392825261</v>
      </c>
    </row>
    <row r="3008" spans="1:8" x14ac:dyDescent="0.35">
      <c r="A3008" s="900" t="s">
        <v>3591</v>
      </c>
      <c r="B3008" s="900">
        <v>131.42159066290091</v>
      </c>
      <c r="C3008" s="900">
        <v>51.05825586549944</v>
      </c>
      <c r="D3008" s="900">
        <v>50.055834009138557</v>
      </c>
      <c r="E3008" s="900">
        <v>132.38429117494451</v>
      </c>
      <c r="F3008" s="900">
        <v>127.6360846627401</v>
      </c>
      <c r="G3008" s="900">
        <v>112.2530639048787</v>
      </c>
      <c r="H3008" s="900">
        <v>131.43095311210831</v>
      </c>
    </row>
    <row r="3009" spans="1:8" x14ac:dyDescent="0.35">
      <c r="A3009" s="900" t="s">
        <v>3323</v>
      </c>
      <c r="B3009" s="900">
        <v>99.584176731920195</v>
      </c>
      <c r="C3009" s="900">
        <v>0</v>
      </c>
      <c r="D3009" s="900">
        <v>12.78614739677997</v>
      </c>
      <c r="E3009" s="900">
        <v>42.920549769110771</v>
      </c>
      <c r="F3009" s="900">
        <v>88.473829383044233</v>
      </c>
      <c r="G3009" s="900">
        <v>97.462804580471612</v>
      </c>
      <c r="H3009" s="900">
        <v>99.677361151283804</v>
      </c>
    </row>
    <row r="3010" spans="1:8" x14ac:dyDescent="0.35">
      <c r="A3010" s="900" t="s">
        <v>3429</v>
      </c>
      <c r="B3010" s="900">
        <v>167.15915380000891</v>
      </c>
      <c r="D3010" s="900">
        <v>21.462461701737801</v>
      </c>
      <c r="E3010" s="900">
        <v>72.045208541007369</v>
      </c>
      <c r="F3010" s="900">
        <v>148.50964217868139</v>
      </c>
      <c r="G3010" s="900">
        <v>163.59827911722019</v>
      </c>
      <c r="H3010" s="900">
        <v>167.31557050394071</v>
      </c>
    </row>
    <row r="3011" spans="1:8" x14ac:dyDescent="0.35">
      <c r="A3011" s="900" t="s">
        <v>4794</v>
      </c>
      <c r="C3011" s="900">
        <v>0</v>
      </c>
    </row>
    <row r="3012" spans="1:8" x14ac:dyDescent="0.35">
      <c r="A3012" s="900" t="s">
        <v>3530</v>
      </c>
      <c r="B3012" s="900">
        <v>71.131554808514423</v>
      </c>
      <c r="D3012" s="900">
        <v>9.1329624262714066</v>
      </c>
      <c r="E3012" s="900">
        <v>30.657535549364841</v>
      </c>
      <c r="F3012" s="900">
        <v>63.195592416460173</v>
      </c>
      <c r="G3012" s="900">
        <v>69.616288986051146</v>
      </c>
      <c r="H3012" s="900">
        <v>71.198115108059852</v>
      </c>
    </row>
    <row r="3013" spans="1:8" x14ac:dyDescent="0.35">
      <c r="A3013" s="900" t="s">
        <v>4795</v>
      </c>
      <c r="C3013" s="900">
        <v>0</v>
      </c>
    </row>
    <row r="3014" spans="1:8" x14ac:dyDescent="0.35">
      <c r="A3014" s="900" t="s">
        <v>3598</v>
      </c>
      <c r="B3014" s="900">
        <v>71.131554808514423</v>
      </c>
      <c r="D3014" s="900">
        <v>9.1329624262714066</v>
      </c>
      <c r="E3014" s="900">
        <v>30.657535549364841</v>
      </c>
      <c r="F3014" s="900">
        <v>63.195592416460173</v>
      </c>
      <c r="G3014" s="900">
        <v>69.616288986051146</v>
      </c>
      <c r="H3014" s="900">
        <v>71.198115108059852</v>
      </c>
    </row>
    <row r="3015" spans="1:8" x14ac:dyDescent="0.35">
      <c r="A3015" s="900" t="s">
        <v>3664</v>
      </c>
      <c r="C3015" s="900">
        <v>0</v>
      </c>
    </row>
    <row r="3016" spans="1:8" x14ac:dyDescent="0.35">
      <c r="A3016" s="900" t="s">
        <v>3312</v>
      </c>
      <c r="B3016" s="900">
        <v>5.2333199991775152E-3</v>
      </c>
      <c r="C3016" s="900">
        <v>0</v>
      </c>
      <c r="D3016" s="900">
        <v>40.070836117188897</v>
      </c>
      <c r="E3016" s="900">
        <v>0.53957771128956877</v>
      </c>
      <c r="F3016" s="900">
        <v>5.857199741597771E-4</v>
      </c>
      <c r="G3016" s="900">
        <v>9.1806603240414294E-5</v>
      </c>
      <c r="H3016" s="900">
        <v>1.6214666254822601E-5</v>
      </c>
    </row>
    <row r="3017" spans="1:8" x14ac:dyDescent="0.35">
      <c r="A3017" s="900" t="s">
        <v>3369</v>
      </c>
      <c r="B3017" s="900">
        <v>2.4424652053304199E-2</v>
      </c>
      <c r="D3017" s="900">
        <v>187.0163165640802</v>
      </c>
      <c r="E3017" s="900">
        <v>2.5182862611186021</v>
      </c>
      <c r="F3017" s="900">
        <v>2.7336387936857031E-3</v>
      </c>
      <c r="G3017" s="900">
        <v>4.2847453255204779E-4</v>
      </c>
      <c r="H3017" s="900">
        <v>7.5676163792150604E-5</v>
      </c>
    </row>
    <row r="3018" spans="1:8" x14ac:dyDescent="0.35">
      <c r="A3018" s="900" t="s">
        <v>4796</v>
      </c>
      <c r="C3018" s="900">
        <v>0</v>
      </c>
    </row>
    <row r="3019" spans="1:8" x14ac:dyDescent="0.35">
      <c r="A3019" s="900" t="s">
        <v>3524</v>
      </c>
      <c r="B3019" s="900">
        <v>5.2333199991775152E-3</v>
      </c>
      <c r="D3019" s="900">
        <v>40.070836117188897</v>
      </c>
      <c r="E3019" s="900">
        <v>0.53957771128956877</v>
      </c>
      <c r="F3019" s="900">
        <v>5.857199741597771E-4</v>
      </c>
      <c r="G3019" s="900">
        <v>9.1806603240414294E-5</v>
      </c>
      <c r="H3019" s="900">
        <v>1.6214666254822601E-5</v>
      </c>
    </row>
    <row r="3020" spans="1:8" x14ac:dyDescent="0.35">
      <c r="A3020" s="900" t="s">
        <v>4797</v>
      </c>
      <c r="C3020" s="900">
        <v>0</v>
      </c>
    </row>
    <row r="3021" spans="1:8" x14ac:dyDescent="0.35">
      <c r="A3021" s="900" t="s">
        <v>3592</v>
      </c>
      <c r="B3021" s="900">
        <v>2.2428514282189348E-3</v>
      </c>
      <c r="D3021" s="900">
        <v>17.173215478795239</v>
      </c>
      <c r="E3021" s="900">
        <v>0.2312475905526723</v>
      </c>
      <c r="F3021" s="900">
        <v>2.5102284606847591E-4</v>
      </c>
      <c r="G3021" s="900">
        <v>3.9345687103034703E-5</v>
      </c>
      <c r="H3021" s="900">
        <v>6.9491426806382553E-6</v>
      </c>
    </row>
    <row r="3022" spans="1:8" x14ac:dyDescent="0.35">
      <c r="A3022" s="900" t="s">
        <v>3658</v>
      </c>
      <c r="C3022" s="900">
        <v>0</v>
      </c>
    </row>
    <row r="3023" spans="1:8" x14ac:dyDescent="0.35">
      <c r="A3023" s="900" t="s">
        <v>3324</v>
      </c>
      <c r="B3023" s="900">
        <v>6.6812239486115912E-3</v>
      </c>
      <c r="C3023" s="900">
        <v>0</v>
      </c>
      <c r="D3023" s="900">
        <v>35.047333408378151</v>
      </c>
      <c r="E3023" s="900">
        <v>0.54615512117737253</v>
      </c>
      <c r="F3023" s="900">
        <v>6.951535999053267E-4</v>
      </c>
      <c r="G3023" s="900">
        <v>4.5961590186115883E-5</v>
      </c>
      <c r="H3023" s="900">
        <v>1.8360111952196208E-5</v>
      </c>
    </row>
    <row r="3024" spans="1:8" x14ac:dyDescent="0.35">
      <c r="A3024" s="900" t="s">
        <v>3374</v>
      </c>
      <c r="B3024" s="900">
        <v>3.140175255847448E-2</v>
      </c>
      <c r="D3024" s="900">
        <v>164.72246701937729</v>
      </c>
      <c r="E3024" s="900">
        <v>2.5669290695336509</v>
      </c>
      <c r="F3024" s="900">
        <v>3.2672219195550361E-3</v>
      </c>
      <c r="G3024" s="900">
        <v>2.1601947387474461E-4</v>
      </c>
      <c r="H3024" s="900">
        <v>8.6292526175322192E-5</v>
      </c>
    </row>
    <row r="3025" spans="1:8" x14ac:dyDescent="0.35">
      <c r="A3025" s="900" t="s">
        <v>4798</v>
      </c>
      <c r="C3025" s="900">
        <v>0</v>
      </c>
    </row>
    <row r="3026" spans="1:8" x14ac:dyDescent="0.35">
      <c r="A3026" s="900" t="s">
        <v>3531</v>
      </c>
      <c r="B3026" s="900">
        <v>4.7723028204368512E-3</v>
      </c>
      <c r="D3026" s="900">
        <v>25.033809577412971</v>
      </c>
      <c r="E3026" s="900">
        <v>0.39011080084098038</v>
      </c>
      <c r="F3026" s="900">
        <v>4.9653828564666196E-4</v>
      </c>
      <c r="G3026" s="900">
        <v>3.2829707275797052E-5</v>
      </c>
      <c r="H3026" s="900">
        <v>1.311436568014015E-5</v>
      </c>
    </row>
    <row r="3027" spans="1:8" x14ac:dyDescent="0.35">
      <c r="A3027" s="900" t="s">
        <v>4799</v>
      </c>
      <c r="C3027" s="900">
        <v>0</v>
      </c>
    </row>
    <row r="3028" spans="1:8" x14ac:dyDescent="0.35">
      <c r="A3028" s="900" t="s">
        <v>3599</v>
      </c>
      <c r="B3028" s="900">
        <v>4.7723028204368512E-3</v>
      </c>
      <c r="D3028" s="900">
        <v>25.033809577412971</v>
      </c>
      <c r="E3028" s="900">
        <v>0.39011080084098038</v>
      </c>
      <c r="F3028" s="900">
        <v>4.9653828564666196E-4</v>
      </c>
      <c r="G3028" s="900">
        <v>3.2829707275797052E-5</v>
      </c>
      <c r="H3028" s="900">
        <v>1.311436568014015E-5</v>
      </c>
    </row>
    <row r="3029" spans="1:8" x14ac:dyDescent="0.35">
      <c r="A3029" s="900" t="s">
        <v>3665</v>
      </c>
      <c r="C3029" s="900">
        <v>0</v>
      </c>
    </row>
    <row r="3030" spans="1:8" x14ac:dyDescent="0.35">
      <c r="A3030" s="900" t="s">
        <v>3314</v>
      </c>
      <c r="B3030" s="900">
        <v>7.0067114815962764E-3</v>
      </c>
      <c r="C3030" s="900">
        <v>119.1359303911088</v>
      </c>
      <c r="D3030" s="900">
        <v>109.19789541605179</v>
      </c>
      <c r="E3030" s="900">
        <v>5.0180151511853506</v>
      </c>
      <c r="F3030" s="900">
        <v>0.24898687153057741</v>
      </c>
      <c r="G3030" s="900">
        <v>8.949523572019103E-5</v>
      </c>
      <c r="H3030" s="900">
        <v>2.0971177138110301E-5</v>
      </c>
    </row>
    <row r="3031" spans="1:8" x14ac:dyDescent="0.35">
      <c r="A3031" s="900" t="s">
        <v>3370</v>
      </c>
      <c r="B3031" s="900">
        <v>3.1450124964536433E-2</v>
      </c>
      <c r="C3031" s="900">
        <v>534.75013326980559</v>
      </c>
      <c r="D3031" s="900">
        <v>490.14255342462081</v>
      </c>
      <c r="E3031" s="900">
        <v>22.523719435749101</v>
      </c>
      <c r="F3031" s="900">
        <v>1.1175953576415349</v>
      </c>
      <c r="G3031" s="900">
        <v>4.017057580469146E-4</v>
      </c>
      <c r="H3031" s="900">
        <v>9.4130626525632246E-5</v>
      </c>
    </row>
    <row r="3032" spans="1:8" x14ac:dyDescent="0.35">
      <c r="A3032" s="900" t="s">
        <v>3424</v>
      </c>
      <c r="B3032" s="900">
        <v>1.2511984788564779E-3</v>
      </c>
      <c r="C3032" s="900">
        <v>21.274273284126579</v>
      </c>
      <c r="D3032" s="900">
        <v>19.49962418143781</v>
      </c>
      <c r="E3032" s="900">
        <v>0.89607413414024129</v>
      </c>
      <c r="F3032" s="900">
        <v>4.4461941344745973E-2</v>
      </c>
      <c r="G3032" s="900">
        <v>1.5981292092891251E-5</v>
      </c>
      <c r="H3032" s="900">
        <v>3.7448530603768402E-6</v>
      </c>
    </row>
    <row r="3033" spans="1:8" x14ac:dyDescent="0.35">
      <c r="A3033" s="900" t="s">
        <v>3525</v>
      </c>
      <c r="B3033" s="900">
        <v>7.0067114815962764E-3</v>
      </c>
      <c r="C3033" s="900">
        <v>119.1359303911088</v>
      </c>
      <c r="D3033" s="900">
        <v>109.19789541605179</v>
      </c>
      <c r="E3033" s="900">
        <v>5.0180151511853506</v>
      </c>
      <c r="F3033" s="900">
        <v>0.24898687153057741</v>
      </c>
      <c r="G3033" s="900">
        <v>8.949523572019103E-5</v>
      </c>
      <c r="H3033" s="900">
        <v>2.0971177138110301E-5</v>
      </c>
    </row>
    <row r="3034" spans="1:8" x14ac:dyDescent="0.35">
      <c r="A3034" s="900" t="s">
        <v>3593</v>
      </c>
      <c r="B3034" s="900">
        <v>3.002876349255547E-3</v>
      </c>
      <c r="C3034" s="900">
        <v>51.058255881903783</v>
      </c>
      <c r="D3034" s="900">
        <v>46.799098035450747</v>
      </c>
      <c r="E3034" s="900">
        <v>2.1505779219365788</v>
      </c>
      <c r="F3034" s="900">
        <v>0.1067086592273903</v>
      </c>
      <c r="G3034" s="900">
        <v>3.8355101022939012E-5</v>
      </c>
      <c r="H3034" s="900">
        <v>8.9876473449044151E-6</v>
      </c>
    </row>
    <row r="3035" spans="1:8" x14ac:dyDescent="0.35">
      <c r="A3035" s="900" t="s">
        <v>3325</v>
      </c>
      <c r="B3035" s="900">
        <v>7.34079709392595E-3</v>
      </c>
      <c r="C3035" s="900">
        <v>0</v>
      </c>
      <c r="D3035" s="900">
        <v>22.425997447656499</v>
      </c>
      <c r="E3035" s="900">
        <v>0.36833110685715947</v>
      </c>
      <c r="F3035" s="900">
        <v>7.3772962462842907E-4</v>
      </c>
      <c r="G3035" s="900">
        <v>4.8283082992827507E-5</v>
      </c>
      <c r="H3035" s="900">
        <v>2.0050922189366601E-5</v>
      </c>
    </row>
    <row r="3036" spans="1:8" x14ac:dyDescent="0.35">
      <c r="A3036" s="900" t="s">
        <v>3375</v>
      </c>
      <c r="B3036" s="900">
        <v>3.0967676883376191E-2</v>
      </c>
      <c r="D3036" s="900">
        <v>94.605672089899514</v>
      </c>
      <c r="E3036" s="900">
        <v>1.5538310836417031</v>
      </c>
      <c r="F3036" s="900">
        <v>3.1121651164682158E-3</v>
      </c>
      <c r="G3036" s="900">
        <v>2.036856343968852E-4</v>
      </c>
      <c r="H3036" s="900">
        <v>8.4586247464570841E-5</v>
      </c>
    </row>
    <row r="3037" spans="1:8" x14ac:dyDescent="0.35">
      <c r="A3037" s="900" t="s">
        <v>4800</v>
      </c>
      <c r="C3037" s="900">
        <v>0</v>
      </c>
    </row>
    <row r="3038" spans="1:8" x14ac:dyDescent="0.35">
      <c r="A3038" s="900" t="s">
        <v>3430</v>
      </c>
      <c r="B3038" s="900">
        <v>1.2374486529760889E-3</v>
      </c>
      <c r="D3038" s="900">
        <v>3.7803824268906681</v>
      </c>
      <c r="E3038" s="900">
        <v>6.2090100870206881E-2</v>
      </c>
      <c r="F3038" s="900">
        <v>1.2436013672307799E-4</v>
      </c>
      <c r="G3038" s="900">
        <v>8.1391482759337789E-6</v>
      </c>
      <c r="H3038" s="900">
        <v>3.380012597636085E-6</v>
      </c>
    </row>
    <row r="3039" spans="1:8" x14ac:dyDescent="0.35">
      <c r="A3039" s="900" t="s">
        <v>4801</v>
      </c>
      <c r="C3039" s="900">
        <v>0</v>
      </c>
    </row>
    <row r="3040" spans="1:8" x14ac:dyDescent="0.35">
      <c r="A3040" s="900" t="s">
        <v>3532</v>
      </c>
      <c r="B3040" s="900">
        <v>5.2434264956613928E-3</v>
      </c>
      <c r="D3040" s="900">
        <v>16.018569605468929</v>
      </c>
      <c r="E3040" s="900">
        <v>0.2630936477551139</v>
      </c>
      <c r="F3040" s="900">
        <v>5.2694973187744935E-4</v>
      </c>
      <c r="G3040" s="900">
        <v>3.4487916423448219E-5</v>
      </c>
      <c r="H3040" s="900">
        <v>1.4322087278119E-5</v>
      </c>
    </row>
    <row r="3041" spans="1:8" x14ac:dyDescent="0.35">
      <c r="A3041" s="900" t="s">
        <v>4802</v>
      </c>
      <c r="C3041" s="900">
        <v>0</v>
      </c>
    </row>
    <row r="3042" spans="1:8" x14ac:dyDescent="0.35">
      <c r="A3042" s="900" t="s">
        <v>3600</v>
      </c>
      <c r="B3042" s="900">
        <v>5.2434264956613928E-3</v>
      </c>
      <c r="D3042" s="900">
        <v>16.018569605468929</v>
      </c>
      <c r="E3042" s="900">
        <v>0.2630936477551139</v>
      </c>
      <c r="F3042" s="900">
        <v>5.2694973187744935E-4</v>
      </c>
      <c r="G3042" s="900">
        <v>3.4487916423448219E-5</v>
      </c>
      <c r="H3042" s="900">
        <v>1.4322087278119E-5</v>
      </c>
    </row>
    <row r="3043" spans="1:8" x14ac:dyDescent="0.35">
      <c r="A3043" s="900" t="s">
        <v>3666</v>
      </c>
      <c r="C3043" s="900">
        <v>0</v>
      </c>
    </row>
    <row r="3044" spans="1:8" x14ac:dyDescent="0.35">
      <c r="A3044" s="900" t="s">
        <v>3320</v>
      </c>
      <c r="B3044" s="900">
        <v>5.0326462670485603E-3</v>
      </c>
      <c r="C3044" s="900">
        <v>0</v>
      </c>
      <c r="D3044" s="900">
        <v>0.29181355209324661</v>
      </c>
      <c r="E3044" s="900">
        <v>5.3135163977398488E-4</v>
      </c>
      <c r="F3044" s="900">
        <v>3.0435047347649439E-4</v>
      </c>
      <c r="G3044" s="900">
        <v>3.6839135882836332E-5</v>
      </c>
      <c r="H3044" s="900">
        <v>1.5632225828063561E-5</v>
      </c>
    </row>
    <row r="3045" spans="1:8" x14ac:dyDescent="0.35">
      <c r="A3045" s="900" t="s">
        <v>3427</v>
      </c>
      <c r="B3045" s="900">
        <v>3.465336429596295E-3</v>
      </c>
      <c r="D3045" s="900">
        <v>0.20093447444134979</v>
      </c>
      <c r="E3045" s="900">
        <v>3.6587355767294391E-4</v>
      </c>
      <c r="F3045" s="900">
        <v>2.0956704030810049E-4</v>
      </c>
      <c r="G3045" s="900">
        <v>2.536637642218159E-5</v>
      </c>
      <c r="H3045" s="900">
        <v>1.0763904070180909E-5</v>
      </c>
    </row>
    <row r="3046" spans="1:8" x14ac:dyDescent="0.35">
      <c r="A3046" s="900" t="s">
        <v>4803</v>
      </c>
      <c r="C3046" s="900">
        <v>0</v>
      </c>
    </row>
    <row r="3047" spans="1:8" x14ac:dyDescent="0.35">
      <c r="A3047" s="900" t="s">
        <v>3528</v>
      </c>
      <c r="B3047" s="900">
        <v>5.0326462670485603E-3</v>
      </c>
      <c r="D3047" s="900">
        <v>0.29181355209324661</v>
      </c>
      <c r="E3047" s="900">
        <v>5.3135163977398488E-4</v>
      </c>
      <c r="F3047" s="900">
        <v>3.0435047347649439E-4</v>
      </c>
      <c r="G3047" s="900">
        <v>3.6839135882836332E-5</v>
      </c>
      <c r="H3047" s="900">
        <v>1.5632225828063561E-5</v>
      </c>
    </row>
    <row r="3048" spans="1:8" x14ac:dyDescent="0.35">
      <c r="A3048" s="900" t="s">
        <v>4804</v>
      </c>
      <c r="C3048" s="900">
        <v>0</v>
      </c>
    </row>
    <row r="3049" spans="1:8" x14ac:dyDescent="0.35">
      <c r="A3049" s="900" t="s">
        <v>3465</v>
      </c>
      <c r="B3049" s="900">
        <v>2.767955446876709E-2</v>
      </c>
      <c r="D3049" s="900">
        <v>1.604974536512856</v>
      </c>
      <c r="E3049" s="900">
        <v>2.9224340187569168E-3</v>
      </c>
      <c r="F3049" s="900">
        <v>1.67392760412072E-3</v>
      </c>
      <c r="G3049" s="900">
        <v>2.026152473555998E-4</v>
      </c>
      <c r="H3049" s="900">
        <v>8.5977242054349621E-5</v>
      </c>
    </row>
    <row r="3050" spans="1:8" x14ac:dyDescent="0.35">
      <c r="A3050" s="900" t="s">
        <v>4805</v>
      </c>
      <c r="C3050" s="900">
        <v>0</v>
      </c>
    </row>
    <row r="3051" spans="1:8" x14ac:dyDescent="0.35">
      <c r="A3051" s="900" t="s">
        <v>3596</v>
      </c>
      <c r="B3051" s="900">
        <v>2.156848400163669E-3</v>
      </c>
      <c r="D3051" s="900">
        <v>0.12506295089710559</v>
      </c>
      <c r="E3051" s="900">
        <v>2.277221313317078E-4</v>
      </c>
      <c r="F3051" s="900">
        <v>1.3043591720421189E-4</v>
      </c>
      <c r="G3051" s="900">
        <v>1.5788201092644139E-5</v>
      </c>
      <c r="H3051" s="900">
        <v>6.699525354884384E-6</v>
      </c>
    </row>
    <row r="3052" spans="1:8" x14ac:dyDescent="0.35">
      <c r="A3052" s="900" t="s">
        <v>3662</v>
      </c>
      <c r="C3052" s="900">
        <v>0</v>
      </c>
    </row>
    <row r="3053" spans="1:8" x14ac:dyDescent="0.35">
      <c r="A3053" s="900" t="s">
        <v>3332</v>
      </c>
      <c r="B3053" s="900">
        <v>5.3252782338646231E-3</v>
      </c>
      <c r="C3053" s="900">
        <v>0</v>
      </c>
      <c r="D3053" s="900">
        <v>0.30365842663640119</v>
      </c>
      <c r="E3053" s="900">
        <v>5.9968955074233524E-4</v>
      </c>
      <c r="F3053" s="900">
        <v>3.5647833596496638E-4</v>
      </c>
      <c r="G3053" s="900">
        <v>2.749380980845585E-5</v>
      </c>
      <c r="H3053" s="900">
        <v>1.5246811741812131E-5</v>
      </c>
    </row>
    <row r="3054" spans="1:8" x14ac:dyDescent="0.35">
      <c r="A3054" s="900" t="s">
        <v>3433</v>
      </c>
      <c r="B3054" s="900">
        <v>3.4462157713438198E-3</v>
      </c>
      <c r="D3054" s="900">
        <v>0.19651038180898531</v>
      </c>
      <c r="E3054" s="900">
        <v>3.8808480926611117E-4</v>
      </c>
      <c r="F3054" s="900">
        <v>2.3069240884589969E-4</v>
      </c>
      <c r="G3054" s="900">
        <v>1.7792422633186431E-5</v>
      </c>
      <c r="H3054" s="900">
        <v>9.8668653129155663E-6</v>
      </c>
    </row>
    <row r="3055" spans="1:8" x14ac:dyDescent="0.35">
      <c r="A3055" s="900" t="s">
        <v>4806</v>
      </c>
      <c r="C3055" s="900">
        <v>0</v>
      </c>
    </row>
    <row r="3056" spans="1:8" x14ac:dyDescent="0.35">
      <c r="A3056" s="900" t="s">
        <v>3535</v>
      </c>
      <c r="B3056" s="900">
        <v>3.80377016704616E-3</v>
      </c>
      <c r="D3056" s="900">
        <v>0.216898876168858</v>
      </c>
      <c r="E3056" s="900">
        <v>4.2834967910166798E-4</v>
      </c>
      <c r="F3056" s="900">
        <v>2.5462738283211892E-4</v>
      </c>
      <c r="G3056" s="900">
        <v>1.963843557746847E-5</v>
      </c>
      <c r="H3056" s="900">
        <v>1.08905798155801E-5</v>
      </c>
    </row>
    <row r="3057" spans="1:8" x14ac:dyDescent="0.35">
      <c r="A3057" s="900" t="s">
        <v>4807</v>
      </c>
      <c r="C3057" s="900">
        <v>0</v>
      </c>
    </row>
    <row r="3058" spans="1:8" x14ac:dyDescent="0.35">
      <c r="A3058" s="900" t="s">
        <v>3468</v>
      </c>
      <c r="B3058" s="900">
        <v>2.75316884690801E-2</v>
      </c>
      <c r="D3058" s="900">
        <v>1.569914065710194</v>
      </c>
      <c r="E3058" s="900">
        <v>3.1003949773378732E-3</v>
      </c>
      <c r="F3058" s="900">
        <v>1.842992996938876E-3</v>
      </c>
      <c r="G3058" s="900">
        <v>1.4214299670971679E-4</v>
      </c>
      <c r="H3058" s="900">
        <v>7.8826016705168736E-5</v>
      </c>
    </row>
    <row r="3059" spans="1:8" x14ac:dyDescent="0.35">
      <c r="A3059" s="900" t="s">
        <v>4808</v>
      </c>
      <c r="C3059" s="900">
        <v>0</v>
      </c>
    </row>
    <row r="3060" spans="1:8" x14ac:dyDescent="0.35">
      <c r="A3060" s="900" t="s">
        <v>3603</v>
      </c>
      <c r="B3060" s="900">
        <v>3.80377016704616E-3</v>
      </c>
      <c r="D3060" s="900">
        <v>0.216898876168858</v>
      </c>
      <c r="E3060" s="900">
        <v>4.2834967910166798E-4</v>
      </c>
      <c r="F3060" s="900">
        <v>2.5462738283211892E-4</v>
      </c>
      <c r="G3060" s="900">
        <v>1.963843557746847E-5</v>
      </c>
      <c r="H3060" s="900">
        <v>1.08905798155801E-5</v>
      </c>
    </row>
    <row r="3061" spans="1:8" x14ac:dyDescent="0.35">
      <c r="A3061" s="900" t="s">
        <v>3669</v>
      </c>
      <c r="C3061" s="900">
        <v>0</v>
      </c>
    </row>
    <row r="3062" spans="1:8" x14ac:dyDescent="0.35">
      <c r="A3062" s="900" t="s">
        <v>3316</v>
      </c>
      <c r="B3062" s="900">
        <v>6.5931041875041882E-3</v>
      </c>
      <c r="C3062" s="900">
        <v>119.1359303498475</v>
      </c>
      <c r="D3062" s="900">
        <v>9.7356486149526908</v>
      </c>
      <c r="E3062" s="900">
        <v>3.566987372084583E-3</v>
      </c>
      <c r="F3062" s="900">
        <v>4.3523315256295103E-4</v>
      </c>
      <c r="G3062" s="900">
        <v>6.1852918065746949E-5</v>
      </c>
      <c r="H3062" s="900">
        <v>2.0084012134270801E-5</v>
      </c>
    </row>
    <row r="3063" spans="1:8" x14ac:dyDescent="0.35">
      <c r="A3063" s="900" t="s">
        <v>3371</v>
      </c>
      <c r="B3063" s="900">
        <v>2.7078820770106489E-2</v>
      </c>
      <c r="C3063" s="900">
        <v>489.30828536544499</v>
      </c>
      <c r="D3063" s="900">
        <v>39.985699668555696</v>
      </c>
      <c r="E3063" s="900">
        <v>1.4650126706775971E-2</v>
      </c>
      <c r="F3063" s="900">
        <v>1.7875647337406921E-3</v>
      </c>
      <c r="G3063" s="900">
        <v>2.5403877062717502E-4</v>
      </c>
      <c r="H3063" s="900">
        <v>8.2487906980040806E-5</v>
      </c>
    </row>
    <row r="3064" spans="1:8" x14ac:dyDescent="0.35">
      <c r="A3064" s="900" t="s">
        <v>3425</v>
      </c>
      <c r="B3064" s="900">
        <v>5.1143651054496777E-3</v>
      </c>
      <c r="C3064" s="900">
        <v>92.415443114238826</v>
      </c>
      <c r="D3064" s="900">
        <v>7.5520817113133027</v>
      </c>
      <c r="E3064" s="900">
        <v>2.7669630614884692E-3</v>
      </c>
      <c r="F3064" s="900">
        <v>3.3761657405954632E-4</v>
      </c>
      <c r="G3064" s="900">
        <v>4.7980192156715139E-5</v>
      </c>
      <c r="H3064" s="900">
        <v>1.5579455127012922E-5</v>
      </c>
    </row>
    <row r="3065" spans="1:8" x14ac:dyDescent="0.35">
      <c r="A3065" s="900" t="s">
        <v>3526</v>
      </c>
      <c r="B3065" s="900">
        <v>6.5931041875041882E-3</v>
      </c>
      <c r="C3065" s="900">
        <v>119.1359303498475</v>
      </c>
      <c r="D3065" s="900">
        <v>9.7356486149526908</v>
      </c>
      <c r="E3065" s="900">
        <v>3.566987372084583E-3</v>
      </c>
      <c r="F3065" s="900">
        <v>4.3523315256295103E-4</v>
      </c>
      <c r="G3065" s="900">
        <v>6.1852918065746949E-5</v>
      </c>
      <c r="H3065" s="900">
        <v>2.0084012134270801E-5</v>
      </c>
    </row>
    <row r="3066" spans="1:8" x14ac:dyDescent="0.35">
      <c r="A3066" s="900" t="s">
        <v>3594</v>
      </c>
      <c r="B3066" s="900">
        <v>2.8256160803589378E-3</v>
      </c>
      <c r="C3066" s="900">
        <v>51.058255864220342</v>
      </c>
      <c r="D3066" s="900">
        <v>4.1724208349797243</v>
      </c>
      <c r="E3066" s="900">
        <v>1.528708873750535E-3</v>
      </c>
      <c r="F3066" s="900">
        <v>1.8652849395555041E-4</v>
      </c>
      <c r="G3066" s="900">
        <v>2.6508393456748689E-5</v>
      </c>
      <c r="H3066" s="900">
        <v>8.6074337718303436E-6</v>
      </c>
    </row>
    <row r="3067" spans="1:8" x14ac:dyDescent="0.35">
      <c r="A3067" s="900" t="s">
        <v>3328</v>
      </c>
      <c r="B3067" s="900">
        <v>6.912622024420772E-3</v>
      </c>
      <c r="C3067" s="900">
        <v>0</v>
      </c>
      <c r="D3067" s="900">
        <v>2.5007897524273748</v>
      </c>
      <c r="E3067" s="900">
        <v>1.8513443831267599E-3</v>
      </c>
      <c r="F3067" s="900">
        <v>5.2946091446739888E-4</v>
      </c>
      <c r="G3067" s="900">
        <v>3.8620671051418147E-5</v>
      </c>
      <c r="H3067" s="900">
        <v>1.930275262832039E-5</v>
      </c>
    </row>
    <row r="3068" spans="1:8" x14ac:dyDescent="0.35">
      <c r="A3068" s="900" t="s">
        <v>3376</v>
      </c>
      <c r="B3068" s="900">
        <v>2.6692596188584779E-2</v>
      </c>
      <c r="D3068" s="900">
        <v>9.6566210011588485</v>
      </c>
      <c r="E3068" s="900">
        <v>7.1488340965594746E-3</v>
      </c>
      <c r="F3068" s="900">
        <v>2.0444755025791129E-3</v>
      </c>
      <c r="G3068" s="900">
        <v>1.4913096264569041E-4</v>
      </c>
      <c r="H3068" s="900">
        <v>7.4536200506214285E-5</v>
      </c>
    </row>
    <row r="3069" spans="1:8" x14ac:dyDescent="0.35">
      <c r="A3069" s="900" t="s">
        <v>4809</v>
      </c>
      <c r="C3069" s="900">
        <v>0</v>
      </c>
    </row>
    <row r="3070" spans="1:8" x14ac:dyDescent="0.35">
      <c r="A3070" s="900" t="s">
        <v>3431</v>
      </c>
      <c r="B3070" s="900">
        <v>5.0462140778271642E-3</v>
      </c>
      <c r="D3070" s="900">
        <v>1.8255765192719839</v>
      </c>
      <c r="E3070" s="900">
        <v>1.351481399682535E-3</v>
      </c>
      <c r="F3070" s="900">
        <v>3.8650646756120118E-4</v>
      </c>
      <c r="G3070" s="900">
        <v>2.819308986753525E-5</v>
      </c>
      <c r="H3070" s="900">
        <v>1.409100941867388E-5</v>
      </c>
    </row>
    <row r="3071" spans="1:8" x14ac:dyDescent="0.35">
      <c r="A3071" s="900" t="s">
        <v>4810</v>
      </c>
      <c r="C3071" s="900">
        <v>0</v>
      </c>
    </row>
    <row r="3072" spans="1:8" x14ac:dyDescent="0.35">
      <c r="A3072" s="900" t="s">
        <v>3533</v>
      </c>
      <c r="B3072" s="900">
        <v>4.9375871603005517E-3</v>
      </c>
      <c r="D3072" s="900">
        <v>1.7862783945909819</v>
      </c>
      <c r="E3072" s="900">
        <v>1.322388845090543E-3</v>
      </c>
      <c r="F3072" s="900">
        <v>3.7818636747671347E-4</v>
      </c>
      <c r="G3072" s="900">
        <v>2.758619360815582E-5</v>
      </c>
      <c r="H3072" s="900">
        <v>1.378768044880028E-5</v>
      </c>
    </row>
    <row r="3073" spans="1:8" x14ac:dyDescent="0.35">
      <c r="A3073" s="900" t="s">
        <v>4811</v>
      </c>
      <c r="C3073" s="900">
        <v>0</v>
      </c>
    </row>
    <row r="3074" spans="1:8" x14ac:dyDescent="0.35">
      <c r="A3074" s="900" t="s">
        <v>3601</v>
      </c>
      <c r="B3074" s="900">
        <v>4.9375871603005517E-3</v>
      </c>
      <c r="D3074" s="900">
        <v>1.7862783945909819</v>
      </c>
      <c r="E3074" s="900">
        <v>1.322388845090543E-3</v>
      </c>
      <c r="F3074" s="900">
        <v>3.7818636747671347E-4</v>
      </c>
      <c r="G3074" s="900">
        <v>2.758619360815582E-5</v>
      </c>
      <c r="H3074" s="900">
        <v>1.378768044880028E-5</v>
      </c>
    </row>
    <row r="3075" spans="1:8" x14ac:dyDescent="0.35">
      <c r="A3075" s="900" t="s">
        <v>3667</v>
      </c>
      <c r="C3075" s="900">
        <v>0</v>
      </c>
    </row>
    <row r="3076" spans="1:8" x14ac:dyDescent="0.35">
      <c r="A3076" s="900" t="s">
        <v>3321</v>
      </c>
      <c r="B3076" s="900">
        <v>2.652274793175647E-2</v>
      </c>
      <c r="C3076" s="900">
        <v>0</v>
      </c>
      <c r="D3076" s="900">
        <v>6.7722462657223073</v>
      </c>
      <c r="E3076" s="900">
        <v>1.030927294045508E-2</v>
      </c>
      <c r="F3076" s="900">
        <v>1.7436574645495291E-3</v>
      </c>
      <c r="G3076" s="900">
        <v>36.81273228429508</v>
      </c>
      <c r="H3076" s="900">
        <v>1.7347556914937799E-4</v>
      </c>
    </row>
    <row r="3077" spans="1:8" x14ac:dyDescent="0.35">
      <c r="A3077" s="900" t="s">
        <v>3373</v>
      </c>
      <c r="B3077" s="900">
        <v>2.652274793175647E-2</v>
      </c>
      <c r="D3077" s="900">
        <v>6.7722462657223073</v>
      </c>
      <c r="E3077" s="900">
        <v>1.030927294045508E-2</v>
      </c>
      <c r="F3077" s="900">
        <v>1.7436574645495291E-3</v>
      </c>
      <c r="G3077" s="900">
        <v>36.81273228429508</v>
      </c>
      <c r="H3077" s="900">
        <v>1.7347556914937799E-4</v>
      </c>
    </row>
    <row r="3078" spans="1:8" x14ac:dyDescent="0.35">
      <c r="A3078" s="900" t="s">
        <v>4812</v>
      </c>
      <c r="C3078" s="900">
        <v>0</v>
      </c>
    </row>
    <row r="3079" spans="1:8" x14ac:dyDescent="0.35">
      <c r="A3079" s="900" t="s">
        <v>3428</v>
      </c>
      <c r="B3079" s="900">
        <v>3.9443115138512133E-2</v>
      </c>
      <c r="D3079" s="900">
        <v>10.071297660881321</v>
      </c>
      <c r="E3079" s="900">
        <v>1.533136161573391E-2</v>
      </c>
      <c r="F3079" s="900">
        <v>2.593067743708656E-3</v>
      </c>
      <c r="G3079" s="900">
        <v>54.745791868501691</v>
      </c>
      <c r="H3079" s="900">
        <v>2.5798295354928941E-4</v>
      </c>
    </row>
    <row r="3080" spans="1:8" x14ac:dyDescent="0.35">
      <c r="A3080" s="900" t="s">
        <v>4813</v>
      </c>
      <c r="C3080" s="900">
        <v>0</v>
      </c>
    </row>
    <row r="3081" spans="1:8" x14ac:dyDescent="0.35">
      <c r="A3081" s="900" t="s">
        <v>3529</v>
      </c>
      <c r="B3081" s="900">
        <v>2.652274793175647E-2</v>
      </c>
      <c r="D3081" s="900">
        <v>6.7722462657223073</v>
      </c>
      <c r="E3081" s="900">
        <v>1.030927294045508E-2</v>
      </c>
      <c r="F3081" s="900">
        <v>1.7436574645495291E-3</v>
      </c>
      <c r="G3081" s="900">
        <v>36.81273228429508</v>
      </c>
      <c r="H3081" s="900">
        <v>1.7347556914937799E-4</v>
      </c>
    </row>
    <row r="3082" spans="1:8" x14ac:dyDescent="0.35">
      <c r="A3082" s="900" t="s">
        <v>4814</v>
      </c>
      <c r="C3082" s="900">
        <v>0</v>
      </c>
    </row>
    <row r="3083" spans="1:8" x14ac:dyDescent="0.35">
      <c r="A3083" s="900" t="s">
        <v>3597</v>
      </c>
      <c r="B3083" s="900">
        <v>1.136689197075277E-2</v>
      </c>
      <c r="D3083" s="900">
        <v>2.9023912567381309</v>
      </c>
      <c r="E3083" s="900">
        <v>4.418259831623605E-3</v>
      </c>
      <c r="F3083" s="900">
        <v>7.472817705212265E-4</v>
      </c>
      <c r="G3083" s="900">
        <v>15.77688526469789</v>
      </c>
      <c r="H3083" s="900">
        <v>7.4346672492590582E-5</v>
      </c>
    </row>
    <row r="3084" spans="1:8" x14ac:dyDescent="0.35">
      <c r="A3084" s="900" t="s">
        <v>3663</v>
      </c>
      <c r="C3084" s="900">
        <v>0</v>
      </c>
    </row>
    <row r="3085" spans="1:8" x14ac:dyDescent="0.35">
      <c r="A3085" s="900" t="s">
        <v>3334</v>
      </c>
      <c r="B3085" s="900">
        <v>2.6809650121919382E-2</v>
      </c>
      <c r="C3085" s="900">
        <v>0</v>
      </c>
      <c r="D3085" s="900">
        <v>6.4204754000950546</v>
      </c>
      <c r="E3085" s="900">
        <v>18.59015018614997</v>
      </c>
      <c r="F3085" s="900">
        <v>3.1952234826379379E-3</v>
      </c>
      <c r="G3085" s="900">
        <v>9.8469610103441301E-5</v>
      </c>
      <c r="H3085" s="900">
        <v>6.0765016667238551E-5</v>
      </c>
    </row>
    <row r="3086" spans="1:8" x14ac:dyDescent="0.35">
      <c r="A3086" s="900" t="s">
        <v>3378</v>
      </c>
      <c r="B3086" s="900">
        <v>2.520107111460422E-2</v>
      </c>
      <c r="D3086" s="900">
        <v>6.0352468760893521</v>
      </c>
      <c r="E3086" s="900">
        <v>17.47474117498097</v>
      </c>
      <c r="F3086" s="900">
        <v>3.0035100736796618E-3</v>
      </c>
      <c r="G3086" s="900">
        <v>9.2561433497234823E-5</v>
      </c>
      <c r="H3086" s="900">
        <v>5.7119115667204242E-5</v>
      </c>
    </row>
    <row r="3087" spans="1:8" x14ac:dyDescent="0.35">
      <c r="A3087" s="900" t="s">
        <v>4815</v>
      </c>
      <c r="C3087" s="900">
        <v>0</v>
      </c>
    </row>
    <row r="3088" spans="1:8" x14ac:dyDescent="0.35">
      <c r="A3088" s="900" t="s">
        <v>3434</v>
      </c>
      <c r="B3088" s="900">
        <v>3.7456911170338787E-2</v>
      </c>
      <c r="D3088" s="900">
        <v>8.9703213447042334</v>
      </c>
      <c r="E3088" s="900">
        <v>25.973095545792379</v>
      </c>
      <c r="F3088" s="900">
        <v>4.4641836657427188E-3</v>
      </c>
      <c r="G3088" s="900">
        <v>1.3757611240166511E-4</v>
      </c>
      <c r="H3088" s="900">
        <v>8.4897409000798992E-5</v>
      </c>
    </row>
    <row r="3089" spans="1:8" x14ac:dyDescent="0.35">
      <c r="A3089" s="900" t="s">
        <v>4816</v>
      </c>
      <c r="C3089" s="900">
        <v>0</v>
      </c>
    </row>
    <row r="3090" spans="1:8" x14ac:dyDescent="0.35">
      <c r="A3090" s="900" t="s">
        <v>3536</v>
      </c>
      <c r="B3090" s="900">
        <v>1.914975008708527E-2</v>
      </c>
      <c r="D3090" s="900">
        <v>4.5860538572107536</v>
      </c>
      <c r="E3090" s="900">
        <v>13.27867870439283</v>
      </c>
      <c r="F3090" s="900">
        <v>2.282302487598527E-3</v>
      </c>
      <c r="G3090" s="900">
        <v>7.0335435788172363E-5</v>
      </c>
      <c r="H3090" s="900">
        <v>4.3403583333741822E-5</v>
      </c>
    </row>
    <row r="3091" spans="1:8" x14ac:dyDescent="0.35">
      <c r="A3091" s="900" t="s">
        <v>4817</v>
      </c>
      <c r="C3091" s="900">
        <v>0</v>
      </c>
    </row>
    <row r="3092" spans="1:8" x14ac:dyDescent="0.35">
      <c r="A3092" s="900" t="s">
        <v>3604</v>
      </c>
      <c r="B3092" s="900">
        <v>1.914975008708527E-2</v>
      </c>
      <c r="D3092" s="900">
        <v>4.5860538572107536</v>
      </c>
      <c r="E3092" s="900">
        <v>13.27867870439283</v>
      </c>
      <c r="F3092" s="900">
        <v>2.282302487598527E-3</v>
      </c>
      <c r="G3092" s="900">
        <v>7.0335435788172363E-5</v>
      </c>
      <c r="H3092" s="900">
        <v>4.3403583333741822E-5</v>
      </c>
    </row>
    <row r="3093" spans="1:8" x14ac:dyDescent="0.35">
      <c r="A3093" s="900" t="s">
        <v>3670</v>
      </c>
      <c r="C3093" s="900">
        <v>0</v>
      </c>
    </row>
    <row r="3094" spans="1:8" x14ac:dyDescent="0.35">
      <c r="A3094" s="900" t="s">
        <v>4139</v>
      </c>
      <c r="B3094" s="900">
        <v>1.8856702471741191E-2</v>
      </c>
      <c r="C3094" s="900">
        <v>0</v>
      </c>
      <c r="D3094" s="900">
        <v>0.45402827472163038</v>
      </c>
      <c r="E3094" s="900">
        <v>5.9662754572531364E-4</v>
      </c>
      <c r="F3094" s="900">
        <v>3.0446481449042877E-4</v>
      </c>
      <c r="G3094" s="900">
        <v>3.926294830564441E-5</v>
      </c>
      <c r="H3094" s="900">
        <v>5.9737347279154917E-5</v>
      </c>
    </row>
    <row r="3095" spans="1:8" x14ac:dyDescent="0.35">
      <c r="A3095" s="900" t="s">
        <v>4112</v>
      </c>
      <c r="B3095" s="900">
        <v>8.9569336740770653E-3</v>
      </c>
      <c r="D3095" s="900">
        <v>0.2156634304927745</v>
      </c>
      <c r="E3095" s="900">
        <v>2.8339808421952401E-4</v>
      </c>
      <c r="F3095" s="900">
        <v>1.4462078688295369E-4</v>
      </c>
      <c r="G3095" s="900">
        <v>1.8649900445181099E-5</v>
      </c>
      <c r="H3095" s="900">
        <v>2.837523995759859E-5</v>
      </c>
    </row>
    <row r="3096" spans="1:8" x14ac:dyDescent="0.35">
      <c r="A3096" s="900" t="s">
        <v>4818</v>
      </c>
      <c r="C3096" s="900">
        <v>0</v>
      </c>
    </row>
    <row r="3097" spans="1:8" x14ac:dyDescent="0.35">
      <c r="A3097" s="900" t="s">
        <v>4116</v>
      </c>
      <c r="B3097" s="900">
        <v>3.299922932554708E-2</v>
      </c>
      <c r="D3097" s="900">
        <v>0.79454948076285326</v>
      </c>
      <c r="E3097" s="900">
        <v>1.0440982050192991E-3</v>
      </c>
      <c r="F3097" s="900">
        <v>5.3281342535825039E-4</v>
      </c>
      <c r="G3097" s="900">
        <v>6.8710159534877724E-5</v>
      </c>
      <c r="H3097" s="900">
        <v>1.045403577385211E-4</v>
      </c>
    </row>
    <row r="3098" spans="1:8" x14ac:dyDescent="0.35">
      <c r="A3098" s="900" t="s">
        <v>4819</v>
      </c>
      <c r="C3098" s="900">
        <v>0</v>
      </c>
    </row>
    <row r="3099" spans="1:8" x14ac:dyDescent="0.35">
      <c r="A3099" s="900" t="s">
        <v>4140</v>
      </c>
      <c r="B3099" s="900">
        <v>83948.140114301597</v>
      </c>
      <c r="C3099" s="900">
        <v>0</v>
      </c>
      <c r="D3099" s="900">
        <v>1.680211801887217</v>
      </c>
      <c r="E3099" s="900">
        <v>8.2690940019380984E-3</v>
      </c>
      <c r="F3099" s="900">
        <v>2.50307291229579E-3</v>
      </c>
      <c r="G3099" s="900">
        <v>12208.085236479101</v>
      </c>
      <c r="H3099" s="900">
        <v>85370.605624690914</v>
      </c>
    </row>
    <row r="3100" spans="1:8" x14ac:dyDescent="0.35">
      <c r="A3100" s="900" t="s">
        <v>4113</v>
      </c>
      <c r="B3100" s="900">
        <v>32991.619064920516</v>
      </c>
      <c r="D3100" s="900">
        <v>0.66032323814167604</v>
      </c>
      <c r="E3100" s="900">
        <v>3.3592999969259581E-3</v>
      </c>
      <c r="F3100" s="900">
        <v>1.0219160627517761E-3</v>
      </c>
      <c r="G3100" s="900">
        <v>4940.1969287430366</v>
      </c>
      <c r="H3100" s="900">
        <v>34603.498678444201</v>
      </c>
    </row>
    <row r="3101" spans="1:8" x14ac:dyDescent="0.35">
      <c r="A3101" s="900" t="s">
        <v>4820</v>
      </c>
      <c r="C3101" s="900">
        <v>0</v>
      </c>
    </row>
    <row r="3102" spans="1:8" x14ac:dyDescent="0.35">
      <c r="A3102" s="900" t="s">
        <v>4118</v>
      </c>
      <c r="B3102" s="900">
        <v>134317.0241828826</v>
      </c>
      <c r="D3102" s="900">
        <v>2.6883388830195472</v>
      </c>
      <c r="E3102" s="900">
        <v>1.38316617623162E-2</v>
      </c>
      <c r="F3102" s="900">
        <v>4.2145774126187644E-3</v>
      </c>
      <c r="G3102" s="900">
        <v>20314.433606030441</v>
      </c>
      <c r="H3102" s="900">
        <v>142370.26970544751</v>
      </c>
    </row>
    <row r="3103" spans="1:8" x14ac:dyDescent="0.35">
      <c r="A3103" s="900" t="s">
        <v>4821</v>
      </c>
      <c r="C3103" s="900">
        <v>0</v>
      </c>
    </row>
    <row r="3104" spans="1:8" x14ac:dyDescent="0.35">
      <c r="A3104" s="900" t="s">
        <v>4163</v>
      </c>
      <c r="B3104" s="900">
        <v>3.685769644221177E-3</v>
      </c>
      <c r="C3104" s="900">
        <v>0</v>
      </c>
      <c r="D3104" s="900">
        <v>3.031905815782276</v>
      </c>
      <c r="E3104" s="900">
        <v>1.4914821732865329E-2</v>
      </c>
      <c r="F3104" s="900">
        <v>1.010049086545833E-2</v>
      </c>
      <c r="G3104" s="900">
        <v>14303.82268398787</v>
      </c>
      <c r="H3104" s="900">
        <v>0.39006263696111398</v>
      </c>
    </row>
    <row r="3105" spans="1:8" x14ac:dyDescent="0.35">
      <c r="A3105" s="900" t="s">
        <v>4164</v>
      </c>
      <c r="B3105" s="900">
        <v>2.5326528167533679E-3</v>
      </c>
      <c r="C3105" s="900">
        <v>0</v>
      </c>
      <c r="D3105" s="900">
        <v>2.0833545081991871</v>
      </c>
      <c r="E3105" s="900">
        <v>1.024862346792093E-2</v>
      </c>
      <c r="F3105" s="900">
        <v>6.9404870923234618E-3</v>
      </c>
      <c r="G3105" s="900">
        <v>9828.779415919651</v>
      </c>
      <c r="H3105" s="900">
        <v>0.26802902285515978</v>
      </c>
    </row>
    <row r="3106" spans="1:8" x14ac:dyDescent="0.35">
      <c r="A3106" s="900" t="s">
        <v>4148</v>
      </c>
      <c r="B3106" s="900">
        <v>8.8465562889195146E-4</v>
      </c>
      <c r="D3106" s="900">
        <v>0.72771572971397591</v>
      </c>
      <c r="E3106" s="900">
        <v>3.5798441773447812E-3</v>
      </c>
      <c r="F3106" s="900">
        <v>2.4243121413485848E-3</v>
      </c>
      <c r="G3106" s="900">
        <v>3433.1926499807341</v>
      </c>
      <c r="H3106" s="900">
        <v>9.3622537683307305E-2</v>
      </c>
    </row>
    <row r="3107" spans="1:8" x14ac:dyDescent="0.35">
      <c r="A3107" s="900" t="s">
        <v>4822</v>
      </c>
      <c r="C3107" s="900">
        <v>0</v>
      </c>
    </row>
    <row r="3108" spans="1:8" x14ac:dyDescent="0.35">
      <c r="A3108" s="900" t="s">
        <v>4153</v>
      </c>
      <c r="B3108" s="900">
        <v>9.5835582585947459E-4</v>
      </c>
      <c r="D3108" s="900">
        <v>0.78834134590257232</v>
      </c>
      <c r="E3108" s="900">
        <v>3.8780791202612801E-3</v>
      </c>
      <c r="F3108" s="900">
        <v>2.6262803157351979E-3</v>
      </c>
      <c r="G3108" s="900">
        <v>3719.2101309839959</v>
      </c>
      <c r="H3108" s="900">
        <v>0.1014221822483925</v>
      </c>
    </row>
    <row r="3109" spans="1:8" x14ac:dyDescent="0.35">
      <c r="A3109" s="900" t="s">
        <v>4823</v>
      </c>
      <c r="C3109" s="900">
        <v>0</v>
      </c>
    </row>
    <row r="3110" spans="1:8" x14ac:dyDescent="0.35">
      <c r="A3110" s="900" t="s">
        <v>4824</v>
      </c>
      <c r="B3110" s="900">
        <v>2.5326528167533679E-3</v>
      </c>
      <c r="D3110" s="900">
        <v>2.0833545081991871</v>
      </c>
      <c r="E3110" s="900">
        <v>1.024862346792093E-2</v>
      </c>
      <c r="F3110" s="900">
        <v>6.9404870923234618E-3</v>
      </c>
      <c r="G3110" s="900">
        <v>9828.779415919651</v>
      </c>
      <c r="H3110" s="900">
        <v>0.26802902285515978</v>
      </c>
    </row>
    <row r="3111" spans="1:8" x14ac:dyDescent="0.35">
      <c r="A3111" s="900" t="s">
        <v>4825</v>
      </c>
      <c r="C3111" s="900">
        <v>0</v>
      </c>
    </row>
    <row r="3112" spans="1:8" x14ac:dyDescent="0.35">
      <c r="A3112" s="900" t="s">
        <v>4826</v>
      </c>
      <c r="B3112" s="900">
        <v>2.1106119193255038E-3</v>
      </c>
      <c r="C3112" s="900">
        <v>26487.77900098544</v>
      </c>
      <c r="D3112" s="900">
        <v>25331.817330776379</v>
      </c>
      <c r="E3112" s="900">
        <v>22097.143702706471</v>
      </c>
      <c r="F3112" s="900">
        <v>15977.92652348955</v>
      </c>
      <c r="G3112" s="900">
        <v>1.873478328780483E-4</v>
      </c>
      <c r="H3112" s="900">
        <v>5.006237132538288E-5</v>
      </c>
    </row>
    <row r="3113" spans="1:8" x14ac:dyDescent="0.35">
      <c r="A3113" s="900" t="s">
        <v>4827</v>
      </c>
      <c r="B3113" s="900">
        <v>2.1106119193255038E-3</v>
      </c>
      <c r="C3113" s="900">
        <v>26487.77900098544</v>
      </c>
      <c r="D3113" s="900">
        <v>25331.817330776379</v>
      </c>
      <c r="E3113" s="900">
        <v>22097.143702706471</v>
      </c>
      <c r="F3113" s="900">
        <v>15977.92652348955</v>
      </c>
      <c r="G3113" s="900">
        <v>1.873478328780483E-4</v>
      </c>
      <c r="H3113" s="900">
        <v>5.006237132538288E-5</v>
      </c>
    </row>
    <row r="3114" spans="1:8" x14ac:dyDescent="0.35">
      <c r="A3114" s="900" t="s">
        <v>4165</v>
      </c>
      <c r="B3114" s="900">
        <v>1100.8532314965621</v>
      </c>
      <c r="C3114" s="900">
        <v>34200.000033679498</v>
      </c>
      <c r="D3114" s="900">
        <v>34624.385294380707</v>
      </c>
      <c r="E3114" s="900">
        <v>35063.58224994177</v>
      </c>
      <c r="F3114" s="900">
        <v>35506.292121483493</v>
      </c>
      <c r="G3114" s="900">
        <v>17524.998208283982</v>
      </c>
      <c r="H3114" s="900">
        <v>1028.394293453314</v>
      </c>
    </row>
    <row r="3115" spans="1:8" x14ac:dyDescent="0.35">
      <c r="A3115" s="900" t="s">
        <v>4828</v>
      </c>
      <c r="B3115" s="900">
        <v>1100.8532314965621</v>
      </c>
      <c r="C3115" s="900">
        <v>34200.000033679498</v>
      </c>
      <c r="D3115" s="900">
        <v>34624.385294380707</v>
      </c>
      <c r="E3115" s="900">
        <v>35063.58224994177</v>
      </c>
      <c r="F3115" s="900">
        <v>35506.292121483493</v>
      </c>
      <c r="G3115" s="900">
        <v>17524.998208283982</v>
      </c>
      <c r="H3115" s="900">
        <v>1028.394293453314</v>
      </c>
    </row>
    <row r="3116" spans="1:8" x14ac:dyDescent="0.35">
      <c r="A3116" s="900" t="s">
        <v>4162</v>
      </c>
      <c r="B3116" s="900">
        <v>214.07690695445649</v>
      </c>
      <c r="C3116" s="900">
        <v>0</v>
      </c>
      <c r="D3116" s="900">
        <v>2.761468191059111</v>
      </c>
      <c r="E3116" s="900">
        <v>1.021425529434903E-2</v>
      </c>
      <c r="F3116" s="900">
        <v>5.0318410176033706E-3</v>
      </c>
      <c r="G3116" s="900">
        <v>5082.7744346468216</v>
      </c>
      <c r="H3116" s="900">
        <v>160.54177865612129</v>
      </c>
    </row>
    <row r="3117" spans="1:8" x14ac:dyDescent="0.35">
      <c r="A3117" s="900" t="s">
        <v>4829</v>
      </c>
      <c r="B3117" s="900">
        <v>339.80461421342301</v>
      </c>
      <c r="C3117" s="900">
        <v>0</v>
      </c>
      <c r="D3117" s="900">
        <v>4.3832828429509698</v>
      </c>
      <c r="E3117" s="900">
        <v>1.6213103641823851E-2</v>
      </c>
      <c r="F3117" s="900">
        <v>7.9870492342910653E-3</v>
      </c>
      <c r="G3117" s="900">
        <v>8067.8959280108274</v>
      </c>
      <c r="H3117" s="900">
        <v>254.82822008908141</v>
      </c>
    </row>
    <row r="3118" spans="1:8" x14ac:dyDescent="0.35">
      <c r="A3118" s="900" t="s">
        <v>4147</v>
      </c>
      <c r="B3118" s="900">
        <v>54.130875044198277</v>
      </c>
      <c r="D3118" s="900">
        <v>0.69825695688208944</v>
      </c>
      <c r="E3118" s="900">
        <v>2.58274741014254E-3</v>
      </c>
      <c r="F3118" s="900">
        <v>1.2723369430225661E-3</v>
      </c>
      <c r="G3118" s="900">
        <v>1285.215821332125</v>
      </c>
      <c r="H3118" s="900">
        <v>40.594135460190671</v>
      </c>
    </row>
    <row r="3119" spans="1:8" x14ac:dyDescent="0.35">
      <c r="A3119" s="900" t="s">
        <v>4830</v>
      </c>
      <c r="C3119" s="900">
        <v>0</v>
      </c>
    </row>
    <row r="3120" spans="1:8" x14ac:dyDescent="0.35">
      <c r="A3120" s="900" t="s">
        <v>4152</v>
      </c>
      <c r="B3120" s="900">
        <v>187.91195166002291</v>
      </c>
      <c r="D3120" s="900">
        <v>2.4239554121518871</v>
      </c>
      <c r="E3120" s="900">
        <v>8.965846313928591E-3</v>
      </c>
      <c r="F3120" s="900">
        <v>4.4168382265629587E-3</v>
      </c>
      <c r="G3120" s="900">
        <v>4461.546448189988</v>
      </c>
      <c r="H3120" s="900">
        <v>140.920005709262</v>
      </c>
    </row>
    <row r="3121" spans="1:8" x14ac:dyDescent="0.35">
      <c r="A3121" s="900" t="s">
        <v>4831</v>
      </c>
      <c r="C3121" s="900">
        <v>0</v>
      </c>
    </row>
    <row r="3122" spans="1:8" x14ac:dyDescent="0.35">
      <c r="A3122" s="900" t="s">
        <v>4832</v>
      </c>
      <c r="B3122" s="900">
        <v>339.80461421342301</v>
      </c>
      <c r="D3122" s="900">
        <v>4.3832828429509698</v>
      </c>
      <c r="E3122" s="900">
        <v>1.6213103641823851E-2</v>
      </c>
      <c r="F3122" s="900">
        <v>7.9870492342910653E-3</v>
      </c>
      <c r="G3122" s="900">
        <v>8067.8959280108274</v>
      </c>
      <c r="H3122" s="900">
        <v>254.82822008908141</v>
      </c>
    </row>
    <row r="3123" spans="1:8" x14ac:dyDescent="0.35">
      <c r="A3123" s="900" t="s">
        <v>4833</v>
      </c>
      <c r="C3123" s="900">
        <v>0</v>
      </c>
    </row>
    <row r="3124" spans="1:8" x14ac:dyDescent="0.35">
      <c r="A3124" s="900" t="s">
        <v>4834</v>
      </c>
      <c r="B3124" s="900">
        <v>87.21233116503501</v>
      </c>
      <c r="C3124" s="900">
        <v>12604.93066366337</v>
      </c>
      <c r="D3124" s="900">
        <v>13261.66619838061</v>
      </c>
      <c r="E3124" s="900">
        <v>13292.5795775308</v>
      </c>
      <c r="F3124" s="900">
        <v>11768.58038979141</v>
      </c>
      <c r="G3124" s="900">
        <v>2593.9844478541031</v>
      </c>
      <c r="H3124" s="900">
        <v>3.187246090231309E-5</v>
      </c>
    </row>
    <row r="3125" spans="1:8" x14ac:dyDescent="0.35">
      <c r="A3125" s="900" t="s">
        <v>4835</v>
      </c>
      <c r="B3125" s="900">
        <v>87.21233116503501</v>
      </c>
      <c r="C3125" s="900">
        <v>12604.93066366337</v>
      </c>
      <c r="D3125" s="900">
        <v>13261.66619838061</v>
      </c>
      <c r="E3125" s="900">
        <v>13292.5795775308</v>
      </c>
      <c r="F3125" s="900">
        <v>11768.58038979141</v>
      </c>
      <c r="G3125" s="900">
        <v>2593.9844478541031</v>
      </c>
      <c r="H3125" s="900">
        <v>3.187246090231309E-5</v>
      </c>
    </row>
    <row r="3126" spans="1:8" x14ac:dyDescent="0.35">
      <c r="A3126" s="900" t="s">
        <v>4836</v>
      </c>
      <c r="B3126" s="900">
        <v>5.9094216400134611E-2</v>
      </c>
      <c r="C3126" s="900">
        <v>0</v>
      </c>
      <c r="D3126" s="900">
        <v>2.1851781308425999</v>
      </c>
      <c r="E3126" s="900">
        <v>7.9661155395579597E-4</v>
      </c>
      <c r="F3126" s="900">
        <v>4.5511736805319767E-4</v>
      </c>
      <c r="G3126" s="900">
        <v>5.0628589867404782E-5</v>
      </c>
      <c r="H3126" s="900">
        <v>22.423812744492391</v>
      </c>
    </row>
    <row r="3127" spans="1:8" x14ac:dyDescent="0.35">
      <c r="A3127" s="900" t="s">
        <v>4837</v>
      </c>
      <c r="B3127" s="900">
        <v>5.9094216400134611E-2</v>
      </c>
      <c r="D3127" s="900">
        <v>2.1851781308425999</v>
      </c>
      <c r="E3127" s="900">
        <v>7.9661155395579597E-4</v>
      </c>
      <c r="F3127" s="900">
        <v>4.5511736805319767E-4</v>
      </c>
      <c r="G3127" s="900">
        <v>5.0628589867404782E-5</v>
      </c>
      <c r="H3127" s="900">
        <v>22.423812744492391</v>
      </c>
    </row>
    <row r="3128" spans="1:8" x14ac:dyDescent="0.35">
      <c r="A3128" s="900" t="s">
        <v>4838</v>
      </c>
      <c r="C3128" s="900">
        <v>0</v>
      </c>
    </row>
    <row r="3129" spans="1:8" x14ac:dyDescent="0.35">
      <c r="A3129" s="900" t="s">
        <v>4839</v>
      </c>
      <c r="B3129" s="900">
        <v>1575.5909558713579</v>
      </c>
      <c r="C3129" s="900">
        <v>1130.0001326581209</v>
      </c>
      <c r="D3129" s="900">
        <v>1216.9680094023281</v>
      </c>
      <c r="E3129" s="900">
        <v>1308.2992087917589</v>
      </c>
      <c r="F3129" s="900">
        <v>1397.39954793278</v>
      </c>
      <c r="G3129" s="900">
        <v>1486.4999495294501</v>
      </c>
      <c r="H3129" s="900">
        <v>1553.2261874165481</v>
      </c>
    </row>
    <row r="3130" spans="1:8" x14ac:dyDescent="0.35">
      <c r="A3130" s="900" t="s">
        <v>4840</v>
      </c>
      <c r="B3130" s="900">
        <v>1575.5909558713579</v>
      </c>
      <c r="C3130" s="900">
        <v>1130.0001326581209</v>
      </c>
      <c r="D3130" s="900">
        <v>1216.9680094023281</v>
      </c>
      <c r="E3130" s="900">
        <v>1308.2992087917589</v>
      </c>
      <c r="F3130" s="900">
        <v>1397.39954793278</v>
      </c>
      <c r="G3130" s="900">
        <v>1486.4999495294501</v>
      </c>
      <c r="H3130" s="900">
        <v>1553.2261874165481</v>
      </c>
    </row>
    <row r="3131" spans="1:8" x14ac:dyDescent="0.35">
      <c r="A3131" s="900" t="s">
        <v>4841</v>
      </c>
      <c r="B3131" s="900">
        <v>7056.3247637599834</v>
      </c>
      <c r="C3131" s="900">
        <v>0</v>
      </c>
      <c r="D3131" s="900">
        <v>4.1498527158671548E-5</v>
      </c>
      <c r="E3131" s="900">
        <v>1.078512042044412E-3</v>
      </c>
      <c r="F3131" s="900">
        <v>1.14930693014929E-3</v>
      </c>
      <c r="G3131" s="900">
        <v>8.0442563765884494E-5</v>
      </c>
      <c r="H3131" s="900">
        <v>7035.5073333045402</v>
      </c>
    </row>
    <row r="3132" spans="1:8" x14ac:dyDescent="0.35">
      <c r="A3132" s="900" t="s">
        <v>4842</v>
      </c>
      <c r="B3132" s="900">
        <v>16502.62672500547</v>
      </c>
      <c r="D3132" s="900">
        <v>9.7052605465985161E-5</v>
      </c>
      <c r="E3132" s="900">
        <v>2.522316112729267E-3</v>
      </c>
      <c r="F3132" s="900">
        <v>2.6878841175401449E-3</v>
      </c>
      <c r="G3132" s="900">
        <v>1.8813102387927409E-4</v>
      </c>
      <c r="H3132" s="900">
        <v>16453.941000399329</v>
      </c>
    </row>
    <row r="3133" spans="1:8" x14ac:dyDescent="0.35">
      <c r="A3133" s="900" t="s">
        <v>4843</v>
      </c>
      <c r="C3133" s="900">
        <v>0</v>
      </c>
    </row>
    <row r="3134" spans="1:8" x14ac:dyDescent="0.35">
      <c r="A3134" s="900" t="s">
        <v>4844</v>
      </c>
      <c r="B3134" s="900">
        <v>7056.3247637599834</v>
      </c>
      <c r="D3134" s="900">
        <v>4.1498527158671548E-5</v>
      </c>
      <c r="E3134" s="900">
        <v>1.078512042044412E-3</v>
      </c>
      <c r="F3134" s="900">
        <v>1.14930693014929E-3</v>
      </c>
      <c r="G3134" s="900">
        <v>8.0442563765884494E-5</v>
      </c>
      <c r="H3134" s="900">
        <v>7035.5073333045402</v>
      </c>
    </row>
    <row r="3135" spans="1:8" x14ac:dyDescent="0.35">
      <c r="A3135" s="900" t="s">
        <v>4845</v>
      </c>
      <c r="C3135" s="900">
        <v>0</v>
      </c>
    </row>
    <row r="3136" spans="1:8" x14ac:dyDescent="0.35">
      <c r="A3136" s="900" t="s">
        <v>4846</v>
      </c>
      <c r="B3136" s="900">
        <v>1.7908850365795351E-3</v>
      </c>
      <c r="C3136" s="900">
        <v>0</v>
      </c>
      <c r="D3136" s="900">
        <v>4.1483589625149862E-5</v>
      </c>
      <c r="E3136" s="900">
        <v>543.68531682329933</v>
      </c>
      <c r="F3136" s="900">
        <v>2036.6979061625409</v>
      </c>
      <c r="G3136" s="900">
        <v>4543.0242069175556</v>
      </c>
      <c r="H3136" s="900">
        <v>1.7828569678311441E-5</v>
      </c>
    </row>
    <row r="3137" spans="1:8" x14ac:dyDescent="0.35">
      <c r="A3137" s="900" t="s">
        <v>4157</v>
      </c>
      <c r="B3137" s="900">
        <v>4.1883428350485584E-3</v>
      </c>
      <c r="D3137" s="900">
        <v>9.7017671056337976E-5</v>
      </c>
      <c r="E3137" s="900">
        <v>1271.51685045465</v>
      </c>
      <c r="F3137" s="900">
        <v>4763.2253931423338</v>
      </c>
      <c r="G3137" s="900">
        <v>10624.770712718089</v>
      </c>
      <c r="H3137" s="900">
        <v>4.1695675906666973E-5</v>
      </c>
    </row>
    <row r="3138" spans="1:8" x14ac:dyDescent="0.35">
      <c r="A3138" s="900" t="s">
        <v>4847</v>
      </c>
      <c r="C3138" s="900">
        <v>0</v>
      </c>
    </row>
    <row r="3139" spans="1:8" x14ac:dyDescent="0.35">
      <c r="A3139" s="900" t="s">
        <v>4848</v>
      </c>
      <c r="B3139" s="900">
        <v>1.7908850365795351E-3</v>
      </c>
      <c r="D3139" s="900">
        <v>4.1483589625149862E-5</v>
      </c>
      <c r="E3139" s="900">
        <v>543.68531682329933</v>
      </c>
      <c r="F3139" s="900">
        <v>2036.6979061625409</v>
      </c>
      <c r="G3139" s="900">
        <v>4543.0242069175556</v>
      </c>
      <c r="H3139" s="900">
        <v>1.7828569678311441E-5</v>
      </c>
    </row>
    <row r="3140" spans="1:8" x14ac:dyDescent="0.35">
      <c r="A3140" s="900" t="s">
        <v>4849</v>
      </c>
      <c r="C3140" s="900">
        <v>0</v>
      </c>
    </row>
    <row r="3141" spans="1:8" x14ac:dyDescent="0.35">
      <c r="A3141" s="900" t="s">
        <v>4155</v>
      </c>
      <c r="B3141" s="900">
        <v>616.8280481038031</v>
      </c>
      <c r="C3141" s="900">
        <v>0</v>
      </c>
      <c r="D3141" s="900">
        <v>4.8586032273485156</v>
      </c>
      <c r="E3141" s="900">
        <v>6.1889499781124679E-2</v>
      </c>
      <c r="F3141" s="900">
        <v>51.440131175879998</v>
      </c>
      <c r="G3141" s="900">
        <v>4741.5621667233227</v>
      </c>
      <c r="H3141" s="900">
        <v>608.08800036582159</v>
      </c>
    </row>
    <row r="3142" spans="1:8" x14ac:dyDescent="0.35">
      <c r="A3142" s="900" t="s">
        <v>4156</v>
      </c>
      <c r="B3142" s="900">
        <v>1575.5505698692291</v>
      </c>
      <c r="C3142" s="900">
        <v>0</v>
      </c>
      <c r="D3142" s="900">
        <v>12.410225357212051</v>
      </c>
      <c r="E3142" s="900">
        <v>0.15808301348946269</v>
      </c>
      <c r="F3142" s="900">
        <v>131.39241679662831</v>
      </c>
      <c r="G3142" s="900">
        <v>12111.26990223071</v>
      </c>
      <c r="H3142" s="900">
        <v>1553.226054574257</v>
      </c>
    </row>
    <row r="3143" spans="1:8" x14ac:dyDescent="0.35">
      <c r="A3143" s="900" t="s">
        <v>4144</v>
      </c>
      <c r="B3143" s="900">
        <v>68.536449789311447</v>
      </c>
      <c r="D3143" s="900">
        <v>0.53984480303872406</v>
      </c>
      <c r="E3143" s="900">
        <v>6.8766110867916307E-3</v>
      </c>
      <c r="F3143" s="900">
        <v>5.7155701306533331</v>
      </c>
      <c r="G3143" s="900">
        <v>526.84024074703586</v>
      </c>
      <c r="H3143" s="900">
        <v>67.565333373980181</v>
      </c>
    </row>
    <row r="3144" spans="1:8" x14ac:dyDescent="0.35">
      <c r="A3144" s="900" t="s">
        <v>4850</v>
      </c>
      <c r="C3144" s="900">
        <v>0</v>
      </c>
    </row>
    <row r="3145" spans="1:8" x14ac:dyDescent="0.35">
      <c r="A3145" s="900" t="s">
        <v>4149</v>
      </c>
      <c r="B3145" s="900">
        <v>1.733105626856152</v>
      </c>
      <c r="D3145" s="900">
        <v>1.365124789293325E-2</v>
      </c>
      <c r="E3145" s="900">
        <v>1.7389131483840911E-4</v>
      </c>
      <c r="F3145" s="900">
        <v>0.14453165847629121</v>
      </c>
      <c r="G3145" s="900">
        <v>13.32239689245378</v>
      </c>
      <c r="H3145" s="900">
        <v>1.708548660031683</v>
      </c>
    </row>
    <row r="3146" spans="1:8" x14ac:dyDescent="0.35">
      <c r="A3146" s="900" t="s">
        <v>4851</v>
      </c>
      <c r="C3146" s="900">
        <v>0</v>
      </c>
    </row>
    <row r="3147" spans="1:8" x14ac:dyDescent="0.35">
      <c r="A3147" s="900" t="s">
        <v>4852</v>
      </c>
      <c r="B3147" s="900">
        <v>1575.5505698692291</v>
      </c>
      <c r="D3147" s="900">
        <v>12.410225357212051</v>
      </c>
      <c r="E3147" s="900">
        <v>0.1580830134894628</v>
      </c>
      <c r="F3147" s="900">
        <v>131.3924167966284</v>
      </c>
      <c r="G3147" s="900">
        <v>12111.26990223071</v>
      </c>
      <c r="H3147" s="900">
        <v>1553.226054574257</v>
      </c>
    </row>
    <row r="3148" spans="1:8" x14ac:dyDescent="0.35">
      <c r="A3148" s="900" t="s">
        <v>4853</v>
      </c>
      <c r="C3148" s="900">
        <v>0</v>
      </c>
    </row>
    <row r="3149" spans="1:8" x14ac:dyDescent="0.35">
      <c r="A3149" s="900" t="s">
        <v>4166</v>
      </c>
      <c r="B3149" s="900">
        <v>4.0809464191462752E-2</v>
      </c>
      <c r="C3149" s="900">
        <v>451.99945937109078</v>
      </c>
      <c r="D3149" s="900">
        <v>495.97167683205629</v>
      </c>
      <c r="E3149" s="900">
        <v>2579.6539084760889</v>
      </c>
      <c r="F3149" s="900">
        <v>6029.2311943884952</v>
      </c>
      <c r="G3149" s="900">
        <v>3.8397968620422588E-4</v>
      </c>
      <c r="H3149" s="900">
        <v>1.539891721432136E-4</v>
      </c>
    </row>
    <row r="3150" spans="1:8" x14ac:dyDescent="0.35">
      <c r="A3150" s="900" t="s">
        <v>4854</v>
      </c>
      <c r="B3150" s="900">
        <v>4.0809464191462752E-2</v>
      </c>
      <c r="C3150" s="900">
        <v>451.99945937109078</v>
      </c>
      <c r="D3150" s="900">
        <v>495.97167683205629</v>
      </c>
      <c r="E3150" s="900">
        <v>2579.6539084760889</v>
      </c>
      <c r="F3150" s="900">
        <v>6029.2311943884952</v>
      </c>
      <c r="G3150" s="900">
        <v>3.8397968620422588E-4</v>
      </c>
      <c r="H3150" s="900">
        <v>1.539891721432136E-4</v>
      </c>
    </row>
    <row r="3151" spans="1:8" x14ac:dyDescent="0.35">
      <c r="A3151" s="900" t="s">
        <v>4158</v>
      </c>
      <c r="B3151" s="900">
        <v>3.3333921292156561E-3</v>
      </c>
      <c r="C3151" s="900">
        <v>0</v>
      </c>
      <c r="D3151" s="900">
        <v>4.8277574227343996</v>
      </c>
      <c r="E3151" s="900">
        <v>4.155900925756688E-3</v>
      </c>
      <c r="F3151" s="900">
        <v>1.392860698324422E-3</v>
      </c>
      <c r="G3151" s="900">
        <v>5.1314959235938145E-4</v>
      </c>
      <c r="H3151" s="900">
        <v>2.343762642012608E-5</v>
      </c>
    </row>
    <row r="3152" spans="1:8" x14ac:dyDescent="0.35">
      <c r="A3152" s="900" t="s">
        <v>4159</v>
      </c>
      <c r="B3152" s="900">
        <v>2.0668353975791518E-3</v>
      </c>
      <c r="C3152" s="900">
        <v>0</v>
      </c>
      <c r="D3152" s="900">
        <v>2.9934011797708342</v>
      </c>
      <c r="E3152" s="900">
        <v>2.5768234906725501E-3</v>
      </c>
      <c r="F3152" s="900">
        <v>8.6362890521107533E-4</v>
      </c>
      <c r="G3152" s="900">
        <v>3.1817311034187842E-4</v>
      </c>
      <c r="H3152" s="900">
        <v>1.4532258445018651E-5</v>
      </c>
    </row>
    <row r="3153" spans="1:8" x14ac:dyDescent="0.35">
      <c r="A3153" s="900" t="s">
        <v>4145</v>
      </c>
      <c r="B3153" s="900">
        <v>3.7037690324618402E-4</v>
      </c>
      <c r="D3153" s="900">
        <v>0.53641749141493344</v>
      </c>
      <c r="E3153" s="900">
        <v>4.6176676952852089E-4</v>
      </c>
      <c r="F3153" s="900">
        <v>1.5476229981382469E-4</v>
      </c>
      <c r="G3153" s="900">
        <v>5.7016621373264621E-5</v>
      </c>
      <c r="H3153" s="900">
        <v>2.604180713347343E-6</v>
      </c>
    </row>
    <row r="3154" spans="1:8" x14ac:dyDescent="0.35">
      <c r="A3154" s="900" t="s">
        <v>4855</v>
      </c>
      <c r="C3154" s="900">
        <v>0</v>
      </c>
    </row>
    <row r="3155" spans="1:8" x14ac:dyDescent="0.35">
      <c r="A3155" s="900" t="s">
        <v>4150</v>
      </c>
      <c r="B3155" s="900">
        <v>9.3007592891061806E-6</v>
      </c>
      <c r="D3155" s="900">
        <v>1.347030530896875E-2</v>
      </c>
      <c r="E3155" s="900">
        <v>1.159570570802647E-5</v>
      </c>
      <c r="F3155" s="900">
        <v>3.8863300734498377E-6</v>
      </c>
      <c r="G3155" s="900">
        <v>1.431778996538453E-6</v>
      </c>
      <c r="H3155" s="900">
        <v>6.5395163002583934E-8</v>
      </c>
    </row>
    <row r="3156" spans="1:8" x14ac:dyDescent="0.35">
      <c r="A3156" s="900" t="s">
        <v>4856</v>
      </c>
      <c r="C3156" s="900">
        <v>0</v>
      </c>
    </row>
    <row r="3157" spans="1:8" x14ac:dyDescent="0.35">
      <c r="A3157" s="900" t="s">
        <v>4857</v>
      </c>
      <c r="B3157" s="900">
        <v>2.0668353975791518E-3</v>
      </c>
      <c r="D3157" s="900">
        <v>2.9934011797708342</v>
      </c>
      <c r="E3157" s="900">
        <v>2.5768234906725501E-3</v>
      </c>
      <c r="F3157" s="900">
        <v>8.6362890521107533E-4</v>
      </c>
      <c r="G3157" s="900">
        <v>3.1817311034187842E-4</v>
      </c>
      <c r="H3157" s="900">
        <v>1.4532258445018651E-5</v>
      </c>
    </row>
    <row r="3158" spans="1:8" x14ac:dyDescent="0.35">
      <c r="A3158" s="900" t="s">
        <v>4858</v>
      </c>
      <c r="C3158" s="900">
        <v>0</v>
      </c>
    </row>
    <row r="3159" spans="1:8" x14ac:dyDescent="0.35">
      <c r="A3159" s="900" t="s">
        <v>4167</v>
      </c>
      <c r="B3159" s="900">
        <v>1.6993207924875079E-3</v>
      </c>
      <c r="C3159" s="900">
        <v>678.00067328703642</v>
      </c>
      <c r="D3159" s="900">
        <v>705.59289172396723</v>
      </c>
      <c r="E3159" s="900">
        <v>1.491050105277504E-3</v>
      </c>
      <c r="F3159" s="900">
        <v>4.6641420022896471E-4</v>
      </c>
      <c r="G3159" s="900">
        <v>5.7867286992472769E-5</v>
      </c>
      <c r="H3159" s="900">
        <v>6.0167928021240697E-6</v>
      </c>
    </row>
    <row r="3160" spans="1:8" x14ac:dyDescent="0.35">
      <c r="A3160" s="900" t="s">
        <v>4859</v>
      </c>
      <c r="B3160" s="900">
        <v>1.6993207924875079E-3</v>
      </c>
      <c r="C3160" s="900">
        <v>678.00067328703642</v>
      </c>
      <c r="D3160" s="900">
        <v>705.59289172396723</v>
      </c>
      <c r="E3160" s="900">
        <v>1.491050105277504E-3</v>
      </c>
      <c r="F3160" s="900">
        <v>4.6641420022896471E-4</v>
      </c>
      <c r="G3160" s="900">
        <v>5.7867286992472769E-5</v>
      </c>
      <c r="H3160" s="900">
        <v>6.0167928021240697E-6</v>
      </c>
    </row>
    <row r="3161" spans="1:8" x14ac:dyDescent="0.35">
      <c r="A3161" s="900" t="s">
        <v>4161</v>
      </c>
      <c r="B3161" s="900">
        <v>239.62993098931841</v>
      </c>
      <c r="C3161" s="900">
        <v>0</v>
      </c>
      <c r="D3161" s="900">
        <v>4.8899837428408448</v>
      </c>
      <c r="E3161" s="900">
        <v>6.1232963348838182E-2</v>
      </c>
      <c r="F3161" s="900">
        <v>74.818707813175592</v>
      </c>
      <c r="G3161" s="900">
        <v>929.3104058434559</v>
      </c>
      <c r="H3161" s="900">
        <v>239.64376225883879</v>
      </c>
    </row>
    <row r="3162" spans="1:8" x14ac:dyDescent="0.35">
      <c r="A3162" s="900" t="s">
        <v>4860</v>
      </c>
      <c r="B3162" s="900">
        <v>227.5687853649747</v>
      </c>
      <c r="C3162" s="900">
        <v>0</v>
      </c>
      <c r="D3162" s="900">
        <v>4.6438592049770619</v>
      </c>
      <c r="E3162" s="900">
        <v>5.8150962344575688E-2</v>
      </c>
      <c r="F3162" s="900">
        <v>71.05290390614968</v>
      </c>
      <c r="G3162" s="900">
        <v>882.53599795200012</v>
      </c>
      <c r="H3162" s="900">
        <v>227.58192047373109</v>
      </c>
    </row>
    <row r="3163" spans="1:8" x14ac:dyDescent="0.35">
      <c r="A3163" s="900" t="s">
        <v>4146</v>
      </c>
      <c r="B3163" s="900">
        <v>26.625547887702041</v>
      </c>
      <c r="D3163" s="900">
        <v>0.54333152698231624</v>
      </c>
      <c r="E3163" s="900">
        <v>6.8036625943153559E-3</v>
      </c>
      <c r="F3163" s="900">
        <v>8.3131897570195132</v>
      </c>
      <c r="G3163" s="900">
        <v>103.25671176038399</v>
      </c>
      <c r="H3163" s="900">
        <v>26.627084695426539</v>
      </c>
    </row>
    <row r="3164" spans="1:8" x14ac:dyDescent="0.35">
      <c r="A3164" s="900" t="s">
        <v>4861</v>
      </c>
      <c r="C3164" s="900">
        <v>0</v>
      </c>
    </row>
    <row r="3165" spans="1:8" x14ac:dyDescent="0.35">
      <c r="A3165" s="900" t="s">
        <v>4151</v>
      </c>
      <c r="B3165" s="900">
        <v>0.65994947755842648</v>
      </c>
      <c r="D3165" s="900">
        <v>1.3467191694433471E-2</v>
      </c>
      <c r="E3165" s="900">
        <v>1.6863779079926951E-4</v>
      </c>
      <c r="F3165" s="900">
        <v>0.206053421327834</v>
      </c>
      <c r="G3165" s="900">
        <v>2.559354394060799</v>
      </c>
      <c r="H3165" s="900">
        <v>0.65998756937382008</v>
      </c>
    </row>
    <row r="3166" spans="1:8" x14ac:dyDescent="0.35">
      <c r="A3166" s="900" t="s">
        <v>4862</v>
      </c>
      <c r="C3166" s="900">
        <v>0</v>
      </c>
    </row>
    <row r="3167" spans="1:8" x14ac:dyDescent="0.35">
      <c r="A3167" s="900" t="s">
        <v>4863</v>
      </c>
      <c r="B3167" s="900">
        <v>227.5687853649747</v>
      </c>
      <c r="D3167" s="900">
        <v>4.6438592049770611</v>
      </c>
      <c r="E3167" s="900">
        <v>5.8150962344575667E-2</v>
      </c>
      <c r="F3167" s="900">
        <v>71.052903906149666</v>
      </c>
      <c r="G3167" s="900">
        <v>882.535997952</v>
      </c>
      <c r="H3167" s="900">
        <v>227.58192047373109</v>
      </c>
    </row>
    <row r="3168" spans="1:8" x14ac:dyDescent="0.35">
      <c r="A3168" s="900" t="s">
        <v>4864</v>
      </c>
      <c r="C3168" s="900">
        <v>0</v>
      </c>
    </row>
    <row r="3169" spans="1:8" x14ac:dyDescent="0.35">
      <c r="A3169" s="900" t="s">
        <v>4168</v>
      </c>
      <c r="B3169" s="900">
        <v>1.498390201144321E-2</v>
      </c>
      <c r="C3169" s="900">
        <v>2580.040135741408</v>
      </c>
      <c r="D3169" s="900">
        <v>2777.0319899521919</v>
      </c>
      <c r="E3169" s="900">
        <v>2640.958216092592</v>
      </c>
      <c r="F3169" s="900">
        <v>2063.898947769454</v>
      </c>
      <c r="G3169" s="900">
        <v>1.4283202619460201E-4</v>
      </c>
      <c r="H3169" s="900">
        <v>5.7247298497962468E-5</v>
      </c>
    </row>
    <row r="3170" spans="1:8" x14ac:dyDescent="0.35">
      <c r="A3170" s="900" t="s">
        <v>4865</v>
      </c>
      <c r="B3170" s="900">
        <v>1.498390201144321E-2</v>
      </c>
      <c r="C3170" s="900">
        <v>2580.040135741408</v>
      </c>
      <c r="D3170" s="900">
        <v>2777.0319899521919</v>
      </c>
      <c r="E3170" s="900">
        <v>2640.958216092592</v>
      </c>
      <c r="F3170" s="900">
        <v>2063.898947769454</v>
      </c>
      <c r="G3170" s="900">
        <v>1.4283202619460201E-4</v>
      </c>
      <c r="H3170" s="900">
        <v>5.7247298497962468E-5</v>
      </c>
    </row>
    <row r="3171" spans="1:8" x14ac:dyDescent="0.35">
      <c r="A3171" s="900" t="s">
        <v>4866</v>
      </c>
      <c r="B3171" s="900">
        <v>0</v>
      </c>
      <c r="C3171" s="900">
        <v>0</v>
      </c>
      <c r="D3171" s="900">
        <v>0</v>
      </c>
      <c r="E3171" s="900">
        <v>0</v>
      </c>
      <c r="F3171" s="900">
        <v>0</v>
      </c>
      <c r="G3171" s="900">
        <v>0</v>
      </c>
      <c r="H3171" s="900">
        <v>0</v>
      </c>
    </row>
    <row r="3172" spans="1:8" x14ac:dyDescent="0.35">
      <c r="A3172" s="900" t="s">
        <v>4240</v>
      </c>
      <c r="B3172" s="900">
        <v>0</v>
      </c>
      <c r="C3172" s="900">
        <v>0</v>
      </c>
      <c r="D3172" s="900">
        <v>0</v>
      </c>
      <c r="E3172" s="900">
        <v>0</v>
      </c>
      <c r="F3172" s="900">
        <v>0</v>
      </c>
      <c r="G3172" s="900">
        <v>0</v>
      </c>
      <c r="H3172" s="900">
        <v>0</v>
      </c>
    </row>
    <row r="3173" spans="1:8" x14ac:dyDescent="0.35">
      <c r="A3173" s="900" t="s">
        <v>4251</v>
      </c>
      <c r="B3173" s="900">
        <v>0</v>
      </c>
      <c r="C3173" s="900">
        <v>0</v>
      </c>
      <c r="D3173" s="900">
        <v>0</v>
      </c>
      <c r="E3173" s="900">
        <v>0</v>
      </c>
      <c r="F3173" s="900">
        <v>0</v>
      </c>
      <c r="G3173" s="900">
        <v>0</v>
      </c>
      <c r="H3173" s="900">
        <v>0</v>
      </c>
    </row>
    <row r="3174" spans="1:8" x14ac:dyDescent="0.35">
      <c r="A3174" s="900" t="s">
        <v>4867</v>
      </c>
      <c r="B3174" s="900">
        <v>0</v>
      </c>
      <c r="C3174" s="900">
        <v>0</v>
      </c>
      <c r="D3174" s="900">
        <v>0</v>
      </c>
      <c r="E3174" s="900">
        <v>0</v>
      </c>
      <c r="F3174" s="900">
        <v>0</v>
      </c>
      <c r="G3174" s="900">
        <v>0</v>
      </c>
      <c r="H3174" s="900">
        <v>0</v>
      </c>
    </row>
    <row r="3175" spans="1:8" x14ac:dyDescent="0.35">
      <c r="A3175" s="900" t="s">
        <v>4868</v>
      </c>
      <c r="B3175" s="900">
        <v>0</v>
      </c>
      <c r="C3175" s="900">
        <v>0</v>
      </c>
      <c r="D3175" s="900">
        <v>0</v>
      </c>
      <c r="E3175" s="900">
        <v>0</v>
      </c>
      <c r="F3175" s="900">
        <v>0</v>
      </c>
      <c r="G3175" s="900">
        <v>0</v>
      </c>
      <c r="H3175" s="900">
        <v>0</v>
      </c>
    </row>
    <row r="3176" spans="1:8" x14ac:dyDescent="0.35">
      <c r="A3176" s="900" t="s">
        <v>4869</v>
      </c>
      <c r="B3176" s="900">
        <v>0</v>
      </c>
      <c r="C3176" s="900">
        <v>0</v>
      </c>
      <c r="D3176" s="900">
        <v>0</v>
      </c>
      <c r="E3176" s="900">
        <v>0</v>
      </c>
      <c r="F3176" s="900">
        <v>0</v>
      </c>
      <c r="G3176" s="900">
        <v>0</v>
      </c>
      <c r="H3176" s="900">
        <v>0</v>
      </c>
    </row>
    <row r="3177" spans="1:8" x14ac:dyDescent="0.35">
      <c r="A3177" s="900" t="s">
        <v>4870</v>
      </c>
      <c r="B3177" s="900">
        <v>0</v>
      </c>
      <c r="C3177" s="900">
        <v>0</v>
      </c>
      <c r="D3177" s="900">
        <v>0</v>
      </c>
      <c r="E3177" s="900">
        <v>0</v>
      </c>
      <c r="F3177" s="900">
        <v>0</v>
      </c>
      <c r="G3177" s="900">
        <v>0</v>
      </c>
      <c r="H3177" s="900">
        <v>0</v>
      </c>
    </row>
    <row r="3178" spans="1:8" x14ac:dyDescent="0.35">
      <c r="A3178" s="900" t="s">
        <v>4871</v>
      </c>
      <c r="B3178" s="900">
        <v>0</v>
      </c>
      <c r="C3178" s="900">
        <v>0</v>
      </c>
      <c r="D3178" s="900">
        <v>0</v>
      </c>
      <c r="E3178" s="900">
        <v>0</v>
      </c>
      <c r="F3178" s="900">
        <v>0</v>
      </c>
      <c r="G3178" s="900">
        <v>0</v>
      </c>
      <c r="H3178" s="900">
        <v>0</v>
      </c>
    </row>
    <row r="3179" spans="1:8" x14ac:dyDescent="0.35">
      <c r="A3179" s="900" t="s">
        <v>4872</v>
      </c>
      <c r="B3179" s="900">
        <v>0</v>
      </c>
      <c r="C3179" s="900">
        <v>0</v>
      </c>
      <c r="D3179" s="900">
        <v>0</v>
      </c>
      <c r="E3179" s="900">
        <v>0</v>
      </c>
      <c r="F3179" s="900">
        <v>0</v>
      </c>
      <c r="G3179" s="900">
        <v>0</v>
      </c>
      <c r="H3179" s="900">
        <v>0</v>
      </c>
    </row>
    <row r="3180" spans="1:8" x14ac:dyDescent="0.35">
      <c r="A3180" s="900" t="s">
        <v>4248</v>
      </c>
      <c r="B3180" s="900">
        <v>0</v>
      </c>
      <c r="C3180" s="900">
        <v>0</v>
      </c>
      <c r="D3180" s="900">
        <v>0</v>
      </c>
      <c r="E3180" s="900">
        <v>0</v>
      </c>
      <c r="F3180" s="900">
        <v>0</v>
      </c>
      <c r="G3180" s="900">
        <v>0</v>
      </c>
      <c r="H3180" s="900">
        <v>0</v>
      </c>
    </row>
    <row r="3181" spans="1:8" x14ac:dyDescent="0.35">
      <c r="A3181" s="900" t="s">
        <v>4249</v>
      </c>
      <c r="B3181" s="900">
        <v>0</v>
      </c>
      <c r="C3181" s="900">
        <v>0</v>
      </c>
      <c r="D3181" s="900">
        <v>0</v>
      </c>
      <c r="E3181" s="900">
        <v>0</v>
      </c>
      <c r="F3181" s="900">
        <v>0</v>
      </c>
      <c r="G3181" s="900">
        <v>0</v>
      </c>
      <c r="H3181" s="900">
        <v>0</v>
      </c>
    </row>
    <row r="3182" spans="1:8" x14ac:dyDescent="0.35">
      <c r="A3182" s="900" t="s">
        <v>4273</v>
      </c>
      <c r="B3182" s="900">
        <v>4.252078924158556E-2</v>
      </c>
      <c r="C3182" s="900">
        <v>0</v>
      </c>
      <c r="D3182" s="900">
        <v>0.56903836031329047</v>
      </c>
      <c r="E3182" s="900">
        <v>2.2982179871535772E-3</v>
      </c>
      <c r="F3182" s="900">
        <v>1.8254563435626369E-3</v>
      </c>
      <c r="G3182" s="900">
        <v>519.41134587754755</v>
      </c>
      <c r="H3182" s="900">
        <v>67.262972687594242</v>
      </c>
    </row>
    <row r="3183" spans="1:8" x14ac:dyDescent="0.35">
      <c r="A3183" s="900" t="s">
        <v>4873</v>
      </c>
      <c r="B3183" s="900">
        <v>0.35108217908066169</v>
      </c>
      <c r="C3183" s="900">
        <v>0</v>
      </c>
      <c r="D3183" s="900">
        <v>4.6983894486109774</v>
      </c>
      <c r="E3183" s="900">
        <v>1.8975738534578599E-2</v>
      </c>
      <c r="F3183" s="900">
        <v>1.507227881574217E-2</v>
      </c>
      <c r="G3183" s="900">
        <v>4288.6331698557333</v>
      </c>
      <c r="H3183" s="900">
        <v>555.3714181652158</v>
      </c>
    </row>
    <row r="3184" spans="1:8" x14ac:dyDescent="0.35">
      <c r="A3184" s="900" t="s">
        <v>4874</v>
      </c>
      <c r="B3184" s="900">
        <v>0.35108217908066169</v>
      </c>
      <c r="D3184" s="900">
        <v>4.6983894486109774</v>
      </c>
      <c r="E3184" s="900">
        <v>1.8975738534578599E-2</v>
      </c>
      <c r="F3184" s="900">
        <v>1.507227881574217E-2</v>
      </c>
      <c r="G3184" s="900">
        <v>4288.6331698557333</v>
      </c>
      <c r="H3184" s="900">
        <v>555.3714181652158</v>
      </c>
    </row>
    <row r="3185" spans="1:8" x14ac:dyDescent="0.35">
      <c r="A3185" s="900" t="s">
        <v>4875</v>
      </c>
      <c r="C3185" s="900">
        <v>0</v>
      </c>
    </row>
    <row r="3186" spans="1:8" x14ac:dyDescent="0.35">
      <c r="A3186" s="900" t="s">
        <v>4275</v>
      </c>
      <c r="B3186" s="900">
        <v>8.9933030871201372E-2</v>
      </c>
      <c r="D3186" s="900">
        <v>1.203537030655659</v>
      </c>
      <c r="E3186" s="900">
        <v>4.8608154475480239E-3</v>
      </c>
      <c r="F3186" s="900">
        <v>3.8609072086340998E-3</v>
      </c>
      <c r="G3186" s="900">
        <v>1098.574072514461</v>
      </c>
      <c r="H3186" s="900">
        <v>142.26365754486221</v>
      </c>
    </row>
    <row r="3187" spans="1:8" x14ac:dyDescent="0.35">
      <c r="A3187" s="900" t="s">
        <v>4876</v>
      </c>
      <c r="C3187" s="900">
        <v>0</v>
      </c>
    </row>
    <row r="3188" spans="1:8" x14ac:dyDescent="0.35">
      <c r="A3188" s="900" t="s">
        <v>4877</v>
      </c>
      <c r="B3188" s="900">
        <v>0.58213831715625275</v>
      </c>
      <c r="C3188" s="900">
        <v>5255.7482064047072</v>
      </c>
      <c r="D3188" s="900">
        <v>5950.1997567150675</v>
      </c>
      <c r="E3188" s="900">
        <v>29609.656787429962</v>
      </c>
      <c r="F3188" s="900">
        <v>50194.784800642032</v>
      </c>
      <c r="G3188" s="900">
        <v>45906.166822975327</v>
      </c>
      <c r="H3188" s="900">
        <v>2169.5354129977891</v>
      </c>
    </row>
    <row r="3189" spans="1:8" x14ac:dyDescent="0.35">
      <c r="A3189" s="900" t="s">
        <v>4878</v>
      </c>
      <c r="B3189" s="900">
        <v>0.58213831715625275</v>
      </c>
      <c r="C3189" s="900">
        <v>5255.7482064047072</v>
      </c>
      <c r="D3189" s="900">
        <v>5950.1997567150675</v>
      </c>
      <c r="E3189" s="900">
        <v>29609.656787429962</v>
      </c>
      <c r="F3189" s="900">
        <v>50194.784800642032</v>
      </c>
      <c r="G3189" s="900">
        <v>45906.166822975327</v>
      </c>
      <c r="H3189" s="900">
        <v>2169.5354129977891</v>
      </c>
    </row>
    <row r="3190" spans="1:8" x14ac:dyDescent="0.35">
      <c r="A3190" s="900" t="s">
        <v>4300</v>
      </c>
      <c r="B3190" s="900">
        <v>38012.422491246682</v>
      </c>
      <c r="C3190" s="900">
        <v>1.1544583749848449</v>
      </c>
      <c r="D3190" s="900">
        <v>82.734740769843725</v>
      </c>
      <c r="E3190" s="900">
        <v>16646.18942746778</v>
      </c>
      <c r="F3190" s="900">
        <v>26916.701008727119</v>
      </c>
      <c r="G3190" s="900">
        <v>20126.223482574718</v>
      </c>
      <c r="H3190" s="900">
        <v>37890.264408820287</v>
      </c>
    </row>
    <row r="3191" spans="1:8" x14ac:dyDescent="0.35">
      <c r="A3191" s="900" t="s">
        <v>5034</v>
      </c>
      <c r="B3191" s="900">
        <v>38012.422491246682</v>
      </c>
      <c r="C3191" s="900">
        <v>1.1544583749848449</v>
      </c>
      <c r="D3191" s="900">
        <v>82.734740769843725</v>
      </c>
      <c r="E3191" s="900">
        <v>16646.18942746778</v>
      </c>
      <c r="F3191" s="900">
        <v>26916.701008727119</v>
      </c>
      <c r="G3191" s="900">
        <v>20126.223482574718</v>
      </c>
      <c r="H3191" s="900">
        <v>37890.264408820287</v>
      </c>
    </row>
    <row r="3192" spans="1:8" x14ac:dyDescent="0.35">
      <c r="A3192" s="900" t="s">
        <v>4879</v>
      </c>
      <c r="B3192" s="900">
        <v>17214.198660314749</v>
      </c>
      <c r="C3192" s="900">
        <v>19605.63109027375</v>
      </c>
      <c r="D3192" s="900">
        <v>21353.03909938283</v>
      </c>
      <c r="E3192" s="900">
        <v>41417.29519502016</v>
      </c>
      <c r="F3192" s="900">
        <v>74570.743320142123</v>
      </c>
      <c r="G3192" s="900">
        <v>127265.771683135</v>
      </c>
      <c r="H3192" s="900">
        <v>16988.665586837051</v>
      </c>
    </row>
    <row r="3193" spans="1:8" x14ac:dyDescent="0.35">
      <c r="A3193" s="900" t="s">
        <v>4291</v>
      </c>
      <c r="B3193" s="900">
        <v>17388.079454863378</v>
      </c>
      <c r="C3193" s="900">
        <v>19803.66776795328</v>
      </c>
      <c r="D3193" s="900">
        <v>21568.72636301296</v>
      </c>
      <c r="E3193" s="900">
        <v>41835.651712141582</v>
      </c>
      <c r="F3193" s="900">
        <v>75323.983151658715</v>
      </c>
      <c r="G3193" s="900">
        <v>128551.2845284192</v>
      </c>
      <c r="H3193" s="900">
        <v>17160.268269532378</v>
      </c>
    </row>
    <row r="3194" spans="1:8" x14ac:dyDescent="0.35">
      <c r="A3194" s="900" t="s">
        <v>4880</v>
      </c>
      <c r="B3194" s="900">
        <v>0</v>
      </c>
      <c r="C3194" s="900">
        <v>0</v>
      </c>
      <c r="D3194" s="900">
        <v>0</v>
      </c>
      <c r="E3194" s="900">
        <v>0</v>
      </c>
      <c r="F3194" s="900">
        <v>0</v>
      </c>
      <c r="G3194" s="900">
        <v>0</v>
      </c>
      <c r="H3194" s="900">
        <v>0</v>
      </c>
    </row>
    <row r="3195" spans="1:8" x14ac:dyDescent="0.35">
      <c r="A3195" s="900" t="s">
        <v>4382</v>
      </c>
      <c r="B3195" s="900">
        <v>0</v>
      </c>
      <c r="C3195" s="900">
        <v>0</v>
      </c>
      <c r="D3195" s="900">
        <v>0</v>
      </c>
      <c r="E3195" s="900">
        <v>0</v>
      </c>
      <c r="F3195" s="900">
        <v>0</v>
      </c>
      <c r="G3195" s="900">
        <v>0</v>
      </c>
      <c r="H3195" s="900">
        <v>0</v>
      </c>
    </row>
    <row r="3196" spans="1:8" x14ac:dyDescent="0.35">
      <c r="A3196" s="900" t="s">
        <v>4881</v>
      </c>
      <c r="B3196" s="900">
        <v>2.2549335142033112E-3</v>
      </c>
      <c r="C3196" s="900">
        <v>3.1584789369937059E-3</v>
      </c>
      <c r="D3196" s="900">
        <v>0.14746320835938759</v>
      </c>
      <c r="E3196" s="900">
        <v>2.377209800878441E-4</v>
      </c>
      <c r="F3196" s="900">
        <v>1.3522543784973929E-4</v>
      </c>
      <c r="G3196" s="900">
        <v>7.2626891867091033E-6</v>
      </c>
      <c r="H3196" s="900">
        <v>7.3295370181111817E-6</v>
      </c>
    </row>
    <row r="3197" spans="1:8" x14ac:dyDescent="0.35">
      <c r="A3197" s="900" t="s">
        <v>4882</v>
      </c>
      <c r="B3197" s="900">
        <v>2.2549335142033112E-3</v>
      </c>
      <c r="C3197" s="900">
        <v>3.1584789369937059E-3</v>
      </c>
      <c r="D3197" s="900">
        <v>0.14746320835938759</v>
      </c>
      <c r="E3197" s="900">
        <v>2.377209800878441E-4</v>
      </c>
      <c r="F3197" s="900">
        <v>1.3522543784973929E-4</v>
      </c>
      <c r="G3197" s="900">
        <v>7.2626891867091033E-6</v>
      </c>
      <c r="H3197" s="900">
        <v>7.3295370181111817E-6</v>
      </c>
    </row>
    <row r="3198" spans="1:8" x14ac:dyDescent="0.35">
      <c r="A3198" s="900" t="s">
        <v>4883</v>
      </c>
      <c r="B3198" s="900">
        <v>2.2552036617330819E-3</v>
      </c>
      <c r="C3198" s="900">
        <v>3.1149481749115052E-3</v>
      </c>
      <c r="D3198" s="900">
        <v>0.14966589416341591</v>
      </c>
      <c r="E3198" s="900">
        <v>2.382650542904688E-4</v>
      </c>
      <c r="F3198" s="900">
        <v>1.3619415865663269E-4</v>
      </c>
      <c r="G3198" s="900">
        <v>7.2670852059115386E-6</v>
      </c>
      <c r="H3198" s="900">
        <v>7.337470383697443E-6</v>
      </c>
    </row>
    <row r="3199" spans="1:8" x14ac:dyDescent="0.35">
      <c r="A3199" s="900" t="s">
        <v>4884</v>
      </c>
      <c r="B3199" s="900">
        <v>2.2552036617330819E-3</v>
      </c>
      <c r="C3199" s="900">
        <v>3.1149481749115052E-3</v>
      </c>
      <c r="D3199" s="900">
        <v>0.14966589416341591</v>
      </c>
      <c r="E3199" s="900">
        <v>2.382650542904688E-4</v>
      </c>
      <c r="F3199" s="900">
        <v>1.3619415865663269E-4</v>
      </c>
      <c r="G3199" s="900">
        <v>7.2670852059115386E-6</v>
      </c>
      <c r="H3199" s="900">
        <v>7.337470383697443E-6</v>
      </c>
    </row>
    <row r="3200" spans="1:8" x14ac:dyDescent="0.35">
      <c r="A3200" s="900" t="s">
        <v>4885</v>
      </c>
      <c r="B3200" s="900">
        <v>2.2591415172854771E-3</v>
      </c>
      <c r="C3200" s="900">
        <v>3.157712257780007E-3</v>
      </c>
      <c r="D3200" s="900">
        <v>0.15021963593084281</v>
      </c>
      <c r="E3200" s="900">
        <v>2.3790625466370741E-4</v>
      </c>
      <c r="F3200" s="900">
        <v>1.383275263909632E-4</v>
      </c>
      <c r="G3200" s="900">
        <v>7.2631181556659482E-6</v>
      </c>
      <c r="H3200" s="900">
        <v>7.318822277947959E-6</v>
      </c>
    </row>
    <row r="3201" spans="1:8" x14ac:dyDescent="0.35">
      <c r="A3201" s="900" t="s">
        <v>4886</v>
      </c>
      <c r="B3201" s="900">
        <v>2.2591415172854771E-3</v>
      </c>
      <c r="C3201" s="900">
        <v>3.157712257780007E-3</v>
      </c>
      <c r="D3201" s="900">
        <v>0.15021963593084281</v>
      </c>
      <c r="E3201" s="900">
        <v>2.3790625466370741E-4</v>
      </c>
      <c r="F3201" s="900">
        <v>1.383275263909632E-4</v>
      </c>
      <c r="G3201" s="900">
        <v>7.2631181556659482E-6</v>
      </c>
      <c r="H3201" s="900">
        <v>7.318822277947959E-6</v>
      </c>
    </row>
    <row r="3202" spans="1:8" x14ac:dyDescent="0.35">
      <c r="A3202" s="900" t="s">
        <v>4887</v>
      </c>
      <c r="B3202" s="900">
        <v>2.2550488679749969E-3</v>
      </c>
      <c r="C3202" s="900">
        <v>3.155452624224796E-3</v>
      </c>
      <c r="D3202" s="900">
        <v>0.1502544404761785</v>
      </c>
      <c r="E3202" s="900">
        <v>2.3827615147632261E-4</v>
      </c>
      <c r="F3202" s="900">
        <v>1.3663575975213471E-4</v>
      </c>
      <c r="G3202" s="900">
        <v>7.2576922517760922E-6</v>
      </c>
      <c r="H3202" s="900">
        <v>7.3267777809310876E-6</v>
      </c>
    </row>
    <row r="3203" spans="1:8" x14ac:dyDescent="0.35">
      <c r="A3203" s="900" t="s">
        <v>4888</v>
      </c>
      <c r="B3203" s="900">
        <v>2.2550488679749969E-3</v>
      </c>
      <c r="C3203" s="900">
        <v>3.155452624224796E-3</v>
      </c>
      <c r="D3203" s="900">
        <v>0.1502544404761785</v>
      </c>
      <c r="E3203" s="900">
        <v>2.3827615147632261E-4</v>
      </c>
      <c r="F3203" s="900">
        <v>1.3663575975213471E-4</v>
      </c>
      <c r="G3203" s="900">
        <v>7.2576922517760922E-6</v>
      </c>
      <c r="H3203" s="900">
        <v>7.3267777809310876E-6</v>
      </c>
    </row>
    <row r="3204" spans="1:8" x14ac:dyDescent="0.35">
      <c r="A3204" s="900" t="s">
        <v>4889</v>
      </c>
      <c r="B3204" s="900">
        <v>2.255209270775218E-3</v>
      </c>
      <c r="C3204" s="900">
        <v>3.114919242388462E-3</v>
      </c>
      <c r="D3204" s="900">
        <v>0.1499605741578954</v>
      </c>
      <c r="E3204" s="900">
        <v>2.3825211384506859E-4</v>
      </c>
      <c r="F3204" s="900">
        <v>1.3754301303475571E-4</v>
      </c>
      <c r="G3204" s="900">
        <v>7.2629315352917259E-6</v>
      </c>
      <c r="H3204" s="900">
        <v>7.3266649139243778E-6</v>
      </c>
    </row>
    <row r="3205" spans="1:8" x14ac:dyDescent="0.35">
      <c r="A3205" s="900" t="s">
        <v>4890</v>
      </c>
      <c r="B3205" s="900">
        <v>2.255209270775218E-3</v>
      </c>
      <c r="C3205" s="900">
        <v>3.114919242388462E-3</v>
      </c>
      <c r="D3205" s="900">
        <v>0.1499605741578954</v>
      </c>
      <c r="E3205" s="900">
        <v>2.3825211384506859E-4</v>
      </c>
      <c r="F3205" s="900">
        <v>1.3754301303475571E-4</v>
      </c>
      <c r="G3205" s="900">
        <v>7.2629315352917259E-6</v>
      </c>
      <c r="H3205" s="900">
        <v>7.3266649139243778E-6</v>
      </c>
    </row>
    <row r="3206" spans="1:8" x14ac:dyDescent="0.35">
      <c r="A3206" s="900" t="s">
        <v>4891</v>
      </c>
      <c r="B3206" s="900">
        <v>2.2543252478325541E-3</v>
      </c>
      <c r="C3206" s="900">
        <v>3.155397778062671E-3</v>
      </c>
      <c r="D3206" s="900">
        <v>0.15015290793740471</v>
      </c>
      <c r="E3206" s="900">
        <v>2.3822935538457429E-4</v>
      </c>
      <c r="F3206" s="900">
        <v>1.366365735895774E-4</v>
      </c>
      <c r="G3206" s="900">
        <v>7.2745900206318404E-6</v>
      </c>
      <c r="H3206" s="900">
        <v>7.3341823637781494E-6</v>
      </c>
    </row>
    <row r="3207" spans="1:8" x14ac:dyDescent="0.35">
      <c r="A3207" s="900" t="s">
        <v>4892</v>
      </c>
      <c r="B3207" s="900">
        <v>2.2543252478325541E-3</v>
      </c>
      <c r="C3207" s="900">
        <v>3.155397778062671E-3</v>
      </c>
      <c r="D3207" s="900">
        <v>0.15015290793740471</v>
      </c>
      <c r="E3207" s="900">
        <v>2.3822935538457429E-4</v>
      </c>
      <c r="F3207" s="900">
        <v>1.366365735895774E-4</v>
      </c>
      <c r="G3207" s="900">
        <v>7.2745900206318404E-6</v>
      </c>
      <c r="H3207" s="900">
        <v>7.3341823637781494E-6</v>
      </c>
    </row>
    <row r="3208" spans="1:8" x14ac:dyDescent="0.35">
      <c r="A3208" s="900" t="s">
        <v>4893</v>
      </c>
      <c r="B3208" s="900">
        <v>2.2550677419871999E-3</v>
      </c>
      <c r="C3208" s="900">
        <v>3.114752004176928E-3</v>
      </c>
      <c r="D3208" s="900">
        <v>0.15006159949421299</v>
      </c>
      <c r="E3208" s="900">
        <v>2.3776568297283001E-4</v>
      </c>
      <c r="F3208" s="900">
        <v>1.3887884411144889E-4</v>
      </c>
      <c r="G3208" s="900">
        <v>7.264209967496901E-6</v>
      </c>
      <c r="H3208" s="900">
        <v>7.3388061572795947E-6</v>
      </c>
    </row>
    <row r="3209" spans="1:8" x14ac:dyDescent="0.35">
      <c r="A3209" s="900" t="s">
        <v>4894</v>
      </c>
      <c r="B3209" s="900">
        <v>2.2550677419871999E-3</v>
      </c>
      <c r="C3209" s="900">
        <v>3.114752004176928E-3</v>
      </c>
      <c r="D3209" s="900">
        <v>0.15006159949421299</v>
      </c>
      <c r="E3209" s="900">
        <v>2.3776568297283001E-4</v>
      </c>
      <c r="F3209" s="900">
        <v>1.3887884411144889E-4</v>
      </c>
      <c r="G3209" s="900">
        <v>7.264209967496901E-6</v>
      </c>
      <c r="H3209" s="900">
        <v>7.3388061572795947E-6</v>
      </c>
    </row>
    <row r="3210" spans="1:8" x14ac:dyDescent="0.35">
      <c r="A3210" s="900" t="s">
        <v>4895</v>
      </c>
      <c r="B3210" s="900">
        <v>239.9238953940509</v>
      </c>
      <c r="C3210" s="900">
        <v>6.8609730557377604E-7</v>
      </c>
      <c r="D3210" s="900">
        <v>251.74215273778671</v>
      </c>
      <c r="E3210" s="900">
        <v>248.7630566671169</v>
      </c>
      <c r="F3210" s="900">
        <v>245.78721847161381</v>
      </c>
      <c r="G3210" s="900">
        <v>242.81139028320769</v>
      </c>
      <c r="H3210" s="900">
        <v>239.9239567113691</v>
      </c>
    </row>
    <row r="3211" spans="1:8" x14ac:dyDescent="0.35">
      <c r="A3211" s="900" t="s">
        <v>4896</v>
      </c>
      <c r="B3211" s="900">
        <v>239.9238953940509</v>
      </c>
      <c r="C3211" s="900">
        <v>6.8609730557377604E-7</v>
      </c>
      <c r="D3211" s="900">
        <v>251.74215273778671</v>
      </c>
      <c r="E3211" s="900">
        <v>248.7630566671169</v>
      </c>
      <c r="F3211" s="900">
        <v>245.78721847161381</v>
      </c>
      <c r="G3211" s="900">
        <v>242.81139028320769</v>
      </c>
      <c r="H3211" s="900">
        <v>239.9239567113691</v>
      </c>
    </row>
    <row r="3212" spans="1:8" x14ac:dyDescent="0.35">
      <c r="A3212" s="900" t="s">
        <v>4897</v>
      </c>
      <c r="B3212" s="900">
        <v>518.16555302099948</v>
      </c>
      <c r="C3212" s="900">
        <v>6.8609728496769923E-7</v>
      </c>
      <c r="D3212" s="900">
        <v>543.66850720079083</v>
      </c>
      <c r="E3212" s="900">
        <v>537.24339836480988</v>
      </c>
      <c r="F3212" s="900">
        <v>530.82030250592754</v>
      </c>
      <c r="G3212" s="900">
        <v>524.39721911755078</v>
      </c>
      <c r="H3212" s="900">
        <v>518.16563051045932</v>
      </c>
    </row>
    <row r="3213" spans="1:8" x14ac:dyDescent="0.35">
      <c r="A3213" s="900" t="s">
        <v>4898</v>
      </c>
      <c r="B3213" s="900">
        <v>518.16555302099948</v>
      </c>
      <c r="C3213" s="900">
        <v>6.8609728496769923E-7</v>
      </c>
      <c r="D3213" s="900">
        <v>543.66850720079083</v>
      </c>
      <c r="E3213" s="900">
        <v>537.24339836480988</v>
      </c>
      <c r="F3213" s="900">
        <v>530.82030250592754</v>
      </c>
      <c r="G3213" s="900">
        <v>524.39721911755078</v>
      </c>
      <c r="H3213" s="900">
        <v>518.16563051045932</v>
      </c>
    </row>
    <row r="3214" spans="1:8" x14ac:dyDescent="0.35">
      <c r="A3214" s="900" t="s">
        <v>4899</v>
      </c>
      <c r="B3214" s="900">
        <v>162.2866894725305</v>
      </c>
      <c r="C3214" s="900">
        <v>6.8609748576972633E-7</v>
      </c>
      <c r="D3214" s="900">
        <v>162.14847485836961</v>
      </c>
      <c r="E3214" s="900">
        <v>162.28669036853509</v>
      </c>
      <c r="F3214" s="900">
        <v>156.02573342676121</v>
      </c>
      <c r="G3214" s="900">
        <v>162.28676135742549</v>
      </c>
      <c r="H3214" s="900">
        <v>162.2867698325899</v>
      </c>
    </row>
    <row r="3215" spans="1:8" x14ac:dyDescent="0.35">
      <c r="A3215" s="900" t="s">
        <v>4900</v>
      </c>
      <c r="B3215" s="900">
        <v>162.2866894725305</v>
      </c>
      <c r="C3215" s="900">
        <v>6.8609748576972633E-7</v>
      </c>
      <c r="D3215" s="900">
        <v>162.14847485836961</v>
      </c>
      <c r="E3215" s="900">
        <v>162.28669036853509</v>
      </c>
      <c r="F3215" s="900">
        <v>156.02573342676121</v>
      </c>
      <c r="G3215" s="900">
        <v>162.28676135742549</v>
      </c>
      <c r="H3215" s="900">
        <v>162.2867698325899</v>
      </c>
    </row>
    <row r="3216" spans="1:8" x14ac:dyDescent="0.35">
      <c r="A3216" s="900" t="s">
        <v>4901</v>
      </c>
      <c r="B3216" s="900">
        <v>113.1692987033566</v>
      </c>
      <c r="C3216" s="900">
        <v>6.8611789954968119E-7</v>
      </c>
      <c r="D3216" s="900">
        <v>37.711414712655497</v>
      </c>
      <c r="E3216" s="900">
        <v>56.570623068716579</v>
      </c>
      <c r="F3216" s="900">
        <v>72.531619173779859</v>
      </c>
      <c r="G3216" s="900">
        <v>94.313646444075317</v>
      </c>
      <c r="H3216" s="900">
        <v>113.17055507461041</v>
      </c>
    </row>
    <row r="3217" spans="1:8" x14ac:dyDescent="0.35">
      <c r="A3217" s="900" t="s">
        <v>4902</v>
      </c>
      <c r="B3217" s="900">
        <v>113.1692987033566</v>
      </c>
      <c r="C3217" s="900">
        <v>6.8611789954968119E-7</v>
      </c>
      <c r="D3217" s="900">
        <v>37.711414712655497</v>
      </c>
      <c r="E3217" s="900">
        <v>56.570623068716579</v>
      </c>
      <c r="F3217" s="900">
        <v>72.531619173779859</v>
      </c>
      <c r="G3217" s="900">
        <v>94.313646444075317</v>
      </c>
      <c r="H3217" s="900">
        <v>113.17055507461041</v>
      </c>
    </row>
    <row r="3218" spans="1:8" x14ac:dyDescent="0.35">
      <c r="A3218" s="900" t="s">
        <v>4903</v>
      </c>
      <c r="B3218" s="900">
        <v>19.858555457181279</v>
      </c>
      <c r="C3218" s="900">
        <v>6.8611800700486406E-7</v>
      </c>
      <c r="D3218" s="900">
        <v>19.846570783203859</v>
      </c>
      <c r="E3218" s="900">
        <v>19.8588108093439</v>
      </c>
      <c r="F3218" s="900">
        <v>19.858563364419219</v>
      </c>
      <c r="G3218" s="900">
        <v>19.85854609218287</v>
      </c>
      <c r="H3218" s="900">
        <v>19.858612023467089</v>
      </c>
    </row>
    <row r="3219" spans="1:8" x14ac:dyDescent="0.35">
      <c r="A3219" s="900" t="s">
        <v>4904</v>
      </c>
      <c r="B3219" s="900">
        <v>19.858555457181279</v>
      </c>
      <c r="C3219" s="900">
        <v>6.8611800700486406E-7</v>
      </c>
      <c r="D3219" s="900">
        <v>19.846570783203859</v>
      </c>
      <c r="E3219" s="900">
        <v>19.8588108093439</v>
      </c>
      <c r="F3219" s="900">
        <v>19.858563364419219</v>
      </c>
      <c r="G3219" s="900">
        <v>19.85854609218287</v>
      </c>
      <c r="H3219" s="900">
        <v>19.858612023467089</v>
      </c>
    </row>
    <row r="3220" spans="1:8" x14ac:dyDescent="0.35">
      <c r="A3220" s="900" t="s">
        <v>4905</v>
      </c>
      <c r="B3220" s="900">
        <v>85.238789744043757</v>
      </c>
      <c r="C3220" s="900">
        <v>6.860973692459668E-7</v>
      </c>
      <c r="D3220" s="900">
        <v>85.238489024213607</v>
      </c>
      <c r="E3220" s="900">
        <v>85.238825345523153</v>
      </c>
      <c r="F3220" s="900">
        <v>85.238814671481691</v>
      </c>
      <c r="G3220" s="900">
        <v>85.238792770328601</v>
      </c>
      <c r="H3220" s="900">
        <v>85.238859597364396</v>
      </c>
    </row>
    <row r="3221" spans="1:8" x14ac:dyDescent="0.35">
      <c r="A3221" s="900" t="s">
        <v>4906</v>
      </c>
      <c r="B3221" s="900">
        <v>85.238789744043757</v>
      </c>
      <c r="C3221" s="900">
        <v>6.860973692459668E-7</v>
      </c>
      <c r="D3221" s="900">
        <v>85.238489024213607</v>
      </c>
      <c r="E3221" s="900">
        <v>85.238825345523153</v>
      </c>
      <c r="F3221" s="900">
        <v>85.238814671481691</v>
      </c>
      <c r="G3221" s="900">
        <v>85.238792770328601</v>
      </c>
      <c r="H3221" s="900">
        <v>85.238859597364396</v>
      </c>
    </row>
    <row r="3222" spans="1:8" x14ac:dyDescent="0.35">
      <c r="A3222" s="900" t="s">
        <v>4907</v>
      </c>
      <c r="B3222" s="900">
        <v>10.25369337500357</v>
      </c>
      <c r="C3222" s="900">
        <v>6.8612297287265663E-7</v>
      </c>
      <c r="D3222" s="900">
        <v>10.244471464163899</v>
      </c>
      <c r="E3222" s="900">
        <v>10.25360972438979</v>
      </c>
      <c r="F3222" s="900">
        <v>10.25326748000556</v>
      </c>
      <c r="G3222" s="900">
        <v>10.253315641457361</v>
      </c>
      <c r="H3222" s="900">
        <v>10.19684103606602</v>
      </c>
    </row>
    <row r="3223" spans="1:8" x14ac:dyDescent="0.35">
      <c r="A3223" s="900" t="s">
        <v>4908</v>
      </c>
      <c r="B3223" s="900">
        <v>10.25369337500357</v>
      </c>
      <c r="C3223" s="900">
        <v>6.8612297287265663E-7</v>
      </c>
      <c r="D3223" s="900">
        <v>10.244471464163899</v>
      </c>
      <c r="E3223" s="900">
        <v>10.25360972438979</v>
      </c>
      <c r="F3223" s="900">
        <v>10.25326748000556</v>
      </c>
      <c r="G3223" s="900">
        <v>10.253315641457361</v>
      </c>
      <c r="H3223" s="900">
        <v>10.19684103606602</v>
      </c>
    </row>
    <row r="3224" spans="1:8" x14ac:dyDescent="0.35">
      <c r="A3224" s="900" t="s">
        <v>4909</v>
      </c>
      <c r="B3224" s="900">
        <v>134.14874977818869</v>
      </c>
      <c r="C3224" s="900">
        <v>6.860969901865504E-7</v>
      </c>
      <c r="D3224" s="900">
        <v>151.22178896514359</v>
      </c>
      <c r="E3224" s="900">
        <v>147.02445304553731</v>
      </c>
      <c r="F3224" s="900">
        <v>142.8405981879757</v>
      </c>
      <c r="G3224" s="900">
        <v>138.65673473860829</v>
      </c>
      <c r="H3224" s="900">
        <v>134.14880851204529</v>
      </c>
    </row>
    <row r="3225" spans="1:8" x14ac:dyDescent="0.35">
      <c r="A3225" s="900" t="s">
        <v>4910</v>
      </c>
      <c r="B3225" s="900">
        <v>134.14874977818869</v>
      </c>
      <c r="C3225" s="900">
        <v>6.860969901865504E-7</v>
      </c>
      <c r="D3225" s="900">
        <v>151.22178896514359</v>
      </c>
      <c r="E3225" s="900">
        <v>147.02445304553731</v>
      </c>
      <c r="F3225" s="900">
        <v>142.8405981879757</v>
      </c>
      <c r="G3225" s="900">
        <v>138.65673473860829</v>
      </c>
      <c r="H3225" s="900">
        <v>134.14880851204529</v>
      </c>
    </row>
    <row r="3226" spans="1:8" x14ac:dyDescent="0.35">
      <c r="A3226" s="900" t="s">
        <v>4911</v>
      </c>
      <c r="B3226" s="900">
        <v>269.57923531955032</v>
      </c>
      <c r="C3226" s="900">
        <v>6.8609666844978145E-7</v>
      </c>
      <c r="D3226" s="900">
        <v>303.88428069690212</v>
      </c>
      <c r="E3226" s="900">
        <v>295.46322906128131</v>
      </c>
      <c r="F3226" s="900">
        <v>287.03657645242657</v>
      </c>
      <c r="G3226" s="900">
        <v>278.60994943965272</v>
      </c>
      <c r="H3226" s="900">
        <v>269.57930246399383</v>
      </c>
    </row>
    <row r="3227" spans="1:8" x14ac:dyDescent="0.35">
      <c r="A3227" s="900" t="s">
        <v>4912</v>
      </c>
      <c r="B3227" s="900">
        <v>269.57923531955032</v>
      </c>
      <c r="C3227" s="900">
        <v>6.8609666844978145E-7</v>
      </c>
      <c r="D3227" s="900">
        <v>303.88428069690212</v>
      </c>
      <c r="E3227" s="900">
        <v>295.46322906128131</v>
      </c>
      <c r="F3227" s="900">
        <v>287.03657645242657</v>
      </c>
      <c r="G3227" s="900">
        <v>278.60994943965272</v>
      </c>
      <c r="H3227" s="900">
        <v>269.57930246399383</v>
      </c>
    </row>
    <row r="3228" spans="1:8" x14ac:dyDescent="0.35">
      <c r="A3228" s="900" t="s">
        <v>4913</v>
      </c>
      <c r="B3228" s="900">
        <v>63.199834575125998</v>
      </c>
      <c r="C3228" s="900">
        <v>6.8610287878704803E-7</v>
      </c>
      <c r="D3228" s="900">
        <v>63.1986736722071</v>
      </c>
      <c r="E3228" s="900">
        <v>63.199999798338403</v>
      </c>
      <c r="F3228" s="900">
        <v>63.199671902947777</v>
      </c>
      <c r="G3228" s="900">
        <v>63.199815433554939</v>
      </c>
      <c r="H3228" s="900">
        <v>63.199901421254303</v>
      </c>
    </row>
    <row r="3229" spans="1:8" x14ac:dyDescent="0.35">
      <c r="A3229" s="900" t="s">
        <v>4914</v>
      </c>
      <c r="B3229" s="900">
        <v>63.199834575125998</v>
      </c>
      <c r="C3229" s="900">
        <v>6.8610287878704803E-7</v>
      </c>
      <c r="D3229" s="900">
        <v>63.1986736722071</v>
      </c>
      <c r="E3229" s="900">
        <v>63.199999798338403</v>
      </c>
      <c r="F3229" s="900">
        <v>63.199671902947777</v>
      </c>
      <c r="G3229" s="900">
        <v>63.199815433554939</v>
      </c>
      <c r="H3229" s="900">
        <v>63.199901421254303</v>
      </c>
    </row>
    <row r="3230" spans="1:8" x14ac:dyDescent="0.35">
      <c r="A3230" s="900" t="s">
        <v>4915</v>
      </c>
      <c r="B3230" s="900">
        <v>81.997666155857431</v>
      </c>
      <c r="C3230" s="900">
        <v>6.8612133497053572E-7</v>
      </c>
      <c r="D3230" s="900">
        <v>27.281222077235849</v>
      </c>
      <c r="E3230" s="900">
        <v>40.984212405140738</v>
      </c>
      <c r="F3230" s="900">
        <v>54.655132988938952</v>
      </c>
      <c r="G3230" s="900">
        <v>68.326525509895177</v>
      </c>
      <c r="H3230" s="900">
        <v>81.997834062540107</v>
      </c>
    </row>
    <row r="3231" spans="1:8" x14ac:dyDescent="0.35">
      <c r="A3231" s="900" t="s">
        <v>4916</v>
      </c>
      <c r="B3231" s="900">
        <v>81.997666155857431</v>
      </c>
      <c r="C3231" s="900">
        <v>6.8612133497053572E-7</v>
      </c>
      <c r="D3231" s="900">
        <v>27.281222077235849</v>
      </c>
      <c r="E3231" s="900">
        <v>40.984212405140738</v>
      </c>
      <c r="F3231" s="900">
        <v>54.655132988938952</v>
      </c>
      <c r="G3231" s="900">
        <v>68.326525509895177</v>
      </c>
      <c r="H3231" s="900">
        <v>81.997834062540107</v>
      </c>
    </row>
    <row r="3232" spans="1:8" x14ac:dyDescent="0.35">
      <c r="A3232" s="900" t="s">
        <v>4917</v>
      </c>
      <c r="B3232" s="900">
        <v>127.4751898101884</v>
      </c>
      <c r="C3232" s="900">
        <v>6.8609668428324657E-7</v>
      </c>
      <c r="D3232" s="900">
        <v>168.8772819701995</v>
      </c>
      <c r="E3232" s="900">
        <v>158.72159019548809</v>
      </c>
      <c r="F3232" s="900">
        <v>148.58609425271021</v>
      </c>
      <c r="G3232" s="900">
        <v>138.45049230184719</v>
      </c>
      <c r="H3232" s="900">
        <v>127.4752522144522</v>
      </c>
    </row>
    <row r="3233" spans="1:8" x14ac:dyDescent="0.35">
      <c r="A3233" s="900" t="s">
        <v>4918</v>
      </c>
      <c r="B3233" s="900">
        <v>127.4751898101884</v>
      </c>
      <c r="C3233" s="900">
        <v>6.8609668428324657E-7</v>
      </c>
      <c r="D3233" s="900">
        <v>168.8772819701995</v>
      </c>
      <c r="E3233" s="900">
        <v>158.72159019548809</v>
      </c>
      <c r="F3233" s="900">
        <v>148.58609425271021</v>
      </c>
      <c r="G3233" s="900">
        <v>138.45049230184719</v>
      </c>
      <c r="H3233" s="900">
        <v>127.4752522144522</v>
      </c>
    </row>
    <row r="3234" spans="1:8" x14ac:dyDescent="0.35">
      <c r="A3234" s="900" t="s">
        <v>4919</v>
      </c>
      <c r="B3234" s="900">
        <v>25.89862237870307</v>
      </c>
      <c r="C3234" s="900">
        <v>6.8611402359589988E-7</v>
      </c>
      <c r="D3234" s="900">
        <v>25.873808161667501</v>
      </c>
      <c r="E3234" s="900">
        <v>25.898749991965978</v>
      </c>
      <c r="F3234" s="900">
        <v>24.899683431320511</v>
      </c>
      <c r="G3234" s="900">
        <v>25.899626648569129</v>
      </c>
      <c r="H3234" s="900">
        <v>25.898698555746321</v>
      </c>
    </row>
    <row r="3235" spans="1:8" x14ac:dyDescent="0.35">
      <c r="A3235" s="900" t="s">
        <v>4920</v>
      </c>
      <c r="B3235" s="900">
        <v>25.89862237870307</v>
      </c>
      <c r="C3235" s="900">
        <v>6.8611402359589988E-7</v>
      </c>
      <c r="D3235" s="900">
        <v>25.873808161667501</v>
      </c>
      <c r="E3235" s="900">
        <v>25.898749991965978</v>
      </c>
      <c r="F3235" s="900">
        <v>24.899683431320511</v>
      </c>
      <c r="G3235" s="900">
        <v>25.899626648569129</v>
      </c>
      <c r="H3235" s="900">
        <v>25.898698555746321</v>
      </c>
    </row>
    <row r="3236" spans="1:8" x14ac:dyDescent="0.35">
      <c r="A3236" s="900" t="s">
        <v>4921</v>
      </c>
      <c r="B3236" s="900">
        <v>12.491457483960721</v>
      </c>
      <c r="C3236" s="900">
        <v>6.8612251560462686E-7</v>
      </c>
      <c r="D3236" s="900">
        <v>1.6157363594771409E-5</v>
      </c>
      <c r="E3236" s="900">
        <v>6.4100104171351324</v>
      </c>
      <c r="F3236" s="900">
        <v>8.5928207990139356</v>
      </c>
      <c r="G3236" s="900">
        <v>10.54758637824531</v>
      </c>
      <c r="H3236" s="900">
        <v>12.49260447824482</v>
      </c>
    </row>
    <row r="3237" spans="1:8" x14ac:dyDescent="0.35">
      <c r="A3237" s="900" t="s">
        <v>4922</v>
      </c>
      <c r="B3237" s="900">
        <v>12.491457483960721</v>
      </c>
      <c r="C3237" s="900">
        <v>6.8612251560462686E-7</v>
      </c>
      <c r="D3237" s="900">
        <v>1.6157363594771409E-5</v>
      </c>
      <c r="E3237" s="900">
        <v>6.4100104171351324</v>
      </c>
      <c r="F3237" s="900">
        <v>8.5928207990139356</v>
      </c>
      <c r="G3237" s="900">
        <v>10.54758637824531</v>
      </c>
      <c r="H3237" s="900">
        <v>12.49260447824482</v>
      </c>
    </row>
    <row r="3238" spans="1:8" x14ac:dyDescent="0.35">
      <c r="A3238" s="900" t="s">
        <v>4923</v>
      </c>
      <c r="B3238" s="900">
        <v>128.93364560014709</v>
      </c>
      <c r="C3238" s="900">
        <v>6.8609666537888277E-7</v>
      </c>
      <c r="D3238" s="900">
        <v>170.82067333046581</v>
      </c>
      <c r="E3238" s="900">
        <v>160.5483482016264</v>
      </c>
      <c r="F3238" s="900">
        <v>150.295011618312</v>
      </c>
      <c r="G3238" s="900">
        <v>140.04153417623451</v>
      </c>
      <c r="H3238" s="900">
        <v>128.93371124727861</v>
      </c>
    </row>
    <row r="3239" spans="1:8" x14ac:dyDescent="0.35">
      <c r="A3239" s="900" t="s">
        <v>4924</v>
      </c>
      <c r="B3239" s="900">
        <v>128.93364560014709</v>
      </c>
      <c r="C3239" s="900">
        <v>6.8609666537888277E-7</v>
      </c>
      <c r="D3239" s="900">
        <v>170.82067333046581</v>
      </c>
      <c r="E3239" s="900">
        <v>160.5483482016264</v>
      </c>
      <c r="F3239" s="900">
        <v>150.295011618312</v>
      </c>
      <c r="G3239" s="900">
        <v>140.04153417623451</v>
      </c>
      <c r="H3239" s="900">
        <v>128.93371124727861</v>
      </c>
    </row>
    <row r="3240" spans="1:8" x14ac:dyDescent="0.35">
      <c r="A3240" s="900" t="s">
        <v>4925</v>
      </c>
      <c r="B3240" s="900">
        <v>100.24972011905</v>
      </c>
      <c r="C3240" s="900">
        <v>6.8609861880429669E-7</v>
      </c>
      <c r="D3240" s="900">
        <v>100.32411913964761</v>
      </c>
      <c r="E3240" s="900">
        <v>100.2498656532448</v>
      </c>
      <c r="F3240" s="900">
        <v>100.2496813659231</v>
      </c>
      <c r="G3240" s="900">
        <v>104.27333024996101</v>
      </c>
      <c r="H3240" s="900">
        <v>104.2724842745175</v>
      </c>
    </row>
    <row r="3241" spans="1:8" x14ac:dyDescent="0.35">
      <c r="A3241" s="900" t="s">
        <v>4926</v>
      </c>
      <c r="B3241" s="900">
        <v>100.24972011905</v>
      </c>
      <c r="C3241" s="900">
        <v>6.8609861880429669E-7</v>
      </c>
      <c r="D3241" s="900">
        <v>100.32411913964761</v>
      </c>
      <c r="E3241" s="900">
        <v>100.2498656532448</v>
      </c>
      <c r="F3241" s="900">
        <v>100.2496813659231</v>
      </c>
      <c r="G3241" s="900">
        <v>104.27333024996101</v>
      </c>
      <c r="H3241" s="900">
        <v>104.2724842745175</v>
      </c>
    </row>
    <row r="3242" spans="1:8" x14ac:dyDescent="0.35">
      <c r="A3242" s="900" t="s">
        <v>4927</v>
      </c>
      <c r="B3242" s="900">
        <v>11.85551464290856</v>
      </c>
      <c r="C3242" s="900">
        <v>6.861225155404008E-7</v>
      </c>
      <c r="D3242" s="900">
        <v>1.6216193378749539E-5</v>
      </c>
      <c r="E3242" s="900">
        <v>6.325844763835307</v>
      </c>
      <c r="F3242" s="900">
        <v>8.151613812771366</v>
      </c>
      <c r="G3242" s="900">
        <v>10.400264247146859</v>
      </c>
      <c r="H3242" s="900">
        <v>11.854804236038721</v>
      </c>
    </row>
    <row r="3243" spans="1:8" x14ac:dyDescent="0.35">
      <c r="A3243" s="900" t="s">
        <v>4928</v>
      </c>
      <c r="B3243" s="900">
        <v>11.85551464290856</v>
      </c>
      <c r="C3243" s="900">
        <v>6.861225155404008E-7</v>
      </c>
      <c r="D3243" s="900">
        <v>1.6216193378749539E-5</v>
      </c>
      <c r="E3243" s="900">
        <v>6.325844763835307</v>
      </c>
      <c r="F3243" s="900">
        <v>8.151613812771366</v>
      </c>
      <c r="G3243" s="900">
        <v>10.400264247146859</v>
      </c>
      <c r="H3243" s="900">
        <v>11.854804236038721</v>
      </c>
    </row>
    <row r="3244" spans="1:8" x14ac:dyDescent="0.35">
      <c r="A3244" s="900" t="s">
        <v>4929</v>
      </c>
      <c r="B3244" s="900">
        <v>45.609945479386312</v>
      </c>
      <c r="C3244" s="900">
        <v>6.8610220814870484E-7</v>
      </c>
      <c r="D3244" s="900">
        <v>60.435378467400852</v>
      </c>
      <c r="E3244" s="900">
        <v>56.806242716730367</v>
      </c>
      <c r="F3244" s="900">
        <v>53.167451322943691</v>
      </c>
      <c r="G3244" s="900">
        <v>49.528665728871808</v>
      </c>
      <c r="H3244" s="900">
        <v>45.610003216677079</v>
      </c>
    </row>
    <row r="3245" spans="1:8" x14ac:dyDescent="0.35">
      <c r="A3245" s="900" t="s">
        <v>4930</v>
      </c>
      <c r="B3245" s="900">
        <v>45.609945479386312</v>
      </c>
      <c r="C3245" s="900">
        <v>6.8610220814870484E-7</v>
      </c>
      <c r="D3245" s="900">
        <v>60.435378467400852</v>
      </c>
      <c r="E3245" s="900">
        <v>56.806242716730367</v>
      </c>
      <c r="F3245" s="900">
        <v>53.167451322943691</v>
      </c>
      <c r="G3245" s="900">
        <v>49.528665728871808</v>
      </c>
      <c r="H3245" s="900">
        <v>45.610003216677079</v>
      </c>
    </row>
    <row r="3246" spans="1:8" x14ac:dyDescent="0.35">
      <c r="A3246" s="900" t="s">
        <v>4931</v>
      </c>
      <c r="B3246" s="900">
        <v>6.7050359835604656</v>
      </c>
      <c r="C3246" s="900">
        <v>6.861225116409726E-7</v>
      </c>
      <c r="D3246" s="900">
        <v>1.5785889304736549E-5</v>
      </c>
      <c r="E3246" s="900">
        <v>3.5758385308455591</v>
      </c>
      <c r="F3246" s="900">
        <v>4.6255467732906297</v>
      </c>
      <c r="G3246" s="900">
        <v>5.6566062557403542</v>
      </c>
      <c r="H3246" s="900">
        <v>6.7029316131932477</v>
      </c>
    </row>
    <row r="3247" spans="1:8" x14ac:dyDescent="0.35">
      <c r="A3247" s="900" t="s">
        <v>4932</v>
      </c>
      <c r="B3247" s="900">
        <v>6.7050359835604656</v>
      </c>
      <c r="C3247" s="900">
        <v>6.861225116409726E-7</v>
      </c>
      <c r="D3247" s="900">
        <v>1.5785889304736549E-5</v>
      </c>
      <c r="E3247" s="900">
        <v>3.5758385308455591</v>
      </c>
      <c r="F3247" s="900">
        <v>4.6255467732906297</v>
      </c>
      <c r="G3247" s="900">
        <v>5.6566062557403542</v>
      </c>
      <c r="H3247" s="900">
        <v>6.7029316131932477</v>
      </c>
    </row>
    <row r="3248" spans="1:8" x14ac:dyDescent="0.35">
      <c r="A3248" s="900" t="s">
        <v>4933</v>
      </c>
      <c r="B3248" s="900">
        <v>89.628898958355222</v>
      </c>
      <c r="C3248" s="900">
        <v>6.8609754568260784E-7</v>
      </c>
      <c r="D3248" s="900">
        <v>118.7556556122879</v>
      </c>
      <c r="E3248" s="900">
        <v>111.60897686941431</v>
      </c>
      <c r="F3248" s="900">
        <v>104.478709691912</v>
      </c>
      <c r="G3248" s="900">
        <v>97.348432247202908</v>
      </c>
      <c r="H3248" s="900">
        <v>89.628960399662091</v>
      </c>
    </row>
    <row r="3249" spans="1:8" x14ac:dyDescent="0.35">
      <c r="A3249" s="900" t="s">
        <v>4934</v>
      </c>
      <c r="B3249" s="900">
        <v>89.628898958355222</v>
      </c>
      <c r="C3249" s="900">
        <v>6.8609754568260784E-7</v>
      </c>
      <c r="D3249" s="900">
        <v>118.7556556122879</v>
      </c>
      <c r="E3249" s="900">
        <v>111.60897686941431</v>
      </c>
      <c r="F3249" s="900">
        <v>104.478709691912</v>
      </c>
      <c r="G3249" s="900">
        <v>97.348432247202908</v>
      </c>
      <c r="H3249" s="900">
        <v>89.628960399662091</v>
      </c>
    </row>
    <row r="3250" spans="1:8" x14ac:dyDescent="0.35">
      <c r="A3250" s="900" t="s">
        <v>4935</v>
      </c>
      <c r="B3250" s="900">
        <v>11.564906343970611</v>
      </c>
      <c r="C3250" s="900">
        <v>6.8612251406871483E-7</v>
      </c>
      <c r="D3250" s="900">
        <v>1.6214221323611711E-5</v>
      </c>
      <c r="E3250" s="900">
        <v>6.146271308218636</v>
      </c>
      <c r="F3250" s="900">
        <v>7.9463017189025944</v>
      </c>
      <c r="G3250" s="900">
        <v>9.7520453300142922</v>
      </c>
      <c r="H3250" s="900">
        <v>11.56448800123842</v>
      </c>
    </row>
    <row r="3251" spans="1:8" x14ac:dyDescent="0.35">
      <c r="A3251" s="900" t="s">
        <v>4936</v>
      </c>
      <c r="B3251" s="900">
        <v>11.564906343970611</v>
      </c>
      <c r="C3251" s="900">
        <v>6.8612251406871483E-7</v>
      </c>
      <c r="D3251" s="900">
        <v>1.6214221323611711E-5</v>
      </c>
      <c r="E3251" s="900">
        <v>6.146271308218636</v>
      </c>
      <c r="F3251" s="900">
        <v>7.9463017189025944</v>
      </c>
      <c r="G3251" s="900">
        <v>9.7520453300142922</v>
      </c>
      <c r="H3251" s="900">
        <v>11.56448800123842</v>
      </c>
    </row>
    <row r="3252" spans="1:8" x14ac:dyDescent="0.35">
      <c r="A3252" s="900" t="s">
        <v>4937</v>
      </c>
      <c r="B3252" s="900">
        <v>1.045118732379597E-2</v>
      </c>
      <c r="C3252" s="900">
        <v>2.9483636939961221E-2</v>
      </c>
      <c r="D3252" s="900">
        <v>0.66956526115586623</v>
      </c>
      <c r="E3252" s="900">
        <v>1.0216561792765211E-3</v>
      </c>
      <c r="F3252" s="900">
        <v>6.0176179979058893E-4</v>
      </c>
      <c r="G3252" s="900">
        <v>4.1691403844675702E-5</v>
      </c>
      <c r="H3252" s="900">
        <v>3.3748369415698277E-5</v>
      </c>
    </row>
    <row r="3253" spans="1:8" x14ac:dyDescent="0.35">
      <c r="A3253" s="900" t="s">
        <v>4938</v>
      </c>
      <c r="B3253" s="900">
        <v>1.045118732379597E-2</v>
      </c>
      <c r="C3253" s="900">
        <v>2.9483636939961221E-2</v>
      </c>
      <c r="D3253" s="900">
        <v>0.66956526115586623</v>
      </c>
      <c r="E3253" s="900">
        <v>1.0216561792765211E-3</v>
      </c>
      <c r="F3253" s="900">
        <v>6.0176179979058893E-4</v>
      </c>
      <c r="G3253" s="900">
        <v>4.1691403844675702E-5</v>
      </c>
      <c r="H3253" s="900">
        <v>3.3748369415698277E-5</v>
      </c>
    </row>
    <row r="3254" spans="1:8" x14ac:dyDescent="0.35">
      <c r="A3254" s="900" t="s">
        <v>4939</v>
      </c>
      <c r="B3254" s="900">
        <v>7.9703838935520962E-3</v>
      </c>
      <c r="C3254" s="900">
        <v>2.2225023290876021E-2</v>
      </c>
      <c r="D3254" s="900">
        <v>0.51167420308650546</v>
      </c>
      <c r="E3254" s="900">
        <v>7.9434845066217615E-4</v>
      </c>
      <c r="F3254" s="900">
        <v>4.6624175153776138E-4</v>
      </c>
      <c r="G3254" s="900">
        <v>2.9797692776002529E-5</v>
      </c>
      <c r="H3254" s="900">
        <v>2.5678365356045501E-5</v>
      </c>
    </row>
    <row r="3255" spans="1:8" x14ac:dyDescent="0.35">
      <c r="A3255" s="900" t="s">
        <v>4940</v>
      </c>
      <c r="B3255" s="900">
        <v>7.9703838935520962E-3</v>
      </c>
      <c r="C3255" s="900">
        <v>2.2225023290876021E-2</v>
      </c>
      <c r="D3255" s="900">
        <v>0.51167420308650546</v>
      </c>
      <c r="E3255" s="900">
        <v>7.9434845066217615E-4</v>
      </c>
      <c r="F3255" s="900">
        <v>4.6624175153776138E-4</v>
      </c>
      <c r="G3255" s="900">
        <v>2.9797692776002529E-5</v>
      </c>
      <c r="H3255" s="900">
        <v>2.5678365356045501E-5</v>
      </c>
    </row>
    <row r="3256" spans="1:8" x14ac:dyDescent="0.35">
      <c r="A3256" s="900" t="s">
        <v>4941</v>
      </c>
      <c r="B3256" s="900">
        <v>7.377897594764816E-3</v>
      </c>
      <c r="C3256" s="900">
        <v>2.0458071792399689E-2</v>
      </c>
      <c r="D3256" s="900">
        <v>0.47365190231332299</v>
      </c>
      <c r="E3256" s="900">
        <v>7.3941021849939503E-4</v>
      </c>
      <c r="F3256" s="900">
        <v>4.3293177248951019E-4</v>
      </c>
      <c r="G3256" s="900">
        <v>2.679956480887529E-5</v>
      </c>
      <c r="H3256" s="900">
        <v>2.3779707852214202E-5</v>
      </c>
    </row>
    <row r="3257" spans="1:8" x14ac:dyDescent="0.35">
      <c r="A3257" s="900" t="s">
        <v>4942</v>
      </c>
      <c r="B3257" s="900">
        <v>7.377897594764816E-3</v>
      </c>
      <c r="C3257" s="900">
        <v>2.0458071792399689E-2</v>
      </c>
      <c r="D3257" s="900">
        <v>0.47365190231332299</v>
      </c>
      <c r="E3257" s="900">
        <v>7.3941021849939503E-4</v>
      </c>
      <c r="F3257" s="900">
        <v>4.3293177248951019E-4</v>
      </c>
      <c r="G3257" s="900">
        <v>2.679956480887529E-5</v>
      </c>
      <c r="H3257" s="900">
        <v>2.3779707852214202E-5</v>
      </c>
    </row>
    <row r="3258" spans="1:8" x14ac:dyDescent="0.35">
      <c r="A3258" s="900" t="s">
        <v>4943</v>
      </c>
      <c r="B3258" s="900">
        <v>1.2798150612441699E-2</v>
      </c>
      <c r="C3258" s="900">
        <v>3.7414222062000367E-2</v>
      </c>
      <c r="D3258" s="900">
        <v>0.85486629150563942</v>
      </c>
      <c r="E3258" s="900">
        <v>1.1233685759064541E-3</v>
      </c>
      <c r="F3258" s="900">
        <v>6.5275414616023828E-4</v>
      </c>
      <c r="G3258" s="900">
        <v>4.7827209140248307E-5</v>
      </c>
      <c r="H3258" s="900">
        <v>3.7404981860872381E-5</v>
      </c>
    </row>
    <row r="3259" spans="1:8" x14ac:dyDescent="0.35">
      <c r="A3259" s="900" t="s">
        <v>4944</v>
      </c>
      <c r="B3259" s="900">
        <v>1.2798150612441699E-2</v>
      </c>
      <c r="C3259" s="900">
        <v>3.7414222062000367E-2</v>
      </c>
      <c r="D3259" s="900">
        <v>0.85486629150563942</v>
      </c>
      <c r="E3259" s="900">
        <v>1.1233685759064541E-3</v>
      </c>
      <c r="F3259" s="900">
        <v>6.5275414616023828E-4</v>
      </c>
      <c r="G3259" s="900">
        <v>4.7827209140248307E-5</v>
      </c>
      <c r="H3259" s="900">
        <v>3.7404981860872381E-5</v>
      </c>
    </row>
    <row r="3260" spans="1:8" x14ac:dyDescent="0.35">
      <c r="A3260" s="900" t="s">
        <v>4945</v>
      </c>
      <c r="B3260" s="900">
        <v>1.031476039119311E-2</v>
      </c>
      <c r="C3260" s="900">
        <v>2.9934786716687391E-2</v>
      </c>
      <c r="D3260" s="900">
        <v>0.678541988078601</v>
      </c>
      <c r="E3260" s="900">
        <v>1.0150153876782721E-3</v>
      </c>
      <c r="F3260" s="900">
        <v>5.9105014860025783E-4</v>
      </c>
      <c r="G3260" s="900">
        <v>4.1717336195022261E-5</v>
      </c>
      <c r="H3260" s="900">
        <v>3.468061498795703E-5</v>
      </c>
    </row>
    <row r="3261" spans="1:8" x14ac:dyDescent="0.35">
      <c r="A3261" s="900" t="s">
        <v>4946</v>
      </c>
      <c r="B3261" s="900">
        <v>1.031476039119311E-2</v>
      </c>
      <c r="C3261" s="900">
        <v>2.9934786716687391E-2</v>
      </c>
      <c r="D3261" s="900">
        <v>0.678541988078601</v>
      </c>
      <c r="E3261" s="900">
        <v>1.0150153876782721E-3</v>
      </c>
      <c r="F3261" s="900">
        <v>5.9105014860025783E-4</v>
      </c>
      <c r="G3261" s="900">
        <v>4.1717336195022261E-5</v>
      </c>
      <c r="H3261" s="900">
        <v>3.468061498795703E-5</v>
      </c>
    </row>
    <row r="3262" spans="1:8" x14ac:dyDescent="0.35">
      <c r="A3262" s="900" t="s">
        <v>4947</v>
      </c>
      <c r="B3262" s="900">
        <v>9.1962614526091939E-3</v>
      </c>
      <c r="C3262" s="900">
        <v>2.6456969790122631E-2</v>
      </c>
      <c r="D3262" s="900">
        <v>0.60524284593789557</v>
      </c>
      <c r="E3262" s="900">
        <v>9.1264009884979374E-4</v>
      </c>
      <c r="F3262" s="900">
        <v>5.3116047578665327E-4</v>
      </c>
      <c r="G3262" s="900">
        <v>3.6017455800907757E-5</v>
      </c>
      <c r="H3262" s="900">
        <v>2.9825953760873549E-5</v>
      </c>
    </row>
    <row r="3263" spans="1:8" x14ac:dyDescent="0.35">
      <c r="A3263" s="900" t="s">
        <v>4948</v>
      </c>
      <c r="B3263" s="900">
        <v>9.1962614526091939E-3</v>
      </c>
      <c r="C3263" s="900">
        <v>2.6456969790122631E-2</v>
      </c>
      <c r="D3263" s="900">
        <v>0.60524284593789557</v>
      </c>
      <c r="E3263" s="900">
        <v>9.1264009884979374E-4</v>
      </c>
      <c r="F3263" s="900">
        <v>5.3116047578665327E-4</v>
      </c>
      <c r="G3263" s="900">
        <v>3.6017455800907757E-5</v>
      </c>
      <c r="H3263" s="900">
        <v>2.9825953760873549E-5</v>
      </c>
    </row>
    <row r="3264" spans="1:8" x14ac:dyDescent="0.35">
      <c r="A3264" s="900" t="s">
        <v>4949</v>
      </c>
      <c r="B3264" s="900">
        <v>1.026683649803901E-3</v>
      </c>
      <c r="C3264" s="900">
        <v>5.5663254926079236E-3</v>
      </c>
      <c r="D3264" s="900">
        <v>5.2056471625611563E-2</v>
      </c>
      <c r="E3264" s="900">
        <v>8.3443569381609997E-5</v>
      </c>
      <c r="F3264" s="900">
        <v>5.4334409977936872E-5</v>
      </c>
      <c r="G3264" s="900">
        <v>2.873017848109882E-6</v>
      </c>
      <c r="H3264" s="900">
        <v>3.360671506612936E-6</v>
      </c>
    </row>
    <row r="3265" spans="1:8" x14ac:dyDescent="0.35">
      <c r="A3265" s="900" t="s">
        <v>4950</v>
      </c>
      <c r="B3265" s="900">
        <v>1.026683649803901E-3</v>
      </c>
      <c r="C3265" s="900">
        <v>5.5663254926079236E-3</v>
      </c>
      <c r="D3265" s="900">
        <v>5.2056471625611563E-2</v>
      </c>
      <c r="E3265" s="900">
        <v>8.3443569381609997E-5</v>
      </c>
      <c r="F3265" s="900">
        <v>5.4334409977936872E-5</v>
      </c>
      <c r="G3265" s="900">
        <v>2.873017848109882E-6</v>
      </c>
      <c r="H3265" s="900">
        <v>3.360671506612936E-6</v>
      </c>
    </row>
    <row r="3266" spans="1:8" x14ac:dyDescent="0.35">
      <c r="A3266" s="900" t="s">
        <v>4951</v>
      </c>
      <c r="B3266" s="900">
        <v>2.1974568488882002E-3</v>
      </c>
      <c r="C3266" s="900">
        <v>5.8566299724291193E-3</v>
      </c>
      <c r="D3266" s="900">
        <v>0.13978136816253231</v>
      </c>
      <c r="E3266" s="900">
        <v>2.305246235385771E-4</v>
      </c>
      <c r="F3266" s="900">
        <v>1.3325136113213689E-4</v>
      </c>
      <c r="G3266" s="900">
        <v>7.0664923664721053E-6</v>
      </c>
      <c r="H3266" s="900">
        <v>7.0408878989074744E-6</v>
      </c>
    </row>
    <row r="3267" spans="1:8" x14ac:dyDescent="0.35">
      <c r="A3267" s="900" t="s">
        <v>4952</v>
      </c>
      <c r="B3267" s="900">
        <v>2.1974568488882002E-3</v>
      </c>
      <c r="C3267" s="900">
        <v>5.8566299724291193E-3</v>
      </c>
      <c r="D3267" s="900">
        <v>0.13978136816253231</v>
      </c>
      <c r="E3267" s="900">
        <v>2.305246235385771E-4</v>
      </c>
      <c r="F3267" s="900">
        <v>1.3325136113213689E-4</v>
      </c>
      <c r="G3267" s="900">
        <v>7.0664923664721053E-6</v>
      </c>
      <c r="H3267" s="900">
        <v>7.0408878989074744E-6</v>
      </c>
    </row>
    <row r="3268" spans="1:8" x14ac:dyDescent="0.35">
      <c r="A3268" s="900" t="s">
        <v>4953</v>
      </c>
      <c r="B3268" s="900">
        <v>2.1998018286505149E-3</v>
      </c>
      <c r="C3268" s="900">
        <v>5.8584546529189983E-3</v>
      </c>
      <c r="D3268" s="900">
        <v>0.13835479608923379</v>
      </c>
      <c r="E3268" s="900">
        <v>2.255669601736246E-4</v>
      </c>
      <c r="F3268" s="900">
        <v>1.309545578332939E-4</v>
      </c>
      <c r="G3268" s="900">
        <v>7.0350751226449961E-6</v>
      </c>
      <c r="H3268" s="900">
        <v>7.0482066948782737E-6</v>
      </c>
    </row>
    <row r="3269" spans="1:8" x14ac:dyDescent="0.35">
      <c r="A3269" s="900" t="s">
        <v>4954</v>
      </c>
      <c r="B3269" s="900">
        <v>2.1998018286505149E-3</v>
      </c>
      <c r="C3269" s="900">
        <v>5.8584546529189983E-3</v>
      </c>
      <c r="D3269" s="900">
        <v>0.13835479608923379</v>
      </c>
      <c r="E3269" s="900">
        <v>2.255669601736246E-4</v>
      </c>
      <c r="F3269" s="900">
        <v>1.309545578332939E-4</v>
      </c>
      <c r="G3269" s="900">
        <v>7.0350751226449961E-6</v>
      </c>
      <c r="H3269" s="900">
        <v>7.0482066948782737E-6</v>
      </c>
    </row>
    <row r="3270" spans="1:8" x14ac:dyDescent="0.35">
      <c r="A3270" s="900" t="s">
        <v>4955</v>
      </c>
      <c r="B3270" s="900">
        <v>2.16810504419301E-3</v>
      </c>
      <c r="C3270" s="900">
        <v>5.6452272969784974E-3</v>
      </c>
      <c r="D3270" s="900">
        <v>0.1207499277280263</v>
      </c>
      <c r="E3270" s="900">
        <v>2.2675026218497009E-4</v>
      </c>
      <c r="F3270" s="900">
        <v>1.3134631268389471E-4</v>
      </c>
      <c r="G3270" s="900">
        <v>6.9939033571342254E-6</v>
      </c>
      <c r="H3270" s="900">
        <v>6.9428562756192259E-6</v>
      </c>
    </row>
    <row r="3271" spans="1:8" x14ac:dyDescent="0.35">
      <c r="A3271" s="900" t="s">
        <v>4956</v>
      </c>
      <c r="B3271" s="900">
        <v>2.16810504419301E-3</v>
      </c>
      <c r="C3271" s="900">
        <v>5.6452272969784974E-3</v>
      </c>
      <c r="D3271" s="900">
        <v>0.1207499277280263</v>
      </c>
      <c r="E3271" s="900">
        <v>2.2675026218497009E-4</v>
      </c>
      <c r="F3271" s="900">
        <v>1.3134631268389471E-4</v>
      </c>
      <c r="G3271" s="900">
        <v>6.9939033571342254E-6</v>
      </c>
      <c r="H3271" s="900">
        <v>6.9428562756192259E-6</v>
      </c>
    </row>
    <row r="3272" spans="1:8" x14ac:dyDescent="0.35">
      <c r="A3272" s="900" t="s">
        <v>4957</v>
      </c>
      <c r="B3272" s="900">
        <v>2.955759147100675E-3</v>
      </c>
      <c r="C3272" s="900">
        <v>6.8486153299240331E-3</v>
      </c>
      <c r="D3272" s="900">
        <v>0.21183934317664671</v>
      </c>
      <c r="E3272" s="900">
        <v>3.8496699157107469E-4</v>
      </c>
      <c r="F3272" s="900">
        <v>2.2222491380230949E-4</v>
      </c>
      <c r="G3272" s="900">
        <v>1.1807162714602701E-5</v>
      </c>
      <c r="H3272" s="900">
        <v>1.181271365503283E-5</v>
      </c>
    </row>
    <row r="3273" spans="1:8" x14ac:dyDescent="0.35">
      <c r="A3273" s="900" t="s">
        <v>4958</v>
      </c>
      <c r="B3273" s="900">
        <v>2.955759147100675E-3</v>
      </c>
      <c r="C3273" s="900">
        <v>6.8486153299240331E-3</v>
      </c>
      <c r="D3273" s="900">
        <v>0.21183934317664671</v>
      </c>
      <c r="E3273" s="900">
        <v>3.8496699157107469E-4</v>
      </c>
      <c r="F3273" s="900">
        <v>2.2222491380230949E-4</v>
      </c>
      <c r="G3273" s="900">
        <v>1.1807162714602701E-5</v>
      </c>
      <c r="H3273" s="900">
        <v>1.181271365503283E-5</v>
      </c>
    </row>
    <row r="3274" spans="1:8" x14ac:dyDescent="0.35">
      <c r="A3274" s="900" t="s">
        <v>4959</v>
      </c>
      <c r="B3274" s="900">
        <v>2.172769211437229E-3</v>
      </c>
      <c r="C3274" s="900">
        <v>5.8406488904578051E-3</v>
      </c>
      <c r="D3274" s="900">
        <v>0.1369062427020146</v>
      </c>
      <c r="E3274" s="900">
        <v>2.2718001413201349E-4</v>
      </c>
      <c r="F3274" s="900">
        <v>1.3182830382114241E-4</v>
      </c>
      <c r="G3274" s="900">
        <v>6.9943852853070158E-6</v>
      </c>
      <c r="H3274" s="900">
        <v>6.9430624064097249E-6</v>
      </c>
    </row>
    <row r="3275" spans="1:8" x14ac:dyDescent="0.35">
      <c r="A3275" s="900" t="s">
        <v>4960</v>
      </c>
      <c r="B3275" s="900">
        <v>2.172769211437229E-3</v>
      </c>
      <c r="C3275" s="900">
        <v>5.8406488904578051E-3</v>
      </c>
      <c r="D3275" s="900">
        <v>0.1369062427020146</v>
      </c>
      <c r="E3275" s="900">
        <v>2.2718001413201349E-4</v>
      </c>
      <c r="F3275" s="900">
        <v>1.3182830382114241E-4</v>
      </c>
      <c r="G3275" s="900">
        <v>6.9943852853070158E-6</v>
      </c>
      <c r="H3275" s="900">
        <v>6.9430624064097249E-6</v>
      </c>
    </row>
    <row r="3276" spans="1:8" x14ac:dyDescent="0.35">
      <c r="A3276" s="900" t="s">
        <v>4961</v>
      </c>
      <c r="B3276" s="900">
        <v>2.2710996517200611E-3</v>
      </c>
      <c r="C3276" s="900">
        <v>5.864042344821927E-3</v>
      </c>
      <c r="D3276" s="900">
        <v>0.13843224203795079</v>
      </c>
      <c r="E3276" s="900">
        <v>2.395055597117938E-4</v>
      </c>
      <c r="F3276" s="900">
        <v>1.3828692441660099E-4</v>
      </c>
      <c r="G3276" s="900">
        <v>7.2428297479612248E-6</v>
      </c>
      <c r="H3276" s="900">
        <v>7.2892722370584324E-6</v>
      </c>
    </row>
    <row r="3277" spans="1:8" x14ac:dyDescent="0.35">
      <c r="A3277" s="900" t="s">
        <v>4962</v>
      </c>
      <c r="B3277" s="900">
        <v>2.2710996517200611E-3</v>
      </c>
      <c r="C3277" s="900">
        <v>5.864042344821927E-3</v>
      </c>
      <c r="D3277" s="900">
        <v>0.13843224203795079</v>
      </c>
      <c r="E3277" s="900">
        <v>2.395055597117938E-4</v>
      </c>
      <c r="F3277" s="900">
        <v>1.3828692441660099E-4</v>
      </c>
      <c r="G3277" s="900">
        <v>7.2428297479612248E-6</v>
      </c>
      <c r="H3277" s="900">
        <v>7.2892722370584324E-6</v>
      </c>
    </row>
    <row r="3278" spans="1:8" x14ac:dyDescent="0.35">
      <c r="A3278" s="900" t="s">
        <v>4963</v>
      </c>
      <c r="B3278" s="900">
        <v>2.2124775087895882E-3</v>
      </c>
      <c r="C3278" s="900">
        <v>5.8610076920206948E-3</v>
      </c>
      <c r="D3278" s="900">
        <v>0.13822670879944371</v>
      </c>
      <c r="E3278" s="900">
        <v>2.3209139438254851E-4</v>
      </c>
      <c r="F3278" s="900">
        <v>1.3413618735169181E-4</v>
      </c>
      <c r="G3278" s="900">
        <v>7.1145468340623252E-6</v>
      </c>
      <c r="H3278" s="900">
        <v>7.1093103370750822E-6</v>
      </c>
    </row>
    <row r="3279" spans="1:8" x14ac:dyDescent="0.35">
      <c r="A3279" s="900" t="s">
        <v>4964</v>
      </c>
      <c r="B3279" s="900">
        <v>2.2124775087895882E-3</v>
      </c>
      <c r="C3279" s="900">
        <v>5.8610076920206948E-3</v>
      </c>
      <c r="D3279" s="900">
        <v>0.13822670879944371</v>
      </c>
      <c r="E3279" s="900">
        <v>2.3209139438254851E-4</v>
      </c>
      <c r="F3279" s="900">
        <v>1.3413618735169181E-4</v>
      </c>
      <c r="G3279" s="900">
        <v>7.1145468340623252E-6</v>
      </c>
      <c r="H3279" s="900">
        <v>7.1093103370750822E-6</v>
      </c>
    </row>
    <row r="3280" spans="1:8" x14ac:dyDescent="0.35">
      <c r="A3280" s="900" t="s">
        <v>4965</v>
      </c>
      <c r="B3280" s="900">
        <v>2.191408534838245E-3</v>
      </c>
      <c r="C3280" s="900">
        <v>5.8594879199806551E-3</v>
      </c>
      <c r="D3280" s="900">
        <v>0.1385029279869531</v>
      </c>
      <c r="E3280" s="900">
        <v>2.2958930648691201E-4</v>
      </c>
      <c r="F3280" s="900">
        <v>1.328639838906424E-4</v>
      </c>
      <c r="G3280" s="900">
        <v>7.0546876852450514E-6</v>
      </c>
      <c r="H3280" s="900">
        <v>7.0247274443731662E-6</v>
      </c>
    </row>
    <row r="3281" spans="1:8" x14ac:dyDescent="0.35">
      <c r="A3281" s="900" t="s">
        <v>4966</v>
      </c>
      <c r="B3281" s="900">
        <v>2.191408534838245E-3</v>
      </c>
      <c r="C3281" s="900">
        <v>5.8594879199806551E-3</v>
      </c>
      <c r="D3281" s="900">
        <v>0.1385029279869531</v>
      </c>
      <c r="E3281" s="900">
        <v>2.2958930648691201E-4</v>
      </c>
      <c r="F3281" s="900">
        <v>1.328639838906424E-4</v>
      </c>
      <c r="G3281" s="900">
        <v>7.0546876852450514E-6</v>
      </c>
      <c r="H3281" s="900">
        <v>7.0247274443731662E-6</v>
      </c>
    </row>
    <row r="3282" spans="1:8" x14ac:dyDescent="0.35">
      <c r="A3282" s="900" t="s">
        <v>4967</v>
      </c>
      <c r="B3282" s="900">
        <v>2.2263746313423809E-3</v>
      </c>
      <c r="C3282" s="900">
        <v>5.8641710436729633E-3</v>
      </c>
      <c r="D3282" s="900">
        <v>0.14237189933877259</v>
      </c>
      <c r="E3282" s="900">
        <v>2.3222958582970951E-4</v>
      </c>
      <c r="F3282" s="900">
        <v>1.3441425667529841E-4</v>
      </c>
      <c r="G3282" s="900">
        <v>7.114373553730184E-6</v>
      </c>
      <c r="H3282" s="900">
        <v>7.1226521397786093E-6</v>
      </c>
    </row>
    <row r="3283" spans="1:8" x14ac:dyDescent="0.35">
      <c r="A3283" s="900" t="s">
        <v>4968</v>
      </c>
      <c r="B3283" s="900">
        <v>2.2263746313423809E-3</v>
      </c>
      <c r="C3283" s="900">
        <v>5.8641710436729633E-3</v>
      </c>
      <c r="D3283" s="900">
        <v>0.14237189933877259</v>
      </c>
      <c r="E3283" s="900">
        <v>2.3222958582970951E-4</v>
      </c>
      <c r="F3283" s="900">
        <v>1.3441425667529841E-4</v>
      </c>
      <c r="G3283" s="900">
        <v>7.114373553730184E-6</v>
      </c>
      <c r="H3283" s="900">
        <v>7.1226521397786093E-6</v>
      </c>
    </row>
    <row r="3284" spans="1:8" x14ac:dyDescent="0.35">
      <c r="A3284" s="900" t="s">
        <v>4969</v>
      </c>
      <c r="B3284" s="900">
        <v>2.9984578035232769E-3</v>
      </c>
      <c r="C3284" s="900">
        <v>8.1230463876450065E-3</v>
      </c>
      <c r="D3284" s="900">
        <v>0.19146664438175559</v>
      </c>
      <c r="E3284" s="900">
        <v>3.9981926443866388E-4</v>
      </c>
      <c r="F3284" s="900">
        <v>2.3179259755855679E-4</v>
      </c>
      <c r="G3284" s="900">
        <v>1.2356965177312961E-5</v>
      </c>
      <c r="H3284" s="900">
        <v>1.2268863333930301E-5</v>
      </c>
    </row>
    <row r="3285" spans="1:8" x14ac:dyDescent="0.35">
      <c r="A3285" s="900" t="s">
        <v>4970</v>
      </c>
      <c r="B3285" s="900">
        <v>2.9984578035232769E-3</v>
      </c>
      <c r="C3285" s="900">
        <v>8.1230463876450065E-3</v>
      </c>
      <c r="D3285" s="900">
        <v>0.19146664438175559</v>
      </c>
      <c r="E3285" s="900">
        <v>3.9981926443866388E-4</v>
      </c>
      <c r="F3285" s="900">
        <v>2.3179259755855679E-4</v>
      </c>
      <c r="G3285" s="900">
        <v>1.2356965177312961E-5</v>
      </c>
      <c r="H3285" s="900">
        <v>1.2268863333930301E-5</v>
      </c>
    </row>
    <row r="3286" spans="1:8" x14ac:dyDescent="0.35">
      <c r="A3286" s="900" t="s">
        <v>4971</v>
      </c>
      <c r="B3286" s="900">
        <v>2.1653247100793301E-3</v>
      </c>
      <c r="C3286" s="900">
        <v>5.8623679023165386E-3</v>
      </c>
      <c r="D3286" s="900">
        <v>0.1398115518494471</v>
      </c>
      <c r="E3286" s="900">
        <v>2.2642968073822319E-4</v>
      </c>
      <c r="F3286" s="900">
        <v>1.3119728273136E-4</v>
      </c>
      <c r="G3286" s="900">
        <v>6.9936602231551204E-6</v>
      </c>
      <c r="H3286" s="900">
        <v>6.9421280101523589E-6</v>
      </c>
    </row>
    <row r="3287" spans="1:8" x14ac:dyDescent="0.35">
      <c r="A3287" s="900" t="s">
        <v>4972</v>
      </c>
      <c r="B3287" s="900">
        <v>2.1653247100793301E-3</v>
      </c>
      <c r="C3287" s="900">
        <v>5.8623679023165386E-3</v>
      </c>
      <c r="D3287" s="900">
        <v>0.1398115518494471</v>
      </c>
      <c r="E3287" s="900">
        <v>2.2642968073822319E-4</v>
      </c>
      <c r="F3287" s="900">
        <v>1.3119728273136E-4</v>
      </c>
      <c r="G3287" s="900">
        <v>6.9936602231551204E-6</v>
      </c>
      <c r="H3287" s="900">
        <v>6.9421280101523589E-6</v>
      </c>
    </row>
    <row r="3288" spans="1:8" x14ac:dyDescent="0.35">
      <c r="A3288" s="900" t="s">
        <v>4973</v>
      </c>
      <c r="B3288" s="900">
        <v>2.3685571063538861E-3</v>
      </c>
      <c r="C3288" s="900">
        <v>5.8633130000417264E-3</v>
      </c>
      <c r="D3288" s="900">
        <v>0.15016583629925251</v>
      </c>
      <c r="E3288" s="900">
        <v>2.5198706504167778E-4</v>
      </c>
      <c r="F3288" s="900">
        <v>1.443222018579463E-4</v>
      </c>
      <c r="G3288" s="900">
        <v>7.4411374699420549E-6</v>
      </c>
      <c r="H3288" s="900">
        <v>7.5826354681958183E-6</v>
      </c>
    </row>
    <row r="3289" spans="1:8" x14ac:dyDescent="0.35">
      <c r="A3289" s="900" t="s">
        <v>4974</v>
      </c>
      <c r="B3289" s="900">
        <v>2.3685571063538861E-3</v>
      </c>
      <c r="C3289" s="900">
        <v>5.8633130000417264E-3</v>
      </c>
      <c r="D3289" s="900">
        <v>0.15016583629925251</v>
      </c>
      <c r="E3289" s="900">
        <v>2.5198706504167778E-4</v>
      </c>
      <c r="F3289" s="900">
        <v>1.443222018579463E-4</v>
      </c>
      <c r="G3289" s="900">
        <v>7.4411374699420549E-6</v>
      </c>
      <c r="H3289" s="900">
        <v>7.5826354681958183E-6</v>
      </c>
    </row>
    <row r="3290" spans="1:8" x14ac:dyDescent="0.35">
      <c r="A3290" s="900" t="s">
        <v>4975</v>
      </c>
      <c r="B3290" s="900">
        <v>2.1723125948797102E-3</v>
      </c>
      <c r="C3290" s="900">
        <v>5.856861619432204E-3</v>
      </c>
      <c r="D3290" s="900">
        <v>0.13984495058722859</v>
      </c>
      <c r="E3290" s="900">
        <v>2.273009317554513E-4</v>
      </c>
      <c r="F3290" s="900">
        <v>1.3151777146762749E-4</v>
      </c>
      <c r="G3290" s="900">
        <v>7.0086018122021134E-6</v>
      </c>
      <c r="H3290" s="900">
        <v>6.962502032247506E-6</v>
      </c>
    </row>
    <row r="3291" spans="1:8" x14ac:dyDescent="0.35">
      <c r="A3291" s="900" t="s">
        <v>4976</v>
      </c>
      <c r="B3291" s="900">
        <v>2.1723125948797102E-3</v>
      </c>
      <c r="C3291" s="900">
        <v>5.856861619432204E-3</v>
      </c>
      <c r="D3291" s="900">
        <v>0.13984495058722859</v>
      </c>
      <c r="E3291" s="900">
        <v>2.273009317554513E-4</v>
      </c>
      <c r="F3291" s="900">
        <v>1.3151777146762749E-4</v>
      </c>
      <c r="G3291" s="900">
        <v>7.0086018122021134E-6</v>
      </c>
      <c r="H3291" s="900">
        <v>6.962502032247506E-6</v>
      </c>
    </row>
    <row r="3292" spans="1:8" x14ac:dyDescent="0.35">
      <c r="A3292" s="900" t="s">
        <v>4977</v>
      </c>
      <c r="B3292" s="900">
        <v>2.2776569386007829E-3</v>
      </c>
      <c r="C3292" s="900">
        <v>5.862271845605979E-3</v>
      </c>
      <c r="D3292" s="900">
        <v>0.14284476151959971</v>
      </c>
      <c r="E3292" s="900">
        <v>2.358519154618993E-4</v>
      </c>
      <c r="F3292" s="900">
        <v>1.365124083150649E-4</v>
      </c>
      <c r="G3292" s="900">
        <v>7.2016058653413799E-6</v>
      </c>
      <c r="H3292" s="900">
        <v>7.2744954375673662E-6</v>
      </c>
    </row>
    <row r="3293" spans="1:8" x14ac:dyDescent="0.35">
      <c r="A3293" s="900" t="s">
        <v>4978</v>
      </c>
      <c r="B3293" s="900">
        <v>2.2776569386007829E-3</v>
      </c>
      <c r="C3293" s="900">
        <v>5.862271845605979E-3</v>
      </c>
      <c r="D3293" s="900">
        <v>0.14284476151959971</v>
      </c>
      <c r="E3293" s="900">
        <v>2.358519154618993E-4</v>
      </c>
      <c r="F3293" s="900">
        <v>1.365124083150649E-4</v>
      </c>
      <c r="G3293" s="900">
        <v>7.2016058653413799E-6</v>
      </c>
      <c r="H3293" s="900">
        <v>7.2744954375673662E-6</v>
      </c>
    </row>
    <row r="3294" spans="1:8" x14ac:dyDescent="0.35">
      <c r="A3294" s="900" t="s">
        <v>4979</v>
      </c>
      <c r="B3294" s="900">
        <v>2.270368372191388E-3</v>
      </c>
      <c r="C3294" s="900">
        <v>5.8634032071504102E-3</v>
      </c>
      <c r="D3294" s="900">
        <v>0.1457134186662592</v>
      </c>
      <c r="E3294" s="900">
        <v>2.399375384840892E-4</v>
      </c>
      <c r="F3294" s="900">
        <v>1.3872753181532539E-4</v>
      </c>
      <c r="G3294" s="900">
        <v>7.2393286804122816E-6</v>
      </c>
      <c r="H3294" s="900">
        <v>7.2816870700900193E-6</v>
      </c>
    </row>
    <row r="3295" spans="1:8" x14ac:dyDescent="0.35">
      <c r="A3295" s="900" t="s">
        <v>4980</v>
      </c>
      <c r="B3295" s="900">
        <v>2.270368372191388E-3</v>
      </c>
      <c r="C3295" s="900">
        <v>5.8634032071504102E-3</v>
      </c>
      <c r="D3295" s="900">
        <v>0.1457134186662592</v>
      </c>
      <c r="E3295" s="900">
        <v>2.399375384840892E-4</v>
      </c>
      <c r="F3295" s="900">
        <v>1.3872753181532539E-4</v>
      </c>
      <c r="G3295" s="900">
        <v>7.2393286804122816E-6</v>
      </c>
      <c r="H3295" s="900">
        <v>7.2816870700900193E-6</v>
      </c>
    </row>
    <row r="3296" spans="1:8" x14ac:dyDescent="0.35">
      <c r="A3296" s="900" t="s">
        <v>4981</v>
      </c>
      <c r="B3296" s="900">
        <v>2.171132678938053E-3</v>
      </c>
      <c r="C3296" s="900">
        <v>5.5976333969159934E-3</v>
      </c>
      <c r="D3296" s="900">
        <v>0.12159065410946469</v>
      </c>
      <c r="E3296" s="900">
        <v>2.2696530816640221E-4</v>
      </c>
      <c r="F3296" s="900">
        <v>1.31665922592275E-4</v>
      </c>
      <c r="G3296" s="900">
        <v>6.9941876531004427E-6</v>
      </c>
      <c r="H3296" s="900">
        <v>6.9431439720039484E-6</v>
      </c>
    </row>
    <row r="3297" spans="1:8" x14ac:dyDescent="0.35">
      <c r="A3297" s="900" t="s">
        <v>4982</v>
      </c>
      <c r="B3297" s="900">
        <v>2.171132678938053E-3</v>
      </c>
      <c r="C3297" s="900">
        <v>5.5976333969159934E-3</v>
      </c>
      <c r="D3297" s="900">
        <v>0.12159065410946469</v>
      </c>
      <c r="E3297" s="900">
        <v>2.2696530816640221E-4</v>
      </c>
      <c r="F3297" s="900">
        <v>1.31665922592275E-4</v>
      </c>
      <c r="G3297" s="900">
        <v>6.9941876531004427E-6</v>
      </c>
      <c r="H3297" s="900">
        <v>6.9431439720039484E-6</v>
      </c>
    </row>
    <row r="3298" spans="1:8" x14ac:dyDescent="0.35">
      <c r="A3298" s="900" t="s">
        <v>4983</v>
      </c>
      <c r="B3298" s="900">
        <v>2.2866052616208501E-3</v>
      </c>
      <c r="C3298" s="900">
        <v>5.8571796959504601E-3</v>
      </c>
      <c r="D3298" s="900">
        <v>0.14077137968765979</v>
      </c>
      <c r="E3298" s="900">
        <v>2.327389966776668E-4</v>
      </c>
      <c r="F3298" s="900">
        <v>1.348027273515506E-4</v>
      </c>
      <c r="G3298" s="900">
        <v>7.0836291190361028E-6</v>
      </c>
      <c r="H3298" s="900">
        <v>7.3188493649828691E-6</v>
      </c>
    </row>
    <row r="3299" spans="1:8" x14ac:dyDescent="0.35">
      <c r="A3299" s="900" t="s">
        <v>4984</v>
      </c>
      <c r="B3299" s="900">
        <v>2.2866052616208501E-3</v>
      </c>
      <c r="C3299" s="900">
        <v>5.8571796959504601E-3</v>
      </c>
      <c r="D3299" s="900">
        <v>0.14077137968765979</v>
      </c>
      <c r="E3299" s="900">
        <v>2.327389966776668E-4</v>
      </c>
      <c r="F3299" s="900">
        <v>1.348027273515506E-4</v>
      </c>
      <c r="G3299" s="900">
        <v>7.0836291190361028E-6</v>
      </c>
      <c r="H3299" s="900">
        <v>7.3188493649828691E-6</v>
      </c>
    </row>
    <row r="3300" spans="1:8" x14ac:dyDescent="0.35">
      <c r="A3300" s="900" t="s">
        <v>4985</v>
      </c>
      <c r="B3300" s="900">
        <v>2.3591767240366949E-3</v>
      </c>
      <c r="C3300" s="900">
        <v>5.8614497619285232E-3</v>
      </c>
      <c r="D3300" s="900">
        <v>0.14558681110294719</v>
      </c>
      <c r="E3300" s="900">
        <v>2.5118637308489612E-4</v>
      </c>
      <c r="F3300" s="900">
        <v>1.450938287680734E-4</v>
      </c>
      <c r="G3300" s="900">
        <v>7.4309137568174433E-6</v>
      </c>
      <c r="H3300" s="900">
        <v>7.5607702226798747E-6</v>
      </c>
    </row>
    <row r="3301" spans="1:8" x14ac:dyDescent="0.35">
      <c r="A3301" s="900" t="s">
        <v>4986</v>
      </c>
      <c r="B3301" s="900">
        <v>2.3591767240366949E-3</v>
      </c>
      <c r="C3301" s="900">
        <v>5.8614497619285232E-3</v>
      </c>
      <c r="D3301" s="900">
        <v>0.14558681110294719</v>
      </c>
      <c r="E3301" s="900">
        <v>2.5118637308489612E-4</v>
      </c>
      <c r="F3301" s="900">
        <v>1.450938287680734E-4</v>
      </c>
      <c r="G3301" s="900">
        <v>7.4309137568174433E-6</v>
      </c>
      <c r="H3301" s="900">
        <v>7.5607702226798747E-6</v>
      </c>
    </row>
    <row r="3302" spans="1:8" x14ac:dyDescent="0.35">
      <c r="A3302" s="900" t="s">
        <v>4987</v>
      </c>
      <c r="B3302" s="900">
        <v>2.213560909848269E-3</v>
      </c>
      <c r="C3302" s="900">
        <v>5.8547433527483574E-3</v>
      </c>
      <c r="D3302" s="900">
        <v>0.1417385933086949</v>
      </c>
      <c r="E3302" s="900">
        <v>2.3262649999183951E-4</v>
      </c>
      <c r="F3302" s="900">
        <v>1.3458863727561601E-4</v>
      </c>
      <c r="G3302" s="900">
        <v>7.1034825824680064E-6</v>
      </c>
      <c r="H3302" s="900">
        <v>7.0925458449225224E-6</v>
      </c>
    </row>
    <row r="3303" spans="1:8" x14ac:dyDescent="0.35">
      <c r="A3303" s="900" t="s">
        <v>4988</v>
      </c>
      <c r="B3303" s="900">
        <v>2.213560909848269E-3</v>
      </c>
      <c r="C3303" s="900">
        <v>5.8547433527483574E-3</v>
      </c>
      <c r="D3303" s="900">
        <v>0.1417385933086949</v>
      </c>
      <c r="E3303" s="900">
        <v>2.3262649999183951E-4</v>
      </c>
      <c r="F3303" s="900">
        <v>1.3458863727561601E-4</v>
      </c>
      <c r="G3303" s="900">
        <v>7.1034825824680064E-6</v>
      </c>
      <c r="H3303" s="900">
        <v>7.0925458449225224E-6</v>
      </c>
    </row>
    <row r="3304" spans="1:8" x14ac:dyDescent="0.35">
      <c r="A3304" s="900" t="s">
        <v>4989</v>
      </c>
      <c r="B3304" s="900">
        <v>2.2543876675622698E-3</v>
      </c>
      <c r="C3304" s="900">
        <v>5.8655326590856018E-3</v>
      </c>
      <c r="D3304" s="900">
        <v>0.14433309279059489</v>
      </c>
      <c r="E3304" s="900">
        <v>2.3508921369960799E-4</v>
      </c>
      <c r="F3304" s="900">
        <v>1.361066551739546E-4</v>
      </c>
      <c r="G3304" s="900">
        <v>7.1657238360775352E-6</v>
      </c>
      <c r="H3304" s="900">
        <v>7.2032807566468979E-6</v>
      </c>
    </row>
    <row r="3305" spans="1:8" x14ac:dyDescent="0.35">
      <c r="A3305" s="900" t="s">
        <v>4990</v>
      </c>
      <c r="B3305" s="900">
        <v>2.2543876675622698E-3</v>
      </c>
      <c r="C3305" s="900">
        <v>5.8655326590856018E-3</v>
      </c>
      <c r="D3305" s="900">
        <v>0.14433309279059489</v>
      </c>
      <c r="E3305" s="900">
        <v>2.3508921369960799E-4</v>
      </c>
      <c r="F3305" s="900">
        <v>1.361066551739546E-4</v>
      </c>
      <c r="G3305" s="900">
        <v>7.1657238360775352E-6</v>
      </c>
      <c r="H3305" s="900">
        <v>7.2032807566468979E-6</v>
      </c>
    </row>
    <row r="3306" spans="1:8" x14ac:dyDescent="0.35">
      <c r="A3306" s="900" t="s">
        <v>4991</v>
      </c>
      <c r="B3306" s="900">
        <v>2.3155827050220148E-3</v>
      </c>
      <c r="C3306" s="900">
        <v>5.8637747986119843E-3</v>
      </c>
      <c r="D3306" s="900">
        <v>0.1443261564906822</v>
      </c>
      <c r="E3306" s="900">
        <v>2.4163846667665871E-4</v>
      </c>
      <c r="F3306" s="900">
        <v>1.3899134307384799E-4</v>
      </c>
      <c r="G3306" s="900">
        <v>7.0744673049251977E-6</v>
      </c>
      <c r="H3306" s="900">
        <v>7.4221798095910238E-6</v>
      </c>
    </row>
    <row r="3307" spans="1:8" x14ac:dyDescent="0.35">
      <c r="A3307" s="900" t="s">
        <v>4992</v>
      </c>
      <c r="B3307" s="900">
        <v>2.3155827050220148E-3</v>
      </c>
      <c r="C3307" s="900">
        <v>5.8637747986119843E-3</v>
      </c>
      <c r="D3307" s="900">
        <v>0.1443261564906822</v>
      </c>
      <c r="E3307" s="900">
        <v>2.4163846667665871E-4</v>
      </c>
      <c r="F3307" s="900">
        <v>1.3899134307384799E-4</v>
      </c>
      <c r="G3307" s="900">
        <v>7.0744673049251977E-6</v>
      </c>
      <c r="H3307" s="900">
        <v>7.4221798095910238E-6</v>
      </c>
    </row>
    <row r="3308" spans="1:8" x14ac:dyDescent="0.35">
      <c r="A3308" s="900" t="s">
        <v>4993</v>
      </c>
      <c r="B3308" s="900">
        <v>2.3130062756549058E-3</v>
      </c>
      <c r="C3308" s="900">
        <v>5.860198017103785E-3</v>
      </c>
      <c r="D3308" s="900">
        <v>0.14412280636495189</v>
      </c>
      <c r="E3308" s="900">
        <v>2.416433396608648E-4</v>
      </c>
      <c r="F3308" s="900">
        <v>1.3904633908601571E-4</v>
      </c>
      <c r="G3308" s="900">
        <v>7.0820413111788126E-6</v>
      </c>
      <c r="H3308" s="900">
        <v>7.4206315535699322E-6</v>
      </c>
    </row>
    <row r="3309" spans="1:8" x14ac:dyDescent="0.35">
      <c r="A3309" s="900" t="s">
        <v>4994</v>
      </c>
      <c r="B3309" s="900">
        <v>2.3130062756549058E-3</v>
      </c>
      <c r="C3309" s="900">
        <v>5.860198017103785E-3</v>
      </c>
      <c r="D3309" s="900">
        <v>0.14412280636495189</v>
      </c>
      <c r="E3309" s="900">
        <v>2.416433396608648E-4</v>
      </c>
      <c r="F3309" s="900">
        <v>1.3904633908601571E-4</v>
      </c>
      <c r="G3309" s="900">
        <v>7.0820413111788126E-6</v>
      </c>
      <c r="H3309" s="900">
        <v>7.4206315535699322E-6</v>
      </c>
    </row>
    <row r="3310" spans="1:8" x14ac:dyDescent="0.35">
      <c r="A3310" s="900" t="s">
        <v>4995</v>
      </c>
      <c r="B3310" s="900">
        <v>2.3193745158888112E-3</v>
      </c>
      <c r="C3310" s="900">
        <v>5.8563523434229537E-3</v>
      </c>
      <c r="D3310" s="900">
        <v>0.145204945400663</v>
      </c>
      <c r="E3310" s="900">
        <v>2.4254364667208959E-4</v>
      </c>
      <c r="F3310" s="900">
        <v>1.4018433168576201E-4</v>
      </c>
      <c r="G3310" s="900">
        <v>7.1376014957071786E-6</v>
      </c>
      <c r="H3310" s="900">
        <v>7.4306996775931757E-6</v>
      </c>
    </row>
    <row r="3311" spans="1:8" x14ac:dyDescent="0.35">
      <c r="A3311" s="900" t="s">
        <v>4996</v>
      </c>
      <c r="B3311" s="900">
        <v>2.3193745158888112E-3</v>
      </c>
      <c r="C3311" s="900">
        <v>5.8563523434229537E-3</v>
      </c>
      <c r="D3311" s="900">
        <v>0.145204945400663</v>
      </c>
      <c r="E3311" s="900">
        <v>2.4254364667208959E-4</v>
      </c>
      <c r="F3311" s="900">
        <v>1.4018433168576201E-4</v>
      </c>
      <c r="G3311" s="900">
        <v>7.1376014957071786E-6</v>
      </c>
      <c r="H3311" s="900">
        <v>7.4306996775931757E-6</v>
      </c>
    </row>
    <row r="3312" spans="1:8" x14ac:dyDescent="0.35">
      <c r="A3312" s="900" t="s">
        <v>4997</v>
      </c>
      <c r="B3312" s="900">
        <v>2.2184508991970569E-3</v>
      </c>
      <c r="C3312" s="900">
        <v>5.861400486148082E-3</v>
      </c>
      <c r="D3312" s="900">
        <v>0.13825361949495871</v>
      </c>
      <c r="E3312" s="900">
        <v>2.3049304739715379E-4</v>
      </c>
      <c r="F3312" s="900">
        <v>1.3314281515502111E-4</v>
      </c>
      <c r="G3312" s="900">
        <v>7.117732139725899E-6</v>
      </c>
      <c r="H3312" s="900">
        <v>7.1240274345313506E-6</v>
      </c>
    </row>
    <row r="3313" spans="1:8" x14ac:dyDescent="0.35">
      <c r="A3313" s="900" t="s">
        <v>4998</v>
      </c>
      <c r="B3313" s="900">
        <v>2.2184508991970569E-3</v>
      </c>
      <c r="C3313" s="900">
        <v>5.861400486148082E-3</v>
      </c>
      <c r="D3313" s="900">
        <v>0.13825361949495871</v>
      </c>
      <c r="E3313" s="900">
        <v>2.3049304739715379E-4</v>
      </c>
      <c r="F3313" s="900">
        <v>1.3314281515502111E-4</v>
      </c>
      <c r="G3313" s="900">
        <v>7.117732139725899E-6</v>
      </c>
      <c r="H3313" s="900">
        <v>7.1240274345313506E-6</v>
      </c>
    </row>
    <row r="3314" spans="1:8" x14ac:dyDescent="0.35">
      <c r="A3314" s="900" t="s">
        <v>4999</v>
      </c>
      <c r="B3314" s="900">
        <v>3.807536123497538E-3</v>
      </c>
      <c r="C3314" s="900">
        <v>7.7592948862678984E-3</v>
      </c>
      <c r="D3314" s="900">
        <v>0.28717169009306381</v>
      </c>
      <c r="E3314" s="900">
        <v>5.5818926033667979E-4</v>
      </c>
      <c r="F3314" s="900">
        <v>3.2110353535264507E-4</v>
      </c>
      <c r="G3314" s="900">
        <v>1.6736608114290589E-5</v>
      </c>
      <c r="H3314" s="900">
        <v>1.6954249023988371E-5</v>
      </c>
    </row>
    <row r="3315" spans="1:8" x14ac:dyDescent="0.35">
      <c r="A3315" s="900" t="s">
        <v>5000</v>
      </c>
      <c r="B3315" s="900">
        <v>3.807536123497538E-3</v>
      </c>
      <c r="C3315" s="900">
        <v>7.7592948862678984E-3</v>
      </c>
      <c r="D3315" s="900">
        <v>0.28717169009306381</v>
      </c>
      <c r="E3315" s="900">
        <v>5.5818926033667979E-4</v>
      </c>
      <c r="F3315" s="900">
        <v>3.2110353535264507E-4</v>
      </c>
      <c r="G3315" s="900">
        <v>1.6736608114290589E-5</v>
      </c>
      <c r="H3315" s="900">
        <v>1.6954249023988371E-5</v>
      </c>
    </row>
    <row r="3316" spans="1:8" x14ac:dyDescent="0.35">
      <c r="A3316" s="900" t="s">
        <v>5001</v>
      </c>
      <c r="B3316" s="900">
        <v>2.3511757587765881E-3</v>
      </c>
      <c r="C3316" s="900">
        <v>5.8569379622392297E-3</v>
      </c>
      <c r="D3316" s="900">
        <v>0.1497327564175156</v>
      </c>
      <c r="E3316" s="900">
        <v>2.5042461514851249E-4</v>
      </c>
      <c r="F3316" s="900">
        <v>1.4471361278527839E-4</v>
      </c>
      <c r="G3316" s="900">
        <v>7.4120899990949452E-6</v>
      </c>
      <c r="H3316" s="900">
        <v>7.5328580622504694E-6</v>
      </c>
    </row>
    <row r="3317" spans="1:8" x14ac:dyDescent="0.35">
      <c r="A3317" s="900" t="s">
        <v>5002</v>
      </c>
      <c r="B3317" s="900">
        <v>2.3511757587765881E-3</v>
      </c>
      <c r="C3317" s="900">
        <v>5.8569379622392297E-3</v>
      </c>
      <c r="D3317" s="900">
        <v>0.1497327564175156</v>
      </c>
      <c r="E3317" s="900">
        <v>2.5042461514851249E-4</v>
      </c>
      <c r="F3317" s="900">
        <v>1.4471361278527839E-4</v>
      </c>
      <c r="G3317" s="900">
        <v>7.4120899990949452E-6</v>
      </c>
      <c r="H3317" s="900">
        <v>7.5328580622504694E-6</v>
      </c>
    </row>
    <row r="3318" spans="1:8" x14ac:dyDescent="0.35">
      <c r="A3318" s="900" t="s">
        <v>5003</v>
      </c>
      <c r="B3318" s="900">
        <v>2.2628428760219951E-3</v>
      </c>
      <c r="C3318" s="900">
        <v>5.8702968162905279E-3</v>
      </c>
      <c r="D3318" s="900">
        <v>0.146165366882447</v>
      </c>
      <c r="E3318" s="900">
        <v>2.371799344210962E-4</v>
      </c>
      <c r="F3318" s="900">
        <v>1.3689810981258409E-4</v>
      </c>
      <c r="G3318" s="900">
        <v>7.1893230867091089E-6</v>
      </c>
      <c r="H3318" s="900">
        <v>7.2353105757488838E-6</v>
      </c>
    </row>
    <row r="3319" spans="1:8" x14ac:dyDescent="0.35">
      <c r="A3319" s="900" t="s">
        <v>5004</v>
      </c>
      <c r="B3319" s="900">
        <v>2.2628428760219951E-3</v>
      </c>
      <c r="C3319" s="900">
        <v>5.8702968162905279E-3</v>
      </c>
      <c r="D3319" s="900">
        <v>0.146165366882447</v>
      </c>
      <c r="E3319" s="900">
        <v>2.371799344210962E-4</v>
      </c>
      <c r="F3319" s="900">
        <v>1.3689810981258409E-4</v>
      </c>
      <c r="G3319" s="900">
        <v>7.1893230867091089E-6</v>
      </c>
      <c r="H3319" s="900">
        <v>7.2353105757488838E-6</v>
      </c>
    </row>
    <row r="3320" spans="1:8" x14ac:dyDescent="0.35">
      <c r="A3320" s="900" t="s">
        <v>5005</v>
      </c>
      <c r="B3320" s="900">
        <v>2.2623286353461959E-3</v>
      </c>
      <c r="C3320" s="900">
        <v>5.8620492693849851E-3</v>
      </c>
      <c r="D3320" s="900">
        <v>0.14134620552699589</v>
      </c>
      <c r="E3320" s="900">
        <v>2.311719039375356E-4</v>
      </c>
      <c r="F3320" s="900">
        <v>1.344970855664246E-4</v>
      </c>
      <c r="G3320" s="900">
        <v>7.1561640457022023E-6</v>
      </c>
      <c r="H3320" s="900">
        <v>7.21525629287588E-6</v>
      </c>
    </row>
    <row r="3321" spans="1:8" x14ac:dyDescent="0.35">
      <c r="A3321" s="900" t="s">
        <v>5006</v>
      </c>
      <c r="B3321" s="900">
        <v>2.2623286353461959E-3</v>
      </c>
      <c r="C3321" s="900">
        <v>5.8620492693849851E-3</v>
      </c>
      <c r="D3321" s="900">
        <v>0.14134620552699589</v>
      </c>
      <c r="E3321" s="900">
        <v>2.311719039375356E-4</v>
      </c>
      <c r="F3321" s="900">
        <v>1.344970855664246E-4</v>
      </c>
      <c r="G3321" s="900">
        <v>7.1561640457022023E-6</v>
      </c>
      <c r="H3321" s="900">
        <v>7.21525629287588E-6</v>
      </c>
    </row>
    <row r="3322" spans="1:8" x14ac:dyDescent="0.35">
      <c r="A3322" s="900" t="s">
        <v>5007</v>
      </c>
      <c r="B3322" s="900">
        <v>919991.54102745245</v>
      </c>
      <c r="C3322" s="900">
        <v>619961.22351307003</v>
      </c>
      <c r="D3322" s="900">
        <v>476705.80221156031</v>
      </c>
      <c r="E3322" s="900">
        <v>503599.90027467761</v>
      </c>
      <c r="F3322" s="900">
        <v>658652.56646087125</v>
      </c>
      <c r="G3322" s="900">
        <v>763891.52687711979</v>
      </c>
      <c r="H3322" s="900">
        <v>942050.80782610294</v>
      </c>
    </row>
    <row r="3323" spans="1:8" x14ac:dyDescent="0.35">
      <c r="A3323" s="900" t="s">
        <v>5008</v>
      </c>
      <c r="B3323" s="900">
        <v>919991.54102745245</v>
      </c>
      <c r="C3323" s="900">
        <v>619961.22351307003</v>
      </c>
      <c r="D3323" s="900">
        <v>476705.80221156031</v>
      </c>
      <c r="E3323" s="900">
        <v>503599.90027467761</v>
      </c>
      <c r="F3323" s="900">
        <v>658652.56646087125</v>
      </c>
      <c r="G3323" s="900">
        <v>763891.52687711979</v>
      </c>
      <c r="H3323" s="900">
        <v>942050.80782610294</v>
      </c>
    </row>
    <row r="3324" spans="1:8" x14ac:dyDescent="0.35">
      <c r="A3324" s="900" t="s">
        <v>5009</v>
      </c>
      <c r="B3324" s="900">
        <v>898591.35313391755</v>
      </c>
      <c r="C3324" s="900">
        <v>497126.43198816862</v>
      </c>
      <c r="D3324" s="900">
        <v>446994.09514934191</v>
      </c>
      <c r="E3324" s="900">
        <v>489012.59230768651</v>
      </c>
      <c r="F3324" s="900">
        <v>618061.93757141102</v>
      </c>
      <c r="G3324" s="900">
        <v>684909.48587575252</v>
      </c>
      <c r="H3324" s="900">
        <v>924905.51016463898</v>
      </c>
    </row>
    <row r="3325" spans="1:8" x14ac:dyDescent="0.35">
      <c r="A3325" s="900" t="s">
        <v>5010</v>
      </c>
      <c r="B3325" s="900">
        <v>898591.35313391755</v>
      </c>
      <c r="C3325" s="900">
        <v>497126.43198816862</v>
      </c>
      <c r="D3325" s="900">
        <v>446994.09514934191</v>
      </c>
      <c r="E3325" s="900">
        <v>489012.59230768651</v>
      </c>
      <c r="F3325" s="900">
        <v>618061.93757141102</v>
      </c>
      <c r="G3325" s="900">
        <v>684909.48587575252</v>
      </c>
      <c r="H3325" s="900">
        <v>924905.51016463898</v>
      </c>
    </row>
    <row r="3326" spans="1:8" x14ac:dyDescent="0.35">
      <c r="A3326" s="900" t="s">
        <v>5011</v>
      </c>
      <c r="B3326" s="900">
        <v>113193.01383018011</v>
      </c>
      <c r="C3326" s="900">
        <v>381.16000235777909</v>
      </c>
      <c r="D3326" s="900">
        <v>414.07955624423289</v>
      </c>
      <c r="E3326" s="900">
        <v>441.27108204757042</v>
      </c>
      <c r="F3326" s="900">
        <v>471.32358630175003</v>
      </c>
      <c r="G3326" s="900">
        <v>93023.40093481027</v>
      </c>
      <c r="H3326" s="900">
        <v>113412.9845344536</v>
      </c>
    </row>
    <row r="3327" spans="1:8" x14ac:dyDescent="0.35">
      <c r="A3327" s="900" t="s">
        <v>5012</v>
      </c>
      <c r="B3327" s="900">
        <v>113193.01383018011</v>
      </c>
      <c r="C3327" s="900">
        <v>381.16000235777909</v>
      </c>
      <c r="D3327" s="900">
        <v>414.07955624423289</v>
      </c>
      <c r="E3327" s="900">
        <v>441.27108204757042</v>
      </c>
      <c r="F3327" s="900">
        <v>471.32358630175003</v>
      </c>
      <c r="G3327" s="900">
        <v>93023.40093481027</v>
      </c>
      <c r="H3327" s="900">
        <v>113412.9845344536</v>
      </c>
    </row>
    <row r="3328" spans="1:8" x14ac:dyDescent="0.35">
      <c r="A3328" s="900" t="s">
        <v>5013</v>
      </c>
      <c r="B3328" s="900">
        <v>70079.998420346339</v>
      </c>
      <c r="C3328" s="900">
        <v>3.4299847300971701E-7</v>
      </c>
      <c r="D3328" s="900">
        <v>1.8718235706106081E-5</v>
      </c>
      <c r="E3328" s="900">
        <v>3.0695589200705652E-8</v>
      </c>
      <c r="F3328" s="900">
        <v>3.4186215424371287E-8</v>
      </c>
      <c r="G3328" s="900">
        <v>70079.999847438943</v>
      </c>
      <c r="H3328" s="900">
        <v>70079.999994549042</v>
      </c>
    </row>
    <row r="3329" spans="1:8" x14ac:dyDescent="0.35">
      <c r="A3329" s="900" t="s">
        <v>5014</v>
      </c>
      <c r="B3329" s="900">
        <v>70079.998420346339</v>
      </c>
      <c r="C3329" s="900">
        <v>3.4299847300971701E-7</v>
      </c>
      <c r="D3329" s="900">
        <v>1.8718235706106081E-5</v>
      </c>
      <c r="E3329" s="900">
        <v>3.0695589200705652E-8</v>
      </c>
      <c r="F3329" s="900">
        <v>3.4186215424371287E-8</v>
      </c>
      <c r="G3329" s="900">
        <v>70079.999847438943</v>
      </c>
      <c r="H3329" s="900">
        <v>70079.999994549042</v>
      </c>
    </row>
    <row r="3330" spans="1:8" x14ac:dyDescent="0.35">
      <c r="A3330" s="900" t="s">
        <v>5015</v>
      </c>
      <c r="B3330" s="900">
        <v>70079.998420346339</v>
      </c>
      <c r="C3330" s="900">
        <v>3.4299847300971701E-7</v>
      </c>
      <c r="D3330" s="900">
        <v>1.8718235706106081E-5</v>
      </c>
      <c r="E3330" s="900">
        <v>3.0695589200705652E-8</v>
      </c>
      <c r="F3330" s="900">
        <v>3.4186215424371287E-8</v>
      </c>
      <c r="G3330" s="900">
        <v>70079.999847438943</v>
      </c>
      <c r="H3330" s="900">
        <v>70079.999994549042</v>
      </c>
    </row>
    <row r="3331" spans="1:8" x14ac:dyDescent="0.35">
      <c r="A3331" s="900" t="s">
        <v>5016</v>
      </c>
      <c r="B3331" s="900">
        <v>19972.798396372229</v>
      </c>
      <c r="C3331" s="900">
        <v>3.4328926203308608E-7</v>
      </c>
      <c r="D3331" s="900">
        <v>1.8755600503678408E-5</v>
      </c>
      <c r="E3331" s="900">
        <v>3.0686583010972992E-8</v>
      </c>
      <c r="F3331" s="900">
        <v>3.4142548879464798E-8</v>
      </c>
      <c r="G3331" s="900">
        <v>19972.79972333827</v>
      </c>
      <c r="H3331" s="900">
        <v>19972.799994456989</v>
      </c>
    </row>
    <row r="3332" spans="1:8" x14ac:dyDescent="0.35">
      <c r="A3332" s="900" t="s">
        <v>5017</v>
      </c>
      <c r="B3332" s="900">
        <v>19972.798396372229</v>
      </c>
      <c r="C3332" s="900">
        <v>3.4328926203308608E-7</v>
      </c>
      <c r="D3332" s="900">
        <v>1.8755600503678408E-5</v>
      </c>
      <c r="E3332" s="900">
        <v>3.0686583010972992E-8</v>
      </c>
      <c r="F3332" s="900">
        <v>3.4142548879464798E-8</v>
      </c>
      <c r="G3332" s="900">
        <v>19972.79972333827</v>
      </c>
      <c r="H3332" s="900">
        <v>19972.799994456989</v>
      </c>
    </row>
    <row r="3333" spans="1:8" x14ac:dyDescent="0.35">
      <c r="A3333" s="900" t="s">
        <v>5018</v>
      </c>
      <c r="B3333" s="900">
        <v>19972.798396372229</v>
      </c>
      <c r="C3333" s="900">
        <v>3.4328926203308608E-7</v>
      </c>
      <c r="D3333" s="900">
        <v>1.8755600503678408E-5</v>
      </c>
      <c r="E3333" s="900">
        <v>3.0686583010972992E-8</v>
      </c>
      <c r="F3333" s="900">
        <v>3.4142548879464798E-8</v>
      </c>
      <c r="G3333" s="900">
        <v>19972.79972333827</v>
      </c>
      <c r="H3333" s="900">
        <v>19972.799994456989</v>
      </c>
    </row>
    <row r="3334" spans="1:8" x14ac:dyDescent="0.35">
      <c r="A3334" s="900" t="s">
        <v>5019</v>
      </c>
      <c r="B3334" s="900">
        <v>1.241115120694837E-3</v>
      </c>
      <c r="C3334" s="900">
        <v>6.8690563830056928E-7</v>
      </c>
      <c r="D3334" s="900">
        <v>1.967529240762756</v>
      </c>
      <c r="E3334" s="900">
        <v>9.9865404239602167E-4</v>
      </c>
      <c r="F3334" s="900">
        <v>2.9311086413018577E-4</v>
      </c>
      <c r="G3334" s="900">
        <v>3.011361308839182E-5</v>
      </c>
      <c r="H3334" s="900">
        <v>4.3050333342033094E-6</v>
      </c>
    </row>
    <row r="3335" spans="1:8" x14ac:dyDescent="0.35">
      <c r="A3335" s="900" t="s">
        <v>5020</v>
      </c>
      <c r="B3335" s="900">
        <v>1.241115120694837E-3</v>
      </c>
      <c r="C3335" s="900">
        <v>6.8690563830056928E-7</v>
      </c>
      <c r="D3335" s="900">
        <v>1.967529240762756</v>
      </c>
      <c r="E3335" s="900">
        <v>9.9865404239602167E-4</v>
      </c>
      <c r="F3335" s="900">
        <v>2.9311086413018577E-4</v>
      </c>
      <c r="G3335" s="900">
        <v>3.011361308839182E-5</v>
      </c>
      <c r="H3335" s="900">
        <v>4.3050333342033094E-6</v>
      </c>
    </row>
    <row r="3336" spans="1:8" x14ac:dyDescent="0.35">
      <c r="A3336" s="900" t="s">
        <v>5021</v>
      </c>
      <c r="B3336" s="900">
        <v>2.5471934354502789E-5</v>
      </c>
      <c r="C3336" s="900">
        <v>6.7929581929745285E-7</v>
      </c>
      <c r="D3336" s="900">
        <v>1.623520429540001E-3</v>
      </c>
      <c r="E3336" s="900">
        <v>2.707798408269926E-6</v>
      </c>
      <c r="F3336" s="900">
        <v>1.559100449069468E-6</v>
      </c>
      <c r="G3336" s="900">
        <v>7.9478859083145573E-8</v>
      </c>
      <c r="H3336" s="900">
        <v>8.1616213503253203E-8</v>
      </c>
    </row>
    <row r="3337" spans="1:8" x14ac:dyDescent="0.35">
      <c r="A3337" s="900" t="s">
        <v>5022</v>
      </c>
      <c r="B3337" s="900">
        <v>2.5471934354502789E-5</v>
      </c>
      <c r="C3337" s="900">
        <v>6.7929581929745285E-7</v>
      </c>
      <c r="D3337" s="900">
        <v>1.623520429540001E-3</v>
      </c>
      <c r="E3337" s="900">
        <v>2.707798408269926E-6</v>
      </c>
      <c r="F3337" s="900">
        <v>1.559100449069468E-6</v>
      </c>
      <c r="G3337" s="900">
        <v>7.9478859083145573E-8</v>
      </c>
      <c r="H3337" s="900">
        <v>8.1616213503253203E-8</v>
      </c>
    </row>
    <row r="3338" spans="1:8" x14ac:dyDescent="0.35">
      <c r="A3338" s="900" t="s">
        <v>5023</v>
      </c>
      <c r="B3338" s="900">
        <v>2.9936947023660202E-5</v>
      </c>
      <c r="C3338" s="900">
        <v>6.7699236939314822E-7</v>
      </c>
      <c r="D3338" s="900">
        <v>1.645646788609913E-3</v>
      </c>
      <c r="E3338" s="900">
        <v>2.90155039205292E-6</v>
      </c>
      <c r="F3338" s="900">
        <v>1.746292570445975E-6</v>
      </c>
      <c r="G3338" s="900">
        <v>7.9716417409151921E-8</v>
      </c>
      <c r="H3338" s="900">
        <v>8.4651859996362646E-8</v>
      </c>
    </row>
    <row r="3339" spans="1:8" x14ac:dyDescent="0.35">
      <c r="A3339" s="900" t="s">
        <v>5024</v>
      </c>
      <c r="B3339" s="900">
        <v>2.9936947023660202E-5</v>
      </c>
      <c r="C3339" s="900">
        <v>6.7699236939314822E-7</v>
      </c>
      <c r="D3339" s="900">
        <v>1.645646788609913E-3</v>
      </c>
      <c r="E3339" s="900">
        <v>2.90155039205292E-6</v>
      </c>
      <c r="F3339" s="900">
        <v>1.746292570445975E-6</v>
      </c>
      <c r="G3339" s="900">
        <v>7.9716417409151921E-8</v>
      </c>
      <c r="H3339" s="900">
        <v>8.4651859996362646E-8</v>
      </c>
    </row>
    <row r="3340" spans="1:8" x14ac:dyDescent="0.35">
      <c r="A3340" s="900" t="s">
        <v>44</v>
      </c>
      <c r="B3340" s="900">
        <v>398217.80639899441</v>
      </c>
      <c r="C3340" s="900">
        <v>39003.377792890147</v>
      </c>
      <c r="D3340" s="900">
        <v>79228.571543350743</v>
      </c>
      <c r="E3340" s="900">
        <v>140469.37658452301</v>
      </c>
      <c r="F3340" s="900">
        <v>265058.20570794918</v>
      </c>
      <c r="G3340" s="900">
        <v>313719.62739979458</v>
      </c>
      <c r="H3340" s="900">
        <v>391306.87304293481</v>
      </c>
    </row>
    <row r="3341" spans="1:8" x14ac:dyDescent="0.35">
      <c r="A3341" s="900" t="s">
        <v>817</v>
      </c>
      <c r="B3341" s="900">
        <v>114919.2139592431</v>
      </c>
      <c r="C3341" s="900">
        <v>11255.74357974178</v>
      </c>
      <c r="D3341" s="900">
        <v>22864.083470322981</v>
      </c>
      <c r="E3341" s="900">
        <v>40537.188651640012</v>
      </c>
      <c r="F3341" s="900">
        <v>76491.508325183255</v>
      </c>
      <c r="G3341" s="900">
        <v>90534.40706327511</v>
      </c>
      <c r="H3341" s="900">
        <v>112924.83044288339</v>
      </c>
    </row>
    <row r="3342" spans="1:8" x14ac:dyDescent="0.35">
      <c r="A3342" s="900" t="s">
        <v>35</v>
      </c>
      <c r="B3342" s="900">
        <v>192713.61278901441</v>
      </c>
      <c r="C3342" s="900">
        <v>0</v>
      </c>
      <c r="D3342" s="900">
        <v>317.03828484666099</v>
      </c>
      <c r="E3342" s="900">
        <v>21033.57982259446</v>
      </c>
      <c r="F3342" s="900">
        <v>87942.444709228192</v>
      </c>
      <c r="G3342" s="900">
        <v>140611.58027442271</v>
      </c>
      <c r="H3342" s="900">
        <v>229926.566691382</v>
      </c>
    </row>
    <row r="3343" spans="1:8" x14ac:dyDescent="0.35">
      <c r="A3343" s="900" t="s">
        <v>5025</v>
      </c>
      <c r="B3343" s="900">
        <v>55614.029671917269</v>
      </c>
      <c r="D3343" s="900">
        <v>91.492117891534122</v>
      </c>
      <c r="E3343" s="900">
        <v>6069.9507182249799</v>
      </c>
      <c r="F3343" s="900">
        <v>25378.76623606509</v>
      </c>
      <c r="G3343" s="900">
        <v>40578.226335045358</v>
      </c>
      <c r="H3343" s="900">
        <v>66353.085894021046</v>
      </c>
    </row>
    <row r="3344" spans="1:8" x14ac:dyDescent="0.35">
      <c r="A3344" s="900" t="s">
        <v>5026</v>
      </c>
      <c r="C3344" s="900">
        <v>0</v>
      </c>
    </row>
    <row r="3345" spans="1:8" x14ac:dyDescent="0.35">
      <c r="A3345" s="900" t="s">
        <v>4119</v>
      </c>
      <c r="B3345" s="900">
        <v>94585.780167092511</v>
      </c>
      <c r="C3345" s="900">
        <v>0</v>
      </c>
      <c r="D3345" s="900">
        <v>2381.1242053759761</v>
      </c>
      <c r="E3345" s="900">
        <v>18921.824312740031</v>
      </c>
      <c r="F3345" s="900">
        <v>48437.704258238147</v>
      </c>
      <c r="G3345" s="900">
        <v>49316.033358648987</v>
      </c>
      <c r="H3345" s="900">
        <v>94214.187724593954</v>
      </c>
    </row>
    <row r="3346" spans="1:8" x14ac:dyDescent="0.35">
      <c r="A3346" s="900" t="s">
        <v>4115</v>
      </c>
      <c r="B3346" s="900">
        <v>25367.273034652699</v>
      </c>
      <c r="D3346" s="900">
        <v>638.6015714041506</v>
      </c>
      <c r="E3346" s="900">
        <v>5074.7066081926969</v>
      </c>
      <c r="F3346" s="900">
        <v>12990.668015000179</v>
      </c>
      <c r="G3346" s="900">
        <v>13226.229999740821</v>
      </c>
      <c r="H3346" s="900">
        <v>25267.6144292067</v>
      </c>
    </row>
    <row r="3347" spans="1:8" x14ac:dyDescent="0.35">
      <c r="A3347" s="900" t="s">
        <v>5027</v>
      </c>
      <c r="C3347" s="900">
        <v>0</v>
      </c>
    </row>
    <row r="3348" spans="1:8" x14ac:dyDescent="0.35">
      <c r="A3348" s="900" t="s">
        <v>4117</v>
      </c>
      <c r="B3348" s="900">
        <v>1.390776275840552</v>
      </c>
      <c r="C3348" s="900">
        <v>0</v>
      </c>
      <c r="D3348" s="900">
        <v>5.1623413669181879</v>
      </c>
      <c r="E3348" s="900">
        <v>5553.201371029395</v>
      </c>
      <c r="F3348" s="900">
        <v>22222.61797379105</v>
      </c>
      <c r="G3348" s="900">
        <v>28748.003667855312</v>
      </c>
      <c r="H3348" s="900">
        <v>31141.373324814449</v>
      </c>
    </row>
    <row r="3349" spans="1:8" x14ac:dyDescent="0.35">
      <c r="A3349" s="900" t="s">
        <v>4114</v>
      </c>
      <c r="B3349" s="900">
        <v>0.37299688660430519</v>
      </c>
      <c r="D3349" s="900">
        <v>1.384505395222785</v>
      </c>
      <c r="E3349" s="900">
        <v>1489.3314317062691</v>
      </c>
      <c r="F3349" s="900">
        <v>5959.957370865618</v>
      </c>
      <c r="G3349" s="900">
        <v>7710.0221297048638</v>
      </c>
      <c r="H3349" s="900">
        <v>8351.9078492462304</v>
      </c>
    </row>
    <row r="3350" spans="1:8" x14ac:dyDescent="0.35">
      <c r="A3350" s="900" t="s">
        <v>5028</v>
      </c>
      <c r="C3350" s="900">
        <v>0</v>
      </c>
    </row>
    <row r="3357" spans="1:8" x14ac:dyDescent="0.35">
      <c r="A3357" s="206"/>
      <c r="D3357" s="40"/>
    </row>
    <row r="3358" spans="1:8" x14ac:dyDescent="0.35">
      <c r="A3358" s="206"/>
    </row>
    <row r="3362" spans="7:7" x14ac:dyDescent="0.35">
      <c r="G3362" s="4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18"/>
  <sheetViews>
    <sheetView workbookViewId="0">
      <selection activeCell="F26" sqref="A1:H1698"/>
    </sheetView>
  </sheetViews>
  <sheetFormatPr baseColWidth="10" defaultColWidth="9.1796875" defaultRowHeight="14.5" x14ac:dyDescent="0.35"/>
  <cols>
    <col min="1" max="9" width="8.81640625" style="900" customWidth="1"/>
    <col min="10" max="10" width="14.1796875" style="900" customWidth="1"/>
    <col min="11" max="16384" width="9.1796875" style="900"/>
  </cols>
  <sheetData>
    <row r="1" spans="1:10" x14ac:dyDescent="0.35">
      <c r="B1" s="980"/>
      <c r="C1" s="980"/>
      <c r="D1" s="980"/>
      <c r="E1" s="980"/>
      <c r="F1" s="980"/>
      <c r="G1" s="980"/>
      <c r="H1" s="980"/>
      <c r="I1" s="840"/>
      <c r="J1" s="981"/>
    </row>
    <row r="2" spans="1:10" x14ac:dyDescent="0.35">
      <c r="A2" s="980"/>
    </row>
    <row r="3" spans="1:10" x14ac:dyDescent="0.35">
      <c r="A3" s="980"/>
    </row>
    <row r="4" spans="1:10" x14ac:dyDescent="0.35">
      <c r="A4" s="980"/>
    </row>
    <row r="5" spans="1:10" x14ac:dyDescent="0.35">
      <c r="A5" s="980"/>
    </row>
    <row r="6" spans="1:10" x14ac:dyDescent="0.35">
      <c r="A6" s="980"/>
    </row>
    <row r="7" spans="1:10" x14ac:dyDescent="0.35">
      <c r="A7" s="980"/>
    </row>
    <row r="8" spans="1:10" x14ac:dyDescent="0.35">
      <c r="A8" s="980"/>
    </row>
    <row r="9" spans="1:10" x14ac:dyDescent="0.35">
      <c r="A9" s="980"/>
    </row>
    <row r="10" spans="1:10" x14ac:dyDescent="0.35">
      <c r="A10" s="980"/>
    </row>
    <row r="11" spans="1:10" x14ac:dyDescent="0.35">
      <c r="A11" s="980"/>
    </row>
    <row r="12" spans="1:10" x14ac:dyDescent="0.35">
      <c r="A12" s="980"/>
    </row>
    <row r="13" spans="1:10" x14ac:dyDescent="0.35">
      <c r="A13" s="980"/>
    </row>
    <row r="14" spans="1:10" x14ac:dyDescent="0.35">
      <c r="A14" s="980"/>
    </row>
    <row r="15" spans="1:10" x14ac:dyDescent="0.35">
      <c r="A15" s="980"/>
    </row>
    <row r="16" spans="1:10" x14ac:dyDescent="0.35">
      <c r="A16" s="980"/>
    </row>
    <row r="17" spans="1:1" x14ac:dyDescent="0.35">
      <c r="A17" s="980"/>
    </row>
    <row r="18" spans="1:1" x14ac:dyDescent="0.35">
      <c r="A18" s="980"/>
    </row>
    <row r="19" spans="1:1" x14ac:dyDescent="0.35">
      <c r="A19" s="980"/>
    </row>
    <row r="20" spans="1:1" x14ac:dyDescent="0.35">
      <c r="A20" s="980"/>
    </row>
    <row r="21" spans="1:1" x14ac:dyDescent="0.35">
      <c r="A21" s="980"/>
    </row>
    <row r="22" spans="1:1" x14ac:dyDescent="0.35">
      <c r="A22" s="980"/>
    </row>
    <row r="23" spans="1:1" x14ac:dyDescent="0.35">
      <c r="A23" s="980"/>
    </row>
    <row r="24" spans="1:1" x14ac:dyDescent="0.35">
      <c r="A24" s="980"/>
    </row>
    <row r="25" spans="1:1" x14ac:dyDescent="0.35">
      <c r="A25" s="980"/>
    </row>
    <row r="26" spans="1:1" x14ac:dyDescent="0.35">
      <c r="A26" s="980"/>
    </row>
    <row r="27" spans="1:1" x14ac:dyDescent="0.35">
      <c r="A27" s="980"/>
    </row>
    <row r="28" spans="1:1" x14ac:dyDescent="0.35">
      <c r="A28" s="980"/>
    </row>
    <row r="29" spans="1:1" x14ac:dyDescent="0.35">
      <c r="A29" s="980"/>
    </row>
    <row r="30" spans="1:1" x14ac:dyDescent="0.35">
      <c r="A30" s="980"/>
    </row>
    <row r="31" spans="1:1" x14ac:dyDescent="0.35">
      <c r="A31" s="980"/>
    </row>
    <row r="32" spans="1:1" x14ac:dyDescent="0.35">
      <c r="A32" s="980"/>
    </row>
    <row r="33" spans="1:1" x14ac:dyDescent="0.35">
      <c r="A33" s="980"/>
    </row>
    <row r="34" spans="1:1" x14ac:dyDescent="0.35">
      <c r="A34" s="980"/>
    </row>
    <row r="35" spans="1:1" x14ac:dyDescent="0.35">
      <c r="A35" s="980"/>
    </row>
    <row r="36" spans="1:1" x14ac:dyDescent="0.35">
      <c r="A36" s="980"/>
    </row>
    <row r="37" spans="1:1" x14ac:dyDescent="0.35">
      <c r="A37" s="980"/>
    </row>
    <row r="38" spans="1:1" x14ac:dyDescent="0.35">
      <c r="A38" s="980"/>
    </row>
    <row r="39" spans="1:1" x14ac:dyDescent="0.35">
      <c r="A39" s="980"/>
    </row>
    <row r="40" spans="1:1" x14ac:dyDescent="0.35">
      <c r="A40" s="980"/>
    </row>
    <row r="41" spans="1:1" x14ac:dyDescent="0.35">
      <c r="A41" s="980"/>
    </row>
    <row r="42" spans="1:1" x14ac:dyDescent="0.35">
      <c r="A42" s="980"/>
    </row>
    <row r="43" spans="1:1" x14ac:dyDescent="0.35">
      <c r="A43" s="980"/>
    </row>
    <row r="44" spans="1:1" x14ac:dyDescent="0.35">
      <c r="A44" s="980"/>
    </row>
    <row r="45" spans="1:1" x14ac:dyDescent="0.35">
      <c r="A45" s="980"/>
    </row>
    <row r="46" spans="1:1" x14ac:dyDescent="0.35">
      <c r="A46" s="980"/>
    </row>
    <row r="47" spans="1:1" x14ac:dyDescent="0.35">
      <c r="A47" s="980"/>
    </row>
    <row r="48" spans="1:1" x14ac:dyDescent="0.35">
      <c r="A48" s="980"/>
    </row>
    <row r="49" spans="1:1" x14ac:dyDescent="0.35">
      <c r="A49" s="980"/>
    </row>
    <row r="50" spans="1:1" x14ac:dyDescent="0.35">
      <c r="A50" s="980"/>
    </row>
    <row r="51" spans="1:1" x14ac:dyDescent="0.35">
      <c r="A51" s="980"/>
    </row>
    <row r="52" spans="1:1" x14ac:dyDescent="0.35">
      <c r="A52" s="980"/>
    </row>
    <row r="53" spans="1:1" x14ac:dyDescent="0.35">
      <c r="A53" s="980"/>
    </row>
    <row r="54" spans="1:1" x14ac:dyDescent="0.35">
      <c r="A54" s="980"/>
    </row>
    <row r="55" spans="1:1" x14ac:dyDescent="0.35">
      <c r="A55" s="980"/>
    </row>
    <row r="56" spans="1:1" x14ac:dyDescent="0.35">
      <c r="A56" s="980"/>
    </row>
    <row r="57" spans="1:1" x14ac:dyDescent="0.35">
      <c r="A57" s="980"/>
    </row>
    <row r="58" spans="1:1" x14ac:dyDescent="0.35">
      <c r="A58" s="980"/>
    </row>
    <row r="59" spans="1:1" x14ac:dyDescent="0.35">
      <c r="A59" s="980"/>
    </row>
    <row r="60" spans="1:1" x14ac:dyDescent="0.35">
      <c r="A60" s="980"/>
    </row>
    <row r="61" spans="1:1" x14ac:dyDescent="0.35">
      <c r="A61" s="980"/>
    </row>
    <row r="62" spans="1:1" x14ac:dyDescent="0.35">
      <c r="A62" s="980"/>
    </row>
    <row r="63" spans="1:1" x14ac:dyDescent="0.35">
      <c r="A63" s="980"/>
    </row>
    <row r="64" spans="1:1" x14ac:dyDescent="0.35">
      <c r="A64" s="980"/>
    </row>
    <row r="65" spans="1:1" x14ac:dyDescent="0.35">
      <c r="A65" s="980"/>
    </row>
    <row r="66" spans="1:1" x14ac:dyDescent="0.35">
      <c r="A66" s="980"/>
    </row>
    <row r="67" spans="1:1" x14ac:dyDescent="0.35">
      <c r="A67" s="980"/>
    </row>
    <row r="68" spans="1:1" x14ac:dyDescent="0.35">
      <c r="A68" s="980"/>
    </row>
    <row r="69" spans="1:1" x14ac:dyDescent="0.35">
      <c r="A69" s="980"/>
    </row>
    <row r="70" spans="1:1" x14ac:dyDescent="0.35">
      <c r="A70" s="980"/>
    </row>
    <row r="71" spans="1:1" x14ac:dyDescent="0.35">
      <c r="A71" s="980"/>
    </row>
    <row r="72" spans="1:1" x14ac:dyDescent="0.35">
      <c r="A72" s="980"/>
    </row>
    <row r="73" spans="1:1" x14ac:dyDescent="0.35">
      <c r="A73" s="980"/>
    </row>
    <row r="74" spans="1:1" x14ac:dyDescent="0.35">
      <c r="A74" s="980"/>
    </row>
    <row r="75" spans="1:1" x14ac:dyDescent="0.35">
      <c r="A75" s="980"/>
    </row>
    <row r="76" spans="1:1" x14ac:dyDescent="0.35">
      <c r="A76" s="980"/>
    </row>
    <row r="77" spans="1:1" x14ac:dyDescent="0.35">
      <c r="A77" s="980"/>
    </row>
    <row r="78" spans="1:1" x14ac:dyDescent="0.35">
      <c r="A78" s="980"/>
    </row>
    <row r="79" spans="1:1" x14ac:dyDescent="0.35">
      <c r="A79" s="980"/>
    </row>
    <row r="80" spans="1:1" x14ac:dyDescent="0.35">
      <c r="A80" s="980"/>
    </row>
    <row r="81" spans="1:1" x14ac:dyDescent="0.35">
      <c r="A81" s="980"/>
    </row>
    <row r="82" spans="1:1" x14ac:dyDescent="0.35">
      <c r="A82" s="980"/>
    </row>
    <row r="83" spans="1:1" x14ac:dyDescent="0.35">
      <c r="A83" s="980"/>
    </row>
    <row r="84" spans="1:1" x14ac:dyDescent="0.35">
      <c r="A84" s="980"/>
    </row>
    <row r="85" spans="1:1" x14ac:dyDescent="0.35">
      <c r="A85" s="980"/>
    </row>
    <row r="86" spans="1:1" x14ac:dyDescent="0.35">
      <c r="A86" s="980"/>
    </row>
    <row r="87" spans="1:1" x14ac:dyDescent="0.35">
      <c r="A87" s="980"/>
    </row>
    <row r="88" spans="1:1" x14ac:dyDescent="0.35">
      <c r="A88" s="980"/>
    </row>
    <row r="89" spans="1:1" x14ac:dyDescent="0.35">
      <c r="A89" s="980"/>
    </row>
    <row r="90" spans="1:1" x14ac:dyDescent="0.35">
      <c r="A90" s="980"/>
    </row>
    <row r="91" spans="1:1" x14ac:dyDescent="0.35">
      <c r="A91" s="980"/>
    </row>
    <row r="92" spans="1:1" x14ac:dyDescent="0.35">
      <c r="A92" s="980"/>
    </row>
    <row r="93" spans="1:1" x14ac:dyDescent="0.35">
      <c r="A93" s="980"/>
    </row>
    <row r="94" spans="1:1" x14ac:dyDescent="0.35">
      <c r="A94" s="980"/>
    </row>
    <row r="95" spans="1:1" x14ac:dyDescent="0.35">
      <c r="A95" s="980"/>
    </row>
    <row r="96" spans="1:1" x14ac:dyDescent="0.35">
      <c r="A96" s="980"/>
    </row>
    <row r="97" spans="1:1" x14ac:dyDescent="0.35">
      <c r="A97" s="980"/>
    </row>
    <row r="98" spans="1:1" x14ac:dyDescent="0.35">
      <c r="A98" s="980"/>
    </row>
    <row r="99" spans="1:1" x14ac:dyDescent="0.35">
      <c r="A99" s="980"/>
    </row>
    <row r="100" spans="1:1" x14ac:dyDescent="0.35">
      <c r="A100" s="980"/>
    </row>
    <row r="101" spans="1:1" x14ac:dyDescent="0.35">
      <c r="A101" s="980"/>
    </row>
    <row r="102" spans="1:1" x14ac:dyDescent="0.35">
      <c r="A102" s="980"/>
    </row>
    <row r="103" spans="1:1" x14ac:dyDescent="0.35">
      <c r="A103" s="980"/>
    </row>
    <row r="104" spans="1:1" x14ac:dyDescent="0.35">
      <c r="A104" s="980"/>
    </row>
    <row r="105" spans="1:1" x14ac:dyDescent="0.35">
      <c r="A105" s="980"/>
    </row>
    <row r="106" spans="1:1" x14ac:dyDescent="0.35">
      <c r="A106" s="980"/>
    </row>
    <row r="107" spans="1:1" x14ac:dyDescent="0.35">
      <c r="A107" s="980"/>
    </row>
    <row r="108" spans="1:1" x14ac:dyDescent="0.35">
      <c r="A108" s="980"/>
    </row>
    <row r="109" spans="1:1" x14ac:dyDescent="0.35">
      <c r="A109" s="980"/>
    </row>
    <row r="110" spans="1:1" x14ac:dyDescent="0.35">
      <c r="A110" s="980"/>
    </row>
    <row r="111" spans="1:1" x14ac:dyDescent="0.35">
      <c r="A111" s="980"/>
    </row>
    <row r="112" spans="1:1" x14ac:dyDescent="0.35">
      <c r="A112" s="980"/>
    </row>
    <row r="113" spans="1:1" x14ac:dyDescent="0.35">
      <c r="A113" s="980"/>
    </row>
    <row r="114" spans="1:1" x14ac:dyDescent="0.35">
      <c r="A114" s="980"/>
    </row>
    <row r="115" spans="1:1" x14ac:dyDescent="0.35">
      <c r="A115" s="980"/>
    </row>
    <row r="116" spans="1:1" x14ac:dyDescent="0.35">
      <c r="A116" s="980"/>
    </row>
    <row r="117" spans="1:1" x14ac:dyDescent="0.35">
      <c r="A117" s="980"/>
    </row>
    <row r="118" spans="1:1" x14ac:dyDescent="0.35">
      <c r="A118" s="980"/>
    </row>
    <row r="119" spans="1:1" x14ac:dyDescent="0.35">
      <c r="A119" s="980"/>
    </row>
    <row r="120" spans="1:1" x14ac:dyDescent="0.35">
      <c r="A120" s="980"/>
    </row>
    <row r="121" spans="1:1" x14ac:dyDescent="0.35">
      <c r="A121" s="980"/>
    </row>
    <row r="122" spans="1:1" x14ac:dyDescent="0.35">
      <c r="A122" s="980"/>
    </row>
    <row r="123" spans="1:1" x14ac:dyDescent="0.35">
      <c r="A123" s="980"/>
    </row>
    <row r="124" spans="1:1" x14ac:dyDescent="0.35">
      <c r="A124" s="980"/>
    </row>
    <row r="125" spans="1:1" x14ac:dyDescent="0.35">
      <c r="A125" s="980"/>
    </row>
    <row r="126" spans="1:1" x14ac:dyDescent="0.35">
      <c r="A126" s="980"/>
    </row>
    <row r="127" spans="1:1" x14ac:dyDescent="0.35">
      <c r="A127" s="980"/>
    </row>
    <row r="128" spans="1:1" x14ac:dyDescent="0.35">
      <c r="A128" s="980"/>
    </row>
    <row r="129" spans="1:1" x14ac:dyDescent="0.35">
      <c r="A129" s="980"/>
    </row>
    <row r="130" spans="1:1" x14ac:dyDescent="0.35">
      <c r="A130" s="980"/>
    </row>
    <row r="131" spans="1:1" x14ac:dyDescent="0.35">
      <c r="A131" s="980"/>
    </row>
    <row r="132" spans="1:1" x14ac:dyDescent="0.35">
      <c r="A132" s="980"/>
    </row>
    <row r="133" spans="1:1" x14ac:dyDescent="0.35">
      <c r="A133" s="980"/>
    </row>
    <row r="134" spans="1:1" x14ac:dyDescent="0.35">
      <c r="A134" s="980"/>
    </row>
    <row r="135" spans="1:1" x14ac:dyDescent="0.35">
      <c r="A135" s="980"/>
    </row>
    <row r="136" spans="1:1" x14ac:dyDescent="0.35">
      <c r="A136" s="980"/>
    </row>
    <row r="137" spans="1:1" x14ac:dyDescent="0.35">
      <c r="A137" s="980"/>
    </row>
    <row r="138" spans="1:1" x14ac:dyDescent="0.35">
      <c r="A138" s="980"/>
    </row>
    <row r="139" spans="1:1" x14ac:dyDescent="0.35">
      <c r="A139" s="980"/>
    </row>
    <row r="140" spans="1:1" x14ac:dyDescent="0.35">
      <c r="A140" s="980"/>
    </row>
    <row r="141" spans="1:1" x14ac:dyDescent="0.35">
      <c r="A141" s="980"/>
    </row>
    <row r="142" spans="1:1" x14ac:dyDescent="0.35">
      <c r="A142" s="980"/>
    </row>
    <row r="143" spans="1:1" x14ac:dyDescent="0.35">
      <c r="A143" s="980"/>
    </row>
    <row r="144" spans="1:1" x14ac:dyDescent="0.35">
      <c r="A144" s="980"/>
    </row>
    <row r="145" spans="1:1" x14ac:dyDescent="0.35">
      <c r="A145" s="980"/>
    </row>
    <row r="146" spans="1:1" x14ac:dyDescent="0.35">
      <c r="A146" s="980"/>
    </row>
    <row r="147" spans="1:1" x14ac:dyDescent="0.35">
      <c r="A147" s="980"/>
    </row>
    <row r="148" spans="1:1" x14ac:dyDescent="0.35">
      <c r="A148" s="980"/>
    </row>
    <row r="149" spans="1:1" x14ac:dyDescent="0.35">
      <c r="A149" s="980"/>
    </row>
    <row r="150" spans="1:1" x14ac:dyDescent="0.35">
      <c r="A150" s="980"/>
    </row>
    <row r="151" spans="1:1" x14ac:dyDescent="0.35">
      <c r="A151" s="980"/>
    </row>
    <row r="152" spans="1:1" x14ac:dyDescent="0.35">
      <c r="A152" s="980"/>
    </row>
    <row r="153" spans="1:1" x14ac:dyDescent="0.35">
      <c r="A153" s="980"/>
    </row>
    <row r="154" spans="1:1" x14ac:dyDescent="0.35">
      <c r="A154" s="980"/>
    </row>
    <row r="155" spans="1:1" x14ac:dyDescent="0.35">
      <c r="A155" s="980"/>
    </row>
    <row r="156" spans="1:1" x14ac:dyDescent="0.35">
      <c r="A156" s="980"/>
    </row>
    <row r="157" spans="1:1" x14ac:dyDescent="0.35">
      <c r="A157" s="980"/>
    </row>
    <row r="158" spans="1:1" x14ac:dyDescent="0.35">
      <c r="A158" s="980"/>
    </row>
    <row r="159" spans="1:1" x14ac:dyDescent="0.35">
      <c r="A159" s="980"/>
    </row>
    <row r="160" spans="1:1" x14ac:dyDescent="0.35">
      <c r="A160" s="980"/>
    </row>
    <row r="161" spans="1:1" x14ac:dyDescent="0.35">
      <c r="A161" s="980"/>
    </row>
    <row r="162" spans="1:1" x14ac:dyDescent="0.35">
      <c r="A162" s="980"/>
    </row>
    <row r="163" spans="1:1" x14ac:dyDescent="0.35">
      <c r="A163" s="980"/>
    </row>
    <row r="164" spans="1:1" x14ac:dyDescent="0.35">
      <c r="A164" s="980"/>
    </row>
    <row r="165" spans="1:1" x14ac:dyDescent="0.35">
      <c r="A165" s="980"/>
    </row>
    <row r="166" spans="1:1" x14ac:dyDescent="0.35">
      <c r="A166" s="980"/>
    </row>
    <row r="167" spans="1:1" x14ac:dyDescent="0.35">
      <c r="A167" s="980"/>
    </row>
    <row r="168" spans="1:1" x14ac:dyDescent="0.35">
      <c r="A168" s="980"/>
    </row>
    <row r="169" spans="1:1" x14ac:dyDescent="0.35">
      <c r="A169" s="980"/>
    </row>
    <row r="170" spans="1:1" x14ac:dyDescent="0.35">
      <c r="A170" s="980"/>
    </row>
    <row r="171" spans="1:1" x14ac:dyDescent="0.35">
      <c r="A171" s="980"/>
    </row>
    <row r="172" spans="1:1" x14ac:dyDescent="0.35">
      <c r="A172" s="980"/>
    </row>
    <row r="173" spans="1:1" x14ac:dyDescent="0.35">
      <c r="A173" s="980"/>
    </row>
    <row r="174" spans="1:1" x14ac:dyDescent="0.35">
      <c r="A174" s="980"/>
    </row>
    <row r="175" spans="1:1" x14ac:dyDescent="0.35">
      <c r="A175" s="980"/>
    </row>
    <row r="176" spans="1:1" x14ac:dyDescent="0.35">
      <c r="A176" s="980"/>
    </row>
    <row r="177" spans="1:1" x14ac:dyDescent="0.35">
      <c r="A177" s="980"/>
    </row>
    <row r="178" spans="1:1" x14ac:dyDescent="0.35">
      <c r="A178" s="980"/>
    </row>
    <row r="179" spans="1:1" x14ac:dyDescent="0.35">
      <c r="A179" s="980"/>
    </row>
    <row r="180" spans="1:1" x14ac:dyDescent="0.35">
      <c r="A180" s="980"/>
    </row>
    <row r="181" spans="1:1" x14ac:dyDescent="0.35">
      <c r="A181" s="980"/>
    </row>
    <row r="182" spans="1:1" x14ac:dyDescent="0.35">
      <c r="A182" s="980"/>
    </row>
    <row r="183" spans="1:1" x14ac:dyDescent="0.35">
      <c r="A183" s="980"/>
    </row>
    <row r="184" spans="1:1" x14ac:dyDescent="0.35">
      <c r="A184" s="980"/>
    </row>
    <row r="185" spans="1:1" x14ac:dyDescent="0.35">
      <c r="A185" s="980"/>
    </row>
    <row r="186" spans="1:1" x14ac:dyDescent="0.35">
      <c r="A186" s="980"/>
    </row>
    <row r="187" spans="1:1" x14ac:dyDescent="0.35">
      <c r="A187" s="980"/>
    </row>
    <row r="188" spans="1:1" x14ac:dyDescent="0.35">
      <c r="A188" s="980"/>
    </row>
    <row r="189" spans="1:1" x14ac:dyDescent="0.35">
      <c r="A189" s="980"/>
    </row>
    <row r="190" spans="1:1" x14ac:dyDescent="0.35">
      <c r="A190" s="980"/>
    </row>
    <row r="191" spans="1:1" x14ac:dyDescent="0.35">
      <c r="A191" s="980"/>
    </row>
    <row r="192" spans="1:1" x14ac:dyDescent="0.35">
      <c r="A192" s="980"/>
    </row>
    <row r="193" spans="1:1" x14ac:dyDescent="0.35">
      <c r="A193" s="980"/>
    </row>
    <row r="194" spans="1:1" x14ac:dyDescent="0.35">
      <c r="A194" s="980"/>
    </row>
    <row r="195" spans="1:1" x14ac:dyDescent="0.35">
      <c r="A195" s="980"/>
    </row>
    <row r="196" spans="1:1" x14ac:dyDescent="0.35">
      <c r="A196" s="980"/>
    </row>
    <row r="197" spans="1:1" x14ac:dyDescent="0.35">
      <c r="A197" s="980"/>
    </row>
    <row r="198" spans="1:1" x14ac:dyDescent="0.35">
      <c r="A198" s="980"/>
    </row>
    <row r="199" spans="1:1" x14ac:dyDescent="0.35">
      <c r="A199" s="980"/>
    </row>
    <row r="200" spans="1:1" x14ac:dyDescent="0.35">
      <c r="A200" s="980"/>
    </row>
    <row r="201" spans="1:1" x14ac:dyDescent="0.35">
      <c r="A201" s="980"/>
    </row>
    <row r="202" spans="1:1" x14ac:dyDescent="0.35">
      <c r="A202" s="980"/>
    </row>
    <row r="203" spans="1:1" x14ac:dyDescent="0.35">
      <c r="A203" s="980"/>
    </row>
    <row r="204" spans="1:1" x14ac:dyDescent="0.35">
      <c r="A204" s="980"/>
    </row>
    <row r="205" spans="1:1" x14ac:dyDescent="0.35">
      <c r="A205" s="980"/>
    </row>
    <row r="206" spans="1:1" x14ac:dyDescent="0.35">
      <c r="A206" s="980"/>
    </row>
    <row r="207" spans="1:1" x14ac:dyDescent="0.35">
      <c r="A207" s="980"/>
    </row>
    <row r="208" spans="1:1" x14ac:dyDescent="0.35">
      <c r="A208" s="980"/>
    </row>
    <row r="209" spans="1:1" x14ac:dyDescent="0.35">
      <c r="A209" s="980"/>
    </row>
    <row r="210" spans="1:1" x14ac:dyDescent="0.35">
      <c r="A210" s="980"/>
    </row>
    <row r="211" spans="1:1" x14ac:dyDescent="0.35">
      <c r="A211" s="980"/>
    </row>
    <row r="212" spans="1:1" x14ac:dyDescent="0.35">
      <c r="A212" s="980"/>
    </row>
    <row r="213" spans="1:1" x14ac:dyDescent="0.35">
      <c r="A213" s="980"/>
    </row>
    <row r="214" spans="1:1" x14ac:dyDescent="0.35">
      <c r="A214" s="980"/>
    </row>
    <row r="215" spans="1:1" x14ac:dyDescent="0.35">
      <c r="A215" s="980"/>
    </row>
    <row r="216" spans="1:1" x14ac:dyDescent="0.35">
      <c r="A216" s="980"/>
    </row>
    <row r="217" spans="1:1" x14ac:dyDescent="0.35">
      <c r="A217" s="980"/>
    </row>
    <row r="218" spans="1:1" x14ac:dyDescent="0.35">
      <c r="A218" s="980"/>
    </row>
    <row r="219" spans="1:1" x14ac:dyDescent="0.35">
      <c r="A219" s="980"/>
    </row>
    <row r="220" spans="1:1" x14ac:dyDescent="0.35">
      <c r="A220" s="980"/>
    </row>
    <row r="221" spans="1:1" x14ac:dyDescent="0.35">
      <c r="A221" s="980"/>
    </row>
    <row r="222" spans="1:1" x14ac:dyDescent="0.35">
      <c r="A222" s="980"/>
    </row>
    <row r="223" spans="1:1" x14ac:dyDescent="0.35">
      <c r="A223" s="980"/>
    </row>
    <row r="224" spans="1:1" x14ac:dyDescent="0.35">
      <c r="A224" s="980"/>
    </row>
    <row r="225" spans="1:1" x14ac:dyDescent="0.35">
      <c r="A225" s="980"/>
    </row>
    <row r="226" spans="1:1" x14ac:dyDescent="0.35">
      <c r="A226" s="980"/>
    </row>
    <row r="227" spans="1:1" x14ac:dyDescent="0.35">
      <c r="A227" s="980"/>
    </row>
    <row r="228" spans="1:1" x14ac:dyDescent="0.35">
      <c r="A228" s="980"/>
    </row>
    <row r="229" spans="1:1" x14ac:dyDescent="0.35">
      <c r="A229" s="980"/>
    </row>
    <row r="230" spans="1:1" x14ac:dyDescent="0.35">
      <c r="A230" s="980"/>
    </row>
    <row r="231" spans="1:1" x14ac:dyDescent="0.35">
      <c r="A231" s="980"/>
    </row>
    <row r="232" spans="1:1" x14ac:dyDescent="0.35">
      <c r="A232" s="980"/>
    </row>
    <row r="233" spans="1:1" x14ac:dyDescent="0.35">
      <c r="A233" s="980"/>
    </row>
    <row r="234" spans="1:1" x14ac:dyDescent="0.35">
      <c r="A234" s="980"/>
    </row>
    <row r="235" spans="1:1" x14ac:dyDescent="0.35">
      <c r="A235" s="980"/>
    </row>
    <row r="236" spans="1:1" x14ac:dyDescent="0.35">
      <c r="A236" s="980"/>
    </row>
    <row r="237" spans="1:1" x14ac:dyDescent="0.35">
      <c r="A237" s="980"/>
    </row>
    <row r="238" spans="1:1" x14ac:dyDescent="0.35">
      <c r="A238" s="980"/>
    </row>
    <row r="239" spans="1:1" x14ac:dyDescent="0.35">
      <c r="A239" s="980"/>
    </row>
    <row r="240" spans="1:1" x14ac:dyDescent="0.35">
      <c r="A240" s="980"/>
    </row>
    <row r="241" spans="1:1" x14ac:dyDescent="0.35">
      <c r="A241" s="980"/>
    </row>
    <row r="242" spans="1:1" x14ac:dyDescent="0.35">
      <c r="A242" s="980"/>
    </row>
    <row r="243" spans="1:1" x14ac:dyDescent="0.35">
      <c r="A243" s="980"/>
    </row>
    <row r="244" spans="1:1" x14ac:dyDescent="0.35">
      <c r="A244" s="980"/>
    </row>
    <row r="245" spans="1:1" x14ac:dyDescent="0.35">
      <c r="A245" s="980"/>
    </row>
    <row r="246" spans="1:1" x14ac:dyDescent="0.35">
      <c r="A246" s="980"/>
    </row>
    <row r="247" spans="1:1" x14ac:dyDescent="0.35">
      <c r="A247" s="980"/>
    </row>
    <row r="248" spans="1:1" x14ac:dyDescent="0.35">
      <c r="A248" s="980"/>
    </row>
    <row r="249" spans="1:1" x14ac:dyDescent="0.35">
      <c r="A249" s="980"/>
    </row>
    <row r="250" spans="1:1" x14ac:dyDescent="0.35">
      <c r="A250" s="980"/>
    </row>
    <row r="251" spans="1:1" x14ac:dyDescent="0.35">
      <c r="A251" s="980"/>
    </row>
    <row r="252" spans="1:1" x14ac:dyDescent="0.35">
      <c r="A252" s="980"/>
    </row>
    <row r="253" spans="1:1" x14ac:dyDescent="0.35">
      <c r="A253" s="980"/>
    </row>
    <row r="254" spans="1:1" x14ac:dyDescent="0.35">
      <c r="A254" s="980"/>
    </row>
    <row r="255" spans="1:1" x14ac:dyDescent="0.35">
      <c r="A255" s="980"/>
    </row>
    <row r="256" spans="1:1" x14ac:dyDescent="0.35">
      <c r="A256" s="980"/>
    </row>
    <row r="257" spans="1:1" x14ac:dyDescent="0.35">
      <c r="A257" s="980"/>
    </row>
    <row r="258" spans="1:1" x14ac:dyDescent="0.35">
      <c r="A258" s="980"/>
    </row>
    <row r="259" spans="1:1" x14ac:dyDescent="0.35">
      <c r="A259" s="980"/>
    </row>
    <row r="260" spans="1:1" x14ac:dyDescent="0.35">
      <c r="A260" s="980"/>
    </row>
    <row r="261" spans="1:1" x14ac:dyDescent="0.35">
      <c r="A261" s="980"/>
    </row>
    <row r="262" spans="1:1" x14ac:dyDescent="0.35">
      <c r="A262" s="980"/>
    </row>
    <row r="263" spans="1:1" x14ac:dyDescent="0.35">
      <c r="A263" s="980"/>
    </row>
    <row r="264" spans="1:1" x14ac:dyDescent="0.35">
      <c r="A264" s="980"/>
    </row>
    <row r="265" spans="1:1" x14ac:dyDescent="0.35">
      <c r="A265" s="980"/>
    </row>
    <row r="266" spans="1:1" x14ac:dyDescent="0.35">
      <c r="A266" s="980"/>
    </row>
    <row r="267" spans="1:1" x14ac:dyDescent="0.35">
      <c r="A267" s="980"/>
    </row>
    <row r="268" spans="1:1" x14ac:dyDescent="0.35">
      <c r="A268" s="980"/>
    </row>
    <row r="269" spans="1:1" x14ac:dyDescent="0.35">
      <c r="A269" s="980"/>
    </row>
    <row r="270" spans="1:1" x14ac:dyDescent="0.35">
      <c r="A270" s="980"/>
    </row>
    <row r="271" spans="1:1" x14ac:dyDescent="0.35">
      <c r="A271" s="980"/>
    </row>
    <row r="272" spans="1:1" x14ac:dyDescent="0.35">
      <c r="A272" s="980"/>
    </row>
    <row r="273" spans="1:1" x14ac:dyDescent="0.35">
      <c r="A273" s="980"/>
    </row>
    <row r="274" spans="1:1" x14ac:dyDescent="0.35">
      <c r="A274" s="980"/>
    </row>
    <row r="275" spans="1:1" x14ac:dyDescent="0.35">
      <c r="A275" s="980"/>
    </row>
    <row r="276" spans="1:1" x14ac:dyDescent="0.35">
      <c r="A276" s="980"/>
    </row>
    <row r="277" spans="1:1" x14ac:dyDescent="0.35">
      <c r="A277" s="980"/>
    </row>
    <row r="278" spans="1:1" x14ac:dyDescent="0.35">
      <c r="A278" s="980"/>
    </row>
    <row r="279" spans="1:1" x14ac:dyDescent="0.35">
      <c r="A279" s="980"/>
    </row>
    <row r="280" spans="1:1" x14ac:dyDescent="0.35">
      <c r="A280" s="980"/>
    </row>
    <row r="281" spans="1:1" x14ac:dyDescent="0.35">
      <c r="A281" s="980"/>
    </row>
    <row r="282" spans="1:1" x14ac:dyDescent="0.35">
      <c r="A282" s="980"/>
    </row>
    <row r="283" spans="1:1" x14ac:dyDescent="0.35">
      <c r="A283" s="980"/>
    </row>
    <row r="284" spans="1:1" x14ac:dyDescent="0.35">
      <c r="A284" s="980"/>
    </row>
    <row r="285" spans="1:1" x14ac:dyDescent="0.35">
      <c r="A285" s="980"/>
    </row>
    <row r="286" spans="1:1" x14ac:dyDescent="0.35">
      <c r="A286" s="980"/>
    </row>
    <row r="287" spans="1:1" x14ac:dyDescent="0.35">
      <c r="A287" s="980"/>
    </row>
    <row r="288" spans="1:1" x14ac:dyDescent="0.35">
      <c r="A288" s="980"/>
    </row>
    <row r="289" spans="1:1" x14ac:dyDescent="0.35">
      <c r="A289" s="980"/>
    </row>
    <row r="290" spans="1:1" x14ac:dyDescent="0.35">
      <c r="A290" s="980"/>
    </row>
    <row r="291" spans="1:1" x14ac:dyDescent="0.35">
      <c r="A291" s="980"/>
    </row>
    <row r="292" spans="1:1" x14ac:dyDescent="0.35">
      <c r="A292" s="980"/>
    </row>
    <row r="293" spans="1:1" x14ac:dyDescent="0.35">
      <c r="A293" s="980"/>
    </row>
    <row r="294" spans="1:1" x14ac:dyDescent="0.35">
      <c r="A294" s="980"/>
    </row>
    <row r="295" spans="1:1" x14ac:dyDescent="0.35">
      <c r="A295" s="980"/>
    </row>
    <row r="296" spans="1:1" x14ac:dyDescent="0.35">
      <c r="A296" s="980"/>
    </row>
    <row r="297" spans="1:1" x14ac:dyDescent="0.35">
      <c r="A297" s="980"/>
    </row>
    <row r="298" spans="1:1" x14ac:dyDescent="0.35">
      <c r="A298" s="980"/>
    </row>
    <row r="299" spans="1:1" x14ac:dyDescent="0.35">
      <c r="A299" s="980"/>
    </row>
    <row r="300" spans="1:1" x14ac:dyDescent="0.35">
      <c r="A300" s="980"/>
    </row>
    <row r="301" spans="1:1" x14ac:dyDescent="0.35">
      <c r="A301" s="980"/>
    </row>
    <row r="302" spans="1:1" x14ac:dyDescent="0.35">
      <c r="A302" s="980"/>
    </row>
    <row r="303" spans="1:1" x14ac:dyDescent="0.35">
      <c r="A303" s="980"/>
    </row>
    <row r="304" spans="1:1" x14ac:dyDescent="0.35">
      <c r="A304" s="980"/>
    </row>
    <row r="305" spans="1:1" x14ac:dyDescent="0.35">
      <c r="A305" s="980"/>
    </row>
    <row r="306" spans="1:1" x14ac:dyDescent="0.35">
      <c r="A306" s="980"/>
    </row>
    <row r="307" spans="1:1" x14ac:dyDescent="0.35">
      <c r="A307" s="980"/>
    </row>
    <row r="308" spans="1:1" x14ac:dyDescent="0.35">
      <c r="A308" s="980"/>
    </row>
    <row r="309" spans="1:1" x14ac:dyDescent="0.35">
      <c r="A309" s="980"/>
    </row>
    <row r="310" spans="1:1" x14ac:dyDescent="0.35">
      <c r="A310" s="980"/>
    </row>
    <row r="311" spans="1:1" x14ac:dyDescent="0.35">
      <c r="A311" s="980"/>
    </row>
    <row r="312" spans="1:1" x14ac:dyDescent="0.35">
      <c r="A312" s="980"/>
    </row>
    <row r="313" spans="1:1" x14ac:dyDescent="0.35">
      <c r="A313" s="980"/>
    </row>
    <row r="314" spans="1:1" x14ac:dyDescent="0.35">
      <c r="A314" s="980"/>
    </row>
    <row r="315" spans="1:1" x14ac:dyDescent="0.35">
      <c r="A315" s="980"/>
    </row>
    <row r="316" spans="1:1" x14ac:dyDescent="0.35">
      <c r="A316" s="980"/>
    </row>
    <row r="317" spans="1:1" x14ac:dyDescent="0.35">
      <c r="A317" s="980"/>
    </row>
    <row r="318" spans="1:1" x14ac:dyDescent="0.35">
      <c r="A318" s="980"/>
    </row>
    <row r="319" spans="1:1" x14ac:dyDescent="0.35">
      <c r="A319" s="980"/>
    </row>
    <row r="320" spans="1:1" x14ac:dyDescent="0.35">
      <c r="A320" s="980"/>
    </row>
    <row r="321" spans="1:1" x14ac:dyDescent="0.35">
      <c r="A321" s="980"/>
    </row>
    <row r="322" spans="1:1" x14ac:dyDescent="0.35">
      <c r="A322" s="980"/>
    </row>
    <row r="323" spans="1:1" x14ac:dyDescent="0.35">
      <c r="A323" s="980"/>
    </row>
    <row r="324" spans="1:1" x14ac:dyDescent="0.35">
      <c r="A324" s="980"/>
    </row>
    <row r="325" spans="1:1" x14ac:dyDescent="0.35">
      <c r="A325" s="980"/>
    </row>
    <row r="326" spans="1:1" x14ac:dyDescent="0.35">
      <c r="A326" s="980"/>
    </row>
    <row r="327" spans="1:1" x14ac:dyDescent="0.35">
      <c r="A327" s="980"/>
    </row>
    <row r="328" spans="1:1" x14ac:dyDescent="0.35">
      <c r="A328" s="980"/>
    </row>
    <row r="329" spans="1:1" x14ac:dyDescent="0.35">
      <c r="A329" s="980"/>
    </row>
    <row r="330" spans="1:1" x14ac:dyDescent="0.35">
      <c r="A330" s="980"/>
    </row>
    <row r="331" spans="1:1" x14ac:dyDescent="0.35">
      <c r="A331" s="980"/>
    </row>
    <row r="332" spans="1:1" x14ac:dyDescent="0.35">
      <c r="A332" s="980"/>
    </row>
    <row r="333" spans="1:1" x14ac:dyDescent="0.35">
      <c r="A333" s="980"/>
    </row>
    <row r="334" spans="1:1" x14ac:dyDescent="0.35">
      <c r="A334" s="980"/>
    </row>
    <row r="335" spans="1:1" x14ac:dyDescent="0.35">
      <c r="A335" s="980"/>
    </row>
    <row r="336" spans="1:1" x14ac:dyDescent="0.35">
      <c r="A336" s="980"/>
    </row>
    <row r="337" spans="1:1" x14ac:dyDescent="0.35">
      <c r="A337" s="980"/>
    </row>
    <row r="338" spans="1:1" x14ac:dyDescent="0.35">
      <c r="A338" s="980"/>
    </row>
    <row r="339" spans="1:1" x14ac:dyDescent="0.35">
      <c r="A339" s="980"/>
    </row>
    <row r="340" spans="1:1" x14ac:dyDescent="0.35">
      <c r="A340" s="980"/>
    </row>
    <row r="341" spans="1:1" x14ac:dyDescent="0.35">
      <c r="A341" s="980"/>
    </row>
    <row r="342" spans="1:1" x14ac:dyDescent="0.35">
      <c r="A342" s="980"/>
    </row>
    <row r="343" spans="1:1" x14ac:dyDescent="0.35">
      <c r="A343" s="980"/>
    </row>
    <row r="344" spans="1:1" x14ac:dyDescent="0.35">
      <c r="A344" s="980"/>
    </row>
    <row r="345" spans="1:1" x14ac:dyDescent="0.35">
      <c r="A345" s="980"/>
    </row>
    <row r="346" spans="1:1" x14ac:dyDescent="0.35">
      <c r="A346" s="980"/>
    </row>
    <row r="347" spans="1:1" x14ac:dyDescent="0.35">
      <c r="A347" s="980"/>
    </row>
    <row r="348" spans="1:1" x14ac:dyDescent="0.35">
      <c r="A348" s="980"/>
    </row>
    <row r="349" spans="1:1" x14ac:dyDescent="0.35">
      <c r="A349" s="980"/>
    </row>
    <row r="350" spans="1:1" x14ac:dyDescent="0.35">
      <c r="A350" s="980"/>
    </row>
    <row r="351" spans="1:1" x14ac:dyDescent="0.35">
      <c r="A351" s="980"/>
    </row>
    <row r="352" spans="1:1" x14ac:dyDescent="0.35">
      <c r="A352" s="980"/>
    </row>
    <row r="353" spans="1:1" x14ac:dyDescent="0.35">
      <c r="A353" s="980"/>
    </row>
    <row r="354" spans="1:1" x14ac:dyDescent="0.35">
      <c r="A354" s="980"/>
    </row>
    <row r="355" spans="1:1" x14ac:dyDescent="0.35">
      <c r="A355" s="980"/>
    </row>
    <row r="356" spans="1:1" x14ac:dyDescent="0.35">
      <c r="A356" s="980"/>
    </row>
    <row r="357" spans="1:1" x14ac:dyDescent="0.35">
      <c r="A357" s="980"/>
    </row>
    <row r="358" spans="1:1" x14ac:dyDescent="0.35">
      <c r="A358" s="980"/>
    </row>
    <row r="359" spans="1:1" x14ac:dyDescent="0.35">
      <c r="A359" s="980"/>
    </row>
    <row r="360" spans="1:1" x14ac:dyDescent="0.35">
      <c r="A360" s="980"/>
    </row>
    <row r="361" spans="1:1" x14ac:dyDescent="0.35">
      <c r="A361" s="980"/>
    </row>
    <row r="362" spans="1:1" x14ac:dyDescent="0.35">
      <c r="A362" s="980"/>
    </row>
    <row r="363" spans="1:1" x14ac:dyDescent="0.35">
      <c r="A363" s="980"/>
    </row>
    <row r="364" spans="1:1" x14ac:dyDescent="0.35">
      <c r="A364" s="980"/>
    </row>
    <row r="365" spans="1:1" x14ac:dyDescent="0.35">
      <c r="A365" s="980"/>
    </row>
    <row r="366" spans="1:1" x14ac:dyDescent="0.35">
      <c r="A366" s="980"/>
    </row>
    <row r="367" spans="1:1" x14ac:dyDescent="0.35">
      <c r="A367" s="980"/>
    </row>
    <row r="368" spans="1:1" x14ac:dyDescent="0.35">
      <c r="A368" s="980"/>
    </row>
    <row r="369" spans="1:1" x14ac:dyDescent="0.35">
      <c r="A369" s="980"/>
    </row>
    <row r="370" spans="1:1" x14ac:dyDescent="0.35">
      <c r="A370" s="980"/>
    </row>
    <row r="371" spans="1:1" x14ac:dyDescent="0.35">
      <c r="A371" s="980"/>
    </row>
    <row r="372" spans="1:1" x14ac:dyDescent="0.35">
      <c r="A372" s="980"/>
    </row>
    <row r="373" spans="1:1" x14ac:dyDescent="0.35">
      <c r="A373" s="980"/>
    </row>
    <row r="374" spans="1:1" x14ac:dyDescent="0.35">
      <c r="A374" s="980"/>
    </row>
    <row r="375" spans="1:1" x14ac:dyDescent="0.35">
      <c r="A375" s="980"/>
    </row>
    <row r="376" spans="1:1" x14ac:dyDescent="0.35">
      <c r="A376" s="980"/>
    </row>
    <row r="377" spans="1:1" x14ac:dyDescent="0.35">
      <c r="A377" s="980"/>
    </row>
    <row r="378" spans="1:1" x14ac:dyDescent="0.35">
      <c r="A378" s="980"/>
    </row>
    <row r="379" spans="1:1" x14ac:dyDescent="0.35">
      <c r="A379" s="980"/>
    </row>
    <row r="380" spans="1:1" x14ac:dyDescent="0.35">
      <c r="A380" s="980"/>
    </row>
    <row r="381" spans="1:1" x14ac:dyDescent="0.35">
      <c r="A381" s="980"/>
    </row>
    <row r="382" spans="1:1" x14ac:dyDescent="0.35">
      <c r="A382" s="980"/>
    </row>
    <row r="383" spans="1:1" x14ac:dyDescent="0.35">
      <c r="A383" s="980"/>
    </row>
    <row r="384" spans="1:1" x14ac:dyDescent="0.35">
      <c r="A384" s="980"/>
    </row>
    <row r="385" spans="1:1" x14ac:dyDescent="0.35">
      <c r="A385" s="980"/>
    </row>
    <row r="386" spans="1:1" x14ac:dyDescent="0.35">
      <c r="A386" s="980"/>
    </row>
    <row r="387" spans="1:1" x14ac:dyDescent="0.35">
      <c r="A387" s="980"/>
    </row>
    <row r="388" spans="1:1" x14ac:dyDescent="0.35">
      <c r="A388" s="980"/>
    </row>
    <row r="389" spans="1:1" x14ac:dyDescent="0.35">
      <c r="A389" s="980"/>
    </row>
    <row r="390" spans="1:1" x14ac:dyDescent="0.35">
      <c r="A390" s="980"/>
    </row>
    <row r="391" spans="1:1" x14ac:dyDescent="0.35">
      <c r="A391" s="980"/>
    </row>
    <row r="392" spans="1:1" x14ac:dyDescent="0.35">
      <c r="A392" s="980"/>
    </row>
    <row r="393" spans="1:1" x14ac:dyDescent="0.35">
      <c r="A393" s="980"/>
    </row>
    <row r="394" spans="1:1" x14ac:dyDescent="0.35">
      <c r="A394" s="980"/>
    </row>
    <row r="395" spans="1:1" x14ac:dyDescent="0.35">
      <c r="A395" s="980"/>
    </row>
    <row r="396" spans="1:1" x14ac:dyDescent="0.35">
      <c r="A396" s="980"/>
    </row>
    <row r="397" spans="1:1" x14ac:dyDescent="0.35">
      <c r="A397" s="980"/>
    </row>
    <row r="398" spans="1:1" x14ac:dyDescent="0.35">
      <c r="A398" s="980"/>
    </row>
    <row r="399" spans="1:1" x14ac:dyDescent="0.35">
      <c r="A399" s="980"/>
    </row>
    <row r="400" spans="1:1" x14ac:dyDescent="0.35">
      <c r="A400" s="980"/>
    </row>
    <row r="401" spans="1:1" x14ac:dyDescent="0.35">
      <c r="A401" s="980"/>
    </row>
    <row r="402" spans="1:1" x14ac:dyDescent="0.35">
      <c r="A402" s="980"/>
    </row>
    <row r="403" spans="1:1" x14ac:dyDescent="0.35">
      <c r="A403" s="980"/>
    </row>
    <row r="404" spans="1:1" x14ac:dyDescent="0.35">
      <c r="A404" s="980"/>
    </row>
    <row r="405" spans="1:1" x14ac:dyDescent="0.35">
      <c r="A405" s="980"/>
    </row>
    <row r="406" spans="1:1" x14ac:dyDescent="0.35">
      <c r="A406" s="980"/>
    </row>
    <row r="407" spans="1:1" x14ac:dyDescent="0.35">
      <c r="A407" s="980"/>
    </row>
    <row r="408" spans="1:1" x14ac:dyDescent="0.35">
      <c r="A408" s="980"/>
    </row>
    <row r="409" spans="1:1" x14ac:dyDescent="0.35">
      <c r="A409" s="980"/>
    </row>
    <row r="410" spans="1:1" x14ac:dyDescent="0.35">
      <c r="A410" s="980"/>
    </row>
    <row r="411" spans="1:1" x14ac:dyDescent="0.35">
      <c r="A411" s="980"/>
    </row>
    <row r="412" spans="1:1" x14ac:dyDescent="0.35">
      <c r="A412" s="980"/>
    </row>
    <row r="413" spans="1:1" x14ac:dyDescent="0.35">
      <c r="A413" s="980"/>
    </row>
    <row r="414" spans="1:1" x14ac:dyDescent="0.35">
      <c r="A414" s="980"/>
    </row>
    <row r="415" spans="1:1" x14ac:dyDescent="0.35">
      <c r="A415" s="980"/>
    </row>
    <row r="416" spans="1:1" x14ac:dyDescent="0.35">
      <c r="A416" s="980"/>
    </row>
    <row r="417" spans="1:1" x14ac:dyDescent="0.35">
      <c r="A417" s="980"/>
    </row>
    <row r="418" spans="1:1" x14ac:dyDescent="0.35">
      <c r="A418" s="980"/>
    </row>
    <row r="419" spans="1:1" x14ac:dyDescent="0.35">
      <c r="A419" s="980"/>
    </row>
    <row r="420" spans="1:1" x14ac:dyDescent="0.35">
      <c r="A420" s="980"/>
    </row>
    <row r="421" spans="1:1" x14ac:dyDescent="0.35">
      <c r="A421" s="980"/>
    </row>
    <row r="422" spans="1:1" x14ac:dyDescent="0.35">
      <c r="A422" s="980"/>
    </row>
    <row r="423" spans="1:1" x14ac:dyDescent="0.35">
      <c r="A423" s="980"/>
    </row>
    <row r="424" spans="1:1" x14ac:dyDescent="0.35">
      <c r="A424" s="980"/>
    </row>
    <row r="425" spans="1:1" x14ac:dyDescent="0.35">
      <c r="A425" s="980"/>
    </row>
    <row r="426" spans="1:1" x14ac:dyDescent="0.35">
      <c r="A426" s="980"/>
    </row>
    <row r="427" spans="1:1" x14ac:dyDescent="0.35">
      <c r="A427" s="980"/>
    </row>
    <row r="428" spans="1:1" x14ac:dyDescent="0.35">
      <c r="A428" s="980"/>
    </row>
    <row r="429" spans="1:1" x14ac:dyDescent="0.35">
      <c r="A429" s="980"/>
    </row>
    <row r="430" spans="1:1" x14ac:dyDescent="0.35">
      <c r="A430" s="980"/>
    </row>
    <row r="431" spans="1:1" x14ac:dyDescent="0.35">
      <c r="A431" s="980"/>
    </row>
    <row r="432" spans="1:1" x14ac:dyDescent="0.35">
      <c r="A432" s="980"/>
    </row>
    <row r="433" spans="1:1" x14ac:dyDescent="0.35">
      <c r="A433" s="980"/>
    </row>
    <row r="434" spans="1:1" x14ac:dyDescent="0.35">
      <c r="A434" s="980"/>
    </row>
    <row r="435" spans="1:1" x14ac:dyDescent="0.35">
      <c r="A435" s="980"/>
    </row>
    <row r="436" spans="1:1" x14ac:dyDescent="0.35">
      <c r="A436" s="980"/>
    </row>
    <row r="437" spans="1:1" x14ac:dyDescent="0.35">
      <c r="A437" s="980"/>
    </row>
    <row r="438" spans="1:1" x14ac:dyDescent="0.35">
      <c r="A438" s="980"/>
    </row>
    <row r="439" spans="1:1" x14ac:dyDescent="0.35">
      <c r="A439" s="980"/>
    </row>
    <row r="440" spans="1:1" x14ac:dyDescent="0.35">
      <c r="A440" s="980"/>
    </row>
    <row r="441" spans="1:1" x14ac:dyDescent="0.35">
      <c r="A441" s="980"/>
    </row>
    <row r="442" spans="1:1" x14ac:dyDescent="0.35">
      <c r="A442" s="980"/>
    </row>
    <row r="443" spans="1:1" x14ac:dyDescent="0.35">
      <c r="A443" s="980"/>
    </row>
    <row r="444" spans="1:1" x14ac:dyDescent="0.35">
      <c r="A444" s="980"/>
    </row>
    <row r="445" spans="1:1" x14ac:dyDescent="0.35">
      <c r="A445" s="980"/>
    </row>
    <row r="446" spans="1:1" x14ac:dyDescent="0.35">
      <c r="A446" s="980"/>
    </row>
    <row r="447" spans="1:1" x14ac:dyDescent="0.35">
      <c r="A447" s="980"/>
    </row>
    <row r="448" spans="1:1" x14ac:dyDescent="0.35">
      <c r="A448" s="980"/>
    </row>
    <row r="449" spans="1:1" x14ac:dyDescent="0.35">
      <c r="A449" s="980"/>
    </row>
    <row r="450" spans="1:1" x14ac:dyDescent="0.35">
      <c r="A450" s="980"/>
    </row>
    <row r="451" spans="1:1" x14ac:dyDescent="0.35">
      <c r="A451" s="980"/>
    </row>
    <row r="452" spans="1:1" x14ac:dyDescent="0.35">
      <c r="A452" s="980"/>
    </row>
    <row r="453" spans="1:1" x14ac:dyDescent="0.35">
      <c r="A453" s="980"/>
    </row>
    <row r="454" spans="1:1" x14ac:dyDescent="0.35">
      <c r="A454" s="980"/>
    </row>
    <row r="455" spans="1:1" x14ac:dyDescent="0.35">
      <c r="A455" s="980"/>
    </row>
    <row r="456" spans="1:1" x14ac:dyDescent="0.35">
      <c r="A456" s="980"/>
    </row>
    <row r="457" spans="1:1" x14ac:dyDescent="0.35">
      <c r="A457" s="980"/>
    </row>
    <row r="458" spans="1:1" x14ac:dyDescent="0.35">
      <c r="A458" s="980"/>
    </row>
    <row r="459" spans="1:1" x14ac:dyDescent="0.35">
      <c r="A459" s="980"/>
    </row>
    <row r="460" spans="1:1" x14ac:dyDescent="0.35">
      <c r="A460" s="980"/>
    </row>
    <row r="461" spans="1:1" x14ac:dyDescent="0.35">
      <c r="A461" s="980"/>
    </row>
    <row r="462" spans="1:1" x14ac:dyDescent="0.35">
      <c r="A462" s="980"/>
    </row>
    <row r="463" spans="1:1" x14ac:dyDescent="0.35">
      <c r="A463" s="980"/>
    </row>
    <row r="464" spans="1:1" x14ac:dyDescent="0.35">
      <c r="A464" s="980"/>
    </row>
    <row r="465" spans="1:1" x14ac:dyDescent="0.35">
      <c r="A465" s="980"/>
    </row>
    <row r="466" spans="1:1" x14ac:dyDescent="0.35">
      <c r="A466" s="980"/>
    </row>
    <row r="467" spans="1:1" x14ac:dyDescent="0.35">
      <c r="A467" s="980"/>
    </row>
    <row r="468" spans="1:1" x14ac:dyDescent="0.35">
      <c r="A468" s="980"/>
    </row>
    <row r="469" spans="1:1" x14ac:dyDescent="0.35">
      <c r="A469" s="980"/>
    </row>
    <row r="470" spans="1:1" x14ac:dyDescent="0.35">
      <c r="A470" s="980"/>
    </row>
    <row r="471" spans="1:1" x14ac:dyDescent="0.35">
      <c r="A471" s="980"/>
    </row>
    <row r="472" spans="1:1" x14ac:dyDescent="0.35">
      <c r="A472" s="980"/>
    </row>
    <row r="473" spans="1:1" x14ac:dyDescent="0.35">
      <c r="A473" s="980"/>
    </row>
    <row r="474" spans="1:1" x14ac:dyDescent="0.35">
      <c r="A474" s="980"/>
    </row>
    <row r="475" spans="1:1" x14ac:dyDescent="0.35">
      <c r="A475" s="980"/>
    </row>
    <row r="476" spans="1:1" x14ac:dyDescent="0.35">
      <c r="A476" s="980"/>
    </row>
    <row r="477" spans="1:1" x14ac:dyDescent="0.35">
      <c r="A477" s="980"/>
    </row>
    <row r="478" spans="1:1" x14ac:dyDescent="0.35">
      <c r="A478" s="980"/>
    </row>
    <row r="479" spans="1:1" x14ac:dyDescent="0.35">
      <c r="A479" s="980"/>
    </row>
    <row r="480" spans="1:1" x14ac:dyDescent="0.35">
      <c r="A480" s="980"/>
    </row>
    <row r="481" spans="1:1" x14ac:dyDescent="0.35">
      <c r="A481" s="980"/>
    </row>
    <row r="482" spans="1:1" x14ac:dyDescent="0.35">
      <c r="A482" s="980"/>
    </row>
    <row r="483" spans="1:1" x14ac:dyDescent="0.35">
      <c r="A483" s="980"/>
    </row>
    <row r="484" spans="1:1" x14ac:dyDescent="0.35">
      <c r="A484" s="980"/>
    </row>
    <row r="485" spans="1:1" x14ac:dyDescent="0.35">
      <c r="A485" s="980"/>
    </row>
    <row r="486" spans="1:1" x14ac:dyDescent="0.35">
      <c r="A486" s="980"/>
    </row>
    <row r="487" spans="1:1" x14ac:dyDescent="0.35">
      <c r="A487" s="980"/>
    </row>
    <row r="488" spans="1:1" x14ac:dyDescent="0.35">
      <c r="A488" s="980"/>
    </row>
    <row r="489" spans="1:1" x14ac:dyDescent="0.35">
      <c r="A489" s="980"/>
    </row>
    <row r="490" spans="1:1" x14ac:dyDescent="0.35">
      <c r="A490" s="980"/>
    </row>
    <row r="491" spans="1:1" x14ac:dyDescent="0.35">
      <c r="A491" s="980"/>
    </row>
    <row r="492" spans="1:1" x14ac:dyDescent="0.35">
      <c r="A492" s="980"/>
    </row>
    <row r="493" spans="1:1" x14ac:dyDescent="0.35">
      <c r="A493" s="980"/>
    </row>
    <row r="494" spans="1:1" x14ac:dyDescent="0.35">
      <c r="A494" s="980"/>
    </row>
    <row r="495" spans="1:1" x14ac:dyDescent="0.35">
      <c r="A495" s="980"/>
    </row>
    <row r="496" spans="1:1" x14ac:dyDescent="0.35">
      <c r="A496" s="980"/>
    </row>
    <row r="497" spans="1:1" x14ac:dyDescent="0.35">
      <c r="A497" s="980"/>
    </row>
    <row r="498" spans="1:1" x14ac:dyDescent="0.35">
      <c r="A498" s="980"/>
    </row>
    <row r="499" spans="1:1" x14ac:dyDescent="0.35">
      <c r="A499" s="980"/>
    </row>
    <row r="500" spans="1:1" x14ac:dyDescent="0.35">
      <c r="A500" s="980"/>
    </row>
    <row r="501" spans="1:1" x14ac:dyDescent="0.35">
      <c r="A501" s="980"/>
    </row>
    <row r="502" spans="1:1" x14ac:dyDescent="0.35">
      <c r="A502" s="980"/>
    </row>
    <row r="503" spans="1:1" x14ac:dyDescent="0.35">
      <c r="A503" s="980"/>
    </row>
    <row r="504" spans="1:1" x14ac:dyDescent="0.35">
      <c r="A504" s="980"/>
    </row>
    <row r="505" spans="1:1" x14ac:dyDescent="0.35">
      <c r="A505" s="980"/>
    </row>
    <row r="506" spans="1:1" x14ac:dyDescent="0.35">
      <c r="A506" s="980"/>
    </row>
    <row r="507" spans="1:1" x14ac:dyDescent="0.35">
      <c r="A507" s="980"/>
    </row>
    <row r="508" spans="1:1" x14ac:dyDescent="0.35">
      <c r="A508" s="980"/>
    </row>
    <row r="509" spans="1:1" x14ac:dyDescent="0.35">
      <c r="A509" s="980"/>
    </row>
    <row r="510" spans="1:1" x14ac:dyDescent="0.35">
      <c r="A510" s="980"/>
    </row>
    <row r="511" spans="1:1" x14ac:dyDescent="0.35">
      <c r="A511" s="980"/>
    </row>
    <row r="512" spans="1:1" x14ac:dyDescent="0.35">
      <c r="A512" s="980"/>
    </row>
    <row r="513" spans="1:1" x14ac:dyDescent="0.35">
      <c r="A513" s="980"/>
    </row>
    <row r="514" spans="1:1" x14ac:dyDescent="0.35">
      <c r="A514" s="980"/>
    </row>
    <row r="515" spans="1:1" x14ac:dyDescent="0.35">
      <c r="A515" s="980"/>
    </row>
    <row r="516" spans="1:1" x14ac:dyDescent="0.35">
      <c r="A516" s="980"/>
    </row>
    <row r="517" spans="1:1" x14ac:dyDescent="0.35">
      <c r="A517" s="980"/>
    </row>
    <row r="518" spans="1:1" x14ac:dyDescent="0.35">
      <c r="A518" s="980"/>
    </row>
    <row r="519" spans="1:1" x14ac:dyDescent="0.35">
      <c r="A519" s="980"/>
    </row>
    <row r="520" spans="1:1" x14ac:dyDescent="0.35">
      <c r="A520" s="980"/>
    </row>
    <row r="521" spans="1:1" x14ac:dyDescent="0.35">
      <c r="A521" s="980"/>
    </row>
    <row r="522" spans="1:1" x14ac:dyDescent="0.35">
      <c r="A522" s="980"/>
    </row>
    <row r="523" spans="1:1" x14ac:dyDescent="0.35">
      <c r="A523" s="980"/>
    </row>
    <row r="524" spans="1:1" x14ac:dyDescent="0.35">
      <c r="A524" s="980"/>
    </row>
    <row r="525" spans="1:1" x14ac:dyDescent="0.35">
      <c r="A525" s="980"/>
    </row>
    <row r="526" spans="1:1" x14ac:dyDescent="0.35">
      <c r="A526" s="980"/>
    </row>
    <row r="527" spans="1:1" x14ac:dyDescent="0.35">
      <c r="A527" s="980"/>
    </row>
    <row r="528" spans="1:1" x14ac:dyDescent="0.35">
      <c r="A528" s="980"/>
    </row>
    <row r="529" spans="1:1" x14ac:dyDescent="0.35">
      <c r="A529" s="980"/>
    </row>
    <row r="530" spans="1:1" x14ac:dyDescent="0.35">
      <c r="A530" s="980"/>
    </row>
    <row r="531" spans="1:1" x14ac:dyDescent="0.35">
      <c r="A531" s="980"/>
    </row>
    <row r="532" spans="1:1" x14ac:dyDescent="0.35">
      <c r="A532" s="980"/>
    </row>
    <row r="533" spans="1:1" x14ac:dyDescent="0.35">
      <c r="A533" s="980"/>
    </row>
    <row r="534" spans="1:1" x14ac:dyDescent="0.35">
      <c r="A534" s="980"/>
    </row>
    <row r="535" spans="1:1" x14ac:dyDescent="0.35">
      <c r="A535" s="980"/>
    </row>
    <row r="536" spans="1:1" x14ac:dyDescent="0.35">
      <c r="A536" s="980"/>
    </row>
    <row r="537" spans="1:1" x14ac:dyDescent="0.35">
      <c r="A537" s="980"/>
    </row>
    <row r="538" spans="1:1" x14ac:dyDescent="0.35">
      <c r="A538" s="980"/>
    </row>
    <row r="539" spans="1:1" x14ac:dyDescent="0.35">
      <c r="A539" s="980"/>
    </row>
    <row r="540" spans="1:1" x14ac:dyDescent="0.35">
      <c r="A540" s="980"/>
    </row>
    <row r="541" spans="1:1" x14ac:dyDescent="0.35">
      <c r="A541" s="980"/>
    </row>
    <row r="542" spans="1:1" x14ac:dyDescent="0.35">
      <c r="A542" s="980"/>
    </row>
    <row r="543" spans="1:1" x14ac:dyDescent="0.35">
      <c r="A543" s="980"/>
    </row>
    <row r="544" spans="1:1" x14ac:dyDescent="0.35">
      <c r="A544" s="980"/>
    </row>
    <row r="545" spans="1:1" x14ac:dyDescent="0.35">
      <c r="A545" s="980"/>
    </row>
    <row r="546" spans="1:1" x14ac:dyDescent="0.35">
      <c r="A546" s="980"/>
    </row>
    <row r="547" spans="1:1" x14ac:dyDescent="0.35">
      <c r="A547" s="980"/>
    </row>
    <row r="548" spans="1:1" x14ac:dyDescent="0.35">
      <c r="A548" s="980"/>
    </row>
    <row r="549" spans="1:1" x14ac:dyDescent="0.35">
      <c r="A549" s="980"/>
    </row>
    <row r="550" spans="1:1" x14ac:dyDescent="0.35">
      <c r="A550" s="980"/>
    </row>
    <row r="551" spans="1:1" x14ac:dyDescent="0.35">
      <c r="A551" s="980"/>
    </row>
    <row r="552" spans="1:1" x14ac:dyDescent="0.35">
      <c r="A552" s="980"/>
    </row>
    <row r="553" spans="1:1" x14ac:dyDescent="0.35">
      <c r="A553" s="980"/>
    </row>
    <row r="554" spans="1:1" x14ac:dyDescent="0.35">
      <c r="A554" s="980"/>
    </row>
    <row r="555" spans="1:1" x14ac:dyDescent="0.35">
      <c r="A555" s="980"/>
    </row>
    <row r="556" spans="1:1" x14ac:dyDescent="0.35">
      <c r="A556" s="980"/>
    </row>
    <row r="557" spans="1:1" x14ac:dyDescent="0.35">
      <c r="A557" s="980"/>
    </row>
    <row r="558" spans="1:1" x14ac:dyDescent="0.35">
      <c r="A558" s="980"/>
    </row>
    <row r="559" spans="1:1" x14ac:dyDescent="0.35">
      <c r="A559" s="980"/>
    </row>
    <row r="560" spans="1:1" x14ac:dyDescent="0.35">
      <c r="A560" s="980"/>
    </row>
    <row r="561" spans="1:1" x14ac:dyDescent="0.35">
      <c r="A561" s="980"/>
    </row>
    <row r="562" spans="1:1" x14ac:dyDescent="0.35">
      <c r="A562" s="980"/>
    </row>
    <row r="563" spans="1:1" x14ac:dyDescent="0.35">
      <c r="A563" s="980"/>
    </row>
    <row r="564" spans="1:1" x14ac:dyDescent="0.35">
      <c r="A564" s="980"/>
    </row>
    <row r="565" spans="1:1" x14ac:dyDescent="0.35">
      <c r="A565" s="980"/>
    </row>
    <row r="566" spans="1:1" x14ac:dyDescent="0.35">
      <c r="A566" s="980"/>
    </row>
    <row r="567" spans="1:1" x14ac:dyDescent="0.35">
      <c r="A567" s="980"/>
    </row>
    <row r="568" spans="1:1" x14ac:dyDescent="0.35">
      <c r="A568" s="980"/>
    </row>
    <row r="569" spans="1:1" x14ac:dyDescent="0.35">
      <c r="A569" s="980"/>
    </row>
    <row r="570" spans="1:1" x14ac:dyDescent="0.35">
      <c r="A570" s="980"/>
    </row>
    <row r="571" spans="1:1" x14ac:dyDescent="0.35">
      <c r="A571" s="980"/>
    </row>
    <row r="572" spans="1:1" x14ac:dyDescent="0.35">
      <c r="A572" s="980"/>
    </row>
    <row r="573" spans="1:1" x14ac:dyDescent="0.35">
      <c r="A573" s="980"/>
    </row>
    <row r="574" spans="1:1" x14ac:dyDescent="0.35">
      <c r="A574" s="980"/>
    </row>
    <row r="575" spans="1:1" x14ac:dyDescent="0.35">
      <c r="A575" s="980"/>
    </row>
    <row r="576" spans="1:1" x14ac:dyDescent="0.35">
      <c r="A576" s="980"/>
    </row>
    <row r="577" spans="1:1" x14ac:dyDescent="0.35">
      <c r="A577" s="980"/>
    </row>
    <row r="578" spans="1:1" x14ac:dyDescent="0.35">
      <c r="A578" s="980"/>
    </row>
    <row r="579" spans="1:1" x14ac:dyDescent="0.35">
      <c r="A579" s="980"/>
    </row>
    <row r="580" spans="1:1" x14ac:dyDescent="0.35">
      <c r="A580" s="980"/>
    </row>
    <row r="581" spans="1:1" x14ac:dyDescent="0.35">
      <c r="A581" s="980"/>
    </row>
    <row r="582" spans="1:1" x14ac:dyDescent="0.35">
      <c r="A582" s="980"/>
    </row>
    <row r="583" spans="1:1" x14ac:dyDescent="0.35">
      <c r="A583" s="980"/>
    </row>
    <row r="584" spans="1:1" x14ac:dyDescent="0.35">
      <c r="A584" s="980"/>
    </row>
    <row r="585" spans="1:1" x14ac:dyDescent="0.35">
      <c r="A585" s="980"/>
    </row>
    <row r="586" spans="1:1" x14ac:dyDescent="0.35">
      <c r="A586" s="980"/>
    </row>
    <row r="587" spans="1:1" x14ac:dyDescent="0.35">
      <c r="A587" s="980"/>
    </row>
    <row r="588" spans="1:1" x14ac:dyDescent="0.35">
      <c r="A588" s="980"/>
    </row>
    <row r="589" spans="1:1" x14ac:dyDescent="0.35">
      <c r="A589" s="980"/>
    </row>
    <row r="590" spans="1:1" x14ac:dyDescent="0.35">
      <c r="A590" s="980"/>
    </row>
    <row r="591" spans="1:1" x14ac:dyDescent="0.35">
      <c r="A591" s="980"/>
    </row>
    <row r="592" spans="1:1" x14ac:dyDescent="0.35">
      <c r="A592" s="980"/>
    </row>
    <row r="593" spans="1:1" x14ac:dyDescent="0.35">
      <c r="A593" s="980"/>
    </row>
    <row r="594" spans="1:1" x14ac:dyDescent="0.35">
      <c r="A594" s="980"/>
    </row>
    <row r="595" spans="1:1" x14ac:dyDescent="0.35">
      <c r="A595" s="980"/>
    </row>
    <row r="596" spans="1:1" x14ac:dyDescent="0.35">
      <c r="A596" s="980"/>
    </row>
    <row r="597" spans="1:1" x14ac:dyDescent="0.35">
      <c r="A597" s="980"/>
    </row>
    <row r="598" spans="1:1" x14ac:dyDescent="0.35">
      <c r="A598" s="980"/>
    </row>
    <row r="599" spans="1:1" x14ac:dyDescent="0.35">
      <c r="A599" s="980"/>
    </row>
    <row r="600" spans="1:1" x14ac:dyDescent="0.35">
      <c r="A600" s="980"/>
    </row>
    <row r="601" spans="1:1" x14ac:dyDescent="0.35">
      <c r="A601" s="980"/>
    </row>
    <row r="602" spans="1:1" x14ac:dyDescent="0.35">
      <c r="A602" s="980"/>
    </row>
    <row r="603" spans="1:1" x14ac:dyDescent="0.35">
      <c r="A603" s="980"/>
    </row>
    <row r="604" spans="1:1" x14ac:dyDescent="0.35">
      <c r="A604" s="980"/>
    </row>
    <row r="605" spans="1:1" x14ac:dyDescent="0.35">
      <c r="A605" s="980"/>
    </row>
    <row r="606" spans="1:1" x14ac:dyDescent="0.35">
      <c r="A606" s="980"/>
    </row>
    <row r="607" spans="1:1" x14ac:dyDescent="0.35">
      <c r="A607" s="980"/>
    </row>
    <row r="608" spans="1:1" x14ac:dyDescent="0.35">
      <c r="A608" s="980"/>
    </row>
    <row r="609" spans="1:1" x14ac:dyDescent="0.35">
      <c r="A609" s="980"/>
    </row>
    <row r="610" spans="1:1" x14ac:dyDescent="0.35">
      <c r="A610" s="980"/>
    </row>
    <row r="611" spans="1:1" x14ac:dyDescent="0.35">
      <c r="A611" s="980"/>
    </row>
    <row r="612" spans="1:1" x14ac:dyDescent="0.35">
      <c r="A612" s="980"/>
    </row>
    <row r="613" spans="1:1" x14ac:dyDescent="0.35">
      <c r="A613" s="980"/>
    </row>
    <row r="614" spans="1:1" x14ac:dyDescent="0.35">
      <c r="A614" s="980"/>
    </row>
    <row r="615" spans="1:1" x14ac:dyDescent="0.35">
      <c r="A615" s="980"/>
    </row>
    <row r="616" spans="1:1" x14ac:dyDescent="0.35">
      <c r="A616" s="980"/>
    </row>
    <row r="617" spans="1:1" x14ac:dyDescent="0.35">
      <c r="A617" s="980"/>
    </row>
    <row r="618" spans="1:1" x14ac:dyDescent="0.35">
      <c r="A618" s="980"/>
    </row>
    <row r="619" spans="1:1" x14ac:dyDescent="0.35">
      <c r="A619" s="980"/>
    </row>
    <row r="620" spans="1:1" x14ac:dyDescent="0.35">
      <c r="A620" s="980"/>
    </row>
    <row r="621" spans="1:1" x14ac:dyDescent="0.35">
      <c r="A621" s="980"/>
    </row>
    <row r="622" spans="1:1" x14ac:dyDescent="0.35">
      <c r="A622" s="980"/>
    </row>
    <row r="623" spans="1:1" x14ac:dyDescent="0.35">
      <c r="A623" s="980"/>
    </row>
    <row r="624" spans="1:1" x14ac:dyDescent="0.35">
      <c r="A624" s="980"/>
    </row>
    <row r="625" spans="1:1" x14ac:dyDescent="0.35">
      <c r="A625" s="980"/>
    </row>
    <row r="626" spans="1:1" x14ac:dyDescent="0.35">
      <c r="A626" s="980"/>
    </row>
    <row r="627" spans="1:1" x14ac:dyDescent="0.35">
      <c r="A627" s="980"/>
    </row>
    <row r="628" spans="1:1" x14ac:dyDescent="0.35">
      <c r="A628" s="980"/>
    </row>
    <row r="629" spans="1:1" x14ac:dyDescent="0.35">
      <c r="A629" s="980"/>
    </row>
    <row r="630" spans="1:1" x14ac:dyDescent="0.35">
      <c r="A630" s="980"/>
    </row>
    <row r="631" spans="1:1" x14ac:dyDescent="0.35">
      <c r="A631" s="980"/>
    </row>
    <row r="632" spans="1:1" x14ac:dyDescent="0.35">
      <c r="A632" s="980"/>
    </row>
    <row r="633" spans="1:1" x14ac:dyDescent="0.35">
      <c r="A633" s="980"/>
    </row>
    <row r="634" spans="1:1" x14ac:dyDescent="0.35">
      <c r="A634" s="980"/>
    </row>
    <row r="635" spans="1:1" x14ac:dyDescent="0.35">
      <c r="A635" s="980"/>
    </row>
    <row r="636" spans="1:1" x14ac:dyDescent="0.35">
      <c r="A636" s="980"/>
    </row>
    <row r="637" spans="1:1" x14ac:dyDescent="0.35">
      <c r="A637" s="980"/>
    </row>
    <row r="638" spans="1:1" x14ac:dyDescent="0.35">
      <c r="A638" s="980"/>
    </row>
    <row r="639" spans="1:1" x14ac:dyDescent="0.35">
      <c r="A639" s="980"/>
    </row>
    <row r="640" spans="1:1" x14ac:dyDescent="0.35">
      <c r="A640" s="980"/>
    </row>
    <row r="641" spans="1:1" x14ac:dyDescent="0.35">
      <c r="A641" s="980"/>
    </row>
    <row r="642" spans="1:1" x14ac:dyDescent="0.35">
      <c r="A642" s="980"/>
    </row>
    <row r="643" spans="1:1" x14ac:dyDescent="0.35">
      <c r="A643" s="980"/>
    </row>
    <row r="644" spans="1:1" x14ac:dyDescent="0.35">
      <c r="A644" s="980"/>
    </row>
    <row r="645" spans="1:1" x14ac:dyDescent="0.35">
      <c r="A645" s="980"/>
    </row>
    <row r="646" spans="1:1" x14ac:dyDescent="0.35">
      <c r="A646" s="980"/>
    </row>
    <row r="647" spans="1:1" x14ac:dyDescent="0.35">
      <c r="A647" s="980"/>
    </row>
    <row r="648" spans="1:1" x14ac:dyDescent="0.35">
      <c r="A648" s="980"/>
    </row>
    <row r="649" spans="1:1" x14ac:dyDescent="0.35">
      <c r="A649" s="980"/>
    </row>
    <row r="650" spans="1:1" x14ac:dyDescent="0.35">
      <c r="A650" s="980"/>
    </row>
    <row r="651" spans="1:1" x14ac:dyDescent="0.35">
      <c r="A651" s="980"/>
    </row>
    <row r="652" spans="1:1" x14ac:dyDescent="0.35">
      <c r="A652" s="980"/>
    </row>
    <row r="653" spans="1:1" x14ac:dyDescent="0.35">
      <c r="A653" s="980"/>
    </row>
    <row r="654" spans="1:1" x14ac:dyDescent="0.35">
      <c r="A654" s="980"/>
    </row>
    <row r="655" spans="1:1" x14ac:dyDescent="0.35">
      <c r="A655" s="980"/>
    </row>
    <row r="656" spans="1:1" x14ac:dyDescent="0.35">
      <c r="A656" s="980"/>
    </row>
    <row r="657" spans="1:1" x14ac:dyDescent="0.35">
      <c r="A657" s="980"/>
    </row>
    <row r="658" spans="1:1" x14ac:dyDescent="0.35">
      <c r="A658" s="980"/>
    </row>
    <row r="659" spans="1:1" x14ac:dyDescent="0.35">
      <c r="A659" s="980"/>
    </row>
    <row r="660" spans="1:1" x14ac:dyDescent="0.35">
      <c r="A660" s="980"/>
    </row>
    <row r="661" spans="1:1" x14ac:dyDescent="0.35">
      <c r="A661" s="980"/>
    </row>
    <row r="662" spans="1:1" x14ac:dyDescent="0.35">
      <c r="A662" s="980"/>
    </row>
    <row r="663" spans="1:1" x14ac:dyDescent="0.35">
      <c r="A663" s="980"/>
    </row>
    <row r="664" spans="1:1" x14ac:dyDescent="0.35">
      <c r="A664" s="980"/>
    </row>
    <row r="665" spans="1:1" x14ac:dyDescent="0.35">
      <c r="A665" s="980"/>
    </row>
    <row r="666" spans="1:1" x14ac:dyDescent="0.35">
      <c r="A666" s="980"/>
    </row>
    <row r="667" spans="1:1" x14ac:dyDescent="0.35">
      <c r="A667" s="980"/>
    </row>
    <row r="668" spans="1:1" x14ac:dyDescent="0.35">
      <c r="A668" s="980"/>
    </row>
    <row r="669" spans="1:1" x14ac:dyDescent="0.35">
      <c r="A669" s="980"/>
    </row>
    <row r="670" spans="1:1" x14ac:dyDescent="0.35">
      <c r="A670" s="980"/>
    </row>
    <row r="671" spans="1:1" x14ac:dyDescent="0.35">
      <c r="A671" s="980"/>
    </row>
    <row r="672" spans="1:1" x14ac:dyDescent="0.35">
      <c r="A672" s="980"/>
    </row>
    <row r="673" spans="1:1" x14ac:dyDescent="0.35">
      <c r="A673" s="980"/>
    </row>
    <row r="674" spans="1:1" x14ac:dyDescent="0.35">
      <c r="A674" s="980"/>
    </row>
    <row r="675" spans="1:1" x14ac:dyDescent="0.35">
      <c r="A675" s="980"/>
    </row>
    <row r="676" spans="1:1" x14ac:dyDescent="0.35">
      <c r="A676" s="980"/>
    </row>
    <row r="677" spans="1:1" x14ac:dyDescent="0.35">
      <c r="A677" s="980"/>
    </row>
    <row r="678" spans="1:1" x14ac:dyDescent="0.35">
      <c r="A678" s="980"/>
    </row>
    <row r="679" spans="1:1" x14ac:dyDescent="0.35">
      <c r="A679" s="980"/>
    </row>
    <row r="680" spans="1:1" x14ac:dyDescent="0.35">
      <c r="A680" s="980"/>
    </row>
    <row r="681" spans="1:1" x14ac:dyDescent="0.35">
      <c r="A681" s="980"/>
    </row>
    <row r="682" spans="1:1" x14ac:dyDescent="0.35">
      <c r="A682" s="980"/>
    </row>
    <row r="683" spans="1:1" x14ac:dyDescent="0.35">
      <c r="A683" s="980"/>
    </row>
    <row r="684" spans="1:1" x14ac:dyDescent="0.35">
      <c r="A684" s="980"/>
    </row>
    <row r="685" spans="1:1" x14ac:dyDescent="0.35">
      <c r="A685" s="980"/>
    </row>
    <row r="686" spans="1:1" x14ac:dyDescent="0.35">
      <c r="A686" s="980"/>
    </row>
    <row r="687" spans="1:1" x14ac:dyDescent="0.35">
      <c r="A687" s="980"/>
    </row>
    <row r="688" spans="1:1" x14ac:dyDescent="0.35">
      <c r="A688" s="980"/>
    </row>
    <row r="689" spans="1:1" x14ac:dyDescent="0.35">
      <c r="A689" s="980"/>
    </row>
    <row r="690" spans="1:1" x14ac:dyDescent="0.35">
      <c r="A690" s="980"/>
    </row>
    <row r="691" spans="1:1" x14ac:dyDescent="0.35">
      <c r="A691" s="980"/>
    </row>
    <row r="692" spans="1:1" x14ac:dyDescent="0.35">
      <c r="A692" s="980"/>
    </row>
    <row r="693" spans="1:1" x14ac:dyDescent="0.35">
      <c r="A693" s="980"/>
    </row>
    <row r="694" spans="1:1" x14ac:dyDescent="0.35">
      <c r="A694" s="980"/>
    </row>
    <row r="695" spans="1:1" x14ac:dyDescent="0.35">
      <c r="A695" s="980"/>
    </row>
    <row r="696" spans="1:1" x14ac:dyDescent="0.35">
      <c r="A696" s="980"/>
    </row>
    <row r="697" spans="1:1" x14ac:dyDescent="0.35">
      <c r="A697" s="980"/>
    </row>
    <row r="698" spans="1:1" x14ac:dyDescent="0.35">
      <c r="A698" s="980"/>
    </row>
    <row r="699" spans="1:1" x14ac:dyDescent="0.35">
      <c r="A699" s="980"/>
    </row>
    <row r="700" spans="1:1" x14ac:dyDescent="0.35">
      <c r="A700" s="980"/>
    </row>
    <row r="701" spans="1:1" x14ac:dyDescent="0.35">
      <c r="A701" s="980"/>
    </row>
    <row r="702" spans="1:1" x14ac:dyDescent="0.35">
      <c r="A702" s="980"/>
    </row>
    <row r="703" spans="1:1" x14ac:dyDescent="0.35">
      <c r="A703" s="980"/>
    </row>
    <row r="704" spans="1:1" x14ac:dyDescent="0.35">
      <c r="A704" s="980"/>
    </row>
    <row r="705" spans="1:1" x14ac:dyDescent="0.35">
      <c r="A705" s="980"/>
    </row>
    <row r="706" spans="1:1" x14ac:dyDescent="0.35">
      <c r="A706" s="980"/>
    </row>
    <row r="707" spans="1:1" x14ac:dyDescent="0.35">
      <c r="A707" s="980"/>
    </row>
    <row r="708" spans="1:1" x14ac:dyDescent="0.35">
      <c r="A708" s="980"/>
    </row>
    <row r="709" spans="1:1" x14ac:dyDescent="0.35">
      <c r="A709" s="980"/>
    </row>
    <row r="710" spans="1:1" x14ac:dyDescent="0.35">
      <c r="A710" s="980"/>
    </row>
    <row r="711" spans="1:1" x14ac:dyDescent="0.35">
      <c r="A711" s="980"/>
    </row>
    <row r="712" spans="1:1" x14ac:dyDescent="0.35">
      <c r="A712" s="980"/>
    </row>
    <row r="713" spans="1:1" x14ac:dyDescent="0.35">
      <c r="A713" s="980"/>
    </row>
    <row r="714" spans="1:1" x14ac:dyDescent="0.35">
      <c r="A714" s="980"/>
    </row>
    <row r="715" spans="1:1" x14ac:dyDescent="0.35">
      <c r="A715" s="980"/>
    </row>
    <row r="716" spans="1:1" x14ac:dyDescent="0.35">
      <c r="A716" s="980"/>
    </row>
    <row r="717" spans="1:1" x14ac:dyDescent="0.35">
      <c r="A717" s="980"/>
    </row>
    <row r="718" spans="1:1" x14ac:dyDescent="0.35">
      <c r="A718" s="980"/>
    </row>
    <row r="719" spans="1:1" x14ac:dyDescent="0.35">
      <c r="A719" s="980"/>
    </row>
    <row r="720" spans="1:1" x14ac:dyDescent="0.35">
      <c r="A720" s="980"/>
    </row>
    <row r="721" spans="1:1" x14ac:dyDescent="0.35">
      <c r="A721" s="980"/>
    </row>
    <row r="722" spans="1:1" x14ac:dyDescent="0.35">
      <c r="A722" s="980"/>
    </row>
    <row r="723" spans="1:1" x14ac:dyDescent="0.35">
      <c r="A723" s="980"/>
    </row>
    <row r="724" spans="1:1" x14ac:dyDescent="0.35">
      <c r="A724" s="980"/>
    </row>
    <row r="725" spans="1:1" x14ac:dyDescent="0.35">
      <c r="A725" s="980"/>
    </row>
    <row r="726" spans="1:1" x14ac:dyDescent="0.35">
      <c r="A726" s="980"/>
    </row>
    <row r="727" spans="1:1" x14ac:dyDescent="0.35">
      <c r="A727" s="980"/>
    </row>
    <row r="728" spans="1:1" x14ac:dyDescent="0.35">
      <c r="A728" s="980"/>
    </row>
    <row r="729" spans="1:1" x14ac:dyDescent="0.35">
      <c r="A729" s="980"/>
    </row>
    <row r="730" spans="1:1" x14ac:dyDescent="0.35">
      <c r="A730" s="980"/>
    </row>
    <row r="731" spans="1:1" x14ac:dyDescent="0.35">
      <c r="A731" s="980"/>
    </row>
    <row r="732" spans="1:1" x14ac:dyDescent="0.35">
      <c r="A732" s="980"/>
    </row>
    <row r="733" spans="1:1" x14ac:dyDescent="0.35">
      <c r="A733" s="980"/>
    </row>
    <row r="734" spans="1:1" x14ac:dyDescent="0.35">
      <c r="A734" s="980"/>
    </row>
    <row r="735" spans="1:1" x14ac:dyDescent="0.35">
      <c r="A735" s="980"/>
    </row>
    <row r="736" spans="1:1" x14ac:dyDescent="0.35">
      <c r="A736" s="980"/>
    </row>
    <row r="737" spans="1:1" x14ac:dyDescent="0.35">
      <c r="A737" s="980"/>
    </row>
    <row r="738" spans="1:1" x14ac:dyDescent="0.35">
      <c r="A738" s="980"/>
    </row>
    <row r="739" spans="1:1" x14ac:dyDescent="0.35">
      <c r="A739" s="980"/>
    </row>
    <row r="740" spans="1:1" x14ac:dyDescent="0.35">
      <c r="A740" s="980"/>
    </row>
    <row r="741" spans="1:1" x14ac:dyDescent="0.35">
      <c r="A741" s="980"/>
    </row>
    <row r="742" spans="1:1" x14ac:dyDescent="0.35">
      <c r="A742" s="980"/>
    </row>
    <row r="743" spans="1:1" x14ac:dyDescent="0.35">
      <c r="A743" s="980"/>
    </row>
    <row r="744" spans="1:1" x14ac:dyDescent="0.35">
      <c r="A744" s="980"/>
    </row>
    <row r="745" spans="1:1" x14ac:dyDescent="0.35">
      <c r="A745" s="980"/>
    </row>
    <row r="746" spans="1:1" x14ac:dyDescent="0.35">
      <c r="A746" s="980"/>
    </row>
    <row r="747" spans="1:1" x14ac:dyDescent="0.35">
      <c r="A747" s="980"/>
    </row>
    <row r="748" spans="1:1" x14ac:dyDescent="0.35">
      <c r="A748" s="980"/>
    </row>
    <row r="749" spans="1:1" x14ac:dyDescent="0.35">
      <c r="A749" s="980"/>
    </row>
    <row r="750" spans="1:1" x14ac:dyDescent="0.35">
      <c r="A750" s="980"/>
    </row>
    <row r="751" spans="1:1" x14ac:dyDescent="0.35">
      <c r="A751" s="980"/>
    </row>
    <row r="752" spans="1:1" x14ac:dyDescent="0.35">
      <c r="A752" s="980"/>
    </row>
    <row r="753" spans="1:1" x14ac:dyDescent="0.35">
      <c r="A753" s="980"/>
    </row>
    <row r="754" spans="1:1" x14ac:dyDescent="0.35">
      <c r="A754" s="980"/>
    </row>
    <row r="755" spans="1:1" x14ac:dyDescent="0.35">
      <c r="A755" s="980"/>
    </row>
    <row r="756" spans="1:1" x14ac:dyDescent="0.35">
      <c r="A756" s="980"/>
    </row>
    <row r="757" spans="1:1" x14ac:dyDescent="0.35">
      <c r="A757" s="980"/>
    </row>
    <row r="758" spans="1:1" x14ac:dyDescent="0.35">
      <c r="A758" s="980"/>
    </row>
    <row r="759" spans="1:1" x14ac:dyDescent="0.35">
      <c r="A759" s="980"/>
    </row>
    <row r="760" spans="1:1" x14ac:dyDescent="0.35">
      <c r="A760" s="980"/>
    </row>
    <row r="761" spans="1:1" x14ac:dyDescent="0.35">
      <c r="A761" s="980"/>
    </row>
    <row r="762" spans="1:1" x14ac:dyDescent="0.35">
      <c r="A762" s="980"/>
    </row>
    <row r="763" spans="1:1" x14ac:dyDescent="0.35">
      <c r="A763" s="980"/>
    </row>
    <row r="764" spans="1:1" x14ac:dyDescent="0.35">
      <c r="A764" s="980"/>
    </row>
    <row r="765" spans="1:1" x14ac:dyDescent="0.35">
      <c r="A765" s="980"/>
    </row>
    <row r="766" spans="1:1" x14ac:dyDescent="0.35">
      <c r="A766" s="980"/>
    </row>
    <row r="767" spans="1:1" x14ac:dyDescent="0.35">
      <c r="A767" s="980"/>
    </row>
    <row r="768" spans="1:1" x14ac:dyDescent="0.35">
      <c r="A768" s="980"/>
    </row>
    <row r="769" spans="1:1" x14ac:dyDescent="0.35">
      <c r="A769" s="980"/>
    </row>
    <row r="770" spans="1:1" x14ac:dyDescent="0.35">
      <c r="A770" s="980"/>
    </row>
    <row r="771" spans="1:1" x14ac:dyDescent="0.35">
      <c r="A771" s="980"/>
    </row>
    <row r="772" spans="1:1" x14ac:dyDescent="0.35">
      <c r="A772" s="980"/>
    </row>
    <row r="773" spans="1:1" x14ac:dyDescent="0.35">
      <c r="A773" s="980"/>
    </row>
    <row r="774" spans="1:1" x14ac:dyDescent="0.35">
      <c r="A774" s="980"/>
    </row>
    <row r="775" spans="1:1" x14ac:dyDescent="0.35">
      <c r="A775" s="980"/>
    </row>
    <row r="776" spans="1:1" x14ac:dyDescent="0.35">
      <c r="A776" s="980"/>
    </row>
    <row r="777" spans="1:1" x14ac:dyDescent="0.35">
      <c r="A777" s="980"/>
    </row>
    <row r="778" spans="1:1" x14ac:dyDescent="0.35">
      <c r="A778" s="980"/>
    </row>
    <row r="779" spans="1:1" x14ac:dyDescent="0.35">
      <c r="A779" s="980"/>
    </row>
    <row r="780" spans="1:1" x14ac:dyDescent="0.35">
      <c r="A780" s="980"/>
    </row>
    <row r="781" spans="1:1" x14ac:dyDescent="0.35">
      <c r="A781" s="980"/>
    </row>
    <row r="782" spans="1:1" x14ac:dyDescent="0.35">
      <c r="A782" s="980"/>
    </row>
    <row r="783" spans="1:1" x14ac:dyDescent="0.35">
      <c r="A783" s="980"/>
    </row>
    <row r="784" spans="1:1" x14ac:dyDescent="0.35">
      <c r="A784" s="980"/>
    </row>
    <row r="785" spans="1:1" x14ac:dyDescent="0.35">
      <c r="A785" s="980"/>
    </row>
    <row r="786" spans="1:1" x14ac:dyDescent="0.35">
      <c r="A786" s="980"/>
    </row>
    <row r="787" spans="1:1" x14ac:dyDescent="0.35">
      <c r="A787" s="980"/>
    </row>
    <row r="788" spans="1:1" x14ac:dyDescent="0.35">
      <c r="A788" s="980"/>
    </row>
    <row r="789" spans="1:1" x14ac:dyDescent="0.35">
      <c r="A789" s="980"/>
    </row>
    <row r="790" spans="1:1" x14ac:dyDescent="0.35">
      <c r="A790" s="980"/>
    </row>
    <row r="791" spans="1:1" x14ac:dyDescent="0.35">
      <c r="A791" s="980"/>
    </row>
    <row r="792" spans="1:1" x14ac:dyDescent="0.35">
      <c r="A792" s="980"/>
    </row>
    <row r="793" spans="1:1" x14ac:dyDescent="0.35">
      <c r="A793" s="980"/>
    </row>
    <row r="794" spans="1:1" x14ac:dyDescent="0.35">
      <c r="A794" s="980"/>
    </row>
    <row r="795" spans="1:1" x14ac:dyDescent="0.35">
      <c r="A795" s="980"/>
    </row>
    <row r="796" spans="1:1" x14ac:dyDescent="0.35">
      <c r="A796" s="980"/>
    </row>
    <row r="797" spans="1:1" x14ac:dyDescent="0.35">
      <c r="A797" s="980"/>
    </row>
    <row r="798" spans="1:1" x14ac:dyDescent="0.35">
      <c r="A798" s="980"/>
    </row>
    <row r="799" spans="1:1" x14ac:dyDescent="0.35">
      <c r="A799" s="980"/>
    </row>
    <row r="800" spans="1:1" x14ac:dyDescent="0.35">
      <c r="A800" s="980"/>
    </row>
    <row r="801" spans="1:1" x14ac:dyDescent="0.35">
      <c r="A801" s="980"/>
    </row>
    <row r="802" spans="1:1" x14ac:dyDescent="0.35">
      <c r="A802" s="980"/>
    </row>
    <row r="803" spans="1:1" x14ac:dyDescent="0.35">
      <c r="A803" s="980"/>
    </row>
    <row r="804" spans="1:1" x14ac:dyDescent="0.35">
      <c r="A804" s="980"/>
    </row>
    <row r="805" spans="1:1" x14ac:dyDescent="0.35">
      <c r="A805" s="980"/>
    </row>
    <row r="806" spans="1:1" x14ac:dyDescent="0.35">
      <c r="A806" s="980"/>
    </row>
    <row r="807" spans="1:1" x14ac:dyDescent="0.35">
      <c r="A807" s="980"/>
    </row>
    <row r="808" spans="1:1" x14ac:dyDescent="0.35">
      <c r="A808" s="980"/>
    </row>
    <row r="809" spans="1:1" x14ac:dyDescent="0.35">
      <c r="A809" s="980"/>
    </row>
    <row r="810" spans="1:1" x14ac:dyDescent="0.35">
      <c r="A810" s="980"/>
    </row>
    <row r="811" spans="1:1" x14ac:dyDescent="0.35">
      <c r="A811" s="980"/>
    </row>
    <row r="812" spans="1:1" x14ac:dyDescent="0.35">
      <c r="A812" s="980"/>
    </row>
    <row r="813" spans="1:1" x14ac:dyDescent="0.35">
      <c r="A813" s="980"/>
    </row>
    <row r="814" spans="1:1" x14ac:dyDescent="0.35">
      <c r="A814" s="980"/>
    </row>
    <row r="815" spans="1:1" x14ac:dyDescent="0.35">
      <c r="A815" s="980"/>
    </row>
    <row r="816" spans="1:1" x14ac:dyDescent="0.35">
      <c r="A816" s="980"/>
    </row>
    <row r="817" spans="1:1" x14ac:dyDescent="0.35">
      <c r="A817" s="980"/>
    </row>
    <row r="818" spans="1:1" x14ac:dyDescent="0.35">
      <c r="A818" s="980"/>
    </row>
    <row r="819" spans="1:1" x14ac:dyDescent="0.35">
      <c r="A819" s="980"/>
    </row>
    <row r="820" spans="1:1" x14ac:dyDescent="0.35">
      <c r="A820" s="980"/>
    </row>
    <row r="821" spans="1:1" x14ac:dyDescent="0.35">
      <c r="A821" s="980"/>
    </row>
    <row r="822" spans="1:1" x14ac:dyDescent="0.35">
      <c r="A822" s="980"/>
    </row>
    <row r="823" spans="1:1" x14ac:dyDescent="0.35">
      <c r="A823" s="980"/>
    </row>
    <row r="824" spans="1:1" x14ac:dyDescent="0.35">
      <c r="A824" s="980"/>
    </row>
    <row r="825" spans="1:1" x14ac:dyDescent="0.35">
      <c r="A825" s="980"/>
    </row>
    <row r="826" spans="1:1" x14ac:dyDescent="0.35">
      <c r="A826" s="980"/>
    </row>
    <row r="827" spans="1:1" x14ac:dyDescent="0.35">
      <c r="A827" s="980"/>
    </row>
    <row r="828" spans="1:1" x14ac:dyDescent="0.35">
      <c r="A828" s="980"/>
    </row>
    <row r="829" spans="1:1" x14ac:dyDescent="0.35">
      <c r="A829" s="980"/>
    </row>
    <row r="830" spans="1:1" x14ac:dyDescent="0.35">
      <c r="A830" s="980"/>
    </row>
    <row r="831" spans="1:1" x14ac:dyDescent="0.35">
      <c r="A831" s="980"/>
    </row>
    <row r="832" spans="1:1" x14ac:dyDescent="0.35">
      <c r="A832" s="980"/>
    </row>
    <row r="833" spans="1:1" x14ac:dyDescent="0.35">
      <c r="A833" s="980"/>
    </row>
    <row r="834" spans="1:1" x14ac:dyDescent="0.35">
      <c r="A834" s="980"/>
    </row>
    <row r="835" spans="1:1" x14ac:dyDescent="0.35">
      <c r="A835" s="980"/>
    </row>
    <row r="836" spans="1:1" x14ac:dyDescent="0.35">
      <c r="A836" s="980"/>
    </row>
    <row r="837" spans="1:1" x14ac:dyDescent="0.35">
      <c r="A837" s="980"/>
    </row>
    <row r="838" spans="1:1" x14ac:dyDescent="0.35">
      <c r="A838" s="980"/>
    </row>
    <row r="839" spans="1:1" x14ac:dyDescent="0.35">
      <c r="A839" s="980"/>
    </row>
    <row r="840" spans="1:1" x14ac:dyDescent="0.35">
      <c r="A840" s="980"/>
    </row>
    <row r="841" spans="1:1" x14ac:dyDescent="0.35">
      <c r="A841" s="980"/>
    </row>
    <row r="842" spans="1:1" x14ac:dyDescent="0.35">
      <c r="A842" s="980"/>
    </row>
    <row r="843" spans="1:1" x14ac:dyDescent="0.35">
      <c r="A843" s="980"/>
    </row>
    <row r="844" spans="1:1" x14ac:dyDescent="0.35">
      <c r="A844" s="980"/>
    </row>
    <row r="845" spans="1:1" x14ac:dyDescent="0.35">
      <c r="A845" s="980"/>
    </row>
    <row r="846" spans="1:1" x14ac:dyDescent="0.35">
      <c r="A846" s="980"/>
    </row>
    <row r="847" spans="1:1" x14ac:dyDescent="0.35">
      <c r="A847" s="980"/>
    </row>
    <row r="848" spans="1:1" x14ac:dyDescent="0.35">
      <c r="A848" s="980"/>
    </row>
    <row r="849" spans="1:1" x14ac:dyDescent="0.35">
      <c r="A849" s="980"/>
    </row>
    <row r="850" spans="1:1" x14ac:dyDescent="0.35">
      <c r="A850" s="980"/>
    </row>
    <row r="851" spans="1:1" x14ac:dyDescent="0.35">
      <c r="A851" s="980"/>
    </row>
    <row r="852" spans="1:1" x14ac:dyDescent="0.35">
      <c r="A852" s="980"/>
    </row>
    <row r="853" spans="1:1" x14ac:dyDescent="0.35">
      <c r="A853" s="980"/>
    </row>
    <row r="854" spans="1:1" x14ac:dyDescent="0.35">
      <c r="A854" s="980"/>
    </row>
    <row r="855" spans="1:1" x14ac:dyDescent="0.35">
      <c r="A855" s="980"/>
    </row>
    <row r="856" spans="1:1" x14ac:dyDescent="0.35">
      <c r="A856" s="980"/>
    </row>
    <row r="857" spans="1:1" x14ac:dyDescent="0.35">
      <c r="A857" s="980"/>
    </row>
    <row r="858" spans="1:1" x14ac:dyDescent="0.35">
      <c r="A858" s="980"/>
    </row>
    <row r="859" spans="1:1" x14ac:dyDescent="0.35">
      <c r="A859" s="980"/>
    </row>
    <row r="860" spans="1:1" x14ac:dyDescent="0.35">
      <c r="A860" s="980"/>
    </row>
    <row r="861" spans="1:1" x14ac:dyDescent="0.35">
      <c r="A861" s="980"/>
    </row>
    <row r="862" spans="1:1" x14ac:dyDescent="0.35">
      <c r="A862" s="980"/>
    </row>
    <row r="863" spans="1:1" x14ac:dyDescent="0.35">
      <c r="A863" s="980"/>
    </row>
    <row r="864" spans="1:1" x14ac:dyDescent="0.35">
      <c r="A864" s="980"/>
    </row>
    <row r="865" spans="1:1" x14ac:dyDescent="0.35">
      <c r="A865" s="980"/>
    </row>
    <row r="866" spans="1:1" x14ac:dyDescent="0.35">
      <c r="A866" s="980"/>
    </row>
    <row r="867" spans="1:1" x14ac:dyDescent="0.35">
      <c r="A867" s="980"/>
    </row>
    <row r="868" spans="1:1" x14ac:dyDescent="0.35">
      <c r="A868" s="980"/>
    </row>
    <row r="869" spans="1:1" x14ac:dyDescent="0.35">
      <c r="A869" s="980"/>
    </row>
    <row r="870" spans="1:1" x14ac:dyDescent="0.35">
      <c r="A870" s="980"/>
    </row>
    <row r="871" spans="1:1" x14ac:dyDescent="0.35">
      <c r="A871" s="980"/>
    </row>
    <row r="872" spans="1:1" x14ac:dyDescent="0.35">
      <c r="A872" s="980"/>
    </row>
    <row r="873" spans="1:1" x14ac:dyDescent="0.35">
      <c r="A873" s="980"/>
    </row>
    <row r="874" spans="1:1" x14ac:dyDescent="0.35">
      <c r="A874" s="980"/>
    </row>
    <row r="875" spans="1:1" x14ac:dyDescent="0.35">
      <c r="A875" s="980"/>
    </row>
    <row r="876" spans="1:1" x14ac:dyDescent="0.35">
      <c r="A876" s="980"/>
    </row>
    <row r="877" spans="1:1" x14ac:dyDescent="0.35">
      <c r="A877" s="980"/>
    </row>
    <row r="878" spans="1:1" x14ac:dyDescent="0.35">
      <c r="A878" s="980"/>
    </row>
    <row r="879" spans="1:1" x14ac:dyDescent="0.35">
      <c r="A879" s="980"/>
    </row>
    <row r="880" spans="1:1" x14ac:dyDescent="0.35">
      <c r="A880" s="980"/>
    </row>
    <row r="881" spans="1:1" x14ac:dyDescent="0.35">
      <c r="A881" s="980"/>
    </row>
    <row r="882" spans="1:1" x14ac:dyDescent="0.35">
      <c r="A882" s="980"/>
    </row>
    <row r="883" spans="1:1" x14ac:dyDescent="0.35">
      <c r="A883" s="980"/>
    </row>
    <row r="884" spans="1:1" x14ac:dyDescent="0.35">
      <c r="A884" s="980"/>
    </row>
    <row r="885" spans="1:1" x14ac:dyDescent="0.35">
      <c r="A885" s="980"/>
    </row>
    <row r="886" spans="1:1" x14ac:dyDescent="0.35">
      <c r="A886" s="980"/>
    </row>
    <row r="887" spans="1:1" x14ac:dyDescent="0.35">
      <c r="A887" s="980"/>
    </row>
    <row r="888" spans="1:1" x14ac:dyDescent="0.35">
      <c r="A888" s="980"/>
    </row>
    <row r="889" spans="1:1" x14ac:dyDescent="0.35">
      <c r="A889" s="980"/>
    </row>
    <row r="890" spans="1:1" x14ac:dyDescent="0.35">
      <c r="A890" s="980"/>
    </row>
    <row r="891" spans="1:1" x14ac:dyDescent="0.35">
      <c r="A891" s="980"/>
    </row>
    <row r="892" spans="1:1" x14ac:dyDescent="0.35">
      <c r="A892" s="980"/>
    </row>
    <row r="893" spans="1:1" x14ac:dyDescent="0.35">
      <c r="A893" s="980"/>
    </row>
    <row r="894" spans="1:1" x14ac:dyDescent="0.35">
      <c r="A894" s="980"/>
    </row>
    <row r="895" spans="1:1" x14ac:dyDescent="0.35">
      <c r="A895" s="980"/>
    </row>
    <row r="896" spans="1:1" x14ac:dyDescent="0.35">
      <c r="A896" s="980"/>
    </row>
    <row r="897" spans="1:1" x14ac:dyDescent="0.35">
      <c r="A897" s="980"/>
    </row>
    <row r="898" spans="1:1" x14ac:dyDescent="0.35">
      <c r="A898" s="980"/>
    </row>
    <row r="899" spans="1:1" x14ac:dyDescent="0.35">
      <c r="A899" s="980"/>
    </row>
    <row r="900" spans="1:1" x14ac:dyDescent="0.35">
      <c r="A900" s="980"/>
    </row>
    <row r="901" spans="1:1" x14ac:dyDescent="0.35">
      <c r="A901" s="980"/>
    </row>
    <row r="902" spans="1:1" x14ac:dyDescent="0.35">
      <c r="A902" s="980"/>
    </row>
    <row r="903" spans="1:1" x14ac:dyDescent="0.35">
      <c r="A903" s="980"/>
    </row>
    <row r="904" spans="1:1" x14ac:dyDescent="0.35">
      <c r="A904" s="980"/>
    </row>
    <row r="905" spans="1:1" x14ac:dyDescent="0.35">
      <c r="A905" s="980"/>
    </row>
    <row r="906" spans="1:1" x14ac:dyDescent="0.35">
      <c r="A906" s="980"/>
    </row>
    <row r="907" spans="1:1" x14ac:dyDescent="0.35">
      <c r="A907" s="980"/>
    </row>
    <row r="908" spans="1:1" x14ac:dyDescent="0.35">
      <c r="A908" s="980"/>
    </row>
    <row r="909" spans="1:1" x14ac:dyDescent="0.35">
      <c r="A909" s="980"/>
    </row>
    <row r="910" spans="1:1" x14ac:dyDescent="0.35">
      <c r="A910" s="980"/>
    </row>
    <row r="911" spans="1:1" x14ac:dyDescent="0.35">
      <c r="A911" s="980"/>
    </row>
    <row r="912" spans="1:1" x14ac:dyDescent="0.35">
      <c r="A912" s="980"/>
    </row>
    <row r="913" spans="1:1" x14ac:dyDescent="0.35">
      <c r="A913" s="980"/>
    </row>
    <row r="914" spans="1:1" x14ac:dyDescent="0.35">
      <c r="A914" s="980"/>
    </row>
    <row r="915" spans="1:1" x14ac:dyDescent="0.35">
      <c r="A915" s="980"/>
    </row>
    <row r="916" spans="1:1" x14ac:dyDescent="0.35">
      <c r="A916" s="980"/>
    </row>
    <row r="917" spans="1:1" x14ac:dyDescent="0.35">
      <c r="A917" s="980"/>
    </row>
    <row r="918" spans="1:1" x14ac:dyDescent="0.35">
      <c r="A918" s="980"/>
    </row>
    <row r="919" spans="1:1" x14ac:dyDescent="0.35">
      <c r="A919" s="980"/>
    </row>
    <row r="920" spans="1:1" x14ac:dyDescent="0.35">
      <c r="A920" s="980"/>
    </row>
    <row r="921" spans="1:1" x14ac:dyDescent="0.35">
      <c r="A921" s="980"/>
    </row>
    <row r="922" spans="1:1" x14ac:dyDescent="0.35">
      <c r="A922" s="980"/>
    </row>
    <row r="923" spans="1:1" x14ac:dyDescent="0.35">
      <c r="A923" s="980"/>
    </row>
    <row r="924" spans="1:1" x14ac:dyDescent="0.35">
      <c r="A924" s="980"/>
    </row>
    <row r="925" spans="1:1" x14ac:dyDescent="0.35">
      <c r="A925" s="980"/>
    </row>
    <row r="926" spans="1:1" x14ac:dyDescent="0.35">
      <c r="A926" s="980"/>
    </row>
    <row r="927" spans="1:1" x14ac:dyDescent="0.35">
      <c r="A927" s="980"/>
    </row>
    <row r="928" spans="1:1" x14ac:dyDescent="0.35">
      <c r="A928" s="980"/>
    </row>
    <row r="929" spans="1:1" x14ac:dyDescent="0.35">
      <c r="A929" s="980"/>
    </row>
    <row r="930" spans="1:1" x14ac:dyDescent="0.35">
      <c r="A930" s="980"/>
    </row>
    <row r="931" spans="1:1" x14ac:dyDescent="0.35">
      <c r="A931" s="980"/>
    </row>
    <row r="932" spans="1:1" x14ac:dyDescent="0.35">
      <c r="A932" s="980"/>
    </row>
    <row r="933" spans="1:1" x14ac:dyDescent="0.35">
      <c r="A933" s="980"/>
    </row>
    <row r="934" spans="1:1" x14ac:dyDescent="0.35">
      <c r="A934" s="980"/>
    </row>
    <row r="935" spans="1:1" x14ac:dyDescent="0.35">
      <c r="A935" s="980"/>
    </row>
    <row r="936" spans="1:1" x14ac:dyDescent="0.35">
      <c r="A936" s="980"/>
    </row>
    <row r="937" spans="1:1" x14ac:dyDescent="0.35">
      <c r="A937" s="980"/>
    </row>
    <row r="938" spans="1:1" x14ac:dyDescent="0.35">
      <c r="A938" s="980"/>
    </row>
    <row r="939" spans="1:1" x14ac:dyDescent="0.35">
      <c r="A939" s="980"/>
    </row>
    <row r="940" spans="1:1" x14ac:dyDescent="0.35">
      <c r="A940" s="980"/>
    </row>
    <row r="941" spans="1:1" x14ac:dyDescent="0.35">
      <c r="A941" s="980"/>
    </row>
    <row r="942" spans="1:1" x14ac:dyDescent="0.35">
      <c r="A942" s="980"/>
    </row>
    <row r="943" spans="1:1" x14ac:dyDescent="0.35">
      <c r="A943" s="980"/>
    </row>
    <row r="944" spans="1:1" x14ac:dyDescent="0.35">
      <c r="A944" s="980"/>
    </row>
    <row r="945" spans="1:1" x14ac:dyDescent="0.35">
      <c r="A945" s="980"/>
    </row>
    <row r="946" spans="1:1" x14ac:dyDescent="0.35">
      <c r="A946" s="980"/>
    </row>
    <row r="947" spans="1:1" x14ac:dyDescent="0.35">
      <c r="A947" s="980"/>
    </row>
    <row r="948" spans="1:1" x14ac:dyDescent="0.35">
      <c r="A948" s="980"/>
    </row>
    <row r="949" spans="1:1" x14ac:dyDescent="0.35">
      <c r="A949" s="980"/>
    </row>
    <row r="950" spans="1:1" x14ac:dyDescent="0.35">
      <c r="A950" s="980"/>
    </row>
    <row r="951" spans="1:1" x14ac:dyDescent="0.35">
      <c r="A951" s="980"/>
    </row>
    <row r="952" spans="1:1" x14ac:dyDescent="0.35">
      <c r="A952" s="980"/>
    </row>
    <row r="953" spans="1:1" x14ac:dyDescent="0.35">
      <c r="A953" s="980"/>
    </row>
    <row r="954" spans="1:1" x14ac:dyDescent="0.35">
      <c r="A954" s="980"/>
    </row>
    <row r="955" spans="1:1" x14ac:dyDescent="0.35">
      <c r="A955" s="980"/>
    </row>
    <row r="956" spans="1:1" x14ac:dyDescent="0.35">
      <c r="A956" s="980"/>
    </row>
    <row r="957" spans="1:1" x14ac:dyDescent="0.35">
      <c r="A957" s="980"/>
    </row>
    <row r="958" spans="1:1" x14ac:dyDescent="0.35">
      <c r="A958" s="980"/>
    </row>
    <row r="959" spans="1:1" x14ac:dyDescent="0.35">
      <c r="A959" s="980"/>
    </row>
    <row r="960" spans="1:1" x14ac:dyDescent="0.35">
      <c r="A960" s="980"/>
    </row>
    <row r="961" spans="1:1" x14ac:dyDescent="0.35">
      <c r="A961" s="980"/>
    </row>
    <row r="962" spans="1:1" x14ac:dyDescent="0.35">
      <c r="A962" s="980"/>
    </row>
    <row r="963" spans="1:1" x14ac:dyDescent="0.35">
      <c r="A963" s="980"/>
    </row>
    <row r="964" spans="1:1" x14ac:dyDescent="0.35">
      <c r="A964" s="980"/>
    </row>
    <row r="965" spans="1:1" x14ac:dyDescent="0.35">
      <c r="A965" s="980"/>
    </row>
    <row r="966" spans="1:1" x14ac:dyDescent="0.35">
      <c r="A966" s="980"/>
    </row>
    <row r="967" spans="1:1" x14ac:dyDescent="0.35">
      <c r="A967" s="980"/>
    </row>
    <row r="968" spans="1:1" x14ac:dyDescent="0.35">
      <c r="A968" s="980"/>
    </row>
    <row r="969" spans="1:1" x14ac:dyDescent="0.35">
      <c r="A969" s="980"/>
    </row>
    <row r="970" spans="1:1" x14ac:dyDescent="0.35">
      <c r="A970" s="980"/>
    </row>
    <row r="971" spans="1:1" x14ac:dyDescent="0.35">
      <c r="A971" s="980"/>
    </row>
    <row r="972" spans="1:1" x14ac:dyDescent="0.35">
      <c r="A972" s="980"/>
    </row>
    <row r="973" spans="1:1" x14ac:dyDescent="0.35">
      <c r="A973" s="980"/>
    </row>
    <row r="974" spans="1:1" x14ac:dyDescent="0.35">
      <c r="A974" s="980"/>
    </row>
    <row r="975" spans="1:1" x14ac:dyDescent="0.35">
      <c r="A975" s="980"/>
    </row>
    <row r="976" spans="1:1" x14ac:dyDescent="0.35">
      <c r="A976" s="980"/>
    </row>
    <row r="977" spans="1:1" x14ac:dyDescent="0.35">
      <c r="A977" s="980"/>
    </row>
    <row r="978" spans="1:1" x14ac:dyDescent="0.35">
      <c r="A978" s="980"/>
    </row>
    <row r="979" spans="1:1" x14ac:dyDescent="0.35">
      <c r="A979" s="980"/>
    </row>
    <row r="980" spans="1:1" x14ac:dyDescent="0.35">
      <c r="A980" s="980"/>
    </row>
    <row r="981" spans="1:1" x14ac:dyDescent="0.35">
      <c r="A981" s="980"/>
    </row>
    <row r="982" spans="1:1" x14ac:dyDescent="0.35">
      <c r="A982" s="980"/>
    </row>
    <row r="983" spans="1:1" x14ac:dyDescent="0.35">
      <c r="A983" s="980"/>
    </row>
    <row r="984" spans="1:1" x14ac:dyDescent="0.35">
      <c r="A984" s="980"/>
    </row>
    <row r="985" spans="1:1" x14ac:dyDescent="0.35">
      <c r="A985" s="980"/>
    </row>
    <row r="986" spans="1:1" x14ac:dyDescent="0.35">
      <c r="A986" s="980"/>
    </row>
    <row r="987" spans="1:1" x14ac:dyDescent="0.35">
      <c r="A987" s="980"/>
    </row>
    <row r="988" spans="1:1" x14ac:dyDescent="0.35">
      <c r="A988" s="980"/>
    </row>
    <row r="989" spans="1:1" x14ac:dyDescent="0.35">
      <c r="A989" s="980"/>
    </row>
    <row r="990" spans="1:1" x14ac:dyDescent="0.35">
      <c r="A990" s="980"/>
    </row>
    <row r="991" spans="1:1" x14ac:dyDescent="0.35">
      <c r="A991" s="980"/>
    </row>
    <row r="992" spans="1:1" x14ac:dyDescent="0.35">
      <c r="A992" s="980"/>
    </row>
    <row r="993" spans="1:1" x14ac:dyDescent="0.35">
      <c r="A993" s="980"/>
    </row>
    <row r="994" spans="1:1" x14ac:dyDescent="0.35">
      <c r="A994" s="980"/>
    </row>
    <row r="995" spans="1:1" x14ac:dyDescent="0.35">
      <c r="A995" s="980"/>
    </row>
    <row r="996" spans="1:1" x14ac:dyDescent="0.35">
      <c r="A996" s="980"/>
    </row>
    <row r="997" spans="1:1" x14ac:dyDescent="0.35">
      <c r="A997" s="980"/>
    </row>
    <row r="998" spans="1:1" x14ac:dyDescent="0.35">
      <c r="A998" s="980"/>
    </row>
    <row r="999" spans="1:1" x14ac:dyDescent="0.35">
      <c r="A999" s="980"/>
    </row>
    <row r="1000" spans="1:1" x14ac:dyDescent="0.35">
      <c r="A1000" s="980"/>
    </row>
    <row r="1001" spans="1:1" x14ac:dyDescent="0.35">
      <c r="A1001" s="980"/>
    </row>
    <row r="1002" spans="1:1" x14ac:dyDescent="0.35">
      <c r="A1002" s="980"/>
    </row>
    <row r="1003" spans="1:1" x14ac:dyDescent="0.35">
      <c r="A1003" s="980"/>
    </row>
    <row r="1004" spans="1:1" x14ac:dyDescent="0.35">
      <c r="A1004" s="980"/>
    </row>
    <row r="1005" spans="1:1" x14ac:dyDescent="0.35">
      <c r="A1005" s="980"/>
    </row>
    <row r="1006" spans="1:1" x14ac:dyDescent="0.35">
      <c r="A1006" s="980"/>
    </row>
    <row r="1007" spans="1:1" x14ac:dyDescent="0.35">
      <c r="A1007" s="980"/>
    </row>
    <row r="1008" spans="1:1" x14ac:dyDescent="0.35">
      <c r="A1008" s="980"/>
    </row>
    <row r="1009" spans="1:1" x14ac:dyDescent="0.35">
      <c r="A1009" s="980"/>
    </row>
    <row r="1010" spans="1:1" x14ac:dyDescent="0.35">
      <c r="A1010" s="980"/>
    </row>
    <row r="1011" spans="1:1" x14ac:dyDescent="0.35">
      <c r="A1011" s="980"/>
    </row>
    <row r="1012" spans="1:1" x14ac:dyDescent="0.35">
      <c r="A1012" s="980"/>
    </row>
    <row r="1013" spans="1:1" x14ac:dyDescent="0.35">
      <c r="A1013" s="980"/>
    </row>
    <row r="1014" spans="1:1" x14ac:dyDescent="0.35">
      <c r="A1014" s="980"/>
    </row>
    <row r="1015" spans="1:1" x14ac:dyDescent="0.35">
      <c r="A1015" s="980"/>
    </row>
    <row r="1016" spans="1:1" x14ac:dyDescent="0.35">
      <c r="A1016" s="980"/>
    </row>
    <row r="1017" spans="1:1" x14ac:dyDescent="0.35">
      <c r="A1017" s="980"/>
    </row>
    <row r="1018" spans="1:1" x14ac:dyDescent="0.35">
      <c r="A1018" s="980"/>
    </row>
    <row r="1019" spans="1:1" x14ac:dyDescent="0.35">
      <c r="A1019" s="980"/>
    </row>
    <row r="1020" spans="1:1" x14ac:dyDescent="0.35">
      <c r="A1020" s="980"/>
    </row>
    <row r="1021" spans="1:1" x14ac:dyDescent="0.35">
      <c r="A1021" s="980"/>
    </row>
    <row r="1022" spans="1:1" x14ac:dyDescent="0.35">
      <c r="A1022" s="980"/>
    </row>
    <row r="1023" spans="1:1" x14ac:dyDescent="0.35">
      <c r="A1023" s="980"/>
    </row>
    <row r="1024" spans="1:1" x14ac:dyDescent="0.35">
      <c r="A1024" s="980"/>
    </row>
    <row r="1025" spans="1:1" x14ac:dyDescent="0.35">
      <c r="A1025" s="980"/>
    </row>
    <row r="1026" spans="1:1" x14ac:dyDescent="0.35">
      <c r="A1026" s="980"/>
    </row>
    <row r="1027" spans="1:1" x14ac:dyDescent="0.35">
      <c r="A1027" s="980"/>
    </row>
    <row r="1028" spans="1:1" x14ac:dyDescent="0.35">
      <c r="A1028" s="980"/>
    </row>
    <row r="1029" spans="1:1" x14ac:dyDescent="0.35">
      <c r="A1029" s="980"/>
    </row>
    <row r="1030" spans="1:1" x14ac:dyDescent="0.35">
      <c r="A1030" s="980"/>
    </row>
    <row r="1031" spans="1:1" x14ac:dyDescent="0.35">
      <c r="A1031" s="980"/>
    </row>
    <row r="1032" spans="1:1" x14ac:dyDescent="0.35">
      <c r="A1032" s="980"/>
    </row>
    <row r="1033" spans="1:1" x14ac:dyDescent="0.35">
      <c r="A1033" s="980"/>
    </row>
    <row r="1034" spans="1:1" x14ac:dyDescent="0.35">
      <c r="A1034" s="980"/>
    </row>
    <row r="1035" spans="1:1" x14ac:dyDescent="0.35">
      <c r="A1035" s="980"/>
    </row>
    <row r="1036" spans="1:1" x14ac:dyDescent="0.35">
      <c r="A1036" s="980"/>
    </row>
    <row r="1037" spans="1:1" x14ac:dyDescent="0.35">
      <c r="A1037" s="980"/>
    </row>
    <row r="1038" spans="1:1" x14ac:dyDescent="0.35">
      <c r="A1038" s="980"/>
    </row>
    <row r="1039" spans="1:1" x14ac:dyDescent="0.35">
      <c r="A1039" s="980"/>
    </row>
    <row r="1040" spans="1:1" x14ac:dyDescent="0.35">
      <c r="A1040" s="980"/>
    </row>
    <row r="1041" spans="1:1" x14ac:dyDescent="0.35">
      <c r="A1041" s="980"/>
    </row>
    <row r="1042" spans="1:1" x14ac:dyDescent="0.35">
      <c r="A1042" s="980"/>
    </row>
    <row r="1043" spans="1:1" x14ac:dyDescent="0.35">
      <c r="A1043" s="980"/>
    </row>
    <row r="1044" spans="1:1" x14ac:dyDescent="0.35">
      <c r="A1044" s="980"/>
    </row>
    <row r="1045" spans="1:1" x14ac:dyDescent="0.35">
      <c r="A1045" s="980"/>
    </row>
    <row r="1046" spans="1:1" x14ac:dyDescent="0.35">
      <c r="A1046" s="980"/>
    </row>
    <row r="1047" spans="1:1" x14ac:dyDescent="0.35">
      <c r="A1047" s="980"/>
    </row>
    <row r="1048" spans="1:1" x14ac:dyDescent="0.35">
      <c r="A1048" s="980"/>
    </row>
    <row r="1049" spans="1:1" x14ac:dyDescent="0.35">
      <c r="A1049" s="980"/>
    </row>
    <row r="1050" spans="1:1" x14ac:dyDescent="0.35">
      <c r="A1050" s="980"/>
    </row>
    <row r="1051" spans="1:1" x14ac:dyDescent="0.35">
      <c r="A1051" s="980"/>
    </row>
    <row r="1052" spans="1:1" x14ac:dyDescent="0.35">
      <c r="A1052" s="980"/>
    </row>
    <row r="1053" spans="1:1" x14ac:dyDescent="0.35">
      <c r="A1053" s="980"/>
    </row>
    <row r="1054" spans="1:1" x14ac:dyDescent="0.35">
      <c r="A1054" s="980"/>
    </row>
    <row r="1055" spans="1:1" x14ac:dyDescent="0.35">
      <c r="A1055" s="980"/>
    </row>
    <row r="1056" spans="1:1" x14ac:dyDescent="0.35">
      <c r="A1056" s="980"/>
    </row>
    <row r="1057" spans="1:1" x14ac:dyDescent="0.35">
      <c r="A1057" s="980"/>
    </row>
    <row r="1058" spans="1:1" x14ac:dyDescent="0.35">
      <c r="A1058" s="980"/>
    </row>
    <row r="1059" spans="1:1" x14ac:dyDescent="0.35">
      <c r="A1059" s="980"/>
    </row>
    <row r="1060" spans="1:1" x14ac:dyDescent="0.35">
      <c r="A1060" s="980"/>
    </row>
    <row r="1061" spans="1:1" x14ac:dyDescent="0.35">
      <c r="A1061" s="980"/>
    </row>
    <row r="1062" spans="1:1" x14ac:dyDescent="0.35">
      <c r="A1062" s="980"/>
    </row>
    <row r="1063" spans="1:1" x14ac:dyDescent="0.35">
      <c r="A1063" s="980"/>
    </row>
    <row r="1064" spans="1:1" x14ac:dyDescent="0.35">
      <c r="A1064" s="980"/>
    </row>
    <row r="1065" spans="1:1" x14ac:dyDescent="0.35">
      <c r="A1065" s="980"/>
    </row>
    <row r="1066" spans="1:1" x14ac:dyDescent="0.35">
      <c r="A1066" s="980"/>
    </row>
    <row r="1067" spans="1:1" x14ac:dyDescent="0.35">
      <c r="A1067" s="980"/>
    </row>
    <row r="1068" spans="1:1" x14ac:dyDescent="0.35">
      <c r="A1068" s="980"/>
    </row>
    <row r="1069" spans="1:1" x14ac:dyDescent="0.35">
      <c r="A1069" s="980"/>
    </row>
    <row r="1070" spans="1:1" x14ac:dyDescent="0.35">
      <c r="A1070" s="980"/>
    </row>
    <row r="1071" spans="1:1" x14ac:dyDescent="0.35">
      <c r="A1071" s="980"/>
    </row>
    <row r="1072" spans="1:1" x14ac:dyDescent="0.35">
      <c r="A1072" s="980"/>
    </row>
    <row r="1073" spans="1:1" x14ac:dyDescent="0.35">
      <c r="A1073" s="980"/>
    </row>
    <row r="1074" spans="1:1" x14ac:dyDescent="0.35">
      <c r="A1074" s="980"/>
    </row>
    <row r="1075" spans="1:1" x14ac:dyDescent="0.35">
      <c r="A1075" s="980"/>
    </row>
    <row r="1076" spans="1:1" x14ac:dyDescent="0.35">
      <c r="A1076" s="980"/>
    </row>
    <row r="1077" spans="1:1" x14ac:dyDescent="0.35">
      <c r="A1077" s="980"/>
    </row>
    <row r="1078" spans="1:1" x14ac:dyDescent="0.35">
      <c r="A1078" s="980"/>
    </row>
    <row r="1079" spans="1:1" x14ac:dyDescent="0.35">
      <c r="A1079" s="980"/>
    </row>
    <row r="1080" spans="1:1" x14ac:dyDescent="0.35">
      <c r="A1080" s="980"/>
    </row>
    <row r="1081" spans="1:1" x14ac:dyDescent="0.35">
      <c r="A1081" s="980"/>
    </row>
    <row r="1082" spans="1:1" x14ac:dyDescent="0.35">
      <c r="A1082" s="980"/>
    </row>
    <row r="1083" spans="1:1" x14ac:dyDescent="0.35">
      <c r="A1083" s="980"/>
    </row>
    <row r="1084" spans="1:1" x14ac:dyDescent="0.35">
      <c r="A1084" s="980"/>
    </row>
    <row r="1085" spans="1:1" x14ac:dyDescent="0.35">
      <c r="A1085" s="980"/>
    </row>
    <row r="1086" spans="1:1" x14ac:dyDescent="0.35">
      <c r="A1086" s="980"/>
    </row>
    <row r="1087" spans="1:1" x14ac:dyDescent="0.35">
      <c r="A1087" s="980"/>
    </row>
    <row r="1088" spans="1:1" x14ac:dyDescent="0.35">
      <c r="A1088" s="980"/>
    </row>
    <row r="1089" spans="1:1" x14ac:dyDescent="0.35">
      <c r="A1089" s="980"/>
    </row>
    <row r="1090" spans="1:1" x14ac:dyDescent="0.35">
      <c r="A1090" s="980"/>
    </row>
    <row r="1091" spans="1:1" x14ac:dyDescent="0.35">
      <c r="A1091" s="980"/>
    </row>
    <row r="1092" spans="1:1" x14ac:dyDescent="0.35">
      <c r="A1092" s="980"/>
    </row>
    <row r="1093" spans="1:1" x14ac:dyDescent="0.35">
      <c r="A1093" s="980"/>
    </row>
    <row r="1094" spans="1:1" x14ac:dyDescent="0.35">
      <c r="A1094" s="980"/>
    </row>
    <row r="1095" spans="1:1" x14ac:dyDescent="0.35">
      <c r="A1095" s="980"/>
    </row>
    <row r="1096" spans="1:1" x14ac:dyDescent="0.35">
      <c r="A1096" s="980"/>
    </row>
    <row r="1097" spans="1:1" x14ac:dyDescent="0.35">
      <c r="A1097" s="980"/>
    </row>
    <row r="1098" spans="1:1" x14ac:dyDescent="0.35">
      <c r="A1098" s="980"/>
    </row>
    <row r="1099" spans="1:1" x14ac:dyDescent="0.35">
      <c r="A1099" s="980"/>
    </row>
    <row r="1100" spans="1:1" x14ac:dyDescent="0.35">
      <c r="A1100" s="980"/>
    </row>
    <row r="1101" spans="1:1" x14ac:dyDescent="0.35">
      <c r="A1101" s="980"/>
    </row>
    <row r="1102" spans="1:1" x14ac:dyDescent="0.35">
      <c r="A1102" s="980"/>
    </row>
    <row r="1103" spans="1:1" x14ac:dyDescent="0.35">
      <c r="A1103" s="980"/>
    </row>
    <row r="1104" spans="1:1" x14ac:dyDescent="0.35">
      <c r="A1104" s="980"/>
    </row>
    <row r="1105" spans="1:1" x14ac:dyDescent="0.35">
      <c r="A1105" s="980"/>
    </row>
    <row r="1106" spans="1:1" x14ac:dyDescent="0.35">
      <c r="A1106" s="980"/>
    </row>
    <row r="1107" spans="1:1" x14ac:dyDescent="0.35">
      <c r="A1107" s="980"/>
    </row>
    <row r="1108" spans="1:1" x14ac:dyDescent="0.35">
      <c r="A1108" s="980"/>
    </row>
    <row r="1109" spans="1:1" x14ac:dyDescent="0.35">
      <c r="A1109" s="980"/>
    </row>
    <row r="1110" spans="1:1" x14ac:dyDescent="0.35">
      <c r="A1110" s="980"/>
    </row>
    <row r="1111" spans="1:1" x14ac:dyDescent="0.35">
      <c r="A1111" s="980"/>
    </row>
    <row r="1112" spans="1:1" x14ac:dyDescent="0.35">
      <c r="A1112" s="980"/>
    </row>
    <row r="1113" spans="1:1" x14ac:dyDescent="0.35">
      <c r="A1113" s="980"/>
    </row>
    <row r="1114" spans="1:1" x14ac:dyDescent="0.35">
      <c r="A1114" s="980"/>
    </row>
    <row r="1115" spans="1:1" x14ac:dyDescent="0.35">
      <c r="A1115" s="980"/>
    </row>
    <row r="1116" spans="1:1" x14ac:dyDescent="0.35">
      <c r="A1116" s="980"/>
    </row>
    <row r="1117" spans="1:1" x14ac:dyDescent="0.35">
      <c r="A1117" s="980"/>
    </row>
    <row r="1118" spans="1:1" x14ac:dyDescent="0.35">
      <c r="A1118" s="980"/>
    </row>
    <row r="1119" spans="1:1" x14ac:dyDescent="0.35">
      <c r="A1119" s="980"/>
    </row>
    <row r="1120" spans="1:1" x14ac:dyDescent="0.35">
      <c r="A1120" s="980"/>
    </row>
    <row r="1121" spans="1:1" x14ac:dyDescent="0.35">
      <c r="A1121" s="980"/>
    </row>
    <row r="1122" spans="1:1" x14ac:dyDescent="0.35">
      <c r="A1122" s="980"/>
    </row>
    <row r="1123" spans="1:1" x14ac:dyDescent="0.35">
      <c r="A1123" s="980"/>
    </row>
    <row r="1124" spans="1:1" x14ac:dyDescent="0.35">
      <c r="A1124" s="980"/>
    </row>
    <row r="1125" spans="1:1" x14ac:dyDescent="0.35">
      <c r="A1125" s="980"/>
    </row>
    <row r="1126" spans="1:1" x14ac:dyDescent="0.35">
      <c r="A1126" s="980"/>
    </row>
    <row r="1127" spans="1:1" x14ac:dyDescent="0.35">
      <c r="A1127" s="980"/>
    </row>
    <row r="1128" spans="1:1" x14ac:dyDescent="0.35">
      <c r="A1128" s="980"/>
    </row>
    <row r="1129" spans="1:1" x14ac:dyDescent="0.35">
      <c r="A1129" s="980"/>
    </row>
    <row r="1130" spans="1:1" x14ac:dyDescent="0.35">
      <c r="A1130" s="980"/>
    </row>
    <row r="1131" spans="1:1" x14ac:dyDescent="0.35">
      <c r="A1131" s="980"/>
    </row>
    <row r="1132" spans="1:1" x14ac:dyDescent="0.35">
      <c r="A1132" s="980"/>
    </row>
    <row r="1133" spans="1:1" x14ac:dyDescent="0.35">
      <c r="A1133" s="980"/>
    </row>
    <row r="1134" spans="1:1" x14ac:dyDescent="0.35">
      <c r="A1134" s="980"/>
    </row>
    <row r="1135" spans="1:1" x14ac:dyDescent="0.35">
      <c r="A1135" s="980"/>
    </row>
    <row r="1136" spans="1:1" x14ac:dyDescent="0.35">
      <c r="A1136" s="980"/>
    </row>
    <row r="1137" spans="1:1" x14ac:dyDescent="0.35">
      <c r="A1137" s="980"/>
    </row>
    <row r="1138" spans="1:1" x14ac:dyDescent="0.35">
      <c r="A1138" s="980"/>
    </row>
    <row r="1139" spans="1:1" x14ac:dyDescent="0.35">
      <c r="A1139" s="980"/>
    </row>
    <row r="1140" spans="1:1" x14ac:dyDescent="0.35">
      <c r="A1140" s="980"/>
    </row>
    <row r="1141" spans="1:1" x14ac:dyDescent="0.35">
      <c r="A1141" s="980"/>
    </row>
    <row r="1142" spans="1:1" x14ac:dyDescent="0.35">
      <c r="A1142" s="980"/>
    </row>
    <row r="1143" spans="1:1" x14ac:dyDescent="0.35">
      <c r="A1143" s="980"/>
    </row>
    <row r="1144" spans="1:1" x14ac:dyDescent="0.35">
      <c r="A1144" s="980"/>
    </row>
    <row r="1145" spans="1:1" x14ac:dyDescent="0.35">
      <c r="A1145" s="980"/>
    </row>
    <row r="1146" spans="1:1" x14ac:dyDescent="0.35">
      <c r="A1146" s="980"/>
    </row>
    <row r="1147" spans="1:1" x14ac:dyDescent="0.35">
      <c r="A1147" s="980"/>
    </row>
    <row r="1148" spans="1:1" x14ac:dyDescent="0.35">
      <c r="A1148" s="980"/>
    </row>
    <row r="1149" spans="1:1" x14ac:dyDescent="0.35">
      <c r="A1149" s="980"/>
    </row>
    <row r="1150" spans="1:1" x14ac:dyDescent="0.35">
      <c r="A1150" s="980"/>
    </row>
    <row r="1151" spans="1:1" x14ac:dyDescent="0.35">
      <c r="A1151" s="980"/>
    </row>
    <row r="1152" spans="1:1" x14ac:dyDescent="0.35">
      <c r="A1152" s="980"/>
    </row>
    <row r="1153" spans="1:1" x14ac:dyDescent="0.35">
      <c r="A1153" s="980"/>
    </row>
    <row r="1154" spans="1:1" x14ac:dyDescent="0.35">
      <c r="A1154" s="980"/>
    </row>
    <row r="1155" spans="1:1" x14ac:dyDescent="0.35">
      <c r="A1155" s="980"/>
    </row>
    <row r="1156" spans="1:1" x14ac:dyDescent="0.35">
      <c r="A1156" s="980"/>
    </row>
    <row r="1157" spans="1:1" x14ac:dyDescent="0.35">
      <c r="A1157" s="980"/>
    </row>
    <row r="1158" spans="1:1" x14ac:dyDescent="0.35">
      <c r="A1158" s="980"/>
    </row>
    <row r="1159" spans="1:1" x14ac:dyDescent="0.35">
      <c r="A1159" s="980"/>
    </row>
    <row r="1160" spans="1:1" x14ac:dyDescent="0.35">
      <c r="A1160" s="980"/>
    </row>
    <row r="1161" spans="1:1" x14ac:dyDescent="0.35">
      <c r="A1161" s="980"/>
    </row>
    <row r="1162" spans="1:1" x14ac:dyDescent="0.35">
      <c r="A1162" s="980"/>
    </row>
    <row r="1163" spans="1:1" x14ac:dyDescent="0.35">
      <c r="A1163" s="980"/>
    </row>
    <row r="1164" spans="1:1" x14ac:dyDescent="0.35">
      <c r="A1164" s="980"/>
    </row>
    <row r="1165" spans="1:1" x14ac:dyDescent="0.35">
      <c r="A1165" s="980"/>
    </row>
    <row r="1166" spans="1:1" x14ac:dyDescent="0.35">
      <c r="A1166" s="980"/>
    </row>
    <row r="1167" spans="1:1" x14ac:dyDescent="0.35">
      <c r="A1167" s="980"/>
    </row>
    <row r="1168" spans="1:1" x14ac:dyDescent="0.35">
      <c r="A1168" s="980"/>
    </row>
    <row r="1169" spans="1:1" x14ac:dyDescent="0.35">
      <c r="A1169" s="980"/>
    </row>
    <row r="1170" spans="1:1" x14ac:dyDescent="0.35">
      <c r="A1170" s="980"/>
    </row>
    <row r="1171" spans="1:1" x14ac:dyDescent="0.35">
      <c r="A1171" s="980"/>
    </row>
    <row r="1172" spans="1:1" x14ac:dyDescent="0.35">
      <c r="A1172" s="980"/>
    </row>
    <row r="1173" spans="1:1" x14ac:dyDescent="0.35">
      <c r="A1173" s="980"/>
    </row>
    <row r="1174" spans="1:1" x14ac:dyDescent="0.35">
      <c r="A1174" s="980"/>
    </row>
    <row r="1175" spans="1:1" x14ac:dyDescent="0.35">
      <c r="A1175" s="980"/>
    </row>
    <row r="1176" spans="1:1" x14ac:dyDescent="0.35">
      <c r="A1176" s="980"/>
    </row>
    <row r="1177" spans="1:1" x14ac:dyDescent="0.35">
      <c r="A1177" s="980"/>
    </row>
    <row r="1178" spans="1:1" x14ac:dyDescent="0.35">
      <c r="A1178" s="980"/>
    </row>
    <row r="1179" spans="1:1" x14ac:dyDescent="0.35">
      <c r="A1179" s="980"/>
    </row>
    <row r="1180" spans="1:1" x14ac:dyDescent="0.35">
      <c r="A1180" s="980"/>
    </row>
    <row r="1181" spans="1:1" x14ac:dyDescent="0.35">
      <c r="A1181" s="980"/>
    </row>
    <row r="1182" spans="1:1" x14ac:dyDescent="0.35">
      <c r="A1182" s="980"/>
    </row>
    <row r="1183" spans="1:1" x14ac:dyDescent="0.35">
      <c r="A1183" s="980"/>
    </row>
    <row r="1184" spans="1:1" x14ac:dyDescent="0.35">
      <c r="A1184" s="980"/>
    </row>
    <row r="1185" spans="1:1" x14ac:dyDescent="0.35">
      <c r="A1185" s="980"/>
    </row>
    <row r="1186" spans="1:1" x14ac:dyDescent="0.35">
      <c r="A1186" s="980"/>
    </row>
    <row r="1187" spans="1:1" x14ac:dyDescent="0.35">
      <c r="A1187" s="980"/>
    </row>
    <row r="1188" spans="1:1" x14ac:dyDescent="0.35">
      <c r="A1188" s="980"/>
    </row>
    <row r="1189" spans="1:1" x14ac:dyDescent="0.35">
      <c r="A1189" s="980"/>
    </row>
    <row r="1190" spans="1:1" x14ac:dyDescent="0.35">
      <c r="A1190" s="980"/>
    </row>
    <row r="1191" spans="1:1" x14ac:dyDescent="0.35">
      <c r="A1191" s="980"/>
    </row>
    <row r="1192" spans="1:1" x14ac:dyDescent="0.35">
      <c r="A1192" s="980"/>
    </row>
    <row r="1193" spans="1:1" x14ac:dyDescent="0.35">
      <c r="A1193" s="980"/>
    </row>
    <row r="1194" spans="1:1" x14ac:dyDescent="0.35">
      <c r="A1194" s="980"/>
    </row>
    <row r="1195" spans="1:1" x14ac:dyDescent="0.35">
      <c r="A1195" s="980"/>
    </row>
    <row r="1196" spans="1:1" x14ac:dyDescent="0.35">
      <c r="A1196" s="980"/>
    </row>
    <row r="1197" spans="1:1" x14ac:dyDescent="0.35">
      <c r="A1197" s="980"/>
    </row>
    <row r="1198" spans="1:1" x14ac:dyDescent="0.35">
      <c r="A1198" s="980"/>
    </row>
    <row r="1199" spans="1:1" x14ac:dyDescent="0.35">
      <c r="A1199" s="980"/>
    </row>
    <row r="1200" spans="1:1" x14ac:dyDescent="0.35">
      <c r="A1200" s="980"/>
    </row>
    <row r="1201" spans="1:1" x14ac:dyDescent="0.35">
      <c r="A1201" s="980"/>
    </row>
    <row r="1202" spans="1:1" x14ac:dyDescent="0.35">
      <c r="A1202" s="980"/>
    </row>
    <row r="1203" spans="1:1" x14ac:dyDescent="0.35">
      <c r="A1203" s="980"/>
    </row>
    <row r="1204" spans="1:1" x14ac:dyDescent="0.35">
      <c r="A1204" s="980"/>
    </row>
    <row r="1205" spans="1:1" x14ac:dyDescent="0.35">
      <c r="A1205" s="980"/>
    </row>
    <row r="1206" spans="1:1" x14ac:dyDescent="0.35">
      <c r="A1206" s="980"/>
    </row>
    <row r="1207" spans="1:1" x14ac:dyDescent="0.35">
      <c r="A1207" s="980"/>
    </row>
    <row r="1208" spans="1:1" x14ac:dyDescent="0.35">
      <c r="A1208" s="980"/>
    </row>
    <row r="1209" spans="1:1" x14ac:dyDescent="0.35">
      <c r="A1209" s="980"/>
    </row>
    <row r="1210" spans="1:1" x14ac:dyDescent="0.35">
      <c r="A1210" s="980"/>
    </row>
    <row r="1211" spans="1:1" x14ac:dyDescent="0.35">
      <c r="A1211" s="980"/>
    </row>
    <row r="1212" spans="1:1" x14ac:dyDescent="0.35">
      <c r="A1212" s="980"/>
    </row>
    <row r="1213" spans="1:1" x14ac:dyDescent="0.35">
      <c r="A1213" s="980"/>
    </row>
    <row r="1214" spans="1:1" x14ac:dyDescent="0.35">
      <c r="A1214" s="980"/>
    </row>
    <row r="1215" spans="1:1" x14ac:dyDescent="0.35">
      <c r="A1215" s="980"/>
    </row>
    <row r="1216" spans="1:1" x14ac:dyDescent="0.35">
      <c r="A1216" s="980"/>
    </row>
    <row r="1217" spans="1:1" x14ac:dyDescent="0.35">
      <c r="A1217" s="980"/>
    </row>
    <row r="1218" spans="1:1" x14ac:dyDescent="0.35">
      <c r="A1218" s="980"/>
    </row>
    <row r="1219" spans="1:1" x14ac:dyDescent="0.35">
      <c r="A1219" s="980"/>
    </row>
    <row r="1220" spans="1:1" x14ac:dyDescent="0.35">
      <c r="A1220" s="980"/>
    </row>
    <row r="1221" spans="1:1" x14ac:dyDescent="0.35">
      <c r="A1221" s="980"/>
    </row>
    <row r="1222" spans="1:1" x14ac:dyDescent="0.35">
      <c r="A1222" s="980"/>
    </row>
    <row r="1223" spans="1:1" x14ac:dyDescent="0.35">
      <c r="A1223" s="980"/>
    </row>
    <row r="1224" spans="1:1" x14ac:dyDescent="0.35">
      <c r="A1224" s="980"/>
    </row>
    <row r="1225" spans="1:1" x14ac:dyDescent="0.35">
      <c r="A1225" s="980"/>
    </row>
    <row r="1226" spans="1:1" x14ac:dyDescent="0.35">
      <c r="A1226" s="980"/>
    </row>
    <row r="1227" spans="1:1" x14ac:dyDescent="0.35">
      <c r="A1227" s="980"/>
    </row>
    <row r="1228" spans="1:1" x14ac:dyDescent="0.35">
      <c r="A1228" s="980"/>
    </row>
    <row r="1229" spans="1:1" x14ac:dyDescent="0.35">
      <c r="A1229" s="980"/>
    </row>
    <row r="1230" spans="1:1" x14ac:dyDescent="0.35">
      <c r="A1230" s="980"/>
    </row>
    <row r="1231" spans="1:1" x14ac:dyDescent="0.35">
      <c r="A1231" s="980"/>
    </row>
    <row r="1232" spans="1:1" x14ac:dyDescent="0.35">
      <c r="A1232" s="980"/>
    </row>
    <row r="1233" spans="1:1" x14ac:dyDescent="0.35">
      <c r="A1233" s="980"/>
    </row>
    <row r="1234" spans="1:1" x14ac:dyDescent="0.35">
      <c r="A1234" s="980"/>
    </row>
    <row r="1235" spans="1:1" x14ac:dyDescent="0.35">
      <c r="A1235" s="980"/>
    </row>
    <row r="1236" spans="1:1" x14ac:dyDescent="0.35">
      <c r="A1236" s="980"/>
    </row>
    <row r="1237" spans="1:1" x14ac:dyDescent="0.35">
      <c r="A1237" s="980"/>
    </row>
    <row r="1238" spans="1:1" x14ac:dyDescent="0.35">
      <c r="A1238" s="980"/>
    </row>
    <row r="1239" spans="1:1" x14ac:dyDescent="0.35">
      <c r="A1239" s="980"/>
    </row>
    <row r="1240" spans="1:1" x14ac:dyDescent="0.35">
      <c r="A1240" s="980"/>
    </row>
    <row r="1241" spans="1:1" x14ac:dyDescent="0.35">
      <c r="A1241" s="980"/>
    </row>
    <row r="1242" spans="1:1" x14ac:dyDescent="0.35">
      <c r="A1242" s="980"/>
    </row>
    <row r="1243" spans="1:1" x14ac:dyDescent="0.35">
      <c r="A1243" s="980"/>
    </row>
    <row r="1244" spans="1:1" x14ac:dyDescent="0.35">
      <c r="A1244" s="980"/>
    </row>
    <row r="1245" spans="1:1" x14ac:dyDescent="0.35">
      <c r="A1245" s="980"/>
    </row>
    <row r="1246" spans="1:1" x14ac:dyDescent="0.35">
      <c r="A1246" s="980"/>
    </row>
    <row r="1247" spans="1:1" x14ac:dyDescent="0.35">
      <c r="A1247" s="980"/>
    </row>
    <row r="1248" spans="1:1" x14ac:dyDescent="0.35">
      <c r="A1248" s="980"/>
    </row>
    <row r="1249" spans="1:1" x14ac:dyDescent="0.35">
      <c r="A1249" s="980"/>
    </row>
    <row r="1250" spans="1:1" x14ac:dyDescent="0.35">
      <c r="A1250" s="980"/>
    </row>
    <row r="1251" spans="1:1" x14ac:dyDescent="0.35">
      <c r="A1251" s="980"/>
    </row>
    <row r="1252" spans="1:1" x14ac:dyDescent="0.35">
      <c r="A1252" s="980"/>
    </row>
    <row r="1253" spans="1:1" x14ac:dyDescent="0.35">
      <c r="A1253" s="980"/>
    </row>
    <row r="1254" spans="1:1" x14ac:dyDescent="0.35">
      <c r="A1254" s="980"/>
    </row>
    <row r="1255" spans="1:1" x14ac:dyDescent="0.35">
      <c r="A1255" s="980"/>
    </row>
    <row r="1256" spans="1:1" x14ac:dyDescent="0.35">
      <c r="A1256" s="980"/>
    </row>
    <row r="1257" spans="1:1" x14ac:dyDescent="0.35">
      <c r="A1257" s="980"/>
    </row>
    <row r="1258" spans="1:1" x14ac:dyDescent="0.35">
      <c r="A1258" s="980"/>
    </row>
    <row r="1259" spans="1:1" x14ac:dyDescent="0.35">
      <c r="A1259" s="980"/>
    </row>
    <row r="1260" spans="1:1" x14ac:dyDescent="0.35">
      <c r="A1260" s="980"/>
    </row>
    <row r="1261" spans="1:1" x14ac:dyDescent="0.35">
      <c r="A1261" s="980"/>
    </row>
    <row r="1262" spans="1:1" x14ac:dyDescent="0.35">
      <c r="A1262" s="980"/>
    </row>
    <row r="1263" spans="1:1" x14ac:dyDescent="0.35">
      <c r="A1263" s="980"/>
    </row>
    <row r="1264" spans="1:1" x14ac:dyDescent="0.35">
      <c r="A1264" s="980"/>
    </row>
    <row r="1265" spans="1:1" x14ac:dyDescent="0.35">
      <c r="A1265" s="980"/>
    </row>
    <row r="1266" spans="1:1" x14ac:dyDescent="0.35">
      <c r="A1266" s="980"/>
    </row>
    <row r="1267" spans="1:1" x14ac:dyDescent="0.35">
      <c r="A1267" s="980"/>
    </row>
    <row r="1268" spans="1:1" x14ac:dyDescent="0.35">
      <c r="A1268" s="980"/>
    </row>
    <row r="1269" spans="1:1" x14ac:dyDescent="0.35">
      <c r="A1269" s="980"/>
    </row>
    <row r="1270" spans="1:1" x14ac:dyDescent="0.35">
      <c r="A1270" s="980"/>
    </row>
    <row r="1271" spans="1:1" x14ac:dyDescent="0.35">
      <c r="A1271" s="980"/>
    </row>
    <row r="1272" spans="1:1" x14ac:dyDescent="0.35">
      <c r="A1272" s="980"/>
    </row>
    <row r="1273" spans="1:1" x14ac:dyDescent="0.35">
      <c r="A1273" s="980"/>
    </row>
    <row r="1274" spans="1:1" x14ac:dyDescent="0.35">
      <c r="A1274" s="980"/>
    </row>
    <row r="1275" spans="1:1" x14ac:dyDescent="0.35">
      <c r="A1275" s="980"/>
    </row>
    <row r="1276" spans="1:1" x14ac:dyDescent="0.35">
      <c r="A1276" s="980"/>
    </row>
    <row r="1277" spans="1:1" x14ac:dyDescent="0.35">
      <c r="A1277" s="980"/>
    </row>
    <row r="1278" spans="1:1" x14ac:dyDescent="0.35">
      <c r="A1278" s="980"/>
    </row>
    <row r="1279" spans="1:1" x14ac:dyDescent="0.35">
      <c r="A1279" s="980"/>
    </row>
    <row r="1280" spans="1:1" x14ac:dyDescent="0.35">
      <c r="A1280" s="980"/>
    </row>
    <row r="1281" spans="1:1" x14ac:dyDescent="0.35">
      <c r="A1281" s="980"/>
    </row>
    <row r="1282" spans="1:1" x14ac:dyDescent="0.35">
      <c r="A1282" s="980"/>
    </row>
    <row r="1283" spans="1:1" x14ac:dyDescent="0.35">
      <c r="A1283" s="980"/>
    </row>
    <row r="1284" spans="1:1" x14ac:dyDescent="0.35">
      <c r="A1284" s="980"/>
    </row>
    <row r="1285" spans="1:1" x14ac:dyDescent="0.35">
      <c r="A1285" s="980"/>
    </row>
    <row r="1286" spans="1:1" x14ac:dyDescent="0.35">
      <c r="A1286" s="980"/>
    </row>
    <row r="1287" spans="1:1" x14ac:dyDescent="0.35">
      <c r="A1287" s="980"/>
    </row>
    <row r="1288" spans="1:1" x14ac:dyDescent="0.35">
      <c r="A1288" s="980"/>
    </row>
    <row r="1289" spans="1:1" x14ac:dyDescent="0.35">
      <c r="A1289" s="980"/>
    </row>
    <row r="1290" spans="1:1" x14ac:dyDescent="0.35">
      <c r="A1290" s="980"/>
    </row>
    <row r="1291" spans="1:1" x14ac:dyDescent="0.35">
      <c r="A1291" s="980"/>
    </row>
    <row r="1292" spans="1:1" x14ac:dyDescent="0.35">
      <c r="A1292" s="980"/>
    </row>
    <row r="1293" spans="1:1" x14ac:dyDescent="0.35">
      <c r="A1293" s="980"/>
    </row>
    <row r="1294" spans="1:1" x14ac:dyDescent="0.35">
      <c r="A1294" s="980"/>
    </row>
    <row r="1295" spans="1:1" x14ac:dyDescent="0.35">
      <c r="A1295" s="980"/>
    </row>
    <row r="1296" spans="1:1" x14ac:dyDescent="0.35">
      <c r="A1296" s="980"/>
    </row>
    <row r="1297" spans="1:1" x14ac:dyDescent="0.35">
      <c r="A1297" s="980"/>
    </row>
    <row r="1298" spans="1:1" x14ac:dyDescent="0.35">
      <c r="A1298" s="980"/>
    </row>
    <row r="1299" spans="1:1" x14ac:dyDescent="0.35">
      <c r="A1299" s="980"/>
    </row>
    <row r="1300" spans="1:1" x14ac:dyDescent="0.35">
      <c r="A1300" s="980"/>
    </row>
    <row r="1301" spans="1:1" x14ac:dyDescent="0.35">
      <c r="A1301" s="980"/>
    </row>
    <row r="1302" spans="1:1" x14ac:dyDescent="0.35">
      <c r="A1302" s="980"/>
    </row>
    <row r="1303" spans="1:1" x14ac:dyDescent="0.35">
      <c r="A1303" s="980"/>
    </row>
    <row r="1304" spans="1:1" x14ac:dyDescent="0.35">
      <c r="A1304" s="980"/>
    </row>
    <row r="1305" spans="1:1" x14ac:dyDescent="0.35">
      <c r="A1305" s="980"/>
    </row>
    <row r="1306" spans="1:1" x14ac:dyDescent="0.35">
      <c r="A1306" s="980"/>
    </row>
    <row r="1307" spans="1:1" x14ac:dyDescent="0.35">
      <c r="A1307" s="980"/>
    </row>
    <row r="1308" spans="1:1" x14ac:dyDescent="0.35">
      <c r="A1308" s="980"/>
    </row>
    <row r="1309" spans="1:1" x14ac:dyDescent="0.35">
      <c r="A1309" s="980"/>
    </row>
    <row r="1310" spans="1:1" x14ac:dyDescent="0.35">
      <c r="A1310" s="980"/>
    </row>
    <row r="1311" spans="1:1" x14ac:dyDescent="0.35">
      <c r="A1311" s="980"/>
    </row>
    <row r="1312" spans="1:1" x14ac:dyDescent="0.35">
      <c r="A1312" s="980"/>
    </row>
    <row r="1313" spans="1:1" x14ac:dyDescent="0.35">
      <c r="A1313" s="980"/>
    </row>
    <row r="1314" spans="1:1" x14ac:dyDescent="0.35">
      <c r="A1314" s="980"/>
    </row>
    <row r="1315" spans="1:1" x14ac:dyDescent="0.35">
      <c r="A1315" s="980"/>
    </row>
    <row r="1316" spans="1:1" x14ac:dyDescent="0.35">
      <c r="A1316" s="980"/>
    </row>
    <row r="1317" spans="1:1" x14ac:dyDescent="0.35">
      <c r="A1317" s="980"/>
    </row>
    <row r="1318" spans="1:1" x14ac:dyDescent="0.35">
      <c r="A1318" s="980"/>
    </row>
    <row r="1319" spans="1:1" x14ac:dyDescent="0.35">
      <c r="A1319" s="980"/>
    </row>
    <row r="1320" spans="1:1" x14ac:dyDescent="0.35">
      <c r="A1320" s="980"/>
    </row>
    <row r="1321" spans="1:1" x14ac:dyDescent="0.35">
      <c r="A1321" s="980"/>
    </row>
    <row r="1322" spans="1:1" x14ac:dyDescent="0.35">
      <c r="A1322" s="980"/>
    </row>
    <row r="1323" spans="1:1" x14ac:dyDescent="0.35">
      <c r="A1323" s="980"/>
    </row>
    <row r="1324" spans="1:1" x14ac:dyDescent="0.35">
      <c r="A1324" s="980"/>
    </row>
    <row r="1325" spans="1:1" x14ac:dyDescent="0.35">
      <c r="A1325" s="980"/>
    </row>
    <row r="1326" spans="1:1" x14ac:dyDescent="0.35">
      <c r="A1326" s="980"/>
    </row>
    <row r="1327" spans="1:1" x14ac:dyDescent="0.35">
      <c r="A1327" s="980"/>
    </row>
    <row r="1328" spans="1:1" x14ac:dyDescent="0.35">
      <c r="A1328" s="980"/>
    </row>
    <row r="1329" spans="1:1" x14ac:dyDescent="0.35">
      <c r="A1329" s="980"/>
    </row>
    <row r="1330" spans="1:1" x14ac:dyDescent="0.35">
      <c r="A1330" s="980"/>
    </row>
    <row r="1331" spans="1:1" x14ac:dyDescent="0.35">
      <c r="A1331" s="980"/>
    </row>
    <row r="1332" spans="1:1" x14ac:dyDescent="0.35">
      <c r="A1332" s="980"/>
    </row>
    <row r="1333" spans="1:1" x14ac:dyDescent="0.35">
      <c r="A1333" s="980"/>
    </row>
    <row r="1334" spans="1:1" x14ac:dyDescent="0.35">
      <c r="A1334" s="980"/>
    </row>
    <row r="1335" spans="1:1" x14ac:dyDescent="0.35">
      <c r="A1335" s="980"/>
    </row>
    <row r="1336" spans="1:1" x14ac:dyDescent="0.35">
      <c r="A1336" s="980"/>
    </row>
    <row r="1337" spans="1:1" x14ac:dyDescent="0.35">
      <c r="A1337" s="980"/>
    </row>
    <row r="1338" spans="1:1" x14ac:dyDescent="0.35">
      <c r="A1338" s="980"/>
    </row>
    <row r="1339" spans="1:1" x14ac:dyDescent="0.35">
      <c r="A1339" s="980"/>
    </row>
    <row r="1340" spans="1:1" x14ac:dyDescent="0.35">
      <c r="A1340" s="980"/>
    </row>
    <row r="1341" spans="1:1" x14ac:dyDescent="0.35">
      <c r="A1341" s="980"/>
    </row>
    <row r="1342" spans="1:1" x14ac:dyDescent="0.35">
      <c r="A1342" s="980"/>
    </row>
    <row r="1343" spans="1:1" x14ac:dyDescent="0.35">
      <c r="A1343" s="980"/>
    </row>
    <row r="1344" spans="1:1" x14ac:dyDescent="0.35">
      <c r="A1344" s="980"/>
    </row>
    <row r="1345" spans="1:1" x14ac:dyDescent="0.35">
      <c r="A1345" s="980"/>
    </row>
    <row r="1346" spans="1:1" x14ac:dyDescent="0.35">
      <c r="A1346" s="980"/>
    </row>
    <row r="1347" spans="1:1" x14ac:dyDescent="0.35">
      <c r="A1347" s="980"/>
    </row>
    <row r="1348" spans="1:1" x14ac:dyDescent="0.35">
      <c r="A1348" s="980"/>
    </row>
    <row r="1349" spans="1:1" x14ac:dyDescent="0.35">
      <c r="A1349" s="980"/>
    </row>
    <row r="1350" spans="1:1" x14ac:dyDescent="0.35">
      <c r="A1350" s="980"/>
    </row>
    <row r="1351" spans="1:1" x14ac:dyDescent="0.35">
      <c r="A1351" s="980"/>
    </row>
    <row r="1352" spans="1:1" x14ac:dyDescent="0.35">
      <c r="A1352" s="980"/>
    </row>
    <row r="1353" spans="1:1" x14ac:dyDescent="0.35">
      <c r="A1353" s="980"/>
    </row>
    <row r="1354" spans="1:1" x14ac:dyDescent="0.35">
      <c r="A1354" s="980"/>
    </row>
    <row r="1355" spans="1:1" x14ac:dyDescent="0.35">
      <c r="A1355" s="980"/>
    </row>
    <row r="1356" spans="1:1" x14ac:dyDescent="0.35">
      <c r="A1356" s="980"/>
    </row>
    <row r="1357" spans="1:1" x14ac:dyDescent="0.35">
      <c r="A1357" s="980"/>
    </row>
    <row r="1358" spans="1:1" x14ac:dyDescent="0.35">
      <c r="A1358" s="980"/>
    </row>
    <row r="1359" spans="1:1" x14ac:dyDescent="0.35">
      <c r="A1359" s="980"/>
    </row>
    <row r="1360" spans="1:1" x14ac:dyDescent="0.35">
      <c r="A1360" s="980"/>
    </row>
    <row r="1361" spans="1:1" x14ac:dyDescent="0.35">
      <c r="A1361" s="980"/>
    </row>
    <row r="1362" spans="1:1" x14ac:dyDescent="0.35">
      <c r="A1362" s="980"/>
    </row>
    <row r="1363" spans="1:1" x14ac:dyDescent="0.35">
      <c r="A1363" s="980"/>
    </row>
    <row r="1364" spans="1:1" x14ac:dyDescent="0.35">
      <c r="A1364" s="980"/>
    </row>
    <row r="1365" spans="1:1" x14ac:dyDescent="0.35">
      <c r="A1365" s="980"/>
    </row>
    <row r="1366" spans="1:1" x14ac:dyDescent="0.35">
      <c r="A1366" s="980"/>
    </row>
    <row r="1367" spans="1:1" x14ac:dyDescent="0.35">
      <c r="A1367" s="980"/>
    </row>
    <row r="1368" spans="1:1" x14ac:dyDescent="0.35">
      <c r="A1368" s="980"/>
    </row>
    <row r="1369" spans="1:1" x14ac:dyDescent="0.35">
      <c r="A1369" s="980"/>
    </row>
    <row r="1370" spans="1:1" x14ac:dyDescent="0.35">
      <c r="A1370" s="980"/>
    </row>
    <row r="1371" spans="1:1" x14ac:dyDescent="0.35">
      <c r="A1371" s="980"/>
    </row>
    <row r="1372" spans="1:1" x14ac:dyDescent="0.35">
      <c r="A1372" s="980"/>
    </row>
    <row r="1373" spans="1:1" x14ac:dyDescent="0.35">
      <c r="A1373" s="980"/>
    </row>
    <row r="1374" spans="1:1" x14ac:dyDescent="0.35">
      <c r="A1374" s="980"/>
    </row>
    <row r="1375" spans="1:1" x14ac:dyDescent="0.35">
      <c r="A1375" s="980"/>
    </row>
    <row r="1376" spans="1:1" x14ac:dyDescent="0.35">
      <c r="A1376" s="980"/>
    </row>
    <row r="1377" spans="1:1" x14ac:dyDescent="0.35">
      <c r="A1377" s="980"/>
    </row>
    <row r="1378" spans="1:1" x14ac:dyDescent="0.35">
      <c r="A1378" s="980"/>
    </row>
    <row r="1379" spans="1:1" x14ac:dyDescent="0.35">
      <c r="A1379" s="980"/>
    </row>
    <row r="1380" spans="1:1" x14ac:dyDescent="0.35">
      <c r="A1380" s="980"/>
    </row>
    <row r="1381" spans="1:1" x14ac:dyDescent="0.35">
      <c r="A1381" s="980"/>
    </row>
    <row r="1382" spans="1:1" x14ac:dyDescent="0.35">
      <c r="A1382" s="980"/>
    </row>
    <row r="1383" spans="1:1" x14ac:dyDescent="0.35">
      <c r="A1383" s="980"/>
    </row>
    <row r="1384" spans="1:1" x14ac:dyDescent="0.35">
      <c r="A1384" s="980"/>
    </row>
    <row r="1385" spans="1:1" x14ac:dyDescent="0.35">
      <c r="A1385" s="980"/>
    </row>
    <row r="1386" spans="1:1" x14ac:dyDescent="0.35">
      <c r="A1386" s="980"/>
    </row>
    <row r="1387" spans="1:1" x14ac:dyDescent="0.35">
      <c r="A1387" s="980"/>
    </row>
    <row r="1388" spans="1:1" x14ac:dyDescent="0.35">
      <c r="A1388" s="980"/>
    </row>
    <row r="1389" spans="1:1" x14ac:dyDescent="0.35">
      <c r="A1389" s="980"/>
    </row>
    <row r="1390" spans="1:1" x14ac:dyDescent="0.35">
      <c r="A1390" s="980"/>
    </row>
    <row r="1391" spans="1:1" x14ac:dyDescent="0.35">
      <c r="A1391" s="980"/>
    </row>
    <row r="1392" spans="1:1" x14ac:dyDescent="0.35">
      <c r="A1392" s="980"/>
    </row>
    <row r="1393" spans="1:1" x14ac:dyDescent="0.35">
      <c r="A1393" s="980"/>
    </row>
    <row r="1394" spans="1:1" x14ac:dyDescent="0.35">
      <c r="A1394" s="980"/>
    </row>
    <row r="1395" spans="1:1" x14ac:dyDescent="0.35">
      <c r="A1395" s="980"/>
    </row>
    <row r="1396" spans="1:1" x14ac:dyDescent="0.35">
      <c r="A1396" s="980"/>
    </row>
    <row r="1397" spans="1:1" x14ac:dyDescent="0.35">
      <c r="A1397" s="980"/>
    </row>
    <row r="1398" spans="1:1" x14ac:dyDescent="0.35">
      <c r="A1398" s="980"/>
    </row>
    <row r="1399" spans="1:1" x14ac:dyDescent="0.35">
      <c r="A1399" s="980"/>
    </row>
    <row r="1400" spans="1:1" x14ac:dyDescent="0.35">
      <c r="A1400" s="980"/>
    </row>
    <row r="1401" spans="1:1" x14ac:dyDescent="0.35">
      <c r="A1401" s="980"/>
    </row>
    <row r="1402" spans="1:1" x14ac:dyDescent="0.35">
      <c r="A1402" s="980"/>
    </row>
    <row r="1403" spans="1:1" x14ac:dyDescent="0.35">
      <c r="A1403" s="980"/>
    </row>
    <row r="1404" spans="1:1" x14ac:dyDescent="0.35">
      <c r="A1404" s="980"/>
    </row>
    <row r="1405" spans="1:1" x14ac:dyDescent="0.35">
      <c r="A1405" s="980"/>
    </row>
    <row r="1406" spans="1:1" x14ac:dyDescent="0.35">
      <c r="A1406" s="980"/>
    </row>
    <row r="1407" spans="1:1" x14ac:dyDescent="0.35">
      <c r="A1407" s="980"/>
    </row>
    <row r="1408" spans="1:1" x14ac:dyDescent="0.35">
      <c r="A1408" s="980"/>
    </row>
    <row r="1409" spans="1:1" x14ac:dyDescent="0.35">
      <c r="A1409" s="980"/>
    </row>
    <row r="1410" spans="1:1" x14ac:dyDescent="0.35">
      <c r="A1410" s="980"/>
    </row>
    <row r="1411" spans="1:1" x14ac:dyDescent="0.35">
      <c r="A1411" s="980"/>
    </row>
    <row r="1412" spans="1:1" x14ac:dyDescent="0.35">
      <c r="A1412" s="980"/>
    </row>
    <row r="1413" spans="1:1" x14ac:dyDescent="0.35">
      <c r="A1413" s="980"/>
    </row>
    <row r="1414" spans="1:1" x14ac:dyDescent="0.35">
      <c r="A1414" s="980"/>
    </row>
    <row r="1415" spans="1:1" x14ac:dyDescent="0.35">
      <c r="A1415" s="980"/>
    </row>
    <row r="1416" spans="1:1" x14ac:dyDescent="0.35">
      <c r="A1416" s="980"/>
    </row>
    <row r="1417" spans="1:1" x14ac:dyDescent="0.35">
      <c r="A1417" s="980"/>
    </row>
    <row r="1418" spans="1:1" x14ac:dyDescent="0.35">
      <c r="A1418" s="980"/>
    </row>
    <row r="1419" spans="1:1" x14ac:dyDescent="0.35">
      <c r="A1419" s="980"/>
    </row>
    <row r="1420" spans="1:1" x14ac:dyDescent="0.35">
      <c r="A1420" s="980"/>
    </row>
    <row r="1421" spans="1:1" x14ac:dyDescent="0.35">
      <c r="A1421" s="980"/>
    </row>
    <row r="1422" spans="1:1" x14ac:dyDescent="0.35">
      <c r="A1422" s="980"/>
    </row>
    <row r="1423" spans="1:1" x14ac:dyDescent="0.35">
      <c r="A1423" s="980"/>
    </row>
    <row r="1424" spans="1:1" x14ac:dyDescent="0.35">
      <c r="A1424" s="980"/>
    </row>
    <row r="1425" spans="1:1" x14ac:dyDescent="0.35">
      <c r="A1425" s="980"/>
    </row>
    <row r="1426" spans="1:1" x14ac:dyDescent="0.35">
      <c r="A1426" s="980"/>
    </row>
    <row r="1427" spans="1:1" x14ac:dyDescent="0.35">
      <c r="A1427" s="980"/>
    </row>
    <row r="1428" spans="1:1" x14ac:dyDescent="0.35">
      <c r="A1428" s="980"/>
    </row>
    <row r="1429" spans="1:1" x14ac:dyDescent="0.35">
      <c r="A1429" s="980"/>
    </row>
    <row r="1430" spans="1:1" x14ac:dyDescent="0.35">
      <c r="A1430" s="980"/>
    </row>
    <row r="1431" spans="1:1" x14ac:dyDescent="0.35">
      <c r="A1431" s="980"/>
    </row>
    <row r="1432" spans="1:1" x14ac:dyDescent="0.35">
      <c r="A1432" s="980"/>
    </row>
    <row r="1433" spans="1:1" x14ac:dyDescent="0.35">
      <c r="A1433" s="980"/>
    </row>
    <row r="1434" spans="1:1" x14ac:dyDescent="0.35">
      <c r="A1434" s="980"/>
    </row>
    <row r="1435" spans="1:1" x14ac:dyDescent="0.35">
      <c r="A1435" s="980"/>
    </row>
    <row r="1436" spans="1:1" x14ac:dyDescent="0.35">
      <c r="A1436" s="980"/>
    </row>
    <row r="1437" spans="1:1" x14ac:dyDescent="0.35">
      <c r="A1437" s="980"/>
    </row>
    <row r="1438" spans="1:1" x14ac:dyDescent="0.35">
      <c r="A1438" s="980"/>
    </row>
    <row r="1439" spans="1:1" x14ac:dyDescent="0.35">
      <c r="A1439" s="980"/>
    </row>
    <row r="1440" spans="1:1" x14ac:dyDescent="0.35">
      <c r="A1440" s="980"/>
    </row>
    <row r="1441" spans="1:1" x14ac:dyDescent="0.35">
      <c r="A1441" s="980"/>
    </row>
    <row r="1442" spans="1:1" x14ac:dyDescent="0.35">
      <c r="A1442" s="980"/>
    </row>
    <row r="1443" spans="1:1" x14ac:dyDescent="0.35">
      <c r="A1443" s="980"/>
    </row>
    <row r="1444" spans="1:1" x14ac:dyDescent="0.35">
      <c r="A1444" s="980"/>
    </row>
    <row r="1445" spans="1:1" x14ac:dyDescent="0.35">
      <c r="A1445" s="980"/>
    </row>
    <row r="1446" spans="1:1" x14ac:dyDescent="0.35">
      <c r="A1446" s="980"/>
    </row>
    <row r="1447" spans="1:1" x14ac:dyDescent="0.35">
      <c r="A1447" s="980"/>
    </row>
    <row r="1448" spans="1:1" x14ac:dyDescent="0.35">
      <c r="A1448" s="980"/>
    </row>
    <row r="1449" spans="1:1" x14ac:dyDescent="0.35">
      <c r="A1449" s="980"/>
    </row>
    <row r="1450" spans="1:1" x14ac:dyDescent="0.35">
      <c r="A1450" s="980"/>
    </row>
    <row r="1451" spans="1:1" x14ac:dyDescent="0.35">
      <c r="A1451" s="980"/>
    </row>
    <row r="1452" spans="1:1" x14ac:dyDescent="0.35">
      <c r="A1452" s="980"/>
    </row>
    <row r="1453" spans="1:1" x14ac:dyDescent="0.35">
      <c r="A1453" s="980"/>
    </row>
    <row r="1454" spans="1:1" x14ac:dyDescent="0.35">
      <c r="A1454" s="980"/>
    </row>
    <row r="1455" spans="1:1" x14ac:dyDescent="0.35">
      <c r="A1455" s="980"/>
    </row>
    <row r="1456" spans="1:1" x14ac:dyDescent="0.35">
      <c r="A1456" s="980"/>
    </row>
    <row r="1457" spans="1:1" x14ac:dyDescent="0.35">
      <c r="A1457" s="980"/>
    </row>
    <row r="1458" spans="1:1" x14ac:dyDescent="0.35">
      <c r="A1458" s="980"/>
    </row>
    <row r="1459" spans="1:1" x14ac:dyDescent="0.35">
      <c r="A1459" s="980"/>
    </row>
    <row r="1460" spans="1:1" x14ac:dyDescent="0.35">
      <c r="A1460" s="980"/>
    </row>
    <row r="1461" spans="1:1" x14ac:dyDescent="0.35">
      <c r="A1461" s="980"/>
    </row>
    <row r="1462" spans="1:1" x14ac:dyDescent="0.35">
      <c r="A1462" s="980"/>
    </row>
    <row r="1463" spans="1:1" x14ac:dyDescent="0.35">
      <c r="A1463" s="980"/>
    </row>
    <row r="1464" spans="1:1" x14ac:dyDescent="0.35">
      <c r="A1464" s="980"/>
    </row>
    <row r="1465" spans="1:1" x14ac:dyDescent="0.35">
      <c r="A1465" s="980"/>
    </row>
    <row r="1466" spans="1:1" x14ac:dyDescent="0.35">
      <c r="A1466" s="980"/>
    </row>
    <row r="1467" spans="1:1" x14ac:dyDescent="0.35">
      <c r="A1467" s="980"/>
    </row>
    <row r="1468" spans="1:1" x14ac:dyDescent="0.35">
      <c r="A1468" s="980"/>
    </row>
    <row r="1469" spans="1:1" x14ac:dyDescent="0.35">
      <c r="A1469" s="980"/>
    </row>
    <row r="1470" spans="1:1" x14ac:dyDescent="0.35">
      <c r="A1470" s="980"/>
    </row>
    <row r="1471" spans="1:1" x14ac:dyDescent="0.35">
      <c r="A1471" s="980"/>
    </row>
    <row r="1472" spans="1:1" x14ac:dyDescent="0.35">
      <c r="A1472" s="980"/>
    </row>
    <row r="1473" spans="1:1" x14ac:dyDescent="0.35">
      <c r="A1473" s="980"/>
    </row>
    <row r="1474" spans="1:1" x14ac:dyDescent="0.35">
      <c r="A1474" s="980"/>
    </row>
    <row r="1475" spans="1:1" x14ac:dyDescent="0.35">
      <c r="A1475" s="980"/>
    </row>
    <row r="1476" spans="1:1" x14ac:dyDescent="0.35">
      <c r="A1476" s="980"/>
    </row>
    <row r="1477" spans="1:1" x14ac:dyDescent="0.35">
      <c r="A1477" s="980"/>
    </row>
    <row r="1478" spans="1:1" x14ac:dyDescent="0.35">
      <c r="A1478" s="980"/>
    </row>
    <row r="1479" spans="1:1" x14ac:dyDescent="0.35">
      <c r="A1479" s="980"/>
    </row>
    <row r="1480" spans="1:1" x14ac:dyDescent="0.35">
      <c r="A1480" s="980"/>
    </row>
    <row r="1481" spans="1:1" x14ac:dyDescent="0.35">
      <c r="A1481" s="980"/>
    </row>
    <row r="1482" spans="1:1" x14ac:dyDescent="0.35">
      <c r="A1482" s="980"/>
    </row>
    <row r="1483" spans="1:1" x14ac:dyDescent="0.35">
      <c r="A1483" s="980"/>
    </row>
    <row r="1484" spans="1:1" x14ac:dyDescent="0.35">
      <c r="A1484" s="980"/>
    </row>
    <row r="1485" spans="1:1" x14ac:dyDescent="0.35">
      <c r="A1485" s="980"/>
    </row>
    <row r="1486" spans="1:1" x14ac:dyDescent="0.35">
      <c r="A1486" s="980"/>
    </row>
    <row r="1487" spans="1:1" x14ac:dyDescent="0.35">
      <c r="A1487" s="980"/>
    </row>
    <row r="1488" spans="1:1" x14ac:dyDescent="0.35">
      <c r="A1488" s="980"/>
    </row>
    <row r="1489" spans="1:1" x14ac:dyDescent="0.35">
      <c r="A1489" s="980"/>
    </row>
    <row r="1490" spans="1:1" x14ac:dyDescent="0.35">
      <c r="A1490" s="980"/>
    </row>
    <row r="1491" spans="1:1" x14ac:dyDescent="0.35">
      <c r="A1491" s="980"/>
    </row>
    <row r="1492" spans="1:1" x14ac:dyDescent="0.35">
      <c r="A1492" s="980"/>
    </row>
    <row r="1493" spans="1:1" x14ac:dyDescent="0.35">
      <c r="A1493" s="980"/>
    </row>
    <row r="1494" spans="1:1" x14ac:dyDescent="0.35">
      <c r="A1494" s="980"/>
    </row>
    <row r="1495" spans="1:1" x14ac:dyDescent="0.35">
      <c r="A1495" s="980"/>
    </row>
    <row r="1496" spans="1:1" x14ac:dyDescent="0.35">
      <c r="A1496" s="980"/>
    </row>
    <row r="1497" spans="1:1" x14ac:dyDescent="0.35">
      <c r="A1497" s="980"/>
    </row>
    <row r="1498" spans="1:1" x14ac:dyDescent="0.35">
      <c r="A1498" s="980"/>
    </row>
    <row r="1499" spans="1:1" x14ac:dyDescent="0.35">
      <c r="A1499" s="980"/>
    </row>
    <row r="1500" spans="1:1" x14ac:dyDescent="0.35">
      <c r="A1500" s="980"/>
    </row>
    <row r="1501" spans="1:1" x14ac:dyDescent="0.35">
      <c r="A1501" s="980"/>
    </row>
    <row r="1502" spans="1:1" x14ac:dyDescent="0.35">
      <c r="A1502" s="980"/>
    </row>
    <row r="1503" spans="1:1" x14ac:dyDescent="0.35">
      <c r="A1503" s="980"/>
    </row>
    <row r="1504" spans="1:1" x14ac:dyDescent="0.35">
      <c r="A1504" s="980"/>
    </row>
    <row r="1505" spans="1:1" x14ac:dyDescent="0.35">
      <c r="A1505" s="980"/>
    </row>
    <row r="1506" spans="1:1" x14ac:dyDescent="0.35">
      <c r="A1506" s="980"/>
    </row>
    <row r="1507" spans="1:1" x14ac:dyDescent="0.35">
      <c r="A1507" s="980"/>
    </row>
    <row r="1508" spans="1:1" x14ac:dyDescent="0.35">
      <c r="A1508" s="980"/>
    </row>
    <row r="1509" spans="1:1" x14ac:dyDescent="0.35">
      <c r="A1509" s="980"/>
    </row>
    <row r="1510" spans="1:1" x14ac:dyDescent="0.35">
      <c r="A1510" s="980"/>
    </row>
    <row r="1511" spans="1:1" x14ac:dyDescent="0.35">
      <c r="A1511" s="980"/>
    </row>
    <row r="1512" spans="1:1" x14ac:dyDescent="0.35">
      <c r="A1512" s="980"/>
    </row>
    <row r="1513" spans="1:1" x14ac:dyDescent="0.35">
      <c r="A1513" s="980"/>
    </row>
    <row r="1514" spans="1:1" x14ac:dyDescent="0.35">
      <c r="A1514" s="980"/>
    </row>
    <row r="1515" spans="1:1" x14ac:dyDescent="0.35">
      <c r="A1515" s="980"/>
    </row>
    <row r="1516" spans="1:1" x14ac:dyDescent="0.35">
      <c r="A1516" s="980"/>
    </row>
    <row r="1517" spans="1:1" x14ac:dyDescent="0.35">
      <c r="A1517" s="980"/>
    </row>
    <row r="1518" spans="1:1" x14ac:dyDescent="0.35">
      <c r="A1518" s="980"/>
    </row>
    <row r="1519" spans="1:1" x14ac:dyDescent="0.35">
      <c r="A1519" s="980"/>
    </row>
    <row r="1520" spans="1:1" x14ac:dyDescent="0.35">
      <c r="A1520" s="980"/>
    </row>
    <row r="1521" spans="1:1" x14ac:dyDescent="0.35">
      <c r="A1521" s="980"/>
    </row>
    <row r="1522" spans="1:1" x14ac:dyDescent="0.35">
      <c r="A1522" s="980"/>
    </row>
    <row r="1523" spans="1:1" x14ac:dyDescent="0.35">
      <c r="A1523" s="980"/>
    </row>
    <row r="1524" spans="1:1" x14ac:dyDescent="0.35">
      <c r="A1524" s="980"/>
    </row>
    <row r="1525" spans="1:1" x14ac:dyDescent="0.35">
      <c r="A1525" s="980"/>
    </row>
    <row r="1526" spans="1:1" x14ac:dyDescent="0.35">
      <c r="A1526" s="980"/>
    </row>
    <row r="1527" spans="1:1" x14ac:dyDescent="0.35">
      <c r="A1527" s="980"/>
    </row>
    <row r="1528" spans="1:1" x14ac:dyDescent="0.35">
      <c r="A1528" s="980"/>
    </row>
    <row r="1529" spans="1:1" x14ac:dyDescent="0.35">
      <c r="A1529" s="980"/>
    </row>
    <row r="1530" spans="1:1" x14ac:dyDescent="0.35">
      <c r="A1530" s="980"/>
    </row>
    <row r="1531" spans="1:1" x14ac:dyDescent="0.35">
      <c r="A1531" s="980"/>
    </row>
    <row r="1532" spans="1:1" x14ac:dyDescent="0.35">
      <c r="A1532" s="980"/>
    </row>
    <row r="1533" spans="1:1" x14ac:dyDescent="0.35">
      <c r="A1533" s="980"/>
    </row>
    <row r="1534" spans="1:1" x14ac:dyDescent="0.35">
      <c r="A1534" s="980"/>
    </row>
    <row r="1535" spans="1:1" x14ac:dyDescent="0.35">
      <c r="A1535" s="980"/>
    </row>
    <row r="1536" spans="1:1" x14ac:dyDescent="0.35">
      <c r="A1536" s="980"/>
    </row>
    <row r="1537" spans="1:1" x14ac:dyDescent="0.35">
      <c r="A1537" s="980"/>
    </row>
    <row r="1538" spans="1:1" x14ac:dyDescent="0.35">
      <c r="A1538" s="980"/>
    </row>
    <row r="1539" spans="1:1" x14ac:dyDescent="0.35">
      <c r="A1539" s="980"/>
    </row>
    <row r="1540" spans="1:1" x14ac:dyDescent="0.35">
      <c r="A1540" s="980"/>
    </row>
    <row r="1541" spans="1:1" x14ac:dyDescent="0.35">
      <c r="A1541" s="980"/>
    </row>
    <row r="1542" spans="1:1" x14ac:dyDescent="0.35">
      <c r="A1542" s="980"/>
    </row>
    <row r="1543" spans="1:1" x14ac:dyDescent="0.35">
      <c r="A1543" s="980"/>
    </row>
    <row r="1544" spans="1:1" x14ac:dyDescent="0.35">
      <c r="A1544" s="980"/>
    </row>
    <row r="1545" spans="1:1" x14ac:dyDescent="0.35">
      <c r="A1545" s="980"/>
    </row>
    <row r="1546" spans="1:1" x14ac:dyDescent="0.35">
      <c r="A1546" s="980"/>
    </row>
    <row r="1547" spans="1:1" x14ac:dyDescent="0.35">
      <c r="A1547" s="980"/>
    </row>
    <row r="1548" spans="1:1" x14ac:dyDescent="0.35">
      <c r="A1548" s="980"/>
    </row>
    <row r="1549" spans="1:1" x14ac:dyDescent="0.35">
      <c r="A1549" s="980"/>
    </row>
    <row r="1550" spans="1:1" x14ac:dyDescent="0.35">
      <c r="A1550" s="980"/>
    </row>
    <row r="1551" spans="1:1" x14ac:dyDescent="0.35">
      <c r="A1551" s="980"/>
    </row>
    <row r="1552" spans="1:1" x14ac:dyDescent="0.35">
      <c r="A1552" s="980"/>
    </row>
    <row r="1553" spans="1:1" x14ac:dyDescent="0.35">
      <c r="A1553" s="980"/>
    </row>
    <row r="1554" spans="1:1" x14ac:dyDescent="0.35">
      <c r="A1554" s="980"/>
    </row>
    <row r="1555" spans="1:1" x14ac:dyDescent="0.35">
      <c r="A1555" s="980"/>
    </row>
    <row r="1556" spans="1:1" x14ac:dyDescent="0.35">
      <c r="A1556" s="980"/>
    </row>
    <row r="1557" spans="1:1" x14ac:dyDescent="0.35">
      <c r="A1557" s="980"/>
    </row>
    <row r="1558" spans="1:1" x14ac:dyDescent="0.35">
      <c r="A1558" s="980"/>
    </row>
    <row r="1559" spans="1:1" x14ac:dyDescent="0.35">
      <c r="A1559" s="980"/>
    </row>
    <row r="1560" spans="1:1" x14ac:dyDescent="0.35">
      <c r="A1560" s="980"/>
    </row>
    <row r="1561" spans="1:1" x14ac:dyDescent="0.35">
      <c r="A1561" s="980"/>
    </row>
    <row r="1562" spans="1:1" x14ac:dyDescent="0.35">
      <c r="A1562" s="980"/>
    </row>
    <row r="1563" spans="1:1" x14ac:dyDescent="0.35">
      <c r="A1563" s="980"/>
    </row>
    <row r="1564" spans="1:1" x14ac:dyDescent="0.35">
      <c r="A1564" s="980"/>
    </row>
    <row r="1565" spans="1:1" x14ac:dyDescent="0.35">
      <c r="A1565" s="980"/>
    </row>
    <row r="1566" spans="1:1" x14ac:dyDescent="0.35">
      <c r="A1566" s="980"/>
    </row>
    <row r="1567" spans="1:1" x14ac:dyDescent="0.35">
      <c r="A1567" s="980"/>
    </row>
    <row r="1568" spans="1:1" x14ac:dyDescent="0.35">
      <c r="A1568" s="980"/>
    </row>
    <row r="1569" spans="1:1" x14ac:dyDescent="0.35">
      <c r="A1569" s="980"/>
    </row>
    <row r="1570" spans="1:1" x14ac:dyDescent="0.35">
      <c r="A1570" s="980"/>
    </row>
    <row r="1571" spans="1:1" x14ac:dyDescent="0.35">
      <c r="A1571" s="980"/>
    </row>
    <row r="1572" spans="1:1" x14ac:dyDescent="0.35">
      <c r="A1572" s="980"/>
    </row>
    <row r="1573" spans="1:1" x14ac:dyDescent="0.35">
      <c r="A1573" s="980"/>
    </row>
    <row r="1574" spans="1:1" x14ac:dyDescent="0.35">
      <c r="A1574" s="980"/>
    </row>
    <row r="1575" spans="1:1" x14ac:dyDescent="0.35">
      <c r="A1575" s="980"/>
    </row>
    <row r="1576" spans="1:1" x14ac:dyDescent="0.35">
      <c r="A1576" s="980"/>
    </row>
    <row r="1577" spans="1:1" x14ac:dyDescent="0.35">
      <c r="A1577" s="980"/>
    </row>
    <row r="1578" spans="1:1" x14ac:dyDescent="0.35">
      <c r="A1578" s="980"/>
    </row>
    <row r="1579" spans="1:1" x14ac:dyDescent="0.35">
      <c r="A1579" s="980"/>
    </row>
    <row r="1580" spans="1:1" x14ac:dyDescent="0.35">
      <c r="A1580" s="980"/>
    </row>
    <row r="1581" spans="1:1" x14ac:dyDescent="0.35">
      <c r="A1581" s="980"/>
    </row>
    <row r="1582" spans="1:1" x14ac:dyDescent="0.35">
      <c r="A1582" s="980"/>
    </row>
    <row r="1583" spans="1:1" x14ac:dyDescent="0.35">
      <c r="A1583" s="980"/>
    </row>
    <row r="1584" spans="1:1" x14ac:dyDescent="0.35">
      <c r="A1584" s="980"/>
    </row>
    <row r="1585" spans="1:1" x14ac:dyDescent="0.35">
      <c r="A1585" s="980"/>
    </row>
    <row r="1586" spans="1:1" x14ac:dyDescent="0.35">
      <c r="A1586" s="980"/>
    </row>
    <row r="1587" spans="1:1" x14ac:dyDescent="0.35">
      <c r="A1587" s="980"/>
    </row>
    <row r="1588" spans="1:1" x14ac:dyDescent="0.35">
      <c r="A1588" s="980"/>
    </row>
    <row r="1589" spans="1:1" x14ac:dyDescent="0.35">
      <c r="A1589" s="980"/>
    </row>
    <row r="1590" spans="1:1" x14ac:dyDescent="0.35">
      <c r="A1590" s="980"/>
    </row>
    <row r="1591" spans="1:1" x14ac:dyDescent="0.35">
      <c r="A1591" s="980"/>
    </row>
    <row r="1592" spans="1:1" x14ac:dyDescent="0.35">
      <c r="A1592" s="980"/>
    </row>
    <row r="1593" spans="1:1" x14ac:dyDescent="0.35">
      <c r="A1593" s="980"/>
    </row>
    <row r="1594" spans="1:1" x14ac:dyDescent="0.35">
      <c r="A1594" s="980"/>
    </row>
    <row r="1595" spans="1:1" x14ac:dyDescent="0.35">
      <c r="A1595" s="980"/>
    </row>
    <row r="1596" spans="1:1" x14ac:dyDescent="0.35">
      <c r="A1596" s="980"/>
    </row>
    <row r="1597" spans="1:1" x14ac:dyDescent="0.35">
      <c r="A1597" s="980"/>
    </row>
    <row r="1598" spans="1:1" x14ac:dyDescent="0.35">
      <c r="A1598" s="980"/>
    </row>
    <row r="1599" spans="1:1" x14ac:dyDescent="0.35">
      <c r="A1599" s="980"/>
    </row>
    <row r="1600" spans="1:1" x14ac:dyDescent="0.35">
      <c r="A1600" s="980"/>
    </row>
    <row r="1601" spans="1:1" x14ac:dyDescent="0.35">
      <c r="A1601" s="980"/>
    </row>
    <row r="1602" spans="1:1" x14ac:dyDescent="0.35">
      <c r="A1602" s="980"/>
    </row>
    <row r="1603" spans="1:1" x14ac:dyDescent="0.35">
      <c r="A1603" s="980"/>
    </row>
    <row r="1604" spans="1:1" x14ac:dyDescent="0.35">
      <c r="A1604" s="980"/>
    </row>
    <row r="1605" spans="1:1" x14ac:dyDescent="0.35">
      <c r="A1605" s="980"/>
    </row>
    <row r="1606" spans="1:1" x14ac:dyDescent="0.35">
      <c r="A1606" s="980"/>
    </row>
    <row r="1607" spans="1:1" x14ac:dyDescent="0.35">
      <c r="A1607" s="980"/>
    </row>
    <row r="1608" spans="1:1" x14ac:dyDescent="0.35">
      <c r="A1608" s="980"/>
    </row>
    <row r="1609" spans="1:1" x14ac:dyDescent="0.35">
      <c r="A1609" s="980"/>
    </row>
    <row r="1610" spans="1:1" x14ac:dyDescent="0.35">
      <c r="A1610" s="980"/>
    </row>
    <row r="1611" spans="1:1" x14ac:dyDescent="0.35">
      <c r="A1611" s="980"/>
    </row>
    <row r="1612" spans="1:1" x14ac:dyDescent="0.35">
      <c r="A1612" s="980"/>
    </row>
    <row r="1613" spans="1:1" x14ac:dyDescent="0.35">
      <c r="A1613" s="980"/>
    </row>
    <row r="1614" spans="1:1" x14ac:dyDescent="0.35">
      <c r="A1614" s="980"/>
    </row>
    <row r="1615" spans="1:1" x14ac:dyDescent="0.35">
      <c r="A1615" s="980"/>
    </row>
    <row r="1616" spans="1:1" x14ac:dyDescent="0.35">
      <c r="A1616" s="980"/>
    </row>
    <row r="1617" spans="1:1" x14ac:dyDescent="0.35">
      <c r="A1617" s="980"/>
    </row>
    <row r="1618" spans="1:1" x14ac:dyDescent="0.35">
      <c r="A1618" s="980"/>
    </row>
    <row r="1619" spans="1:1" x14ac:dyDescent="0.35">
      <c r="A1619" s="980"/>
    </row>
    <row r="1620" spans="1:1" x14ac:dyDescent="0.35">
      <c r="A1620" s="980"/>
    </row>
    <row r="1621" spans="1:1" x14ac:dyDescent="0.35">
      <c r="A1621" s="980"/>
    </row>
    <row r="1622" spans="1:1" x14ac:dyDescent="0.35">
      <c r="A1622" s="980"/>
    </row>
    <row r="1623" spans="1:1" x14ac:dyDescent="0.35">
      <c r="A1623" s="980"/>
    </row>
    <row r="1624" spans="1:1" x14ac:dyDescent="0.35">
      <c r="A1624" s="980"/>
    </row>
    <row r="1625" spans="1:1" x14ac:dyDescent="0.35">
      <c r="A1625" s="980"/>
    </row>
    <row r="1626" spans="1:1" x14ac:dyDescent="0.35">
      <c r="A1626" s="980"/>
    </row>
    <row r="1627" spans="1:1" x14ac:dyDescent="0.35">
      <c r="A1627" s="980"/>
    </row>
    <row r="1628" spans="1:1" x14ac:dyDescent="0.35">
      <c r="A1628" s="980"/>
    </row>
    <row r="1629" spans="1:1" x14ac:dyDescent="0.35">
      <c r="A1629" s="980"/>
    </row>
    <row r="1630" spans="1:1" x14ac:dyDescent="0.35">
      <c r="A1630" s="980"/>
    </row>
    <row r="1631" spans="1:1" x14ac:dyDescent="0.35">
      <c r="A1631" s="980"/>
    </row>
    <row r="1632" spans="1:1" x14ac:dyDescent="0.35">
      <c r="A1632" s="980"/>
    </row>
    <row r="1633" spans="1:1" x14ac:dyDescent="0.35">
      <c r="A1633" s="980"/>
    </row>
    <row r="1634" spans="1:1" x14ac:dyDescent="0.35">
      <c r="A1634" s="980"/>
    </row>
    <row r="1635" spans="1:1" x14ac:dyDescent="0.35">
      <c r="A1635" s="980"/>
    </row>
    <row r="1636" spans="1:1" x14ac:dyDescent="0.35">
      <c r="A1636" s="980"/>
    </row>
    <row r="1637" spans="1:1" x14ac:dyDescent="0.35">
      <c r="A1637" s="980"/>
    </row>
    <row r="1638" spans="1:1" x14ac:dyDescent="0.35">
      <c r="A1638" s="980"/>
    </row>
    <row r="1639" spans="1:1" x14ac:dyDescent="0.35">
      <c r="A1639" s="980"/>
    </row>
    <row r="1640" spans="1:1" x14ac:dyDescent="0.35">
      <c r="A1640" s="980"/>
    </row>
    <row r="1641" spans="1:1" x14ac:dyDescent="0.35">
      <c r="A1641" s="980"/>
    </row>
    <row r="1642" spans="1:1" x14ac:dyDescent="0.35">
      <c r="A1642" s="980"/>
    </row>
    <row r="1643" spans="1:1" x14ac:dyDescent="0.35">
      <c r="A1643" s="980"/>
    </row>
    <row r="1644" spans="1:1" x14ac:dyDescent="0.35">
      <c r="A1644" s="980"/>
    </row>
    <row r="1645" spans="1:1" x14ac:dyDescent="0.35">
      <c r="A1645" s="980"/>
    </row>
    <row r="1646" spans="1:1" x14ac:dyDescent="0.35">
      <c r="A1646" s="980"/>
    </row>
    <row r="1647" spans="1:1" x14ac:dyDescent="0.35">
      <c r="A1647" s="980"/>
    </row>
    <row r="1648" spans="1:1" x14ac:dyDescent="0.35">
      <c r="A1648" s="980"/>
    </row>
    <row r="1649" spans="1:1" x14ac:dyDescent="0.35">
      <c r="A1649" s="980"/>
    </row>
    <row r="1650" spans="1:1" x14ac:dyDescent="0.35">
      <c r="A1650" s="980"/>
    </row>
    <row r="1651" spans="1:1" x14ac:dyDescent="0.35">
      <c r="A1651" s="980"/>
    </row>
    <row r="1652" spans="1:1" x14ac:dyDescent="0.35">
      <c r="A1652" s="980"/>
    </row>
    <row r="1653" spans="1:1" x14ac:dyDescent="0.35">
      <c r="A1653" s="980"/>
    </row>
    <row r="1654" spans="1:1" x14ac:dyDescent="0.35">
      <c r="A1654" s="980"/>
    </row>
    <row r="1655" spans="1:1" x14ac:dyDescent="0.35">
      <c r="A1655" s="980"/>
    </row>
    <row r="1656" spans="1:1" x14ac:dyDescent="0.35">
      <c r="A1656" s="980"/>
    </row>
    <row r="1657" spans="1:1" x14ac:dyDescent="0.35">
      <c r="A1657" s="980"/>
    </row>
    <row r="1658" spans="1:1" x14ac:dyDescent="0.35">
      <c r="A1658" s="980"/>
    </row>
    <row r="1659" spans="1:1" x14ac:dyDescent="0.35">
      <c r="A1659" s="980"/>
    </row>
    <row r="1660" spans="1:1" x14ac:dyDescent="0.35">
      <c r="A1660" s="980"/>
    </row>
    <row r="1661" spans="1:1" x14ac:dyDescent="0.35">
      <c r="A1661" s="980"/>
    </row>
    <row r="1662" spans="1:1" x14ac:dyDescent="0.35">
      <c r="A1662" s="980"/>
    </row>
    <row r="1663" spans="1:1" x14ac:dyDescent="0.35">
      <c r="A1663" s="980"/>
    </row>
    <row r="1664" spans="1:1" x14ac:dyDescent="0.35">
      <c r="A1664" s="980"/>
    </row>
    <row r="1665" spans="1:1" x14ac:dyDescent="0.35">
      <c r="A1665" s="980"/>
    </row>
    <row r="1666" spans="1:1" x14ac:dyDescent="0.35">
      <c r="A1666" s="980"/>
    </row>
    <row r="1667" spans="1:1" x14ac:dyDescent="0.35">
      <c r="A1667" s="980"/>
    </row>
    <row r="1668" spans="1:1" x14ac:dyDescent="0.35">
      <c r="A1668" s="980"/>
    </row>
    <row r="1669" spans="1:1" x14ac:dyDescent="0.35">
      <c r="A1669" s="980"/>
    </row>
    <row r="1670" spans="1:1" x14ac:dyDescent="0.35">
      <c r="A1670" s="980"/>
    </row>
    <row r="1671" spans="1:1" x14ac:dyDescent="0.35">
      <c r="A1671" s="980"/>
    </row>
    <row r="1672" spans="1:1" x14ac:dyDescent="0.35">
      <c r="A1672" s="980"/>
    </row>
    <row r="1673" spans="1:1" x14ac:dyDescent="0.35">
      <c r="A1673" s="980"/>
    </row>
    <row r="1674" spans="1:1" x14ac:dyDescent="0.35">
      <c r="A1674" s="980"/>
    </row>
    <row r="1675" spans="1:1" x14ac:dyDescent="0.35">
      <c r="A1675" s="980"/>
    </row>
    <row r="1676" spans="1:1" x14ac:dyDescent="0.35">
      <c r="A1676" s="980"/>
    </row>
    <row r="1677" spans="1:1" x14ac:dyDescent="0.35">
      <c r="A1677" s="980"/>
    </row>
    <row r="1678" spans="1:1" x14ac:dyDescent="0.35">
      <c r="A1678" s="980"/>
    </row>
    <row r="1679" spans="1:1" x14ac:dyDescent="0.35">
      <c r="A1679" s="980"/>
    </row>
    <row r="1680" spans="1:1" x14ac:dyDescent="0.35">
      <c r="A1680" s="980"/>
    </row>
    <row r="1681" spans="1:1" x14ac:dyDescent="0.35">
      <c r="A1681" s="980"/>
    </row>
    <row r="1682" spans="1:1" x14ac:dyDescent="0.35">
      <c r="A1682" s="980"/>
    </row>
    <row r="1683" spans="1:1" x14ac:dyDescent="0.35">
      <c r="A1683" s="980"/>
    </row>
    <row r="1684" spans="1:1" x14ac:dyDescent="0.35">
      <c r="A1684" s="980"/>
    </row>
    <row r="1685" spans="1:1" x14ac:dyDescent="0.35">
      <c r="A1685" s="980"/>
    </row>
    <row r="1686" spans="1:1" x14ac:dyDescent="0.35">
      <c r="A1686" s="980"/>
    </row>
    <row r="1687" spans="1:1" x14ac:dyDescent="0.35">
      <c r="A1687" s="980"/>
    </row>
    <row r="1688" spans="1:1" x14ac:dyDescent="0.35">
      <c r="A1688" s="980"/>
    </row>
    <row r="1689" spans="1:1" x14ac:dyDescent="0.35">
      <c r="A1689" s="980"/>
    </row>
    <row r="1690" spans="1:1" x14ac:dyDescent="0.35">
      <c r="A1690" s="980"/>
    </row>
    <row r="1691" spans="1:1" x14ac:dyDescent="0.35">
      <c r="A1691" s="980"/>
    </row>
    <row r="1692" spans="1:1" x14ac:dyDescent="0.35">
      <c r="A1692" s="980"/>
    </row>
    <row r="1693" spans="1:1" x14ac:dyDescent="0.35">
      <c r="A1693" s="980"/>
    </row>
    <row r="1694" spans="1:1" x14ac:dyDescent="0.35">
      <c r="A1694" s="980"/>
    </row>
    <row r="1695" spans="1:1" x14ac:dyDescent="0.35">
      <c r="A1695" s="980"/>
    </row>
    <row r="1696" spans="1:1" x14ac:dyDescent="0.35">
      <c r="A1696" s="980"/>
    </row>
    <row r="1697" spans="1:1" x14ac:dyDescent="0.35">
      <c r="A1697" s="980"/>
    </row>
    <row r="1698" spans="1:1" x14ac:dyDescent="0.35">
      <c r="A1698" s="980"/>
    </row>
    <row r="1699" spans="1:1" x14ac:dyDescent="0.35">
      <c r="A1699" s="980"/>
    </row>
    <row r="1700" spans="1:1" x14ac:dyDescent="0.35">
      <c r="A1700" s="980"/>
    </row>
    <row r="1701" spans="1:1" x14ac:dyDescent="0.35">
      <c r="A1701" s="980"/>
    </row>
    <row r="1702" spans="1:1" x14ac:dyDescent="0.35">
      <c r="A1702" s="980"/>
    </row>
    <row r="1703" spans="1:1" x14ac:dyDescent="0.35">
      <c r="A1703" s="980"/>
    </row>
    <row r="1704" spans="1:1" x14ac:dyDescent="0.35">
      <c r="A1704" s="980"/>
    </row>
    <row r="1705" spans="1:1" x14ac:dyDescent="0.35">
      <c r="A1705" s="980"/>
    </row>
    <row r="1706" spans="1:1" x14ac:dyDescent="0.35">
      <c r="A1706" s="980"/>
    </row>
    <row r="1707" spans="1:1" x14ac:dyDescent="0.35">
      <c r="A1707" s="980"/>
    </row>
    <row r="1708" spans="1:1" x14ac:dyDescent="0.35">
      <c r="A1708" s="980"/>
    </row>
    <row r="1709" spans="1:1" x14ac:dyDescent="0.35">
      <c r="A1709" s="980"/>
    </row>
    <row r="1710" spans="1:1" x14ac:dyDescent="0.35">
      <c r="A1710" s="980"/>
    </row>
    <row r="1711" spans="1:1" x14ac:dyDescent="0.35">
      <c r="A1711" s="980"/>
    </row>
    <row r="1712" spans="1:1" x14ac:dyDescent="0.35">
      <c r="A1712" s="980"/>
    </row>
    <row r="1713" spans="1:1" x14ac:dyDescent="0.35">
      <c r="A1713" s="980"/>
    </row>
    <row r="1714" spans="1:1" x14ac:dyDescent="0.35">
      <c r="A1714" s="980"/>
    </row>
    <row r="1715" spans="1:1" x14ac:dyDescent="0.35">
      <c r="A1715" s="980"/>
    </row>
    <row r="1716" spans="1:1" x14ac:dyDescent="0.35">
      <c r="A1716" s="980"/>
    </row>
    <row r="1717" spans="1:1" x14ac:dyDescent="0.35">
      <c r="A1717" s="980"/>
    </row>
    <row r="1718" spans="1:1" x14ac:dyDescent="0.35">
      <c r="A1718" s="980"/>
    </row>
    <row r="1719" spans="1:1" x14ac:dyDescent="0.35">
      <c r="A1719" s="980"/>
    </row>
    <row r="1720" spans="1:1" x14ac:dyDescent="0.35">
      <c r="A1720" s="980"/>
    </row>
    <row r="1721" spans="1:1" x14ac:dyDescent="0.35">
      <c r="A1721" s="980"/>
    </row>
    <row r="1722" spans="1:1" x14ac:dyDescent="0.35">
      <c r="A1722" s="980"/>
    </row>
    <row r="1723" spans="1:1" x14ac:dyDescent="0.35">
      <c r="A1723" s="980"/>
    </row>
    <row r="1724" spans="1:1" x14ac:dyDescent="0.35">
      <c r="A1724" s="980"/>
    </row>
    <row r="1725" spans="1:1" x14ac:dyDescent="0.35">
      <c r="A1725" s="980"/>
    </row>
    <row r="1726" spans="1:1" x14ac:dyDescent="0.35">
      <c r="A1726" s="980"/>
    </row>
    <row r="1727" spans="1:1" x14ac:dyDescent="0.35">
      <c r="A1727" s="980"/>
    </row>
    <row r="1728" spans="1:1" x14ac:dyDescent="0.35">
      <c r="A1728" s="980"/>
    </row>
    <row r="1729" spans="1:1" x14ac:dyDescent="0.35">
      <c r="A1729" s="980"/>
    </row>
    <row r="1730" spans="1:1" x14ac:dyDescent="0.35">
      <c r="A1730" s="980"/>
    </row>
    <row r="1731" spans="1:1" x14ac:dyDescent="0.35">
      <c r="A1731" s="980"/>
    </row>
    <row r="1732" spans="1:1" x14ac:dyDescent="0.35">
      <c r="A1732" s="980"/>
    </row>
    <row r="1733" spans="1:1" x14ac:dyDescent="0.35">
      <c r="A1733" s="980"/>
    </row>
    <row r="1734" spans="1:1" x14ac:dyDescent="0.35">
      <c r="A1734" s="980"/>
    </row>
    <row r="1735" spans="1:1" x14ac:dyDescent="0.35">
      <c r="A1735" s="980"/>
    </row>
    <row r="1736" spans="1:1" x14ac:dyDescent="0.35">
      <c r="A1736" s="980"/>
    </row>
    <row r="1737" spans="1:1" x14ac:dyDescent="0.35">
      <c r="A1737" s="980"/>
    </row>
    <row r="1738" spans="1:1" x14ac:dyDescent="0.35">
      <c r="A1738" s="980"/>
    </row>
    <row r="1739" spans="1:1" x14ac:dyDescent="0.35">
      <c r="A1739" s="980"/>
    </row>
    <row r="1740" spans="1:1" x14ac:dyDescent="0.35">
      <c r="A1740" s="980"/>
    </row>
    <row r="1741" spans="1:1" x14ac:dyDescent="0.35">
      <c r="A1741" s="980"/>
    </row>
    <row r="1742" spans="1:1" x14ac:dyDescent="0.35">
      <c r="A1742" s="980"/>
    </row>
    <row r="1743" spans="1:1" x14ac:dyDescent="0.35">
      <c r="A1743" s="980"/>
    </row>
    <row r="1744" spans="1:1" x14ac:dyDescent="0.35">
      <c r="A1744" s="980"/>
    </row>
    <row r="1745" spans="1:1" x14ac:dyDescent="0.35">
      <c r="A1745" s="980"/>
    </row>
    <row r="1746" spans="1:1" x14ac:dyDescent="0.35">
      <c r="A1746" s="980"/>
    </row>
    <row r="1747" spans="1:1" x14ac:dyDescent="0.35">
      <c r="A1747" s="980"/>
    </row>
    <row r="1748" spans="1:1" x14ac:dyDescent="0.35">
      <c r="A1748" s="980"/>
    </row>
    <row r="1749" spans="1:1" x14ac:dyDescent="0.35">
      <c r="A1749" s="980"/>
    </row>
    <row r="1750" spans="1:1" x14ac:dyDescent="0.35">
      <c r="A1750" s="980"/>
    </row>
    <row r="1751" spans="1:1" x14ac:dyDescent="0.35">
      <c r="A1751" s="980"/>
    </row>
    <row r="1752" spans="1:1" x14ac:dyDescent="0.35">
      <c r="A1752" s="980"/>
    </row>
    <row r="1753" spans="1:1" x14ac:dyDescent="0.35">
      <c r="A1753" s="980"/>
    </row>
    <row r="1754" spans="1:1" x14ac:dyDescent="0.35">
      <c r="A1754" s="980"/>
    </row>
    <row r="1755" spans="1:1" x14ac:dyDescent="0.35">
      <c r="A1755" s="980"/>
    </row>
    <row r="1756" spans="1:1" x14ac:dyDescent="0.35">
      <c r="A1756" s="980"/>
    </row>
    <row r="1757" spans="1:1" x14ac:dyDescent="0.35">
      <c r="A1757" s="980"/>
    </row>
    <row r="1758" spans="1:1" x14ac:dyDescent="0.35">
      <c r="A1758" s="980"/>
    </row>
    <row r="1759" spans="1:1" x14ac:dyDescent="0.35">
      <c r="A1759" s="980"/>
    </row>
    <row r="1760" spans="1:1" x14ac:dyDescent="0.35">
      <c r="A1760" s="980"/>
    </row>
    <row r="1761" spans="1:1" x14ac:dyDescent="0.35">
      <c r="A1761" s="980"/>
    </row>
    <row r="1762" spans="1:1" x14ac:dyDescent="0.35">
      <c r="A1762" s="980"/>
    </row>
    <row r="1763" spans="1:1" x14ac:dyDescent="0.35">
      <c r="A1763" s="980"/>
    </row>
    <row r="1764" spans="1:1" x14ac:dyDescent="0.35">
      <c r="A1764" s="980"/>
    </row>
    <row r="1765" spans="1:1" x14ac:dyDescent="0.35">
      <c r="A1765" s="980"/>
    </row>
    <row r="1766" spans="1:1" x14ac:dyDescent="0.35">
      <c r="A1766" s="980"/>
    </row>
    <row r="1767" spans="1:1" x14ac:dyDescent="0.35">
      <c r="A1767" s="980"/>
    </row>
    <row r="1768" spans="1:1" x14ac:dyDescent="0.35">
      <c r="A1768" s="980"/>
    </row>
    <row r="1769" spans="1:1" x14ac:dyDescent="0.35">
      <c r="A1769" s="980"/>
    </row>
    <row r="1770" spans="1:1" x14ac:dyDescent="0.35">
      <c r="A1770" s="980"/>
    </row>
    <row r="1771" spans="1:1" x14ac:dyDescent="0.35">
      <c r="A1771" s="980"/>
    </row>
    <row r="1772" spans="1:1" x14ac:dyDescent="0.35">
      <c r="A1772" s="980"/>
    </row>
    <row r="1773" spans="1:1" x14ac:dyDescent="0.35">
      <c r="A1773" s="980"/>
    </row>
    <row r="1774" spans="1:1" x14ac:dyDescent="0.35">
      <c r="A1774" s="980"/>
    </row>
    <row r="1775" spans="1:1" x14ac:dyDescent="0.35">
      <c r="A1775" s="980"/>
    </row>
    <row r="1776" spans="1:1" x14ac:dyDescent="0.35">
      <c r="A1776" s="980"/>
    </row>
    <row r="1777" spans="1:1" x14ac:dyDescent="0.35">
      <c r="A1777" s="980"/>
    </row>
    <row r="1778" spans="1:1" x14ac:dyDescent="0.35">
      <c r="A1778" s="980"/>
    </row>
    <row r="1779" spans="1:1" x14ac:dyDescent="0.35">
      <c r="A1779" s="980"/>
    </row>
    <row r="1780" spans="1:1" x14ac:dyDescent="0.35">
      <c r="A1780" s="980"/>
    </row>
    <row r="1781" spans="1:1" x14ac:dyDescent="0.35">
      <c r="A1781" s="980"/>
    </row>
    <row r="1782" spans="1:1" x14ac:dyDescent="0.35">
      <c r="A1782" s="980"/>
    </row>
    <row r="1783" spans="1:1" x14ac:dyDescent="0.35">
      <c r="A1783" s="980"/>
    </row>
    <row r="1784" spans="1:1" x14ac:dyDescent="0.35">
      <c r="A1784" s="980"/>
    </row>
    <row r="1785" spans="1:1" x14ac:dyDescent="0.35">
      <c r="A1785" s="980"/>
    </row>
    <row r="1786" spans="1:1" x14ac:dyDescent="0.35">
      <c r="A1786" s="980"/>
    </row>
    <row r="1787" spans="1:1" x14ac:dyDescent="0.35">
      <c r="A1787" s="980"/>
    </row>
    <row r="1788" spans="1:1" x14ac:dyDescent="0.35">
      <c r="A1788" s="980"/>
    </row>
    <row r="1789" spans="1:1" x14ac:dyDescent="0.35">
      <c r="A1789" s="980"/>
    </row>
    <row r="1790" spans="1:1" x14ac:dyDescent="0.35">
      <c r="A1790" s="980"/>
    </row>
    <row r="1791" spans="1:1" x14ac:dyDescent="0.35">
      <c r="A1791" s="980"/>
    </row>
    <row r="1792" spans="1:1" x14ac:dyDescent="0.35">
      <c r="A1792" s="980"/>
    </row>
    <row r="1793" spans="1:1" x14ac:dyDescent="0.35">
      <c r="A1793" s="980"/>
    </row>
    <row r="1794" spans="1:1" x14ac:dyDescent="0.35">
      <c r="A1794" s="980"/>
    </row>
    <row r="1795" spans="1:1" x14ac:dyDescent="0.35">
      <c r="A1795" s="980"/>
    </row>
    <row r="1796" spans="1:1" x14ac:dyDescent="0.35">
      <c r="A1796" s="980"/>
    </row>
    <row r="1797" spans="1:1" x14ac:dyDescent="0.35">
      <c r="A1797" s="980"/>
    </row>
    <row r="1798" spans="1:1" x14ac:dyDescent="0.35">
      <c r="A1798" s="980"/>
    </row>
    <row r="1799" spans="1:1" x14ac:dyDescent="0.35">
      <c r="A1799" s="980"/>
    </row>
    <row r="1800" spans="1:1" x14ac:dyDescent="0.35">
      <c r="A1800" s="980"/>
    </row>
    <row r="1801" spans="1:1" x14ac:dyDescent="0.35">
      <c r="A1801" s="980"/>
    </row>
    <row r="1802" spans="1:1" x14ac:dyDescent="0.35">
      <c r="A1802" s="980"/>
    </row>
    <row r="1803" spans="1:1" x14ac:dyDescent="0.35">
      <c r="A1803" s="980"/>
    </row>
    <row r="1804" spans="1:1" x14ac:dyDescent="0.35">
      <c r="A1804" s="980"/>
    </row>
    <row r="1805" spans="1:1" x14ac:dyDescent="0.35">
      <c r="A1805" s="980"/>
    </row>
    <row r="1806" spans="1:1" x14ac:dyDescent="0.35">
      <c r="A1806" s="980"/>
    </row>
    <row r="1807" spans="1:1" x14ac:dyDescent="0.35">
      <c r="A1807" s="980"/>
    </row>
    <row r="1808" spans="1:1" x14ac:dyDescent="0.35">
      <c r="A1808" s="980"/>
    </row>
    <row r="1809" spans="1:1" x14ac:dyDescent="0.35">
      <c r="A1809" s="980"/>
    </row>
    <row r="1810" spans="1:1" x14ac:dyDescent="0.35">
      <c r="A1810" s="980"/>
    </row>
    <row r="1811" spans="1:1" x14ac:dyDescent="0.35">
      <c r="A1811" s="980"/>
    </row>
    <row r="1812" spans="1:1" x14ac:dyDescent="0.35">
      <c r="A1812" s="980"/>
    </row>
    <row r="1813" spans="1:1" x14ac:dyDescent="0.35">
      <c r="A1813" s="980"/>
    </row>
    <row r="1814" spans="1:1" x14ac:dyDescent="0.35">
      <c r="A1814" s="980"/>
    </row>
    <row r="1815" spans="1:1" x14ac:dyDescent="0.35">
      <c r="A1815" s="980"/>
    </row>
    <row r="1816" spans="1:1" x14ac:dyDescent="0.35">
      <c r="A1816" s="980"/>
    </row>
    <row r="1817" spans="1:1" x14ac:dyDescent="0.35">
      <c r="A1817" s="980"/>
    </row>
    <row r="1818" spans="1:1" x14ac:dyDescent="0.35">
      <c r="A1818" s="980"/>
    </row>
    <row r="1819" spans="1:1" x14ac:dyDescent="0.35">
      <c r="A1819" s="980"/>
    </row>
    <row r="1820" spans="1:1" x14ac:dyDescent="0.35">
      <c r="A1820" s="980"/>
    </row>
    <row r="1821" spans="1:1" x14ac:dyDescent="0.35">
      <c r="A1821" s="980"/>
    </row>
    <row r="1822" spans="1:1" x14ac:dyDescent="0.35">
      <c r="A1822" s="980"/>
    </row>
    <row r="1823" spans="1:1" x14ac:dyDescent="0.35">
      <c r="A1823" s="980"/>
    </row>
    <row r="1824" spans="1:1" x14ac:dyDescent="0.35">
      <c r="A1824" s="980"/>
    </row>
    <row r="1825" spans="1:1" x14ac:dyDescent="0.35">
      <c r="A1825" s="980"/>
    </row>
    <row r="1826" spans="1:1" x14ac:dyDescent="0.35">
      <c r="A1826" s="980"/>
    </row>
    <row r="1827" spans="1:1" x14ac:dyDescent="0.35">
      <c r="A1827" s="980"/>
    </row>
    <row r="1828" spans="1:1" x14ac:dyDescent="0.35">
      <c r="A1828" s="980"/>
    </row>
    <row r="1829" spans="1:1" x14ac:dyDescent="0.35">
      <c r="A1829" s="980"/>
    </row>
    <row r="1830" spans="1:1" x14ac:dyDescent="0.35">
      <c r="A1830" s="980"/>
    </row>
    <row r="1831" spans="1:1" x14ac:dyDescent="0.35">
      <c r="A1831" s="980"/>
    </row>
    <row r="1832" spans="1:1" x14ac:dyDescent="0.35">
      <c r="A1832" s="980"/>
    </row>
    <row r="1833" spans="1:1" x14ac:dyDescent="0.35">
      <c r="A1833" s="980"/>
    </row>
    <row r="1834" spans="1:1" x14ac:dyDescent="0.35">
      <c r="A1834" s="980"/>
    </row>
    <row r="1835" spans="1:1" x14ac:dyDescent="0.35">
      <c r="A1835" s="980"/>
    </row>
    <row r="1836" spans="1:1" x14ac:dyDescent="0.35">
      <c r="A1836" s="980"/>
    </row>
    <row r="1837" spans="1:1" x14ac:dyDescent="0.35">
      <c r="A1837" s="980"/>
    </row>
    <row r="1838" spans="1:1" x14ac:dyDescent="0.35">
      <c r="A1838" s="980"/>
    </row>
    <row r="1839" spans="1:1" x14ac:dyDescent="0.35">
      <c r="A1839" s="980"/>
    </row>
    <row r="1840" spans="1:1" x14ac:dyDescent="0.35">
      <c r="A1840" s="980"/>
    </row>
    <row r="1841" spans="1:1" x14ac:dyDescent="0.35">
      <c r="A1841" s="980"/>
    </row>
    <row r="1842" spans="1:1" x14ac:dyDescent="0.35">
      <c r="A1842" s="980"/>
    </row>
    <row r="1843" spans="1:1" x14ac:dyDescent="0.35">
      <c r="A1843" s="980"/>
    </row>
    <row r="1844" spans="1:1" x14ac:dyDescent="0.35">
      <c r="A1844" s="980"/>
    </row>
    <row r="1845" spans="1:1" x14ac:dyDescent="0.35">
      <c r="A1845" s="980"/>
    </row>
    <row r="1846" spans="1:1" x14ac:dyDescent="0.35">
      <c r="A1846" s="980"/>
    </row>
    <row r="1847" spans="1:1" x14ac:dyDescent="0.35">
      <c r="A1847" s="980"/>
    </row>
    <row r="1848" spans="1:1" x14ac:dyDescent="0.35">
      <c r="A1848" s="980"/>
    </row>
    <row r="1849" spans="1:1" x14ac:dyDescent="0.35">
      <c r="A1849" s="980"/>
    </row>
    <row r="1850" spans="1:1" x14ac:dyDescent="0.35">
      <c r="A1850" s="980"/>
    </row>
    <row r="1851" spans="1:1" x14ac:dyDescent="0.35">
      <c r="A1851" s="980"/>
    </row>
    <row r="1852" spans="1:1" x14ac:dyDescent="0.35">
      <c r="A1852" s="980"/>
    </row>
    <row r="1853" spans="1:1" x14ac:dyDescent="0.35">
      <c r="A1853" s="980"/>
    </row>
    <row r="1854" spans="1:1" x14ac:dyDescent="0.35">
      <c r="A1854" s="980"/>
    </row>
    <row r="1855" spans="1:1" x14ac:dyDescent="0.35">
      <c r="A1855" s="980"/>
    </row>
    <row r="1856" spans="1:1" x14ac:dyDescent="0.35">
      <c r="A1856" s="980"/>
    </row>
    <row r="1857" spans="1:1" x14ac:dyDescent="0.35">
      <c r="A1857" s="980"/>
    </row>
    <row r="1858" spans="1:1" x14ac:dyDescent="0.35">
      <c r="A1858" s="980"/>
    </row>
    <row r="1859" spans="1:1" x14ac:dyDescent="0.35">
      <c r="A1859" s="980"/>
    </row>
    <row r="1860" spans="1:1" x14ac:dyDescent="0.35">
      <c r="A1860" s="980"/>
    </row>
    <row r="1861" spans="1:1" x14ac:dyDescent="0.35">
      <c r="A1861" s="980"/>
    </row>
    <row r="1862" spans="1:1" x14ac:dyDescent="0.35">
      <c r="A1862" s="980"/>
    </row>
    <row r="1863" spans="1:1" x14ac:dyDescent="0.35">
      <c r="A1863" s="980"/>
    </row>
    <row r="1864" spans="1:1" x14ac:dyDescent="0.35">
      <c r="A1864" s="980"/>
    </row>
    <row r="1865" spans="1:1" x14ac:dyDescent="0.35">
      <c r="A1865" s="980"/>
    </row>
    <row r="1866" spans="1:1" x14ac:dyDescent="0.35">
      <c r="A1866" s="980"/>
    </row>
    <row r="1867" spans="1:1" x14ac:dyDescent="0.35">
      <c r="A1867" s="980"/>
    </row>
    <row r="1868" spans="1:1" x14ac:dyDescent="0.35">
      <c r="A1868" s="980"/>
    </row>
    <row r="1869" spans="1:1" x14ac:dyDescent="0.35">
      <c r="A1869" s="980"/>
    </row>
    <row r="1870" spans="1:1" x14ac:dyDescent="0.35">
      <c r="A1870" s="980"/>
    </row>
    <row r="1871" spans="1:1" x14ac:dyDescent="0.35">
      <c r="A1871" s="980"/>
    </row>
    <row r="1872" spans="1:1" x14ac:dyDescent="0.35">
      <c r="A1872" s="980"/>
    </row>
    <row r="1873" spans="1:1" x14ac:dyDescent="0.35">
      <c r="A1873" s="980"/>
    </row>
    <row r="1874" spans="1:1" x14ac:dyDescent="0.35">
      <c r="A1874" s="980"/>
    </row>
    <row r="1875" spans="1:1" x14ac:dyDescent="0.35">
      <c r="A1875" s="980"/>
    </row>
    <row r="1876" spans="1:1" x14ac:dyDescent="0.35">
      <c r="A1876" s="980"/>
    </row>
    <row r="1877" spans="1:1" x14ac:dyDescent="0.35">
      <c r="A1877" s="980"/>
    </row>
    <row r="1878" spans="1:1" x14ac:dyDescent="0.35">
      <c r="A1878" s="980"/>
    </row>
    <row r="1879" spans="1:1" x14ac:dyDescent="0.35">
      <c r="A1879" s="980"/>
    </row>
    <row r="1880" spans="1:1" x14ac:dyDescent="0.35">
      <c r="A1880" s="980"/>
    </row>
    <row r="1881" spans="1:1" x14ac:dyDescent="0.35">
      <c r="A1881" s="980"/>
    </row>
    <row r="1882" spans="1:1" x14ac:dyDescent="0.35">
      <c r="A1882" s="980"/>
    </row>
    <row r="1883" spans="1:1" x14ac:dyDescent="0.35">
      <c r="A1883" s="980"/>
    </row>
    <row r="1884" spans="1:1" x14ac:dyDescent="0.35">
      <c r="A1884" s="980"/>
    </row>
    <row r="1885" spans="1:1" x14ac:dyDescent="0.35">
      <c r="A1885" s="980"/>
    </row>
    <row r="1886" spans="1:1" x14ac:dyDescent="0.35">
      <c r="A1886" s="980"/>
    </row>
    <row r="1887" spans="1:1" x14ac:dyDescent="0.35">
      <c r="A1887" s="980"/>
    </row>
    <row r="1888" spans="1:1" x14ac:dyDescent="0.35">
      <c r="A1888" s="980"/>
    </row>
    <row r="1889" spans="1:1" x14ac:dyDescent="0.35">
      <c r="A1889" s="980"/>
    </row>
    <row r="1890" spans="1:1" x14ac:dyDescent="0.35">
      <c r="A1890" s="980"/>
    </row>
    <row r="1891" spans="1:1" x14ac:dyDescent="0.35">
      <c r="A1891" s="980"/>
    </row>
    <row r="1892" spans="1:1" x14ac:dyDescent="0.35">
      <c r="A1892" s="980"/>
    </row>
    <row r="1893" spans="1:1" x14ac:dyDescent="0.35">
      <c r="A1893" s="980"/>
    </row>
    <row r="1894" spans="1:1" x14ac:dyDescent="0.35">
      <c r="A1894" s="980"/>
    </row>
    <row r="1895" spans="1:1" x14ac:dyDescent="0.35">
      <c r="A1895" s="980"/>
    </row>
    <row r="1896" spans="1:1" x14ac:dyDescent="0.35">
      <c r="A1896" s="980"/>
    </row>
    <row r="1897" spans="1:1" x14ac:dyDescent="0.35">
      <c r="A1897" s="980"/>
    </row>
    <row r="1898" spans="1:1" x14ac:dyDescent="0.35">
      <c r="A1898" s="980"/>
    </row>
    <row r="1899" spans="1:1" x14ac:dyDescent="0.35">
      <c r="A1899" s="980"/>
    </row>
    <row r="1900" spans="1:1" x14ac:dyDescent="0.35">
      <c r="A1900" s="980"/>
    </row>
    <row r="1901" spans="1:1" x14ac:dyDescent="0.35">
      <c r="A1901" s="980"/>
    </row>
    <row r="1902" spans="1:1" x14ac:dyDescent="0.35">
      <c r="A1902" s="980"/>
    </row>
    <row r="1903" spans="1:1" x14ac:dyDescent="0.35">
      <c r="A1903" s="980"/>
    </row>
    <row r="1904" spans="1:1" x14ac:dyDescent="0.35">
      <c r="A1904" s="980"/>
    </row>
    <row r="1905" spans="1:1" x14ac:dyDescent="0.35">
      <c r="A1905" s="980"/>
    </row>
    <row r="1906" spans="1:1" x14ac:dyDescent="0.35">
      <c r="A1906" s="980"/>
    </row>
    <row r="1907" spans="1:1" x14ac:dyDescent="0.35">
      <c r="A1907" s="980"/>
    </row>
    <row r="1908" spans="1:1" x14ac:dyDescent="0.35">
      <c r="A1908" s="980"/>
    </row>
    <row r="1909" spans="1:1" x14ac:dyDescent="0.35">
      <c r="A1909" s="980"/>
    </row>
    <row r="1910" spans="1:1" x14ac:dyDescent="0.35">
      <c r="A1910" s="980"/>
    </row>
    <row r="1911" spans="1:1" x14ac:dyDescent="0.35">
      <c r="A1911" s="980"/>
    </row>
    <row r="1912" spans="1:1" x14ac:dyDescent="0.35">
      <c r="A1912" s="980"/>
    </row>
    <row r="1913" spans="1:1" x14ac:dyDescent="0.35">
      <c r="A1913" s="980"/>
    </row>
    <row r="1914" spans="1:1" x14ac:dyDescent="0.35">
      <c r="A1914" s="980"/>
    </row>
    <row r="1915" spans="1:1" x14ac:dyDescent="0.35">
      <c r="A1915" s="980"/>
    </row>
    <row r="1916" spans="1:1" x14ac:dyDescent="0.35">
      <c r="A1916" s="980"/>
    </row>
    <row r="1917" spans="1:1" x14ac:dyDescent="0.35">
      <c r="A1917" s="980"/>
    </row>
    <row r="1918" spans="1:1" x14ac:dyDescent="0.35">
      <c r="A1918" s="98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76"/>
  <sheetViews>
    <sheetView workbookViewId="0">
      <selection activeCell="I14" sqref="I14"/>
    </sheetView>
  </sheetViews>
  <sheetFormatPr baseColWidth="10" defaultColWidth="9.1796875" defaultRowHeight="14.5" x14ac:dyDescent="0.35"/>
  <cols>
    <col min="1" max="8" width="8.81640625" style="900"/>
    <col min="9" max="9" width="9.1796875" style="900"/>
    <col min="10" max="16384" width="9.1796875" style="190"/>
  </cols>
  <sheetData>
    <row r="1" spans="1:9" x14ac:dyDescent="0.35">
      <c r="B1" s="980"/>
      <c r="C1" s="980"/>
      <c r="D1" s="980"/>
      <c r="E1" s="980"/>
      <c r="F1" s="980"/>
      <c r="G1" s="980"/>
      <c r="H1" s="980"/>
      <c r="I1" s="901"/>
    </row>
    <row r="2" spans="1:9" x14ac:dyDescent="0.35">
      <c r="A2" s="980"/>
    </row>
    <row r="3" spans="1:9" x14ac:dyDescent="0.35">
      <c r="A3" s="980"/>
    </row>
    <row r="4" spans="1:9" x14ac:dyDescent="0.35">
      <c r="A4" s="980"/>
    </row>
    <row r="5" spans="1:9" x14ac:dyDescent="0.35">
      <c r="A5" s="980"/>
    </row>
    <row r="6" spans="1:9" x14ac:dyDescent="0.35">
      <c r="A6" s="980"/>
    </row>
    <row r="7" spans="1:9" x14ac:dyDescent="0.35">
      <c r="A7" s="980"/>
    </row>
    <row r="8" spans="1:9" x14ac:dyDescent="0.35">
      <c r="A8" s="980"/>
    </row>
    <row r="9" spans="1:9" x14ac:dyDescent="0.35">
      <c r="A9" s="980"/>
    </row>
    <row r="10" spans="1:9" x14ac:dyDescent="0.35">
      <c r="A10" s="980"/>
    </row>
    <row r="11" spans="1:9" x14ac:dyDescent="0.35">
      <c r="A11" s="980"/>
    </row>
    <row r="12" spans="1:9" x14ac:dyDescent="0.35">
      <c r="A12" s="980"/>
    </row>
    <row r="13" spans="1:9" x14ac:dyDescent="0.35">
      <c r="A13" s="980"/>
    </row>
    <row r="14" spans="1:9" x14ac:dyDescent="0.35">
      <c r="A14" s="980"/>
    </row>
    <row r="15" spans="1:9" x14ac:dyDescent="0.35">
      <c r="A15" s="980"/>
    </row>
    <row r="16" spans="1:9" x14ac:dyDescent="0.35">
      <c r="A16" s="980"/>
    </row>
    <row r="17" spans="1:1" x14ac:dyDescent="0.35">
      <c r="A17" s="980"/>
    </row>
    <row r="18" spans="1:1" x14ac:dyDescent="0.35">
      <c r="A18" s="980"/>
    </row>
    <row r="19" spans="1:1" x14ac:dyDescent="0.35">
      <c r="A19" s="980"/>
    </row>
    <row r="20" spans="1:1" x14ac:dyDescent="0.35">
      <c r="A20" s="980"/>
    </row>
    <row r="21" spans="1:1" x14ac:dyDescent="0.35">
      <c r="A21" s="980"/>
    </row>
    <row r="22" spans="1:1" x14ac:dyDescent="0.35">
      <c r="A22" s="980"/>
    </row>
    <row r="23" spans="1:1" x14ac:dyDescent="0.35">
      <c r="A23" s="980"/>
    </row>
    <row r="24" spans="1:1" x14ac:dyDescent="0.35">
      <c r="A24" s="980"/>
    </row>
    <row r="25" spans="1:1" x14ac:dyDescent="0.35">
      <c r="A25" s="980"/>
    </row>
    <row r="26" spans="1:1" x14ac:dyDescent="0.35">
      <c r="A26" s="980"/>
    </row>
    <row r="27" spans="1:1" x14ac:dyDescent="0.35">
      <c r="A27" s="980"/>
    </row>
    <row r="28" spans="1:1" x14ac:dyDescent="0.35">
      <c r="A28" s="980"/>
    </row>
    <row r="29" spans="1:1" x14ac:dyDescent="0.35">
      <c r="A29" s="980"/>
    </row>
    <row r="30" spans="1:1" x14ac:dyDescent="0.35">
      <c r="A30" s="980"/>
    </row>
    <row r="31" spans="1:1" x14ac:dyDescent="0.35">
      <c r="A31" s="980"/>
    </row>
    <row r="32" spans="1:1" x14ac:dyDescent="0.35">
      <c r="A32" s="980"/>
    </row>
    <row r="33" spans="1:1" x14ac:dyDescent="0.35">
      <c r="A33" s="980"/>
    </row>
    <row r="34" spans="1:1" x14ac:dyDescent="0.35">
      <c r="A34" s="980"/>
    </row>
    <row r="35" spans="1:1" x14ac:dyDescent="0.35">
      <c r="A35" s="980"/>
    </row>
    <row r="36" spans="1:1" x14ac:dyDescent="0.35">
      <c r="A36" s="980"/>
    </row>
    <row r="37" spans="1:1" x14ac:dyDescent="0.35">
      <c r="A37" s="980"/>
    </row>
    <row r="38" spans="1:1" x14ac:dyDescent="0.35">
      <c r="A38" s="980"/>
    </row>
    <row r="39" spans="1:1" x14ac:dyDescent="0.35">
      <c r="A39" s="980"/>
    </row>
    <row r="40" spans="1:1" x14ac:dyDescent="0.35">
      <c r="A40" s="980"/>
    </row>
    <row r="41" spans="1:1" x14ac:dyDescent="0.35">
      <c r="A41" s="980"/>
    </row>
    <row r="42" spans="1:1" x14ac:dyDescent="0.35">
      <c r="A42" s="980"/>
    </row>
    <row r="43" spans="1:1" x14ac:dyDescent="0.35">
      <c r="A43" s="980"/>
    </row>
    <row r="44" spans="1:1" x14ac:dyDescent="0.35">
      <c r="A44" s="980"/>
    </row>
    <row r="45" spans="1:1" x14ac:dyDescent="0.35">
      <c r="A45" s="980"/>
    </row>
    <row r="46" spans="1:1" x14ac:dyDescent="0.35">
      <c r="A46" s="980"/>
    </row>
    <row r="47" spans="1:1" x14ac:dyDescent="0.35">
      <c r="A47" s="980"/>
    </row>
    <row r="48" spans="1:1" x14ac:dyDescent="0.35">
      <c r="A48" s="980"/>
    </row>
    <row r="49" spans="1:1" x14ac:dyDescent="0.35">
      <c r="A49" s="980"/>
    </row>
    <row r="50" spans="1:1" x14ac:dyDescent="0.35">
      <c r="A50" s="980"/>
    </row>
    <row r="51" spans="1:1" x14ac:dyDescent="0.35">
      <c r="A51" s="980"/>
    </row>
    <row r="52" spans="1:1" x14ac:dyDescent="0.35">
      <c r="A52" s="980"/>
    </row>
    <row r="53" spans="1:1" x14ac:dyDescent="0.35">
      <c r="A53" s="980"/>
    </row>
    <row r="54" spans="1:1" x14ac:dyDescent="0.35">
      <c r="A54" s="980"/>
    </row>
    <row r="55" spans="1:1" x14ac:dyDescent="0.35">
      <c r="A55" s="980"/>
    </row>
    <row r="56" spans="1:1" x14ac:dyDescent="0.35">
      <c r="A56" s="980"/>
    </row>
    <row r="57" spans="1:1" x14ac:dyDescent="0.35">
      <c r="A57" s="980"/>
    </row>
    <row r="58" spans="1:1" x14ac:dyDescent="0.35">
      <c r="A58" s="980"/>
    </row>
    <row r="59" spans="1:1" x14ac:dyDescent="0.35">
      <c r="A59" s="980"/>
    </row>
    <row r="60" spans="1:1" x14ac:dyDescent="0.35">
      <c r="A60" s="980"/>
    </row>
    <row r="61" spans="1:1" x14ac:dyDescent="0.35">
      <c r="A61" s="980"/>
    </row>
    <row r="62" spans="1:1" x14ac:dyDescent="0.35">
      <c r="A62" s="980"/>
    </row>
    <row r="63" spans="1:1" x14ac:dyDescent="0.35">
      <c r="A63" s="980"/>
    </row>
    <row r="64" spans="1:1" x14ac:dyDescent="0.35">
      <c r="A64" s="980"/>
    </row>
    <row r="65" spans="1:1" x14ac:dyDescent="0.35">
      <c r="A65" s="980"/>
    </row>
    <row r="66" spans="1:1" x14ac:dyDescent="0.35">
      <c r="A66" s="980"/>
    </row>
    <row r="67" spans="1:1" x14ac:dyDescent="0.35">
      <c r="A67" s="980"/>
    </row>
    <row r="68" spans="1:1" x14ac:dyDescent="0.35">
      <c r="A68" s="980"/>
    </row>
    <row r="69" spans="1:1" x14ac:dyDescent="0.35">
      <c r="A69" s="980"/>
    </row>
    <row r="70" spans="1:1" x14ac:dyDescent="0.35">
      <c r="A70" s="980"/>
    </row>
    <row r="71" spans="1:1" x14ac:dyDescent="0.35">
      <c r="A71" s="980"/>
    </row>
    <row r="72" spans="1:1" x14ac:dyDescent="0.35">
      <c r="A72" s="980"/>
    </row>
    <row r="73" spans="1:1" x14ac:dyDescent="0.35">
      <c r="A73" s="980"/>
    </row>
    <row r="74" spans="1:1" x14ac:dyDescent="0.35">
      <c r="A74" s="980"/>
    </row>
    <row r="75" spans="1:1" x14ac:dyDescent="0.35">
      <c r="A75" s="980"/>
    </row>
    <row r="76" spans="1:1" x14ac:dyDescent="0.35">
      <c r="A76" s="980"/>
    </row>
    <row r="77" spans="1:1" x14ac:dyDescent="0.35">
      <c r="A77" s="980"/>
    </row>
    <row r="78" spans="1:1" x14ac:dyDescent="0.35">
      <c r="A78" s="980"/>
    </row>
    <row r="79" spans="1:1" x14ac:dyDescent="0.35">
      <c r="A79" s="980"/>
    </row>
    <row r="80" spans="1:1" x14ac:dyDescent="0.35">
      <c r="A80" s="980"/>
    </row>
    <row r="81" spans="1:1" x14ac:dyDescent="0.35">
      <c r="A81" s="980"/>
    </row>
    <row r="82" spans="1:1" x14ac:dyDescent="0.35">
      <c r="A82" s="980"/>
    </row>
    <row r="83" spans="1:1" x14ac:dyDescent="0.35">
      <c r="A83" s="980"/>
    </row>
    <row r="84" spans="1:1" x14ac:dyDescent="0.35">
      <c r="A84" s="980"/>
    </row>
    <row r="85" spans="1:1" x14ac:dyDescent="0.35">
      <c r="A85" s="980"/>
    </row>
    <row r="86" spans="1:1" x14ac:dyDescent="0.35">
      <c r="A86" s="980"/>
    </row>
    <row r="87" spans="1:1" x14ac:dyDescent="0.35">
      <c r="A87" s="980"/>
    </row>
    <row r="88" spans="1:1" x14ac:dyDescent="0.35">
      <c r="A88" s="980"/>
    </row>
    <row r="89" spans="1:1" x14ac:dyDescent="0.35">
      <c r="A89" s="980"/>
    </row>
    <row r="90" spans="1:1" x14ac:dyDescent="0.35">
      <c r="A90" s="980"/>
    </row>
    <row r="91" spans="1:1" x14ac:dyDescent="0.35">
      <c r="A91" s="980"/>
    </row>
    <row r="92" spans="1:1" x14ac:dyDescent="0.35">
      <c r="A92" s="980"/>
    </row>
    <row r="93" spans="1:1" x14ac:dyDescent="0.35">
      <c r="A93" s="980"/>
    </row>
    <row r="94" spans="1:1" x14ac:dyDescent="0.35">
      <c r="A94" s="980"/>
    </row>
    <row r="95" spans="1:1" x14ac:dyDescent="0.35">
      <c r="A95" s="980"/>
    </row>
    <row r="96" spans="1:1" x14ac:dyDescent="0.35">
      <c r="A96" s="980"/>
    </row>
    <row r="97" spans="1:1" x14ac:dyDescent="0.35">
      <c r="A97" s="980"/>
    </row>
    <row r="98" spans="1:1" x14ac:dyDescent="0.35">
      <c r="A98" s="980"/>
    </row>
    <row r="99" spans="1:1" x14ac:dyDescent="0.35">
      <c r="A99" s="980"/>
    </row>
    <row r="100" spans="1:1" x14ac:dyDescent="0.35">
      <c r="A100" s="980"/>
    </row>
    <row r="101" spans="1:1" x14ac:dyDescent="0.35">
      <c r="A101" s="980"/>
    </row>
    <row r="102" spans="1:1" x14ac:dyDescent="0.35">
      <c r="A102" s="980"/>
    </row>
    <row r="103" spans="1:1" x14ac:dyDescent="0.35">
      <c r="A103" s="980"/>
    </row>
    <row r="104" spans="1:1" x14ac:dyDescent="0.35">
      <c r="A104" s="980"/>
    </row>
    <row r="105" spans="1:1" x14ac:dyDescent="0.35">
      <c r="A105" s="980"/>
    </row>
    <row r="106" spans="1:1" x14ac:dyDescent="0.35">
      <c r="A106" s="980"/>
    </row>
    <row r="107" spans="1:1" x14ac:dyDescent="0.35">
      <c r="A107" s="980"/>
    </row>
    <row r="108" spans="1:1" x14ac:dyDescent="0.35">
      <c r="A108" s="980"/>
    </row>
    <row r="109" spans="1:1" x14ac:dyDescent="0.35">
      <c r="A109" s="980"/>
    </row>
    <row r="110" spans="1:1" x14ac:dyDescent="0.35">
      <c r="A110" s="980"/>
    </row>
    <row r="111" spans="1:1" x14ac:dyDescent="0.35">
      <c r="A111" s="980"/>
    </row>
    <row r="112" spans="1:1" x14ac:dyDescent="0.35">
      <c r="A112" s="980"/>
    </row>
    <row r="113" spans="1:1" x14ac:dyDescent="0.35">
      <c r="A113" s="980"/>
    </row>
    <row r="114" spans="1:1" x14ac:dyDescent="0.35">
      <c r="A114" s="980"/>
    </row>
    <row r="115" spans="1:1" x14ac:dyDescent="0.35">
      <c r="A115" s="980"/>
    </row>
    <row r="116" spans="1:1" x14ac:dyDescent="0.35">
      <c r="A116" s="980"/>
    </row>
    <row r="117" spans="1:1" x14ac:dyDescent="0.35">
      <c r="A117" s="980"/>
    </row>
    <row r="118" spans="1:1" x14ac:dyDescent="0.35">
      <c r="A118" s="980"/>
    </row>
    <row r="119" spans="1:1" x14ac:dyDescent="0.35">
      <c r="A119" s="980"/>
    </row>
    <row r="120" spans="1:1" x14ac:dyDescent="0.35">
      <c r="A120" s="980"/>
    </row>
    <row r="121" spans="1:1" x14ac:dyDescent="0.35">
      <c r="A121" s="980"/>
    </row>
    <row r="122" spans="1:1" x14ac:dyDescent="0.35">
      <c r="A122" s="980"/>
    </row>
    <row r="123" spans="1:1" x14ac:dyDescent="0.35">
      <c r="A123" s="980"/>
    </row>
    <row r="124" spans="1:1" x14ac:dyDescent="0.35">
      <c r="A124" s="980"/>
    </row>
    <row r="125" spans="1:1" x14ac:dyDescent="0.35">
      <c r="A125" s="980"/>
    </row>
    <row r="126" spans="1:1" x14ac:dyDescent="0.35">
      <c r="A126" s="980"/>
    </row>
    <row r="127" spans="1:1" x14ac:dyDescent="0.35">
      <c r="A127" s="980"/>
    </row>
    <row r="128" spans="1:1" x14ac:dyDescent="0.35">
      <c r="A128" s="980"/>
    </row>
    <row r="129" spans="1:1" x14ac:dyDescent="0.35">
      <c r="A129" s="980"/>
    </row>
    <row r="130" spans="1:1" x14ac:dyDescent="0.35">
      <c r="A130" s="980"/>
    </row>
    <row r="131" spans="1:1" x14ac:dyDescent="0.35">
      <c r="A131" s="980"/>
    </row>
    <row r="132" spans="1:1" x14ac:dyDescent="0.35">
      <c r="A132" s="980"/>
    </row>
    <row r="133" spans="1:1" x14ac:dyDescent="0.35">
      <c r="A133" s="980"/>
    </row>
    <row r="134" spans="1:1" x14ac:dyDescent="0.35">
      <c r="A134" s="980"/>
    </row>
    <row r="135" spans="1:1" x14ac:dyDescent="0.35">
      <c r="A135" s="980"/>
    </row>
    <row r="136" spans="1:1" x14ac:dyDescent="0.35">
      <c r="A136" s="980"/>
    </row>
    <row r="137" spans="1:1" x14ac:dyDescent="0.35">
      <c r="A137" s="980"/>
    </row>
    <row r="138" spans="1:1" x14ac:dyDescent="0.35">
      <c r="A138" s="980"/>
    </row>
    <row r="139" spans="1:1" x14ac:dyDescent="0.35">
      <c r="A139" s="980"/>
    </row>
    <row r="140" spans="1:1" x14ac:dyDescent="0.35">
      <c r="A140" s="980"/>
    </row>
    <row r="141" spans="1:1" x14ac:dyDescent="0.35">
      <c r="A141" s="980"/>
    </row>
    <row r="142" spans="1:1" x14ac:dyDescent="0.35">
      <c r="A142" s="980"/>
    </row>
    <row r="143" spans="1:1" x14ac:dyDescent="0.35">
      <c r="A143" s="980"/>
    </row>
    <row r="144" spans="1:1" x14ac:dyDescent="0.35">
      <c r="A144" s="980"/>
    </row>
    <row r="145" spans="1:1" x14ac:dyDescent="0.35">
      <c r="A145" s="980"/>
    </row>
    <row r="146" spans="1:1" x14ac:dyDescent="0.35">
      <c r="A146" s="980"/>
    </row>
    <row r="147" spans="1:1" x14ac:dyDescent="0.35">
      <c r="A147" s="980"/>
    </row>
    <row r="148" spans="1:1" x14ac:dyDescent="0.35">
      <c r="A148" s="980"/>
    </row>
    <row r="149" spans="1:1" x14ac:dyDescent="0.35">
      <c r="A149" s="980"/>
    </row>
    <row r="150" spans="1:1" x14ac:dyDescent="0.35">
      <c r="A150" s="980"/>
    </row>
    <row r="151" spans="1:1" x14ac:dyDescent="0.35">
      <c r="A151" s="980"/>
    </row>
    <row r="152" spans="1:1" x14ac:dyDescent="0.35">
      <c r="A152" s="980"/>
    </row>
    <row r="153" spans="1:1" x14ac:dyDescent="0.35">
      <c r="A153" s="980"/>
    </row>
    <row r="154" spans="1:1" x14ac:dyDescent="0.35">
      <c r="A154" s="980"/>
    </row>
    <row r="155" spans="1:1" x14ac:dyDescent="0.35">
      <c r="A155" s="980"/>
    </row>
    <row r="156" spans="1:1" x14ac:dyDescent="0.35">
      <c r="A156" s="980"/>
    </row>
    <row r="157" spans="1:1" x14ac:dyDescent="0.35">
      <c r="A157" s="980"/>
    </row>
    <row r="158" spans="1:1" x14ac:dyDescent="0.35">
      <c r="A158" s="980"/>
    </row>
    <row r="159" spans="1:1" x14ac:dyDescent="0.35">
      <c r="A159" s="980"/>
    </row>
    <row r="160" spans="1:1" x14ac:dyDescent="0.35">
      <c r="A160" s="980"/>
    </row>
    <row r="161" spans="1:1" x14ac:dyDescent="0.35">
      <c r="A161" s="980"/>
    </row>
    <row r="162" spans="1:1" x14ac:dyDescent="0.35">
      <c r="A162" s="980"/>
    </row>
    <row r="163" spans="1:1" x14ac:dyDescent="0.35">
      <c r="A163" s="980"/>
    </row>
    <row r="164" spans="1:1" x14ac:dyDescent="0.35">
      <c r="A164" s="980"/>
    </row>
    <row r="165" spans="1:1" x14ac:dyDescent="0.35">
      <c r="A165" s="980"/>
    </row>
    <row r="166" spans="1:1" x14ac:dyDescent="0.35">
      <c r="A166" s="980"/>
    </row>
    <row r="167" spans="1:1" x14ac:dyDescent="0.35">
      <c r="A167" s="980"/>
    </row>
    <row r="168" spans="1:1" x14ac:dyDescent="0.35">
      <c r="A168" s="980"/>
    </row>
    <row r="169" spans="1:1" x14ac:dyDescent="0.35">
      <c r="A169" s="980"/>
    </row>
    <row r="170" spans="1:1" x14ac:dyDescent="0.35">
      <c r="A170" s="980"/>
    </row>
    <row r="171" spans="1:1" x14ac:dyDescent="0.35">
      <c r="A171" s="980"/>
    </row>
    <row r="172" spans="1:1" x14ac:dyDescent="0.35">
      <c r="A172" s="980"/>
    </row>
    <row r="173" spans="1:1" x14ac:dyDescent="0.35">
      <c r="A173" s="980"/>
    </row>
    <row r="174" spans="1:1" x14ac:dyDescent="0.35">
      <c r="A174" s="980"/>
    </row>
    <row r="175" spans="1:1" x14ac:dyDescent="0.35">
      <c r="A175" s="980"/>
    </row>
    <row r="176" spans="1:1" x14ac:dyDescent="0.35">
      <c r="A176" s="980"/>
    </row>
    <row r="177" spans="1:1" x14ac:dyDescent="0.35">
      <c r="A177" s="980"/>
    </row>
    <row r="178" spans="1:1" x14ac:dyDescent="0.35">
      <c r="A178" s="980"/>
    </row>
    <row r="179" spans="1:1" x14ac:dyDescent="0.35">
      <c r="A179" s="980"/>
    </row>
    <row r="180" spans="1:1" x14ac:dyDescent="0.35">
      <c r="A180" s="980"/>
    </row>
    <row r="181" spans="1:1" x14ac:dyDescent="0.35">
      <c r="A181" s="980"/>
    </row>
    <row r="182" spans="1:1" x14ac:dyDescent="0.35">
      <c r="A182" s="980"/>
    </row>
    <row r="183" spans="1:1" x14ac:dyDescent="0.35">
      <c r="A183" s="980"/>
    </row>
    <row r="184" spans="1:1" x14ac:dyDescent="0.35">
      <c r="A184" s="980"/>
    </row>
    <row r="185" spans="1:1" x14ac:dyDescent="0.35">
      <c r="A185" s="980"/>
    </row>
    <row r="186" spans="1:1" x14ac:dyDescent="0.35">
      <c r="A186" s="980"/>
    </row>
    <row r="187" spans="1:1" x14ac:dyDescent="0.35">
      <c r="A187" s="980"/>
    </row>
    <row r="188" spans="1:1" x14ac:dyDescent="0.35">
      <c r="A188" s="980"/>
    </row>
    <row r="189" spans="1:1" x14ac:dyDescent="0.35">
      <c r="A189" s="980"/>
    </row>
    <row r="190" spans="1:1" x14ac:dyDescent="0.35">
      <c r="A190" s="980"/>
    </row>
    <row r="191" spans="1:1" x14ac:dyDescent="0.35">
      <c r="A191" s="980"/>
    </row>
    <row r="192" spans="1:1" x14ac:dyDescent="0.35">
      <c r="A192" s="980"/>
    </row>
    <row r="193" spans="1:1" x14ac:dyDescent="0.35">
      <c r="A193" s="980"/>
    </row>
    <row r="194" spans="1:1" x14ac:dyDescent="0.35">
      <c r="A194" s="980"/>
    </row>
    <row r="195" spans="1:1" x14ac:dyDescent="0.35">
      <c r="A195" s="980"/>
    </row>
    <row r="196" spans="1:1" x14ac:dyDescent="0.35">
      <c r="A196" s="980"/>
    </row>
    <row r="197" spans="1:1" x14ac:dyDescent="0.35">
      <c r="A197" s="980"/>
    </row>
    <row r="198" spans="1:1" x14ac:dyDescent="0.35">
      <c r="A198" s="980"/>
    </row>
    <row r="199" spans="1:1" x14ac:dyDescent="0.35">
      <c r="A199" s="980"/>
    </row>
    <row r="200" spans="1:1" x14ac:dyDescent="0.35">
      <c r="A200" s="980"/>
    </row>
    <row r="201" spans="1:1" x14ac:dyDescent="0.35">
      <c r="A201" s="980"/>
    </row>
    <row r="202" spans="1:1" x14ac:dyDescent="0.35">
      <c r="A202" s="980"/>
    </row>
    <row r="203" spans="1:1" x14ac:dyDescent="0.35">
      <c r="A203" s="980"/>
    </row>
    <row r="204" spans="1:1" x14ac:dyDescent="0.35">
      <c r="A204" s="980"/>
    </row>
    <row r="205" spans="1:1" x14ac:dyDescent="0.35">
      <c r="A205" s="980"/>
    </row>
    <row r="206" spans="1:1" x14ac:dyDescent="0.35">
      <c r="A206" s="980"/>
    </row>
    <row r="207" spans="1:1" x14ac:dyDescent="0.35">
      <c r="A207" s="980"/>
    </row>
    <row r="208" spans="1:1" x14ac:dyDescent="0.35">
      <c r="A208" s="980"/>
    </row>
    <row r="209" spans="1:1" x14ac:dyDescent="0.35">
      <c r="A209" s="980"/>
    </row>
    <row r="210" spans="1:1" x14ac:dyDescent="0.35">
      <c r="A210" s="980"/>
    </row>
    <row r="211" spans="1:1" x14ac:dyDescent="0.35">
      <c r="A211" s="980"/>
    </row>
    <row r="212" spans="1:1" x14ac:dyDescent="0.35">
      <c r="A212" s="980"/>
    </row>
    <row r="213" spans="1:1" x14ac:dyDescent="0.35">
      <c r="A213" s="980"/>
    </row>
    <row r="214" spans="1:1" x14ac:dyDescent="0.35">
      <c r="A214" s="980"/>
    </row>
    <row r="215" spans="1:1" x14ac:dyDescent="0.35">
      <c r="A215" s="980"/>
    </row>
    <row r="216" spans="1:1" x14ac:dyDescent="0.35">
      <c r="A216" s="980"/>
    </row>
    <row r="217" spans="1:1" x14ac:dyDescent="0.35">
      <c r="A217" s="980"/>
    </row>
    <row r="218" spans="1:1" x14ac:dyDescent="0.35">
      <c r="A218" s="980"/>
    </row>
    <row r="219" spans="1:1" x14ac:dyDescent="0.35">
      <c r="A219" s="980"/>
    </row>
    <row r="220" spans="1:1" x14ac:dyDescent="0.35">
      <c r="A220" s="980"/>
    </row>
    <row r="221" spans="1:1" x14ac:dyDescent="0.35">
      <c r="A221" s="980"/>
    </row>
    <row r="222" spans="1:1" x14ac:dyDescent="0.35">
      <c r="A222" s="980"/>
    </row>
    <row r="223" spans="1:1" x14ac:dyDescent="0.35">
      <c r="A223" s="980"/>
    </row>
    <row r="224" spans="1:1" x14ac:dyDescent="0.35">
      <c r="A224" s="980"/>
    </row>
    <row r="225" spans="1:1" x14ac:dyDescent="0.35">
      <c r="A225" s="980"/>
    </row>
    <row r="226" spans="1:1" x14ac:dyDescent="0.35">
      <c r="A226" s="980"/>
    </row>
    <row r="227" spans="1:1" x14ac:dyDescent="0.35">
      <c r="A227" s="980"/>
    </row>
    <row r="228" spans="1:1" x14ac:dyDescent="0.35">
      <c r="A228" s="980"/>
    </row>
    <row r="229" spans="1:1" x14ac:dyDescent="0.35">
      <c r="A229" s="980"/>
    </row>
    <row r="230" spans="1:1" x14ac:dyDescent="0.35">
      <c r="A230" s="980"/>
    </row>
    <row r="231" spans="1:1" x14ac:dyDescent="0.35">
      <c r="A231" s="980"/>
    </row>
    <row r="232" spans="1:1" x14ac:dyDescent="0.35">
      <c r="A232" s="980"/>
    </row>
    <row r="233" spans="1:1" x14ac:dyDescent="0.35">
      <c r="A233" s="980"/>
    </row>
    <row r="234" spans="1:1" x14ac:dyDescent="0.35">
      <c r="A234" s="980"/>
    </row>
    <row r="235" spans="1:1" x14ac:dyDescent="0.35">
      <c r="A235" s="980"/>
    </row>
    <row r="236" spans="1:1" x14ac:dyDescent="0.35">
      <c r="A236" s="980"/>
    </row>
    <row r="237" spans="1:1" x14ac:dyDescent="0.35">
      <c r="A237" s="980"/>
    </row>
    <row r="238" spans="1:1" x14ac:dyDescent="0.35">
      <c r="A238" s="980"/>
    </row>
    <row r="239" spans="1:1" x14ac:dyDescent="0.35">
      <c r="A239" s="980"/>
    </row>
    <row r="240" spans="1:1" x14ac:dyDescent="0.35">
      <c r="A240" s="980"/>
    </row>
    <row r="241" spans="1:1" x14ac:dyDescent="0.35">
      <c r="A241" s="980"/>
    </row>
    <row r="242" spans="1:1" x14ac:dyDescent="0.35">
      <c r="A242" s="980"/>
    </row>
    <row r="243" spans="1:1" x14ac:dyDescent="0.35">
      <c r="A243" s="980"/>
    </row>
    <row r="244" spans="1:1" x14ac:dyDescent="0.35">
      <c r="A244" s="980"/>
    </row>
    <row r="245" spans="1:1" x14ac:dyDescent="0.35">
      <c r="A245" s="980"/>
    </row>
    <row r="246" spans="1:1" x14ac:dyDescent="0.35">
      <c r="A246" s="980"/>
    </row>
    <row r="247" spans="1:1" x14ac:dyDescent="0.35">
      <c r="A247" s="980"/>
    </row>
    <row r="248" spans="1:1" x14ac:dyDescent="0.35">
      <c r="A248" s="980"/>
    </row>
    <row r="249" spans="1:1" x14ac:dyDescent="0.35">
      <c r="A249" s="980"/>
    </row>
    <row r="250" spans="1:1" x14ac:dyDescent="0.35">
      <c r="A250" s="980"/>
    </row>
    <row r="251" spans="1:1" x14ac:dyDescent="0.35">
      <c r="A251" s="980"/>
    </row>
    <row r="252" spans="1:1" x14ac:dyDescent="0.35">
      <c r="A252" s="980"/>
    </row>
    <row r="253" spans="1:1" x14ac:dyDescent="0.35">
      <c r="A253" s="980"/>
    </row>
    <row r="254" spans="1:1" x14ac:dyDescent="0.35">
      <c r="A254" s="980"/>
    </row>
    <row r="255" spans="1:1" x14ac:dyDescent="0.35">
      <c r="A255" s="980"/>
    </row>
    <row r="256" spans="1:1" x14ac:dyDescent="0.35">
      <c r="A256" s="980"/>
    </row>
    <row r="257" spans="1:1" x14ac:dyDescent="0.35">
      <c r="A257" s="980"/>
    </row>
    <row r="258" spans="1:1" x14ac:dyDescent="0.35">
      <c r="A258" s="980"/>
    </row>
    <row r="259" spans="1:1" x14ac:dyDescent="0.35">
      <c r="A259" s="980"/>
    </row>
    <row r="260" spans="1:1" x14ac:dyDescent="0.35">
      <c r="A260" s="980"/>
    </row>
    <row r="261" spans="1:1" x14ac:dyDescent="0.35">
      <c r="A261" s="980"/>
    </row>
    <row r="262" spans="1:1" x14ac:dyDescent="0.35">
      <c r="A262" s="980"/>
    </row>
    <row r="263" spans="1:1" x14ac:dyDescent="0.35">
      <c r="A263" s="980"/>
    </row>
    <row r="264" spans="1:1" x14ac:dyDescent="0.35">
      <c r="A264" s="980"/>
    </row>
    <row r="265" spans="1:1" x14ac:dyDescent="0.35">
      <c r="A265" s="980"/>
    </row>
    <row r="266" spans="1:1" x14ac:dyDescent="0.35">
      <c r="A266" s="980"/>
    </row>
    <row r="267" spans="1:1" x14ac:dyDescent="0.35">
      <c r="A267" s="980"/>
    </row>
    <row r="268" spans="1:1" x14ac:dyDescent="0.35">
      <c r="A268" s="980"/>
    </row>
    <row r="269" spans="1:1" x14ac:dyDescent="0.35">
      <c r="A269" s="980"/>
    </row>
    <row r="270" spans="1:1" x14ac:dyDescent="0.35">
      <c r="A270" s="980"/>
    </row>
    <row r="271" spans="1:1" x14ac:dyDescent="0.35">
      <c r="A271" s="980"/>
    </row>
    <row r="272" spans="1:1" x14ac:dyDescent="0.35">
      <c r="A272" s="980"/>
    </row>
    <row r="273" spans="1:1" x14ac:dyDescent="0.35">
      <c r="A273" s="980"/>
    </row>
    <row r="274" spans="1:1" x14ac:dyDescent="0.35">
      <c r="A274" s="980"/>
    </row>
    <row r="275" spans="1:1" x14ac:dyDescent="0.35">
      <c r="A275" s="980"/>
    </row>
    <row r="276" spans="1:1" x14ac:dyDescent="0.35">
      <c r="A276" s="980"/>
    </row>
    <row r="277" spans="1:1" x14ac:dyDescent="0.35">
      <c r="A277" s="980"/>
    </row>
    <row r="278" spans="1:1" x14ac:dyDescent="0.35">
      <c r="A278" s="980"/>
    </row>
    <row r="279" spans="1:1" x14ac:dyDescent="0.35">
      <c r="A279" s="980"/>
    </row>
    <row r="280" spans="1:1" x14ac:dyDescent="0.35">
      <c r="A280" s="980"/>
    </row>
    <row r="281" spans="1:1" x14ac:dyDescent="0.35">
      <c r="A281" s="980"/>
    </row>
    <row r="282" spans="1:1" x14ac:dyDescent="0.35">
      <c r="A282" s="980"/>
    </row>
    <row r="283" spans="1:1" x14ac:dyDescent="0.35">
      <c r="A283" s="980"/>
    </row>
    <row r="284" spans="1:1" x14ac:dyDescent="0.35">
      <c r="A284" s="980"/>
    </row>
    <row r="285" spans="1:1" x14ac:dyDescent="0.35">
      <c r="A285" s="980"/>
    </row>
    <row r="286" spans="1:1" x14ac:dyDescent="0.35">
      <c r="A286" s="980"/>
    </row>
    <row r="287" spans="1:1" x14ac:dyDescent="0.35">
      <c r="A287" s="980"/>
    </row>
    <row r="288" spans="1:1" x14ac:dyDescent="0.35">
      <c r="A288" s="980"/>
    </row>
    <row r="289" spans="1:1" x14ac:dyDescent="0.35">
      <c r="A289" s="980"/>
    </row>
    <row r="290" spans="1:1" x14ac:dyDescent="0.35">
      <c r="A290" s="980"/>
    </row>
    <row r="291" spans="1:1" x14ac:dyDescent="0.35">
      <c r="A291" s="980"/>
    </row>
    <row r="292" spans="1:1" x14ac:dyDescent="0.35">
      <c r="A292" s="980"/>
    </row>
    <row r="293" spans="1:1" x14ac:dyDescent="0.35">
      <c r="A293" s="980"/>
    </row>
    <row r="294" spans="1:1" x14ac:dyDescent="0.35">
      <c r="A294" s="980"/>
    </row>
    <row r="295" spans="1:1" x14ac:dyDescent="0.35">
      <c r="A295" s="980"/>
    </row>
    <row r="296" spans="1:1" x14ac:dyDescent="0.35">
      <c r="A296" s="980"/>
    </row>
    <row r="297" spans="1:1" x14ac:dyDescent="0.35">
      <c r="A297" s="980"/>
    </row>
    <row r="298" spans="1:1" x14ac:dyDescent="0.35">
      <c r="A298" s="980"/>
    </row>
    <row r="299" spans="1:1" x14ac:dyDescent="0.35">
      <c r="A299" s="980"/>
    </row>
    <row r="300" spans="1:1" x14ac:dyDescent="0.35">
      <c r="A300" s="980"/>
    </row>
    <row r="301" spans="1:1" x14ac:dyDescent="0.35">
      <c r="A301" s="980"/>
    </row>
    <row r="302" spans="1:1" x14ac:dyDescent="0.35">
      <c r="A302" s="980"/>
    </row>
    <row r="303" spans="1:1" x14ac:dyDescent="0.35">
      <c r="A303" s="980"/>
    </row>
    <row r="304" spans="1:1" x14ac:dyDescent="0.35">
      <c r="A304" s="980"/>
    </row>
    <row r="305" spans="1:1" x14ac:dyDescent="0.35">
      <c r="A305" s="980"/>
    </row>
    <row r="306" spans="1:1" x14ac:dyDescent="0.35">
      <c r="A306" s="980"/>
    </row>
    <row r="307" spans="1:1" x14ac:dyDescent="0.35">
      <c r="A307" s="980"/>
    </row>
    <row r="308" spans="1:1" x14ac:dyDescent="0.35">
      <c r="A308" s="980"/>
    </row>
    <row r="309" spans="1:1" x14ac:dyDescent="0.35">
      <c r="A309" s="980"/>
    </row>
    <row r="310" spans="1:1" x14ac:dyDescent="0.35">
      <c r="A310" s="980"/>
    </row>
    <row r="311" spans="1:1" x14ac:dyDescent="0.35">
      <c r="A311" s="980"/>
    </row>
    <row r="312" spans="1:1" x14ac:dyDescent="0.35">
      <c r="A312" s="980"/>
    </row>
    <row r="313" spans="1:1" x14ac:dyDescent="0.35">
      <c r="A313" s="980"/>
    </row>
    <row r="314" spans="1:1" x14ac:dyDescent="0.35">
      <c r="A314" s="980"/>
    </row>
    <row r="315" spans="1:1" x14ac:dyDescent="0.35">
      <c r="A315" s="980"/>
    </row>
    <row r="316" spans="1:1" x14ac:dyDescent="0.35">
      <c r="A316" s="980"/>
    </row>
    <row r="317" spans="1:1" x14ac:dyDescent="0.35">
      <c r="A317" s="980"/>
    </row>
    <row r="318" spans="1:1" x14ac:dyDescent="0.35">
      <c r="A318" s="980"/>
    </row>
    <row r="319" spans="1:1" x14ac:dyDescent="0.35">
      <c r="A319" s="980"/>
    </row>
    <row r="320" spans="1:1" x14ac:dyDescent="0.35">
      <c r="A320" s="980"/>
    </row>
    <row r="321" spans="1:1" x14ac:dyDescent="0.35">
      <c r="A321" s="980"/>
    </row>
    <row r="322" spans="1:1" x14ac:dyDescent="0.35">
      <c r="A322" s="980"/>
    </row>
    <row r="323" spans="1:1" x14ac:dyDescent="0.35">
      <c r="A323" s="980"/>
    </row>
    <row r="324" spans="1:1" x14ac:dyDescent="0.35">
      <c r="A324" s="980"/>
    </row>
    <row r="325" spans="1:1" x14ac:dyDescent="0.35">
      <c r="A325" s="980"/>
    </row>
    <row r="326" spans="1:1" x14ac:dyDescent="0.35">
      <c r="A326" s="980"/>
    </row>
    <row r="327" spans="1:1" x14ac:dyDescent="0.35">
      <c r="A327" s="980"/>
    </row>
    <row r="328" spans="1:1" x14ac:dyDescent="0.35">
      <c r="A328" s="980"/>
    </row>
    <row r="329" spans="1:1" x14ac:dyDescent="0.35">
      <c r="A329" s="980"/>
    </row>
    <row r="330" spans="1:1" x14ac:dyDescent="0.35">
      <c r="A330" s="980"/>
    </row>
    <row r="331" spans="1:1" x14ac:dyDescent="0.35">
      <c r="A331" s="980"/>
    </row>
    <row r="332" spans="1:1" x14ac:dyDescent="0.35">
      <c r="A332" s="980"/>
    </row>
    <row r="333" spans="1:1" x14ac:dyDescent="0.35">
      <c r="A333" s="980"/>
    </row>
    <row r="334" spans="1:1" x14ac:dyDescent="0.35">
      <c r="A334" s="980"/>
    </row>
    <row r="335" spans="1:1" x14ac:dyDescent="0.35">
      <c r="A335" s="980"/>
    </row>
    <row r="336" spans="1:1" x14ac:dyDescent="0.35">
      <c r="A336" s="980"/>
    </row>
    <row r="337" spans="1:1" x14ac:dyDescent="0.35">
      <c r="A337" s="980"/>
    </row>
    <row r="338" spans="1:1" x14ac:dyDescent="0.35">
      <c r="A338" s="980"/>
    </row>
    <row r="339" spans="1:1" x14ac:dyDescent="0.35">
      <c r="A339" s="980"/>
    </row>
    <row r="340" spans="1:1" x14ac:dyDescent="0.35">
      <c r="A340" s="980"/>
    </row>
    <row r="341" spans="1:1" x14ac:dyDescent="0.35">
      <c r="A341" s="980"/>
    </row>
    <row r="342" spans="1:1" x14ac:dyDescent="0.35">
      <c r="A342" s="980"/>
    </row>
    <row r="343" spans="1:1" x14ac:dyDescent="0.35">
      <c r="A343" s="980"/>
    </row>
    <row r="344" spans="1:1" x14ac:dyDescent="0.35">
      <c r="A344" s="980"/>
    </row>
    <row r="345" spans="1:1" x14ac:dyDescent="0.35">
      <c r="A345" s="980"/>
    </row>
    <row r="346" spans="1:1" x14ac:dyDescent="0.35">
      <c r="A346" s="980"/>
    </row>
    <row r="347" spans="1:1" x14ac:dyDescent="0.35">
      <c r="A347" s="980"/>
    </row>
    <row r="348" spans="1:1" x14ac:dyDescent="0.35">
      <c r="A348" s="980"/>
    </row>
    <row r="349" spans="1:1" x14ac:dyDescent="0.35">
      <c r="A349" s="980"/>
    </row>
    <row r="350" spans="1:1" x14ac:dyDescent="0.35">
      <c r="A350" s="980"/>
    </row>
    <row r="351" spans="1:1" x14ac:dyDescent="0.35">
      <c r="A351" s="980"/>
    </row>
    <row r="352" spans="1:1" x14ac:dyDescent="0.35">
      <c r="A352" s="980"/>
    </row>
    <row r="353" spans="1:1" x14ac:dyDescent="0.35">
      <c r="A353" s="980"/>
    </row>
    <row r="354" spans="1:1" x14ac:dyDescent="0.35">
      <c r="A354" s="980"/>
    </row>
    <row r="355" spans="1:1" x14ac:dyDescent="0.35">
      <c r="A355" s="980"/>
    </row>
    <row r="356" spans="1:1" x14ac:dyDescent="0.35">
      <c r="A356" s="980"/>
    </row>
    <row r="357" spans="1:1" x14ac:dyDescent="0.35">
      <c r="A357" s="980"/>
    </row>
    <row r="358" spans="1:1" x14ac:dyDescent="0.35">
      <c r="A358" s="980"/>
    </row>
    <row r="359" spans="1:1" x14ac:dyDescent="0.35">
      <c r="A359" s="980"/>
    </row>
    <row r="360" spans="1:1" x14ac:dyDescent="0.35">
      <c r="A360" s="980"/>
    </row>
    <row r="361" spans="1:1" x14ac:dyDescent="0.35">
      <c r="A361" s="980"/>
    </row>
    <row r="362" spans="1:1" x14ac:dyDescent="0.35">
      <c r="A362" s="980"/>
    </row>
    <row r="363" spans="1:1" x14ac:dyDescent="0.35">
      <c r="A363" s="980"/>
    </row>
    <row r="364" spans="1:1" x14ac:dyDescent="0.35">
      <c r="A364" s="980"/>
    </row>
    <row r="365" spans="1:1" x14ac:dyDescent="0.35">
      <c r="A365" s="980"/>
    </row>
    <row r="366" spans="1:1" x14ac:dyDescent="0.35">
      <c r="A366" s="980"/>
    </row>
    <row r="367" spans="1:1" x14ac:dyDescent="0.35">
      <c r="A367" s="980"/>
    </row>
    <row r="368" spans="1:1" x14ac:dyDescent="0.35">
      <c r="A368" s="980"/>
    </row>
    <row r="369" spans="1:1" x14ac:dyDescent="0.35">
      <c r="A369" s="980"/>
    </row>
    <row r="370" spans="1:1" x14ac:dyDescent="0.35">
      <c r="A370" s="980"/>
    </row>
    <row r="371" spans="1:1" x14ac:dyDescent="0.35">
      <c r="A371" s="980"/>
    </row>
    <row r="372" spans="1:1" x14ac:dyDescent="0.35">
      <c r="A372" s="980"/>
    </row>
    <row r="373" spans="1:1" x14ac:dyDescent="0.35">
      <c r="A373" s="980"/>
    </row>
    <row r="374" spans="1:1" x14ac:dyDescent="0.35">
      <c r="A374" s="980"/>
    </row>
    <row r="375" spans="1:1" x14ac:dyDescent="0.35">
      <c r="A375" s="980"/>
    </row>
    <row r="376" spans="1:1" x14ac:dyDescent="0.35">
      <c r="A376" s="980"/>
    </row>
    <row r="377" spans="1:1" x14ac:dyDescent="0.35">
      <c r="A377" s="980"/>
    </row>
    <row r="378" spans="1:1" x14ac:dyDescent="0.35">
      <c r="A378" s="980"/>
    </row>
    <row r="379" spans="1:1" x14ac:dyDescent="0.35">
      <c r="A379" s="980"/>
    </row>
    <row r="380" spans="1:1" x14ac:dyDescent="0.35">
      <c r="A380" s="980"/>
    </row>
    <row r="381" spans="1:1" x14ac:dyDescent="0.35">
      <c r="A381" s="980"/>
    </row>
    <row r="382" spans="1:1" x14ac:dyDescent="0.35">
      <c r="A382" s="980"/>
    </row>
    <row r="383" spans="1:1" x14ac:dyDescent="0.35">
      <c r="A383" s="980"/>
    </row>
    <row r="384" spans="1:1" x14ac:dyDescent="0.35">
      <c r="A384" s="980"/>
    </row>
    <row r="385" spans="1:1" x14ac:dyDescent="0.35">
      <c r="A385" s="980"/>
    </row>
    <row r="386" spans="1:1" x14ac:dyDescent="0.35">
      <c r="A386" s="980"/>
    </row>
    <row r="387" spans="1:1" x14ac:dyDescent="0.35">
      <c r="A387" s="980"/>
    </row>
    <row r="388" spans="1:1" x14ac:dyDescent="0.35">
      <c r="A388" s="980"/>
    </row>
    <row r="389" spans="1:1" x14ac:dyDescent="0.35">
      <c r="A389" s="980"/>
    </row>
    <row r="390" spans="1:1" x14ac:dyDescent="0.35">
      <c r="A390" s="980"/>
    </row>
    <row r="391" spans="1:1" x14ac:dyDescent="0.35">
      <c r="A391" s="980"/>
    </row>
    <row r="392" spans="1:1" x14ac:dyDescent="0.35">
      <c r="A392" s="980"/>
    </row>
    <row r="393" spans="1:1" x14ac:dyDescent="0.35">
      <c r="A393" s="980"/>
    </row>
    <row r="394" spans="1:1" x14ac:dyDescent="0.35">
      <c r="A394" s="980"/>
    </row>
    <row r="395" spans="1:1" x14ac:dyDescent="0.35">
      <c r="A395" s="980"/>
    </row>
    <row r="396" spans="1:1" x14ac:dyDescent="0.35">
      <c r="A396" s="980"/>
    </row>
    <row r="397" spans="1:1" x14ac:dyDescent="0.35">
      <c r="A397" s="980"/>
    </row>
    <row r="398" spans="1:1" x14ac:dyDescent="0.35">
      <c r="A398" s="980"/>
    </row>
    <row r="399" spans="1:1" x14ac:dyDescent="0.35">
      <c r="A399" s="980"/>
    </row>
    <row r="400" spans="1:1" x14ac:dyDescent="0.35">
      <c r="A400" s="980"/>
    </row>
    <row r="401" spans="1:1" x14ac:dyDescent="0.35">
      <c r="A401" s="980"/>
    </row>
    <row r="402" spans="1:1" x14ac:dyDescent="0.35">
      <c r="A402" s="980"/>
    </row>
    <row r="403" spans="1:1" x14ac:dyDescent="0.35">
      <c r="A403" s="980"/>
    </row>
    <row r="404" spans="1:1" x14ac:dyDescent="0.35">
      <c r="A404" s="980"/>
    </row>
    <row r="405" spans="1:1" x14ac:dyDescent="0.35">
      <c r="A405" s="980"/>
    </row>
    <row r="406" spans="1:1" x14ac:dyDescent="0.35">
      <c r="A406" s="980"/>
    </row>
    <row r="407" spans="1:1" x14ac:dyDescent="0.35">
      <c r="A407" s="980"/>
    </row>
    <row r="408" spans="1:1" x14ac:dyDescent="0.35">
      <c r="A408" s="980"/>
    </row>
    <row r="409" spans="1:1" x14ac:dyDescent="0.35">
      <c r="A409" s="980"/>
    </row>
    <row r="410" spans="1:1" x14ac:dyDescent="0.35">
      <c r="A410" s="980"/>
    </row>
    <row r="411" spans="1:1" x14ac:dyDescent="0.35">
      <c r="A411" s="980"/>
    </row>
    <row r="412" spans="1:1" x14ac:dyDescent="0.35">
      <c r="A412" s="980"/>
    </row>
    <row r="413" spans="1:1" x14ac:dyDescent="0.35">
      <c r="A413" s="980"/>
    </row>
    <row r="414" spans="1:1" x14ac:dyDescent="0.35">
      <c r="A414" s="980"/>
    </row>
    <row r="415" spans="1:1" x14ac:dyDescent="0.35">
      <c r="A415" s="980"/>
    </row>
    <row r="416" spans="1:1" x14ac:dyDescent="0.35">
      <c r="A416" s="980"/>
    </row>
    <row r="417" spans="1:1" x14ac:dyDescent="0.35">
      <c r="A417" s="980"/>
    </row>
    <row r="418" spans="1:1" x14ac:dyDescent="0.35">
      <c r="A418" s="980"/>
    </row>
    <row r="419" spans="1:1" x14ac:dyDescent="0.35">
      <c r="A419" s="980"/>
    </row>
    <row r="420" spans="1:1" x14ac:dyDescent="0.35">
      <c r="A420" s="980"/>
    </row>
    <row r="421" spans="1:1" x14ac:dyDescent="0.35">
      <c r="A421" s="980"/>
    </row>
    <row r="422" spans="1:1" x14ac:dyDescent="0.35">
      <c r="A422" s="980"/>
    </row>
    <row r="423" spans="1:1" x14ac:dyDescent="0.35">
      <c r="A423" s="980"/>
    </row>
    <row r="424" spans="1:1" x14ac:dyDescent="0.35">
      <c r="A424" s="980"/>
    </row>
    <row r="425" spans="1:1" x14ac:dyDescent="0.35">
      <c r="A425" s="980"/>
    </row>
    <row r="426" spans="1:1" x14ac:dyDescent="0.35">
      <c r="A426" s="980"/>
    </row>
    <row r="427" spans="1:1" x14ac:dyDescent="0.35">
      <c r="A427" s="980"/>
    </row>
    <row r="428" spans="1:1" x14ac:dyDescent="0.35">
      <c r="A428" s="980"/>
    </row>
    <row r="429" spans="1:1" x14ac:dyDescent="0.35">
      <c r="A429" s="980"/>
    </row>
    <row r="430" spans="1:1" x14ac:dyDescent="0.35">
      <c r="A430" s="980"/>
    </row>
    <row r="431" spans="1:1" x14ac:dyDescent="0.35">
      <c r="A431" s="980"/>
    </row>
    <row r="432" spans="1:1" x14ac:dyDescent="0.35">
      <c r="A432" s="980"/>
    </row>
    <row r="433" spans="1:1" x14ac:dyDescent="0.35">
      <c r="A433" s="980"/>
    </row>
    <row r="434" spans="1:1" x14ac:dyDescent="0.35">
      <c r="A434" s="980"/>
    </row>
    <row r="435" spans="1:1" x14ac:dyDescent="0.35">
      <c r="A435" s="980"/>
    </row>
    <row r="436" spans="1:1" x14ac:dyDescent="0.35">
      <c r="A436" s="980"/>
    </row>
    <row r="437" spans="1:1" x14ac:dyDescent="0.35">
      <c r="A437" s="980"/>
    </row>
    <row r="438" spans="1:1" x14ac:dyDescent="0.35">
      <c r="A438" s="980"/>
    </row>
    <row r="439" spans="1:1" x14ac:dyDescent="0.35">
      <c r="A439" s="980"/>
    </row>
    <row r="440" spans="1:1" x14ac:dyDescent="0.35">
      <c r="A440" s="980"/>
    </row>
    <row r="441" spans="1:1" x14ac:dyDescent="0.35">
      <c r="A441" s="980"/>
    </row>
    <row r="442" spans="1:1" x14ac:dyDescent="0.35">
      <c r="A442" s="980"/>
    </row>
    <row r="443" spans="1:1" x14ac:dyDescent="0.35">
      <c r="A443" s="980"/>
    </row>
    <row r="444" spans="1:1" x14ac:dyDescent="0.35">
      <c r="A444" s="980"/>
    </row>
    <row r="445" spans="1:1" x14ac:dyDescent="0.35">
      <c r="A445" s="980"/>
    </row>
    <row r="446" spans="1:1" x14ac:dyDescent="0.35">
      <c r="A446" s="980"/>
    </row>
    <row r="447" spans="1:1" x14ac:dyDescent="0.35">
      <c r="A447" s="980"/>
    </row>
    <row r="448" spans="1:1" x14ac:dyDescent="0.35">
      <c r="A448" s="980"/>
    </row>
    <row r="449" spans="1:1" x14ac:dyDescent="0.35">
      <c r="A449" s="980"/>
    </row>
    <row r="450" spans="1:1" x14ac:dyDescent="0.35">
      <c r="A450" s="980"/>
    </row>
    <row r="451" spans="1:1" x14ac:dyDescent="0.35">
      <c r="A451" s="980"/>
    </row>
    <row r="452" spans="1:1" x14ac:dyDescent="0.35">
      <c r="A452" s="980"/>
    </row>
    <row r="453" spans="1:1" x14ac:dyDescent="0.35">
      <c r="A453" s="980"/>
    </row>
    <row r="454" spans="1:1" x14ac:dyDescent="0.35">
      <c r="A454" s="980"/>
    </row>
    <row r="455" spans="1:1" x14ac:dyDescent="0.35">
      <c r="A455" s="980"/>
    </row>
    <row r="456" spans="1:1" x14ac:dyDescent="0.35">
      <c r="A456" s="980"/>
    </row>
    <row r="457" spans="1:1" x14ac:dyDescent="0.35">
      <c r="A457" s="980"/>
    </row>
    <row r="458" spans="1:1" x14ac:dyDescent="0.35">
      <c r="A458" s="980"/>
    </row>
    <row r="459" spans="1:1" x14ac:dyDescent="0.35">
      <c r="A459" s="980"/>
    </row>
    <row r="460" spans="1:1" x14ac:dyDescent="0.35">
      <c r="A460" s="980"/>
    </row>
    <row r="461" spans="1:1" x14ac:dyDescent="0.35">
      <c r="A461" s="980"/>
    </row>
    <row r="462" spans="1:1" x14ac:dyDescent="0.35">
      <c r="A462" s="980"/>
    </row>
    <row r="463" spans="1:1" x14ac:dyDescent="0.35">
      <c r="A463" s="980"/>
    </row>
    <row r="464" spans="1:1" x14ac:dyDescent="0.35">
      <c r="A464" s="980"/>
    </row>
    <row r="465" spans="1:1" x14ac:dyDescent="0.35">
      <c r="A465" s="980"/>
    </row>
    <row r="466" spans="1:1" x14ac:dyDescent="0.35">
      <c r="A466" s="980"/>
    </row>
    <row r="467" spans="1:1" x14ac:dyDescent="0.35">
      <c r="A467" s="980"/>
    </row>
    <row r="468" spans="1:1" x14ac:dyDescent="0.35">
      <c r="A468" s="980"/>
    </row>
    <row r="469" spans="1:1" x14ac:dyDescent="0.35">
      <c r="A469" s="980"/>
    </row>
    <row r="470" spans="1:1" x14ac:dyDescent="0.35">
      <c r="A470" s="980"/>
    </row>
    <row r="471" spans="1:1" x14ac:dyDescent="0.35">
      <c r="A471" s="980"/>
    </row>
    <row r="472" spans="1:1" x14ac:dyDescent="0.35">
      <c r="A472" s="980"/>
    </row>
    <row r="473" spans="1:1" x14ac:dyDescent="0.35">
      <c r="A473" s="980"/>
    </row>
    <row r="474" spans="1:1" x14ac:dyDescent="0.35">
      <c r="A474" s="980"/>
    </row>
    <row r="475" spans="1:1" x14ac:dyDescent="0.35">
      <c r="A475" s="980"/>
    </row>
    <row r="476" spans="1:1" x14ac:dyDescent="0.35">
      <c r="A476" s="980"/>
    </row>
    <row r="477" spans="1:1" x14ac:dyDescent="0.35">
      <c r="A477" s="980"/>
    </row>
    <row r="478" spans="1:1" x14ac:dyDescent="0.35">
      <c r="A478" s="980"/>
    </row>
    <row r="479" spans="1:1" x14ac:dyDescent="0.35">
      <c r="A479" s="980"/>
    </row>
    <row r="480" spans="1:1" x14ac:dyDescent="0.35">
      <c r="A480" s="980"/>
    </row>
    <row r="481" spans="1:1" x14ac:dyDescent="0.35">
      <c r="A481" s="980"/>
    </row>
    <row r="482" spans="1:1" x14ac:dyDescent="0.35">
      <c r="A482" s="980"/>
    </row>
    <row r="483" spans="1:1" x14ac:dyDescent="0.35">
      <c r="A483" s="980"/>
    </row>
    <row r="484" spans="1:1" x14ac:dyDescent="0.35">
      <c r="A484" s="980"/>
    </row>
    <row r="485" spans="1:1" x14ac:dyDescent="0.35">
      <c r="A485" s="980"/>
    </row>
    <row r="486" spans="1:1" x14ac:dyDescent="0.35">
      <c r="A486" s="980"/>
    </row>
    <row r="487" spans="1:1" x14ac:dyDescent="0.35">
      <c r="A487" s="980"/>
    </row>
    <row r="488" spans="1:1" x14ac:dyDescent="0.35">
      <c r="A488" s="980"/>
    </row>
    <row r="489" spans="1:1" x14ac:dyDescent="0.35">
      <c r="A489" s="980"/>
    </row>
    <row r="490" spans="1:1" x14ac:dyDescent="0.35">
      <c r="A490" s="980"/>
    </row>
    <row r="491" spans="1:1" x14ac:dyDescent="0.35">
      <c r="A491" s="980"/>
    </row>
    <row r="492" spans="1:1" x14ac:dyDescent="0.35">
      <c r="A492" s="980"/>
    </row>
    <row r="493" spans="1:1" x14ac:dyDescent="0.35">
      <c r="A493" s="980"/>
    </row>
    <row r="494" spans="1:1" x14ac:dyDescent="0.35">
      <c r="A494" s="980"/>
    </row>
    <row r="495" spans="1:1" x14ac:dyDescent="0.35">
      <c r="A495" s="980"/>
    </row>
    <row r="496" spans="1:1" x14ac:dyDescent="0.35">
      <c r="A496" s="980"/>
    </row>
    <row r="497" spans="1:1" x14ac:dyDescent="0.35">
      <c r="A497" s="980"/>
    </row>
    <row r="498" spans="1:1" x14ac:dyDescent="0.35">
      <c r="A498" s="980"/>
    </row>
    <row r="499" spans="1:1" x14ac:dyDescent="0.35">
      <c r="A499" s="980"/>
    </row>
    <row r="500" spans="1:1" x14ac:dyDescent="0.35">
      <c r="A500" s="980"/>
    </row>
    <row r="501" spans="1:1" x14ac:dyDescent="0.35">
      <c r="A501" s="980"/>
    </row>
    <row r="502" spans="1:1" x14ac:dyDescent="0.35">
      <c r="A502" s="980"/>
    </row>
    <row r="503" spans="1:1" x14ac:dyDescent="0.35">
      <c r="A503" s="980"/>
    </row>
    <row r="504" spans="1:1" x14ac:dyDescent="0.35">
      <c r="A504" s="980"/>
    </row>
    <row r="505" spans="1:1" x14ac:dyDescent="0.35">
      <c r="A505" s="980"/>
    </row>
    <row r="506" spans="1:1" x14ac:dyDescent="0.35">
      <c r="A506" s="980"/>
    </row>
    <row r="507" spans="1:1" x14ac:dyDescent="0.35">
      <c r="A507" s="980"/>
    </row>
    <row r="508" spans="1:1" x14ac:dyDescent="0.35">
      <c r="A508" s="980"/>
    </row>
    <row r="509" spans="1:1" x14ac:dyDescent="0.35">
      <c r="A509" s="980"/>
    </row>
    <row r="510" spans="1:1" x14ac:dyDescent="0.35">
      <c r="A510" s="980"/>
    </row>
    <row r="511" spans="1:1" x14ac:dyDescent="0.35">
      <c r="A511" s="980"/>
    </row>
    <row r="512" spans="1:1" x14ac:dyDescent="0.35">
      <c r="A512" s="980"/>
    </row>
    <row r="513" spans="1:1" x14ac:dyDescent="0.35">
      <c r="A513" s="980"/>
    </row>
    <row r="514" spans="1:1" x14ac:dyDescent="0.35">
      <c r="A514" s="980"/>
    </row>
    <row r="515" spans="1:1" x14ac:dyDescent="0.35">
      <c r="A515" s="980"/>
    </row>
    <row r="516" spans="1:1" x14ac:dyDescent="0.35">
      <c r="A516" s="980"/>
    </row>
    <row r="517" spans="1:1" x14ac:dyDescent="0.35">
      <c r="A517" s="980"/>
    </row>
    <row r="518" spans="1:1" x14ac:dyDescent="0.35">
      <c r="A518" s="980"/>
    </row>
    <row r="519" spans="1:1" x14ac:dyDescent="0.35">
      <c r="A519" s="980"/>
    </row>
    <row r="520" spans="1:1" x14ac:dyDescent="0.35">
      <c r="A520" s="980"/>
    </row>
    <row r="521" spans="1:1" x14ac:dyDescent="0.35">
      <c r="A521" s="980"/>
    </row>
    <row r="522" spans="1:1" x14ac:dyDescent="0.35">
      <c r="A522" s="980"/>
    </row>
    <row r="523" spans="1:1" x14ac:dyDescent="0.35">
      <c r="A523" s="980"/>
    </row>
    <row r="524" spans="1:1" x14ac:dyDescent="0.35">
      <c r="A524" s="980"/>
    </row>
    <row r="525" spans="1:1" x14ac:dyDescent="0.35">
      <c r="A525" s="980"/>
    </row>
    <row r="526" spans="1:1" x14ac:dyDescent="0.35">
      <c r="A526" s="980"/>
    </row>
    <row r="527" spans="1:1" x14ac:dyDescent="0.35">
      <c r="A527" s="980"/>
    </row>
    <row r="528" spans="1:1" x14ac:dyDescent="0.35">
      <c r="A528" s="980"/>
    </row>
    <row r="529" spans="1:1" x14ac:dyDescent="0.35">
      <c r="A529" s="980"/>
    </row>
    <row r="530" spans="1:1" x14ac:dyDescent="0.35">
      <c r="A530" s="980"/>
    </row>
    <row r="531" spans="1:1" x14ac:dyDescent="0.35">
      <c r="A531" s="980"/>
    </row>
    <row r="532" spans="1:1" x14ac:dyDescent="0.35">
      <c r="A532" s="980"/>
    </row>
    <row r="533" spans="1:1" x14ac:dyDescent="0.35">
      <c r="A533" s="980"/>
    </row>
    <row r="534" spans="1:1" x14ac:dyDescent="0.35">
      <c r="A534" s="980"/>
    </row>
    <row r="535" spans="1:1" x14ac:dyDescent="0.35">
      <c r="A535" s="980"/>
    </row>
    <row r="536" spans="1:1" x14ac:dyDescent="0.35">
      <c r="A536" s="980"/>
    </row>
    <row r="537" spans="1:1" x14ac:dyDescent="0.35">
      <c r="A537" s="980"/>
    </row>
    <row r="538" spans="1:1" x14ac:dyDescent="0.35">
      <c r="A538" s="980"/>
    </row>
    <row r="539" spans="1:1" x14ac:dyDescent="0.35">
      <c r="A539" s="980"/>
    </row>
    <row r="540" spans="1:1" x14ac:dyDescent="0.35">
      <c r="A540" s="980"/>
    </row>
    <row r="541" spans="1:1" x14ac:dyDescent="0.35">
      <c r="A541" s="980"/>
    </row>
    <row r="542" spans="1:1" x14ac:dyDescent="0.35">
      <c r="A542" s="980"/>
    </row>
    <row r="543" spans="1:1" x14ac:dyDescent="0.35">
      <c r="A543" s="980"/>
    </row>
    <row r="544" spans="1:1" x14ac:dyDescent="0.35">
      <c r="A544" s="980"/>
    </row>
    <row r="545" spans="1:1" x14ac:dyDescent="0.35">
      <c r="A545" s="980"/>
    </row>
    <row r="546" spans="1:1" x14ac:dyDescent="0.35">
      <c r="A546" s="980"/>
    </row>
    <row r="547" spans="1:1" x14ac:dyDescent="0.35">
      <c r="A547" s="980"/>
    </row>
    <row r="548" spans="1:1" x14ac:dyDescent="0.35">
      <c r="A548" s="980"/>
    </row>
    <row r="549" spans="1:1" x14ac:dyDescent="0.35">
      <c r="A549" s="980"/>
    </row>
    <row r="550" spans="1:1" x14ac:dyDescent="0.35">
      <c r="A550" s="980"/>
    </row>
    <row r="551" spans="1:1" x14ac:dyDescent="0.35">
      <c r="A551" s="980"/>
    </row>
    <row r="552" spans="1:1" x14ac:dyDescent="0.35">
      <c r="A552" s="980"/>
    </row>
    <row r="553" spans="1:1" x14ac:dyDescent="0.35">
      <c r="A553" s="980"/>
    </row>
    <row r="554" spans="1:1" x14ac:dyDescent="0.35">
      <c r="A554" s="980"/>
    </row>
    <row r="555" spans="1:1" x14ac:dyDescent="0.35">
      <c r="A555" s="980"/>
    </row>
    <row r="556" spans="1:1" x14ac:dyDescent="0.35">
      <c r="A556" s="980"/>
    </row>
    <row r="557" spans="1:1" x14ac:dyDescent="0.35">
      <c r="A557" s="980"/>
    </row>
    <row r="558" spans="1:1" x14ac:dyDescent="0.35">
      <c r="A558" s="980"/>
    </row>
    <row r="559" spans="1:1" x14ac:dyDescent="0.35">
      <c r="A559" s="980"/>
    </row>
    <row r="560" spans="1:1" x14ac:dyDescent="0.35">
      <c r="A560" s="980"/>
    </row>
    <row r="561" spans="1:1" x14ac:dyDescent="0.35">
      <c r="A561" s="980"/>
    </row>
    <row r="562" spans="1:1" x14ac:dyDescent="0.35">
      <c r="A562" s="980"/>
    </row>
    <row r="563" spans="1:1" x14ac:dyDescent="0.35">
      <c r="A563" s="980"/>
    </row>
    <row r="564" spans="1:1" x14ac:dyDescent="0.35">
      <c r="A564" s="980"/>
    </row>
    <row r="565" spans="1:1" x14ac:dyDescent="0.35">
      <c r="A565" s="980"/>
    </row>
    <row r="566" spans="1:1" x14ac:dyDescent="0.35">
      <c r="A566" s="980"/>
    </row>
    <row r="567" spans="1:1" x14ac:dyDescent="0.35">
      <c r="A567" s="980"/>
    </row>
    <row r="568" spans="1:1" x14ac:dyDescent="0.35">
      <c r="A568" s="980"/>
    </row>
    <row r="569" spans="1:1" x14ac:dyDescent="0.35">
      <c r="A569" s="980"/>
    </row>
    <row r="570" spans="1:1" x14ac:dyDescent="0.35">
      <c r="A570" s="980"/>
    </row>
    <row r="571" spans="1:1" x14ac:dyDescent="0.35">
      <c r="A571" s="980"/>
    </row>
    <row r="572" spans="1:1" x14ac:dyDescent="0.35">
      <c r="A572" s="980"/>
    </row>
    <row r="573" spans="1:1" x14ac:dyDescent="0.35">
      <c r="A573" s="980"/>
    </row>
    <row r="574" spans="1:1" x14ac:dyDescent="0.35">
      <c r="A574" s="980"/>
    </row>
    <row r="575" spans="1:1" x14ac:dyDescent="0.35">
      <c r="A575" s="980"/>
    </row>
    <row r="576" spans="1:1" x14ac:dyDescent="0.35">
      <c r="A576" s="980"/>
    </row>
    <row r="577" spans="1:1" x14ac:dyDescent="0.35">
      <c r="A577" s="980"/>
    </row>
    <row r="578" spans="1:1" x14ac:dyDescent="0.35">
      <c r="A578" s="980"/>
    </row>
    <row r="579" spans="1:1" x14ac:dyDescent="0.35">
      <c r="A579" s="980"/>
    </row>
    <row r="580" spans="1:1" x14ac:dyDescent="0.35">
      <c r="A580" s="980"/>
    </row>
    <row r="581" spans="1:1" x14ac:dyDescent="0.35">
      <c r="A581" s="980"/>
    </row>
    <row r="582" spans="1:1" x14ac:dyDescent="0.35">
      <c r="A582" s="980"/>
    </row>
    <row r="583" spans="1:1" x14ac:dyDescent="0.35">
      <c r="A583" s="980"/>
    </row>
    <row r="584" spans="1:1" x14ac:dyDescent="0.35">
      <c r="A584" s="980"/>
    </row>
    <row r="585" spans="1:1" x14ac:dyDescent="0.35">
      <c r="A585" s="980"/>
    </row>
    <row r="586" spans="1:1" x14ac:dyDescent="0.35">
      <c r="A586" s="980"/>
    </row>
    <row r="587" spans="1:1" x14ac:dyDescent="0.35">
      <c r="A587" s="980"/>
    </row>
    <row r="588" spans="1:1" x14ac:dyDescent="0.35">
      <c r="A588" s="980"/>
    </row>
    <row r="589" spans="1:1" x14ac:dyDescent="0.35">
      <c r="A589" s="980"/>
    </row>
    <row r="590" spans="1:1" x14ac:dyDescent="0.35">
      <c r="A590" s="980"/>
    </row>
    <row r="591" spans="1:1" x14ac:dyDescent="0.35">
      <c r="A591" s="980"/>
    </row>
    <row r="592" spans="1:1" x14ac:dyDescent="0.35">
      <c r="A592" s="980"/>
    </row>
    <row r="593" spans="1:1" x14ac:dyDescent="0.35">
      <c r="A593" s="980"/>
    </row>
    <row r="594" spans="1:1" x14ac:dyDescent="0.35">
      <c r="A594" s="980"/>
    </row>
    <row r="595" spans="1:1" x14ac:dyDescent="0.35">
      <c r="A595" s="980"/>
    </row>
    <row r="596" spans="1:1" x14ac:dyDescent="0.35">
      <c r="A596" s="980"/>
    </row>
    <row r="597" spans="1:1" x14ac:dyDescent="0.35">
      <c r="A597" s="980"/>
    </row>
    <row r="598" spans="1:1" x14ac:dyDescent="0.35">
      <c r="A598" s="980"/>
    </row>
    <row r="599" spans="1:1" x14ac:dyDescent="0.35">
      <c r="A599" s="980"/>
    </row>
    <row r="600" spans="1:1" x14ac:dyDescent="0.35">
      <c r="A600" s="980"/>
    </row>
    <row r="601" spans="1:1" x14ac:dyDescent="0.35">
      <c r="A601" s="980"/>
    </row>
    <row r="602" spans="1:1" x14ac:dyDescent="0.35">
      <c r="A602" s="980"/>
    </row>
    <row r="603" spans="1:1" x14ac:dyDescent="0.35">
      <c r="A603" s="980"/>
    </row>
    <row r="604" spans="1:1" x14ac:dyDescent="0.35">
      <c r="A604" s="980"/>
    </row>
    <row r="605" spans="1:1" x14ac:dyDescent="0.35">
      <c r="A605" s="980"/>
    </row>
    <row r="606" spans="1:1" x14ac:dyDescent="0.35">
      <c r="A606" s="980"/>
    </row>
    <row r="607" spans="1:1" x14ac:dyDescent="0.35">
      <c r="A607" s="980"/>
    </row>
    <row r="608" spans="1:1" x14ac:dyDescent="0.35">
      <c r="A608" s="980"/>
    </row>
    <row r="609" spans="1:1" x14ac:dyDescent="0.35">
      <c r="A609" s="980"/>
    </row>
    <row r="610" spans="1:1" x14ac:dyDescent="0.35">
      <c r="A610" s="980"/>
    </row>
    <row r="611" spans="1:1" x14ac:dyDescent="0.35">
      <c r="A611" s="980"/>
    </row>
    <row r="612" spans="1:1" x14ac:dyDescent="0.35">
      <c r="A612" s="980"/>
    </row>
    <row r="613" spans="1:1" x14ac:dyDescent="0.35">
      <c r="A613" s="980"/>
    </row>
    <row r="614" spans="1:1" x14ac:dyDescent="0.35">
      <c r="A614" s="980"/>
    </row>
    <row r="615" spans="1:1" x14ac:dyDescent="0.35">
      <c r="A615" s="980"/>
    </row>
    <row r="616" spans="1:1" x14ac:dyDescent="0.35">
      <c r="A616" s="980"/>
    </row>
    <row r="617" spans="1:1" x14ac:dyDescent="0.35">
      <c r="A617" s="980"/>
    </row>
    <row r="618" spans="1:1" x14ac:dyDescent="0.35">
      <c r="A618" s="980"/>
    </row>
    <row r="619" spans="1:1" x14ac:dyDescent="0.35">
      <c r="A619" s="980"/>
    </row>
    <row r="620" spans="1:1" x14ac:dyDescent="0.35">
      <c r="A620" s="980"/>
    </row>
    <row r="621" spans="1:1" x14ac:dyDescent="0.35">
      <c r="A621" s="980"/>
    </row>
    <row r="622" spans="1:1" x14ac:dyDescent="0.35">
      <c r="A622" s="980"/>
    </row>
    <row r="623" spans="1:1" x14ac:dyDescent="0.35">
      <c r="A623" s="980"/>
    </row>
    <row r="624" spans="1:1" x14ac:dyDescent="0.35">
      <c r="A624" s="980"/>
    </row>
    <row r="625" spans="1:1" x14ac:dyDescent="0.35">
      <c r="A625" s="980"/>
    </row>
    <row r="626" spans="1:1" x14ac:dyDescent="0.35">
      <c r="A626" s="980"/>
    </row>
    <row r="627" spans="1:1" x14ac:dyDescent="0.35">
      <c r="A627" s="980"/>
    </row>
    <row r="628" spans="1:1" x14ac:dyDescent="0.35">
      <c r="A628" s="980"/>
    </row>
    <row r="629" spans="1:1" x14ac:dyDescent="0.35">
      <c r="A629" s="980"/>
    </row>
    <row r="630" spans="1:1" x14ac:dyDescent="0.35">
      <c r="A630" s="980"/>
    </row>
    <row r="631" spans="1:1" x14ac:dyDescent="0.35">
      <c r="A631" s="980"/>
    </row>
    <row r="632" spans="1:1" x14ac:dyDescent="0.35">
      <c r="A632" s="980"/>
    </row>
    <row r="633" spans="1:1" x14ac:dyDescent="0.35">
      <c r="A633" s="980"/>
    </row>
    <row r="634" spans="1:1" x14ac:dyDescent="0.35">
      <c r="A634" s="980"/>
    </row>
    <row r="635" spans="1:1" x14ac:dyDescent="0.35">
      <c r="A635" s="980"/>
    </row>
    <row r="636" spans="1:1" x14ac:dyDescent="0.35">
      <c r="A636" s="980"/>
    </row>
    <row r="637" spans="1:1" x14ac:dyDescent="0.35">
      <c r="A637" s="980"/>
    </row>
    <row r="638" spans="1:1" x14ac:dyDescent="0.35">
      <c r="A638" s="980"/>
    </row>
    <row r="639" spans="1:1" x14ac:dyDescent="0.35">
      <c r="A639" s="980"/>
    </row>
    <row r="640" spans="1:1" x14ac:dyDescent="0.35">
      <c r="A640" s="980"/>
    </row>
    <row r="641" spans="1:1" x14ac:dyDescent="0.35">
      <c r="A641" s="980"/>
    </row>
    <row r="642" spans="1:1" x14ac:dyDescent="0.35">
      <c r="A642" s="980"/>
    </row>
    <row r="643" spans="1:1" x14ac:dyDescent="0.35">
      <c r="A643" s="980"/>
    </row>
    <row r="644" spans="1:1" x14ac:dyDescent="0.35">
      <c r="A644" s="980"/>
    </row>
    <row r="645" spans="1:1" x14ac:dyDescent="0.35">
      <c r="A645" s="980"/>
    </row>
    <row r="646" spans="1:1" x14ac:dyDescent="0.35">
      <c r="A646" s="980"/>
    </row>
    <row r="647" spans="1:1" x14ac:dyDescent="0.35">
      <c r="A647" s="980"/>
    </row>
    <row r="648" spans="1:1" x14ac:dyDescent="0.35">
      <c r="A648" s="980"/>
    </row>
    <row r="649" spans="1:1" x14ac:dyDescent="0.35">
      <c r="A649" s="980"/>
    </row>
    <row r="650" spans="1:1" x14ac:dyDescent="0.35">
      <c r="A650" s="980"/>
    </row>
    <row r="651" spans="1:1" x14ac:dyDescent="0.35">
      <c r="A651" s="980"/>
    </row>
    <row r="652" spans="1:1" x14ac:dyDescent="0.35">
      <c r="A652" s="980"/>
    </row>
    <row r="653" spans="1:1" x14ac:dyDescent="0.35">
      <c r="A653" s="980"/>
    </row>
    <row r="654" spans="1:1" x14ac:dyDescent="0.35">
      <c r="A654" s="980"/>
    </row>
    <row r="655" spans="1:1" x14ac:dyDescent="0.35">
      <c r="A655" s="980"/>
    </row>
    <row r="656" spans="1:1" x14ac:dyDescent="0.35">
      <c r="A656" s="980"/>
    </row>
    <row r="657" spans="1:1" x14ac:dyDescent="0.35">
      <c r="A657" s="980"/>
    </row>
    <row r="658" spans="1:1" x14ac:dyDescent="0.35">
      <c r="A658" s="980"/>
    </row>
    <row r="659" spans="1:1" x14ac:dyDescent="0.35">
      <c r="A659" s="980"/>
    </row>
    <row r="660" spans="1:1" x14ac:dyDescent="0.35">
      <c r="A660" s="980"/>
    </row>
    <row r="661" spans="1:1" x14ac:dyDescent="0.35">
      <c r="A661" s="980"/>
    </row>
    <row r="662" spans="1:1" x14ac:dyDescent="0.35">
      <c r="A662" s="980"/>
    </row>
    <row r="663" spans="1:1" x14ac:dyDescent="0.35">
      <c r="A663" s="980"/>
    </row>
    <row r="664" spans="1:1" x14ac:dyDescent="0.35">
      <c r="A664" s="980"/>
    </row>
    <row r="665" spans="1:1" x14ac:dyDescent="0.35">
      <c r="A665" s="980"/>
    </row>
    <row r="666" spans="1:1" x14ac:dyDescent="0.35">
      <c r="A666" s="980"/>
    </row>
    <row r="667" spans="1:1" x14ac:dyDescent="0.35">
      <c r="A667" s="980"/>
    </row>
    <row r="668" spans="1:1" x14ac:dyDescent="0.35">
      <c r="A668" s="980"/>
    </row>
    <row r="669" spans="1:1" x14ac:dyDescent="0.35">
      <c r="A669" s="980"/>
    </row>
    <row r="670" spans="1:1" x14ac:dyDescent="0.35">
      <c r="A670" s="980"/>
    </row>
    <row r="671" spans="1:1" x14ac:dyDescent="0.35">
      <c r="A671" s="980"/>
    </row>
    <row r="672" spans="1:1" x14ac:dyDescent="0.35">
      <c r="A672" s="980"/>
    </row>
    <row r="673" spans="1:1" x14ac:dyDescent="0.35">
      <c r="A673" s="980"/>
    </row>
    <row r="674" spans="1:1" x14ac:dyDescent="0.35">
      <c r="A674" s="980"/>
    </row>
    <row r="675" spans="1:1" x14ac:dyDescent="0.35">
      <c r="A675" s="980"/>
    </row>
    <row r="676" spans="1:1" x14ac:dyDescent="0.35">
      <c r="A676" s="980"/>
    </row>
    <row r="677" spans="1:1" x14ac:dyDescent="0.35">
      <c r="A677" s="980"/>
    </row>
    <row r="678" spans="1:1" x14ac:dyDescent="0.35">
      <c r="A678" s="980"/>
    </row>
    <row r="679" spans="1:1" x14ac:dyDescent="0.35">
      <c r="A679" s="980"/>
    </row>
    <row r="680" spans="1:1" x14ac:dyDescent="0.35">
      <c r="A680" s="980"/>
    </row>
    <row r="681" spans="1:1" x14ac:dyDescent="0.35">
      <c r="A681" s="980"/>
    </row>
    <row r="682" spans="1:1" x14ac:dyDescent="0.35">
      <c r="A682" s="980"/>
    </row>
    <row r="683" spans="1:1" x14ac:dyDescent="0.35">
      <c r="A683" s="980"/>
    </row>
    <row r="684" spans="1:1" x14ac:dyDescent="0.35">
      <c r="A684" s="980"/>
    </row>
    <row r="685" spans="1:1" x14ac:dyDescent="0.35">
      <c r="A685" s="980"/>
    </row>
    <row r="686" spans="1:1" x14ac:dyDescent="0.35">
      <c r="A686" s="980"/>
    </row>
    <row r="687" spans="1:1" x14ac:dyDescent="0.35">
      <c r="A687" s="980"/>
    </row>
    <row r="688" spans="1:1" x14ac:dyDescent="0.35">
      <c r="A688" s="980"/>
    </row>
    <row r="689" spans="1:1" x14ac:dyDescent="0.35">
      <c r="A689" s="980"/>
    </row>
    <row r="690" spans="1:1" x14ac:dyDescent="0.35">
      <c r="A690" s="980"/>
    </row>
    <row r="691" spans="1:1" x14ac:dyDescent="0.35">
      <c r="A691" s="980"/>
    </row>
    <row r="692" spans="1:1" x14ac:dyDescent="0.35">
      <c r="A692" s="980"/>
    </row>
    <row r="693" spans="1:1" x14ac:dyDescent="0.35">
      <c r="A693" s="980"/>
    </row>
    <row r="694" spans="1:1" x14ac:dyDescent="0.35">
      <c r="A694" s="980"/>
    </row>
    <row r="695" spans="1:1" x14ac:dyDescent="0.35">
      <c r="A695" s="980"/>
    </row>
    <row r="696" spans="1:1" x14ac:dyDescent="0.35">
      <c r="A696" s="980"/>
    </row>
    <row r="697" spans="1:1" x14ac:dyDescent="0.35">
      <c r="A697" s="980"/>
    </row>
    <row r="698" spans="1:1" x14ac:dyDescent="0.35">
      <c r="A698" s="980"/>
    </row>
    <row r="699" spans="1:1" x14ac:dyDescent="0.35">
      <c r="A699" s="980"/>
    </row>
    <row r="700" spans="1:1" x14ac:dyDescent="0.35">
      <c r="A700" s="980"/>
    </row>
    <row r="701" spans="1:1" x14ac:dyDescent="0.35">
      <c r="A701" s="980"/>
    </row>
    <row r="702" spans="1:1" x14ac:dyDescent="0.35">
      <c r="A702" s="980"/>
    </row>
    <row r="703" spans="1:1" x14ac:dyDescent="0.35">
      <c r="A703" s="980"/>
    </row>
    <row r="704" spans="1:1" x14ac:dyDescent="0.35">
      <c r="A704" s="980"/>
    </row>
    <row r="705" spans="1:1" x14ac:dyDescent="0.35">
      <c r="A705" s="980"/>
    </row>
    <row r="706" spans="1:1" x14ac:dyDescent="0.35">
      <c r="A706" s="980"/>
    </row>
    <row r="707" spans="1:1" x14ac:dyDescent="0.35">
      <c r="A707" s="980"/>
    </row>
    <row r="708" spans="1:1" x14ac:dyDescent="0.35">
      <c r="A708" s="980"/>
    </row>
    <row r="709" spans="1:1" x14ac:dyDescent="0.35">
      <c r="A709" s="980"/>
    </row>
    <row r="710" spans="1:1" x14ac:dyDescent="0.35">
      <c r="A710" s="980"/>
    </row>
    <row r="711" spans="1:1" x14ac:dyDescent="0.35">
      <c r="A711" s="980"/>
    </row>
    <row r="712" spans="1:1" x14ac:dyDescent="0.35">
      <c r="A712" s="980"/>
    </row>
    <row r="713" spans="1:1" x14ac:dyDescent="0.35">
      <c r="A713" s="980"/>
    </row>
    <row r="714" spans="1:1" x14ac:dyDescent="0.35">
      <c r="A714" s="980"/>
    </row>
    <row r="715" spans="1:1" x14ac:dyDescent="0.35">
      <c r="A715" s="980"/>
    </row>
    <row r="716" spans="1:1" x14ac:dyDescent="0.35">
      <c r="A716" s="980"/>
    </row>
    <row r="717" spans="1:1" x14ac:dyDescent="0.35">
      <c r="A717" s="980"/>
    </row>
    <row r="718" spans="1:1" x14ac:dyDescent="0.35">
      <c r="A718" s="980"/>
    </row>
    <row r="719" spans="1:1" x14ac:dyDescent="0.35">
      <c r="A719" s="980"/>
    </row>
    <row r="720" spans="1:1" x14ac:dyDescent="0.35">
      <c r="A720" s="980"/>
    </row>
    <row r="721" spans="1:1" x14ac:dyDescent="0.35">
      <c r="A721" s="980"/>
    </row>
    <row r="722" spans="1:1" x14ac:dyDescent="0.35">
      <c r="A722" s="980"/>
    </row>
    <row r="723" spans="1:1" x14ac:dyDescent="0.35">
      <c r="A723" s="980"/>
    </row>
    <row r="724" spans="1:1" x14ac:dyDescent="0.35">
      <c r="A724" s="980"/>
    </row>
    <row r="725" spans="1:1" x14ac:dyDescent="0.35">
      <c r="A725" s="980"/>
    </row>
    <row r="726" spans="1:1" x14ac:dyDescent="0.35">
      <c r="A726" s="980"/>
    </row>
    <row r="727" spans="1:1" x14ac:dyDescent="0.35">
      <c r="A727" s="980"/>
    </row>
    <row r="728" spans="1:1" x14ac:dyDescent="0.35">
      <c r="A728" s="980"/>
    </row>
    <row r="729" spans="1:1" x14ac:dyDescent="0.35">
      <c r="A729" s="980"/>
    </row>
    <row r="730" spans="1:1" x14ac:dyDescent="0.35">
      <c r="A730" s="980"/>
    </row>
    <row r="731" spans="1:1" x14ac:dyDescent="0.35">
      <c r="A731" s="980"/>
    </row>
    <row r="732" spans="1:1" x14ac:dyDescent="0.35">
      <c r="A732" s="980"/>
    </row>
    <row r="733" spans="1:1" x14ac:dyDescent="0.35">
      <c r="A733" s="980"/>
    </row>
    <row r="734" spans="1:1" x14ac:dyDescent="0.35">
      <c r="A734" s="980"/>
    </row>
    <row r="735" spans="1:1" x14ac:dyDescent="0.35">
      <c r="A735" s="980"/>
    </row>
    <row r="736" spans="1:1" x14ac:dyDescent="0.35">
      <c r="A736" s="980"/>
    </row>
    <row r="737" spans="1:1" x14ac:dyDescent="0.35">
      <c r="A737" s="980"/>
    </row>
    <row r="738" spans="1:1" x14ac:dyDescent="0.35">
      <c r="A738" s="980"/>
    </row>
    <row r="739" spans="1:1" x14ac:dyDescent="0.35">
      <c r="A739" s="980"/>
    </row>
    <row r="740" spans="1:1" x14ac:dyDescent="0.35">
      <c r="A740" s="980"/>
    </row>
    <row r="741" spans="1:1" x14ac:dyDescent="0.35">
      <c r="A741" s="980"/>
    </row>
    <row r="742" spans="1:1" x14ac:dyDescent="0.35">
      <c r="A742" s="980"/>
    </row>
    <row r="743" spans="1:1" x14ac:dyDescent="0.35">
      <c r="A743" s="980"/>
    </row>
    <row r="744" spans="1:1" x14ac:dyDescent="0.35">
      <c r="A744" s="980"/>
    </row>
    <row r="745" spans="1:1" x14ac:dyDescent="0.35">
      <c r="A745" s="980"/>
    </row>
    <row r="746" spans="1:1" x14ac:dyDescent="0.35">
      <c r="A746" s="980"/>
    </row>
    <row r="747" spans="1:1" x14ac:dyDescent="0.35">
      <c r="A747" s="980"/>
    </row>
    <row r="748" spans="1:1" x14ac:dyDescent="0.35">
      <c r="A748" s="980"/>
    </row>
    <row r="749" spans="1:1" x14ac:dyDescent="0.35">
      <c r="A749" s="980"/>
    </row>
    <row r="750" spans="1:1" x14ac:dyDescent="0.35">
      <c r="A750" s="980"/>
    </row>
    <row r="751" spans="1:1" x14ac:dyDescent="0.35">
      <c r="A751" s="980"/>
    </row>
    <row r="752" spans="1:1" x14ac:dyDescent="0.35">
      <c r="A752" s="980"/>
    </row>
    <row r="753" spans="1:1" x14ac:dyDescent="0.35">
      <c r="A753" s="980"/>
    </row>
    <row r="754" spans="1:1" x14ac:dyDescent="0.35">
      <c r="A754" s="980"/>
    </row>
    <row r="755" spans="1:1" x14ac:dyDescent="0.35">
      <c r="A755" s="980"/>
    </row>
    <row r="756" spans="1:1" x14ac:dyDescent="0.35">
      <c r="A756" s="980"/>
    </row>
    <row r="757" spans="1:1" x14ac:dyDescent="0.35">
      <c r="A757" s="980"/>
    </row>
    <row r="758" spans="1:1" x14ac:dyDescent="0.35">
      <c r="A758" s="980"/>
    </row>
    <row r="759" spans="1:1" x14ac:dyDescent="0.35">
      <c r="A759" s="980"/>
    </row>
    <row r="760" spans="1:1" x14ac:dyDescent="0.35">
      <c r="A760" s="980"/>
    </row>
    <row r="761" spans="1:1" x14ac:dyDescent="0.35">
      <c r="A761" s="980"/>
    </row>
    <row r="762" spans="1:1" x14ac:dyDescent="0.35">
      <c r="A762" s="980"/>
    </row>
    <row r="763" spans="1:1" x14ac:dyDescent="0.35">
      <c r="A763" s="980"/>
    </row>
    <row r="764" spans="1:1" x14ac:dyDescent="0.35">
      <c r="A764" s="980"/>
    </row>
    <row r="765" spans="1:1" x14ac:dyDescent="0.35">
      <c r="A765" s="980"/>
    </row>
    <row r="766" spans="1:1" x14ac:dyDescent="0.35">
      <c r="A766" s="980"/>
    </row>
    <row r="767" spans="1:1" x14ac:dyDescent="0.35">
      <c r="A767" s="980"/>
    </row>
    <row r="768" spans="1:1" x14ac:dyDescent="0.35">
      <c r="A768" s="980"/>
    </row>
    <row r="769" spans="1:1" x14ac:dyDescent="0.35">
      <c r="A769" s="980"/>
    </row>
    <row r="770" spans="1:1" x14ac:dyDescent="0.35">
      <c r="A770" s="980"/>
    </row>
    <row r="771" spans="1:1" x14ac:dyDescent="0.35">
      <c r="A771" s="980"/>
    </row>
    <row r="772" spans="1:1" x14ac:dyDescent="0.35">
      <c r="A772" s="980"/>
    </row>
    <row r="773" spans="1:1" x14ac:dyDescent="0.35">
      <c r="A773" s="980"/>
    </row>
    <row r="774" spans="1:1" x14ac:dyDescent="0.35">
      <c r="A774" s="980"/>
    </row>
    <row r="775" spans="1:1" x14ac:dyDescent="0.35">
      <c r="A775" s="980"/>
    </row>
    <row r="776" spans="1:1" x14ac:dyDescent="0.35">
      <c r="A776" s="980"/>
    </row>
    <row r="777" spans="1:1" x14ac:dyDescent="0.35">
      <c r="A777" s="980"/>
    </row>
    <row r="778" spans="1:1" x14ac:dyDescent="0.35">
      <c r="A778" s="980"/>
    </row>
    <row r="779" spans="1:1" x14ac:dyDescent="0.35">
      <c r="A779" s="980"/>
    </row>
    <row r="780" spans="1:1" x14ac:dyDescent="0.35">
      <c r="A780" s="980"/>
    </row>
    <row r="781" spans="1:1" x14ac:dyDescent="0.35">
      <c r="A781" s="980"/>
    </row>
    <row r="782" spans="1:1" x14ac:dyDescent="0.35">
      <c r="A782" s="980"/>
    </row>
    <row r="783" spans="1:1" x14ac:dyDescent="0.35">
      <c r="A783" s="980"/>
    </row>
    <row r="784" spans="1:1" x14ac:dyDescent="0.35">
      <c r="A784" s="980"/>
    </row>
    <row r="785" spans="1:1" x14ac:dyDescent="0.35">
      <c r="A785" s="980"/>
    </row>
    <row r="786" spans="1:1" x14ac:dyDescent="0.35">
      <c r="A786" s="980"/>
    </row>
    <row r="787" spans="1:1" x14ac:dyDescent="0.35">
      <c r="A787" s="980"/>
    </row>
    <row r="788" spans="1:1" x14ac:dyDescent="0.35">
      <c r="A788" s="980"/>
    </row>
    <row r="789" spans="1:1" x14ac:dyDescent="0.35">
      <c r="A789" s="980"/>
    </row>
    <row r="790" spans="1:1" x14ac:dyDescent="0.35">
      <c r="A790" s="980"/>
    </row>
    <row r="791" spans="1:1" x14ac:dyDescent="0.35">
      <c r="A791" s="980"/>
    </row>
    <row r="792" spans="1:1" x14ac:dyDescent="0.35">
      <c r="A792" s="980"/>
    </row>
    <row r="793" spans="1:1" x14ac:dyDescent="0.35">
      <c r="A793" s="980"/>
    </row>
    <row r="794" spans="1:1" x14ac:dyDescent="0.35">
      <c r="A794" s="980"/>
    </row>
    <row r="795" spans="1:1" x14ac:dyDescent="0.35">
      <c r="A795" s="980"/>
    </row>
    <row r="796" spans="1:1" x14ac:dyDescent="0.35">
      <c r="A796" s="980"/>
    </row>
    <row r="797" spans="1:1" x14ac:dyDescent="0.35">
      <c r="A797" s="980"/>
    </row>
    <row r="798" spans="1:1" x14ac:dyDescent="0.35">
      <c r="A798" s="980"/>
    </row>
    <row r="799" spans="1:1" x14ac:dyDescent="0.35">
      <c r="A799" s="980"/>
    </row>
    <row r="800" spans="1:1" x14ac:dyDescent="0.35">
      <c r="A800" s="980"/>
    </row>
    <row r="801" spans="1:1" x14ac:dyDescent="0.35">
      <c r="A801" s="980"/>
    </row>
    <row r="802" spans="1:1" x14ac:dyDescent="0.35">
      <c r="A802" s="980"/>
    </row>
    <row r="803" spans="1:1" x14ac:dyDescent="0.35">
      <c r="A803" s="980"/>
    </row>
    <row r="804" spans="1:1" x14ac:dyDescent="0.35">
      <c r="A804" s="980"/>
    </row>
    <row r="805" spans="1:1" x14ac:dyDescent="0.35">
      <c r="A805" s="980"/>
    </row>
    <row r="806" spans="1:1" x14ac:dyDescent="0.35">
      <c r="A806" s="980"/>
    </row>
    <row r="807" spans="1:1" x14ac:dyDescent="0.35">
      <c r="A807" s="980"/>
    </row>
    <row r="808" spans="1:1" x14ac:dyDescent="0.35">
      <c r="A808" s="980"/>
    </row>
    <row r="809" spans="1:1" x14ac:dyDescent="0.35">
      <c r="A809" s="980"/>
    </row>
    <row r="810" spans="1:1" x14ac:dyDescent="0.35">
      <c r="A810" s="980"/>
    </row>
    <row r="811" spans="1:1" x14ac:dyDescent="0.35">
      <c r="A811" s="980"/>
    </row>
    <row r="812" spans="1:1" x14ac:dyDescent="0.35">
      <c r="A812" s="980"/>
    </row>
    <row r="813" spans="1:1" x14ac:dyDescent="0.35">
      <c r="A813" s="980"/>
    </row>
    <row r="814" spans="1:1" x14ac:dyDescent="0.35">
      <c r="A814" s="980"/>
    </row>
    <row r="815" spans="1:1" x14ac:dyDescent="0.35">
      <c r="A815" s="980"/>
    </row>
    <row r="816" spans="1:1" x14ac:dyDescent="0.35">
      <c r="A816" s="980"/>
    </row>
    <row r="817" spans="1:1" x14ac:dyDescent="0.35">
      <c r="A817" s="980"/>
    </row>
    <row r="818" spans="1:1" x14ac:dyDescent="0.35">
      <c r="A818" s="980"/>
    </row>
    <row r="819" spans="1:1" x14ac:dyDescent="0.35">
      <c r="A819" s="980"/>
    </row>
    <row r="820" spans="1:1" x14ac:dyDescent="0.35">
      <c r="A820" s="980"/>
    </row>
    <row r="821" spans="1:1" x14ac:dyDescent="0.35">
      <c r="A821" s="980"/>
    </row>
    <row r="822" spans="1:1" x14ac:dyDescent="0.35">
      <c r="A822" s="980"/>
    </row>
    <row r="823" spans="1:1" x14ac:dyDescent="0.35">
      <c r="A823" s="980"/>
    </row>
    <row r="824" spans="1:1" x14ac:dyDescent="0.35">
      <c r="A824" s="980"/>
    </row>
    <row r="825" spans="1:1" x14ac:dyDescent="0.35">
      <c r="A825" s="980"/>
    </row>
    <row r="826" spans="1:1" x14ac:dyDescent="0.35">
      <c r="A826" s="980"/>
    </row>
    <row r="827" spans="1:1" x14ac:dyDescent="0.35">
      <c r="A827" s="980"/>
    </row>
    <row r="828" spans="1:1" x14ac:dyDescent="0.35">
      <c r="A828" s="980"/>
    </row>
    <row r="829" spans="1:1" x14ac:dyDescent="0.35">
      <c r="A829" s="980"/>
    </row>
    <row r="830" spans="1:1" x14ac:dyDescent="0.35">
      <c r="A830" s="980"/>
    </row>
    <row r="831" spans="1:1" x14ac:dyDescent="0.35">
      <c r="A831" s="980"/>
    </row>
    <row r="832" spans="1:1" x14ac:dyDescent="0.35">
      <c r="A832" s="980"/>
    </row>
    <row r="833" spans="1:1" x14ac:dyDescent="0.35">
      <c r="A833" s="980"/>
    </row>
    <row r="834" spans="1:1" x14ac:dyDescent="0.35">
      <c r="A834" s="980"/>
    </row>
    <row r="835" spans="1:1" x14ac:dyDescent="0.35">
      <c r="A835" s="980"/>
    </row>
    <row r="836" spans="1:1" x14ac:dyDescent="0.35">
      <c r="A836" s="980"/>
    </row>
    <row r="837" spans="1:1" x14ac:dyDescent="0.35">
      <c r="A837" s="980"/>
    </row>
    <row r="838" spans="1:1" x14ac:dyDescent="0.35">
      <c r="A838" s="980"/>
    </row>
    <row r="839" spans="1:1" x14ac:dyDescent="0.35">
      <c r="A839" s="980"/>
    </row>
    <row r="840" spans="1:1" x14ac:dyDescent="0.35">
      <c r="A840" s="980"/>
    </row>
    <row r="841" spans="1:1" x14ac:dyDescent="0.35">
      <c r="A841" s="980"/>
    </row>
    <row r="842" spans="1:1" x14ac:dyDescent="0.35">
      <c r="A842" s="980"/>
    </row>
    <row r="843" spans="1:1" x14ac:dyDescent="0.35">
      <c r="A843" s="980"/>
    </row>
    <row r="844" spans="1:1" x14ac:dyDescent="0.35">
      <c r="A844" s="980"/>
    </row>
    <row r="845" spans="1:1" x14ac:dyDescent="0.35">
      <c r="A845" s="980"/>
    </row>
    <row r="846" spans="1:1" x14ac:dyDescent="0.35">
      <c r="A846" s="980"/>
    </row>
    <row r="847" spans="1:1" x14ac:dyDescent="0.35">
      <c r="A847" s="980"/>
    </row>
    <row r="848" spans="1:1" x14ac:dyDescent="0.35">
      <c r="A848" s="980"/>
    </row>
    <row r="849" spans="1:1" x14ac:dyDescent="0.35">
      <c r="A849" s="980"/>
    </row>
    <row r="850" spans="1:1" x14ac:dyDescent="0.35">
      <c r="A850" s="980"/>
    </row>
    <row r="851" spans="1:1" x14ac:dyDescent="0.35">
      <c r="A851" s="980"/>
    </row>
    <row r="852" spans="1:1" x14ac:dyDescent="0.35">
      <c r="A852" s="980"/>
    </row>
    <row r="853" spans="1:1" x14ac:dyDescent="0.35">
      <c r="A853" s="980"/>
    </row>
    <row r="854" spans="1:1" x14ac:dyDescent="0.35">
      <c r="A854" s="980"/>
    </row>
    <row r="855" spans="1:1" x14ac:dyDescent="0.35">
      <c r="A855" s="980"/>
    </row>
    <row r="856" spans="1:1" x14ac:dyDescent="0.35">
      <c r="A856" s="980"/>
    </row>
    <row r="857" spans="1:1" x14ac:dyDescent="0.35">
      <c r="A857" s="980"/>
    </row>
    <row r="858" spans="1:1" x14ac:dyDescent="0.35">
      <c r="A858" s="980"/>
    </row>
    <row r="859" spans="1:1" x14ac:dyDescent="0.35">
      <c r="A859" s="980"/>
    </row>
    <row r="860" spans="1:1" x14ac:dyDescent="0.35">
      <c r="A860" s="980"/>
    </row>
    <row r="861" spans="1:1" x14ac:dyDescent="0.35">
      <c r="A861" s="980"/>
    </row>
    <row r="862" spans="1:1" x14ac:dyDescent="0.35">
      <c r="A862" s="980"/>
    </row>
    <row r="863" spans="1:1" x14ac:dyDescent="0.35">
      <c r="A863" s="980"/>
    </row>
    <row r="864" spans="1:1" x14ac:dyDescent="0.35">
      <c r="A864" s="980"/>
    </row>
    <row r="865" spans="1:1" x14ac:dyDescent="0.35">
      <c r="A865" s="980"/>
    </row>
    <row r="866" spans="1:1" x14ac:dyDescent="0.35">
      <c r="A866" s="980"/>
    </row>
    <row r="867" spans="1:1" x14ac:dyDescent="0.35">
      <c r="A867" s="980"/>
    </row>
    <row r="868" spans="1:1" x14ac:dyDescent="0.35">
      <c r="A868" s="980"/>
    </row>
    <row r="869" spans="1:1" x14ac:dyDescent="0.35">
      <c r="A869" s="980"/>
    </row>
    <row r="870" spans="1:1" x14ac:dyDescent="0.35">
      <c r="A870" s="980"/>
    </row>
    <row r="871" spans="1:1" x14ac:dyDescent="0.35">
      <c r="A871" s="980"/>
    </row>
    <row r="872" spans="1:1" x14ac:dyDescent="0.35">
      <c r="A872" s="980"/>
    </row>
    <row r="873" spans="1:1" x14ac:dyDescent="0.35">
      <c r="A873" s="980"/>
    </row>
    <row r="874" spans="1:1" x14ac:dyDescent="0.35">
      <c r="A874" s="980"/>
    </row>
    <row r="875" spans="1:1" x14ac:dyDescent="0.35">
      <c r="A875" s="980"/>
    </row>
    <row r="876" spans="1:1" x14ac:dyDescent="0.35">
      <c r="A876" s="980"/>
    </row>
    <row r="877" spans="1:1" x14ac:dyDescent="0.35">
      <c r="A877" s="980"/>
    </row>
    <row r="878" spans="1:1" x14ac:dyDescent="0.35">
      <c r="A878" s="980"/>
    </row>
    <row r="879" spans="1:1" x14ac:dyDescent="0.35">
      <c r="A879" s="980"/>
    </row>
    <row r="880" spans="1:1" x14ac:dyDescent="0.35">
      <c r="A880" s="980"/>
    </row>
    <row r="881" spans="1:1" x14ac:dyDescent="0.35">
      <c r="A881" s="980"/>
    </row>
    <row r="882" spans="1:1" x14ac:dyDescent="0.35">
      <c r="A882" s="980"/>
    </row>
    <row r="883" spans="1:1" x14ac:dyDescent="0.35">
      <c r="A883" s="980"/>
    </row>
    <row r="884" spans="1:1" x14ac:dyDescent="0.35">
      <c r="A884" s="980"/>
    </row>
    <row r="885" spans="1:1" x14ac:dyDescent="0.35">
      <c r="A885" s="980"/>
    </row>
    <row r="886" spans="1:1" x14ac:dyDescent="0.35">
      <c r="A886" s="980"/>
    </row>
    <row r="887" spans="1:1" x14ac:dyDescent="0.35">
      <c r="A887" s="980"/>
    </row>
    <row r="888" spans="1:1" x14ac:dyDescent="0.35">
      <c r="A888" s="980"/>
    </row>
    <row r="889" spans="1:1" x14ac:dyDescent="0.35">
      <c r="A889" s="980"/>
    </row>
    <row r="890" spans="1:1" x14ac:dyDescent="0.35">
      <c r="A890" s="980"/>
    </row>
    <row r="891" spans="1:1" x14ac:dyDescent="0.35">
      <c r="A891" s="980"/>
    </row>
    <row r="892" spans="1:1" x14ac:dyDescent="0.35">
      <c r="A892" s="980"/>
    </row>
    <row r="893" spans="1:1" x14ac:dyDescent="0.35">
      <c r="A893" s="980"/>
    </row>
    <row r="894" spans="1:1" x14ac:dyDescent="0.35">
      <c r="A894" s="980"/>
    </row>
    <row r="895" spans="1:1" x14ac:dyDescent="0.35">
      <c r="A895" s="980"/>
    </row>
    <row r="896" spans="1:1" x14ac:dyDescent="0.35">
      <c r="A896" s="980"/>
    </row>
    <row r="897" spans="1:1" x14ac:dyDescent="0.35">
      <c r="A897" s="980"/>
    </row>
    <row r="898" spans="1:1" x14ac:dyDescent="0.35">
      <c r="A898" s="980"/>
    </row>
    <row r="899" spans="1:1" x14ac:dyDescent="0.35">
      <c r="A899" s="980"/>
    </row>
    <row r="900" spans="1:1" x14ac:dyDescent="0.35">
      <c r="A900" s="980"/>
    </row>
    <row r="901" spans="1:1" x14ac:dyDescent="0.35">
      <c r="A901" s="980"/>
    </row>
    <row r="902" spans="1:1" x14ac:dyDescent="0.35">
      <c r="A902" s="980"/>
    </row>
    <row r="903" spans="1:1" x14ac:dyDescent="0.35">
      <c r="A903" s="980"/>
    </row>
    <row r="904" spans="1:1" x14ac:dyDescent="0.35">
      <c r="A904" s="980"/>
    </row>
    <row r="905" spans="1:1" x14ac:dyDescent="0.35">
      <c r="A905" s="980"/>
    </row>
    <row r="906" spans="1:1" x14ac:dyDescent="0.35">
      <c r="A906" s="980"/>
    </row>
    <row r="907" spans="1:1" x14ac:dyDescent="0.35">
      <c r="A907" s="980"/>
    </row>
    <row r="908" spans="1:1" x14ac:dyDescent="0.35">
      <c r="A908" s="980"/>
    </row>
    <row r="909" spans="1:1" x14ac:dyDescent="0.35">
      <c r="A909" s="980"/>
    </row>
    <row r="910" spans="1:1" x14ac:dyDescent="0.35">
      <c r="A910" s="980"/>
    </row>
    <row r="911" spans="1:1" x14ac:dyDescent="0.35">
      <c r="A911" s="980"/>
    </row>
    <row r="912" spans="1:1" x14ac:dyDescent="0.35">
      <c r="A912" s="980"/>
    </row>
    <row r="913" spans="1:1" x14ac:dyDescent="0.35">
      <c r="A913" s="980"/>
    </row>
    <row r="914" spans="1:1" x14ac:dyDescent="0.35">
      <c r="A914" s="980"/>
    </row>
    <row r="915" spans="1:1" x14ac:dyDescent="0.35">
      <c r="A915" s="980"/>
    </row>
    <row r="916" spans="1:1" x14ac:dyDescent="0.35">
      <c r="A916" s="980"/>
    </row>
    <row r="917" spans="1:1" x14ac:dyDescent="0.35">
      <c r="A917" s="980"/>
    </row>
    <row r="918" spans="1:1" x14ac:dyDescent="0.35">
      <c r="A918" s="980"/>
    </row>
    <row r="919" spans="1:1" x14ac:dyDescent="0.35">
      <c r="A919" s="980"/>
    </row>
    <row r="920" spans="1:1" x14ac:dyDescent="0.35">
      <c r="A920" s="980"/>
    </row>
    <row r="921" spans="1:1" x14ac:dyDescent="0.35">
      <c r="A921" s="980"/>
    </row>
    <row r="922" spans="1:1" x14ac:dyDescent="0.35">
      <c r="A922" s="980"/>
    </row>
    <row r="923" spans="1:1" x14ac:dyDescent="0.35">
      <c r="A923" s="980"/>
    </row>
    <row r="924" spans="1:1" x14ac:dyDescent="0.35">
      <c r="A924" s="980"/>
    </row>
    <row r="925" spans="1:1" x14ac:dyDescent="0.35">
      <c r="A925" s="980"/>
    </row>
    <row r="926" spans="1:1" x14ac:dyDescent="0.35">
      <c r="A926" s="980"/>
    </row>
    <row r="927" spans="1:1" x14ac:dyDescent="0.35">
      <c r="A927" s="980"/>
    </row>
    <row r="928" spans="1:1" x14ac:dyDescent="0.35">
      <c r="A928" s="980"/>
    </row>
    <row r="929" spans="1:1" x14ac:dyDescent="0.35">
      <c r="A929" s="980"/>
    </row>
    <row r="930" spans="1:1" x14ac:dyDescent="0.35">
      <c r="A930" s="980"/>
    </row>
    <row r="931" spans="1:1" x14ac:dyDescent="0.35">
      <c r="A931" s="980"/>
    </row>
    <row r="932" spans="1:1" x14ac:dyDescent="0.35">
      <c r="A932" s="980"/>
    </row>
    <row r="933" spans="1:1" x14ac:dyDescent="0.35">
      <c r="A933" s="980"/>
    </row>
    <row r="934" spans="1:1" x14ac:dyDescent="0.35">
      <c r="A934" s="980"/>
    </row>
    <row r="935" spans="1:1" x14ac:dyDescent="0.35">
      <c r="A935" s="980"/>
    </row>
    <row r="936" spans="1:1" x14ac:dyDescent="0.35">
      <c r="A936" s="980"/>
    </row>
    <row r="937" spans="1:1" x14ac:dyDescent="0.35">
      <c r="A937" s="980"/>
    </row>
    <row r="938" spans="1:1" x14ac:dyDescent="0.35">
      <c r="A938" s="980"/>
    </row>
    <row r="939" spans="1:1" x14ac:dyDescent="0.35">
      <c r="A939" s="980"/>
    </row>
    <row r="940" spans="1:1" x14ac:dyDescent="0.35">
      <c r="A940" s="980"/>
    </row>
    <row r="941" spans="1:1" x14ac:dyDescent="0.35">
      <c r="A941" s="980"/>
    </row>
    <row r="942" spans="1:1" x14ac:dyDescent="0.35">
      <c r="A942" s="980"/>
    </row>
    <row r="943" spans="1:1" x14ac:dyDescent="0.35">
      <c r="A943" s="980"/>
    </row>
    <row r="944" spans="1:1" x14ac:dyDescent="0.35">
      <c r="A944" s="980"/>
    </row>
    <row r="945" spans="1:1" x14ac:dyDescent="0.35">
      <c r="A945" s="980"/>
    </row>
    <row r="946" spans="1:1" x14ac:dyDescent="0.35">
      <c r="A946" s="980"/>
    </row>
    <row r="947" spans="1:1" x14ac:dyDescent="0.35">
      <c r="A947" s="980"/>
    </row>
    <row r="948" spans="1:1" x14ac:dyDescent="0.35">
      <c r="A948" s="980"/>
    </row>
    <row r="949" spans="1:1" x14ac:dyDescent="0.35">
      <c r="A949" s="980"/>
    </row>
    <row r="950" spans="1:1" x14ac:dyDescent="0.35">
      <c r="A950" s="980"/>
    </row>
    <row r="951" spans="1:1" x14ac:dyDescent="0.35">
      <c r="A951" s="980"/>
    </row>
    <row r="952" spans="1:1" x14ac:dyDescent="0.35">
      <c r="A952" s="980"/>
    </row>
    <row r="953" spans="1:1" x14ac:dyDescent="0.35">
      <c r="A953" s="980"/>
    </row>
    <row r="954" spans="1:1" x14ac:dyDescent="0.35">
      <c r="A954" s="980"/>
    </row>
    <row r="955" spans="1:1" x14ac:dyDescent="0.35">
      <c r="A955" s="980"/>
    </row>
    <row r="956" spans="1:1" x14ac:dyDescent="0.35">
      <c r="A956" s="980"/>
    </row>
    <row r="957" spans="1:1" x14ac:dyDescent="0.35">
      <c r="A957" s="980"/>
    </row>
    <row r="958" spans="1:1" x14ac:dyDescent="0.35">
      <c r="A958" s="980"/>
    </row>
    <row r="959" spans="1:1" x14ac:dyDescent="0.35">
      <c r="A959" s="980"/>
    </row>
    <row r="960" spans="1:1" x14ac:dyDescent="0.35">
      <c r="A960" s="980"/>
    </row>
    <row r="961" spans="1:1" x14ac:dyDescent="0.35">
      <c r="A961" s="980"/>
    </row>
    <row r="962" spans="1:1" x14ac:dyDescent="0.35">
      <c r="A962" s="980"/>
    </row>
    <row r="963" spans="1:1" x14ac:dyDescent="0.35">
      <c r="A963" s="980"/>
    </row>
    <row r="964" spans="1:1" x14ac:dyDescent="0.35">
      <c r="A964" s="980"/>
    </row>
    <row r="965" spans="1:1" x14ac:dyDescent="0.35">
      <c r="A965" s="980"/>
    </row>
    <row r="966" spans="1:1" x14ac:dyDescent="0.35">
      <c r="A966" s="980"/>
    </row>
    <row r="967" spans="1:1" x14ac:dyDescent="0.35">
      <c r="A967" s="980"/>
    </row>
    <row r="968" spans="1:1" x14ac:dyDescent="0.35">
      <c r="A968" s="980"/>
    </row>
    <row r="969" spans="1:1" x14ac:dyDescent="0.35">
      <c r="A969" s="980"/>
    </row>
    <row r="970" spans="1:1" x14ac:dyDescent="0.35">
      <c r="A970" s="980"/>
    </row>
    <row r="971" spans="1:1" x14ac:dyDescent="0.35">
      <c r="A971" s="980"/>
    </row>
    <row r="972" spans="1:1" x14ac:dyDescent="0.35">
      <c r="A972" s="980"/>
    </row>
    <row r="973" spans="1:1" x14ac:dyDescent="0.35">
      <c r="A973" s="980"/>
    </row>
    <row r="974" spans="1:1" x14ac:dyDescent="0.35">
      <c r="A974" s="980"/>
    </row>
    <row r="975" spans="1:1" x14ac:dyDescent="0.35">
      <c r="A975" s="980"/>
    </row>
    <row r="976" spans="1:1" x14ac:dyDescent="0.35">
      <c r="A976" s="980"/>
    </row>
    <row r="977" spans="1:1" x14ac:dyDescent="0.35">
      <c r="A977" s="980"/>
    </row>
    <row r="978" spans="1:1" x14ac:dyDescent="0.35">
      <c r="A978" s="980"/>
    </row>
    <row r="979" spans="1:1" x14ac:dyDescent="0.35">
      <c r="A979" s="980"/>
    </row>
    <row r="980" spans="1:1" x14ac:dyDescent="0.35">
      <c r="A980" s="980"/>
    </row>
    <row r="981" spans="1:1" x14ac:dyDescent="0.35">
      <c r="A981" s="980"/>
    </row>
    <row r="982" spans="1:1" x14ac:dyDescent="0.35">
      <c r="A982" s="980"/>
    </row>
    <row r="983" spans="1:1" x14ac:dyDescent="0.35">
      <c r="A983" s="980"/>
    </row>
    <row r="984" spans="1:1" x14ac:dyDescent="0.35">
      <c r="A984" s="980"/>
    </row>
    <row r="985" spans="1:1" x14ac:dyDescent="0.35">
      <c r="A985" s="980"/>
    </row>
    <row r="986" spans="1:1" x14ac:dyDescent="0.35">
      <c r="A986" s="980"/>
    </row>
    <row r="987" spans="1:1" x14ac:dyDescent="0.35">
      <c r="A987" s="980"/>
    </row>
    <row r="988" spans="1:1" x14ac:dyDescent="0.35">
      <c r="A988" s="980"/>
    </row>
    <row r="989" spans="1:1" x14ac:dyDescent="0.35">
      <c r="A989" s="980"/>
    </row>
    <row r="990" spans="1:1" x14ac:dyDescent="0.35">
      <c r="A990" s="980"/>
    </row>
    <row r="991" spans="1:1" x14ac:dyDescent="0.35">
      <c r="A991" s="980"/>
    </row>
    <row r="992" spans="1:1" x14ac:dyDescent="0.35">
      <c r="A992" s="980"/>
    </row>
    <row r="993" spans="1:1" x14ac:dyDescent="0.35">
      <c r="A993" s="980"/>
    </row>
    <row r="994" spans="1:1" x14ac:dyDescent="0.35">
      <c r="A994" s="980"/>
    </row>
    <row r="995" spans="1:1" x14ac:dyDescent="0.35">
      <c r="A995" s="980"/>
    </row>
    <row r="996" spans="1:1" x14ac:dyDescent="0.35">
      <c r="A996" s="980"/>
    </row>
    <row r="997" spans="1:1" x14ac:dyDescent="0.35">
      <c r="A997" s="980"/>
    </row>
    <row r="998" spans="1:1" x14ac:dyDescent="0.35">
      <c r="A998" s="980"/>
    </row>
    <row r="999" spans="1:1" x14ac:dyDescent="0.35">
      <c r="A999" s="980"/>
    </row>
    <row r="1000" spans="1:1" x14ac:dyDescent="0.35">
      <c r="A1000" s="980"/>
    </row>
    <row r="1001" spans="1:1" x14ac:dyDescent="0.35">
      <c r="A1001" s="980"/>
    </row>
    <row r="1002" spans="1:1" x14ac:dyDescent="0.35">
      <c r="A1002" s="980"/>
    </row>
    <row r="1003" spans="1:1" x14ac:dyDescent="0.35">
      <c r="A1003" s="980"/>
    </row>
    <row r="1004" spans="1:1" x14ac:dyDescent="0.35">
      <c r="A1004" s="980"/>
    </row>
    <row r="1005" spans="1:1" x14ac:dyDescent="0.35">
      <c r="A1005" s="980"/>
    </row>
    <row r="1006" spans="1:1" x14ac:dyDescent="0.35">
      <c r="A1006" s="980"/>
    </row>
    <row r="1007" spans="1:1" x14ac:dyDescent="0.35">
      <c r="A1007" s="980"/>
    </row>
    <row r="1008" spans="1:1" x14ac:dyDescent="0.35">
      <c r="A1008" s="980"/>
    </row>
    <row r="1009" spans="1:1" x14ac:dyDescent="0.35">
      <c r="A1009" s="980"/>
    </row>
    <row r="1010" spans="1:1" x14ac:dyDescent="0.35">
      <c r="A1010" s="980"/>
    </row>
    <row r="1011" spans="1:1" x14ac:dyDescent="0.35">
      <c r="A1011" s="980"/>
    </row>
    <row r="1012" spans="1:1" x14ac:dyDescent="0.35">
      <c r="A1012" s="980"/>
    </row>
    <row r="1013" spans="1:1" x14ac:dyDescent="0.35">
      <c r="A1013" s="980"/>
    </row>
    <row r="1014" spans="1:1" x14ac:dyDescent="0.35">
      <c r="A1014" s="980"/>
    </row>
    <row r="1015" spans="1:1" x14ac:dyDescent="0.35">
      <c r="A1015" s="980"/>
    </row>
    <row r="1016" spans="1:1" x14ac:dyDescent="0.35">
      <c r="A1016" s="980"/>
    </row>
    <row r="1017" spans="1:1" x14ac:dyDescent="0.35">
      <c r="A1017" s="980"/>
    </row>
    <row r="1018" spans="1:1" x14ac:dyDescent="0.35">
      <c r="A1018" s="980"/>
    </row>
    <row r="1019" spans="1:1" x14ac:dyDescent="0.35">
      <c r="A1019" s="980"/>
    </row>
    <row r="1020" spans="1:1" x14ac:dyDescent="0.35">
      <c r="A1020" s="980"/>
    </row>
    <row r="1021" spans="1:1" x14ac:dyDescent="0.35">
      <c r="A1021" s="980"/>
    </row>
    <row r="1022" spans="1:1" x14ac:dyDescent="0.35">
      <c r="A1022" s="980"/>
    </row>
    <row r="1023" spans="1:1" x14ac:dyDescent="0.35">
      <c r="A1023" s="980"/>
    </row>
    <row r="1024" spans="1:1" x14ac:dyDescent="0.35">
      <c r="A1024" s="980"/>
    </row>
    <row r="1025" spans="1:1" x14ac:dyDescent="0.35">
      <c r="A1025" s="980"/>
    </row>
    <row r="1026" spans="1:1" x14ac:dyDescent="0.35">
      <c r="A1026" s="980"/>
    </row>
    <row r="1027" spans="1:1" x14ac:dyDescent="0.35">
      <c r="A1027" s="980"/>
    </row>
    <row r="1028" spans="1:1" x14ac:dyDescent="0.35">
      <c r="A1028" s="980"/>
    </row>
    <row r="1029" spans="1:1" x14ac:dyDescent="0.35">
      <c r="A1029" s="980"/>
    </row>
    <row r="1030" spans="1:1" x14ac:dyDescent="0.35">
      <c r="A1030" s="980"/>
    </row>
    <row r="1031" spans="1:1" x14ac:dyDescent="0.35">
      <c r="A1031" s="980"/>
    </row>
    <row r="1032" spans="1:1" x14ac:dyDescent="0.35">
      <c r="A1032" s="980"/>
    </row>
    <row r="1033" spans="1:1" x14ac:dyDescent="0.35">
      <c r="A1033" s="980"/>
    </row>
    <row r="1034" spans="1:1" x14ac:dyDescent="0.35">
      <c r="A1034" s="980"/>
    </row>
    <row r="1035" spans="1:1" x14ac:dyDescent="0.35">
      <c r="A1035" s="980"/>
    </row>
    <row r="1036" spans="1:1" x14ac:dyDescent="0.35">
      <c r="A1036" s="980"/>
    </row>
    <row r="1037" spans="1:1" x14ac:dyDescent="0.35">
      <c r="A1037" s="980"/>
    </row>
    <row r="1038" spans="1:1" x14ac:dyDescent="0.35">
      <c r="A1038" s="980"/>
    </row>
    <row r="1039" spans="1:1" x14ac:dyDescent="0.35">
      <c r="A1039" s="980"/>
    </row>
    <row r="1040" spans="1:1" x14ac:dyDescent="0.35">
      <c r="A1040" s="980"/>
    </row>
    <row r="1041" spans="1:1" x14ac:dyDescent="0.35">
      <c r="A1041" s="980"/>
    </row>
    <row r="1042" spans="1:1" x14ac:dyDescent="0.35">
      <c r="A1042" s="980"/>
    </row>
    <row r="1043" spans="1:1" x14ac:dyDescent="0.35">
      <c r="A1043" s="980"/>
    </row>
    <row r="1044" spans="1:1" x14ac:dyDescent="0.35">
      <c r="A1044" s="980"/>
    </row>
    <row r="1045" spans="1:1" x14ac:dyDescent="0.35">
      <c r="A1045" s="980"/>
    </row>
    <row r="1046" spans="1:1" x14ac:dyDescent="0.35">
      <c r="A1046" s="980"/>
    </row>
    <row r="1047" spans="1:1" x14ac:dyDescent="0.35">
      <c r="A1047" s="980"/>
    </row>
    <row r="1048" spans="1:1" x14ac:dyDescent="0.35">
      <c r="A1048" s="980"/>
    </row>
    <row r="1049" spans="1:1" x14ac:dyDescent="0.35">
      <c r="A1049" s="980"/>
    </row>
    <row r="1050" spans="1:1" x14ac:dyDescent="0.35">
      <c r="A1050" s="980"/>
    </row>
    <row r="1051" spans="1:1" x14ac:dyDescent="0.35">
      <c r="A1051" s="980"/>
    </row>
    <row r="1052" spans="1:1" x14ac:dyDescent="0.35">
      <c r="A1052" s="980"/>
    </row>
    <row r="1053" spans="1:1" x14ac:dyDescent="0.35">
      <c r="A1053" s="980"/>
    </row>
    <row r="1054" spans="1:1" x14ac:dyDescent="0.35">
      <c r="A1054" s="980"/>
    </row>
    <row r="1055" spans="1:1" x14ac:dyDescent="0.35">
      <c r="A1055" s="980"/>
    </row>
    <row r="1056" spans="1:1" x14ac:dyDescent="0.35">
      <c r="A1056" s="980"/>
    </row>
    <row r="1057" spans="1:1" x14ac:dyDescent="0.35">
      <c r="A1057" s="980"/>
    </row>
    <row r="1058" spans="1:1" x14ac:dyDescent="0.35">
      <c r="A1058" s="980"/>
    </row>
    <row r="1059" spans="1:1" x14ac:dyDescent="0.35">
      <c r="A1059" s="980"/>
    </row>
    <row r="1060" spans="1:1" x14ac:dyDescent="0.35">
      <c r="A1060" s="980"/>
    </row>
    <row r="1061" spans="1:1" x14ac:dyDescent="0.35">
      <c r="A1061" s="980"/>
    </row>
    <row r="1062" spans="1:1" x14ac:dyDescent="0.35">
      <c r="A1062" s="980"/>
    </row>
    <row r="1063" spans="1:1" x14ac:dyDescent="0.35">
      <c r="A1063" s="980"/>
    </row>
    <row r="1064" spans="1:1" x14ac:dyDescent="0.35">
      <c r="A1064" s="980"/>
    </row>
    <row r="1065" spans="1:1" x14ac:dyDescent="0.35">
      <c r="A1065" s="980"/>
    </row>
    <row r="1066" spans="1:1" x14ac:dyDescent="0.35">
      <c r="A1066" s="980"/>
    </row>
    <row r="1067" spans="1:1" x14ac:dyDescent="0.35">
      <c r="A1067" s="980"/>
    </row>
    <row r="1068" spans="1:1" x14ac:dyDescent="0.35">
      <c r="A1068" s="980"/>
    </row>
    <row r="1069" spans="1:1" x14ac:dyDescent="0.35">
      <c r="A1069" s="980"/>
    </row>
    <row r="1070" spans="1:1" x14ac:dyDescent="0.35">
      <c r="A1070" s="980"/>
    </row>
    <row r="1071" spans="1:1" x14ac:dyDescent="0.35">
      <c r="A1071" s="980"/>
    </row>
    <row r="1072" spans="1:1" x14ac:dyDescent="0.35">
      <c r="A1072" s="980"/>
    </row>
    <row r="1073" spans="1:1" x14ac:dyDescent="0.35">
      <c r="A1073" s="980"/>
    </row>
    <row r="1074" spans="1:1" x14ac:dyDescent="0.35">
      <c r="A1074" s="980"/>
    </row>
    <row r="1075" spans="1:1" x14ac:dyDescent="0.35">
      <c r="A1075" s="980"/>
    </row>
    <row r="1076" spans="1:1" x14ac:dyDescent="0.35">
      <c r="A1076" s="980"/>
    </row>
    <row r="1077" spans="1:1" x14ac:dyDescent="0.35">
      <c r="A1077" s="980"/>
    </row>
    <row r="1078" spans="1:1" x14ac:dyDescent="0.35">
      <c r="A1078" s="980"/>
    </row>
    <row r="1079" spans="1:1" x14ac:dyDescent="0.35">
      <c r="A1079" s="980"/>
    </row>
    <row r="1080" spans="1:1" x14ac:dyDescent="0.35">
      <c r="A1080" s="980"/>
    </row>
    <row r="1081" spans="1:1" x14ac:dyDescent="0.35">
      <c r="A1081" s="980"/>
    </row>
    <row r="1082" spans="1:1" x14ac:dyDescent="0.35">
      <c r="A1082" s="980"/>
    </row>
    <row r="1083" spans="1:1" x14ac:dyDescent="0.35">
      <c r="A1083" s="980"/>
    </row>
    <row r="1084" spans="1:1" x14ac:dyDescent="0.35">
      <c r="A1084" s="980"/>
    </row>
    <row r="1085" spans="1:1" x14ac:dyDescent="0.35">
      <c r="A1085" s="980"/>
    </row>
    <row r="1086" spans="1:1" x14ac:dyDescent="0.35">
      <c r="A1086" s="980"/>
    </row>
    <row r="1087" spans="1:1" x14ac:dyDescent="0.35">
      <c r="A1087" s="980"/>
    </row>
    <row r="1088" spans="1:1" x14ac:dyDescent="0.35">
      <c r="A1088" s="980"/>
    </row>
    <row r="1089" spans="1:1" x14ac:dyDescent="0.35">
      <c r="A1089" s="980"/>
    </row>
    <row r="1090" spans="1:1" x14ac:dyDescent="0.35">
      <c r="A1090" s="980"/>
    </row>
    <row r="1091" spans="1:1" x14ac:dyDescent="0.35">
      <c r="A1091" s="980"/>
    </row>
    <row r="1092" spans="1:1" x14ac:dyDescent="0.35">
      <c r="A1092" s="980"/>
    </row>
    <row r="1093" spans="1:1" x14ac:dyDescent="0.35">
      <c r="A1093" s="980"/>
    </row>
    <row r="1094" spans="1:1" x14ac:dyDescent="0.35">
      <c r="A1094" s="980"/>
    </row>
    <row r="1095" spans="1:1" x14ac:dyDescent="0.35">
      <c r="A1095" s="980"/>
    </row>
    <row r="1096" spans="1:1" x14ac:dyDescent="0.35">
      <c r="A1096" s="980"/>
    </row>
    <row r="1097" spans="1:1" x14ac:dyDescent="0.35">
      <c r="A1097" s="980"/>
    </row>
    <row r="1098" spans="1:1" x14ac:dyDescent="0.35">
      <c r="A1098" s="980"/>
    </row>
    <row r="1099" spans="1:1" x14ac:dyDescent="0.35">
      <c r="A1099" s="980"/>
    </row>
    <row r="1100" spans="1:1" x14ac:dyDescent="0.35">
      <c r="A1100" s="980"/>
    </row>
    <row r="1101" spans="1:1" x14ac:dyDescent="0.35">
      <c r="A1101" s="980"/>
    </row>
    <row r="1102" spans="1:1" x14ac:dyDescent="0.35">
      <c r="A1102" s="980"/>
    </row>
    <row r="1103" spans="1:1" x14ac:dyDescent="0.35">
      <c r="A1103" s="980"/>
    </row>
    <row r="1104" spans="1:1" x14ac:dyDescent="0.35">
      <c r="A1104" s="980"/>
    </row>
    <row r="1105" spans="1:1" x14ac:dyDescent="0.35">
      <c r="A1105" s="980"/>
    </row>
    <row r="1106" spans="1:1" x14ac:dyDescent="0.35">
      <c r="A1106" s="980"/>
    </row>
    <row r="1107" spans="1:1" x14ac:dyDescent="0.35">
      <c r="A1107" s="980"/>
    </row>
    <row r="1108" spans="1:1" x14ac:dyDescent="0.35">
      <c r="A1108" s="980"/>
    </row>
    <row r="1109" spans="1:1" x14ac:dyDescent="0.35">
      <c r="A1109" s="980"/>
    </row>
    <row r="1110" spans="1:1" x14ac:dyDescent="0.35">
      <c r="A1110" s="980"/>
    </row>
    <row r="1111" spans="1:1" x14ac:dyDescent="0.35">
      <c r="A1111" s="980"/>
    </row>
    <row r="1112" spans="1:1" x14ac:dyDescent="0.35">
      <c r="A1112" s="980"/>
    </row>
    <row r="1113" spans="1:1" x14ac:dyDescent="0.35">
      <c r="A1113" s="980"/>
    </row>
    <row r="1114" spans="1:1" x14ac:dyDescent="0.35">
      <c r="A1114" s="980"/>
    </row>
    <row r="1115" spans="1:1" x14ac:dyDescent="0.35">
      <c r="A1115" s="980"/>
    </row>
    <row r="1116" spans="1:1" x14ac:dyDescent="0.35">
      <c r="A1116" s="980"/>
    </row>
    <row r="1117" spans="1:1" x14ac:dyDescent="0.35">
      <c r="A1117" s="980"/>
    </row>
    <row r="1118" spans="1:1" x14ac:dyDescent="0.35">
      <c r="A1118" s="980"/>
    </row>
    <row r="1119" spans="1:1" x14ac:dyDescent="0.35">
      <c r="A1119" s="980"/>
    </row>
    <row r="1120" spans="1:1" x14ac:dyDescent="0.35">
      <c r="A1120" s="980"/>
    </row>
    <row r="1121" spans="1:1" x14ac:dyDescent="0.35">
      <c r="A1121" s="980"/>
    </row>
    <row r="1122" spans="1:1" x14ac:dyDescent="0.35">
      <c r="A1122" s="980"/>
    </row>
    <row r="1123" spans="1:1" x14ac:dyDescent="0.35">
      <c r="A1123" s="980"/>
    </row>
    <row r="1124" spans="1:1" x14ac:dyDescent="0.35">
      <c r="A1124" s="980"/>
    </row>
    <row r="1125" spans="1:1" x14ac:dyDescent="0.35">
      <c r="A1125" s="980"/>
    </row>
    <row r="1126" spans="1:1" x14ac:dyDescent="0.35">
      <c r="A1126" s="980"/>
    </row>
    <row r="1127" spans="1:1" x14ac:dyDescent="0.35">
      <c r="A1127" s="980"/>
    </row>
    <row r="1128" spans="1:1" x14ac:dyDescent="0.35">
      <c r="A1128" s="980"/>
    </row>
    <row r="1129" spans="1:1" x14ac:dyDescent="0.35">
      <c r="A1129" s="980"/>
    </row>
    <row r="1130" spans="1:1" x14ac:dyDescent="0.35">
      <c r="A1130" s="980"/>
    </row>
    <row r="1131" spans="1:1" x14ac:dyDescent="0.35">
      <c r="A1131" s="980"/>
    </row>
    <row r="1132" spans="1:1" x14ac:dyDescent="0.35">
      <c r="A1132" s="980"/>
    </row>
    <row r="1133" spans="1:1" x14ac:dyDescent="0.35">
      <c r="A1133" s="980"/>
    </row>
    <row r="1134" spans="1:1" x14ac:dyDescent="0.35">
      <c r="A1134" s="980"/>
    </row>
    <row r="1135" spans="1:1" x14ac:dyDescent="0.35">
      <c r="A1135" s="980"/>
    </row>
    <row r="1136" spans="1:1" x14ac:dyDescent="0.35">
      <c r="A1136" s="980"/>
    </row>
    <row r="1137" spans="1:1" x14ac:dyDescent="0.35">
      <c r="A1137" s="980"/>
    </row>
    <row r="1138" spans="1:1" x14ac:dyDescent="0.35">
      <c r="A1138" s="980"/>
    </row>
    <row r="1139" spans="1:1" x14ac:dyDescent="0.35">
      <c r="A1139" s="980"/>
    </row>
    <row r="1140" spans="1:1" x14ac:dyDescent="0.35">
      <c r="A1140" s="980"/>
    </row>
    <row r="1141" spans="1:1" x14ac:dyDescent="0.35">
      <c r="A1141" s="980"/>
    </row>
    <row r="1142" spans="1:1" x14ac:dyDescent="0.35">
      <c r="A1142" s="980"/>
    </row>
    <row r="1143" spans="1:1" x14ac:dyDescent="0.35">
      <c r="A1143" s="980"/>
    </row>
    <row r="1144" spans="1:1" x14ac:dyDescent="0.35">
      <c r="A1144" s="980"/>
    </row>
    <row r="1145" spans="1:1" x14ac:dyDescent="0.35">
      <c r="A1145" s="980"/>
    </row>
    <row r="1146" spans="1:1" x14ac:dyDescent="0.35">
      <c r="A1146" s="980"/>
    </row>
    <row r="1147" spans="1:1" x14ac:dyDescent="0.35">
      <c r="A1147" s="980"/>
    </row>
    <row r="1148" spans="1:1" x14ac:dyDescent="0.35">
      <c r="A1148" s="980"/>
    </row>
    <row r="1149" spans="1:1" x14ac:dyDescent="0.35">
      <c r="A1149" s="980"/>
    </row>
    <row r="1150" spans="1:1" x14ac:dyDescent="0.35">
      <c r="A1150" s="980"/>
    </row>
    <row r="1151" spans="1:1" x14ac:dyDescent="0.35">
      <c r="A1151" s="980"/>
    </row>
    <row r="1152" spans="1:1" x14ac:dyDescent="0.35">
      <c r="A1152" s="980"/>
    </row>
    <row r="1153" spans="1:1" x14ac:dyDescent="0.35">
      <c r="A1153" s="980"/>
    </row>
    <row r="1154" spans="1:1" x14ac:dyDescent="0.35">
      <c r="A1154" s="980"/>
    </row>
    <row r="1155" spans="1:1" x14ac:dyDescent="0.35">
      <c r="A1155" s="980"/>
    </row>
    <row r="1156" spans="1:1" x14ac:dyDescent="0.35">
      <c r="A1156" s="980"/>
    </row>
    <row r="1157" spans="1:1" x14ac:dyDescent="0.35">
      <c r="A1157" s="980"/>
    </row>
    <row r="1158" spans="1:1" x14ac:dyDescent="0.35">
      <c r="A1158" s="980"/>
    </row>
    <row r="1159" spans="1:1" x14ac:dyDescent="0.35">
      <c r="A1159" s="980"/>
    </row>
    <row r="1160" spans="1:1" x14ac:dyDescent="0.35">
      <c r="A1160" s="980"/>
    </row>
    <row r="1161" spans="1:1" x14ac:dyDescent="0.35">
      <c r="A1161" s="980"/>
    </row>
    <row r="1162" spans="1:1" x14ac:dyDescent="0.35">
      <c r="A1162" s="980"/>
    </row>
    <row r="1163" spans="1:1" x14ac:dyDescent="0.35">
      <c r="A1163" s="980"/>
    </row>
    <row r="1164" spans="1:1" x14ac:dyDescent="0.35">
      <c r="A1164" s="980"/>
    </row>
    <row r="1165" spans="1:1" x14ac:dyDescent="0.35">
      <c r="A1165" s="980"/>
    </row>
    <row r="1166" spans="1:1" x14ac:dyDescent="0.35">
      <c r="A1166" s="980"/>
    </row>
    <row r="1167" spans="1:1" x14ac:dyDescent="0.35">
      <c r="A1167" s="980"/>
    </row>
    <row r="1168" spans="1:1" x14ac:dyDescent="0.35">
      <c r="A1168" s="980"/>
    </row>
    <row r="1169" spans="1:1" x14ac:dyDescent="0.35">
      <c r="A1169" s="980"/>
    </row>
    <row r="1170" spans="1:1" x14ac:dyDescent="0.35">
      <c r="A1170" s="980"/>
    </row>
    <row r="1171" spans="1:1" x14ac:dyDescent="0.35">
      <c r="A1171" s="980"/>
    </row>
    <row r="1172" spans="1:1" x14ac:dyDescent="0.35">
      <c r="A1172" s="980"/>
    </row>
    <row r="1173" spans="1:1" x14ac:dyDescent="0.35">
      <c r="A1173" s="980"/>
    </row>
    <row r="1174" spans="1:1" x14ac:dyDescent="0.35">
      <c r="A1174" s="980"/>
    </row>
    <row r="1175" spans="1:1" x14ac:dyDescent="0.35">
      <c r="A1175" s="980"/>
    </row>
    <row r="1176" spans="1:1" x14ac:dyDescent="0.35">
      <c r="A1176" s="980"/>
    </row>
    <row r="1177" spans="1:1" x14ac:dyDescent="0.35">
      <c r="A1177" s="980"/>
    </row>
    <row r="1178" spans="1:1" x14ac:dyDescent="0.35">
      <c r="A1178" s="980"/>
    </row>
    <row r="1179" spans="1:1" x14ac:dyDescent="0.35">
      <c r="A1179" s="980"/>
    </row>
    <row r="1180" spans="1:1" x14ac:dyDescent="0.35">
      <c r="A1180" s="980"/>
    </row>
    <row r="1181" spans="1:1" x14ac:dyDescent="0.35">
      <c r="A1181" s="980"/>
    </row>
    <row r="1182" spans="1:1" x14ac:dyDescent="0.35">
      <c r="A1182" s="980"/>
    </row>
    <row r="1183" spans="1:1" x14ac:dyDescent="0.35">
      <c r="A1183" s="980"/>
    </row>
    <row r="1184" spans="1:1" x14ac:dyDescent="0.35">
      <c r="A1184" s="980"/>
    </row>
    <row r="1185" spans="1:1" x14ac:dyDescent="0.35">
      <c r="A1185" s="980"/>
    </row>
    <row r="1186" spans="1:1" x14ac:dyDescent="0.35">
      <c r="A1186" s="980"/>
    </row>
    <row r="1187" spans="1:1" x14ac:dyDescent="0.35">
      <c r="A1187" s="980"/>
    </row>
    <row r="1188" spans="1:1" x14ac:dyDescent="0.35">
      <c r="A1188" s="980"/>
    </row>
    <row r="1189" spans="1:1" x14ac:dyDescent="0.35">
      <c r="A1189" s="980"/>
    </row>
    <row r="1190" spans="1:1" x14ac:dyDescent="0.35">
      <c r="A1190" s="980"/>
    </row>
    <row r="1191" spans="1:1" x14ac:dyDescent="0.35">
      <c r="A1191" s="980"/>
    </row>
    <row r="1192" spans="1:1" x14ac:dyDescent="0.35">
      <c r="A1192" s="980"/>
    </row>
    <row r="1193" spans="1:1" x14ac:dyDescent="0.35">
      <c r="A1193" s="980"/>
    </row>
    <row r="1194" spans="1:1" x14ac:dyDescent="0.35">
      <c r="A1194" s="980"/>
    </row>
    <row r="1195" spans="1:1" x14ac:dyDescent="0.35">
      <c r="A1195" s="980"/>
    </row>
    <row r="1196" spans="1:1" x14ac:dyDescent="0.35">
      <c r="A1196" s="980"/>
    </row>
    <row r="1197" spans="1:1" x14ac:dyDescent="0.35">
      <c r="A1197" s="980"/>
    </row>
    <row r="1198" spans="1:1" x14ac:dyDescent="0.35">
      <c r="A1198" s="980"/>
    </row>
    <row r="1199" spans="1:1" x14ac:dyDescent="0.35">
      <c r="A1199" s="980"/>
    </row>
    <row r="1200" spans="1:1" x14ac:dyDescent="0.35">
      <c r="A1200" s="980"/>
    </row>
    <row r="1201" spans="1:1" x14ac:dyDescent="0.35">
      <c r="A1201" s="980"/>
    </row>
    <row r="1202" spans="1:1" x14ac:dyDescent="0.35">
      <c r="A1202" s="980"/>
    </row>
    <row r="1203" spans="1:1" x14ac:dyDescent="0.35">
      <c r="A1203" s="980"/>
    </row>
    <row r="1204" spans="1:1" x14ac:dyDescent="0.35">
      <c r="A1204" s="980"/>
    </row>
    <row r="1205" spans="1:1" x14ac:dyDescent="0.35">
      <c r="A1205" s="980"/>
    </row>
    <row r="1206" spans="1:1" x14ac:dyDescent="0.35">
      <c r="A1206" s="980"/>
    </row>
    <row r="1207" spans="1:1" x14ac:dyDescent="0.35">
      <c r="A1207" s="980"/>
    </row>
    <row r="1208" spans="1:1" x14ac:dyDescent="0.35">
      <c r="A1208" s="980"/>
    </row>
    <row r="1209" spans="1:1" x14ac:dyDescent="0.35">
      <c r="A1209" s="980"/>
    </row>
    <row r="1210" spans="1:1" x14ac:dyDescent="0.35">
      <c r="A1210" s="980"/>
    </row>
    <row r="1211" spans="1:1" x14ac:dyDescent="0.35">
      <c r="A1211" s="980"/>
    </row>
    <row r="1212" spans="1:1" x14ac:dyDescent="0.35">
      <c r="A1212" s="980"/>
    </row>
    <row r="1213" spans="1:1" x14ac:dyDescent="0.35">
      <c r="A1213" s="980"/>
    </row>
    <row r="1214" spans="1:1" x14ac:dyDescent="0.35">
      <c r="A1214" s="980"/>
    </row>
    <row r="1215" spans="1:1" x14ac:dyDescent="0.35">
      <c r="A1215" s="980"/>
    </row>
    <row r="1216" spans="1:1" x14ac:dyDescent="0.35">
      <c r="A1216" s="980"/>
    </row>
    <row r="1217" spans="1:1" x14ac:dyDescent="0.35">
      <c r="A1217" s="980"/>
    </row>
    <row r="1218" spans="1:1" x14ac:dyDescent="0.35">
      <c r="A1218" s="980"/>
    </row>
    <row r="1219" spans="1:1" x14ac:dyDescent="0.35">
      <c r="A1219" s="980"/>
    </row>
    <row r="1220" spans="1:1" x14ac:dyDescent="0.35">
      <c r="A1220" s="980"/>
    </row>
    <row r="1221" spans="1:1" x14ac:dyDescent="0.35">
      <c r="A1221" s="980"/>
    </row>
    <row r="1222" spans="1:1" x14ac:dyDescent="0.35">
      <c r="A1222" s="980"/>
    </row>
    <row r="1223" spans="1:1" x14ac:dyDescent="0.35">
      <c r="A1223" s="980"/>
    </row>
    <row r="1224" spans="1:1" x14ac:dyDescent="0.35">
      <c r="A1224" s="980"/>
    </row>
    <row r="1225" spans="1:1" x14ac:dyDescent="0.35">
      <c r="A1225" s="980"/>
    </row>
    <row r="1226" spans="1:1" x14ac:dyDescent="0.35">
      <c r="A1226" s="980"/>
    </row>
    <row r="1227" spans="1:1" x14ac:dyDescent="0.35">
      <c r="A1227" s="980"/>
    </row>
    <row r="1228" spans="1:1" x14ac:dyDescent="0.35">
      <c r="A1228" s="980"/>
    </row>
    <row r="1229" spans="1:1" x14ac:dyDescent="0.35">
      <c r="A1229" s="980"/>
    </row>
    <row r="1230" spans="1:1" x14ac:dyDescent="0.35">
      <c r="A1230" s="980"/>
    </row>
    <row r="1231" spans="1:1" x14ac:dyDescent="0.35">
      <c r="A1231" s="980"/>
    </row>
    <row r="1232" spans="1:1" x14ac:dyDescent="0.35">
      <c r="A1232" s="980"/>
    </row>
    <row r="1233" spans="1:1" x14ac:dyDescent="0.35">
      <c r="A1233" s="980"/>
    </row>
    <row r="1234" spans="1:1" x14ac:dyDescent="0.35">
      <c r="A1234" s="980"/>
    </row>
    <row r="1235" spans="1:1" x14ac:dyDescent="0.35">
      <c r="A1235" s="980"/>
    </row>
    <row r="1236" spans="1:1" x14ac:dyDescent="0.35">
      <c r="A1236" s="980"/>
    </row>
    <row r="1237" spans="1:1" x14ac:dyDescent="0.35">
      <c r="A1237" s="980"/>
    </row>
    <row r="1238" spans="1:1" x14ac:dyDescent="0.35">
      <c r="A1238" s="980"/>
    </row>
    <row r="1239" spans="1:1" x14ac:dyDescent="0.35">
      <c r="A1239" s="980"/>
    </row>
    <row r="1240" spans="1:1" x14ac:dyDescent="0.35">
      <c r="A1240" s="980"/>
    </row>
    <row r="1241" spans="1:1" x14ac:dyDescent="0.35">
      <c r="A1241" s="980"/>
    </row>
    <row r="1242" spans="1:1" x14ac:dyDescent="0.35">
      <c r="A1242" s="980"/>
    </row>
    <row r="1243" spans="1:1" x14ac:dyDescent="0.35">
      <c r="A1243" s="980"/>
    </row>
    <row r="1244" spans="1:1" x14ac:dyDescent="0.35">
      <c r="A1244" s="980"/>
    </row>
    <row r="1245" spans="1:1" x14ac:dyDescent="0.35">
      <c r="A1245" s="980"/>
    </row>
    <row r="1246" spans="1:1" x14ac:dyDescent="0.35">
      <c r="A1246" s="980"/>
    </row>
    <row r="1247" spans="1:1" x14ac:dyDescent="0.35">
      <c r="A1247" s="980"/>
    </row>
    <row r="1248" spans="1:1" x14ac:dyDescent="0.35">
      <c r="A1248" s="980"/>
    </row>
    <row r="1249" spans="1:1" x14ac:dyDescent="0.35">
      <c r="A1249" s="980"/>
    </row>
    <row r="1250" spans="1:1" x14ac:dyDescent="0.35">
      <c r="A1250" s="980"/>
    </row>
    <row r="1251" spans="1:1" x14ac:dyDescent="0.35">
      <c r="A1251" s="980"/>
    </row>
    <row r="1252" spans="1:1" x14ac:dyDescent="0.35">
      <c r="A1252" s="980"/>
    </row>
    <row r="1253" spans="1:1" x14ac:dyDescent="0.35">
      <c r="A1253" s="980"/>
    </row>
    <row r="1254" spans="1:1" x14ac:dyDescent="0.35">
      <c r="A1254" s="980"/>
    </row>
    <row r="1255" spans="1:1" x14ac:dyDescent="0.35">
      <c r="A1255" s="980"/>
    </row>
    <row r="1256" spans="1:1" x14ac:dyDescent="0.35">
      <c r="A1256" s="980"/>
    </row>
    <row r="1257" spans="1:1" x14ac:dyDescent="0.35">
      <c r="A1257" s="980"/>
    </row>
    <row r="1258" spans="1:1" x14ac:dyDescent="0.35">
      <c r="A1258" s="980"/>
    </row>
    <row r="1259" spans="1:1" x14ac:dyDescent="0.35">
      <c r="A1259" s="980"/>
    </row>
    <row r="1260" spans="1:1" x14ac:dyDescent="0.35">
      <c r="A1260" s="980"/>
    </row>
    <row r="1261" spans="1:1" x14ac:dyDescent="0.35">
      <c r="A1261" s="980"/>
    </row>
    <row r="1262" spans="1:1" x14ac:dyDescent="0.35">
      <c r="A1262" s="980"/>
    </row>
    <row r="1263" spans="1:1" x14ac:dyDescent="0.35">
      <c r="A1263" s="980"/>
    </row>
    <row r="1264" spans="1:1" x14ac:dyDescent="0.35">
      <c r="A1264" s="980"/>
    </row>
    <row r="1265" spans="1:1" x14ac:dyDescent="0.35">
      <c r="A1265" s="980"/>
    </row>
    <row r="1266" spans="1:1" x14ac:dyDescent="0.35">
      <c r="A1266" s="980"/>
    </row>
    <row r="1267" spans="1:1" x14ac:dyDescent="0.35">
      <c r="A1267" s="980"/>
    </row>
    <row r="1268" spans="1:1" x14ac:dyDescent="0.35">
      <c r="A1268" s="980"/>
    </row>
    <row r="1269" spans="1:1" x14ac:dyDescent="0.35">
      <c r="A1269" s="980"/>
    </row>
    <row r="1270" spans="1:1" x14ac:dyDescent="0.35">
      <c r="A1270" s="980"/>
    </row>
    <row r="1271" spans="1:1" x14ac:dyDescent="0.35">
      <c r="A1271" s="980"/>
    </row>
    <row r="1272" spans="1:1" x14ac:dyDescent="0.35">
      <c r="A1272" s="980"/>
    </row>
    <row r="1273" spans="1:1" x14ac:dyDescent="0.35">
      <c r="A1273" s="980"/>
    </row>
    <row r="1274" spans="1:1" x14ac:dyDescent="0.35">
      <c r="A1274" s="980"/>
    </row>
    <row r="1275" spans="1:1" x14ac:dyDescent="0.35">
      <c r="A1275" s="980"/>
    </row>
    <row r="1276" spans="1:1" x14ac:dyDescent="0.35">
      <c r="A1276" s="980"/>
    </row>
    <row r="1277" spans="1:1" x14ac:dyDescent="0.35">
      <c r="A1277" s="980"/>
    </row>
    <row r="1278" spans="1:1" x14ac:dyDescent="0.35">
      <c r="A1278" s="980"/>
    </row>
    <row r="1279" spans="1:1" x14ac:dyDescent="0.35">
      <c r="A1279" s="980"/>
    </row>
    <row r="1280" spans="1:1" x14ac:dyDescent="0.35">
      <c r="A1280" s="980"/>
    </row>
    <row r="1281" spans="1:1" x14ac:dyDescent="0.35">
      <c r="A1281" s="980"/>
    </row>
    <row r="1282" spans="1:1" x14ac:dyDescent="0.35">
      <c r="A1282" s="980"/>
    </row>
    <row r="1283" spans="1:1" x14ac:dyDescent="0.35">
      <c r="A1283" s="980"/>
    </row>
    <row r="1284" spans="1:1" x14ac:dyDescent="0.35">
      <c r="A1284" s="980"/>
    </row>
    <row r="1285" spans="1:1" x14ac:dyDescent="0.35">
      <c r="A1285" s="980"/>
    </row>
    <row r="1286" spans="1:1" x14ac:dyDescent="0.35">
      <c r="A1286" s="980"/>
    </row>
    <row r="1287" spans="1:1" x14ac:dyDescent="0.35">
      <c r="A1287" s="980"/>
    </row>
    <row r="1288" spans="1:1" x14ac:dyDescent="0.35">
      <c r="A1288" s="980"/>
    </row>
    <row r="1289" spans="1:1" x14ac:dyDescent="0.35">
      <c r="A1289" s="980"/>
    </row>
    <row r="1290" spans="1:1" x14ac:dyDescent="0.35">
      <c r="A1290" s="980"/>
    </row>
    <row r="1291" spans="1:1" x14ac:dyDescent="0.35">
      <c r="A1291" s="980"/>
    </row>
    <row r="1292" spans="1:1" x14ac:dyDescent="0.35">
      <c r="A1292" s="980"/>
    </row>
    <row r="1293" spans="1:1" x14ac:dyDescent="0.35">
      <c r="A1293" s="980"/>
    </row>
    <row r="1294" spans="1:1" x14ac:dyDescent="0.35">
      <c r="A1294" s="980"/>
    </row>
    <row r="1295" spans="1:1" x14ac:dyDescent="0.35">
      <c r="A1295" s="980"/>
    </row>
    <row r="1296" spans="1:1" x14ac:dyDescent="0.35">
      <c r="A1296" s="980"/>
    </row>
    <row r="1297" spans="1:1" x14ac:dyDescent="0.35">
      <c r="A1297" s="980"/>
    </row>
    <row r="1298" spans="1:1" x14ac:dyDescent="0.35">
      <c r="A1298" s="980"/>
    </row>
    <row r="1299" spans="1:1" x14ac:dyDescent="0.35">
      <c r="A1299" s="980"/>
    </row>
    <row r="1300" spans="1:1" x14ac:dyDescent="0.35">
      <c r="A1300" s="980"/>
    </row>
    <row r="1301" spans="1:1" x14ac:dyDescent="0.35">
      <c r="A1301" s="980"/>
    </row>
    <row r="1302" spans="1:1" x14ac:dyDescent="0.35">
      <c r="A1302" s="980"/>
    </row>
    <row r="1303" spans="1:1" x14ac:dyDescent="0.35">
      <c r="A1303" s="980"/>
    </row>
    <row r="1304" spans="1:1" x14ac:dyDescent="0.35">
      <c r="A1304" s="980"/>
    </row>
    <row r="1305" spans="1:1" x14ac:dyDescent="0.35">
      <c r="A1305" s="980"/>
    </row>
    <row r="1306" spans="1:1" x14ac:dyDescent="0.35">
      <c r="A1306" s="980"/>
    </row>
    <row r="1307" spans="1:1" x14ac:dyDescent="0.35">
      <c r="A1307" s="980"/>
    </row>
    <row r="1308" spans="1:1" x14ac:dyDescent="0.35">
      <c r="A1308" s="980"/>
    </row>
    <row r="1309" spans="1:1" x14ac:dyDescent="0.35">
      <c r="A1309" s="980"/>
    </row>
    <row r="1310" spans="1:1" x14ac:dyDescent="0.35">
      <c r="A1310" s="980"/>
    </row>
    <row r="1311" spans="1:1" x14ac:dyDescent="0.35">
      <c r="A1311" s="980"/>
    </row>
    <row r="1312" spans="1:1" x14ac:dyDescent="0.35">
      <c r="A1312" s="980"/>
    </row>
    <row r="1313" spans="1:1" x14ac:dyDescent="0.35">
      <c r="A1313" s="980"/>
    </row>
    <row r="1314" spans="1:1" x14ac:dyDescent="0.35">
      <c r="A1314" s="980"/>
    </row>
    <row r="1315" spans="1:1" x14ac:dyDescent="0.35">
      <c r="A1315" s="980"/>
    </row>
    <row r="1316" spans="1:1" x14ac:dyDescent="0.35">
      <c r="A1316" s="980"/>
    </row>
    <row r="1317" spans="1:1" x14ac:dyDescent="0.35">
      <c r="A1317" s="980"/>
    </row>
    <row r="1318" spans="1:1" x14ac:dyDescent="0.35">
      <c r="A1318" s="980"/>
    </row>
    <row r="1319" spans="1:1" x14ac:dyDescent="0.35">
      <c r="A1319" s="980"/>
    </row>
    <row r="1320" spans="1:1" x14ac:dyDescent="0.35">
      <c r="A1320" s="980"/>
    </row>
    <row r="1321" spans="1:1" x14ac:dyDescent="0.35">
      <c r="A1321" s="980"/>
    </row>
    <row r="1322" spans="1:1" x14ac:dyDescent="0.35">
      <c r="A1322" s="980"/>
    </row>
    <row r="1323" spans="1:1" x14ac:dyDescent="0.35">
      <c r="A1323" s="980"/>
    </row>
    <row r="1324" spans="1:1" x14ac:dyDescent="0.35">
      <c r="A1324" s="980"/>
    </row>
    <row r="1325" spans="1:1" x14ac:dyDescent="0.35">
      <c r="A1325" s="980"/>
    </row>
    <row r="1326" spans="1:1" x14ac:dyDescent="0.35">
      <c r="A1326" s="980"/>
    </row>
    <row r="1327" spans="1:1" x14ac:dyDescent="0.35">
      <c r="A1327" s="980"/>
    </row>
    <row r="1328" spans="1:1" x14ac:dyDescent="0.35">
      <c r="A1328" s="980"/>
    </row>
    <row r="1329" spans="1:1" x14ac:dyDescent="0.35">
      <c r="A1329" s="980"/>
    </row>
    <row r="1330" spans="1:1" x14ac:dyDescent="0.35">
      <c r="A1330" s="980"/>
    </row>
    <row r="1331" spans="1:1" x14ac:dyDescent="0.35">
      <c r="A1331" s="980"/>
    </row>
    <row r="1332" spans="1:1" x14ac:dyDescent="0.35">
      <c r="A1332" s="980"/>
    </row>
    <row r="1333" spans="1:1" x14ac:dyDescent="0.35">
      <c r="A1333" s="980"/>
    </row>
    <row r="1334" spans="1:1" x14ac:dyDescent="0.35">
      <c r="A1334" s="980"/>
    </row>
    <row r="1335" spans="1:1" x14ac:dyDescent="0.35">
      <c r="A1335" s="980"/>
    </row>
    <row r="1336" spans="1:1" x14ac:dyDescent="0.35">
      <c r="A1336" s="980"/>
    </row>
    <row r="1337" spans="1:1" x14ac:dyDescent="0.35">
      <c r="A1337" s="980"/>
    </row>
    <row r="1338" spans="1:1" x14ac:dyDescent="0.35">
      <c r="A1338" s="980"/>
    </row>
    <row r="1339" spans="1:1" x14ac:dyDescent="0.35">
      <c r="A1339" s="980"/>
    </row>
    <row r="1340" spans="1:1" x14ac:dyDescent="0.35">
      <c r="A1340" s="980"/>
    </row>
    <row r="1341" spans="1:1" x14ac:dyDescent="0.35">
      <c r="A1341" s="980"/>
    </row>
    <row r="1342" spans="1:1" x14ac:dyDescent="0.35">
      <c r="A1342" s="980"/>
    </row>
    <row r="1343" spans="1:1" x14ac:dyDescent="0.35">
      <c r="A1343" s="980"/>
    </row>
    <row r="1344" spans="1:1" x14ac:dyDescent="0.35">
      <c r="A1344" s="980"/>
    </row>
    <row r="1345" spans="1:1" x14ac:dyDescent="0.35">
      <c r="A1345" s="980"/>
    </row>
    <row r="1346" spans="1:1" x14ac:dyDescent="0.35">
      <c r="A1346" s="980"/>
    </row>
    <row r="1347" spans="1:1" x14ac:dyDescent="0.35">
      <c r="A1347" s="980"/>
    </row>
    <row r="1348" spans="1:1" x14ac:dyDescent="0.35">
      <c r="A1348" s="980"/>
    </row>
    <row r="1349" spans="1:1" x14ac:dyDescent="0.35">
      <c r="A1349" s="980"/>
    </row>
    <row r="1350" spans="1:1" x14ac:dyDescent="0.35">
      <c r="A1350" s="980"/>
    </row>
    <row r="1351" spans="1:1" x14ac:dyDescent="0.35">
      <c r="A1351" s="980"/>
    </row>
    <row r="1352" spans="1:1" x14ac:dyDescent="0.35">
      <c r="A1352" s="980"/>
    </row>
    <row r="1353" spans="1:1" x14ac:dyDescent="0.35">
      <c r="A1353" s="980"/>
    </row>
    <row r="1354" spans="1:1" x14ac:dyDescent="0.35">
      <c r="A1354" s="980"/>
    </row>
    <row r="1355" spans="1:1" x14ac:dyDescent="0.35">
      <c r="A1355" s="980"/>
    </row>
    <row r="1356" spans="1:1" x14ac:dyDescent="0.35">
      <c r="A1356" s="980"/>
    </row>
    <row r="1357" spans="1:1" x14ac:dyDescent="0.35">
      <c r="A1357" s="980"/>
    </row>
    <row r="1358" spans="1:1" x14ac:dyDescent="0.35">
      <c r="A1358" s="980"/>
    </row>
    <row r="1359" spans="1:1" x14ac:dyDescent="0.35">
      <c r="A1359" s="980"/>
    </row>
    <row r="1360" spans="1:1" x14ac:dyDescent="0.35">
      <c r="A1360" s="980"/>
    </row>
    <row r="1361" spans="1:1" x14ac:dyDescent="0.35">
      <c r="A1361" s="980"/>
    </row>
    <row r="1362" spans="1:1" x14ac:dyDescent="0.35">
      <c r="A1362" s="980"/>
    </row>
    <row r="1363" spans="1:1" x14ac:dyDescent="0.35">
      <c r="A1363" s="980"/>
    </row>
    <row r="1364" spans="1:1" x14ac:dyDescent="0.35">
      <c r="A1364" s="980"/>
    </row>
    <row r="1365" spans="1:1" x14ac:dyDescent="0.35">
      <c r="A1365" s="980"/>
    </row>
    <row r="1366" spans="1:1" x14ac:dyDescent="0.35">
      <c r="A1366" s="980"/>
    </row>
    <row r="1367" spans="1:1" x14ac:dyDescent="0.35">
      <c r="A1367" s="980"/>
    </row>
    <row r="1368" spans="1:1" x14ac:dyDescent="0.35">
      <c r="A1368" s="980"/>
    </row>
    <row r="1369" spans="1:1" x14ac:dyDescent="0.35">
      <c r="A1369" s="980"/>
    </row>
    <row r="1370" spans="1:1" x14ac:dyDescent="0.35">
      <c r="A1370" s="980"/>
    </row>
    <row r="1371" spans="1:1" x14ac:dyDescent="0.35">
      <c r="A1371" s="980"/>
    </row>
    <row r="1372" spans="1:1" x14ac:dyDescent="0.35">
      <c r="A1372" s="980"/>
    </row>
    <row r="1373" spans="1:1" x14ac:dyDescent="0.35">
      <c r="A1373" s="980"/>
    </row>
    <row r="1374" spans="1:1" x14ac:dyDescent="0.35">
      <c r="A1374" s="980"/>
    </row>
    <row r="1375" spans="1:1" x14ac:dyDescent="0.35">
      <c r="A1375" s="980"/>
    </row>
    <row r="1376" spans="1:1" x14ac:dyDescent="0.35">
      <c r="A1376" s="980"/>
    </row>
  </sheetData>
  <sortState xmlns:xlrd2="http://schemas.microsoft.com/office/spreadsheetml/2017/richdata2" ref="A2:H1381">
    <sortCondition descending="1" ref="G1:G1381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85F1-CA44-4667-9F79-1ABB22438C3A}">
  <dimension ref="A1:I23"/>
  <sheetViews>
    <sheetView workbookViewId="0">
      <selection activeCell="H27" sqref="H27"/>
    </sheetView>
  </sheetViews>
  <sheetFormatPr baseColWidth="10" defaultRowHeight="14.5" x14ac:dyDescent="0.35"/>
  <sheetData>
    <row r="1" spans="1:9" x14ac:dyDescent="0.35">
      <c r="A1" s="133" t="s">
        <v>1409</v>
      </c>
      <c r="B1" s="840" t="s">
        <v>23</v>
      </c>
      <c r="C1" s="840">
        <v>2020</v>
      </c>
      <c r="D1" s="840">
        <v>2025</v>
      </c>
      <c r="E1" s="840">
        <v>2030</v>
      </c>
      <c r="F1" s="840">
        <v>2035</v>
      </c>
      <c r="G1" s="840">
        <v>2040</v>
      </c>
      <c r="H1" s="840">
        <v>2045</v>
      </c>
      <c r="I1" s="840">
        <v>2050</v>
      </c>
    </row>
    <row r="2" spans="1:9" x14ac:dyDescent="0.35">
      <c r="A2" t="s">
        <v>4226</v>
      </c>
      <c r="B2" s="862">
        <v>2.9104189956322708</v>
      </c>
      <c r="C2" s="862">
        <v>953035.98183194827</v>
      </c>
      <c r="D2" s="862">
        <v>1143498.1656659311</v>
      </c>
      <c r="E2" s="862">
        <v>1239269.0464328851</v>
      </c>
      <c r="F2" s="862">
        <v>1074196.7146665221</v>
      </c>
      <c r="G2" s="862">
        <v>777428.0435707533</v>
      </c>
      <c r="H2" s="862">
        <v>352579.45320285967</v>
      </c>
      <c r="I2" s="862">
        <v>1.304611892660229</v>
      </c>
    </row>
    <row r="3" spans="1:9" x14ac:dyDescent="0.35">
      <c r="A3" t="s">
        <v>4227</v>
      </c>
      <c r="B3">
        <v>2.5600000000000001E-2</v>
      </c>
      <c r="C3">
        <v>1.9400000000000001E-2</v>
      </c>
      <c r="D3">
        <f>(C3+E3)/2</f>
        <v>2.2100000000000002E-2</v>
      </c>
      <c r="E3">
        <v>2.4799999999999999E-2</v>
      </c>
      <c r="F3" s="862">
        <f>(E3+G3)/2</f>
        <v>2.5700000000000001E-2</v>
      </c>
      <c r="G3">
        <v>2.6599999999999999E-2</v>
      </c>
      <c r="H3" s="862">
        <f>(G3+I3)/2</f>
        <v>2.6099999999999998E-2</v>
      </c>
      <c r="I3">
        <v>2.5600000000000001E-2</v>
      </c>
    </row>
    <row r="4" spans="1:9" x14ac:dyDescent="0.35">
      <c r="A4" t="s">
        <v>4228</v>
      </c>
      <c r="B4">
        <f>B2*B3</f>
        <v>7.4506726288186137E-2</v>
      </c>
      <c r="C4" s="862">
        <f t="shared" ref="C4:I4" si="0">C2*C3</f>
        <v>18488.898047539798</v>
      </c>
      <c r="D4" s="862">
        <f t="shared" si="0"/>
        <v>25271.309461217079</v>
      </c>
      <c r="E4" s="862">
        <f t="shared" si="0"/>
        <v>30733.872351535549</v>
      </c>
      <c r="F4" s="862">
        <f t="shared" si="0"/>
        <v>27606.855566929618</v>
      </c>
      <c r="G4" s="862">
        <f t="shared" si="0"/>
        <v>20679.585958982036</v>
      </c>
      <c r="H4" s="862">
        <f t="shared" si="0"/>
        <v>9202.3237285946361</v>
      </c>
      <c r="I4" s="862">
        <f t="shared" si="0"/>
        <v>3.3398064452101868E-2</v>
      </c>
    </row>
    <row r="5" spans="1:9" x14ac:dyDescent="0.35">
      <c r="A5" t="s">
        <v>4229</v>
      </c>
      <c r="B5" s="862">
        <v>7.4506726288186151E-2</v>
      </c>
      <c r="C5" s="862">
        <v>18488.898047539798</v>
      </c>
      <c r="D5" s="862">
        <v>25271.309461217079</v>
      </c>
      <c r="E5" s="862">
        <v>30733.872351535549</v>
      </c>
      <c r="F5" s="862">
        <v>27606.855566929618</v>
      </c>
      <c r="G5" s="862">
        <v>20679.585958982039</v>
      </c>
      <c r="H5" s="862">
        <v>9202.3237285946379</v>
      </c>
      <c r="I5" s="862">
        <v>3.3398064452101868E-2</v>
      </c>
    </row>
    <row r="7" spans="1:9" x14ac:dyDescent="0.35">
      <c r="A7" s="133" t="s">
        <v>4230</v>
      </c>
    </row>
    <row r="8" spans="1:9" x14ac:dyDescent="0.35">
      <c r="A8" t="s">
        <v>4226</v>
      </c>
      <c r="B8" s="862">
        <v>336.28725386719049</v>
      </c>
      <c r="C8" s="862">
        <v>200916.61607398989</v>
      </c>
      <c r="D8" s="862">
        <v>157253.01068181431</v>
      </c>
      <c r="E8" s="862">
        <v>68061.071649070233</v>
      </c>
      <c r="F8" s="862">
        <v>8295.1975263048298</v>
      </c>
      <c r="G8" s="862">
        <v>7707.3175246808651</v>
      </c>
      <c r="H8" s="862">
        <v>8413.4116333074635</v>
      </c>
      <c r="I8" s="862">
        <v>1970.735964948638</v>
      </c>
    </row>
    <row r="9" spans="1:9" x14ac:dyDescent="0.35">
      <c r="A9" t="s">
        <v>4227</v>
      </c>
      <c r="B9">
        <v>3.5999999999999997E-2</v>
      </c>
      <c r="C9">
        <v>4.6800000000000001E-2</v>
      </c>
      <c r="D9" s="862">
        <f>(C9+E9)/2</f>
        <v>5.04E-2</v>
      </c>
      <c r="E9">
        <v>5.3999999999999999E-2</v>
      </c>
      <c r="F9" s="862">
        <f>(E9+G9)/2</f>
        <v>5.04E-2</v>
      </c>
      <c r="G9">
        <v>4.6800000000000001E-2</v>
      </c>
      <c r="H9" s="862">
        <f>(G9+I9)/2</f>
        <v>4.1399999999999999E-2</v>
      </c>
      <c r="I9">
        <v>3.5999999999999997E-2</v>
      </c>
    </row>
    <row r="10" spans="1:9" x14ac:dyDescent="0.35">
      <c r="A10" t="s">
        <v>4228</v>
      </c>
      <c r="B10">
        <f>B8*B9</f>
        <v>12.106341139218857</v>
      </c>
      <c r="C10" s="862">
        <f t="shared" ref="C10:I10" si="1">C8*C9</f>
        <v>9402.8976322627277</v>
      </c>
      <c r="D10" s="862">
        <f t="shared" si="1"/>
        <v>7925.5517383634415</v>
      </c>
      <c r="E10" s="862">
        <f t="shared" si="1"/>
        <v>3675.2978690497926</v>
      </c>
      <c r="F10" s="862">
        <f t="shared" si="1"/>
        <v>418.07795532576341</v>
      </c>
      <c r="G10" s="862">
        <f t="shared" si="1"/>
        <v>360.7024601550645</v>
      </c>
      <c r="H10" s="862">
        <f t="shared" si="1"/>
        <v>348.31524161892901</v>
      </c>
      <c r="I10" s="862">
        <f t="shared" si="1"/>
        <v>70.94649473815096</v>
      </c>
    </row>
    <row r="11" spans="1:9" x14ac:dyDescent="0.35">
      <c r="A11" t="s">
        <v>4229</v>
      </c>
      <c r="B11" s="862">
        <v>12.106341139218859</v>
      </c>
      <c r="C11" s="862">
        <v>9402.8976322627277</v>
      </c>
      <c r="D11" s="862">
        <v>7925.5517383634397</v>
      </c>
      <c r="E11" s="862">
        <v>3675.297869049793</v>
      </c>
      <c r="F11" s="862">
        <v>418.07795532576341</v>
      </c>
      <c r="G11" s="862">
        <v>360.7024601550645</v>
      </c>
      <c r="H11" s="862">
        <v>348.31524161892901</v>
      </c>
      <c r="I11" s="862">
        <v>70.946494738150946</v>
      </c>
    </row>
    <row r="13" spans="1:9" x14ac:dyDescent="0.35">
      <c r="A13" s="133" t="s">
        <v>4231</v>
      </c>
    </row>
    <row r="14" spans="1:9" x14ac:dyDescent="0.35">
      <c r="A14" t="s">
        <v>4226</v>
      </c>
      <c r="B14" s="862">
        <v>0.45943944377620072</v>
      </c>
      <c r="C14" s="862">
        <v>5.9090261663960919E-4</v>
      </c>
      <c r="D14" s="862">
        <v>4.4467836317759038E-2</v>
      </c>
      <c r="E14" s="862">
        <v>0.28973994435512429</v>
      </c>
      <c r="F14" s="862">
        <v>0.58348884071397589</v>
      </c>
      <c r="G14" s="862">
        <v>0.28767841049943571</v>
      </c>
      <c r="H14" s="862">
        <v>0.24232666247238879</v>
      </c>
      <c r="I14" s="862">
        <v>0.58448129024497208</v>
      </c>
    </row>
    <row r="15" spans="1:9" x14ac:dyDescent="0.35">
      <c r="A15" t="s">
        <v>4227</v>
      </c>
      <c r="B15" s="872">
        <v>0.152</v>
      </c>
      <c r="C15" s="872">
        <v>0.29199999999999998</v>
      </c>
      <c r="D15" s="862">
        <f>(C15+E15)/2</f>
        <v>0.25650000000000001</v>
      </c>
      <c r="E15" s="872">
        <v>0.221</v>
      </c>
      <c r="F15" s="862">
        <f>(E15+G15)/2</f>
        <v>0.20200000000000001</v>
      </c>
      <c r="G15" s="872">
        <v>0.183</v>
      </c>
      <c r="H15" s="862">
        <f>(G15+I15)/2</f>
        <v>0.16749999999999998</v>
      </c>
      <c r="I15" s="872">
        <v>0.152</v>
      </c>
    </row>
    <row r="16" spans="1:9" x14ac:dyDescent="0.35">
      <c r="A16" t="s">
        <v>4228</v>
      </c>
      <c r="B16">
        <f>B14*B15</f>
        <v>6.9834795453982509E-2</v>
      </c>
      <c r="C16" s="862">
        <f t="shared" ref="C16:I16" si="2">C14*C15</f>
        <v>1.7254356405876589E-4</v>
      </c>
      <c r="D16" s="862">
        <f t="shared" si="2"/>
        <v>1.1406000015505194E-2</v>
      </c>
      <c r="E16" s="862">
        <f t="shared" si="2"/>
        <v>6.4032527702482467E-2</v>
      </c>
      <c r="F16" s="862">
        <f t="shared" si="2"/>
        <v>0.11786474582422314</v>
      </c>
      <c r="G16" s="862">
        <f t="shared" si="2"/>
        <v>5.2645149121396735E-2</v>
      </c>
      <c r="H16" s="862">
        <f t="shared" si="2"/>
        <v>4.0589715964125118E-2</v>
      </c>
      <c r="I16" s="862">
        <f t="shared" si="2"/>
        <v>8.8841156117235753E-2</v>
      </c>
    </row>
    <row r="17" spans="1:9" x14ac:dyDescent="0.35">
      <c r="A17" t="s">
        <v>4229</v>
      </c>
      <c r="B17" s="862">
        <v>6.9834795453982496E-2</v>
      </c>
      <c r="C17" s="862">
        <v>1.7254356405876591E-4</v>
      </c>
      <c r="D17" s="862">
        <v>1.1406000015505201E-2</v>
      </c>
      <c r="E17" s="862">
        <v>6.4032527702482481E-2</v>
      </c>
      <c r="F17" s="862">
        <v>0.1178647458242231</v>
      </c>
      <c r="G17" s="862">
        <v>5.2645149121396721E-2</v>
      </c>
      <c r="H17" s="862">
        <v>4.0589715964125132E-2</v>
      </c>
      <c r="I17" s="862">
        <v>8.8841156117235753E-2</v>
      </c>
    </row>
    <row r="19" spans="1:9" x14ac:dyDescent="0.35">
      <c r="A19" s="133" t="s">
        <v>4222</v>
      </c>
    </row>
    <row r="20" spans="1:9" x14ac:dyDescent="0.35">
      <c r="A20" t="s">
        <v>4226</v>
      </c>
      <c r="B20" s="862">
        <v>66660.092082789357</v>
      </c>
      <c r="C20" s="862">
        <v>0</v>
      </c>
      <c r="D20" s="862">
        <v>1516.7944883046939</v>
      </c>
      <c r="E20" s="862">
        <v>4375.3175860747306</v>
      </c>
      <c r="F20" s="862">
        <v>11740.191810645991</v>
      </c>
      <c r="G20" s="862">
        <v>26701.391165443671</v>
      </c>
      <c r="H20" s="862">
        <v>46372.45179863229</v>
      </c>
      <c r="I20" s="862">
        <v>85215.904965874142</v>
      </c>
    </row>
    <row r="21" spans="1:9" x14ac:dyDescent="0.35">
      <c r="A21" t="s">
        <v>4227</v>
      </c>
      <c r="B21" s="116">
        <v>6.3E-2</v>
      </c>
      <c r="C21" s="873">
        <v>9.2100000000000001E-2</v>
      </c>
      <c r="D21" s="862">
        <f>(C21+E21)/2</f>
        <v>9.2100000000000001E-2</v>
      </c>
      <c r="E21" s="873">
        <v>9.2100000000000001E-2</v>
      </c>
      <c r="F21" s="862">
        <f>(E21+G21)/2</f>
        <v>8.3999999999999991E-2</v>
      </c>
      <c r="G21" s="873">
        <v>7.5899999999999995E-2</v>
      </c>
      <c r="H21" s="862">
        <f>(G21+I21)/2</f>
        <v>6.9449999999999998E-2</v>
      </c>
      <c r="I21" s="116">
        <v>6.3E-2</v>
      </c>
    </row>
    <row r="22" spans="1:9" x14ac:dyDescent="0.35">
      <c r="A22" t="s">
        <v>4228</v>
      </c>
      <c r="B22" s="874">
        <f>B20*B21</f>
        <v>4199.5858012157296</v>
      </c>
      <c r="C22" s="874">
        <f t="shared" ref="C22:I22" si="3">C20*C21</f>
        <v>0</v>
      </c>
      <c r="D22" s="874">
        <f t="shared" si="3"/>
        <v>139.69677237286231</v>
      </c>
      <c r="E22" s="874">
        <f t="shared" si="3"/>
        <v>402.96674967748271</v>
      </c>
      <c r="F22" s="874">
        <f t="shared" si="3"/>
        <v>986.17611209426309</v>
      </c>
      <c r="G22" s="874">
        <f t="shared" si="3"/>
        <v>2026.6355894571745</v>
      </c>
      <c r="H22" s="874">
        <f t="shared" si="3"/>
        <v>3220.5667774150124</v>
      </c>
      <c r="I22" s="874">
        <f t="shared" si="3"/>
        <v>5368.6020128500713</v>
      </c>
    </row>
    <row r="23" spans="1:9" x14ac:dyDescent="0.35">
      <c r="A23" t="s">
        <v>4229</v>
      </c>
      <c r="B23" s="874">
        <v>4199.5858012157296</v>
      </c>
      <c r="C23" s="874">
        <v>0</v>
      </c>
      <c r="D23" s="874">
        <v>139.69677237286231</v>
      </c>
      <c r="E23" s="874">
        <v>402.96674967748282</v>
      </c>
      <c r="F23" s="874">
        <v>1021.616184541468</v>
      </c>
      <c r="G23" s="874">
        <v>2216.8266967896388</v>
      </c>
      <c r="H23" s="874">
        <v>3825.3532873123122</v>
      </c>
      <c r="I23" s="874">
        <v>6673.9016405806051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V40"/>
  <sheetViews>
    <sheetView zoomScale="70" zoomScaleNormal="70" workbookViewId="0">
      <selection activeCell="C16" sqref="C16"/>
    </sheetView>
  </sheetViews>
  <sheetFormatPr baseColWidth="10" defaultColWidth="11.453125" defaultRowHeight="14.5" x14ac:dyDescent="0.35"/>
  <cols>
    <col min="3" max="3" width="18.81640625" bestFit="1" customWidth="1"/>
    <col min="6" max="6" width="23.54296875" bestFit="1" customWidth="1"/>
    <col min="9" max="9" width="23.1796875" bestFit="1" customWidth="1"/>
    <col min="12" max="12" width="14.81640625" bestFit="1" customWidth="1"/>
    <col min="14" max="14" width="13.453125" bestFit="1" customWidth="1"/>
    <col min="18" max="18" width="21.81640625" bestFit="1" customWidth="1"/>
  </cols>
  <sheetData>
    <row r="1" spans="3:22" x14ac:dyDescent="0.35">
      <c r="N1" s="64"/>
      <c r="O1" s="64"/>
      <c r="P1" s="64"/>
    </row>
    <row r="2" spans="3:22" x14ac:dyDescent="0.35">
      <c r="C2" s="82" t="s">
        <v>1525</v>
      </c>
      <c r="F2" s="82" t="s">
        <v>1529</v>
      </c>
      <c r="I2" s="82" t="s">
        <v>1526</v>
      </c>
      <c r="L2" s="133" t="s">
        <v>1533</v>
      </c>
      <c r="M2" s="133"/>
      <c r="N2" s="82"/>
      <c r="O2" s="82" t="s">
        <v>1576</v>
      </c>
      <c r="P2" s="82"/>
      <c r="Q2" s="82"/>
      <c r="R2" s="82" t="s">
        <v>1538</v>
      </c>
      <c r="S2" s="82"/>
      <c r="T2" s="82"/>
      <c r="U2" s="82" t="s">
        <v>1539</v>
      </c>
    </row>
    <row r="3" spans="3:22" x14ac:dyDescent="0.35">
      <c r="C3" t="s">
        <v>1522</v>
      </c>
      <c r="D3" s="107"/>
      <c r="F3" s="64" t="s">
        <v>1205</v>
      </c>
      <c r="G3" s="120"/>
      <c r="I3" t="s">
        <v>1468</v>
      </c>
      <c r="J3" s="109"/>
      <c r="L3" s="132" t="s">
        <v>1534</v>
      </c>
      <c r="M3" s="121"/>
      <c r="N3" s="64"/>
      <c r="O3" s="64" t="s">
        <v>1568</v>
      </c>
      <c r="P3" s="121"/>
      <c r="R3">
        <v>1</v>
      </c>
      <c r="S3" s="131"/>
      <c r="U3" t="s">
        <v>1540</v>
      </c>
      <c r="V3" s="113"/>
    </row>
    <row r="4" spans="3:22" x14ac:dyDescent="0.35">
      <c r="C4" t="s">
        <v>1342</v>
      </c>
      <c r="D4" s="109"/>
      <c r="F4" s="64" t="s">
        <v>1344</v>
      </c>
      <c r="G4" s="118"/>
      <c r="I4" t="s">
        <v>1528</v>
      </c>
      <c r="J4" s="121"/>
      <c r="L4" s="132" t="s">
        <v>1535</v>
      </c>
      <c r="M4" s="114"/>
      <c r="N4" s="64"/>
      <c r="O4" s="64" t="s">
        <v>1570</v>
      </c>
      <c r="P4" s="121"/>
      <c r="Q4" t="s">
        <v>1751</v>
      </c>
      <c r="R4">
        <v>2</v>
      </c>
      <c r="S4" s="115"/>
      <c r="U4" t="s">
        <v>1541</v>
      </c>
      <c r="V4" s="109"/>
    </row>
    <row r="5" spans="3:22" x14ac:dyDescent="0.35">
      <c r="C5" t="s">
        <v>1519</v>
      </c>
      <c r="D5" s="112"/>
      <c r="F5" s="64" t="s">
        <v>1502</v>
      </c>
      <c r="G5" s="124"/>
      <c r="I5" t="s">
        <v>1331</v>
      </c>
      <c r="J5" s="113"/>
      <c r="L5" s="132" t="s">
        <v>1536</v>
      </c>
      <c r="M5" s="108"/>
      <c r="N5" s="64"/>
      <c r="O5" s="64" t="s">
        <v>1569</v>
      </c>
      <c r="P5" s="114"/>
      <c r="R5">
        <v>3</v>
      </c>
      <c r="S5" s="114"/>
      <c r="U5" t="s">
        <v>1542</v>
      </c>
      <c r="V5" s="123"/>
    </row>
    <row r="6" spans="3:22" x14ac:dyDescent="0.35">
      <c r="C6" t="s">
        <v>1520</v>
      </c>
      <c r="D6" s="131"/>
      <c r="F6" s="64" t="s">
        <v>1530</v>
      </c>
      <c r="G6" s="131"/>
      <c r="I6" t="s">
        <v>1165</v>
      </c>
      <c r="J6" s="111"/>
      <c r="L6" s="64" t="s">
        <v>1750</v>
      </c>
      <c r="M6" s="113"/>
      <c r="N6" s="64" t="s">
        <v>1752</v>
      </c>
      <c r="O6" s="64" t="s">
        <v>1574</v>
      </c>
      <c r="P6" s="117"/>
      <c r="R6">
        <v>4</v>
      </c>
      <c r="S6" s="113"/>
    </row>
    <row r="7" spans="3:22" x14ac:dyDescent="0.35">
      <c r="C7" t="s">
        <v>1205</v>
      </c>
      <c r="D7" s="120"/>
      <c r="F7" s="64" t="s">
        <v>1531</v>
      </c>
      <c r="G7" s="117"/>
      <c r="I7" t="s">
        <v>1527</v>
      </c>
      <c r="J7" s="130"/>
      <c r="L7" s="132" t="s">
        <v>1747</v>
      </c>
      <c r="M7" s="111"/>
      <c r="N7" s="64"/>
      <c r="O7" s="64" t="s">
        <v>1571</v>
      </c>
      <c r="P7" s="131"/>
      <c r="R7">
        <v>5</v>
      </c>
      <c r="S7" s="124"/>
    </row>
    <row r="8" spans="3:22" x14ac:dyDescent="0.35">
      <c r="C8" t="s">
        <v>1521</v>
      </c>
      <c r="D8" s="117"/>
      <c r="F8" s="64" t="s">
        <v>1532</v>
      </c>
      <c r="G8" s="128"/>
      <c r="L8" s="64" t="s">
        <v>1746</v>
      </c>
      <c r="M8" s="131"/>
      <c r="N8" s="64"/>
      <c r="O8" s="64" t="s">
        <v>1572</v>
      </c>
      <c r="P8" s="131"/>
      <c r="Q8" t="s">
        <v>1751</v>
      </c>
      <c r="R8">
        <v>6</v>
      </c>
      <c r="S8" s="109"/>
    </row>
    <row r="9" spans="3:22" x14ac:dyDescent="0.35">
      <c r="C9" t="s">
        <v>1322</v>
      </c>
      <c r="D9" s="114"/>
      <c r="L9" s="64" t="s">
        <v>1484</v>
      </c>
      <c r="M9" s="107"/>
      <c r="N9" s="64"/>
      <c r="O9" s="64" t="s">
        <v>1317</v>
      </c>
      <c r="P9" s="109"/>
      <c r="R9">
        <v>7</v>
      </c>
      <c r="S9" s="121"/>
    </row>
    <row r="10" spans="3:22" x14ac:dyDescent="0.35">
      <c r="C10" t="s">
        <v>1321</v>
      </c>
      <c r="D10" s="118"/>
      <c r="E10" s="129"/>
      <c r="N10" s="64"/>
      <c r="O10" s="64" t="s">
        <v>1573</v>
      </c>
      <c r="P10" s="109"/>
      <c r="Q10" t="s">
        <v>1751</v>
      </c>
    </row>
    <row r="11" spans="3:22" x14ac:dyDescent="0.35">
      <c r="C11" t="s">
        <v>1324</v>
      </c>
      <c r="D11" s="113"/>
      <c r="N11" s="64"/>
      <c r="O11" t="s">
        <v>1575</v>
      </c>
      <c r="P11" s="112"/>
    </row>
    <row r="12" spans="3:22" x14ac:dyDescent="0.35">
      <c r="C12" t="s">
        <v>1323</v>
      </c>
      <c r="D12" s="121"/>
      <c r="N12" s="64"/>
      <c r="O12" s="64"/>
      <c r="P12" s="64"/>
    </row>
    <row r="13" spans="3:22" x14ac:dyDescent="0.35">
      <c r="C13" t="s">
        <v>1523</v>
      </c>
      <c r="D13" s="110"/>
      <c r="N13" s="64"/>
      <c r="O13" s="64"/>
      <c r="P13" s="64"/>
    </row>
    <row r="14" spans="3:22" x14ac:dyDescent="0.35">
      <c r="C14" t="s">
        <v>1524</v>
      </c>
      <c r="D14" s="122"/>
      <c r="N14" s="64"/>
    </row>
    <row r="15" spans="3:22" x14ac:dyDescent="0.35">
      <c r="C15" t="s">
        <v>1537</v>
      </c>
      <c r="D15" s="125"/>
      <c r="N15" s="64"/>
      <c r="O15" s="64"/>
      <c r="P15" s="64"/>
    </row>
    <row r="16" spans="3:22" x14ac:dyDescent="0.35">
      <c r="N16" s="64"/>
      <c r="O16" s="64"/>
      <c r="P16" s="64"/>
    </row>
    <row r="17" spans="3:19" x14ac:dyDescent="0.35">
      <c r="N17" s="64"/>
      <c r="O17" s="64"/>
      <c r="P17" s="64"/>
    </row>
    <row r="18" spans="3:19" x14ac:dyDescent="0.35">
      <c r="O18" s="64"/>
      <c r="P18" s="64"/>
    </row>
    <row r="19" spans="3:19" x14ac:dyDescent="0.35">
      <c r="C19" s="64"/>
      <c r="D19" s="64"/>
    </row>
    <row r="23" spans="3:19" x14ac:dyDescent="0.35">
      <c r="C23" s="82" t="s">
        <v>1543</v>
      </c>
      <c r="F23" s="82" t="s">
        <v>1554</v>
      </c>
      <c r="I23" s="82" t="s">
        <v>1558</v>
      </c>
      <c r="L23" s="82" t="s">
        <v>1559</v>
      </c>
      <c r="M23" s="82"/>
      <c r="N23" s="82"/>
      <c r="O23" s="82" t="s">
        <v>1562</v>
      </c>
      <c r="R23" s="82" t="s">
        <v>1567</v>
      </c>
    </row>
    <row r="24" spans="3:19" x14ac:dyDescent="0.35">
      <c r="C24" s="64" t="s">
        <v>1553</v>
      </c>
      <c r="D24" s="107"/>
      <c r="F24" t="s">
        <v>1555</v>
      </c>
      <c r="G24" s="113"/>
      <c r="I24" t="s">
        <v>1279</v>
      </c>
      <c r="J24" s="107"/>
      <c r="L24" t="s">
        <v>1345</v>
      </c>
      <c r="M24" s="123"/>
      <c r="O24" t="s">
        <v>1197</v>
      </c>
      <c r="P24" s="123"/>
      <c r="R24" t="s">
        <v>1247</v>
      </c>
      <c r="S24" s="116"/>
    </row>
    <row r="25" spans="3:19" x14ac:dyDescent="0.35">
      <c r="C25" s="64" t="s">
        <v>1546</v>
      </c>
      <c r="D25" s="109"/>
      <c r="F25" t="s">
        <v>1556</v>
      </c>
      <c r="G25" s="109"/>
      <c r="I25" t="s">
        <v>1280</v>
      </c>
      <c r="J25" s="109"/>
      <c r="L25" t="s">
        <v>1560</v>
      </c>
      <c r="M25" s="109"/>
      <c r="O25" t="s">
        <v>1198</v>
      </c>
      <c r="P25" s="113"/>
      <c r="R25" t="s">
        <v>1248</v>
      </c>
      <c r="S25" s="111"/>
    </row>
    <row r="26" spans="3:19" x14ac:dyDescent="0.35">
      <c r="C26" s="64" t="s">
        <v>1519</v>
      </c>
      <c r="D26" s="112"/>
      <c r="F26" t="s">
        <v>1557</v>
      </c>
      <c r="G26" s="123"/>
      <c r="I26" t="s">
        <v>1281</v>
      </c>
      <c r="J26" s="112"/>
      <c r="L26" t="s">
        <v>1561</v>
      </c>
      <c r="M26" s="117"/>
      <c r="O26" t="s">
        <v>1199</v>
      </c>
      <c r="P26" s="109"/>
      <c r="R26" t="s">
        <v>299</v>
      </c>
      <c r="S26" s="131"/>
    </row>
    <row r="27" spans="3:19" x14ac:dyDescent="0.35">
      <c r="C27" s="64" t="s">
        <v>1520</v>
      </c>
      <c r="D27" s="127"/>
      <c r="I27" t="s">
        <v>1282</v>
      </c>
      <c r="J27" s="127"/>
      <c r="O27" t="s">
        <v>1200</v>
      </c>
      <c r="P27" s="114"/>
      <c r="R27" t="s">
        <v>1249</v>
      </c>
      <c r="S27" s="124"/>
    </row>
    <row r="28" spans="3:19" x14ac:dyDescent="0.35">
      <c r="C28" s="64" t="s">
        <v>1552</v>
      </c>
      <c r="D28" s="131"/>
      <c r="I28" t="s">
        <v>1293</v>
      </c>
      <c r="J28" s="131"/>
      <c r="R28" t="s">
        <v>1250</v>
      </c>
      <c r="S28" s="113"/>
    </row>
    <row r="29" spans="3:19" x14ac:dyDescent="0.35">
      <c r="C29" s="64" t="s">
        <v>1548</v>
      </c>
      <c r="D29" s="115"/>
      <c r="I29" t="s">
        <v>1283</v>
      </c>
      <c r="J29" s="115"/>
      <c r="R29" t="s">
        <v>1252</v>
      </c>
      <c r="S29" s="107"/>
    </row>
    <row r="30" spans="3:19" x14ac:dyDescent="0.35">
      <c r="C30" s="64" t="s">
        <v>1521</v>
      </c>
      <c r="D30" s="117"/>
      <c r="I30" t="s">
        <v>1284</v>
      </c>
      <c r="J30" s="117"/>
      <c r="O30" s="82" t="s">
        <v>1563</v>
      </c>
      <c r="R30" t="s">
        <v>1251</v>
      </c>
      <c r="S30" s="109"/>
    </row>
    <row r="31" spans="3:19" x14ac:dyDescent="0.35">
      <c r="C31" s="64" t="s">
        <v>1524</v>
      </c>
      <c r="D31" s="122"/>
      <c r="I31" t="s">
        <v>1285</v>
      </c>
      <c r="J31" s="114"/>
      <c r="O31" t="s">
        <v>1564</v>
      </c>
      <c r="P31" s="123"/>
      <c r="R31" t="s">
        <v>1253</v>
      </c>
      <c r="S31" s="114"/>
    </row>
    <row r="32" spans="3:19" x14ac:dyDescent="0.35">
      <c r="C32" s="64" t="s">
        <v>1537</v>
      </c>
      <c r="D32" s="161"/>
      <c r="I32" t="s">
        <v>1286</v>
      </c>
      <c r="J32" s="120"/>
      <c r="O32" t="s">
        <v>1565</v>
      </c>
      <c r="P32" s="113"/>
      <c r="R32" t="s">
        <v>509</v>
      </c>
      <c r="S32" s="126"/>
    </row>
    <row r="33" spans="3:16" x14ac:dyDescent="0.35">
      <c r="C33" t="s">
        <v>1544</v>
      </c>
      <c r="D33" s="123"/>
      <c r="I33" t="s">
        <v>1287</v>
      </c>
      <c r="J33" s="123"/>
      <c r="O33" t="s">
        <v>1566</v>
      </c>
      <c r="P33" s="114"/>
    </row>
    <row r="34" spans="3:16" x14ac:dyDescent="0.35">
      <c r="C34" t="s">
        <v>1545</v>
      </c>
      <c r="D34" s="124"/>
      <c r="I34" t="s">
        <v>1292</v>
      </c>
      <c r="J34" s="124"/>
    </row>
    <row r="35" spans="3:16" x14ac:dyDescent="0.35">
      <c r="C35" t="s">
        <v>1547</v>
      </c>
      <c r="D35" s="113"/>
      <c r="I35" t="s">
        <v>1288</v>
      </c>
      <c r="J35" s="113"/>
    </row>
    <row r="36" spans="3:16" x14ac:dyDescent="0.35">
      <c r="C36" t="s">
        <v>1549</v>
      </c>
      <c r="D36" s="119"/>
      <c r="I36" t="s">
        <v>1289</v>
      </c>
      <c r="J36" s="122"/>
    </row>
    <row r="37" spans="3:16" x14ac:dyDescent="0.35">
      <c r="C37" t="s">
        <v>1550</v>
      </c>
      <c r="D37" s="112"/>
      <c r="J37" s="129"/>
    </row>
    <row r="38" spans="3:16" x14ac:dyDescent="0.35">
      <c r="C38" t="s">
        <v>1413</v>
      </c>
      <c r="D38" s="128"/>
    </row>
    <row r="39" spans="3:16" x14ac:dyDescent="0.35">
      <c r="C39" t="s">
        <v>1406</v>
      </c>
      <c r="D39" s="111"/>
    </row>
    <row r="40" spans="3:16" x14ac:dyDescent="0.35">
      <c r="C40" t="s">
        <v>1551</v>
      </c>
      <c r="D40" s="114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1"/>
  </sheetPr>
  <dimension ref="A1:AL58"/>
  <sheetViews>
    <sheetView zoomScale="60" zoomScaleNormal="60" workbookViewId="0">
      <selection activeCell="Q39" sqref="Q39"/>
    </sheetView>
  </sheetViews>
  <sheetFormatPr baseColWidth="10" defaultColWidth="11.453125" defaultRowHeight="14.5" x14ac:dyDescent="0.35"/>
  <cols>
    <col min="1" max="1" width="35.81640625" style="64" bestFit="1" customWidth="1"/>
    <col min="2" max="2" width="44.81640625" style="64" bestFit="1" customWidth="1"/>
    <col min="3" max="3" width="44.81640625" style="365" customWidth="1"/>
    <col min="4" max="4" width="16" style="64" bestFit="1" customWidth="1"/>
    <col min="5" max="9" width="13.54296875" style="64" bestFit="1" customWidth="1"/>
    <col min="10" max="11" width="12.54296875" style="64" bestFit="1" customWidth="1"/>
    <col min="12" max="13" width="11.453125" style="64"/>
    <col min="14" max="14" width="39.453125" style="64" customWidth="1"/>
    <col min="15" max="15" width="25.54296875" style="64" customWidth="1"/>
    <col min="16" max="23" width="11.453125" style="64"/>
    <col min="24" max="24" width="11.453125" style="190"/>
    <col min="25" max="25" width="11.453125" style="64"/>
    <col min="26" max="26" width="15.81640625" style="64" bestFit="1" customWidth="1"/>
    <col min="27" max="30" width="11.453125" style="64"/>
    <col min="31" max="31" width="12" style="64" bestFit="1" customWidth="1"/>
    <col min="32" max="16384" width="11.453125" style="64"/>
  </cols>
  <sheetData>
    <row r="1" spans="1:33" ht="15" thickBot="1" x14ac:dyDescent="0.4"/>
    <row r="2" spans="1:33" x14ac:dyDescent="0.35"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O2" s="82" t="s">
        <v>1209</v>
      </c>
      <c r="P2" s="89">
        <v>2</v>
      </c>
      <c r="Q2" s="89">
        <v>3</v>
      </c>
      <c r="R2" s="89">
        <v>4</v>
      </c>
      <c r="S2" s="89">
        <v>5</v>
      </c>
      <c r="T2" s="89">
        <v>6</v>
      </c>
      <c r="U2" s="89">
        <v>7</v>
      </c>
      <c r="V2" s="89">
        <v>8</v>
      </c>
      <c r="W2" s="89">
        <v>9</v>
      </c>
      <c r="Z2" s="82" t="s">
        <v>1337</v>
      </c>
    </row>
    <row r="3" spans="1:33" x14ac:dyDescent="0.35">
      <c r="A3" s="82" t="s">
        <v>1415</v>
      </c>
      <c r="B3" s="82" t="s">
        <v>1416</v>
      </c>
      <c r="C3" s="133"/>
      <c r="D3" s="82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954" t="s">
        <v>4474</v>
      </c>
      <c r="L3" s="64" t="s">
        <v>4411</v>
      </c>
      <c r="N3" s="64" t="s">
        <v>1415</v>
      </c>
      <c r="O3" s="64" t="s">
        <v>1416</v>
      </c>
      <c r="P3" s="133" t="s">
        <v>1417</v>
      </c>
      <c r="Q3" s="133">
        <v>2020</v>
      </c>
      <c r="R3" s="133">
        <v>2025</v>
      </c>
      <c r="S3" s="133">
        <v>2030</v>
      </c>
      <c r="T3" s="133">
        <v>2035</v>
      </c>
      <c r="U3" s="133">
        <v>2040</v>
      </c>
      <c r="V3" s="133">
        <v>2045</v>
      </c>
      <c r="W3" s="133">
        <v>2050</v>
      </c>
      <c r="AA3" s="365">
        <v>2020</v>
      </c>
      <c r="AB3" s="365">
        <v>2025</v>
      </c>
      <c r="AC3" s="365">
        <v>2030</v>
      </c>
      <c r="AD3" s="365">
        <v>2035</v>
      </c>
      <c r="AE3" s="365">
        <v>2040</v>
      </c>
      <c r="AF3" s="365">
        <v>2045</v>
      </c>
      <c r="AG3" s="365">
        <v>2050</v>
      </c>
    </row>
    <row r="4" spans="1:33" x14ac:dyDescent="0.35">
      <c r="A4" s="64" t="s">
        <v>653</v>
      </c>
      <c r="B4" s="92" t="s">
        <v>2264</v>
      </c>
      <c r="C4" s="365" t="s">
        <v>1342</v>
      </c>
      <c r="D4" s="163">
        <f>IFERROR(VLOOKUP($A4,flows!$A$2:$J$4985,D$2,FALSE),0)</f>
        <v>0</v>
      </c>
      <c r="E4" s="163">
        <f>IFERROR(VLOOKUP($A4,flows!$A$2:$J$4985,E$2,FALSE),0)</f>
        <v>0</v>
      </c>
      <c r="F4" s="163">
        <f>IFERROR(VLOOKUP($A4,flows!$A$2:$J$4985,F$2,FALSE),0)</f>
        <v>0</v>
      </c>
      <c r="G4" s="163">
        <f>IFERROR(VLOOKUP($A4,flows!$A$2:$J$4985,G$2,FALSE),0)</f>
        <v>0</v>
      </c>
      <c r="H4" s="163">
        <f>IFERROR(VLOOKUP($A4,flows!$A$2:$J$4985,H$2,FALSE),0)</f>
        <v>0</v>
      </c>
      <c r="I4" s="163">
        <f>IFERROR(VLOOKUP($A4,flows!$A$2:$J$4985,I$2,FALSE),0)</f>
        <v>0</v>
      </c>
      <c r="J4" s="163">
        <f>IFERROR(VLOOKUP($A4,flows!$A$2:$J$4985,J$2,FALSE),0)</f>
        <v>0</v>
      </c>
      <c r="K4" s="955">
        <v>4602.4859722529427</v>
      </c>
      <c r="L4" s="64">
        <v>4607.0491034394809</v>
      </c>
      <c r="N4" s="64" t="s">
        <v>1129</v>
      </c>
      <c r="O4" s="64" t="s">
        <v>1418</v>
      </c>
      <c r="P4" s="163">
        <f>IFERROR(VLOOKUP($N4,flows!$A$2:$J$4985,P$2,FALSE),0)</f>
        <v>0</v>
      </c>
      <c r="Q4" s="163">
        <f>IFERROR(VLOOKUP($N4,flows!$A$2:$J$4985,Q$2,FALSE),0)</f>
        <v>0</v>
      </c>
      <c r="R4" s="163">
        <f>IFERROR(VLOOKUP($N4,flows!$A$2:$J$4985,R$2,FALSE),0)</f>
        <v>0</v>
      </c>
      <c r="S4" s="163">
        <f>IFERROR(VLOOKUP($N4,flows!$A$2:$J$4985,S$2,FALSE),0)</f>
        <v>0</v>
      </c>
      <c r="T4" s="163">
        <f>IFERROR(VLOOKUP($N4,flows!$A$2:$J$4985,T$2,FALSE),0)</f>
        <v>0</v>
      </c>
      <c r="U4" s="163">
        <f>IFERROR(VLOOKUP($N4,flows!$A$2:$J$4985,U$2,FALSE),0)</f>
        <v>0</v>
      </c>
      <c r="V4" s="163">
        <f>IFERROR(VLOOKUP($N4,flows!$A$2:$J$4985,V$2,FALSE),0)</f>
        <v>0</v>
      </c>
      <c r="W4" s="163">
        <f>IFERROR(VLOOKUP($N4,flows!$A$2:$J$4985,W$2,FALSE),0)</f>
        <v>0</v>
      </c>
      <c r="X4" s="84"/>
      <c r="Y4" s="64" t="s">
        <v>1550</v>
      </c>
      <c r="Z4" s="64" t="s">
        <v>1407</v>
      </c>
      <c r="AA4" s="84">
        <f t="shared" ref="AA4:AF4" si="0">SUM(Q4:Q8)</f>
        <v>0</v>
      </c>
      <c r="AB4" s="84">
        <f t="shared" si="0"/>
        <v>0</v>
      </c>
      <c r="AC4" s="84">
        <f t="shared" si="0"/>
        <v>0</v>
      </c>
      <c r="AD4" s="84">
        <f t="shared" si="0"/>
        <v>0</v>
      </c>
      <c r="AE4" s="84">
        <f t="shared" si="0"/>
        <v>0</v>
      </c>
      <c r="AF4" s="84">
        <f t="shared" si="0"/>
        <v>0</v>
      </c>
      <c r="AG4" s="84">
        <f>SUM(W4:W8)</f>
        <v>0</v>
      </c>
    </row>
    <row r="5" spans="1:33" x14ac:dyDescent="0.35">
      <c r="A5" s="64" t="s">
        <v>901</v>
      </c>
      <c r="B5" s="92" t="s">
        <v>1310</v>
      </c>
      <c r="C5" s="365" t="s">
        <v>1343</v>
      </c>
      <c r="D5" s="163">
        <f>IFERROR(VLOOKUP($A5,flows!$A$2:$J$4985,D$2,FALSE),0)</f>
        <v>0</v>
      </c>
      <c r="E5" s="163">
        <f>IFERROR(VLOOKUP($A5,flows!$A$2:$J$4985,E$2,FALSE),0)</f>
        <v>0</v>
      </c>
      <c r="F5" s="163">
        <f>IFERROR(VLOOKUP($A5,flows!$A$2:$J$4985,F$2,FALSE),0)</f>
        <v>0</v>
      </c>
      <c r="G5" s="163">
        <f>IFERROR(VLOOKUP($A5,flows!$A$2:$J$4985,G$2,FALSE),0)</f>
        <v>0</v>
      </c>
      <c r="H5" s="163">
        <f>IFERROR(VLOOKUP($A5,flows!$A$2:$J$4985,H$2,FALSE),0)</f>
        <v>0</v>
      </c>
      <c r="I5" s="163">
        <f>IFERROR(VLOOKUP($A5,flows!$A$2:$J$4985,I$2,FALSE),0)</f>
        <v>0</v>
      </c>
      <c r="J5" s="163">
        <f>IFERROR(VLOOKUP($A5,flows!$A$2:$J$4985,J$2,FALSE),0)</f>
        <v>0</v>
      </c>
      <c r="K5" s="955">
        <v>0.10843133015339571</v>
      </c>
      <c r="L5" s="64">
        <v>1.185187967342497</v>
      </c>
      <c r="N5" s="64" t="s">
        <v>862</v>
      </c>
      <c r="O5" s="64" t="s">
        <v>1419</v>
      </c>
      <c r="P5" s="163">
        <f>IFERROR(VLOOKUP($N5,flows!$A$2:$J$4985,P$2,FALSE),0)</f>
        <v>0</v>
      </c>
      <c r="Q5" s="163">
        <f>IFERROR(VLOOKUP($N5,flows!$A$2:$J$4985,Q$2,FALSE),0)</f>
        <v>0</v>
      </c>
      <c r="R5" s="163">
        <f>IFERROR(VLOOKUP($N5,flows!$A$2:$J$4985,R$2,FALSE),0)</f>
        <v>0</v>
      </c>
      <c r="S5" s="163">
        <f>IFERROR(VLOOKUP($N5,flows!$A$2:$J$4985,S$2,FALSE),0)</f>
        <v>0</v>
      </c>
      <c r="T5" s="163">
        <f>IFERROR(VLOOKUP($N5,flows!$A$2:$J$4985,T$2,FALSE),0)</f>
        <v>0</v>
      </c>
      <c r="U5" s="163">
        <f>IFERROR(VLOOKUP($N5,flows!$A$2:$J$4985,U$2,FALSE),0)</f>
        <v>0</v>
      </c>
      <c r="V5" s="163">
        <f>IFERROR(VLOOKUP($N5,flows!$A$2:$J$4985,V$2,FALSE),0)</f>
        <v>0</v>
      </c>
      <c r="W5" s="163">
        <f>IFERROR(VLOOKUP($N5,flows!$A$2:$J$4985,W$2,FALSE),0)</f>
        <v>0</v>
      </c>
      <c r="X5" s="84"/>
      <c r="Y5" s="64" t="s">
        <v>1549</v>
      </c>
      <c r="Z5" s="64" t="s">
        <v>1420</v>
      </c>
      <c r="AA5" s="84">
        <f t="shared" ref="AA5:AG5" si="1">Q9</f>
        <v>0</v>
      </c>
      <c r="AB5" s="84">
        <f t="shared" si="1"/>
        <v>0</v>
      </c>
      <c r="AC5" s="84">
        <f t="shared" si="1"/>
        <v>0</v>
      </c>
      <c r="AD5" s="84">
        <f t="shared" si="1"/>
        <v>0</v>
      </c>
      <c r="AE5" s="84">
        <f t="shared" si="1"/>
        <v>0</v>
      </c>
      <c r="AF5" s="84">
        <f t="shared" si="1"/>
        <v>0</v>
      </c>
      <c r="AG5" s="84">
        <f t="shared" si="1"/>
        <v>0</v>
      </c>
    </row>
    <row r="6" spans="1:33" x14ac:dyDescent="0.35">
      <c r="A6" s="64" t="s">
        <v>1108</v>
      </c>
      <c r="B6" s="92" t="s">
        <v>2343</v>
      </c>
      <c r="C6" s="365" t="s">
        <v>1936</v>
      </c>
      <c r="D6" s="163">
        <f>IFERROR(VLOOKUP($A6,flows!$A$2:$J$4985,D$2,FALSE),0)</f>
        <v>0</v>
      </c>
      <c r="E6" s="163">
        <f>IFERROR(VLOOKUP($A6,flows!$A$2:$J$4985,E$2,FALSE),0)</f>
        <v>0</v>
      </c>
      <c r="F6" s="163">
        <f>IFERROR(VLOOKUP($A6,flows!$A$2:$J$4985,F$2,FALSE),0)</f>
        <v>0</v>
      </c>
      <c r="G6" s="163">
        <f>IFERROR(VLOOKUP($A6,flows!$A$2:$J$4985,G$2,FALSE),0)</f>
        <v>0</v>
      </c>
      <c r="H6" s="163">
        <f>IFERROR(VLOOKUP($A6,flows!$A$2:$J$4985,H$2,FALSE),0)</f>
        <v>0</v>
      </c>
      <c r="I6" s="163">
        <f>IFERROR(VLOOKUP($A6,flows!$A$2:$J$4985,I$2,FALSE),0)</f>
        <v>0</v>
      </c>
      <c r="J6" s="163">
        <f>IFERROR(VLOOKUP($A6,flows!$A$2:$J$4985,J$2,FALSE),0)</f>
        <v>0</v>
      </c>
      <c r="K6" s="955">
        <v>0</v>
      </c>
      <c r="L6" s="64">
        <v>0</v>
      </c>
      <c r="N6" s="64" t="s">
        <v>1121</v>
      </c>
      <c r="O6" s="64" t="s">
        <v>1422</v>
      </c>
      <c r="P6" s="163">
        <f>IFERROR(VLOOKUP($N6,flows!$A$2:$J$4985,P$2,FALSE),0)</f>
        <v>0</v>
      </c>
      <c r="Q6" s="163">
        <f>IFERROR(VLOOKUP($N6,flows!$A$2:$J$4985,Q$2,FALSE),0)</f>
        <v>0</v>
      </c>
      <c r="R6" s="163">
        <f>IFERROR(VLOOKUP($N6,flows!$A$2:$J$4985,R$2,FALSE),0)</f>
        <v>0</v>
      </c>
      <c r="S6" s="163">
        <f>IFERROR(VLOOKUP($N6,flows!$A$2:$J$4985,S$2,FALSE),0)</f>
        <v>0</v>
      </c>
      <c r="T6" s="163">
        <f>IFERROR(VLOOKUP($N6,flows!$A$2:$J$4985,T$2,FALSE),0)</f>
        <v>0</v>
      </c>
      <c r="U6" s="163">
        <f>IFERROR(VLOOKUP($N6,flows!$A$2:$J$4985,U$2,FALSE),0)</f>
        <v>0</v>
      </c>
      <c r="V6" s="163">
        <f>IFERROR(VLOOKUP($N6,flows!$A$2:$J$4985,V$2,FALSE),0)</f>
        <v>0</v>
      </c>
      <c r="W6" s="163">
        <f>IFERROR(VLOOKUP($N6,flows!$A$2:$J$4985,W$2,FALSE),0)</f>
        <v>0</v>
      </c>
      <c r="X6" s="84"/>
      <c r="Y6" s="64" t="s">
        <v>1413</v>
      </c>
      <c r="Z6" s="64" t="s">
        <v>1413</v>
      </c>
      <c r="AA6" s="84">
        <f t="shared" ref="AA6:AG6" si="2">SUM(Q11:Q13)</f>
        <v>0</v>
      </c>
      <c r="AB6" s="84">
        <f t="shared" si="2"/>
        <v>0</v>
      </c>
      <c r="AC6" s="84">
        <f t="shared" si="2"/>
        <v>0</v>
      </c>
      <c r="AD6" s="84">
        <f t="shared" si="2"/>
        <v>0</v>
      </c>
      <c r="AE6" s="84">
        <f t="shared" si="2"/>
        <v>0</v>
      </c>
      <c r="AF6" s="84">
        <f t="shared" si="2"/>
        <v>0</v>
      </c>
      <c r="AG6" s="84">
        <f t="shared" si="2"/>
        <v>0</v>
      </c>
    </row>
    <row r="7" spans="1:33" x14ac:dyDescent="0.35">
      <c r="A7" s="64" t="s">
        <v>621</v>
      </c>
      <c r="B7" s="92" t="s">
        <v>1167</v>
      </c>
      <c r="C7" s="365" t="s">
        <v>1340</v>
      </c>
      <c r="D7" s="163">
        <f>IFERROR(VLOOKUP($A7,flows!$A$2:$J$4985,D$2,FALSE),0)</f>
        <v>0</v>
      </c>
      <c r="E7" s="163">
        <f>IFERROR(VLOOKUP($A7,flows!$A$2:$J$4985,E$2,FALSE),0)</f>
        <v>0</v>
      </c>
      <c r="F7" s="163">
        <f>IFERROR(VLOOKUP($A7,flows!$A$2:$J$4985,F$2,FALSE),0)</f>
        <v>0</v>
      </c>
      <c r="G7" s="163">
        <f>IFERROR(VLOOKUP($A7,flows!$A$2:$J$4985,G$2,FALSE),0)</f>
        <v>0</v>
      </c>
      <c r="H7" s="163">
        <f>IFERROR(VLOOKUP($A7,flows!$A$2:$J$4985,H$2,FALSE),0)</f>
        <v>0</v>
      </c>
      <c r="I7" s="163">
        <f>IFERROR(VLOOKUP($A7,flows!$A$2:$J$4985,I$2,FALSE),0)</f>
        <v>0</v>
      </c>
      <c r="J7" s="163">
        <f>IFERROR(VLOOKUP($A7,flows!$A$2:$J$4985,J$2,FALSE),0)</f>
        <v>0</v>
      </c>
      <c r="K7" s="955">
        <v>7910.3063170435253</v>
      </c>
      <c r="L7" s="64">
        <v>38513.352421231597</v>
      </c>
      <c r="N7" s="64" t="s">
        <v>1697</v>
      </c>
      <c r="O7" s="64" t="s">
        <v>1423</v>
      </c>
      <c r="P7" s="163">
        <f>IFERROR(VLOOKUP($N7,flows!$A$2:$J$4985,P$2,FALSE),0)</f>
        <v>0</v>
      </c>
      <c r="Q7" s="163">
        <f>IFERROR(VLOOKUP($N7,flows!$A$2:$J$4985,Q$2,FALSE),0)</f>
        <v>0</v>
      </c>
      <c r="R7" s="163">
        <f>IFERROR(VLOOKUP($N7,flows!$A$2:$J$4985,R$2,FALSE),0)</f>
        <v>0</v>
      </c>
      <c r="S7" s="163">
        <f>IFERROR(VLOOKUP($N7,flows!$A$2:$J$4985,S$2,FALSE),0)</f>
        <v>0</v>
      </c>
      <c r="T7" s="163">
        <f>IFERROR(VLOOKUP($N7,flows!$A$2:$J$4985,T$2,FALSE),0)</f>
        <v>0</v>
      </c>
      <c r="U7" s="163">
        <f>IFERROR(VLOOKUP($N7,flows!$A$2:$J$4985,U$2,FALSE),0)</f>
        <v>0</v>
      </c>
      <c r="V7" s="163">
        <f>IFERROR(VLOOKUP($N7,flows!$A$2:$J$4985,V$2,FALSE),0)</f>
        <v>0</v>
      </c>
      <c r="W7" s="163">
        <f>IFERROR(VLOOKUP($N7,flows!$A$2:$J$4985,W$2,FALSE),0)</f>
        <v>0</v>
      </c>
      <c r="X7" s="84"/>
      <c r="Y7" s="64" t="s">
        <v>1943</v>
      </c>
      <c r="Z7" s="64" t="s">
        <v>1424</v>
      </c>
      <c r="AA7" s="84">
        <f t="shared" ref="AA7:AG8" si="3">Q14</f>
        <v>0</v>
      </c>
      <c r="AB7" s="84">
        <f t="shared" si="3"/>
        <v>0</v>
      </c>
      <c r="AC7" s="84">
        <f t="shared" si="3"/>
        <v>0</v>
      </c>
      <c r="AD7" s="84">
        <f t="shared" si="3"/>
        <v>0</v>
      </c>
      <c r="AE7" s="84">
        <f t="shared" si="3"/>
        <v>0</v>
      </c>
      <c r="AF7" s="84">
        <f t="shared" si="3"/>
        <v>0</v>
      </c>
      <c r="AG7" s="84">
        <f t="shared" si="3"/>
        <v>0</v>
      </c>
    </row>
    <row r="8" spans="1:33" x14ac:dyDescent="0.35">
      <c r="A8" s="862"/>
      <c r="B8" s="862" t="s">
        <v>1167</v>
      </c>
      <c r="C8" s="862" t="s">
        <v>4310</v>
      </c>
      <c r="D8" s="163">
        <f>D7-D9</f>
        <v>-17388.079454863378</v>
      </c>
      <c r="E8" s="163">
        <f t="shared" ref="E8:J8" si="4">E7-E9</f>
        <v>-19803.66776795328</v>
      </c>
      <c r="F8" s="163">
        <f t="shared" si="4"/>
        <v>-21568.72636301296</v>
      </c>
      <c r="G8" s="163">
        <f t="shared" si="4"/>
        <v>-41835.651712141582</v>
      </c>
      <c r="H8" s="163">
        <f t="shared" si="4"/>
        <v>-75323.983151658715</v>
      </c>
      <c r="I8" s="163">
        <f t="shared" si="4"/>
        <v>-128551.2845284192</v>
      </c>
      <c r="J8" s="163">
        <f t="shared" si="4"/>
        <v>-17160.268269532378</v>
      </c>
      <c r="K8" s="955">
        <v>-9.7898680878643063E-2</v>
      </c>
      <c r="L8" s="64">
        <v>0.6622072036479949</v>
      </c>
      <c r="N8" s="64" t="s">
        <v>1696</v>
      </c>
      <c r="O8" s="64" t="s">
        <v>1425</v>
      </c>
      <c r="P8" s="163">
        <f>IFERROR(VLOOKUP($N8,flows!$A$2:$J$4985,P$2,FALSE),0)</f>
        <v>0</v>
      </c>
      <c r="Q8" s="163">
        <f>IFERROR(VLOOKUP($N8,flows!$A$2:$J$4985,Q$2,FALSE),0)</f>
        <v>0</v>
      </c>
      <c r="R8" s="163">
        <f>IFERROR(VLOOKUP($N8,flows!$A$2:$J$4985,R$2,FALSE),0)</f>
        <v>0</v>
      </c>
      <c r="S8" s="163">
        <f>IFERROR(VLOOKUP($N8,flows!$A$2:$J$4985,S$2,FALSE),0)</f>
        <v>0</v>
      </c>
      <c r="T8" s="163">
        <f>IFERROR(VLOOKUP($N8,flows!$A$2:$J$4985,T$2,FALSE),0)</f>
        <v>0</v>
      </c>
      <c r="U8" s="163">
        <f>IFERROR(VLOOKUP($N8,flows!$A$2:$J$4985,U$2,FALSE),0)</f>
        <v>0</v>
      </c>
      <c r="V8" s="163">
        <f>IFERROR(VLOOKUP($N8,flows!$A$2:$J$4985,V$2,FALSE),0)</f>
        <v>0</v>
      </c>
      <c r="W8" s="163">
        <f>IFERROR(VLOOKUP($N8,flows!$A$2:$J$4985,W$2,FALSE),0)</f>
        <v>0</v>
      </c>
      <c r="X8" s="84"/>
      <c r="Y8" s="64" t="s">
        <v>1426</v>
      </c>
      <c r="Z8" s="64" t="s">
        <v>1426</v>
      </c>
      <c r="AA8" s="84">
        <f t="shared" si="3"/>
        <v>0</v>
      </c>
      <c r="AB8" s="84">
        <f t="shared" si="3"/>
        <v>0</v>
      </c>
      <c r="AC8" s="84">
        <f t="shared" si="3"/>
        <v>0</v>
      </c>
      <c r="AD8" s="84">
        <f t="shared" si="3"/>
        <v>0</v>
      </c>
      <c r="AE8" s="84">
        <f t="shared" si="3"/>
        <v>0</v>
      </c>
      <c r="AF8" s="84">
        <f t="shared" si="3"/>
        <v>0</v>
      </c>
      <c r="AG8" s="84">
        <f t="shared" si="3"/>
        <v>0</v>
      </c>
    </row>
    <row r="9" spans="1:33" x14ac:dyDescent="0.35">
      <c r="A9" s="862"/>
      <c r="B9" s="862" t="s">
        <v>4311</v>
      </c>
      <c r="C9" s="862" t="s">
        <v>4312</v>
      </c>
      <c r="D9" s="163">
        <f>Erdgas!F5</f>
        <v>17388.079454863378</v>
      </c>
      <c r="E9" s="163">
        <f>Erdgas!G5</f>
        <v>19803.66776795328</v>
      </c>
      <c r="F9" s="163">
        <f>Erdgas!H5</f>
        <v>21568.72636301296</v>
      </c>
      <c r="G9" s="163">
        <f>Erdgas!I5</f>
        <v>41835.651712141582</v>
      </c>
      <c r="H9" s="163">
        <f>Erdgas!J5</f>
        <v>75323.983151658715</v>
      </c>
      <c r="I9" s="163">
        <f>Erdgas!K5</f>
        <v>128551.2845284192</v>
      </c>
      <c r="J9" s="163">
        <f>Erdgas!L5</f>
        <v>17160.268269532378</v>
      </c>
      <c r="K9" s="955">
        <v>7910.4042157244039</v>
      </c>
      <c r="L9" s="64">
        <v>38512.690214027949</v>
      </c>
      <c r="N9" s="64" t="s">
        <v>1084</v>
      </c>
      <c r="O9" s="64" t="s">
        <v>1420</v>
      </c>
      <c r="P9" s="163">
        <f>IFERROR(VLOOKUP($N9,flows!$A$2:$J$4985,P$2,FALSE),0)</f>
        <v>0</v>
      </c>
      <c r="Q9" s="163">
        <f>IFERROR(VLOOKUP($N9,flows!$A$2:$J$4985,Q$2,FALSE),0)</f>
        <v>0</v>
      </c>
      <c r="R9" s="163">
        <f>IFERROR(VLOOKUP($N9,flows!$A$2:$J$4985,R$2,FALSE),0)</f>
        <v>0</v>
      </c>
      <c r="S9" s="163">
        <f>IFERROR(VLOOKUP($N9,flows!$A$2:$J$4985,S$2,FALSE),0)</f>
        <v>0</v>
      </c>
      <c r="T9" s="163">
        <f>IFERROR(VLOOKUP($N9,flows!$A$2:$J$4985,T$2,FALSE),0)</f>
        <v>0</v>
      </c>
      <c r="U9" s="163">
        <f>IFERROR(VLOOKUP($N9,flows!$A$2:$J$4985,U$2,FALSE),0)</f>
        <v>0</v>
      </c>
      <c r="V9" s="163">
        <f>IFERROR(VLOOKUP($N9,flows!$A$2:$J$4985,V$2,FALSE),0)</f>
        <v>0</v>
      </c>
      <c r="W9" s="163">
        <f>IFERROR(VLOOKUP($N9,flows!$A$2:$J$4985,W$2,FALSE),0)</f>
        <v>0</v>
      </c>
      <c r="X9" s="84"/>
      <c r="Y9" s="64" t="s">
        <v>1940</v>
      </c>
      <c r="Z9" s="64" t="s">
        <v>1428</v>
      </c>
      <c r="AA9" s="84">
        <f t="shared" ref="AA9:AG9" si="5">Q27</f>
        <v>0</v>
      </c>
      <c r="AB9" s="84">
        <f t="shared" si="5"/>
        <v>0</v>
      </c>
      <c r="AC9" s="84">
        <f t="shared" si="5"/>
        <v>0</v>
      </c>
      <c r="AD9" s="84">
        <f t="shared" si="5"/>
        <v>0</v>
      </c>
      <c r="AE9" s="84">
        <f t="shared" si="5"/>
        <v>0</v>
      </c>
      <c r="AF9" s="84">
        <f t="shared" si="5"/>
        <v>0</v>
      </c>
      <c r="AG9" s="84">
        <f t="shared" si="5"/>
        <v>0</v>
      </c>
    </row>
    <row r="10" spans="1:33" s="847" customFormat="1" x14ac:dyDescent="0.35">
      <c r="A10" s="64" t="s">
        <v>657</v>
      </c>
      <c r="B10" s="92" t="s">
        <v>2326</v>
      </c>
      <c r="C10" s="365" t="s">
        <v>1884</v>
      </c>
      <c r="D10" s="163">
        <f>IFERROR(VLOOKUP($A10,flows!$A$2:$J$4985,D$2,FALSE),0)-'Chemische Industrie'!CK37</f>
        <v>0</v>
      </c>
      <c r="E10" s="163">
        <f>IFERROR(VLOOKUP($A10,flows!$A$2:$J$4985,E$2,FALSE),0)+97000-'Chemische Industrie'!CL37</f>
        <v>97000</v>
      </c>
      <c r="F10" s="163">
        <f>IFERROR(VLOOKUP($A10,flows!$A$2:$J$4985,F$2,FALSE),0)+97000-'Chemische Industrie'!CM37</f>
        <v>97000</v>
      </c>
      <c r="G10" s="910">
        <f>IFERROR(VLOOKUP($A10,flows!$A$2:$J$4985,G$2,FALSE),0)+(97000/15)*(15-(G3-$G$3))-'Chemische Industrie'!CN37</f>
        <v>97000</v>
      </c>
      <c r="H10" s="910">
        <f>IFERROR(VLOOKUP($A10,flows!$A$2:$J$4985,H$2,FALSE),0)+(97000/15)*(15-(H3-$G$3))-'Chemische Industrie'!CO37</f>
        <v>64666.666666666672</v>
      </c>
      <c r="I10" s="910">
        <f>IFERROR(VLOOKUP($A10,flows!$A$2:$J$4985,I$2,FALSE),0)+(97000/15)*(15-(I3-$G$3))-'Chemische Industrie'!CP37</f>
        <v>32333.333333333336</v>
      </c>
      <c r="J10" s="910">
        <f>IFERROR(VLOOKUP($A10,flows!$A$2:$J$4985,J$2,FALSE),0)+(97000/15)*(15-(J3-$G$3))-'Chemische Industrie'!CQ37</f>
        <v>0</v>
      </c>
      <c r="K10" s="955">
        <v>24253.310181165376</v>
      </c>
      <c r="L10" s="847">
        <v>77.39451022099216</v>
      </c>
      <c r="P10" s="163"/>
      <c r="Q10" s="163"/>
      <c r="R10" s="163"/>
      <c r="S10" s="163"/>
      <c r="T10" s="163"/>
      <c r="U10" s="163"/>
      <c r="V10" s="163"/>
      <c r="W10" s="163"/>
      <c r="X10" s="84"/>
      <c r="AA10" s="84"/>
      <c r="AB10" s="84"/>
      <c r="AC10" s="84"/>
      <c r="AD10" s="84"/>
      <c r="AE10" s="84"/>
      <c r="AF10" s="84"/>
      <c r="AG10" s="84"/>
    </row>
    <row r="11" spans="1:33" x14ac:dyDescent="0.35">
      <c r="A11" s="847" t="s">
        <v>3915</v>
      </c>
      <c r="B11" s="137" t="s">
        <v>2650</v>
      </c>
      <c r="C11" s="847" t="s">
        <v>2650</v>
      </c>
      <c r="D11" s="163">
        <f>IFERROR(VLOOKUP($A11,flows!$A$2:$J$4985,D$2,FALSE),0)*11.85</f>
        <v>0</v>
      </c>
      <c r="E11" s="163">
        <f>IFERROR(VLOOKUP($A11,flows!$A$2:$J$4985,E$2,FALSE),0)*11.85</f>
        <v>0</v>
      </c>
      <c r="F11" s="163">
        <f>IFERROR(VLOOKUP($A11,flows!$A$2:$J$4985,F$2,FALSE),0)*11.85</f>
        <v>0</v>
      </c>
      <c r="G11" s="163">
        <f>IFERROR(VLOOKUP($A11,flows!$A$2:$J$4985,G$2,FALSE),0)*11.85</f>
        <v>0</v>
      </c>
      <c r="H11" s="163">
        <f>IFERROR(VLOOKUP($A11,flows!$A$2:$J$4985,H$2,FALSE),0)*11.85</f>
        <v>0</v>
      </c>
      <c r="I11" s="163">
        <f>IFERROR(VLOOKUP($A11,flows!$A$2:$J$4985,I$2,FALSE),0)*11.85</f>
        <v>0</v>
      </c>
      <c r="J11" s="163">
        <f>IFERROR(VLOOKUP($A11,flows!$A$2:$J$4985,J$2,FALSE),0)*11.85</f>
        <v>0</v>
      </c>
      <c r="K11" s="955">
        <v>90528.950106942328</v>
      </c>
      <c r="L11" s="64">
        <v>90527.763041130689</v>
      </c>
      <c r="N11" s="64" t="s">
        <v>1051</v>
      </c>
      <c r="O11" s="64" t="s">
        <v>1430</v>
      </c>
      <c r="P11" s="163">
        <f>IFERROR(VLOOKUP($N11,flows!$A$2:$J$4985,P$2,FALSE),0)</f>
        <v>0</v>
      </c>
      <c r="Q11" s="163">
        <f>IFERROR(VLOOKUP($N11,flows!$A$2:$J$4985,Q$2,FALSE),0)</f>
        <v>0</v>
      </c>
      <c r="R11" s="163">
        <f>IFERROR(VLOOKUP($N11,flows!$A$2:$J$4985,R$2,FALSE),0)</f>
        <v>0</v>
      </c>
      <c r="S11" s="163">
        <f>IFERROR(VLOOKUP($N11,flows!$A$2:$J$4985,S$2,FALSE),0)</f>
        <v>0</v>
      </c>
      <c r="T11" s="163">
        <f>IFERROR(VLOOKUP($N11,flows!$A$2:$J$4985,T$2,FALSE),0)</f>
        <v>0</v>
      </c>
      <c r="U11" s="163">
        <f>IFERROR(VLOOKUP($N11,flows!$A$2:$J$4985,U$2,FALSE),0)</f>
        <v>0</v>
      </c>
      <c r="V11" s="163">
        <f>IFERROR(VLOOKUP($N11,flows!$A$2:$J$4985,V$2,FALSE),0)</f>
        <v>0</v>
      </c>
      <c r="W11" s="163">
        <f>IFERROR(VLOOKUP($N11,flows!$A$2:$J$4985,W$2,FALSE),0)</f>
        <v>0</v>
      </c>
      <c r="X11" s="84"/>
      <c r="Y11" s="64" t="s">
        <v>1941</v>
      </c>
      <c r="Z11" s="64" t="s">
        <v>1431</v>
      </c>
      <c r="AA11" s="84">
        <f t="shared" ref="AA11:AG11" si="6">Q32</f>
        <v>0</v>
      </c>
      <c r="AB11" s="84">
        <f t="shared" si="6"/>
        <v>0</v>
      </c>
      <c r="AC11" s="84">
        <f t="shared" si="6"/>
        <v>0</v>
      </c>
      <c r="AD11" s="84">
        <f t="shared" si="6"/>
        <v>0</v>
      </c>
      <c r="AE11" s="84">
        <f t="shared" si="6"/>
        <v>0</v>
      </c>
      <c r="AF11" s="84">
        <f t="shared" si="6"/>
        <v>0</v>
      </c>
      <c r="AG11" s="84">
        <f t="shared" si="6"/>
        <v>0</v>
      </c>
    </row>
    <row r="12" spans="1:33" x14ac:dyDescent="0.35">
      <c r="A12" s="854"/>
      <c r="B12" s="137" t="s">
        <v>4046</v>
      </c>
      <c r="C12" s="137" t="s">
        <v>4044</v>
      </c>
      <c r="D12" s="856">
        <f>'Chemische Industrie'!CW30+'Chemische Industrie'!E29</f>
        <v>0.15452616961618831</v>
      </c>
      <c r="E12" s="856">
        <f>'Chemische Industrie'!CX30+'Chemische Industrie'!F29</f>
        <v>96979.813257444417</v>
      </c>
      <c r="F12" s="856">
        <f>'Chemische Industrie'!CY30+'Chemische Industrie'!G29</f>
        <v>106775.5944363048</v>
      </c>
      <c r="G12" s="856">
        <f>'Chemische Industrie'!CZ30+'Chemische Industrie'!H29</f>
        <v>102124.94348134314</v>
      </c>
      <c r="H12" s="856">
        <f>'Chemische Industrie'!DA30+'Chemische Industrie'!I29</f>
        <v>89928.532407881445</v>
      </c>
      <c r="I12" s="856">
        <f>'Chemische Industrie'!DB30+'Chemische Industrie'!J29</f>
        <v>29875.565885802032</v>
      </c>
      <c r="J12" s="856">
        <f>'Chemische Industrie'!DC30+'Chemische Industrie'!K29</f>
        <v>7.1142786453392561E-4</v>
      </c>
      <c r="K12" s="956">
        <v>90531.049177980225</v>
      </c>
      <c r="L12" s="64">
        <v>90569.916657718408</v>
      </c>
      <c r="N12" s="64" t="s">
        <v>1433</v>
      </c>
      <c r="O12" s="64" t="s">
        <v>1434</v>
      </c>
      <c r="P12" s="163">
        <f>IFERROR(VLOOKUP($N12,flows!$A$2:$J$4985,P$2,FALSE),0)</f>
        <v>0</v>
      </c>
      <c r="Q12" s="163">
        <f>IFERROR(VLOOKUP($N12,flows!$A$2:$J$4985,Q$2,FALSE),0)</f>
        <v>0</v>
      </c>
      <c r="R12" s="163">
        <f>IFERROR(VLOOKUP($N12,flows!$A$2:$J$4985,R$2,FALSE),0)</f>
        <v>0</v>
      </c>
      <c r="S12" s="163">
        <f>IFERROR(VLOOKUP($N12,flows!$A$2:$J$4985,S$2,FALSE),0)</f>
        <v>0</v>
      </c>
      <c r="T12" s="163">
        <f>IFERROR(VLOOKUP($N12,flows!$A$2:$J$4985,T$2,FALSE),0)</f>
        <v>0</v>
      </c>
      <c r="U12" s="163">
        <f>IFERROR(VLOOKUP($N12,flows!$A$2:$J$4985,U$2,FALSE),0)</f>
        <v>0</v>
      </c>
      <c r="V12" s="163">
        <f>IFERROR(VLOOKUP($N12,flows!$A$2:$J$4985,V$2,FALSE),0)</f>
        <v>0</v>
      </c>
      <c r="W12" s="163">
        <f>IFERROR(VLOOKUP($N12,flows!$A$2:$J$4985,W$2,FALSE),0)</f>
        <v>0</v>
      </c>
      <c r="X12" s="84"/>
      <c r="Y12" s="64" t="s">
        <v>1944</v>
      </c>
      <c r="Z12" s="64" t="s">
        <v>1435</v>
      </c>
      <c r="AA12" s="84">
        <f t="shared" ref="AA12:AG12" si="7">Q44</f>
        <v>0</v>
      </c>
      <c r="AB12" s="84">
        <f t="shared" si="7"/>
        <v>0</v>
      </c>
      <c r="AC12" s="84">
        <f t="shared" si="7"/>
        <v>0</v>
      </c>
      <c r="AD12" s="84">
        <f t="shared" si="7"/>
        <v>0</v>
      </c>
      <c r="AE12" s="84">
        <f t="shared" si="7"/>
        <v>0</v>
      </c>
      <c r="AF12" s="84">
        <f t="shared" si="7"/>
        <v>0</v>
      </c>
      <c r="AG12" s="84">
        <f t="shared" si="7"/>
        <v>0</v>
      </c>
    </row>
    <row r="13" spans="1:33" x14ac:dyDescent="0.35">
      <c r="A13" s="854"/>
      <c r="B13" s="137"/>
      <c r="C13" s="862" t="s">
        <v>4314</v>
      </c>
      <c r="D13" s="856">
        <f>'Chemische Industrie'!CK31*'Chemische Industrie'!CK39</f>
        <v>1.2829227021963048E-2</v>
      </c>
      <c r="E13" s="856">
        <f>'Chemische Industrie'!CL31*'Chemische Industrie'!CL39</f>
        <v>9409.1835604451444</v>
      </c>
      <c r="F13" s="856">
        <f>'Chemische Industrie'!CM31*'Chemische Industrie'!CM39</f>
        <v>10488.62918820035</v>
      </c>
      <c r="G13" s="856">
        <f>'Chemische Industrie'!CN31*'Chemische Industrie'!CN39</f>
        <v>10831.429386587151</v>
      </c>
      <c r="H13" s="856">
        <f>'Chemische Industrie'!CO31*'Chemische Industrie'!CO39</f>
        <v>9537.8733013342207</v>
      </c>
      <c r="I13" s="856">
        <f>'Chemische Industrie'!CP31*'Chemische Industrie'!CP39</f>
        <v>3148.1921494716621</v>
      </c>
      <c r="J13" s="856">
        <f>'Chemische Industrie'!CQ31*'Chemische Industrie'!CQ39</f>
        <v>5.582000406129199E-5</v>
      </c>
      <c r="K13" s="956">
        <v>0.38924000035936929</v>
      </c>
      <c r="L13" s="64">
        <v>7.8360996408090084</v>
      </c>
      <c r="N13" s="64" t="s">
        <v>1698</v>
      </c>
      <c r="O13" s="64" t="s">
        <v>1437</v>
      </c>
      <c r="P13" s="163">
        <f>IFERROR(VLOOKUP($N13,flows!$A$2:$J$4985,P$2,FALSE),0)</f>
        <v>0</v>
      </c>
      <c r="Q13" s="163">
        <f>IFERROR(VLOOKUP($N13,flows!$A$2:$J$4985,Q$2,FALSE),0)</f>
        <v>0</v>
      </c>
      <c r="R13" s="163">
        <f>IFERROR(VLOOKUP($N13,flows!$A$2:$J$4985,R$2,FALSE),0)</f>
        <v>0</v>
      </c>
      <c r="S13" s="163">
        <f>IFERROR(VLOOKUP($N13,flows!$A$2:$J$4985,S$2,FALSE),0)</f>
        <v>0</v>
      </c>
      <c r="T13" s="163">
        <f>IFERROR(VLOOKUP($N13,flows!$A$2:$J$4985,T$2,FALSE),0)</f>
        <v>0</v>
      </c>
      <c r="U13" s="163">
        <f>IFERROR(VLOOKUP($N13,flows!$A$2:$J$4985,U$2,FALSE),0)</f>
        <v>0</v>
      </c>
      <c r="V13" s="163">
        <f>IFERROR(VLOOKUP($N13,flows!$A$2:$J$4985,V$2,FALSE),0)</f>
        <v>0</v>
      </c>
      <c r="W13" s="163">
        <f>IFERROR(VLOOKUP($N13,flows!$A$2:$J$4985,W$2,FALSE),0)</f>
        <v>0</v>
      </c>
      <c r="X13" s="84"/>
      <c r="Y13" s="64" t="s">
        <v>1945</v>
      </c>
      <c r="Z13" s="64" t="s">
        <v>1438</v>
      </c>
      <c r="AA13" s="84">
        <f t="shared" ref="AA13:AG13" si="8">Q54</f>
        <v>0</v>
      </c>
      <c r="AB13" s="84">
        <f t="shared" si="8"/>
        <v>0</v>
      </c>
      <c r="AC13" s="84">
        <f t="shared" si="8"/>
        <v>0</v>
      </c>
      <c r="AD13" s="84">
        <f t="shared" si="8"/>
        <v>0</v>
      </c>
      <c r="AE13" s="84">
        <f t="shared" si="8"/>
        <v>0</v>
      </c>
      <c r="AF13" s="84">
        <f t="shared" si="8"/>
        <v>0</v>
      </c>
      <c r="AG13" s="84">
        <f t="shared" si="8"/>
        <v>0</v>
      </c>
    </row>
    <row r="14" spans="1:33" x14ac:dyDescent="0.35">
      <c r="A14" s="847"/>
      <c r="B14" s="862" t="s">
        <v>4315</v>
      </c>
      <c r="C14" s="862" t="s">
        <v>4316</v>
      </c>
      <c r="D14" s="856">
        <f>D12+D13</f>
        <v>0.16735539663815135</v>
      </c>
      <c r="E14" s="856">
        <f t="shared" ref="E14:I14" si="9">E12+E13</f>
        <v>106388.99681788957</v>
      </c>
      <c r="F14" s="856">
        <f t="shared" si="9"/>
        <v>117264.22362450516</v>
      </c>
      <c r="G14" s="856">
        <f t="shared" si="9"/>
        <v>112956.3728679303</v>
      </c>
      <c r="H14" s="856">
        <f t="shared" si="9"/>
        <v>99466.405709215673</v>
      </c>
      <c r="I14" s="856">
        <f t="shared" si="9"/>
        <v>33023.758035273691</v>
      </c>
      <c r="J14" s="856">
        <f>J12+J13</f>
        <v>7.6724786859521765E-4</v>
      </c>
      <c r="K14" s="956">
        <v>90531.438417980578</v>
      </c>
      <c r="L14" s="64">
        <v>90577.752757359223</v>
      </c>
      <c r="N14" s="64" t="s">
        <v>1700</v>
      </c>
      <c r="O14" s="64" t="s">
        <v>1424</v>
      </c>
      <c r="P14" s="163">
        <f>IFERROR(VLOOKUP($N14,flows!$A$2:$J$4985,P$2,FALSE),0)</f>
        <v>0</v>
      </c>
      <c r="Q14" s="163">
        <f>IFERROR(VLOOKUP($N14,flows!$A$2:$J$4985,Q$2,FALSE),0)</f>
        <v>0</v>
      </c>
      <c r="R14" s="163">
        <f>IFERROR(VLOOKUP($N14,flows!$A$2:$J$4985,R$2,FALSE),0)</f>
        <v>0</v>
      </c>
      <c r="S14" s="163">
        <f>IFERROR(VLOOKUP($N14,flows!$A$2:$J$4985,S$2,FALSE),0)</f>
        <v>0</v>
      </c>
      <c r="T14" s="163">
        <f>IFERROR(VLOOKUP($N14,flows!$A$2:$J$4985,T$2,FALSE),0)</f>
        <v>0</v>
      </c>
      <c r="U14" s="163">
        <f>IFERROR(VLOOKUP($N14,flows!$A$2:$J$4985,U$2,FALSE),0)</f>
        <v>0</v>
      </c>
      <c r="V14" s="163">
        <f>IFERROR(VLOOKUP($N14,flows!$A$2:$J$4985,V$2,FALSE),0)</f>
        <v>0</v>
      </c>
      <c r="W14" s="163">
        <f>IFERROR(VLOOKUP($N14,flows!$A$2:$J$4985,W$2,FALSE),0)</f>
        <v>0</v>
      </c>
      <c r="X14" s="84"/>
      <c r="Y14" s="64" t="s">
        <v>1942</v>
      </c>
      <c r="Z14" s="64" t="s">
        <v>1208</v>
      </c>
      <c r="AA14" s="84">
        <f t="shared" ref="AA14:AG15" si="10">E24</f>
        <v>0</v>
      </c>
      <c r="AB14" s="84">
        <f t="shared" si="10"/>
        <v>0</v>
      </c>
      <c r="AC14" s="84">
        <f t="shared" si="10"/>
        <v>0</v>
      </c>
      <c r="AD14" s="84">
        <f t="shared" si="10"/>
        <v>0</v>
      </c>
      <c r="AE14" s="84">
        <f t="shared" si="10"/>
        <v>0</v>
      </c>
      <c r="AF14" s="84">
        <f t="shared" si="10"/>
        <v>0</v>
      </c>
      <c r="AG14" s="84">
        <f t="shared" si="10"/>
        <v>48815.975999999988</v>
      </c>
    </row>
    <row r="15" spans="1:33" x14ac:dyDescent="0.35">
      <c r="B15" s="137" t="s">
        <v>2326</v>
      </c>
      <c r="C15" s="137" t="s">
        <v>4045</v>
      </c>
      <c r="D15" s="856">
        <f>D16-D14</f>
        <v>-0.16735539663815135</v>
      </c>
      <c r="E15" s="856">
        <f>E16-E14</f>
        <v>-9388.9968178895651</v>
      </c>
      <c r="F15" s="856">
        <f t="shared" ref="F15:H15" si="11">F16-F14</f>
        <v>-20264.223624505161</v>
      </c>
      <c r="G15" s="856">
        <f t="shared" si="11"/>
        <v>-15956.372867930302</v>
      </c>
      <c r="H15" s="856">
        <f t="shared" si="11"/>
        <v>-34799.739042549001</v>
      </c>
      <c r="I15" s="856">
        <f>I16-I14</f>
        <v>-690.42470194035559</v>
      </c>
      <c r="J15" s="856">
        <f>J16-J14</f>
        <v>-7.6724786859521765E-4</v>
      </c>
      <c r="K15" s="956">
        <v>24250.821870127125</v>
      </c>
      <c r="L15" s="64">
        <v>27.404793992463965</v>
      </c>
      <c r="N15" s="64" t="s">
        <v>1699</v>
      </c>
      <c r="O15" s="64" t="s">
        <v>1426</v>
      </c>
      <c r="P15" s="163">
        <f>IFERROR(VLOOKUP($N15,flows!$A$2:$J$4985,P$2,FALSE),0)</f>
        <v>0</v>
      </c>
      <c r="Q15" s="163">
        <f>IFERROR(VLOOKUP($N15,flows!$A$2:$J$4985,Q$2,FALSE),0)</f>
        <v>0</v>
      </c>
      <c r="R15" s="163">
        <f>IFERROR(VLOOKUP($N15,flows!$A$2:$J$4985,R$2,FALSE),0)</f>
        <v>0</v>
      </c>
      <c r="S15" s="163">
        <f>IFERROR(VLOOKUP($N15,flows!$A$2:$J$4985,S$2,FALSE),0)</f>
        <v>0</v>
      </c>
      <c r="T15" s="163">
        <f>IFERROR(VLOOKUP($N15,flows!$A$2:$J$4985,T$2,FALSE),0)</f>
        <v>0</v>
      </c>
      <c r="U15" s="163">
        <f>IFERROR(VLOOKUP($N15,flows!$A$2:$J$4985,U$2,FALSE),0)</f>
        <v>0</v>
      </c>
      <c r="V15" s="163">
        <f>IFERROR(VLOOKUP($N15,flows!$A$2:$J$4985,V$2,FALSE),0)</f>
        <v>0</v>
      </c>
      <c r="W15" s="163">
        <f>IFERROR(VLOOKUP($N15,flows!$A$2:$J$4985,W$2,FALSE),0)</f>
        <v>0</v>
      </c>
      <c r="X15" s="84"/>
      <c r="Y15" s="64" t="s">
        <v>1551</v>
      </c>
      <c r="Z15" s="64" t="s">
        <v>1439</v>
      </c>
      <c r="AA15" s="84">
        <f t="shared" si="10"/>
        <v>0</v>
      </c>
      <c r="AB15" s="84">
        <f t="shared" si="10"/>
        <v>0</v>
      </c>
      <c r="AC15" s="84">
        <f t="shared" si="10"/>
        <v>0</v>
      </c>
      <c r="AD15" s="84">
        <f t="shared" si="10"/>
        <v>0</v>
      </c>
      <c r="AE15" s="84">
        <f t="shared" si="10"/>
        <v>0</v>
      </c>
      <c r="AF15" s="84">
        <f t="shared" si="10"/>
        <v>0</v>
      </c>
      <c r="AG15" s="84">
        <f t="shared" si="10"/>
        <v>2235.3808780035779</v>
      </c>
    </row>
    <row r="16" spans="1:33" ht="15" thickBot="1" x14ac:dyDescent="0.4">
      <c r="B16" s="92" t="s">
        <v>2326</v>
      </c>
      <c r="C16" s="847" t="s">
        <v>1884</v>
      </c>
      <c r="D16" s="163">
        <f t="shared" ref="D16:J16" si="12">SUM(D10:D11)</f>
        <v>0</v>
      </c>
      <c r="E16" s="163">
        <f t="shared" si="12"/>
        <v>97000</v>
      </c>
      <c r="F16" s="163">
        <f t="shared" si="12"/>
        <v>97000</v>
      </c>
      <c r="G16" s="163">
        <f t="shared" si="12"/>
        <v>97000</v>
      </c>
      <c r="H16" s="163">
        <f t="shared" si="12"/>
        <v>64666.666666666672</v>
      </c>
      <c r="I16" s="163">
        <f>SUM(I10:I11)</f>
        <v>32333.333333333336</v>
      </c>
      <c r="J16" s="163">
        <f t="shared" si="12"/>
        <v>0</v>
      </c>
      <c r="K16" s="955">
        <v>114782.2602881077</v>
      </c>
      <c r="L16" s="64">
        <v>90605.157551351687</v>
      </c>
      <c r="Y16" s="64" t="s">
        <v>1523</v>
      </c>
      <c r="Z16" s="64" t="s">
        <v>1427</v>
      </c>
      <c r="AA16" s="84">
        <f t="shared" ref="AA16:AG16" si="13">E17</f>
        <v>0</v>
      </c>
      <c r="AB16" s="84">
        <f t="shared" si="13"/>
        <v>0</v>
      </c>
      <c r="AC16" s="84">
        <f t="shared" si="13"/>
        <v>0</v>
      </c>
      <c r="AD16" s="84">
        <f t="shared" si="13"/>
        <v>0</v>
      </c>
      <c r="AE16" s="84">
        <f t="shared" si="13"/>
        <v>0</v>
      </c>
      <c r="AF16" s="84">
        <f t="shared" si="13"/>
        <v>0</v>
      </c>
      <c r="AG16" s="84">
        <f t="shared" si="13"/>
        <v>24026.86459034554</v>
      </c>
    </row>
    <row r="17" spans="1:38" x14ac:dyDescent="0.35">
      <c r="A17" s="64" t="s">
        <v>858</v>
      </c>
      <c r="B17" s="92" t="s">
        <v>2349</v>
      </c>
      <c r="C17" s="365" t="s">
        <v>1523</v>
      </c>
      <c r="D17" s="163">
        <f>IFERROR(VLOOKUP($A17,flows!$A$2:$J$4985,D$2,FALSE),0)</f>
        <v>0</v>
      </c>
      <c r="E17" s="163">
        <f>IFERROR(VLOOKUP($A17,flows!$A$2:$J$4985,E$2,FALSE),0)</f>
        <v>0</v>
      </c>
      <c r="F17" s="163">
        <f>IFERROR(VLOOKUP($A17,flows!$A$2:$J$4985,F$2,FALSE),0)</f>
        <v>0</v>
      </c>
      <c r="G17" s="163">
        <f>IFERROR(VLOOKUP($A17,flows!$A$2:$J$4985,G$2,FALSE),0)</f>
        <v>0</v>
      </c>
      <c r="H17" s="163">
        <f>IFERROR(VLOOKUP($A17,flows!$A$2:$J$4985,H$2,FALSE),0)</f>
        <v>0</v>
      </c>
      <c r="I17" s="163">
        <f>IFERROR(VLOOKUP($A17,flows!$A$2:$J$4985,I$2,FALSE),0)</f>
        <v>0</v>
      </c>
      <c r="J17" s="163">
        <f>IFERROR(VLOOKUP($A17,flows!$A$2:$J$4985,J$2,FALSE),0)</f>
        <v>0</v>
      </c>
      <c r="K17" s="955">
        <v>24026.86459034554</v>
      </c>
      <c r="L17" s="64">
        <v>23783.232361607879</v>
      </c>
      <c r="O17" s="82" t="s">
        <v>1441</v>
      </c>
      <c r="P17" s="89">
        <v>2</v>
      </c>
      <c r="Q17" s="89">
        <v>3</v>
      </c>
      <c r="R17" s="89">
        <v>4</v>
      </c>
      <c r="S17" s="89">
        <v>5</v>
      </c>
      <c r="T17" s="89">
        <v>6</v>
      </c>
      <c r="U17" s="89">
        <v>7</v>
      </c>
      <c r="V17" s="89">
        <v>8</v>
      </c>
      <c r="W17" s="89">
        <v>9</v>
      </c>
    </row>
    <row r="18" spans="1:38" x14ac:dyDescent="0.35">
      <c r="B18" s="92" t="s">
        <v>1429</v>
      </c>
      <c r="C18" s="365" t="s">
        <v>2323</v>
      </c>
      <c r="D18" s="163">
        <f t="shared" ref="D18:J18" si="14">SUM(P4:P9)</f>
        <v>0</v>
      </c>
      <c r="E18" s="163">
        <f t="shared" si="14"/>
        <v>0</v>
      </c>
      <c r="F18" s="163">
        <f t="shared" si="14"/>
        <v>0</v>
      </c>
      <c r="G18" s="163">
        <f t="shared" si="14"/>
        <v>0</v>
      </c>
      <c r="H18" s="163">
        <f t="shared" si="14"/>
        <v>0</v>
      </c>
      <c r="I18" s="163">
        <f t="shared" si="14"/>
        <v>0</v>
      </c>
      <c r="J18" s="163">
        <f t="shared" si="14"/>
        <v>0</v>
      </c>
      <c r="K18" s="955">
        <v>345825.33439392172</v>
      </c>
      <c r="L18" s="64">
        <v>359459.07546092395</v>
      </c>
      <c r="N18" s="64" t="s">
        <v>1415</v>
      </c>
      <c r="O18" s="64" t="s">
        <v>1416</v>
      </c>
      <c r="P18" s="133" t="s">
        <v>1417</v>
      </c>
      <c r="Q18" s="133">
        <v>2020</v>
      </c>
      <c r="R18" s="133">
        <v>2025</v>
      </c>
      <c r="S18" s="133">
        <v>2030</v>
      </c>
      <c r="T18" s="133">
        <v>2035</v>
      </c>
      <c r="U18" s="133">
        <v>2040</v>
      </c>
      <c r="V18" s="133">
        <v>2045</v>
      </c>
      <c r="W18" s="133">
        <v>2050</v>
      </c>
      <c r="Z18" s="64" t="s">
        <v>1229</v>
      </c>
      <c r="AA18" s="84">
        <f t="shared" ref="AA18:AG18" si="15">SUM(AA4:AA16)</f>
        <v>0</v>
      </c>
      <c r="AB18" s="84">
        <f t="shared" si="15"/>
        <v>0</v>
      </c>
      <c r="AC18" s="84">
        <f t="shared" si="15"/>
        <v>0</v>
      </c>
      <c r="AD18" s="84">
        <f t="shared" si="15"/>
        <v>0</v>
      </c>
      <c r="AE18" s="84">
        <f t="shared" si="15"/>
        <v>0</v>
      </c>
      <c r="AF18" s="84">
        <f t="shared" si="15"/>
        <v>0</v>
      </c>
      <c r="AG18" s="84">
        <f t="shared" si="15"/>
        <v>75078.221468349104</v>
      </c>
    </row>
    <row r="19" spans="1:38" x14ac:dyDescent="0.35">
      <c r="B19" s="92" t="s">
        <v>1432</v>
      </c>
      <c r="C19" s="365" t="s">
        <v>1938</v>
      </c>
      <c r="D19" s="84">
        <f t="shared" ref="D19:J19" si="16">SUM(P11:P13)</f>
        <v>0</v>
      </c>
      <c r="E19" s="163">
        <f t="shared" si="16"/>
        <v>0</v>
      </c>
      <c r="F19" s="163">
        <f t="shared" si="16"/>
        <v>0</v>
      </c>
      <c r="G19" s="163">
        <f t="shared" si="16"/>
        <v>0</v>
      </c>
      <c r="H19" s="163">
        <f t="shared" si="16"/>
        <v>0</v>
      </c>
      <c r="I19" s="163">
        <f t="shared" si="16"/>
        <v>0</v>
      </c>
      <c r="J19" s="163">
        <f t="shared" si="16"/>
        <v>0</v>
      </c>
      <c r="K19" s="955">
        <v>77327.589208268007</v>
      </c>
      <c r="L19" s="64">
        <v>77266.97944890619</v>
      </c>
      <c r="N19" s="64" t="s">
        <v>975</v>
      </c>
      <c r="P19" s="163">
        <f>IFERROR(VLOOKUP($N19,flows!$A$2:$J$4985,P$2,FALSE),0)</f>
        <v>0</v>
      </c>
      <c r="Q19" s="163">
        <f>IFERROR(VLOOKUP($N19,flows!$A$2:$J$4985,Q$2,FALSE),0)</f>
        <v>0</v>
      </c>
      <c r="R19" s="163">
        <f>IFERROR(VLOOKUP($N19,flows!$A$2:$J$4985,R$2,FALSE),0)</f>
        <v>0</v>
      </c>
      <c r="S19" s="163">
        <f>IFERROR(VLOOKUP($N19,flows!$A$2:$J$4985,S$2,FALSE),0)</f>
        <v>0</v>
      </c>
      <c r="T19" s="163">
        <f>IFERROR(VLOOKUP($N19,flows!$A$2:$J$4985,T$2,FALSE),0)</f>
        <v>0</v>
      </c>
      <c r="U19" s="163">
        <f>IFERROR(VLOOKUP($N19,flows!$A$2:$J$4985,U$2,FALSE),0)</f>
        <v>0</v>
      </c>
      <c r="V19" s="163">
        <f>IFERROR(VLOOKUP($N19,flows!$A$2:$J$4985,V$2,FALSE),0)</f>
        <v>0</v>
      </c>
      <c r="W19" s="163">
        <f>IFERROR(VLOOKUP($N19,flows!$A$2:$J$4985,W$2,FALSE),0)</f>
        <v>0</v>
      </c>
      <c r="X19" s="84"/>
    </row>
    <row r="20" spans="1:38" x14ac:dyDescent="0.35">
      <c r="B20" s="92" t="s">
        <v>2321</v>
      </c>
      <c r="C20" s="365" t="s">
        <v>2322</v>
      </c>
      <c r="D20" s="163">
        <f t="shared" ref="D20:J20" si="17">SUM(P14:P15)</f>
        <v>0</v>
      </c>
      <c r="E20" s="163">
        <f t="shared" si="17"/>
        <v>0</v>
      </c>
      <c r="F20" s="163">
        <f t="shared" si="17"/>
        <v>0</v>
      </c>
      <c r="G20" s="163">
        <f t="shared" si="17"/>
        <v>0</v>
      </c>
      <c r="H20" s="163">
        <f t="shared" si="17"/>
        <v>0</v>
      </c>
      <c r="I20" s="163">
        <f t="shared" si="17"/>
        <v>0</v>
      </c>
      <c r="J20" s="163">
        <f t="shared" si="17"/>
        <v>0</v>
      </c>
      <c r="K20" s="957">
        <v>5186.8145527342595</v>
      </c>
      <c r="L20" s="64">
        <v>58.521345105358989</v>
      </c>
      <c r="N20" s="64" t="s">
        <v>976</v>
      </c>
      <c r="P20" s="163">
        <f>IFERROR(VLOOKUP($N20,flows!$A$2:$J$4985,P$2,FALSE),0)</f>
        <v>0</v>
      </c>
      <c r="Q20" s="163">
        <f>IFERROR(VLOOKUP($N20,flows!$A$2:$J$4985,Q$2,FALSE),0)</f>
        <v>0</v>
      </c>
      <c r="R20" s="163">
        <f>IFERROR(VLOOKUP($N20,flows!$A$2:$J$4985,R$2,FALSE),0)</f>
        <v>0</v>
      </c>
      <c r="S20" s="163">
        <f>IFERROR(VLOOKUP($N20,flows!$A$2:$J$4985,S$2,FALSE),0)</f>
        <v>0</v>
      </c>
      <c r="T20" s="163">
        <f>IFERROR(VLOOKUP($N20,flows!$A$2:$J$4985,T$2,FALSE),0)</f>
        <v>0</v>
      </c>
      <c r="U20" s="163">
        <f>IFERROR(VLOOKUP($N20,flows!$A$2:$J$4985,U$2,FALSE),0)</f>
        <v>0</v>
      </c>
      <c r="V20" s="163">
        <f>IFERROR(VLOOKUP($N20,flows!$A$2:$J$4985,V$2,FALSE),0)</f>
        <v>0</v>
      </c>
      <c r="W20" s="163">
        <f>IFERROR(VLOOKUP($N20,flows!$A$2:$J$4985,W$2,FALSE),0)</f>
        <v>0</v>
      </c>
      <c r="X20" s="84"/>
    </row>
    <row r="21" spans="1:38" x14ac:dyDescent="0.35">
      <c r="B21" s="92" t="s">
        <v>2347</v>
      </c>
      <c r="C21" s="365" t="s">
        <v>1654</v>
      </c>
      <c r="D21" s="163">
        <f t="shared" ref="D21:J21" si="18">P27</f>
        <v>0</v>
      </c>
      <c r="E21" s="163">
        <f t="shared" si="18"/>
        <v>0</v>
      </c>
      <c r="F21" s="163">
        <f t="shared" si="18"/>
        <v>0</v>
      </c>
      <c r="G21" s="163">
        <f t="shared" si="18"/>
        <v>0</v>
      </c>
      <c r="H21" s="84">
        <f>T27</f>
        <v>0</v>
      </c>
      <c r="I21" s="163">
        <f t="shared" si="18"/>
        <v>0</v>
      </c>
      <c r="J21" s="163">
        <f t="shared" si="18"/>
        <v>0</v>
      </c>
      <c r="K21" s="957">
        <v>227047.36262054922</v>
      </c>
      <c r="L21" s="64">
        <v>165263.00661774672</v>
      </c>
      <c r="N21" s="64" t="s">
        <v>977</v>
      </c>
      <c r="P21" s="163">
        <f>IFERROR(VLOOKUP($N21,flows!$A$2:$J$4985,P$2,FALSE),0)</f>
        <v>0</v>
      </c>
      <c r="Q21" s="163">
        <f>IFERROR(VLOOKUP($N21,flows!$A$2:$J$4985,Q$2,FALSE),0)</f>
        <v>0</v>
      </c>
      <c r="R21" s="163">
        <f>IFERROR(VLOOKUP($N21,flows!$A$2:$J$4985,R$2,FALSE),0)</f>
        <v>0</v>
      </c>
      <c r="S21" s="163">
        <f>IFERROR(VLOOKUP($N21,flows!$A$2:$J$4985,S$2,FALSE),0)</f>
        <v>0</v>
      </c>
      <c r="T21" s="163">
        <f>IFERROR(VLOOKUP($N21,flows!$A$2:$J$4985,T$2,FALSE),0)</f>
        <v>0</v>
      </c>
      <c r="U21" s="163">
        <f>IFERROR(VLOOKUP($N21,flows!$A$2:$J$4985,U$2,FALSE),0)</f>
        <v>0</v>
      </c>
      <c r="V21" s="163">
        <f>IFERROR(VLOOKUP($N21,flows!$A$2:$J$4985,V$2,FALSE),0)</f>
        <v>0</v>
      </c>
      <c r="W21" s="163">
        <f>IFERROR(VLOOKUP($N21,flows!$A$2:$J$4985,W$2,FALSE),0)</f>
        <v>0</v>
      </c>
      <c r="X21" s="84"/>
    </row>
    <row r="22" spans="1:38" x14ac:dyDescent="0.35">
      <c r="B22" s="92" t="s">
        <v>2348</v>
      </c>
      <c r="C22" s="365" t="s">
        <v>1655</v>
      </c>
      <c r="D22" s="163">
        <f t="shared" ref="D22:J22" si="19">P32</f>
        <v>0</v>
      </c>
      <c r="E22" s="163">
        <f t="shared" si="19"/>
        <v>0</v>
      </c>
      <c r="F22" s="163">
        <f>R32</f>
        <v>0</v>
      </c>
      <c r="G22" s="163">
        <f t="shared" si="19"/>
        <v>0</v>
      </c>
      <c r="H22" s="163">
        <f t="shared" si="19"/>
        <v>0</v>
      </c>
      <c r="I22" s="163">
        <f t="shared" si="19"/>
        <v>0</v>
      </c>
      <c r="J22" s="163">
        <f t="shared" si="19"/>
        <v>0</v>
      </c>
      <c r="K22" s="955">
        <v>243494.29528204963</v>
      </c>
      <c r="L22" s="64">
        <v>264618.46900213789</v>
      </c>
      <c r="N22" s="64" t="s">
        <v>978</v>
      </c>
      <c r="P22" s="163">
        <f>IFERROR(VLOOKUP($N22,flows!$A$2:$J$4985,P$2,FALSE),0)</f>
        <v>0</v>
      </c>
      <c r="Q22" s="163">
        <f>IFERROR(VLOOKUP($N22,flows!$A$2:$J$4985,Q$2,FALSE),0)</f>
        <v>0</v>
      </c>
      <c r="R22" s="163">
        <f>IFERROR(VLOOKUP($N22,flows!$A$2:$J$4985,R$2,FALSE),0)</f>
        <v>0</v>
      </c>
      <c r="S22" s="163">
        <f>IFERROR(VLOOKUP($N22,flows!$A$2:$J$4985,S$2,FALSE),0)</f>
        <v>0</v>
      </c>
      <c r="T22" s="163">
        <f>IFERROR(VLOOKUP($N22,flows!$A$2:$J$4985,T$2,FALSE),0)</f>
        <v>0</v>
      </c>
      <c r="U22" s="163">
        <f>IFERROR(VLOOKUP($N22,flows!$A$2:$J$4985,U$2,FALSE),0)</f>
        <v>0</v>
      </c>
      <c r="V22" s="163">
        <f>IFERROR(VLOOKUP($N22,flows!$A$2:$J$4985,V$2,FALSE),0)</f>
        <v>0</v>
      </c>
      <c r="W22" s="163">
        <f>IFERROR(VLOOKUP($N22,flows!$A$2:$J$4985,W$2,FALSE),0)</f>
        <v>0</v>
      </c>
      <c r="X22" s="84"/>
    </row>
    <row r="23" spans="1:38" x14ac:dyDescent="0.35">
      <c r="B23" s="64" t="s">
        <v>1653</v>
      </c>
      <c r="C23" s="365" t="s">
        <v>1471</v>
      </c>
      <c r="D23" s="163">
        <f t="shared" ref="D23:J23" si="20">P56</f>
        <v>0</v>
      </c>
      <c r="E23" s="163">
        <f t="shared" si="20"/>
        <v>0</v>
      </c>
      <c r="F23" s="163">
        <f t="shared" si="20"/>
        <v>0</v>
      </c>
      <c r="G23" s="163">
        <f t="shared" si="20"/>
        <v>0</v>
      </c>
      <c r="H23" s="163">
        <f t="shared" si="20"/>
        <v>0</v>
      </c>
      <c r="I23" s="163">
        <f t="shared" si="20"/>
        <v>0</v>
      </c>
      <c r="J23" s="163">
        <f t="shared" si="20"/>
        <v>0</v>
      </c>
      <c r="K23" s="955">
        <v>443500.25462811888</v>
      </c>
      <c r="L23" s="64">
        <v>423467.03014944436</v>
      </c>
      <c r="N23" s="64" t="s">
        <v>979</v>
      </c>
      <c r="P23" s="163">
        <f>IFERROR(VLOOKUP($N23,flows!$A$2:$J$4985,P$2,FALSE),0)</f>
        <v>0</v>
      </c>
      <c r="Q23" s="163">
        <f>IFERROR(VLOOKUP($N23,flows!$A$2:$J$4985,Q$2,FALSE),0)</f>
        <v>0</v>
      </c>
      <c r="R23" s="163">
        <f>IFERROR(VLOOKUP($N23,flows!$A$2:$J$4985,R$2,FALSE),0)</f>
        <v>0</v>
      </c>
      <c r="S23" s="163">
        <f>IFERROR(VLOOKUP($N23,flows!$A$2:$J$4985,S$2,FALSE),0)</f>
        <v>0</v>
      </c>
      <c r="T23" s="163">
        <f>IFERROR(VLOOKUP($N23,flows!$A$2:$J$4985,T$2,FALSE),0)</f>
        <v>0</v>
      </c>
      <c r="U23" s="163">
        <f>IFERROR(VLOOKUP($N23,flows!$A$2:$J$4985,U$2,FALSE),0)</f>
        <v>0</v>
      </c>
      <c r="V23" s="163">
        <f>IFERROR(VLOOKUP($N23,flows!$A$2:$J$4985,V$2,FALSE),0)</f>
        <v>0</v>
      </c>
      <c r="W23" s="163">
        <f>IFERROR(VLOOKUP($N23,flows!$A$2:$J$4985,W$2,FALSE),0)</f>
        <v>0</v>
      </c>
      <c r="X23" s="84"/>
    </row>
    <row r="24" spans="1:38" x14ac:dyDescent="0.35">
      <c r="A24" s="64" t="s">
        <v>1120</v>
      </c>
      <c r="B24" s="64" t="s">
        <v>1208</v>
      </c>
      <c r="C24" s="365" t="s">
        <v>1942</v>
      </c>
      <c r="D24" s="163">
        <f>IFERROR(VLOOKUP($A24,flows!$A$2:$J$4985,D$2,FALSE),0)</f>
        <v>0</v>
      </c>
      <c r="E24" s="163">
        <f>IFERROR(VLOOKUP($A24,flows!$A$2:$J$4985,E$2,FALSE),0)</f>
        <v>0</v>
      </c>
      <c r="F24" s="163">
        <f>IFERROR(VLOOKUP($A24,flows!$A$2:$J$4985,F$2,FALSE),0)</f>
        <v>0</v>
      </c>
      <c r="G24" s="163">
        <f>IFERROR(VLOOKUP($A24,flows!$A$2:$J$4985,G$2,FALSE),0)</f>
        <v>0</v>
      </c>
      <c r="H24" s="163">
        <f>IFERROR(VLOOKUP($A24,flows!$A$2:$J$4985,H$2,FALSE),0)</f>
        <v>0</v>
      </c>
      <c r="I24" s="163">
        <f>IFERROR(VLOOKUP($A24,flows!$A$2:$J$4985,I$2,FALSE),0)</f>
        <v>0</v>
      </c>
      <c r="J24" s="163">
        <f>IFERROR(VLOOKUP($A24,flows!$A$2:$J$4985,J$2,FALSE),0)</f>
        <v>0</v>
      </c>
      <c r="K24" s="955">
        <v>48815.975999999988</v>
      </c>
      <c r="L24" s="64">
        <v>48815.975999999988</v>
      </c>
      <c r="N24" s="64" t="s">
        <v>980</v>
      </c>
      <c r="P24" s="163">
        <f>IFERROR(VLOOKUP($N24,flows!$A$2:$J$4985,P$2,FALSE),0)</f>
        <v>0</v>
      </c>
      <c r="Q24" s="163">
        <f>IFERROR(VLOOKUP($N24,flows!$A$2:$J$4985,Q$2,FALSE),0)</f>
        <v>0</v>
      </c>
      <c r="R24" s="163">
        <f>IFERROR(VLOOKUP($N24,flows!$A$2:$J$4985,R$2,FALSE),0)</f>
        <v>0</v>
      </c>
      <c r="S24" s="163">
        <f>IFERROR(VLOOKUP($N24,flows!$A$2:$J$4985,S$2,FALSE),0)</f>
        <v>0</v>
      </c>
      <c r="T24" s="163">
        <f>IFERROR(VLOOKUP($N24,flows!$A$2:$J$4985,T$2,FALSE),0)</f>
        <v>0</v>
      </c>
      <c r="U24" s="163">
        <f>IFERROR(VLOOKUP($N24,flows!$A$2:$J$4985,U$2,FALSE),0)</f>
        <v>0</v>
      </c>
      <c r="V24" s="163">
        <f>IFERROR(VLOOKUP($N24,flows!$A$2:$J$4985,V$2,FALSE),0)</f>
        <v>0</v>
      </c>
      <c r="W24" s="163">
        <f>IFERROR(VLOOKUP($N24,flows!$A$2:$J$4985,W$2,FALSE),0)</f>
        <v>0</v>
      </c>
      <c r="X24" s="84"/>
    </row>
    <row r="25" spans="1:38" x14ac:dyDescent="0.35">
      <c r="A25" s="64" t="s">
        <v>46</v>
      </c>
      <c r="B25" s="64" t="s">
        <v>1185</v>
      </c>
      <c r="C25" s="365" t="s">
        <v>1551</v>
      </c>
      <c r="D25" s="163">
        <f>IFERROR(VLOOKUP($A25,flows!$A$2:$J$4985,D$2,FALSE),0)</f>
        <v>0</v>
      </c>
      <c r="E25" s="163">
        <f>IFERROR(VLOOKUP($A25,flows!$A$2:$J$4985,E$2,FALSE),0)</f>
        <v>0</v>
      </c>
      <c r="F25" s="163">
        <f>IFERROR(VLOOKUP($A25,flows!$A$2:$J$4985,F$2,FALSE),0)</f>
        <v>0</v>
      </c>
      <c r="G25" s="163">
        <f>IFERROR(VLOOKUP($A25,flows!$A$2:$J$4985,G$2,FALSE),0)</f>
        <v>0</v>
      </c>
      <c r="H25" s="163">
        <f>IFERROR(VLOOKUP($A25,flows!$A$2:$J$4985,H$2,FALSE),0)</f>
        <v>0</v>
      </c>
      <c r="I25" s="163">
        <f>IFERROR(VLOOKUP($A25,flows!$A$2:$J$4985,I$2,FALSE),0)</f>
        <v>0</v>
      </c>
      <c r="J25" s="163">
        <f>IFERROR(VLOOKUP($A25,flows!$A$2:$J$4985,J$2,FALSE),0)</f>
        <v>0</v>
      </c>
      <c r="K25" s="955">
        <v>2235.3808780035779</v>
      </c>
      <c r="L25" s="64">
        <v>67.555149753976579</v>
      </c>
      <c r="N25" s="64" t="s">
        <v>981</v>
      </c>
      <c r="P25" s="163">
        <f>IFERROR(VLOOKUP($N25,flows!$A$2:$J$4985,P$2,FALSE),0)</f>
        <v>0</v>
      </c>
      <c r="Q25" s="163">
        <f>IFERROR(VLOOKUP($N25,flows!$A$2:$J$4985,Q$2,FALSE),0)</f>
        <v>0</v>
      </c>
      <c r="R25" s="163">
        <f>IFERROR(VLOOKUP($N25,flows!$A$2:$J$4985,R$2,FALSE),0)</f>
        <v>0</v>
      </c>
      <c r="S25" s="163">
        <f>IFERROR(VLOOKUP($N25,flows!$A$2:$J$4985,S$2,FALSE),0)</f>
        <v>0</v>
      </c>
      <c r="T25" s="163">
        <f>IFERROR(VLOOKUP($N25,flows!$A$2:$J$4985,T$2,FALSE),0)</f>
        <v>0</v>
      </c>
      <c r="U25" s="163">
        <f>IFERROR(VLOOKUP($N25,flows!$A$2:$J$4985,U$2,FALSE),0)</f>
        <v>0</v>
      </c>
      <c r="V25" s="163">
        <f>IFERROR(VLOOKUP($N25,flows!$A$2:$J$4985,V$2,FALSE),0)</f>
        <v>0</v>
      </c>
      <c r="W25" s="163">
        <f>IFERROR(VLOOKUP($N25,flows!$A$2:$J$4985,W$2,FALSE),0)</f>
        <v>0</v>
      </c>
      <c r="X25" s="84"/>
    </row>
    <row r="26" spans="1:38" x14ac:dyDescent="0.35">
      <c r="A26" s="132"/>
      <c r="B26" s="118" t="s">
        <v>2350</v>
      </c>
      <c r="C26" s="118" t="s">
        <v>2350</v>
      </c>
      <c r="D26" s="163" t="e">
        <f>'Strom - Flows'!C19</f>
        <v>#N/A</v>
      </c>
      <c r="E26" s="163" t="e">
        <f>'Strom - Flows'!D19</f>
        <v>#N/A</v>
      </c>
      <c r="F26" s="163" t="e">
        <f>'Strom - Flows'!E19</f>
        <v>#N/A</v>
      </c>
      <c r="G26" s="163" t="e">
        <f>'Strom - Flows'!F19</f>
        <v>#N/A</v>
      </c>
      <c r="H26" s="163" t="e">
        <f>'Strom - Flows'!G19</f>
        <v>#N/A</v>
      </c>
      <c r="I26" s="163" t="e">
        <f>'Strom - Flows'!H19</f>
        <v>#N/A</v>
      </c>
      <c r="J26" s="163" t="e">
        <f>'Strom - Flows'!I19</f>
        <v>#N/A</v>
      </c>
      <c r="K26" s="955">
        <v>74540.537776986035</v>
      </c>
      <c r="L26" s="64">
        <v>77654.985682766099</v>
      </c>
      <c r="N26" s="64" t="s">
        <v>982</v>
      </c>
      <c r="P26" s="163">
        <f>IFERROR(VLOOKUP($N26,flows!$A$2:$J$4985,P$2,FALSE),0)</f>
        <v>0</v>
      </c>
      <c r="Q26" s="163">
        <f>IFERROR(VLOOKUP($N26,flows!$A$2:$J$4985,Q$2,FALSE),0)</f>
        <v>0</v>
      </c>
      <c r="R26" s="163">
        <f>IFERROR(VLOOKUP($N26,flows!$A$2:$J$4985,R$2,FALSE),0)</f>
        <v>0</v>
      </c>
      <c r="S26" s="163">
        <f>IFERROR(VLOOKUP($N26,flows!$A$2:$J$4985,S$2,FALSE),0)</f>
        <v>0</v>
      </c>
      <c r="T26" s="163">
        <f>IFERROR(VLOOKUP($N26,flows!$A$2:$J$4985,T$2,FALSE),0)</f>
        <v>0</v>
      </c>
      <c r="U26" s="163">
        <f>IFERROR(VLOOKUP($N26,flows!$A$2:$J$4985,U$2,FALSE),0)</f>
        <v>0</v>
      </c>
      <c r="V26" s="163">
        <f>IFERROR(VLOOKUP($N26,flows!$A$2:$J$4985,V$2,FALSE),0)</f>
        <v>0</v>
      </c>
      <c r="W26" s="163">
        <f>IFERROR(VLOOKUP($N26,flows!$A$2:$J$4985,W$2,FALSE),0)</f>
        <v>0</v>
      </c>
      <c r="X26" s="84"/>
    </row>
    <row r="27" spans="1:38" x14ac:dyDescent="0.35">
      <c r="B27" s="118" t="s">
        <v>1758</v>
      </c>
      <c r="C27" s="118" t="s">
        <v>1758</v>
      </c>
      <c r="D27" s="365" t="e">
        <f>'Verkehr - EE im Kraftstoff'!N8+'Verkehr - EE im Kraftstoff'!N21+'Verkehr - EE im Kraftstoff'!N59</f>
        <v>#N/A</v>
      </c>
      <c r="E27" s="365" t="e">
        <f>'Verkehr - EE im Kraftstoff'!O8+'Verkehr - EE im Kraftstoff'!O21+'Verkehr - EE im Kraftstoff'!O59</f>
        <v>#N/A</v>
      </c>
      <c r="F27" s="365" t="e">
        <f>'Verkehr - EE im Kraftstoff'!P8+'Verkehr - EE im Kraftstoff'!P21+'Verkehr - EE im Kraftstoff'!P59</f>
        <v>#N/A</v>
      </c>
      <c r="G27" s="365" t="e">
        <f>'Verkehr - EE im Kraftstoff'!Q8+'Verkehr - EE im Kraftstoff'!Q21+'Verkehr - EE im Kraftstoff'!Q59+(97000/15)*((G3-$G$3))</f>
        <v>#N/A</v>
      </c>
      <c r="H27" s="900" t="e">
        <f>'Verkehr - EE im Kraftstoff'!R8+'Verkehr - EE im Kraftstoff'!R21+'Verkehr - EE im Kraftstoff'!R59+(97000/15)*((H3-$G$3))</f>
        <v>#N/A</v>
      </c>
      <c r="I27" s="900" t="e">
        <f>'Verkehr - EE im Kraftstoff'!S8+'Verkehr - EE im Kraftstoff'!S21+'Verkehr - EE im Kraftstoff'!S59+(97000/15)*((I3-$G$3))</f>
        <v>#N/A</v>
      </c>
      <c r="J27" s="900" t="e">
        <f>'Verkehr - EE im Kraftstoff'!T8+'Verkehr - EE im Kraftstoff'!T21+'Verkehr - EE im Kraftstoff'!T59+(97000/15)*((J3-$G$3))</f>
        <v>#N/A</v>
      </c>
      <c r="K27" s="958">
        <v>87463.256614198064</v>
      </c>
      <c r="L27" s="64">
        <v>111401.68030624262</v>
      </c>
      <c r="O27" s="64" t="s">
        <v>1442</v>
      </c>
      <c r="P27" s="84">
        <f>SUM(P19:P26)</f>
        <v>0</v>
      </c>
      <c r="Q27" s="84">
        <f t="shared" ref="Q27:W27" si="21">SUM(Q19:Q26)</f>
        <v>0</v>
      </c>
      <c r="R27" s="84">
        <f t="shared" si="21"/>
        <v>0</v>
      </c>
      <c r="S27" s="84">
        <f t="shared" si="21"/>
        <v>0</v>
      </c>
      <c r="T27" s="84">
        <f t="shared" si="21"/>
        <v>0</v>
      </c>
      <c r="U27" s="84">
        <f t="shared" si="21"/>
        <v>0</v>
      </c>
      <c r="V27" s="84">
        <f t="shared" si="21"/>
        <v>0</v>
      </c>
      <c r="W27" s="84">
        <f t="shared" si="21"/>
        <v>0</v>
      </c>
      <c r="X27" s="84"/>
    </row>
    <row r="28" spans="1:38" x14ac:dyDescent="0.35">
      <c r="B28" s="118" t="s">
        <v>1759</v>
      </c>
      <c r="C28" s="118" t="s">
        <v>1759</v>
      </c>
      <c r="D28" s="163" t="e">
        <f>'Wasserstoff - Produktion'!E21</f>
        <v>#N/A</v>
      </c>
      <c r="E28" s="163" t="e">
        <f>'Wasserstoff - Produktion'!F21</f>
        <v>#N/A</v>
      </c>
      <c r="F28" s="163" t="e">
        <f>'Wasserstoff - Produktion'!G21</f>
        <v>#N/A</v>
      </c>
      <c r="G28" s="163" t="e">
        <f>'Wasserstoff - Produktion'!H21</f>
        <v>#N/A</v>
      </c>
      <c r="H28" s="163" t="e">
        <f>'Wasserstoff - Produktion'!I21</f>
        <v>#N/A</v>
      </c>
      <c r="I28" s="163" t="e">
        <f>'Wasserstoff - Produktion'!J21</f>
        <v>#N/A</v>
      </c>
      <c r="J28" s="959" t="e">
        <f>'Wasserstoff - Produktion'!K21</f>
        <v>#N/A</v>
      </c>
      <c r="K28" s="959">
        <v>429159.85315177112</v>
      </c>
      <c r="L28" s="64">
        <v>425767.03641594213</v>
      </c>
    </row>
    <row r="29" spans="1:38" x14ac:dyDescent="0.35">
      <c r="K29" s="958"/>
      <c r="N29" s="64" t="s">
        <v>967</v>
      </c>
      <c r="P29" s="163">
        <f>IFERROR(VLOOKUP($N29,flows!$A$2:$J$4985,P$2,FALSE),0)</f>
        <v>0</v>
      </c>
      <c r="Q29" s="163">
        <f>IFERROR(VLOOKUP($N29,flows!$A$2:$J$4985,Q$2,FALSE),0)</f>
        <v>0</v>
      </c>
      <c r="R29" s="163">
        <f>IFERROR(VLOOKUP($N29,flows!$A$2:$J$4985,R$2,FALSE),0)</f>
        <v>0</v>
      </c>
      <c r="S29" s="163">
        <f>IFERROR(VLOOKUP($N29,flows!$A$2:$J$4985,S$2,FALSE),0)</f>
        <v>0</v>
      </c>
      <c r="T29" s="163">
        <f>IFERROR(VLOOKUP($N29,flows!$A$2:$J$4985,T$2,FALSE),0)</f>
        <v>0</v>
      </c>
      <c r="U29" s="163">
        <f>IFERROR(VLOOKUP($N29,flows!$A$2:$J$4985,U$2,FALSE),0)</f>
        <v>0</v>
      </c>
      <c r="V29" s="163">
        <f>IFERROR(VLOOKUP($N29,flows!$A$2:$J$4985,V$2,FALSE),0)</f>
        <v>0</v>
      </c>
      <c r="W29" s="163">
        <f>IFERROR(VLOOKUP($N29,flows!$A$2:$J$4985,W$2,FALSE),0)</f>
        <v>0</v>
      </c>
      <c r="X29" s="84"/>
    </row>
    <row r="30" spans="1:38" x14ac:dyDescent="0.35">
      <c r="B30" s="64" t="s">
        <v>1229</v>
      </c>
      <c r="C30" s="118" t="s">
        <v>2825</v>
      </c>
      <c r="D30" s="163" t="e">
        <f>SUM(D4:D7)+SUM(D16:D28)</f>
        <v>#N/A</v>
      </c>
      <c r="E30" s="163" t="e">
        <f t="shared" ref="E30:I30" si="22">SUM(E4:E7)+SUM(E16:E28)</f>
        <v>#N/A</v>
      </c>
      <c r="F30" s="163" t="e">
        <f t="shared" si="22"/>
        <v>#N/A</v>
      </c>
      <c r="G30" s="163" t="e">
        <f t="shared" si="22"/>
        <v>#N/A</v>
      </c>
      <c r="H30" s="163" t="e">
        <f t="shared" si="22"/>
        <v>#N/A</v>
      </c>
      <c r="I30" s="163" t="e">
        <f t="shared" si="22"/>
        <v>#N/A</v>
      </c>
      <c r="J30" s="163" t="e">
        <f>SUM(J4:J7)+SUM(J16:J28)</f>
        <v>#N/A</v>
      </c>
      <c r="K30" s="955">
        <v>2135918.68070568</v>
      </c>
      <c r="L30" s="163">
        <f>SUM(L4:L7)+SUM(L16:L28)</f>
        <v>2111350.2922045672</v>
      </c>
      <c r="N30" s="64" t="s">
        <v>968</v>
      </c>
      <c r="P30" s="163">
        <f>IFERROR(VLOOKUP($N30,flows!$A$2:$J$4985,P$2,FALSE),0)</f>
        <v>0</v>
      </c>
      <c r="Q30" s="163">
        <f>IFERROR(VLOOKUP($N30,flows!$A$2:$J$4985,Q$2,FALSE),0)</f>
        <v>0</v>
      </c>
      <c r="R30" s="163">
        <f>IFERROR(VLOOKUP($N30,flows!$A$2:$J$4985,R$2,FALSE),0)</f>
        <v>0</v>
      </c>
      <c r="S30" s="163">
        <f>IFERROR(VLOOKUP($N30,flows!$A$2:$J$4985,S$2,FALSE),0)</f>
        <v>0</v>
      </c>
      <c r="T30" s="163">
        <f>IFERROR(VLOOKUP($N30,flows!$A$2:$J$4985,T$2,FALSE),0)</f>
        <v>0</v>
      </c>
      <c r="U30" s="163">
        <f>IFERROR(VLOOKUP($N30,flows!$A$2:$J$4985,U$2,FALSE),0)</f>
        <v>0</v>
      </c>
      <c r="V30" s="163">
        <f>IFERROR(VLOOKUP($N30,flows!$A$2:$J$4985,V$2,FALSE),0)</f>
        <v>0</v>
      </c>
      <c r="W30" s="163">
        <f>IFERROR(VLOOKUP($N30,flows!$A$2:$J$4985,W$2,FALSE),0)</f>
        <v>0</v>
      </c>
      <c r="X30" s="84"/>
      <c r="Z30" s="64" t="s">
        <v>1443</v>
      </c>
      <c r="AA30" s="64">
        <v>2020</v>
      </c>
      <c r="AB30" s="64">
        <v>2050</v>
      </c>
      <c r="AE30" s="64" t="s">
        <v>1444</v>
      </c>
      <c r="AF30" s="365">
        <v>2020</v>
      </c>
      <c r="AG30" s="365">
        <v>2025</v>
      </c>
      <c r="AH30" s="365">
        <v>2030</v>
      </c>
      <c r="AI30" s="365">
        <v>2035</v>
      </c>
      <c r="AJ30" s="365">
        <v>2040</v>
      </c>
      <c r="AK30" s="365">
        <v>2045</v>
      </c>
      <c r="AL30" s="365">
        <v>2050</v>
      </c>
    </row>
    <row r="31" spans="1:38" x14ac:dyDescent="0.35">
      <c r="C31" s="118" t="s">
        <v>4317</v>
      </c>
      <c r="D31" s="856" t="e">
        <f>SUM(D4:D6,D17:D28,D8,D15)</f>
        <v>#N/A</v>
      </c>
      <c r="E31" s="856" t="e">
        <f t="shared" ref="E31:J31" si="23">SUM(E4:E6,E17:E28,E8,E15)</f>
        <v>#N/A</v>
      </c>
      <c r="F31" s="856" t="e">
        <f t="shared" si="23"/>
        <v>#N/A</v>
      </c>
      <c r="G31" s="856" t="e">
        <f t="shared" si="23"/>
        <v>#N/A</v>
      </c>
      <c r="H31" s="856" t="e">
        <f t="shared" si="23"/>
        <v>#N/A</v>
      </c>
      <c r="I31" s="856" t="e">
        <f t="shared" si="23"/>
        <v>#N/A</v>
      </c>
      <c r="J31" s="856" t="e">
        <f t="shared" si="23"/>
        <v>#N/A</v>
      </c>
      <c r="K31" s="956">
        <v>2037476.8380719752</v>
      </c>
      <c r="N31" s="64" t="s">
        <v>969</v>
      </c>
      <c r="P31" s="163">
        <f>IFERROR(VLOOKUP($N31,flows!$A$2:$J$4985,P$2,FALSE),0)</f>
        <v>0</v>
      </c>
      <c r="Q31" s="163">
        <f>IFERROR(VLOOKUP($N31,flows!$A$2:$J$4985,Q$2,FALSE),0)</f>
        <v>0</v>
      </c>
      <c r="R31" s="163">
        <f>IFERROR(VLOOKUP($N31,flows!$A$2:$J$4985,R$2,FALSE),0)</f>
        <v>0</v>
      </c>
      <c r="S31" s="163">
        <f>IFERROR(VLOOKUP($N31,flows!$A$2:$J$4985,S$2,FALSE),0)</f>
        <v>0</v>
      </c>
      <c r="T31" s="163">
        <f>IFERROR(VLOOKUP($N31,flows!$A$2:$J$4985,T$2,FALSE),0)</f>
        <v>0</v>
      </c>
      <c r="U31" s="163">
        <f>IFERROR(VLOOKUP($N31,flows!$A$2:$J$4985,U$2,FALSE),0)</f>
        <v>0</v>
      </c>
      <c r="V31" s="163">
        <f>IFERROR(VLOOKUP($N31,flows!$A$2:$J$4985,V$2,FALSE),0)</f>
        <v>0</v>
      </c>
      <c r="W31" s="163">
        <f>IFERROR(VLOOKUP($N31,flows!$A$2:$J$4985,W$2,FALSE),0)</f>
        <v>0</v>
      </c>
      <c r="X31" s="84"/>
      <c r="Y31" s="190" t="s">
        <v>1550</v>
      </c>
      <c r="Z31" s="64" t="s">
        <v>1407</v>
      </c>
      <c r="AA31" s="85" t="e">
        <f t="shared" ref="AA31:AA36" si="24">AA4/$AA$18</f>
        <v>#DIV/0!</v>
      </c>
      <c r="AB31" s="85">
        <f t="shared" ref="AB31:AB36" si="25">AG4/$AG$18</f>
        <v>0</v>
      </c>
      <c r="AE31" s="64" t="s">
        <v>1445</v>
      </c>
      <c r="AF31" s="85" t="e">
        <f t="shared" ref="AF31:AL31" si="26">AA18/E30</f>
        <v>#N/A</v>
      </c>
      <c r="AG31" s="85" t="e">
        <f t="shared" si="26"/>
        <v>#N/A</v>
      </c>
      <c r="AH31" s="85" t="e">
        <f t="shared" si="26"/>
        <v>#N/A</v>
      </c>
      <c r="AI31" s="85" t="e">
        <f t="shared" si="26"/>
        <v>#N/A</v>
      </c>
      <c r="AJ31" s="85" t="e">
        <f t="shared" si="26"/>
        <v>#N/A</v>
      </c>
      <c r="AK31" s="85" t="e">
        <f t="shared" si="26"/>
        <v>#N/A</v>
      </c>
      <c r="AL31" s="85">
        <f t="shared" si="26"/>
        <v>3.5150318289994181E-2</v>
      </c>
    </row>
    <row r="32" spans="1:38" x14ac:dyDescent="0.35">
      <c r="C32" s="118" t="s">
        <v>4318</v>
      </c>
      <c r="D32" s="856" t="e">
        <f>D30-D31</f>
        <v>#N/A</v>
      </c>
      <c r="E32" s="856" t="e">
        <f t="shared" ref="E32:J32" si="27">E30-E31</f>
        <v>#N/A</v>
      </c>
      <c r="F32" s="856" t="e">
        <f t="shared" si="27"/>
        <v>#N/A</v>
      </c>
      <c r="G32" s="856" t="e">
        <f t="shared" si="27"/>
        <v>#N/A</v>
      </c>
      <c r="H32" s="856" t="e">
        <f t="shared" si="27"/>
        <v>#N/A</v>
      </c>
      <c r="I32" s="856" t="e">
        <f t="shared" si="27"/>
        <v>#N/A</v>
      </c>
      <c r="J32" s="856" t="e">
        <f t="shared" si="27"/>
        <v>#N/A</v>
      </c>
      <c r="K32" s="956">
        <v>98441.842633704888</v>
      </c>
      <c r="O32" s="64" t="s">
        <v>1446</v>
      </c>
      <c r="P32" s="64">
        <f>SUM(P29:P31)</f>
        <v>0</v>
      </c>
      <c r="Q32" s="64">
        <f t="shared" ref="Q32:W32" si="28">SUM(Q29:Q31)</f>
        <v>0</v>
      </c>
      <c r="R32" s="64">
        <f t="shared" si="28"/>
        <v>0</v>
      </c>
      <c r="S32" s="64">
        <f t="shared" si="28"/>
        <v>0</v>
      </c>
      <c r="T32" s="64">
        <f t="shared" si="28"/>
        <v>0</v>
      </c>
      <c r="U32" s="64">
        <f t="shared" si="28"/>
        <v>0</v>
      </c>
      <c r="V32" s="64">
        <f t="shared" si="28"/>
        <v>0</v>
      </c>
      <c r="W32" s="64">
        <f t="shared" si="28"/>
        <v>0</v>
      </c>
      <c r="Y32" s="190" t="s">
        <v>1549</v>
      </c>
      <c r="Z32" s="64" t="s">
        <v>1420</v>
      </c>
      <c r="AA32" s="85" t="e">
        <f t="shared" si="24"/>
        <v>#DIV/0!</v>
      </c>
      <c r="AB32" s="348">
        <f t="shared" si="25"/>
        <v>0</v>
      </c>
      <c r="AE32" s="64" t="s">
        <v>1447</v>
      </c>
      <c r="AF32" s="86" t="e">
        <f t="shared" ref="AF32:AL32" si="29">100%-AF31</f>
        <v>#N/A</v>
      </c>
      <c r="AG32" s="86" t="e">
        <f t="shared" si="29"/>
        <v>#N/A</v>
      </c>
      <c r="AH32" s="86" t="e">
        <f t="shared" si="29"/>
        <v>#N/A</v>
      </c>
      <c r="AI32" s="86" t="e">
        <f t="shared" si="29"/>
        <v>#N/A</v>
      </c>
      <c r="AJ32" s="86" t="e">
        <f t="shared" si="29"/>
        <v>#N/A</v>
      </c>
      <c r="AK32" s="86" t="e">
        <f t="shared" si="29"/>
        <v>#N/A</v>
      </c>
      <c r="AL32" s="86">
        <f t="shared" si="29"/>
        <v>0.96484968171000585</v>
      </c>
    </row>
    <row r="33" spans="2:28" ht="15" thickBot="1" x14ac:dyDescent="0.4">
      <c r="Y33" s="190" t="s">
        <v>1413</v>
      </c>
      <c r="Z33" s="64" t="s">
        <v>1413</v>
      </c>
      <c r="AA33" s="85" t="e">
        <f t="shared" si="24"/>
        <v>#DIV/0!</v>
      </c>
      <c r="AB33" s="348">
        <f t="shared" si="25"/>
        <v>0</v>
      </c>
    </row>
    <row r="34" spans="2:28" x14ac:dyDescent="0.35">
      <c r="B34" s="320" t="s">
        <v>2294</v>
      </c>
      <c r="C34" s="320" t="s">
        <v>4323</v>
      </c>
      <c r="D34" s="322" t="e">
        <f>(D4+D6+D7+D16+D26+D27+D28)/D30</f>
        <v>#N/A</v>
      </c>
      <c r="E34" s="322" t="e">
        <f t="shared" ref="E34:K34" si="30">(E4+E6+E7+E16+E26+E27+E28)/E30</f>
        <v>#N/A</v>
      </c>
      <c r="F34" s="322" t="e">
        <f t="shared" si="30"/>
        <v>#N/A</v>
      </c>
      <c r="G34" s="322" t="e">
        <f t="shared" si="30"/>
        <v>#N/A</v>
      </c>
      <c r="H34" s="322" t="e">
        <f t="shared" si="30"/>
        <v>#N/A</v>
      </c>
      <c r="I34" s="322" t="e">
        <f t="shared" si="30"/>
        <v>#N/A</v>
      </c>
      <c r="J34" s="322" t="e">
        <f t="shared" si="30"/>
        <v>#N/A</v>
      </c>
      <c r="K34" s="322">
        <f t="shared" si="30"/>
        <v>0.33636987522530115</v>
      </c>
      <c r="O34" s="82" t="s">
        <v>1440</v>
      </c>
      <c r="P34" s="89">
        <v>2</v>
      </c>
      <c r="Q34" s="89">
        <v>3</v>
      </c>
      <c r="R34" s="89">
        <v>4</v>
      </c>
      <c r="S34" s="89">
        <v>5</v>
      </c>
      <c r="T34" s="89">
        <v>6</v>
      </c>
      <c r="U34" s="89">
        <v>7</v>
      </c>
      <c r="V34" s="89">
        <v>8</v>
      </c>
      <c r="W34" s="89">
        <v>9</v>
      </c>
      <c r="Y34" s="190" t="s">
        <v>1943</v>
      </c>
      <c r="Z34" s="64" t="s">
        <v>1424</v>
      </c>
      <c r="AA34" s="85" t="e">
        <f t="shared" si="24"/>
        <v>#DIV/0!</v>
      </c>
      <c r="AB34" s="348">
        <f t="shared" si="25"/>
        <v>0</v>
      </c>
    </row>
    <row r="35" spans="2:28" x14ac:dyDescent="0.35">
      <c r="B35" s="341"/>
      <c r="C35" s="862" t="s">
        <v>4319</v>
      </c>
      <c r="D35" s="322" t="e">
        <f>(D4+D6+D8+D15+D26+D27+D28)/(D31)</f>
        <v>#N/A</v>
      </c>
      <c r="E35" s="322" t="e">
        <f t="shared" ref="E35:K35" si="31">(E4+E6+E8+E15+E26+E27+E28)/(E31)</f>
        <v>#N/A</v>
      </c>
      <c r="F35" s="322" t="e">
        <f t="shared" si="31"/>
        <v>#N/A</v>
      </c>
      <c r="G35" s="322" t="e">
        <f t="shared" si="31"/>
        <v>#N/A</v>
      </c>
      <c r="H35" s="322" t="e">
        <f t="shared" si="31"/>
        <v>#N/A</v>
      </c>
      <c r="I35" s="322" t="e">
        <f t="shared" si="31"/>
        <v>#N/A</v>
      </c>
      <c r="J35" s="322" t="e">
        <f t="shared" si="31"/>
        <v>#N/A</v>
      </c>
      <c r="K35" s="322">
        <f t="shared" si="31"/>
        <v>0.3043062114381454</v>
      </c>
      <c r="N35" s="64" t="s">
        <v>1415</v>
      </c>
      <c r="O35" s="64" t="s">
        <v>1448</v>
      </c>
      <c r="P35" s="133" t="s">
        <v>1417</v>
      </c>
      <c r="Q35" s="133">
        <v>2020</v>
      </c>
      <c r="R35" s="133">
        <v>2025</v>
      </c>
      <c r="S35" s="133">
        <v>2030</v>
      </c>
      <c r="T35" s="133">
        <v>2035</v>
      </c>
      <c r="U35" s="133">
        <v>2040</v>
      </c>
      <c r="V35" s="133">
        <v>2045</v>
      </c>
      <c r="W35" s="133">
        <v>2050</v>
      </c>
      <c r="Y35" s="190" t="s">
        <v>1426</v>
      </c>
      <c r="Z35" s="64" t="s">
        <v>1426</v>
      </c>
      <c r="AA35" s="85" t="e">
        <f t="shared" si="24"/>
        <v>#DIV/0!</v>
      </c>
      <c r="AB35" s="348">
        <f t="shared" si="25"/>
        <v>0</v>
      </c>
    </row>
    <row r="36" spans="2:28" x14ac:dyDescent="0.35">
      <c r="B36" s="341"/>
      <c r="C36" s="862" t="s">
        <v>4320</v>
      </c>
      <c r="D36" s="348" t="e">
        <f>SUM(D17:D23,D25)/(SUM(D5,D17:D25))</f>
        <v>#DIV/0!</v>
      </c>
      <c r="E36" s="348" t="e">
        <f t="shared" ref="E36:K36" si="32">SUM(E17:E23,E25)/(SUM(E5,E17:E25))</f>
        <v>#DIV/0!</v>
      </c>
      <c r="F36" s="348" t="e">
        <f t="shared" si="32"/>
        <v>#DIV/0!</v>
      </c>
      <c r="G36" s="348" t="e">
        <f t="shared" si="32"/>
        <v>#DIV/0!</v>
      </c>
      <c r="H36" s="348" t="e">
        <f t="shared" si="32"/>
        <v>#DIV/0!</v>
      </c>
      <c r="I36" s="348" t="e">
        <f t="shared" si="32"/>
        <v>#DIV/0!</v>
      </c>
      <c r="J36" s="348" t="e">
        <f t="shared" si="32"/>
        <v>#DIV/0!</v>
      </c>
      <c r="K36" s="348">
        <f t="shared" si="32"/>
        <v>0.96556087289944348</v>
      </c>
      <c r="N36" s="64" t="s">
        <v>1052</v>
      </c>
      <c r="P36" s="163">
        <f>IFERROR(VLOOKUP($N36,flows!$A$2:$J$4985,P$2,FALSE),0)</f>
        <v>0</v>
      </c>
      <c r="Q36" s="163">
        <f>IFERROR(VLOOKUP($N36,flows!$A$2:$J$4985,Q$2,FALSE),0)</f>
        <v>0</v>
      </c>
      <c r="R36" s="163">
        <f>IFERROR(VLOOKUP($N36,flows!$A$2:$J$4985,R$2,FALSE),0)</f>
        <v>0</v>
      </c>
      <c r="S36" s="163">
        <f>IFERROR(VLOOKUP($N36,flows!$A$2:$J$4985,S$2,FALSE),0)</f>
        <v>0</v>
      </c>
      <c r="T36" s="163">
        <f>IFERROR(VLOOKUP($N36,flows!$A$2:$J$4985,T$2,FALSE),0)</f>
        <v>0</v>
      </c>
      <c r="U36" s="163">
        <f>IFERROR(VLOOKUP($N36,flows!$A$2:$J$4985,U$2,FALSE),0)</f>
        <v>0</v>
      </c>
      <c r="V36" s="163">
        <f>IFERROR(VLOOKUP($N36,flows!$A$2:$J$4985,V$2,FALSE),0)</f>
        <v>0</v>
      </c>
      <c r="W36" s="163">
        <f>IFERROR(VLOOKUP($N36,flows!$A$2:$J$4985,W$2,FALSE),0)</f>
        <v>0</v>
      </c>
      <c r="X36" s="84"/>
      <c r="Y36" s="190" t="s">
        <v>1940</v>
      </c>
      <c r="Z36" s="64" t="s">
        <v>1428</v>
      </c>
      <c r="AA36" s="85" t="e">
        <f t="shared" si="24"/>
        <v>#DIV/0!</v>
      </c>
      <c r="AB36" s="348">
        <f t="shared" si="25"/>
        <v>0</v>
      </c>
    </row>
    <row r="37" spans="2:28" x14ac:dyDescent="0.35">
      <c r="C37" s="862" t="s">
        <v>4321</v>
      </c>
      <c r="D37" s="348" t="e">
        <f>SUM(D4:D6,D8,D15,D24)/D31</f>
        <v>#N/A</v>
      </c>
      <c r="E37" s="348" t="e">
        <f t="shared" ref="E37:K37" si="33">SUM(E4:E6,E8,E15,E24)/E31</f>
        <v>#N/A</v>
      </c>
      <c r="F37" s="348" t="e">
        <f t="shared" si="33"/>
        <v>#N/A</v>
      </c>
      <c r="G37" s="348" t="e">
        <f t="shared" si="33"/>
        <v>#N/A</v>
      </c>
      <c r="H37" s="348" t="e">
        <f t="shared" si="33"/>
        <v>#N/A</v>
      </c>
      <c r="I37" s="348" t="e">
        <f t="shared" si="33"/>
        <v>#N/A</v>
      </c>
      <c r="J37" s="348" t="e">
        <f t="shared" si="33"/>
        <v>#N/A</v>
      </c>
      <c r="K37" s="348">
        <f t="shared" si="33"/>
        <v>3.8120332424748583E-2</v>
      </c>
      <c r="N37" s="64" t="s">
        <v>1053</v>
      </c>
      <c r="P37" s="163">
        <f>IFERROR(VLOOKUP($N37,flows!$A$2:$J$4985,P$2,FALSE),0)</f>
        <v>0</v>
      </c>
      <c r="Q37" s="163">
        <f>IFERROR(VLOOKUP($N37,flows!$A$2:$J$4985,Q$2,FALSE),0)</f>
        <v>0</v>
      </c>
      <c r="R37" s="163">
        <f>IFERROR(VLOOKUP($N37,flows!$A$2:$J$4985,R$2,FALSE),0)</f>
        <v>0</v>
      </c>
      <c r="S37" s="163">
        <f>IFERROR(VLOOKUP($N37,flows!$A$2:$J$4985,S$2,FALSE),0)</f>
        <v>0</v>
      </c>
      <c r="T37" s="163">
        <f>IFERROR(VLOOKUP($N37,flows!$A$2:$J$4985,T$2,FALSE),0)</f>
        <v>0</v>
      </c>
      <c r="U37" s="163">
        <f>IFERROR(VLOOKUP($N37,flows!$A$2:$J$4985,U$2,FALSE),0)</f>
        <v>0</v>
      </c>
      <c r="V37" s="163">
        <f>IFERROR(VLOOKUP($N37,flows!$A$2:$J$4985,V$2,FALSE),0)</f>
        <v>0</v>
      </c>
      <c r="W37" s="163">
        <f>IFERROR(VLOOKUP($N37,flows!$A$2:$J$4985,W$2,FALSE),0)</f>
        <v>0</v>
      </c>
      <c r="X37" s="84"/>
      <c r="Y37" s="190" t="s">
        <v>1941</v>
      </c>
      <c r="Z37" s="64" t="s">
        <v>1431</v>
      </c>
      <c r="AA37" s="85" t="e">
        <f t="shared" ref="AA37:AA42" si="34">AA11/$AA$18</f>
        <v>#DIV/0!</v>
      </c>
      <c r="AB37" s="348">
        <f t="shared" ref="AB37:AB42" si="35">AG11/$AG$18</f>
        <v>0</v>
      </c>
    </row>
    <row r="38" spans="2:28" x14ac:dyDescent="0.35">
      <c r="C38" s="862" t="s">
        <v>4322</v>
      </c>
      <c r="D38" s="348" t="e">
        <f>SUM(D4:D6,D8,D15)/D31</f>
        <v>#N/A</v>
      </c>
      <c r="E38" s="348" t="e">
        <f t="shared" ref="E38:K38" si="36">SUM(E4:E6,E8,E15)/E31</f>
        <v>#N/A</v>
      </c>
      <c r="F38" s="348" t="e">
        <f t="shared" si="36"/>
        <v>#N/A</v>
      </c>
      <c r="G38" s="348" t="e">
        <f t="shared" si="36"/>
        <v>#N/A</v>
      </c>
      <c r="H38" s="348" t="e">
        <f t="shared" si="36"/>
        <v>#N/A</v>
      </c>
      <c r="I38" s="348" t="e">
        <f t="shared" si="36"/>
        <v>#N/A</v>
      </c>
      <c r="J38" s="348" t="e">
        <f t="shared" si="36"/>
        <v>#N/A</v>
      </c>
      <c r="K38" s="348">
        <f t="shared" si="36"/>
        <v>1.4161298835834953E-2</v>
      </c>
      <c r="N38" s="64" t="s">
        <v>1054</v>
      </c>
      <c r="P38" s="163">
        <f>IFERROR(VLOOKUP($N38,flows!$A$2:$J$4985,P$2,FALSE),0)</f>
        <v>0</v>
      </c>
      <c r="Q38" s="163">
        <f>IFERROR(VLOOKUP($N38,flows!$A$2:$J$4985,Q$2,FALSE),0)</f>
        <v>0</v>
      </c>
      <c r="R38" s="163">
        <f>IFERROR(VLOOKUP($N38,flows!$A$2:$J$4985,R$2,FALSE),0)</f>
        <v>0</v>
      </c>
      <c r="S38" s="163">
        <f>IFERROR(VLOOKUP($N38,flows!$A$2:$J$4985,S$2,FALSE),0)</f>
        <v>0</v>
      </c>
      <c r="T38" s="163">
        <f>IFERROR(VLOOKUP($N38,flows!$A$2:$J$4985,T$2,FALSE),0)</f>
        <v>0</v>
      </c>
      <c r="U38" s="163">
        <f>IFERROR(VLOOKUP($N38,flows!$A$2:$J$4985,U$2,FALSE),0)</f>
        <v>0</v>
      </c>
      <c r="V38" s="163">
        <f>IFERROR(VLOOKUP($N38,flows!$A$2:$J$4985,V$2,FALSE),0)</f>
        <v>0</v>
      </c>
      <c r="W38" s="163">
        <f>IFERROR(VLOOKUP($N38,flows!$A$2:$J$4985,W$2,FALSE),0)</f>
        <v>0</v>
      </c>
      <c r="X38" s="84"/>
      <c r="Y38" s="190" t="s">
        <v>1944</v>
      </c>
      <c r="Z38" s="64" t="s">
        <v>1435</v>
      </c>
      <c r="AA38" s="85" t="e">
        <f t="shared" si="34"/>
        <v>#DIV/0!</v>
      </c>
      <c r="AB38" s="348">
        <f t="shared" si="35"/>
        <v>0</v>
      </c>
    </row>
    <row r="39" spans="2:28" x14ac:dyDescent="0.35">
      <c r="C39" s="365">
        <f>107*11.9</f>
        <v>1273.3</v>
      </c>
      <c r="N39" s="64" t="s">
        <v>1055</v>
      </c>
      <c r="P39" s="163">
        <f>IFERROR(VLOOKUP($N39,flows!$A$2:$J$4985,P$2,FALSE),0)</f>
        <v>0</v>
      </c>
      <c r="Q39" s="163">
        <f>IFERROR(VLOOKUP($N39,flows!$A$2:$J$4985,Q$2,FALSE),0)</f>
        <v>0</v>
      </c>
      <c r="R39" s="163">
        <f>IFERROR(VLOOKUP($N39,flows!$A$2:$J$4985,R$2,FALSE),0)</f>
        <v>0</v>
      </c>
      <c r="S39" s="163">
        <f>IFERROR(VLOOKUP($N39,flows!$A$2:$J$4985,S$2,FALSE),0)</f>
        <v>0</v>
      </c>
      <c r="T39" s="163">
        <f>IFERROR(VLOOKUP($N39,flows!$A$2:$J$4985,T$2,FALSE),0)</f>
        <v>0</v>
      </c>
      <c r="U39" s="163">
        <f>IFERROR(VLOOKUP($N39,flows!$A$2:$J$4985,U$2,FALSE),0)</f>
        <v>0</v>
      </c>
      <c r="V39" s="163">
        <f>IFERROR(VLOOKUP($N39,flows!$A$2:$J$4985,V$2,FALSE),0)</f>
        <v>0</v>
      </c>
      <c r="W39" s="163">
        <f>IFERROR(VLOOKUP($N39,flows!$A$2:$J$4985,W$2,FALSE),0)</f>
        <v>0</v>
      </c>
      <c r="X39" s="84"/>
      <c r="Y39" s="190" t="s">
        <v>1945</v>
      </c>
      <c r="Z39" s="64" t="s">
        <v>1438</v>
      </c>
      <c r="AA39" s="85" t="e">
        <f t="shared" si="34"/>
        <v>#DIV/0!</v>
      </c>
      <c r="AB39" s="348">
        <f t="shared" si="35"/>
        <v>0</v>
      </c>
    </row>
    <row r="40" spans="2:28" x14ac:dyDescent="0.35">
      <c r="N40" s="64" t="s">
        <v>1056</v>
      </c>
      <c r="P40" s="163">
        <f>IFERROR(VLOOKUP($N40,flows!$A$2:$J$4985,P$2,FALSE),0)</f>
        <v>0</v>
      </c>
      <c r="Q40" s="163">
        <f>IFERROR(VLOOKUP($N40,flows!$A$2:$J$4985,Q$2,FALSE),0)</f>
        <v>0</v>
      </c>
      <c r="R40" s="163">
        <f>IFERROR(VLOOKUP($N40,flows!$A$2:$J$4985,R$2,FALSE),0)</f>
        <v>0</v>
      </c>
      <c r="S40" s="163">
        <f>IFERROR(VLOOKUP($N40,flows!$A$2:$J$4985,S$2,FALSE),0)</f>
        <v>0</v>
      </c>
      <c r="T40" s="163">
        <f>IFERROR(VLOOKUP($N40,flows!$A$2:$J$4985,T$2,FALSE),0)</f>
        <v>0</v>
      </c>
      <c r="U40" s="163">
        <f>IFERROR(VLOOKUP($N40,flows!$A$2:$J$4985,U$2,FALSE),0)</f>
        <v>0</v>
      </c>
      <c r="V40" s="163">
        <f>IFERROR(VLOOKUP($N40,flows!$A$2:$J$4985,V$2,FALSE),0)</f>
        <v>0</v>
      </c>
      <c r="W40" s="163">
        <f>IFERROR(VLOOKUP($N40,flows!$A$2:$J$4985,W$2,FALSE),0)</f>
        <v>0</v>
      </c>
      <c r="X40" s="84"/>
      <c r="Y40" s="190" t="s">
        <v>1942</v>
      </c>
      <c r="Z40" s="64" t="s">
        <v>1208</v>
      </c>
      <c r="AA40" s="85" t="e">
        <f t="shared" si="34"/>
        <v>#DIV/0!</v>
      </c>
      <c r="AB40" s="348">
        <f t="shared" si="35"/>
        <v>0.65020155040006444</v>
      </c>
    </row>
    <row r="41" spans="2:28" x14ac:dyDescent="0.35">
      <c r="J41" s="64">
        <v>2020</v>
      </c>
      <c r="K41" s="64">
        <v>2050</v>
      </c>
      <c r="N41" s="64" t="s">
        <v>1057</v>
      </c>
      <c r="P41" s="163">
        <f>IFERROR(VLOOKUP($N41,flows!$A$2:$J$4985,P$2,FALSE),0)</f>
        <v>0</v>
      </c>
      <c r="Q41" s="163">
        <f>IFERROR(VLOOKUP($N41,flows!$A$2:$J$4985,Q$2,FALSE),0)</f>
        <v>0</v>
      </c>
      <c r="R41" s="163">
        <f>IFERROR(VLOOKUP($N41,flows!$A$2:$J$4985,R$2,FALSE),0)</f>
        <v>0</v>
      </c>
      <c r="S41" s="163">
        <f>IFERROR(VLOOKUP($N41,flows!$A$2:$J$4985,S$2,FALSE),0)</f>
        <v>0</v>
      </c>
      <c r="T41" s="163">
        <f>IFERROR(VLOOKUP($N41,flows!$A$2:$J$4985,T$2,FALSE),0)</f>
        <v>0</v>
      </c>
      <c r="U41" s="163">
        <f>IFERROR(VLOOKUP($N41,flows!$A$2:$J$4985,U$2,FALSE),0)</f>
        <v>0</v>
      </c>
      <c r="V41" s="163">
        <f>IFERROR(VLOOKUP($N41,flows!$A$2:$J$4985,V$2,FALSE),0)</f>
        <v>0</v>
      </c>
      <c r="W41" s="163">
        <f>IFERROR(VLOOKUP($N41,flows!$A$2:$J$4985,W$2,FALSE),0)</f>
        <v>0</v>
      </c>
      <c r="X41" s="84"/>
      <c r="Y41" s="190" t="s">
        <v>1551</v>
      </c>
      <c r="Z41" s="64" t="s">
        <v>1439</v>
      </c>
      <c r="AA41" s="85" t="e">
        <f t="shared" si="34"/>
        <v>#DIV/0!</v>
      </c>
      <c r="AB41" s="348">
        <f t="shared" si="35"/>
        <v>2.9774025466838643E-2</v>
      </c>
    </row>
    <row r="42" spans="2:28" x14ac:dyDescent="0.35">
      <c r="B42" s="862"/>
      <c r="C42" s="983" t="s">
        <v>4324</v>
      </c>
      <c r="D42" s="983"/>
      <c r="E42" s="862" t="s">
        <v>4331</v>
      </c>
      <c r="F42" s="862" t="s">
        <v>4332</v>
      </c>
      <c r="H42" s="190" t="s">
        <v>1342</v>
      </c>
      <c r="I42" s="64" t="s">
        <v>1206</v>
      </c>
      <c r="J42" s="85" t="e">
        <f>E4/$E$30</f>
        <v>#N/A</v>
      </c>
      <c r="K42" s="85">
        <f>K4/$K$30</f>
        <v>2.1548039322978065E-3</v>
      </c>
      <c r="N42" s="64" t="s">
        <v>1058</v>
      </c>
      <c r="P42" s="163">
        <f>IFERROR(VLOOKUP($N42,flows!$A$2:$J$4985,P$2,FALSE),0)</f>
        <v>0</v>
      </c>
      <c r="Q42" s="163">
        <f>IFERROR(VLOOKUP($N42,flows!$A$2:$J$4985,Q$2,FALSE),0)</f>
        <v>0</v>
      </c>
      <c r="R42" s="163">
        <f>IFERROR(VLOOKUP($N42,flows!$A$2:$J$4985,R$2,FALSE),0)</f>
        <v>0</v>
      </c>
      <c r="S42" s="163">
        <f>IFERROR(VLOOKUP($N42,flows!$A$2:$J$4985,S$2,FALSE),0)</f>
        <v>0</v>
      </c>
      <c r="T42" s="163">
        <f>IFERROR(VLOOKUP($N42,flows!$A$2:$J$4985,T$2,FALSE),0)</f>
        <v>0</v>
      </c>
      <c r="U42" s="163">
        <f>IFERROR(VLOOKUP($N42,flows!$A$2:$J$4985,U$2,FALSE),0)</f>
        <v>0</v>
      </c>
      <c r="V42" s="163">
        <f>IFERROR(VLOOKUP($N42,flows!$A$2:$J$4985,V$2,FALSE),0)</f>
        <v>0</v>
      </c>
      <c r="W42" s="163">
        <f>IFERROR(VLOOKUP($N42,flows!$A$2:$J$4985,W$2,FALSE),0)</f>
        <v>0</v>
      </c>
      <c r="X42" s="84"/>
      <c r="Y42" s="190" t="s">
        <v>1523</v>
      </c>
      <c r="Z42" s="64" t="s">
        <v>1427</v>
      </c>
      <c r="AA42" s="85" t="e">
        <f t="shared" si="34"/>
        <v>#DIV/0!</v>
      </c>
      <c r="AB42" s="348">
        <f t="shared" si="35"/>
        <v>0.32002442413309695</v>
      </c>
    </row>
    <row r="43" spans="2:28" x14ac:dyDescent="0.35">
      <c r="B43" s="862"/>
      <c r="C43" s="862" t="s">
        <v>4325</v>
      </c>
      <c r="D43" s="862" t="s">
        <v>2210</v>
      </c>
      <c r="E43" s="862"/>
      <c r="F43" s="862"/>
      <c r="H43" s="190" t="s">
        <v>1343</v>
      </c>
      <c r="I43" s="64" t="s">
        <v>1310</v>
      </c>
      <c r="J43" s="85" t="e">
        <f>E5/$E$30</f>
        <v>#N/A</v>
      </c>
      <c r="K43" s="85">
        <f>K5/$K$30</f>
        <v>5.076566403622229E-8</v>
      </c>
      <c r="N43" s="64" t="s">
        <v>1059</v>
      </c>
      <c r="P43" s="163">
        <f>IFERROR(VLOOKUP($N43,flows!$A$2:$J$4985,P$2,FALSE),0)</f>
        <v>0</v>
      </c>
      <c r="Q43" s="163">
        <f>IFERROR(VLOOKUP($N43,flows!$A$2:$J$4985,Q$2,FALSE),0)</f>
        <v>0</v>
      </c>
      <c r="R43" s="163">
        <f>IFERROR(VLOOKUP($N43,flows!$A$2:$J$4985,R$2,FALSE),0)</f>
        <v>0</v>
      </c>
      <c r="S43" s="163">
        <f>IFERROR(VLOOKUP($N43,flows!$A$2:$J$4985,S$2,FALSE),0)</f>
        <v>0</v>
      </c>
      <c r="T43" s="163">
        <f>IFERROR(VLOOKUP($N43,flows!$A$2:$J$4985,T$2,FALSE),0)</f>
        <v>0</v>
      </c>
      <c r="U43" s="163">
        <f>IFERROR(VLOOKUP($N43,flows!$A$2:$J$4985,U$2,FALSE),0)</f>
        <v>0</v>
      </c>
      <c r="V43" s="163">
        <f>IFERROR(VLOOKUP($N43,flows!$A$2:$J$4985,V$2,FALSE),0)</f>
        <v>0</v>
      </c>
      <c r="W43" s="163">
        <f>IFERROR(VLOOKUP($N43,flows!$A$2:$J$4985,W$2,FALSE),0)</f>
        <v>0</v>
      </c>
      <c r="X43" s="84"/>
    </row>
    <row r="44" spans="2:28" x14ac:dyDescent="0.35">
      <c r="B44" s="862" t="s">
        <v>1342</v>
      </c>
      <c r="C44" s="862">
        <v>1094.855</v>
      </c>
      <c r="D44" s="280">
        <f>C44/3.6</f>
        <v>304.12638888888887</v>
      </c>
      <c r="E44" s="862">
        <f>E4/1000</f>
        <v>0</v>
      </c>
      <c r="F44" s="350">
        <f>ROUND(E44-D44,0)</f>
        <v>-304</v>
      </c>
      <c r="H44" s="190" t="s">
        <v>1936</v>
      </c>
      <c r="I44" s="64" t="s">
        <v>1421</v>
      </c>
      <c r="J44" s="85" t="e">
        <f>E6/$E$30</f>
        <v>#N/A</v>
      </c>
      <c r="K44" s="348">
        <f>K6/$K$30</f>
        <v>0</v>
      </c>
      <c r="O44" s="64" t="s">
        <v>1449</v>
      </c>
      <c r="P44" s="64">
        <f>SUM(P36:P43)</f>
        <v>0</v>
      </c>
      <c r="Q44" s="64">
        <f t="shared" ref="Q44:W44" si="37">SUM(Q36:Q43)</f>
        <v>0</v>
      </c>
      <c r="R44" s="64">
        <f t="shared" si="37"/>
        <v>0</v>
      </c>
      <c r="S44" s="64">
        <f t="shared" si="37"/>
        <v>0</v>
      </c>
      <c r="T44" s="64">
        <f t="shared" si="37"/>
        <v>0</v>
      </c>
      <c r="U44" s="64">
        <f t="shared" si="37"/>
        <v>0</v>
      </c>
      <c r="V44" s="64">
        <f t="shared" si="37"/>
        <v>0</v>
      </c>
      <c r="W44" s="64">
        <f t="shared" si="37"/>
        <v>0</v>
      </c>
    </row>
    <row r="45" spans="2:28" x14ac:dyDescent="0.35">
      <c r="B45" s="862" t="s">
        <v>1343</v>
      </c>
      <c r="C45" s="862">
        <v>1161.2550000000001</v>
      </c>
      <c r="D45" s="280">
        <f t="shared" ref="D45:D52" si="38">C45/3.6</f>
        <v>322.57083333333338</v>
      </c>
      <c r="E45" s="862">
        <f>E5/1000</f>
        <v>0</v>
      </c>
      <c r="F45" s="350">
        <f t="shared" ref="F45:F52" si="39">ROUND(E45-D45,0)</f>
        <v>-323</v>
      </c>
      <c r="H45" s="190" t="s">
        <v>1340</v>
      </c>
      <c r="I45" s="64" t="s">
        <v>1161</v>
      </c>
      <c r="J45" s="85" t="e">
        <f>E7/$E$30</f>
        <v>#N/A</v>
      </c>
      <c r="K45" s="348">
        <f>K7/$K$30</f>
        <v>3.7034679215549827E-3</v>
      </c>
    </row>
    <row r="46" spans="2:28" x14ac:dyDescent="0.35">
      <c r="B46" s="862" t="s">
        <v>4326</v>
      </c>
      <c r="C46" s="862">
        <v>4511.3940000000002</v>
      </c>
      <c r="D46" s="280">
        <f t="shared" si="38"/>
        <v>1253.165</v>
      </c>
      <c r="E46" s="862">
        <f>(E10+E11)/1000</f>
        <v>97</v>
      </c>
      <c r="F46" s="350">
        <f t="shared" si="39"/>
        <v>-1156</v>
      </c>
      <c r="H46" s="190" t="s">
        <v>1884</v>
      </c>
      <c r="I46" s="64" t="s">
        <v>1207</v>
      </c>
      <c r="J46" s="85" t="e">
        <f>E10/$E$30</f>
        <v>#N/A</v>
      </c>
      <c r="K46" s="348">
        <f>K10/$K$30</f>
        <v>1.1354978258419648E-2</v>
      </c>
      <c r="N46" s="64" t="s">
        <v>1060</v>
      </c>
      <c r="P46" s="163">
        <f>IFERROR(VLOOKUP($N46,flows!$A$2:$J$4985,P$2,FALSE),0)</f>
        <v>0</v>
      </c>
      <c r="Q46" s="163">
        <f>IFERROR(VLOOKUP($N46,flows!$A$2:$J$4985,Q$2,FALSE),0)</f>
        <v>0</v>
      </c>
      <c r="R46" s="163">
        <f>IFERROR(VLOOKUP($N46,flows!$A$2:$J$4985,R$2,FALSE),0)</f>
        <v>0</v>
      </c>
      <c r="S46" s="163">
        <f>IFERROR(VLOOKUP($N46,flows!$A$2:$J$4985,S$2,FALSE),0)</f>
        <v>0</v>
      </c>
      <c r="T46" s="163">
        <f>IFERROR(VLOOKUP($N46,flows!$A$2:$J$4985,T$2,FALSE),0)</f>
        <v>0</v>
      </c>
      <c r="U46" s="163">
        <f>IFERROR(VLOOKUP($N46,flows!$A$2:$J$4985,U$2,FALSE),0)</f>
        <v>0</v>
      </c>
      <c r="V46" s="163">
        <f>IFERROR(VLOOKUP($N46,flows!$A$2:$J$4985,V$2,FALSE),0)</f>
        <v>0</v>
      </c>
      <c r="W46" s="163">
        <f>IFERROR(VLOOKUP($N46,flows!$A$2:$J$4985,W$2,FALSE),0)</f>
        <v>0</v>
      </c>
      <c r="X46" s="84"/>
    </row>
    <row r="47" spans="2:28" x14ac:dyDescent="0.35">
      <c r="B47" s="862" t="s">
        <v>4327</v>
      </c>
      <c r="C47" s="862">
        <v>3199.9160000000002</v>
      </c>
      <c r="D47" s="280">
        <f t="shared" si="38"/>
        <v>888.8655555555556</v>
      </c>
      <c r="E47" s="862">
        <f>E7/1000</f>
        <v>0</v>
      </c>
      <c r="F47" s="350">
        <f t="shared" si="39"/>
        <v>-889</v>
      </c>
      <c r="H47" s="190" t="s">
        <v>1523</v>
      </c>
      <c r="I47" s="64" t="s">
        <v>1427</v>
      </c>
      <c r="J47" s="85" t="e">
        <f t="shared" ref="J47:J58" si="40">E17/$E$30</f>
        <v>#N/A</v>
      </c>
      <c r="K47" s="348">
        <f t="shared" ref="K47:K58" si="41">K17/$K$30</f>
        <v>1.1248960368850452E-2</v>
      </c>
      <c r="N47" s="64" t="s">
        <v>1061</v>
      </c>
      <c r="P47" s="163">
        <f>IFERROR(VLOOKUP($N47,flows!$A$2:$J$4985,P$2,FALSE),0)</f>
        <v>0</v>
      </c>
      <c r="Q47" s="163">
        <f>IFERROR(VLOOKUP($N47,flows!$A$2:$J$4985,Q$2,FALSE),0)</f>
        <v>0</v>
      </c>
      <c r="R47" s="163">
        <f>IFERROR(VLOOKUP($N47,flows!$A$2:$J$4985,R$2,FALSE),0)</f>
        <v>0</v>
      </c>
      <c r="S47" s="163">
        <f>IFERROR(VLOOKUP($N47,flows!$A$2:$J$4985,S$2,FALSE),0)</f>
        <v>0</v>
      </c>
      <c r="T47" s="163">
        <f>IFERROR(VLOOKUP($N47,flows!$A$2:$J$4985,T$2,FALSE),0)</f>
        <v>0</v>
      </c>
      <c r="U47" s="163">
        <f>IFERROR(VLOOKUP($N47,flows!$A$2:$J$4985,U$2,FALSE),0)</f>
        <v>0</v>
      </c>
      <c r="V47" s="163">
        <f>IFERROR(VLOOKUP($N47,flows!$A$2:$J$4985,V$2,FALSE),0)</f>
        <v>0</v>
      </c>
      <c r="W47" s="163">
        <f>IFERROR(VLOOKUP($N47,flows!$A$2:$J$4985,W$2,FALSE),0)</f>
        <v>0</v>
      </c>
      <c r="X47" s="84"/>
    </row>
    <row r="48" spans="2:28" x14ac:dyDescent="0.35">
      <c r="B48" s="862" t="s">
        <v>4328</v>
      </c>
      <c r="C48" s="862">
        <v>1896.105</v>
      </c>
      <c r="D48" s="280">
        <f t="shared" si="38"/>
        <v>526.69583333333333</v>
      </c>
      <c r="E48" s="862">
        <f>SUM(E17:E23,E25)/1000</f>
        <v>0</v>
      </c>
      <c r="F48" s="350">
        <f t="shared" si="39"/>
        <v>-527</v>
      </c>
      <c r="H48" s="190" t="s">
        <v>1937</v>
      </c>
      <c r="I48" s="64" t="s">
        <v>1451</v>
      </c>
      <c r="J48" s="85" t="e">
        <f t="shared" si="40"/>
        <v>#N/A</v>
      </c>
      <c r="K48" s="348">
        <f t="shared" si="41"/>
        <v>0.16190941046485227</v>
      </c>
      <c r="N48" s="64" t="s">
        <v>1062</v>
      </c>
      <c r="P48" s="163">
        <f>IFERROR(VLOOKUP($N48,flows!$A$2:$J$4985,P$2,FALSE),0)</f>
        <v>0</v>
      </c>
      <c r="Q48" s="163">
        <f>IFERROR(VLOOKUP($N48,flows!$A$2:$J$4985,Q$2,FALSE),0)</f>
        <v>0</v>
      </c>
      <c r="R48" s="163">
        <f>IFERROR(VLOOKUP($N48,flows!$A$2:$J$4985,R$2,FALSE),0)</f>
        <v>0</v>
      </c>
      <c r="S48" s="163">
        <f>IFERROR(VLOOKUP($N48,flows!$A$2:$J$4985,S$2,FALSE),0)</f>
        <v>0</v>
      </c>
      <c r="T48" s="163">
        <f>IFERROR(VLOOKUP($N48,flows!$A$2:$J$4985,T$2,FALSE),0)</f>
        <v>0</v>
      </c>
      <c r="U48" s="163">
        <f>IFERROR(VLOOKUP($N48,flows!$A$2:$J$4985,U$2,FALSE),0)</f>
        <v>0</v>
      </c>
      <c r="V48" s="163">
        <f>IFERROR(VLOOKUP($N48,flows!$A$2:$J$4985,V$2,FALSE),0)</f>
        <v>0</v>
      </c>
      <c r="W48" s="163">
        <f>IFERROR(VLOOKUP($N48,flows!$A$2:$J$4985,W$2,FALSE),0)</f>
        <v>0</v>
      </c>
      <c r="X48" s="84"/>
    </row>
    <row r="49" spans="2:24" x14ac:dyDescent="0.35">
      <c r="B49" s="862" t="s">
        <v>4329</v>
      </c>
      <c r="C49" s="862">
        <v>214.221</v>
      </c>
      <c r="D49" s="280">
        <f t="shared" si="38"/>
        <v>59.505833333333335</v>
      </c>
      <c r="E49" s="862">
        <f>E24/1000</f>
        <v>0</v>
      </c>
      <c r="F49" s="350">
        <f t="shared" si="39"/>
        <v>-60</v>
      </c>
      <c r="H49" s="190" t="s">
        <v>1938</v>
      </c>
      <c r="I49" s="64" t="s">
        <v>1432</v>
      </c>
      <c r="J49" s="85" t="e">
        <f t="shared" si="40"/>
        <v>#N/A</v>
      </c>
      <c r="K49" s="348">
        <f t="shared" si="41"/>
        <v>3.6203433167558592E-2</v>
      </c>
      <c r="N49" s="64" t="s">
        <v>1063</v>
      </c>
      <c r="P49" s="163">
        <f>IFERROR(VLOOKUP($N49,flows!$A$2:$J$4985,P$2,FALSE),0)</f>
        <v>0</v>
      </c>
      <c r="Q49" s="163">
        <f>IFERROR(VLOOKUP($N49,flows!$A$2:$J$4985,Q$2,FALSE),0)</f>
        <v>0</v>
      </c>
      <c r="R49" s="163">
        <f>IFERROR(VLOOKUP($N49,flows!$A$2:$J$4985,R$2,FALSE),0)</f>
        <v>0</v>
      </c>
      <c r="S49" s="163">
        <f>IFERROR(VLOOKUP($N49,flows!$A$2:$J$4985,S$2,FALSE),0)</f>
        <v>0</v>
      </c>
      <c r="T49" s="163">
        <f>IFERROR(VLOOKUP($N49,flows!$A$2:$J$4985,T$2,FALSE),0)</f>
        <v>0</v>
      </c>
      <c r="U49" s="163">
        <f>IFERROR(VLOOKUP($N49,flows!$A$2:$J$4985,U$2,FALSE),0)</f>
        <v>0</v>
      </c>
      <c r="V49" s="163">
        <f>IFERROR(VLOOKUP($N49,flows!$A$2:$J$4985,V$2,FALSE),0)</f>
        <v>0</v>
      </c>
      <c r="W49" s="163">
        <f>IFERROR(VLOOKUP($N49,flows!$A$2:$J$4985,W$2,FALSE),0)</f>
        <v>0</v>
      </c>
      <c r="X49" s="84"/>
    </row>
    <row r="50" spans="2:24" x14ac:dyDescent="0.35">
      <c r="B50" s="862" t="s">
        <v>4330</v>
      </c>
      <c r="C50" s="862">
        <v>-117.60500000000002</v>
      </c>
      <c r="D50" s="280">
        <f t="shared" si="38"/>
        <v>-32.668055555555561</v>
      </c>
      <c r="E50" s="862" t="e">
        <f>('Strom - Flows'!R126-'Strom - Flows'!R112)/1000</f>
        <v>#N/A</v>
      </c>
      <c r="F50" s="350" t="e">
        <f t="shared" si="39"/>
        <v>#N/A</v>
      </c>
      <c r="H50" s="190" t="s">
        <v>1939</v>
      </c>
      <c r="I50" s="64" t="s">
        <v>1436</v>
      </c>
      <c r="J50" s="85" t="e">
        <f t="shared" si="40"/>
        <v>#N/A</v>
      </c>
      <c r="K50" s="348">
        <f t="shared" si="41"/>
        <v>2.4283764169432719E-3</v>
      </c>
      <c r="N50" s="64" t="s">
        <v>1064</v>
      </c>
      <c r="P50" s="163">
        <f>IFERROR(VLOOKUP($N50,flows!$A$2:$J$4985,P$2,FALSE),0)</f>
        <v>0</v>
      </c>
      <c r="Q50" s="163">
        <f>IFERROR(VLOOKUP($N50,flows!$A$2:$J$4985,Q$2,FALSE),0)</f>
        <v>0</v>
      </c>
      <c r="R50" s="163">
        <f>IFERROR(VLOOKUP($N50,flows!$A$2:$J$4985,R$2,FALSE),0)</f>
        <v>0</v>
      </c>
      <c r="S50" s="163">
        <f>IFERROR(VLOOKUP($N50,flows!$A$2:$J$4985,S$2,FALSE),0)</f>
        <v>0</v>
      </c>
      <c r="T50" s="163">
        <f>IFERROR(VLOOKUP($N50,flows!$A$2:$J$4985,T$2,FALSE),0)</f>
        <v>0</v>
      </c>
      <c r="U50" s="163">
        <f>IFERROR(VLOOKUP($N50,flows!$A$2:$J$4985,U$2,FALSE),0)</f>
        <v>0</v>
      </c>
      <c r="V50" s="163">
        <f>IFERROR(VLOOKUP($N50,flows!$A$2:$J$4985,V$2,FALSE),0)</f>
        <v>0</v>
      </c>
      <c r="W50" s="163">
        <f>IFERROR(VLOOKUP($N50,flows!$A$2:$J$4985,W$2,FALSE),0)</f>
        <v>0</v>
      </c>
      <c r="X50" s="84"/>
    </row>
    <row r="51" spans="2:24" x14ac:dyDescent="0.35">
      <c r="B51" s="862" t="s">
        <v>1936</v>
      </c>
      <c r="C51" s="862">
        <v>818.952</v>
      </c>
      <c r="D51" s="280">
        <f t="shared" si="38"/>
        <v>227.48666666666665</v>
      </c>
      <c r="E51" s="862">
        <f>E6/1000</f>
        <v>0</v>
      </c>
      <c r="F51" s="350">
        <f t="shared" si="39"/>
        <v>-227</v>
      </c>
      <c r="H51" s="190" t="s">
        <v>1940</v>
      </c>
      <c r="I51" s="64" t="s">
        <v>1324</v>
      </c>
      <c r="J51" s="85" t="e">
        <f t="shared" si="40"/>
        <v>#N/A</v>
      </c>
      <c r="K51" s="348">
        <f t="shared" si="41"/>
        <v>0.10629962866635713</v>
      </c>
      <c r="N51" s="64" t="s">
        <v>1065</v>
      </c>
      <c r="P51" s="163">
        <f>IFERROR(VLOOKUP($N51,flows!$A$2:$J$4985,P$2,FALSE),0)</f>
        <v>0</v>
      </c>
      <c r="Q51" s="163">
        <f>IFERROR(VLOOKUP($N51,flows!$A$2:$J$4985,Q$2,FALSE),0)</f>
        <v>0</v>
      </c>
      <c r="R51" s="163">
        <f>IFERROR(VLOOKUP($N51,flows!$A$2:$J$4985,R$2,FALSE),0)</f>
        <v>0</v>
      </c>
      <c r="S51" s="163">
        <f>IFERROR(VLOOKUP($N51,flows!$A$2:$J$4985,S$2,FALSE),0)</f>
        <v>0</v>
      </c>
      <c r="T51" s="163">
        <f>IFERROR(VLOOKUP($N51,flows!$A$2:$J$4985,T$2,FALSE),0)</f>
        <v>0</v>
      </c>
      <c r="U51" s="163">
        <f>IFERROR(VLOOKUP($N51,flows!$A$2:$J$4985,U$2,FALSE),0)</f>
        <v>0</v>
      </c>
      <c r="V51" s="163">
        <f>IFERROR(VLOOKUP($N51,flows!$A$2:$J$4985,V$2,FALSE),0)</f>
        <v>0</v>
      </c>
      <c r="W51" s="163">
        <f>IFERROR(VLOOKUP($N51,flows!$A$2:$J$4985,W$2,FALSE),0)</f>
        <v>0</v>
      </c>
      <c r="X51" s="84"/>
    </row>
    <row r="52" spans="2:24" x14ac:dyDescent="0.35">
      <c r="B52" s="133" t="s">
        <v>1339</v>
      </c>
      <c r="C52" s="862">
        <f>SUM(C44:C51)</f>
        <v>12779.093000000001</v>
      </c>
      <c r="D52" s="280">
        <f t="shared" si="38"/>
        <v>3549.7480555555558</v>
      </c>
      <c r="E52" s="862" t="e">
        <f>SUM(E44:E51)</f>
        <v>#N/A</v>
      </c>
      <c r="F52" s="350" t="e">
        <f t="shared" si="39"/>
        <v>#N/A</v>
      </c>
      <c r="H52" s="190" t="s">
        <v>1941</v>
      </c>
      <c r="I52" s="64" t="s">
        <v>1323</v>
      </c>
      <c r="J52" s="85" t="e">
        <f t="shared" si="40"/>
        <v>#N/A</v>
      </c>
      <c r="K52" s="348">
        <f t="shared" si="41"/>
        <v>0.11399979665967538</v>
      </c>
      <c r="N52" s="64" t="s">
        <v>1066</v>
      </c>
      <c r="P52" s="163">
        <f>IFERROR(VLOOKUP($N52,flows!$A$2:$J$4985,P$2,FALSE),0)</f>
        <v>0</v>
      </c>
      <c r="Q52" s="163">
        <f>IFERROR(VLOOKUP($N52,flows!$A$2:$J$4985,Q$2,FALSE),0)</f>
        <v>0</v>
      </c>
      <c r="R52" s="163">
        <f>IFERROR(VLOOKUP($N52,flows!$A$2:$J$4985,R$2,FALSE),0)</f>
        <v>0</v>
      </c>
      <c r="S52" s="163">
        <f>IFERROR(VLOOKUP($N52,flows!$A$2:$J$4985,S$2,FALSE),0)</f>
        <v>0</v>
      </c>
      <c r="T52" s="163">
        <f>IFERROR(VLOOKUP($N52,flows!$A$2:$J$4985,T$2,FALSE),0)</f>
        <v>0</v>
      </c>
      <c r="U52" s="163">
        <f>IFERROR(VLOOKUP($N52,flows!$A$2:$J$4985,U$2,FALSE),0)</f>
        <v>0</v>
      </c>
      <c r="V52" s="163">
        <f>IFERROR(VLOOKUP($N52,flows!$A$2:$J$4985,V$2,FALSE),0)</f>
        <v>0</v>
      </c>
      <c r="W52" s="163">
        <f>IFERROR(VLOOKUP($N52,flows!$A$2:$J$4985,W$2,FALSE),0)</f>
        <v>0</v>
      </c>
      <c r="X52" s="84"/>
    </row>
    <row r="53" spans="2:24" x14ac:dyDescent="0.35">
      <c r="B53" s="352"/>
      <c r="D53" s="365"/>
      <c r="E53" s="862"/>
      <c r="F53" s="862"/>
      <c r="H53" s="190" t="s">
        <v>1440</v>
      </c>
      <c r="I53" s="64" t="s">
        <v>1440</v>
      </c>
      <c r="J53" s="85" t="e">
        <f t="shared" si="40"/>
        <v>#N/A</v>
      </c>
      <c r="K53" s="348">
        <f t="shared" si="41"/>
        <v>0.20763911034365415</v>
      </c>
      <c r="N53" s="64" t="s">
        <v>1067</v>
      </c>
      <c r="P53" s="163">
        <f>IFERROR(VLOOKUP($N53,flows!$A$2:$J$4985,P$2,FALSE),0)</f>
        <v>0</v>
      </c>
      <c r="Q53" s="163">
        <f>IFERROR(VLOOKUP($N53,flows!$A$2:$J$4985,Q$2,FALSE),0)</f>
        <v>0</v>
      </c>
      <c r="R53" s="163">
        <f>IFERROR(VLOOKUP($N53,flows!$A$2:$J$4985,R$2,FALSE),0)</f>
        <v>0</v>
      </c>
      <c r="S53" s="163">
        <f>IFERROR(VLOOKUP($N53,flows!$A$2:$J$4985,S$2,FALSE),0)</f>
        <v>0</v>
      </c>
      <c r="T53" s="163">
        <f>IFERROR(VLOOKUP($N53,flows!$A$2:$J$4985,T$2,FALSE),0)</f>
        <v>0</v>
      </c>
      <c r="U53" s="163">
        <f>IFERROR(VLOOKUP($N53,flows!$A$2:$J$4985,U$2,FALSE),0)</f>
        <v>0</v>
      </c>
      <c r="V53" s="163">
        <f>IFERROR(VLOOKUP($N53,flows!$A$2:$J$4985,V$2,FALSE),0)</f>
        <v>0</v>
      </c>
      <c r="W53" s="163">
        <f>IFERROR(VLOOKUP($N53,flows!$A$2:$J$4985,W$2,FALSE),0)</f>
        <v>0</v>
      </c>
      <c r="X53" s="84"/>
    </row>
    <row r="54" spans="2:24" x14ac:dyDescent="0.35">
      <c r="B54" s="352"/>
      <c r="D54" s="365"/>
      <c r="E54" s="862"/>
      <c r="F54" s="862"/>
      <c r="H54" s="190" t="s">
        <v>1942</v>
      </c>
      <c r="I54" s="64" t="s">
        <v>1208</v>
      </c>
      <c r="J54" s="85" t="e">
        <f t="shared" si="40"/>
        <v>#N/A</v>
      </c>
      <c r="K54" s="348">
        <f t="shared" si="41"/>
        <v>2.2854791449209957E-2</v>
      </c>
      <c r="O54" s="64" t="s">
        <v>1450</v>
      </c>
      <c r="P54" s="84">
        <f>SUM(P46:P53)</f>
        <v>0</v>
      </c>
      <c r="Q54" s="84">
        <f t="shared" ref="Q54:W54" si="42">SUM(Q46:Q53)</f>
        <v>0</v>
      </c>
      <c r="R54" s="84">
        <f t="shared" si="42"/>
        <v>0</v>
      </c>
      <c r="S54" s="84">
        <f t="shared" si="42"/>
        <v>0</v>
      </c>
      <c r="T54" s="84">
        <f t="shared" si="42"/>
        <v>0</v>
      </c>
      <c r="U54" s="84">
        <f t="shared" si="42"/>
        <v>0</v>
      </c>
      <c r="V54" s="84">
        <f t="shared" si="42"/>
        <v>0</v>
      </c>
      <c r="W54" s="84">
        <f t="shared" si="42"/>
        <v>0</v>
      </c>
      <c r="X54" s="84"/>
    </row>
    <row r="55" spans="2:24" x14ac:dyDescent="0.35">
      <c r="E55" s="862"/>
      <c r="F55" s="888" t="e">
        <f>F52/D52</f>
        <v>#N/A</v>
      </c>
      <c r="H55" s="190" t="s">
        <v>1551</v>
      </c>
      <c r="I55" s="64" t="s">
        <v>1439</v>
      </c>
      <c r="J55" s="85" t="e">
        <f t="shared" si="40"/>
        <v>#N/A</v>
      </c>
      <c r="K55" s="348">
        <f t="shared" si="41"/>
        <v>1.0465664719337708E-3</v>
      </c>
    </row>
    <row r="56" spans="2:24" x14ac:dyDescent="0.35">
      <c r="H56" s="190" t="s">
        <v>1760</v>
      </c>
      <c r="I56" s="132" t="s">
        <v>2341</v>
      </c>
      <c r="J56" s="85" t="e">
        <f t="shared" si="40"/>
        <v>#N/A</v>
      </c>
      <c r="K56" s="348">
        <f t="shared" si="41"/>
        <v>3.4898584131657487E-2</v>
      </c>
      <c r="O56" s="64" t="s">
        <v>1452</v>
      </c>
      <c r="P56" s="84">
        <f>SUM(P44,P54)</f>
        <v>0</v>
      </c>
      <c r="Q56" s="84">
        <f t="shared" ref="Q56:W56" si="43">SUM(Q44,Q54)</f>
        <v>0</v>
      </c>
      <c r="R56" s="84">
        <f t="shared" si="43"/>
        <v>0</v>
      </c>
      <c r="S56" s="84">
        <f t="shared" si="43"/>
        <v>0</v>
      </c>
      <c r="T56" s="84">
        <f t="shared" si="43"/>
        <v>0</v>
      </c>
      <c r="U56" s="84">
        <f t="shared" si="43"/>
        <v>0</v>
      </c>
      <c r="V56" s="84">
        <f t="shared" si="43"/>
        <v>0</v>
      </c>
      <c r="W56" s="84">
        <f t="shared" si="43"/>
        <v>0</v>
      </c>
      <c r="X56" s="84"/>
    </row>
    <row r="57" spans="2:24" x14ac:dyDescent="0.35">
      <c r="H57" s="190" t="s">
        <v>1758</v>
      </c>
      <c r="I57" s="132" t="s">
        <v>1758</v>
      </c>
      <c r="J57" s="85" t="e">
        <f t="shared" si="40"/>
        <v>#N/A</v>
      </c>
      <c r="K57" s="348">
        <f t="shared" si="41"/>
        <v>4.094877646994563E-2</v>
      </c>
    </row>
    <row r="58" spans="2:24" x14ac:dyDescent="0.35">
      <c r="H58" s="190" t="s">
        <v>1759</v>
      </c>
      <c r="I58" s="132" t="s">
        <v>1759</v>
      </c>
      <c r="J58" s="85" t="e">
        <f t="shared" si="40"/>
        <v>#N/A</v>
      </c>
      <c r="K58" s="348">
        <f t="shared" si="41"/>
        <v>0.20092518363572823</v>
      </c>
    </row>
  </sheetData>
  <mergeCells count="1">
    <mergeCell ref="C42:D42"/>
  </mergeCells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1"/>
  </sheetPr>
  <dimension ref="B1:CD402"/>
  <sheetViews>
    <sheetView topLeftCell="BI1" zoomScale="70" zoomScaleNormal="70" workbookViewId="0">
      <selection activeCell="I8" sqref="I8"/>
    </sheetView>
  </sheetViews>
  <sheetFormatPr baseColWidth="10" defaultColWidth="11.453125" defaultRowHeight="14" x14ac:dyDescent="0.35"/>
  <cols>
    <col min="1" max="1" width="11.453125" style="191"/>
    <col min="2" max="2" width="37.54296875" style="191" bestFit="1" customWidth="1"/>
    <col min="3" max="3" width="24.1796875" style="191" customWidth="1"/>
    <col min="4" max="4" width="17.81640625" style="191" bestFit="1" customWidth="1"/>
    <col min="5" max="13" width="11.453125" style="191"/>
    <col min="14" max="14" width="38.54296875" style="191" bestFit="1" customWidth="1"/>
    <col min="15" max="15" width="38.54296875" style="191" customWidth="1"/>
    <col min="16" max="16" width="19.54296875" style="191" bestFit="1" customWidth="1"/>
    <col min="17" max="25" width="11.453125" style="191"/>
    <col min="26" max="26" width="38.54296875" style="191" bestFit="1" customWidth="1"/>
    <col min="27" max="27" width="35.81640625" style="191" bestFit="1" customWidth="1"/>
    <col min="28" max="34" width="11.453125" style="191"/>
    <col min="35" max="35" width="13.36328125" style="191" bestFit="1" customWidth="1"/>
    <col min="36" max="37" width="11.453125" style="65"/>
    <col min="38" max="38" width="37.453125" style="65" bestFit="1" customWidth="1"/>
    <col min="39" max="39" width="41" style="65" bestFit="1" customWidth="1"/>
    <col min="40" max="48" width="11.453125" style="65"/>
    <col min="49" max="49" width="47.1796875" style="65" bestFit="1" customWidth="1"/>
    <col min="50" max="59" width="11.453125" style="65"/>
    <col min="60" max="60" width="13.81640625" style="191" customWidth="1"/>
    <col min="61" max="61" width="51.453125" style="191" bestFit="1" customWidth="1"/>
    <col min="62" max="62" width="35.81640625" style="191" bestFit="1" customWidth="1"/>
    <col min="63" max="63" width="11.453125" style="191"/>
    <col min="64" max="64" width="13" style="191" bestFit="1" customWidth="1"/>
    <col min="65" max="66" width="11.453125" style="191"/>
    <col min="67" max="69" width="15" style="191" bestFit="1" customWidth="1"/>
    <col min="70" max="72" width="11.453125" style="191"/>
    <col min="73" max="73" width="51.81640625" style="191" bestFit="1" customWidth="1"/>
    <col min="74" max="74" width="35.81640625" style="191" bestFit="1" customWidth="1"/>
    <col min="75" max="76" width="11.453125" style="191"/>
    <col min="77" max="77" width="11.54296875" style="191" bestFit="1" customWidth="1"/>
    <col min="78" max="78" width="14" style="191" bestFit="1" customWidth="1"/>
    <col min="79" max="79" width="12.81640625" style="191" bestFit="1" customWidth="1"/>
    <col min="80" max="80" width="11.453125" style="191"/>
    <col min="81" max="82" width="14" style="191" bestFit="1" customWidth="1"/>
    <col min="83" max="16384" width="11.453125" style="191"/>
  </cols>
  <sheetData>
    <row r="1" spans="2:82" ht="14.5" thickBot="1" x14ac:dyDescent="0.4">
      <c r="P1" s="191" t="s">
        <v>1157</v>
      </c>
      <c r="BI1" s="44"/>
    </row>
    <row r="2" spans="2:82" ht="14.5" x14ac:dyDescent="0.35">
      <c r="B2" s="196" t="s">
        <v>1173</v>
      </c>
      <c r="C2" s="209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N2" s="196" t="s">
        <v>1312</v>
      </c>
      <c r="O2" s="209"/>
      <c r="P2" s="89">
        <v>2</v>
      </c>
      <c r="Q2" s="89">
        <v>3</v>
      </c>
      <c r="R2" s="89">
        <v>4</v>
      </c>
      <c r="S2" s="89">
        <v>5</v>
      </c>
      <c r="T2" s="89">
        <v>6</v>
      </c>
      <c r="U2" s="89">
        <v>7</v>
      </c>
      <c r="V2" s="89">
        <v>8</v>
      </c>
      <c r="W2" s="89">
        <v>9</v>
      </c>
      <c r="Z2" s="196" t="s">
        <v>1315</v>
      </c>
      <c r="AA2" s="209" t="s">
        <v>1157</v>
      </c>
      <c r="AB2" s="89">
        <v>2</v>
      </c>
      <c r="AC2" s="89">
        <v>3</v>
      </c>
      <c r="AD2" s="89">
        <v>4</v>
      </c>
      <c r="AE2" s="89">
        <v>5</v>
      </c>
      <c r="AF2" s="89">
        <v>6</v>
      </c>
      <c r="AG2" s="89">
        <v>7</v>
      </c>
      <c r="AH2" s="89">
        <v>8</v>
      </c>
      <c r="AI2" s="89">
        <v>9</v>
      </c>
      <c r="AJ2" s="204"/>
      <c r="AK2" s="204"/>
      <c r="AL2" s="196" t="s">
        <v>4032</v>
      </c>
      <c r="AM2" s="209" t="s">
        <v>1157</v>
      </c>
      <c r="AN2" s="89">
        <v>2</v>
      </c>
      <c r="AO2" s="89">
        <v>3</v>
      </c>
      <c r="AP2" s="89">
        <v>4</v>
      </c>
      <c r="AQ2" s="89">
        <v>5</v>
      </c>
      <c r="AR2" s="89">
        <v>6</v>
      </c>
      <c r="AS2" s="89">
        <v>7</v>
      </c>
      <c r="AT2" s="89">
        <v>8</v>
      </c>
      <c r="AU2" s="850">
        <v>9</v>
      </c>
      <c r="AV2" s="204"/>
      <c r="AW2" s="196" t="s">
        <v>4070</v>
      </c>
      <c r="AX2" s="204">
        <v>2</v>
      </c>
      <c r="AY2" s="204">
        <v>3</v>
      </c>
      <c r="AZ2" s="204">
        <v>4</v>
      </c>
      <c r="BA2" s="204">
        <v>5</v>
      </c>
      <c r="BB2" s="204">
        <v>6</v>
      </c>
      <c r="BC2" s="204">
        <v>7</v>
      </c>
      <c r="BD2" s="204">
        <v>8</v>
      </c>
      <c r="BE2" s="204">
        <v>9</v>
      </c>
      <c r="BF2" s="204"/>
      <c r="BG2" s="204"/>
      <c r="BI2" s="196" t="s">
        <v>1314</v>
      </c>
      <c r="BJ2" s="209"/>
      <c r="BK2" s="89">
        <v>2</v>
      </c>
      <c r="BL2" s="89">
        <v>3</v>
      </c>
      <c r="BM2" s="89">
        <v>4</v>
      </c>
      <c r="BN2" s="89">
        <v>5</v>
      </c>
      <c r="BO2" s="89">
        <v>6</v>
      </c>
      <c r="BP2" s="89">
        <v>7</v>
      </c>
      <c r="BQ2" s="89">
        <v>8</v>
      </c>
      <c r="BR2" s="89">
        <v>9</v>
      </c>
      <c r="BU2" s="196" t="s">
        <v>1313</v>
      </c>
      <c r="BV2" s="209"/>
      <c r="BW2" s="89">
        <v>2</v>
      </c>
      <c r="BX2" s="89">
        <v>3</v>
      </c>
      <c r="BY2" s="89">
        <v>4</v>
      </c>
      <c r="BZ2" s="89">
        <v>5</v>
      </c>
      <c r="CA2" s="89">
        <v>6</v>
      </c>
      <c r="CB2" s="89">
        <v>7</v>
      </c>
      <c r="CC2" s="89">
        <v>8</v>
      </c>
      <c r="CD2" s="89">
        <v>9</v>
      </c>
    </row>
    <row r="3" spans="2:82" ht="14.5" x14ac:dyDescent="0.35">
      <c r="B3" s="205" t="s">
        <v>1157</v>
      </c>
      <c r="C3" s="210"/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>
        <v>2050</v>
      </c>
      <c r="N3" s="205" t="s">
        <v>1258</v>
      </c>
      <c r="O3" s="210" t="s">
        <v>1259</v>
      </c>
      <c r="P3" s="133" t="s">
        <v>1417</v>
      </c>
      <c r="Q3" s="133">
        <v>2020</v>
      </c>
      <c r="R3" s="133">
        <v>2025</v>
      </c>
      <c r="S3" s="133">
        <v>2030</v>
      </c>
      <c r="T3" s="133">
        <v>2035</v>
      </c>
      <c r="U3" s="133">
        <v>2040</v>
      </c>
      <c r="V3" s="133">
        <v>2045</v>
      </c>
      <c r="W3" s="133">
        <v>2050</v>
      </c>
      <c r="Z3" s="205" t="s">
        <v>1258</v>
      </c>
      <c r="AA3" s="210" t="s">
        <v>1259</v>
      </c>
      <c r="AB3" s="133" t="s">
        <v>1417</v>
      </c>
      <c r="AC3" s="133">
        <v>2020</v>
      </c>
      <c r="AD3" s="133">
        <v>2025</v>
      </c>
      <c r="AE3" s="133">
        <v>2030</v>
      </c>
      <c r="AF3" s="133">
        <v>2035</v>
      </c>
      <c r="AG3" s="133">
        <v>2040</v>
      </c>
      <c r="AH3" s="133">
        <v>2045</v>
      </c>
      <c r="AI3" s="133">
        <v>2050</v>
      </c>
      <c r="AJ3" s="204"/>
      <c r="AK3" s="204"/>
      <c r="AL3" s="205" t="s">
        <v>1258</v>
      </c>
      <c r="AM3" s="210" t="s">
        <v>1259</v>
      </c>
      <c r="AN3" s="133" t="s">
        <v>1417</v>
      </c>
      <c r="AO3" s="133">
        <v>2020</v>
      </c>
      <c r="AP3" s="133">
        <v>2025</v>
      </c>
      <c r="AQ3" s="133">
        <v>2030</v>
      </c>
      <c r="AR3" s="133">
        <v>2035</v>
      </c>
      <c r="AS3" s="133">
        <v>2040</v>
      </c>
      <c r="AT3" s="133">
        <v>2045</v>
      </c>
      <c r="AU3" s="851">
        <v>2050</v>
      </c>
      <c r="AV3" s="204"/>
      <c r="AW3" s="204"/>
      <c r="AX3" s="204" t="s">
        <v>1417</v>
      </c>
      <c r="AY3" s="204">
        <v>2020</v>
      </c>
      <c r="AZ3" s="204">
        <v>2025</v>
      </c>
      <c r="BA3" s="204">
        <v>2030</v>
      </c>
      <c r="BB3" s="204">
        <v>2035</v>
      </c>
      <c r="BC3" s="204">
        <v>2040</v>
      </c>
      <c r="BD3" s="204">
        <v>2045</v>
      </c>
      <c r="BE3" s="204">
        <v>2050</v>
      </c>
      <c r="BF3" s="204"/>
      <c r="BG3" s="204"/>
      <c r="BI3" s="205" t="s">
        <v>1258</v>
      </c>
      <c r="BJ3" s="210" t="s">
        <v>1259</v>
      </c>
      <c r="BK3" s="133" t="s">
        <v>1417</v>
      </c>
      <c r="BL3" s="133">
        <v>2020</v>
      </c>
      <c r="BM3" s="133">
        <v>2025</v>
      </c>
      <c r="BN3" s="133">
        <v>2030</v>
      </c>
      <c r="BO3" s="133">
        <v>2035</v>
      </c>
      <c r="BP3" s="133">
        <v>2040</v>
      </c>
      <c r="BQ3" s="133">
        <v>2045</v>
      </c>
      <c r="BR3" s="133">
        <v>2050</v>
      </c>
      <c r="BU3" s="205" t="s">
        <v>1258</v>
      </c>
      <c r="BV3" s="210" t="s">
        <v>1259</v>
      </c>
      <c r="BW3" s="133" t="s">
        <v>1417</v>
      </c>
      <c r="BX3" s="133">
        <v>2020</v>
      </c>
      <c r="BY3" s="133">
        <v>2025</v>
      </c>
      <c r="BZ3" s="133">
        <v>2030</v>
      </c>
      <c r="CA3" s="133">
        <v>2035</v>
      </c>
      <c r="CB3" s="133">
        <v>2040</v>
      </c>
      <c r="CC3" s="133">
        <v>2045</v>
      </c>
      <c r="CD3" s="133">
        <v>2050</v>
      </c>
    </row>
    <row r="4" spans="2:82" ht="14.5" x14ac:dyDescent="0.35">
      <c r="B4" s="198" t="s">
        <v>1164</v>
      </c>
      <c r="C4" s="199" t="s">
        <v>1528</v>
      </c>
      <c r="D4" s="9" t="e">
        <f t="shared" ref="D4:K4" si="0">AB93</f>
        <v>#DIV/0!</v>
      </c>
      <c r="E4" s="9" t="e">
        <f>AC93</f>
        <v>#DIV/0!</v>
      </c>
      <c r="F4" s="9" t="e">
        <f t="shared" si="0"/>
        <v>#DIV/0!</v>
      </c>
      <c r="G4" s="9" t="e">
        <f t="shared" si="0"/>
        <v>#DIV/0!</v>
      </c>
      <c r="H4" s="9" t="e">
        <f t="shared" si="0"/>
        <v>#DIV/0!</v>
      </c>
      <c r="I4" s="9" t="e">
        <f t="shared" si="0"/>
        <v>#DIV/0!</v>
      </c>
      <c r="J4" s="9" t="e">
        <f t="shared" si="0"/>
        <v>#DIV/0!</v>
      </c>
      <c r="K4" s="9" t="e">
        <f t="shared" si="0"/>
        <v>#DIV/0!</v>
      </c>
      <c r="L4" s="911">
        <v>243348.92005373703</v>
      </c>
      <c r="N4" s="206" t="s">
        <v>168</v>
      </c>
      <c r="O4" s="194"/>
      <c r="P4" s="163">
        <f>IFERROR(VLOOKUP($N4,flows!$A$2:$J$4985,P$2,FALSE),0)</f>
        <v>0</v>
      </c>
      <c r="Q4" s="163">
        <f>IFERROR(VLOOKUP($N4,flows!$A$2:$J$4985,Q$2,FALSE),0)</f>
        <v>0</v>
      </c>
      <c r="R4" s="163">
        <f>IFERROR(VLOOKUP($N4,flows!$A$2:$J$4985,R$2,FALSE),0)</f>
        <v>0</v>
      </c>
      <c r="S4" s="163">
        <f>IFERROR(VLOOKUP($N4,flows!$A$2:$J$4985,S$2,FALSE),0)</f>
        <v>0</v>
      </c>
      <c r="T4" s="163">
        <f>IFERROR(VLOOKUP($N4,flows!$A$2:$J$4985,T$2,FALSE),0)</f>
        <v>0</v>
      </c>
      <c r="U4" s="163">
        <f>IFERROR(VLOOKUP($N4,flows!$A$2:$J$4985,U$2,FALSE),0)</f>
        <v>0</v>
      </c>
      <c r="V4" s="163">
        <f>IFERROR(VLOOKUP($N4,flows!$A$2:$J$4985,V$2,FALSE),0)</f>
        <v>0</v>
      </c>
      <c r="W4" s="163">
        <f>IFERROR(VLOOKUP($N4,flows!$A$2:$J$4985,W$2,FALSE),0)</f>
        <v>0</v>
      </c>
      <c r="Z4" s="206" t="s">
        <v>780</v>
      </c>
      <c r="AA4" s="194"/>
      <c r="AB4" s="163">
        <f>IFERROR(VLOOKUP($Z4,flows!$A$2:$J$4985,AB$2,FALSE),0)</f>
        <v>0</v>
      </c>
      <c r="AC4" s="163">
        <f>IFERROR(VLOOKUP($Z4,flows!$A$2:$J$4985,AC$2,FALSE),0)</f>
        <v>0</v>
      </c>
      <c r="AD4" s="163">
        <f>IFERROR(VLOOKUP($Z4,flows!$A$2:$J$4985,AD$2,FALSE),0)</f>
        <v>0</v>
      </c>
      <c r="AE4" s="163">
        <f>IFERROR(VLOOKUP($Z4,flows!$A$2:$J$4985,AE$2,FALSE),0)</f>
        <v>0</v>
      </c>
      <c r="AF4" s="163">
        <f>IFERROR(VLOOKUP($Z4,flows!$A$2:$J$4985,AF$2,FALSE),0)</f>
        <v>0</v>
      </c>
      <c r="AG4" s="163">
        <f>IFERROR(VLOOKUP($Z4,flows!$A$2:$J$4985,AG$2,FALSE),0)</f>
        <v>0</v>
      </c>
      <c r="AH4" s="163">
        <f>IFERROR(VLOOKUP($Z4,flows!$A$2:$J$4985,AH$2,FALSE),0)</f>
        <v>0</v>
      </c>
      <c r="AI4" s="163">
        <f>IFERROR(VLOOKUP($Z4,flows!$A$2:$J$4985,AI$2,FALSE),0)</f>
        <v>0</v>
      </c>
      <c r="AJ4" s="204"/>
      <c r="AK4" s="204"/>
      <c r="AL4" s="203" t="s">
        <v>790</v>
      </c>
      <c r="AM4" s="204"/>
      <c r="AN4" s="163">
        <f>IFERROR(VLOOKUP($AL4,flows!$A$2:$J$4985,AN$2,FALSE),0)</f>
        <v>0</v>
      </c>
      <c r="AO4" s="163">
        <f>IFERROR(VLOOKUP($AL4,flows!$A$2:$J$4985,AO$2,FALSE),0)</f>
        <v>0</v>
      </c>
      <c r="AP4" s="163">
        <f>IFERROR(VLOOKUP($AL4,flows!$A$2:$J$4985,AP$2,FALSE),0)</f>
        <v>0</v>
      </c>
      <c r="AQ4" s="163">
        <f>IFERROR(VLOOKUP($AL4,flows!$A$2:$J$4985,AQ$2,FALSE),0)</f>
        <v>0</v>
      </c>
      <c r="AR4" s="163">
        <f>IFERROR(VLOOKUP($AL4,flows!$A$2:$J$4985,AR$2,FALSE),0)</f>
        <v>0</v>
      </c>
      <c r="AS4" s="163">
        <f>IFERROR(VLOOKUP($AL4,flows!$A$2:$J$4985,AS$2,FALSE),0)</f>
        <v>0</v>
      </c>
      <c r="AT4" s="163">
        <f>IFERROR(VLOOKUP($AL4,flows!$A$2:$J$4985,AT$2,FALSE),0)</f>
        <v>0</v>
      </c>
      <c r="AU4" s="163">
        <f>IFERROR(VLOOKUP($AL4,flows!$A$2:$J$4985,AU$2,FALSE),0)</f>
        <v>0</v>
      </c>
      <c r="AV4" s="204"/>
      <c r="AW4" s="204"/>
      <c r="AX4" s="204"/>
      <c r="AY4" s="204"/>
      <c r="AZ4" s="204"/>
      <c r="BA4" s="204"/>
      <c r="BB4" s="204"/>
      <c r="BC4" s="204"/>
      <c r="BD4" s="204"/>
      <c r="BE4" s="204"/>
      <c r="BF4" s="204"/>
      <c r="BG4" s="204"/>
      <c r="BI4" s="80" t="s">
        <v>2546</v>
      </c>
      <c r="BJ4" s="210"/>
      <c r="BK4" s="199"/>
      <c r="BL4" s="199"/>
      <c r="BM4" s="200"/>
      <c r="BN4" s="199"/>
      <c r="BO4" s="199"/>
      <c r="BP4" s="199"/>
      <c r="BQ4" s="199"/>
      <c r="BR4" s="199"/>
      <c r="BU4" s="206" t="s">
        <v>605</v>
      </c>
      <c r="BV4" s="194"/>
      <c r="BW4" s="163">
        <f>IFERROR(VLOOKUP($BU4,flows!$A$2:$J$4985,BW$2,FALSE),0)</f>
        <v>0</v>
      </c>
      <c r="BX4" s="163">
        <f>IFERROR(VLOOKUP($BU4,flows!$A$2:$J$4985,BX$2,FALSE),0)</f>
        <v>0</v>
      </c>
      <c r="BY4" s="163">
        <f>IFERROR(VLOOKUP($BU4,flows!$A$2:$J$4985,BY$2,FALSE),0)</f>
        <v>0</v>
      </c>
      <c r="BZ4" s="163">
        <f>IFERROR(VLOOKUP($BU4,flows!$A$2:$J$4985,BZ$2,FALSE),0)</f>
        <v>0</v>
      </c>
      <c r="CA4" s="163">
        <f>IFERROR(VLOOKUP($BU4,flows!$A$2:$J$4985,CA$2,FALSE),0)</f>
        <v>0</v>
      </c>
      <c r="CB4" s="163">
        <f>IFERROR(VLOOKUP($BU4,flows!$A$2:$J$4985,CB$2,FALSE),0)</f>
        <v>0</v>
      </c>
      <c r="CC4" s="163">
        <f>IFERROR(VLOOKUP($BU4,flows!$A$2:$J$4985,CC$2,FALSE),0)</f>
        <v>0</v>
      </c>
      <c r="CD4" s="163">
        <f>IFERROR(VLOOKUP($BU4,flows!$A$2:$J$4985,CD$2,FALSE),0)</f>
        <v>0</v>
      </c>
    </row>
    <row r="5" spans="2:82" ht="14.5" x14ac:dyDescent="0.35">
      <c r="B5" s="198" t="s">
        <v>1331</v>
      </c>
      <c r="C5" s="199" t="s">
        <v>1331</v>
      </c>
      <c r="D5" s="9" t="e">
        <f>AN15</f>
        <v>#DIV/0!</v>
      </c>
      <c r="E5" s="9" t="e">
        <f t="shared" ref="E5:K5" si="1">AO15</f>
        <v>#DIV/0!</v>
      </c>
      <c r="F5" s="9" t="e">
        <f t="shared" si="1"/>
        <v>#DIV/0!</v>
      </c>
      <c r="G5" s="9" t="e">
        <f t="shared" si="1"/>
        <v>#DIV/0!</v>
      </c>
      <c r="H5" s="9" t="e">
        <f t="shared" si="1"/>
        <v>#DIV/0!</v>
      </c>
      <c r="I5" s="9" t="e">
        <f t="shared" si="1"/>
        <v>#DIV/0!</v>
      </c>
      <c r="J5" s="9" t="e">
        <f t="shared" si="1"/>
        <v>#DIV/0!</v>
      </c>
      <c r="K5" s="9" t="e">
        <f t="shared" si="1"/>
        <v>#DIV/0!</v>
      </c>
      <c r="L5" s="911">
        <v>217415.1556191814</v>
      </c>
      <c r="N5" s="206" t="s">
        <v>4246</v>
      </c>
      <c r="O5" s="337"/>
      <c r="P5" s="163">
        <f>IFERROR(VLOOKUP($N5,flows!$A$2:$J$4985,P$2,FALSE),0)</f>
        <v>0</v>
      </c>
      <c r="Q5" s="163">
        <f>IFERROR(VLOOKUP($N5,flows!$A$2:$J$4985,Q$2,FALSE),0)</f>
        <v>0</v>
      </c>
      <c r="R5" s="163">
        <f>IFERROR(VLOOKUP($N5,flows!$A$2:$J$4985,R$2,FALSE),0)</f>
        <v>0</v>
      </c>
      <c r="S5" s="163">
        <f>IFERROR(VLOOKUP($N5,flows!$A$2:$J$4985,S$2,FALSE),0)</f>
        <v>0</v>
      </c>
      <c r="T5" s="163">
        <f>IFERROR(VLOOKUP($N5,flows!$A$2:$J$4985,T$2,FALSE),0)</f>
        <v>0</v>
      </c>
      <c r="U5" s="163">
        <f>IFERROR(VLOOKUP($N5,flows!$A$2:$J$4985,U$2,FALSE),0)</f>
        <v>0</v>
      </c>
      <c r="V5" s="163">
        <f>IFERROR(VLOOKUP($N5,flows!$A$2:$J$4985,V$2,FALSE),0)</f>
        <v>0</v>
      </c>
      <c r="W5" s="163">
        <f>IFERROR(VLOOKUP($N5,flows!$A$2:$J$4985,W$2,FALSE),0)</f>
        <v>0</v>
      </c>
      <c r="Z5" s="206" t="s">
        <v>781</v>
      </c>
      <c r="AA5" s="194"/>
      <c r="AB5" s="163">
        <f>IFERROR(VLOOKUP($Z5,flows!$A$2:$J$4985,AB$2,FALSE),0)</f>
        <v>0</v>
      </c>
      <c r="AC5" s="163">
        <f>IFERROR(VLOOKUP($Z5,flows!$A$2:$J$4985,AC$2,FALSE),0)</f>
        <v>0</v>
      </c>
      <c r="AD5" s="163">
        <f>IFERROR(VLOOKUP($Z5,flows!$A$2:$J$4985,AD$2,FALSE),0)</f>
        <v>0</v>
      </c>
      <c r="AE5" s="163">
        <f>IFERROR(VLOOKUP($Z5,flows!$A$2:$J$4985,AE$2,FALSE),0)</f>
        <v>0</v>
      </c>
      <c r="AF5" s="163">
        <f>IFERROR(VLOOKUP($Z5,flows!$A$2:$J$4985,AF$2,FALSE),0)</f>
        <v>0</v>
      </c>
      <c r="AG5" s="163">
        <f>IFERROR(VLOOKUP($Z5,flows!$A$2:$J$4985,AG$2,FALSE),0)</f>
        <v>0</v>
      </c>
      <c r="AH5" s="163">
        <f>IFERROR(VLOOKUP($Z5,flows!$A$2:$J$4985,AH$2,FALSE),0)</f>
        <v>0</v>
      </c>
      <c r="AI5" s="163">
        <f>IFERROR(VLOOKUP($Z5,flows!$A$2:$J$4985,AI$2,FALSE),0)</f>
        <v>0</v>
      </c>
      <c r="AJ5" s="204"/>
      <c r="AK5" s="204"/>
      <c r="AL5" s="203" t="s">
        <v>805</v>
      </c>
      <c r="AM5" s="204"/>
      <c r="AN5" s="163">
        <f>IFERROR(VLOOKUP($AL5,flows!$A$2:$J$4985,AN$2,FALSE),0)</f>
        <v>0</v>
      </c>
      <c r="AO5" s="163">
        <f>IFERROR(VLOOKUP($AL5,flows!$A$2:$J$4985,AO$2,FALSE),0)</f>
        <v>0</v>
      </c>
      <c r="AP5" s="163">
        <f>IFERROR(VLOOKUP($AL5,flows!$A$2:$J$4985,AP$2,FALSE),0)</f>
        <v>0</v>
      </c>
      <c r="AQ5" s="163">
        <f>IFERROR(VLOOKUP($AL5,flows!$A$2:$J$4985,AQ$2,FALSE),0)</f>
        <v>0</v>
      </c>
      <c r="AR5" s="163">
        <f>IFERROR(VLOOKUP($AL5,flows!$A$2:$J$4985,AR$2,FALSE),0)</f>
        <v>0</v>
      </c>
      <c r="AS5" s="163">
        <f>IFERROR(VLOOKUP($AL5,flows!$A$2:$J$4985,AS$2,FALSE),0)</f>
        <v>0</v>
      </c>
      <c r="AT5" s="163">
        <f>IFERROR(VLOOKUP($AL5,flows!$A$2:$J$4985,AT$2,FALSE),0)</f>
        <v>0</v>
      </c>
      <c r="AU5" s="163">
        <f>IFERROR(VLOOKUP($AL5,flows!$A$2:$J$4985,AU$2,FALSE),0)</f>
        <v>0</v>
      </c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I5" s="206" t="s">
        <v>4143</v>
      </c>
      <c r="BJ5" s="194"/>
      <c r="BK5" s="163">
        <f>IFERROR(VLOOKUP($BI5,flows!$A$2:$J$4985,BK$2,FALSE),0)</f>
        <v>0</v>
      </c>
      <c r="BL5" s="163">
        <f>IFERROR(VLOOKUP($BI5,flows!$A$2:$J$4985,BL$2,FALSE),0)</f>
        <v>0</v>
      </c>
      <c r="BM5" s="163">
        <f>IFERROR(VLOOKUP($BI5,flows!$A$2:$J$4985,BM$2,FALSE),0)</f>
        <v>0</v>
      </c>
      <c r="BN5" s="163">
        <f>IFERROR(VLOOKUP($BI5,flows!$A$2:$J$4985,BN$2,FALSE),0)</f>
        <v>0</v>
      </c>
      <c r="BO5" s="163">
        <f>IFERROR(VLOOKUP($BI5,flows!$A$2:$J$4985,BO$2,FALSE),0)</f>
        <v>0</v>
      </c>
      <c r="BP5" s="163">
        <f>IFERROR(VLOOKUP($BI5,flows!$A$2:$J$4985,BP$2,FALSE),0)</f>
        <v>0</v>
      </c>
      <c r="BQ5" s="163">
        <f>IFERROR(VLOOKUP($BI5,flows!$A$2:$J$4985,BQ$2,FALSE),0)</f>
        <v>0</v>
      </c>
      <c r="BR5" s="163">
        <f>IFERROR(VLOOKUP($BI5,flows!$A$2:$J$4985,BR$2,FALSE),0)</f>
        <v>0</v>
      </c>
      <c r="BU5" s="206" t="s">
        <v>607</v>
      </c>
      <c r="BV5" s="194"/>
      <c r="BW5" s="163">
        <f>IFERROR(VLOOKUP($BU5,flows!$A$2:$J$4985,BW$2,FALSE),0)</f>
        <v>0</v>
      </c>
      <c r="BX5" s="163">
        <f>IFERROR(VLOOKUP($BU5,flows!$A$2:$J$4985,BX$2,FALSE),0)</f>
        <v>0</v>
      </c>
      <c r="BY5" s="163">
        <f>IFERROR(VLOOKUP($BU5,flows!$A$2:$J$4985,BY$2,FALSE),0)</f>
        <v>0</v>
      </c>
      <c r="BZ5" s="163">
        <f>IFERROR(VLOOKUP($BU5,flows!$A$2:$J$4985,BZ$2,FALSE),0)</f>
        <v>0</v>
      </c>
      <c r="CA5" s="163">
        <f>IFERROR(VLOOKUP($BU5,flows!$A$2:$J$4985,CA$2,FALSE),0)</f>
        <v>0</v>
      </c>
      <c r="CB5" s="163">
        <f>IFERROR(VLOOKUP($BU5,flows!$A$2:$J$4985,CB$2,FALSE),0)</f>
        <v>0</v>
      </c>
      <c r="CC5" s="163">
        <f>IFERROR(VLOOKUP($BU5,flows!$A$2:$J$4985,CC$2,FALSE),0)</f>
        <v>0</v>
      </c>
      <c r="CD5" s="163">
        <f>IFERROR(VLOOKUP($BU5,flows!$A$2:$J$4985,CD$2,FALSE),0)</f>
        <v>0</v>
      </c>
    </row>
    <row r="6" spans="2:82" ht="14.5" x14ac:dyDescent="0.35">
      <c r="B6" s="343" t="s">
        <v>1166</v>
      </c>
      <c r="C6" s="344" t="s">
        <v>4337</v>
      </c>
      <c r="D6" s="891" t="e">
        <f>BK250</f>
        <v>#N/A</v>
      </c>
      <c r="E6" s="891" t="e">
        <f t="shared" ref="E6:K6" si="2">BL250</f>
        <v>#N/A</v>
      </c>
      <c r="F6" s="891" t="e">
        <f t="shared" si="2"/>
        <v>#N/A</v>
      </c>
      <c r="G6" s="891" t="e">
        <f t="shared" si="2"/>
        <v>#N/A</v>
      </c>
      <c r="H6" s="891" t="e">
        <f t="shared" si="2"/>
        <v>#N/A</v>
      </c>
      <c r="I6" s="891" t="e">
        <f t="shared" si="2"/>
        <v>#N/A</v>
      </c>
      <c r="J6" s="891" t="e">
        <f t="shared" si="2"/>
        <v>#N/A</v>
      </c>
      <c r="K6" s="891" t="e">
        <f t="shared" si="2"/>
        <v>#N/A</v>
      </c>
      <c r="L6" s="911">
        <v>934679.3867712135</v>
      </c>
      <c r="N6" s="206" t="s">
        <v>170</v>
      </c>
      <c r="O6" s="194"/>
      <c r="P6" s="163">
        <f>IFERROR(VLOOKUP($N6,flows!$A$2:$J$4985,P$2,FALSE),0)</f>
        <v>0</v>
      </c>
      <c r="Q6" s="163">
        <f>IFERROR(VLOOKUP($N6,flows!$A$2:$J$4985,Q$2,FALSE),0)</f>
        <v>0</v>
      </c>
      <c r="R6" s="163">
        <f>IFERROR(VLOOKUP($N6,flows!$A$2:$J$4985,R$2,FALSE),0)</f>
        <v>0</v>
      </c>
      <c r="S6" s="163">
        <f>IFERROR(VLOOKUP($N6,flows!$A$2:$J$4985,S$2,FALSE),0)</f>
        <v>0</v>
      </c>
      <c r="T6" s="163">
        <f>IFERROR(VLOOKUP($N6,flows!$A$2:$J$4985,T$2,FALSE),0)</f>
        <v>0</v>
      </c>
      <c r="U6" s="163">
        <f>IFERROR(VLOOKUP($N6,flows!$A$2:$J$4985,U$2,FALSE),0)</f>
        <v>0</v>
      </c>
      <c r="V6" s="163">
        <f>IFERROR(VLOOKUP($N6,flows!$A$2:$J$4985,V$2,FALSE),0)</f>
        <v>0</v>
      </c>
      <c r="W6" s="163">
        <f>IFERROR(VLOOKUP($N6,flows!$A$2:$J$4985,W$2,FALSE),0)</f>
        <v>0</v>
      </c>
      <c r="Z6" s="206" t="s">
        <v>782</v>
      </c>
      <c r="AA6" s="194"/>
      <c r="AB6" s="163">
        <f>IFERROR(VLOOKUP($Z6,flows!$A$2:$J$4985,AB$2,FALSE),0)</f>
        <v>0</v>
      </c>
      <c r="AC6" s="163">
        <f>IFERROR(VLOOKUP($Z6,flows!$A$2:$J$4985,AC$2,FALSE),0)</f>
        <v>0</v>
      </c>
      <c r="AD6" s="163">
        <f>IFERROR(VLOOKUP($Z6,flows!$A$2:$J$4985,AD$2,FALSE),0)</f>
        <v>0</v>
      </c>
      <c r="AE6" s="163">
        <f>IFERROR(VLOOKUP($Z6,flows!$A$2:$J$4985,AE$2,FALSE),0)</f>
        <v>0</v>
      </c>
      <c r="AF6" s="163">
        <f>IFERROR(VLOOKUP($Z6,flows!$A$2:$J$4985,AF$2,FALSE),0)</f>
        <v>0</v>
      </c>
      <c r="AG6" s="163">
        <f>IFERROR(VLOOKUP($Z6,flows!$A$2:$J$4985,AG$2,FALSE),0)</f>
        <v>0</v>
      </c>
      <c r="AH6" s="163">
        <f>IFERROR(VLOOKUP($Z6,flows!$A$2:$J$4985,AH$2,FALSE),0)</f>
        <v>0</v>
      </c>
      <c r="AI6" s="163">
        <f>IFERROR(VLOOKUP($Z6,flows!$A$2:$J$4985,AI$2,FALSE),0)</f>
        <v>0</v>
      </c>
      <c r="AJ6" s="204"/>
      <c r="AK6" s="204"/>
      <c r="AL6" s="203" t="s">
        <v>806</v>
      </c>
      <c r="AM6" s="204"/>
      <c r="AN6" s="163">
        <f>IFERROR(VLOOKUP($AL6,flows!$A$2:$J$4985,AN$2,FALSE),0)</f>
        <v>0</v>
      </c>
      <c r="AO6" s="163">
        <f>IFERROR(VLOOKUP($AL6,flows!$A$2:$J$4985,AO$2,FALSE),0)</f>
        <v>0</v>
      </c>
      <c r="AP6" s="163">
        <f>IFERROR(VLOOKUP($AL6,flows!$A$2:$J$4985,AP$2,FALSE),0)</f>
        <v>0</v>
      </c>
      <c r="AQ6" s="163">
        <f>IFERROR(VLOOKUP($AL6,flows!$A$2:$J$4985,AQ$2,FALSE),0)</f>
        <v>0</v>
      </c>
      <c r="AR6" s="163">
        <f>IFERROR(VLOOKUP($AL6,flows!$A$2:$J$4985,AR$2,FALSE),0)</f>
        <v>0</v>
      </c>
      <c r="AS6" s="163">
        <f>IFERROR(VLOOKUP($AL6,flows!$A$2:$J$4985,AS$2,FALSE),0)</f>
        <v>0</v>
      </c>
      <c r="AT6" s="163">
        <f>IFERROR(VLOOKUP($AL6,flows!$A$2:$J$4985,AT$2,FALSE),0)</f>
        <v>0</v>
      </c>
      <c r="AU6" s="163">
        <f>IFERROR(VLOOKUP($AL6,flows!$A$2:$J$4985,AU$2,FALSE),0)</f>
        <v>0</v>
      </c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I6" s="206" t="s">
        <v>119</v>
      </c>
      <c r="BJ6" s="194"/>
      <c r="BK6" s="163">
        <f>IFERROR(VLOOKUP($BI6,flows!$A$2:$J$4985,BK$2,FALSE),0)</f>
        <v>0</v>
      </c>
      <c r="BL6" s="163">
        <f>IFERROR(VLOOKUP($BI6,flows!$A$2:$J$4985,BL$2,FALSE),0)</f>
        <v>0</v>
      </c>
      <c r="BM6" s="163">
        <f>IFERROR(VLOOKUP($BI6,flows!$A$2:$J$4985,BM$2,FALSE),0)</f>
        <v>0</v>
      </c>
      <c r="BN6" s="163">
        <f>IFERROR(VLOOKUP($BI6,flows!$A$2:$J$4985,BN$2,FALSE),0)</f>
        <v>0</v>
      </c>
      <c r="BO6" s="163">
        <f>IFERROR(VLOOKUP($BI6,flows!$A$2:$J$4985,BO$2,FALSE),0)</f>
        <v>0</v>
      </c>
      <c r="BP6" s="163">
        <f>IFERROR(VLOOKUP($BI6,flows!$A$2:$J$4985,BP$2,FALSE),0)</f>
        <v>0</v>
      </c>
      <c r="BQ6" s="163">
        <f>IFERROR(VLOOKUP($BI6,flows!$A$2:$J$4985,BQ$2,FALSE),0)</f>
        <v>0</v>
      </c>
      <c r="BR6" s="163">
        <f>IFERROR(VLOOKUP($BI6,flows!$A$2:$J$4985,BR$2,FALSE),0)</f>
        <v>0</v>
      </c>
      <c r="BU6" s="206" t="s">
        <v>700</v>
      </c>
      <c r="BV6" s="194"/>
      <c r="BW6" s="163">
        <f>IFERROR(VLOOKUP($BU6,flows!$A$2:$J$4985,BW$2,FALSE),0)</f>
        <v>0</v>
      </c>
      <c r="BX6" s="163">
        <f>IFERROR(VLOOKUP($BU6,flows!$A$2:$J$4985,BX$2,FALSE),0)</f>
        <v>0</v>
      </c>
      <c r="BY6" s="163">
        <f>IFERROR(VLOOKUP($BU6,flows!$A$2:$J$4985,BY$2,FALSE),0)</f>
        <v>0</v>
      </c>
      <c r="BZ6" s="163">
        <f>IFERROR(VLOOKUP($BU6,flows!$A$2:$J$4985,BZ$2,FALSE),0)</f>
        <v>0</v>
      </c>
      <c r="CA6" s="163">
        <f>IFERROR(VLOOKUP($BU6,flows!$A$2:$J$4985,CA$2,FALSE),0)</f>
        <v>0</v>
      </c>
      <c r="CB6" s="163">
        <f>IFERROR(VLOOKUP($BU6,flows!$A$2:$J$4985,CB$2,FALSE),0)</f>
        <v>0</v>
      </c>
      <c r="CC6" s="163">
        <f>IFERROR(VLOOKUP($BU6,flows!$A$2:$J$4985,CC$2,FALSE),0)</f>
        <v>0</v>
      </c>
      <c r="CD6" s="163">
        <f>IFERROR(VLOOKUP($BU6,flows!$A$2:$J$4985,CD$2,FALSE),0)</f>
        <v>0</v>
      </c>
    </row>
    <row r="7" spans="2:82" ht="14.5" x14ac:dyDescent="0.35">
      <c r="B7" s="198" t="s">
        <v>1166</v>
      </c>
      <c r="C7" s="199" t="s">
        <v>4338</v>
      </c>
      <c r="D7" s="891" t="e">
        <f>BK249</f>
        <v>#DIV/0!</v>
      </c>
      <c r="E7" s="891">
        <f t="shared" ref="E7:K7" si="3">BL249</f>
        <v>116585.44434771821</v>
      </c>
      <c r="F7" s="891" t="e">
        <f t="shared" si="3"/>
        <v>#DIV/0!</v>
      </c>
      <c r="G7" s="891" t="e">
        <f t="shared" si="3"/>
        <v>#DIV/0!</v>
      </c>
      <c r="H7" s="891" t="e">
        <f t="shared" si="3"/>
        <v>#DIV/0!</v>
      </c>
      <c r="I7" s="891" t="e">
        <f t="shared" si="3"/>
        <v>#DIV/0!</v>
      </c>
      <c r="J7" s="891" t="e">
        <f t="shared" si="3"/>
        <v>#DIV/0!</v>
      </c>
      <c r="K7" s="891" t="e">
        <f t="shared" si="3"/>
        <v>#DIV/0!</v>
      </c>
      <c r="L7" s="911">
        <v>247281.33331392219</v>
      </c>
      <c r="N7" s="206" t="s">
        <v>2474</v>
      </c>
      <c r="O7" s="337"/>
      <c r="P7" s="163">
        <f>IFERROR(VLOOKUP($N7,flows!$A$2:$J$4985,P$2,FALSE),0)</f>
        <v>0</v>
      </c>
      <c r="Q7" s="163">
        <f>IFERROR(VLOOKUP($N7,flows!$A$2:$J$4985,Q$2,FALSE),0)</f>
        <v>0</v>
      </c>
      <c r="R7" s="163">
        <f>IFERROR(VLOOKUP($N7,flows!$A$2:$J$4985,R$2,FALSE),0)</f>
        <v>0</v>
      </c>
      <c r="S7" s="163">
        <f>IFERROR(VLOOKUP($N7,flows!$A$2:$J$4985,S$2,FALSE),0)</f>
        <v>0</v>
      </c>
      <c r="T7" s="163">
        <f>IFERROR(VLOOKUP($N7,flows!$A$2:$J$4985,T$2,FALSE),0)</f>
        <v>0</v>
      </c>
      <c r="U7" s="163">
        <f>IFERROR(VLOOKUP($N7,flows!$A$2:$J$4985,U$2,FALSE),0)</f>
        <v>0</v>
      </c>
      <c r="V7" s="163">
        <f>IFERROR(VLOOKUP($N7,flows!$A$2:$J$4985,V$2,FALSE),0)</f>
        <v>0</v>
      </c>
      <c r="W7" s="163">
        <f>IFERROR(VLOOKUP($N7,flows!$A$2:$J$4985,W$2,FALSE),0)</f>
        <v>0</v>
      </c>
      <c r="Z7" s="206" t="s">
        <v>783</v>
      </c>
      <c r="AA7" s="194"/>
      <c r="AB7" s="163">
        <f>IFERROR(VLOOKUP($Z7,flows!$A$2:$J$4985,AB$2,FALSE),0)</f>
        <v>0</v>
      </c>
      <c r="AC7" s="163">
        <f>IFERROR(VLOOKUP($Z7,flows!$A$2:$J$4985,AC$2,FALSE),0)</f>
        <v>0</v>
      </c>
      <c r="AD7" s="163">
        <f>IFERROR(VLOOKUP($Z7,flows!$A$2:$J$4985,AD$2,FALSE),0)</f>
        <v>0</v>
      </c>
      <c r="AE7" s="163">
        <f>IFERROR(VLOOKUP($Z7,flows!$A$2:$J$4985,AE$2,FALSE),0)</f>
        <v>0</v>
      </c>
      <c r="AF7" s="163">
        <f>IFERROR(VLOOKUP($Z7,flows!$A$2:$J$4985,AF$2,FALSE),0)</f>
        <v>0</v>
      </c>
      <c r="AG7" s="163">
        <f>IFERROR(VLOOKUP($Z7,flows!$A$2:$J$4985,AG$2,FALSE),0)</f>
        <v>0</v>
      </c>
      <c r="AH7" s="163">
        <f>IFERROR(VLOOKUP($Z7,flows!$A$2:$J$4985,AH$2,FALSE),0)</f>
        <v>0</v>
      </c>
      <c r="AI7" s="163">
        <f>IFERROR(VLOOKUP($Z7,flows!$A$2:$J$4985,AI$2,FALSE),0)</f>
        <v>0</v>
      </c>
      <c r="AJ7" s="204"/>
      <c r="AK7" s="204"/>
      <c r="AL7" s="203"/>
      <c r="AM7" s="204"/>
      <c r="AN7" s="204"/>
      <c r="AO7" s="204"/>
      <c r="AP7" s="204"/>
      <c r="AQ7" s="204"/>
      <c r="AR7" s="204"/>
      <c r="AS7" s="204"/>
      <c r="AT7" s="204"/>
      <c r="AU7" s="852"/>
      <c r="AV7" s="204"/>
      <c r="AW7" s="204"/>
      <c r="AX7" s="204"/>
      <c r="AY7" s="204"/>
      <c r="AZ7" s="204"/>
      <c r="BA7" s="204"/>
      <c r="BB7" s="204"/>
      <c r="BC7" s="204"/>
      <c r="BD7" s="204"/>
      <c r="BE7" s="204"/>
      <c r="BF7" s="204"/>
      <c r="BG7" s="204"/>
      <c r="BI7" s="206" t="s">
        <v>2862</v>
      </c>
      <c r="BJ7" s="194"/>
      <c r="BK7" s="163">
        <f>IFERROR(VLOOKUP($BI7,flows!$A$2:$J$4985,BK$2,FALSE),0)</f>
        <v>0</v>
      </c>
      <c r="BL7" s="163">
        <f>IFERROR(VLOOKUP($BI7,flows!$A$2:$J$4985,BL$2,FALSE),0)</f>
        <v>0</v>
      </c>
      <c r="BM7" s="163">
        <f>IFERROR(VLOOKUP($BI7,flows!$A$2:$J$4985,BM$2,FALSE),0)</f>
        <v>0</v>
      </c>
      <c r="BN7" s="163">
        <f>IFERROR(VLOOKUP($BI7,flows!$A$2:$J$4985,BN$2,FALSE),0)</f>
        <v>0</v>
      </c>
      <c r="BO7" s="163">
        <f>IFERROR(VLOOKUP($BI7,flows!$A$2:$J$4985,BO$2,FALSE),0)</f>
        <v>0</v>
      </c>
      <c r="BP7" s="163">
        <f>IFERROR(VLOOKUP($BI7,flows!$A$2:$J$4985,BP$2,FALSE),0)</f>
        <v>0</v>
      </c>
      <c r="BQ7" s="163">
        <f>IFERROR(VLOOKUP($BI7,flows!$A$2:$J$4985,BQ$2,FALSE),0)</f>
        <v>0</v>
      </c>
      <c r="BR7" s="163">
        <f>IFERROR(VLOOKUP($BI7,flows!$A$2:$J$4985,BR$2,FALSE),0)</f>
        <v>0</v>
      </c>
      <c r="BU7" s="206" t="s">
        <v>1094</v>
      </c>
      <c r="BV7" s="194"/>
      <c r="BW7" s="163">
        <f>IFERROR(VLOOKUP($BU7,flows!$A$2:$J$4985,BW$2,FALSE),0)</f>
        <v>0</v>
      </c>
      <c r="BX7" s="163">
        <f>IFERROR(VLOOKUP($BU7,flows!$A$2:$J$4985,BX$2,FALSE),0)</f>
        <v>0</v>
      </c>
      <c r="BY7" s="163">
        <f>IFERROR(VLOOKUP($BU7,flows!$A$2:$J$4985,BY$2,FALSE),0)</f>
        <v>0</v>
      </c>
      <c r="BZ7" s="163">
        <f>IFERROR(VLOOKUP($BU7,flows!$A$2:$J$4985,BZ$2,FALSE),0)</f>
        <v>0</v>
      </c>
      <c r="CA7" s="163">
        <f>IFERROR(VLOOKUP($BU7,flows!$A$2:$J$4985,CA$2,FALSE),0)</f>
        <v>0</v>
      </c>
      <c r="CB7" s="163">
        <f>IFERROR(VLOOKUP($BU7,flows!$A$2:$J$4985,CB$2,FALSE),0)</f>
        <v>0</v>
      </c>
      <c r="CC7" s="163">
        <f>IFERROR(VLOOKUP($BU7,flows!$A$2:$J$4985,CC$2,FALSE),0)</f>
        <v>0</v>
      </c>
      <c r="CD7" s="163">
        <f>IFERROR(VLOOKUP($BU7,flows!$A$2:$J$4985,CD$2,FALSE),0)</f>
        <v>0</v>
      </c>
    </row>
    <row r="8" spans="2:82" ht="15" thickBot="1" x14ac:dyDescent="0.4">
      <c r="B8" s="201" t="s">
        <v>1165</v>
      </c>
      <c r="C8" s="211" t="s">
        <v>1813</v>
      </c>
      <c r="D8" s="10">
        <f t="shared" ref="D8:K8" si="4">SUM(BW31:BW35)+97000</f>
        <v>97000</v>
      </c>
      <c r="E8" s="10">
        <f t="shared" si="4"/>
        <v>97000</v>
      </c>
      <c r="F8" s="10">
        <f t="shared" si="4"/>
        <v>97000</v>
      </c>
      <c r="G8" s="10">
        <f t="shared" si="4"/>
        <v>97000</v>
      </c>
      <c r="H8" s="10">
        <f t="shared" si="4"/>
        <v>97000</v>
      </c>
      <c r="I8" s="10">
        <f t="shared" si="4"/>
        <v>97000</v>
      </c>
      <c r="J8" s="10">
        <f t="shared" si="4"/>
        <v>97000</v>
      </c>
      <c r="K8" s="10">
        <f t="shared" si="4"/>
        <v>97000</v>
      </c>
      <c r="L8" s="911">
        <v>310719.62549238454</v>
      </c>
      <c r="N8" s="206" t="s">
        <v>122</v>
      </c>
      <c r="O8" s="194"/>
      <c r="P8" s="163">
        <f>IFERROR(VLOOKUP($N8,flows!$A$2:$J$4985,P$2,FALSE),0)</f>
        <v>0</v>
      </c>
      <c r="Q8" s="163">
        <f>IFERROR(VLOOKUP($N8,flows!$A$2:$J$4985,Q$2,FALSE),0)</f>
        <v>0</v>
      </c>
      <c r="R8" s="163">
        <f>IFERROR(VLOOKUP($N8,flows!$A$2:$J$4985,R$2,FALSE),0)</f>
        <v>0</v>
      </c>
      <c r="S8" s="163">
        <f>IFERROR(VLOOKUP($N8,flows!$A$2:$J$4985,S$2,FALSE),0)</f>
        <v>0</v>
      </c>
      <c r="T8" s="163">
        <f>IFERROR(VLOOKUP($N8,flows!$A$2:$J$4985,T$2,FALSE),0)</f>
        <v>0</v>
      </c>
      <c r="U8" s="163">
        <f>IFERROR(VLOOKUP($N8,flows!$A$2:$J$4985,U$2,FALSE),0)</f>
        <v>0</v>
      </c>
      <c r="V8" s="163">
        <f>IFERROR(VLOOKUP($N8,flows!$A$2:$J$4985,V$2,FALSE),0)</f>
        <v>0</v>
      </c>
      <c r="W8" s="163">
        <f>IFERROR(VLOOKUP($N8,flows!$A$2:$J$4985,W$2,FALSE),0)</f>
        <v>0</v>
      </c>
      <c r="Z8" s="206" t="s">
        <v>784</v>
      </c>
      <c r="AA8" s="194"/>
      <c r="AB8" s="163">
        <f>IFERROR(VLOOKUP($Z8,flows!$A$2:$J$4985,AB$2,FALSE),0)</f>
        <v>0</v>
      </c>
      <c r="AC8" s="163">
        <f>IFERROR(VLOOKUP($Z8,flows!$A$2:$J$4985,AC$2,FALSE),0)</f>
        <v>0</v>
      </c>
      <c r="AD8" s="163">
        <f>IFERROR(VLOOKUP($Z8,flows!$A$2:$J$4985,AD$2,FALSE),0)</f>
        <v>0</v>
      </c>
      <c r="AE8" s="163">
        <f>IFERROR(VLOOKUP($Z8,flows!$A$2:$J$4985,AE$2,FALSE),0)</f>
        <v>0</v>
      </c>
      <c r="AF8" s="163">
        <f>IFERROR(VLOOKUP($Z8,flows!$A$2:$J$4985,AF$2,FALSE),0)</f>
        <v>0</v>
      </c>
      <c r="AG8" s="163">
        <f>IFERROR(VLOOKUP($Z8,flows!$A$2:$J$4985,AG$2,FALSE),0)</f>
        <v>0</v>
      </c>
      <c r="AH8" s="163">
        <f>IFERROR(VLOOKUP($Z8,flows!$A$2:$J$4985,AH$2,FALSE),0)</f>
        <v>0</v>
      </c>
      <c r="AI8" s="163">
        <f>IFERROR(VLOOKUP($Z8,flows!$A$2:$J$4985,AI$2,FALSE),0)</f>
        <v>0</v>
      </c>
      <c r="AJ8" s="204"/>
      <c r="AK8" s="204"/>
      <c r="AL8" s="203"/>
      <c r="AM8" s="204"/>
      <c r="AN8" s="204"/>
      <c r="AO8" s="204"/>
      <c r="AP8" s="204"/>
      <c r="AQ8" s="204"/>
      <c r="AR8" s="204"/>
      <c r="AS8" s="204"/>
      <c r="AT8" s="204"/>
      <c r="AU8" s="852"/>
      <c r="AV8" s="204"/>
      <c r="AW8" s="204"/>
      <c r="AX8" s="204"/>
      <c r="AY8" s="204"/>
      <c r="AZ8" s="204"/>
      <c r="BA8" s="204"/>
      <c r="BB8" s="204"/>
      <c r="BC8" s="204"/>
      <c r="BD8" s="204"/>
      <c r="BE8" s="204"/>
      <c r="BF8" s="204"/>
      <c r="BG8" s="204"/>
      <c r="BI8" s="206" t="s">
        <v>124</v>
      </c>
      <c r="BJ8" s="194"/>
      <c r="BK8" s="163">
        <f>IFERROR(VLOOKUP($BI8,flows!$A$2:$J$4985,BK$2,FALSE),0)</f>
        <v>0</v>
      </c>
      <c r="BL8" s="163">
        <f>IFERROR(VLOOKUP($BI8,flows!$A$2:$J$4985,BL$2,FALSE),0)</f>
        <v>0</v>
      </c>
      <c r="BM8" s="163">
        <f>IFERROR(VLOOKUP($BI8,flows!$A$2:$J$4985,BM$2,FALSE),0)</f>
        <v>0</v>
      </c>
      <c r="BN8" s="163">
        <f>IFERROR(VLOOKUP($BI8,flows!$A$2:$J$4985,BN$2,FALSE),0)</f>
        <v>0</v>
      </c>
      <c r="BO8" s="163">
        <f>IFERROR(VLOOKUP($BI8,flows!$A$2:$J$4985,BO$2,FALSE),0)</f>
        <v>0</v>
      </c>
      <c r="BP8" s="163">
        <f>IFERROR(VLOOKUP($BI8,flows!$A$2:$J$4985,BP$2,FALSE),0)</f>
        <v>0</v>
      </c>
      <c r="BQ8" s="163">
        <f>IFERROR(VLOOKUP($BI8,flows!$A$2:$J$4985,BQ$2,FALSE),0)</f>
        <v>0</v>
      </c>
      <c r="BR8" s="163">
        <f>IFERROR(VLOOKUP($BI8,flows!$A$2:$J$4985,BR$2,FALSE),0)</f>
        <v>0</v>
      </c>
      <c r="BU8" s="206" t="s">
        <v>1101</v>
      </c>
      <c r="BV8" s="194"/>
      <c r="BW8" s="163">
        <f>IFERROR(VLOOKUP($BU8,flows!$A$2:$J$4985,BW$2,FALSE),0)</f>
        <v>0</v>
      </c>
      <c r="BX8" s="163">
        <f>IFERROR(VLOOKUP($BU8,flows!$A$2:$J$4985,BX$2,FALSE),0)</f>
        <v>0</v>
      </c>
      <c r="BY8" s="163">
        <f>IFERROR(VLOOKUP($BU8,flows!$A$2:$J$4985,BY$2,FALSE),0)</f>
        <v>0</v>
      </c>
      <c r="BZ8" s="163">
        <f>IFERROR(VLOOKUP($BU8,flows!$A$2:$J$4985,BZ$2,FALSE),0)</f>
        <v>0</v>
      </c>
      <c r="CA8" s="163">
        <f>IFERROR(VLOOKUP($BU8,flows!$A$2:$J$4985,CA$2,FALSE),0)</f>
        <v>0</v>
      </c>
      <c r="CB8" s="163">
        <f>IFERROR(VLOOKUP($BU8,flows!$A$2:$J$4985,CB$2,FALSE),0)</f>
        <v>0</v>
      </c>
      <c r="CC8" s="163">
        <f>IFERROR(VLOOKUP($BU8,flows!$A$2:$J$4985,CC$2,FALSE),0)</f>
        <v>0</v>
      </c>
      <c r="CD8" s="163">
        <f>IFERROR(VLOOKUP($BU8,flows!$A$2:$J$4985,CD$2,FALSE),0)</f>
        <v>0</v>
      </c>
    </row>
    <row r="9" spans="2:82" ht="14.5" x14ac:dyDescent="0.35">
      <c r="C9" s="191" t="s">
        <v>2360</v>
      </c>
      <c r="D9" s="191" t="e">
        <f t="shared" ref="D9:K9" si="5">SUM(D4:D8)</f>
        <v>#DIV/0!</v>
      </c>
      <c r="E9" s="342" t="e">
        <f t="shared" si="5"/>
        <v>#DIV/0!</v>
      </c>
      <c r="F9" s="342" t="e">
        <f t="shared" si="5"/>
        <v>#DIV/0!</v>
      </c>
      <c r="G9" s="342" t="e">
        <f t="shared" si="5"/>
        <v>#DIV/0!</v>
      </c>
      <c r="H9" s="342" t="e">
        <f t="shared" si="5"/>
        <v>#DIV/0!</v>
      </c>
      <c r="I9" s="342" t="e">
        <f t="shared" si="5"/>
        <v>#DIV/0!</v>
      </c>
      <c r="J9" s="342" t="e">
        <f t="shared" si="5"/>
        <v>#DIV/0!</v>
      </c>
      <c r="K9" s="342" t="e">
        <f t="shared" si="5"/>
        <v>#DIV/0!</v>
      </c>
      <c r="N9" s="206" t="s">
        <v>123</v>
      </c>
      <c r="O9" s="194"/>
      <c r="P9" s="163">
        <f>IFERROR(VLOOKUP($N9,flows!$A$2:$J$4985,P$2,FALSE),0)</f>
        <v>0</v>
      </c>
      <c r="Q9" s="163">
        <f>IFERROR(VLOOKUP($N9,flows!$A$2:$J$4985,Q$2,FALSE),0)</f>
        <v>0</v>
      </c>
      <c r="R9" s="163">
        <f>IFERROR(VLOOKUP($N9,flows!$A$2:$J$4985,R$2,FALSE),0)</f>
        <v>0</v>
      </c>
      <c r="S9" s="163">
        <f>IFERROR(VLOOKUP($N9,flows!$A$2:$J$4985,S$2,FALSE),0)</f>
        <v>0</v>
      </c>
      <c r="T9" s="163">
        <f>IFERROR(VLOOKUP($N9,flows!$A$2:$J$4985,T$2,FALSE),0)</f>
        <v>0</v>
      </c>
      <c r="U9" s="163">
        <f>IFERROR(VLOOKUP($N9,flows!$A$2:$J$4985,U$2,FALSE),0)</f>
        <v>0</v>
      </c>
      <c r="V9" s="163">
        <f>IFERROR(VLOOKUP($N9,flows!$A$2:$J$4985,V$2,FALSE),0)</f>
        <v>0</v>
      </c>
      <c r="W9" s="163">
        <f>IFERROR(VLOOKUP($N9,flows!$A$2:$J$4985,W$2,FALSE),0)</f>
        <v>0</v>
      </c>
      <c r="Z9" s="206" t="s">
        <v>785</v>
      </c>
      <c r="AA9" s="194"/>
      <c r="AB9" s="163">
        <f>IFERROR(VLOOKUP($Z9,flows!$A$2:$J$4985,AB$2,FALSE),0)</f>
        <v>0</v>
      </c>
      <c r="AC9" s="163">
        <f>IFERROR(VLOOKUP($Z9,flows!$A$2:$J$4985,AC$2,FALSE),0)</f>
        <v>0</v>
      </c>
      <c r="AD9" s="163">
        <f>IFERROR(VLOOKUP($Z9,flows!$A$2:$J$4985,AD$2,FALSE),0)</f>
        <v>0</v>
      </c>
      <c r="AE9" s="163">
        <f>IFERROR(VLOOKUP($Z9,flows!$A$2:$J$4985,AE$2,FALSE),0)</f>
        <v>0</v>
      </c>
      <c r="AF9" s="163">
        <f>IFERROR(VLOOKUP($Z9,flows!$A$2:$J$4985,AF$2,FALSE),0)</f>
        <v>0</v>
      </c>
      <c r="AG9" s="163">
        <f>IFERROR(VLOOKUP($Z9,flows!$A$2:$J$4985,AG$2,FALSE),0)</f>
        <v>0</v>
      </c>
      <c r="AH9" s="163">
        <f>IFERROR(VLOOKUP($Z9,flows!$A$2:$J$4985,AH$2,FALSE),0)</f>
        <v>0</v>
      </c>
      <c r="AI9" s="163">
        <f>IFERROR(VLOOKUP($Z9,flows!$A$2:$J$4985,AI$2,FALSE),0)</f>
        <v>0</v>
      </c>
      <c r="AJ9" s="204"/>
      <c r="AK9" s="204"/>
      <c r="AL9" s="207" t="s">
        <v>778</v>
      </c>
      <c r="AM9" s="337"/>
      <c r="AN9" s="163">
        <f>IFERROR(VLOOKUP($AL9,flows!$A$2:$J$4985,AN$2,FALSE),0)</f>
        <v>0</v>
      </c>
      <c r="AO9" s="163">
        <f>IFERROR(VLOOKUP($AL9,flows!$A$2:$J$4985,AO$2,FALSE),0)</f>
        <v>0</v>
      </c>
      <c r="AP9" s="163">
        <f>IFERROR(VLOOKUP($AL9,flows!$A$2:$J$4985,AP$2,FALSE),0)</f>
        <v>0</v>
      </c>
      <c r="AQ9" s="163">
        <f>IFERROR(VLOOKUP($AL9,flows!$A$2:$J$4985,AQ$2,FALSE),0)</f>
        <v>0</v>
      </c>
      <c r="AR9" s="163">
        <f>IFERROR(VLOOKUP($AL9,flows!$A$2:$J$4985,AR$2,FALSE),0)</f>
        <v>0</v>
      </c>
      <c r="AS9" s="163">
        <f>IFERROR(VLOOKUP($AL9,flows!$A$2:$J$4985,AS$2,FALSE),0)</f>
        <v>0</v>
      </c>
      <c r="AT9" s="163">
        <f>IFERROR(VLOOKUP($AL9,flows!$A$2:$J$4985,AT$2,FALSE),0)</f>
        <v>0</v>
      </c>
      <c r="AU9" s="163">
        <f>IFERROR(VLOOKUP($AL9,flows!$A$2:$J$4985,AU$2,FALSE),0)</f>
        <v>0</v>
      </c>
      <c r="AV9" s="204"/>
      <c r="AW9" s="204"/>
      <c r="AX9" s="204"/>
      <c r="AY9" s="204"/>
      <c r="AZ9" s="204"/>
      <c r="BA9" s="204"/>
      <c r="BB9" s="204"/>
      <c r="BC9" s="204"/>
      <c r="BD9" s="204"/>
      <c r="BE9" s="204"/>
      <c r="BF9" s="204"/>
      <c r="BG9" s="204"/>
      <c r="BI9" s="206" t="s">
        <v>125</v>
      </c>
      <c r="BJ9" s="194"/>
      <c r="BK9" s="163">
        <f>IFERROR(VLOOKUP($BI9,flows!$A$2:$J$4985,BK$2,FALSE),0)</f>
        <v>0</v>
      </c>
      <c r="BL9" s="163">
        <f>IFERROR(VLOOKUP($BI9,flows!$A$2:$J$4985,BL$2,FALSE),0)</f>
        <v>0</v>
      </c>
      <c r="BM9" s="163">
        <f>IFERROR(VLOOKUP($BI9,flows!$A$2:$J$4985,BM$2,FALSE),0)</f>
        <v>0</v>
      </c>
      <c r="BN9" s="163">
        <f>IFERROR(VLOOKUP($BI9,flows!$A$2:$J$4985,BN$2,FALSE),0)</f>
        <v>0</v>
      </c>
      <c r="BO9" s="163">
        <f>IFERROR(VLOOKUP($BI9,flows!$A$2:$J$4985,BO$2,FALSE),0)</f>
        <v>0</v>
      </c>
      <c r="BP9" s="163">
        <f>IFERROR(VLOOKUP($BI9,flows!$A$2:$J$4985,BP$2,FALSE),0)</f>
        <v>0</v>
      </c>
      <c r="BQ9" s="163">
        <f>IFERROR(VLOOKUP($BI9,flows!$A$2:$J$4985,BQ$2,FALSE),0)</f>
        <v>0</v>
      </c>
      <c r="BR9" s="163">
        <f>IFERROR(VLOOKUP($BI9,flows!$A$2:$J$4985,BR$2,FALSE),0)</f>
        <v>0</v>
      </c>
      <c r="BU9" s="206" t="s">
        <v>1103</v>
      </c>
      <c r="BV9" s="194"/>
      <c r="BW9" s="163">
        <f>IFERROR(VLOOKUP($BU9,flows!$A$2:$J$4985,BW$2,FALSE),0)</f>
        <v>0</v>
      </c>
      <c r="BX9" s="163">
        <f>IFERROR(VLOOKUP($BU9,flows!$A$2:$J$4985,BX$2,FALSE),0)</f>
        <v>0</v>
      </c>
      <c r="BY9" s="163">
        <f>IFERROR(VLOOKUP($BU9,flows!$A$2:$J$4985,BY$2,FALSE),0)</f>
        <v>0</v>
      </c>
      <c r="BZ9" s="163">
        <f>IFERROR(VLOOKUP($BU9,flows!$A$2:$J$4985,BZ$2,FALSE),0)</f>
        <v>0</v>
      </c>
      <c r="CA9" s="163">
        <f>IFERROR(VLOOKUP($BU9,flows!$A$2:$J$4985,CA$2,FALSE),0)</f>
        <v>0</v>
      </c>
      <c r="CB9" s="163">
        <f>IFERROR(VLOOKUP($BU9,flows!$A$2:$J$4985,CB$2,FALSE),0)</f>
        <v>0</v>
      </c>
      <c r="CC9" s="163">
        <f>IFERROR(VLOOKUP($BU9,flows!$A$2:$J$4985,CC$2,FALSE),0)</f>
        <v>0</v>
      </c>
      <c r="CD9" s="163">
        <f>IFERROR(VLOOKUP($BU9,flows!$A$2:$J$4985,CD$2,FALSE),0)</f>
        <v>0</v>
      </c>
    </row>
    <row r="10" spans="2:82" ht="14.5" x14ac:dyDescent="0.35">
      <c r="C10" s="191" t="s">
        <v>4339</v>
      </c>
      <c r="D10" s="191" t="e">
        <f>SUM(D4:D6,D8)</f>
        <v>#DIV/0!</v>
      </c>
      <c r="E10" s="342" t="e">
        <f t="shared" ref="E10:K10" si="6">SUM(E4:E6,E8)</f>
        <v>#DIV/0!</v>
      </c>
      <c r="F10" s="342" t="e">
        <f t="shared" si="6"/>
        <v>#DIV/0!</v>
      </c>
      <c r="G10" s="342" t="e">
        <f t="shared" si="6"/>
        <v>#DIV/0!</v>
      </c>
      <c r="H10" s="342" t="e">
        <f t="shared" si="6"/>
        <v>#DIV/0!</v>
      </c>
      <c r="I10" s="342" t="e">
        <f t="shared" si="6"/>
        <v>#DIV/0!</v>
      </c>
      <c r="J10" s="342" t="e">
        <f t="shared" si="6"/>
        <v>#DIV/0!</v>
      </c>
      <c r="K10" s="342" t="e">
        <f t="shared" si="6"/>
        <v>#DIV/0!</v>
      </c>
      <c r="N10" s="206" t="s">
        <v>3972</v>
      </c>
      <c r="O10" s="337"/>
      <c r="P10" s="163">
        <f>IFERROR(VLOOKUP($N10,flows!$A$2:$J$4985,P$2,FALSE),0)</f>
        <v>0</v>
      </c>
      <c r="Q10" s="163">
        <f>IFERROR(VLOOKUP($N10,flows!$A$2:$J$4985,Q$2,FALSE),0)</f>
        <v>0</v>
      </c>
      <c r="R10" s="163">
        <f>IFERROR(VLOOKUP($N10,flows!$A$2:$J$4985,R$2,FALSE),0)</f>
        <v>0</v>
      </c>
      <c r="S10" s="163">
        <f>IFERROR(VLOOKUP($N10,flows!$A$2:$J$4985,S$2,FALSE),0)</f>
        <v>0</v>
      </c>
      <c r="T10" s="163">
        <f>IFERROR(VLOOKUP($N10,flows!$A$2:$J$4985,T$2,FALSE),0)</f>
        <v>0</v>
      </c>
      <c r="U10" s="163">
        <f>IFERROR(VLOOKUP($N10,flows!$A$2:$J$4985,U$2,FALSE),0)</f>
        <v>0</v>
      </c>
      <c r="V10" s="163">
        <f>IFERROR(VLOOKUP($N10,flows!$A$2:$J$4985,V$2,FALSE),0)</f>
        <v>0</v>
      </c>
      <c r="W10" s="163">
        <f>IFERROR(VLOOKUP($N10,flows!$A$2:$J$4985,W$2,FALSE),0)</f>
        <v>0</v>
      </c>
      <c r="Z10" s="206" t="s">
        <v>786</v>
      </c>
      <c r="AA10" s="194"/>
      <c r="AB10" s="163">
        <f>IFERROR(VLOOKUP($Z10,flows!$A$2:$J$4985,AB$2,FALSE),0)</f>
        <v>0</v>
      </c>
      <c r="AC10" s="163">
        <f>IFERROR(VLOOKUP($Z10,flows!$A$2:$J$4985,AC$2,FALSE),0)</f>
        <v>0</v>
      </c>
      <c r="AD10" s="163">
        <f>IFERROR(VLOOKUP($Z10,flows!$A$2:$J$4985,AD$2,FALSE),0)</f>
        <v>0</v>
      </c>
      <c r="AE10" s="163">
        <f>IFERROR(VLOOKUP($Z10,flows!$A$2:$J$4985,AE$2,FALSE),0)</f>
        <v>0</v>
      </c>
      <c r="AF10" s="163">
        <f>IFERROR(VLOOKUP($Z10,flows!$A$2:$J$4985,AF$2,FALSE),0)</f>
        <v>0</v>
      </c>
      <c r="AG10" s="163">
        <f>IFERROR(VLOOKUP($Z10,flows!$A$2:$J$4985,AG$2,FALSE),0)</f>
        <v>0</v>
      </c>
      <c r="AH10" s="163">
        <f>IFERROR(VLOOKUP($Z10,flows!$A$2:$J$4985,AH$2,FALSE),0)</f>
        <v>0</v>
      </c>
      <c r="AI10" s="163">
        <f>IFERROR(VLOOKUP($Z10,flows!$A$2:$J$4985,AI$2,FALSE),0)</f>
        <v>0</v>
      </c>
      <c r="AJ10" s="204"/>
      <c r="AK10" s="204"/>
      <c r="AL10" s="343" t="s">
        <v>779</v>
      </c>
      <c r="AM10" s="337"/>
      <c r="AN10" s="163">
        <f>IFERROR(VLOOKUP($AL10,flows!$A$2:$J$4985,AN$2,FALSE),0)</f>
        <v>0</v>
      </c>
      <c r="AO10" s="163">
        <f>IFERROR(VLOOKUP($AL10,flows!$A$2:$J$4985,AO$2,FALSE),0)</f>
        <v>0</v>
      </c>
      <c r="AP10" s="163">
        <f>IFERROR(VLOOKUP($AL10,flows!$A$2:$J$4985,AP$2,FALSE),0)</f>
        <v>0</v>
      </c>
      <c r="AQ10" s="163">
        <f>IFERROR(VLOOKUP($AL10,flows!$A$2:$J$4985,AQ$2,FALSE),0)</f>
        <v>0</v>
      </c>
      <c r="AR10" s="163">
        <f>IFERROR(VLOOKUP($AL10,flows!$A$2:$J$4985,AR$2,FALSE),0)</f>
        <v>0</v>
      </c>
      <c r="AS10" s="163">
        <f>IFERROR(VLOOKUP($AL10,flows!$A$2:$J$4985,AS$2,FALSE),0)</f>
        <v>0</v>
      </c>
      <c r="AT10" s="163">
        <f>IFERROR(VLOOKUP($AL10,flows!$A$2:$J$4985,AT$2,FALSE),0)</f>
        <v>0</v>
      </c>
      <c r="AU10" s="163">
        <f>IFERROR(VLOOKUP($AL10,flows!$A$2:$J$4985,AU$2,FALSE),0)</f>
        <v>0</v>
      </c>
      <c r="AV10" s="204"/>
      <c r="AW10" s="204"/>
      <c r="AX10" s="204"/>
      <c r="AY10" s="204"/>
      <c r="AZ10" s="204"/>
      <c r="BA10" s="204"/>
      <c r="BB10" s="204"/>
      <c r="BC10" s="204"/>
      <c r="BD10" s="204"/>
      <c r="BE10" s="204"/>
      <c r="BF10" s="204"/>
      <c r="BG10" s="204"/>
      <c r="BI10" s="206" t="s">
        <v>126</v>
      </c>
      <c r="BJ10" s="194"/>
      <c r="BK10" s="163">
        <f>IFERROR(VLOOKUP($BI10,flows!$A$2:$J$4985,BK$2,FALSE),0)</f>
        <v>0</v>
      </c>
      <c r="BL10" s="163">
        <f>IFERROR(VLOOKUP($BI10,flows!$A$2:$J$4985,BL$2,FALSE),0)</f>
        <v>0</v>
      </c>
      <c r="BM10" s="163">
        <f>IFERROR(VLOOKUP($BI10,flows!$A$2:$J$4985,BM$2,FALSE),0)</f>
        <v>0</v>
      </c>
      <c r="BN10" s="163">
        <f>IFERROR(VLOOKUP($BI10,flows!$A$2:$J$4985,BN$2,FALSE),0)</f>
        <v>0</v>
      </c>
      <c r="BO10" s="163">
        <f>IFERROR(VLOOKUP($BI10,flows!$A$2:$J$4985,BO$2,FALSE),0)</f>
        <v>0</v>
      </c>
      <c r="BP10" s="163">
        <f>IFERROR(VLOOKUP($BI10,flows!$A$2:$J$4985,BP$2,FALSE),0)</f>
        <v>0</v>
      </c>
      <c r="BQ10" s="163">
        <f>IFERROR(VLOOKUP($BI10,flows!$A$2:$J$4985,BQ$2,FALSE),0)</f>
        <v>0</v>
      </c>
      <c r="BR10" s="163">
        <f>IFERROR(VLOOKUP($BI10,flows!$A$2:$J$4985,BR$2,FALSE),0)</f>
        <v>0</v>
      </c>
      <c r="BU10" s="207" t="s">
        <v>609</v>
      </c>
      <c r="BV10" s="195"/>
      <c r="BW10" s="163">
        <f>IFERROR(VLOOKUP($BU10,flows!$A$2:$J$4985,BW$2,FALSE),0)</f>
        <v>0</v>
      </c>
      <c r="BX10" s="163">
        <f>IFERROR(VLOOKUP($BU10,flows!$A$2:$J$4985,BX$2,FALSE),0)</f>
        <v>0</v>
      </c>
      <c r="BY10" s="163">
        <f>IFERROR(VLOOKUP($BU10,flows!$A$2:$J$4985,BY$2,FALSE),0)</f>
        <v>0</v>
      </c>
      <c r="BZ10" s="163">
        <f>IFERROR(VLOOKUP($BU10,flows!$A$2:$J$4985,BZ$2,FALSE),0)</f>
        <v>0</v>
      </c>
      <c r="CA10" s="163">
        <f>IFERROR(VLOOKUP($BU10,flows!$A$2:$J$4985,CA$2,FALSE),0)</f>
        <v>0</v>
      </c>
      <c r="CB10" s="163">
        <f>IFERROR(VLOOKUP($BU10,flows!$A$2:$J$4985,CB$2,FALSE),0)</f>
        <v>0</v>
      </c>
      <c r="CC10" s="163">
        <f>IFERROR(VLOOKUP($BU10,flows!$A$2:$J$4985,CC$2,FALSE),0)</f>
        <v>0</v>
      </c>
      <c r="CD10" s="163">
        <f>IFERROR(VLOOKUP($BU10,flows!$A$2:$J$4985,CD$2,FALSE),0)</f>
        <v>0</v>
      </c>
    </row>
    <row r="11" spans="2:82" ht="14.5" x14ac:dyDescent="0.35">
      <c r="N11" s="206" t="s">
        <v>136</v>
      </c>
      <c r="O11" s="194"/>
      <c r="P11" s="163">
        <f>IFERROR(VLOOKUP($N11,flows!$A$2:$J$4985,P$2,FALSE),0)</f>
        <v>0</v>
      </c>
      <c r="Q11" s="163">
        <f>IFERROR(VLOOKUP($N11,flows!$A$2:$J$4985,Q$2,FALSE),0)</f>
        <v>0</v>
      </c>
      <c r="R11" s="163">
        <f>IFERROR(VLOOKUP($N11,flows!$A$2:$J$4985,R$2,FALSE),0)</f>
        <v>0</v>
      </c>
      <c r="S11" s="163">
        <f>IFERROR(VLOOKUP($N11,flows!$A$2:$J$4985,S$2,FALSE),0)</f>
        <v>0</v>
      </c>
      <c r="T11" s="163">
        <f>IFERROR(VLOOKUP($N11,flows!$A$2:$J$4985,T$2,FALSE),0)</f>
        <v>0</v>
      </c>
      <c r="U11" s="163">
        <f>IFERROR(VLOOKUP($N11,flows!$A$2:$J$4985,U$2,FALSE),0)</f>
        <v>0</v>
      </c>
      <c r="V11" s="163">
        <f>IFERROR(VLOOKUP($N11,flows!$A$2:$J$4985,V$2,FALSE),0)</f>
        <v>0</v>
      </c>
      <c r="W11" s="163">
        <f>IFERROR(VLOOKUP($N11,flows!$A$2:$J$4985,W$2,FALSE),0)</f>
        <v>0</v>
      </c>
      <c r="Z11" s="206" t="s">
        <v>787</v>
      </c>
      <c r="AA11" s="194"/>
      <c r="AB11" s="163">
        <f>IFERROR(VLOOKUP($Z11,flows!$A$2:$J$4985,AB$2,FALSE),0)</f>
        <v>0</v>
      </c>
      <c r="AC11" s="163">
        <f>IFERROR(VLOOKUP($Z11,flows!$A$2:$J$4985,AC$2,FALSE),0)</f>
        <v>0</v>
      </c>
      <c r="AD11" s="163">
        <f>IFERROR(VLOOKUP($Z11,flows!$A$2:$J$4985,AD$2,FALSE),0)</f>
        <v>0</v>
      </c>
      <c r="AE11" s="163">
        <f>IFERROR(VLOOKUP($Z11,flows!$A$2:$J$4985,AE$2,FALSE),0)</f>
        <v>0</v>
      </c>
      <c r="AF11" s="163">
        <f>IFERROR(VLOOKUP($Z11,flows!$A$2:$J$4985,AF$2,FALSE),0)</f>
        <v>0</v>
      </c>
      <c r="AG11" s="163">
        <f>IFERROR(VLOOKUP($Z11,flows!$A$2:$J$4985,AG$2,FALSE),0)</f>
        <v>0</v>
      </c>
      <c r="AH11" s="163">
        <f>IFERROR(VLOOKUP($Z11,flows!$A$2:$J$4985,AH$2,FALSE),0)</f>
        <v>0</v>
      </c>
      <c r="AI11" s="163">
        <f>IFERROR(VLOOKUP($Z11,flows!$A$2:$J$4985,AI$2,FALSE),0)</f>
        <v>0</v>
      </c>
      <c r="AJ11" s="204"/>
      <c r="AK11" s="204"/>
      <c r="AL11" s="204" t="s">
        <v>4011</v>
      </c>
      <c r="AM11" s="338"/>
      <c r="AN11" s="163">
        <f>IFERROR(VLOOKUP($AL11,flows!$A$2:$J$4985,AN$2,FALSE),0)</f>
        <v>0</v>
      </c>
      <c r="AO11" s="163">
        <f>IFERROR(VLOOKUP($AL11,flows!$A$2:$J$4985,AO$2,FALSE),0)</f>
        <v>0</v>
      </c>
      <c r="AP11" s="163">
        <f>IFERROR(VLOOKUP($AL11,flows!$A$2:$J$4985,AP$2,FALSE),0)</f>
        <v>0</v>
      </c>
      <c r="AQ11" s="163">
        <f>IFERROR(VLOOKUP($AL11,flows!$A$2:$J$4985,AQ$2,FALSE),0)</f>
        <v>0</v>
      </c>
      <c r="AR11" s="163">
        <f>IFERROR(VLOOKUP($AL11,flows!$A$2:$J$4985,AR$2,FALSE),0)</f>
        <v>0</v>
      </c>
      <c r="AS11" s="163">
        <f>IFERROR(VLOOKUP($AL11,flows!$A$2:$J$4985,AS$2,FALSE),0)</f>
        <v>0</v>
      </c>
      <c r="AT11" s="163">
        <f>IFERROR(VLOOKUP($AL11,flows!$A$2:$J$4985,AT$2,FALSE),0)</f>
        <v>0</v>
      </c>
      <c r="AU11" s="163">
        <f>IFERROR(VLOOKUP($AL11,flows!$A$2:$J$4985,AU$2,FALSE),0)</f>
        <v>0</v>
      </c>
      <c r="AV11" s="204"/>
      <c r="AW11" s="204"/>
      <c r="AX11" s="204"/>
      <c r="AY11" s="204"/>
      <c r="AZ11" s="204"/>
      <c r="BA11" s="204"/>
      <c r="BB11" s="204"/>
      <c r="BC11" s="204"/>
      <c r="BD11" s="204"/>
      <c r="BE11" s="204"/>
      <c r="BF11" s="204"/>
      <c r="BG11" s="204"/>
      <c r="BI11" s="207" t="s">
        <v>127</v>
      </c>
      <c r="BJ11" s="195"/>
      <c r="BK11" s="163">
        <f>IFERROR(VLOOKUP($BI11,flows!$A$2:$J$4985,BK$2,FALSE),0)</f>
        <v>0</v>
      </c>
      <c r="BL11" s="163">
        <f>IFERROR(VLOOKUP($BI11,flows!$A$2:$J$4985,BL$2,FALSE),0)</f>
        <v>0</v>
      </c>
      <c r="BM11" s="163">
        <f>IFERROR(VLOOKUP($BI11,flows!$A$2:$J$4985,BM$2,FALSE),0)</f>
        <v>0</v>
      </c>
      <c r="BN11" s="163">
        <f>IFERROR(VLOOKUP($BI11,flows!$A$2:$J$4985,BN$2,FALSE),0)</f>
        <v>0</v>
      </c>
      <c r="BO11" s="163">
        <f>IFERROR(VLOOKUP($BI11,flows!$A$2:$J$4985,BO$2,FALSE),0)</f>
        <v>0</v>
      </c>
      <c r="BP11" s="163">
        <f>IFERROR(VLOOKUP($BI11,flows!$A$2:$J$4985,BP$2,FALSE),0)</f>
        <v>0</v>
      </c>
      <c r="BQ11" s="163">
        <f>IFERROR(VLOOKUP($BI11,flows!$A$2:$J$4985,BQ$2,FALSE),0)</f>
        <v>0</v>
      </c>
      <c r="BR11" s="163">
        <f>IFERROR(VLOOKUP($BI11,flows!$A$2:$J$4985,BR$2,FALSE),0)</f>
        <v>0</v>
      </c>
      <c r="BU11" s="198" t="s">
        <v>999</v>
      </c>
      <c r="BV11" s="199"/>
      <c r="BW11" s="163">
        <f>IFERROR(VLOOKUP($BU11,flows!$A$2:$J$4985,BW$2,FALSE),0)</f>
        <v>0</v>
      </c>
      <c r="BX11" s="163">
        <f>IFERROR(VLOOKUP($BU11,flows!$A$2:$J$4985,BX$2,FALSE),0)</f>
        <v>0</v>
      </c>
      <c r="BY11" s="163">
        <f>IFERROR(VLOOKUP($BU11,flows!$A$2:$J$4985,BY$2,FALSE),0)</f>
        <v>0</v>
      </c>
      <c r="BZ11" s="163">
        <f>IFERROR(VLOOKUP($BU11,flows!$A$2:$J$4985,BZ$2,FALSE),0)</f>
        <v>0</v>
      </c>
      <c r="CA11" s="163">
        <f>IFERROR(VLOOKUP($BU11,flows!$A$2:$J$4985,CA$2,FALSE),0)</f>
        <v>0</v>
      </c>
      <c r="CB11" s="163">
        <f>IFERROR(VLOOKUP($BU11,flows!$A$2:$J$4985,CB$2,FALSE),0)</f>
        <v>0</v>
      </c>
      <c r="CC11" s="163">
        <f>IFERROR(VLOOKUP($BU11,flows!$A$2:$J$4985,CC$2,FALSE),0)</f>
        <v>0</v>
      </c>
      <c r="CD11" s="163">
        <f>IFERROR(VLOOKUP($BU11,flows!$A$2:$J$4985,CD$2,FALSE),0)</f>
        <v>0</v>
      </c>
    </row>
    <row r="12" spans="2:82" ht="14.5" x14ac:dyDescent="0.35">
      <c r="N12" s="206" t="s">
        <v>677</v>
      </c>
      <c r="O12" s="194"/>
      <c r="P12" s="163">
        <f>IFERROR(VLOOKUP($N12,flows!$A$2:$J$4985,P$2,FALSE),0)</f>
        <v>0</v>
      </c>
      <c r="Q12" s="163">
        <f>IFERROR(VLOOKUP($N12,flows!$A$2:$J$4985,Q$2,FALSE),0)</f>
        <v>0</v>
      </c>
      <c r="R12" s="163">
        <f>IFERROR(VLOOKUP($N12,flows!$A$2:$J$4985,R$2,FALSE),0)</f>
        <v>0</v>
      </c>
      <c r="S12" s="163">
        <f>IFERROR(VLOOKUP($N12,flows!$A$2:$J$4985,S$2,FALSE),0)</f>
        <v>0</v>
      </c>
      <c r="T12" s="163">
        <f>IFERROR(VLOOKUP($N12,flows!$A$2:$J$4985,T$2,FALSE),0)</f>
        <v>0</v>
      </c>
      <c r="U12" s="163">
        <f>IFERROR(VLOOKUP($N12,flows!$A$2:$J$4985,U$2,FALSE),0)</f>
        <v>0</v>
      </c>
      <c r="V12" s="163">
        <f>IFERROR(VLOOKUP($N12,flows!$A$2:$J$4985,V$2,FALSE),0)</f>
        <v>0</v>
      </c>
      <c r="W12" s="163">
        <f>IFERROR(VLOOKUP($N12,flows!$A$2:$J$4985,W$2,FALSE),0)</f>
        <v>0</v>
      </c>
      <c r="Z12" s="206" t="s">
        <v>791</v>
      </c>
      <c r="AA12" s="194"/>
      <c r="AB12" s="163">
        <f>IFERROR(VLOOKUP($Z12,flows!$A$2:$J$4985,AB$2,FALSE),0)</f>
        <v>0</v>
      </c>
      <c r="AC12" s="163">
        <f>IFERROR(VLOOKUP($Z12,flows!$A$2:$J$4985,AC$2,FALSE),0)</f>
        <v>0</v>
      </c>
      <c r="AD12" s="163">
        <f>IFERROR(VLOOKUP($Z12,flows!$A$2:$J$4985,AD$2,FALSE),0)</f>
        <v>0</v>
      </c>
      <c r="AE12" s="163">
        <f>IFERROR(VLOOKUP($Z12,flows!$A$2:$J$4985,AE$2,FALSE),0)</f>
        <v>0</v>
      </c>
      <c r="AF12" s="163">
        <f>IFERROR(VLOOKUP($Z12,flows!$A$2:$J$4985,AF$2,FALSE),0)</f>
        <v>0</v>
      </c>
      <c r="AG12" s="163">
        <f>IFERROR(VLOOKUP($Z12,flows!$A$2:$J$4985,AG$2,FALSE),0)</f>
        <v>0</v>
      </c>
      <c r="AH12" s="163">
        <f>IFERROR(VLOOKUP($Z12,flows!$A$2:$J$4985,AH$2,FALSE),0)</f>
        <v>0</v>
      </c>
      <c r="AI12" s="163">
        <f>IFERROR(VLOOKUP($Z12,flows!$A$2:$J$4985,AI$2,FALSE),0)</f>
        <v>0</v>
      </c>
      <c r="AJ12" s="204"/>
      <c r="AK12" s="204"/>
      <c r="AL12" s="204" t="s">
        <v>159</v>
      </c>
      <c r="AM12" s="337"/>
      <c r="AN12" s="163">
        <f>IFERROR(VLOOKUP($AL12,flows!$A$2:$J$4985,AN$2,FALSE),0)</f>
        <v>0</v>
      </c>
      <c r="AO12" s="163">
        <f>IFERROR(VLOOKUP($AL12,flows!$A$2:$J$4985,AO$2,FALSE),0)</f>
        <v>0</v>
      </c>
      <c r="AP12" s="163">
        <f>IFERROR(VLOOKUP($AL12,flows!$A$2:$J$4985,AP$2,FALSE),0)</f>
        <v>0</v>
      </c>
      <c r="AQ12" s="163">
        <f>IFERROR(VLOOKUP($AL12,flows!$A$2:$J$4985,AQ$2,FALSE),0)</f>
        <v>0</v>
      </c>
      <c r="AR12" s="163">
        <f>IFERROR(VLOOKUP($AL12,flows!$A$2:$J$4985,AR$2,FALSE),0)</f>
        <v>0</v>
      </c>
      <c r="AS12" s="163">
        <f>IFERROR(VLOOKUP($AL12,flows!$A$2:$J$4985,AS$2,FALSE),0)</f>
        <v>0</v>
      </c>
      <c r="AT12" s="163">
        <f>IFERROR(VLOOKUP($AL12,flows!$A$2:$J$4985,AT$2,FALSE),0)</f>
        <v>0</v>
      </c>
      <c r="AU12" s="163">
        <f>IFERROR(VLOOKUP($AL12,flows!$A$2:$J$4985,AU$2,FALSE),0)</f>
        <v>0</v>
      </c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I12" s="198" t="s">
        <v>128</v>
      </c>
      <c r="BJ12" s="199"/>
      <c r="BK12" s="163">
        <f>IFERROR(VLOOKUP($BI12,flows!$A$2:$J$4985,BK$2,FALSE),0)</f>
        <v>0</v>
      </c>
      <c r="BL12" s="163">
        <f>IFERROR(VLOOKUP($BI12,flows!$A$2:$J$4985,BL$2,FALSE),0)</f>
        <v>0</v>
      </c>
      <c r="BM12" s="163">
        <f>IFERROR(VLOOKUP($BI12,flows!$A$2:$J$4985,BM$2,FALSE),0)</f>
        <v>0</v>
      </c>
      <c r="BN12" s="163">
        <f>IFERROR(VLOOKUP($BI12,flows!$A$2:$J$4985,BN$2,FALSE),0)</f>
        <v>0</v>
      </c>
      <c r="BO12" s="163">
        <f>IFERROR(VLOOKUP($BI12,flows!$A$2:$J$4985,BO$2,FALSE),0)</f>
        <v>0</v>
      </c>
      <c r="BP12" s="163">
        <f>IFERROR(VLOOKUP($BI12,flows!$A$2:$J$4985,BP$2,FALSE),0)</f>
        <v>0</v>
      </c>
      <c r="BQ12" s="163">
        <f>IFERROR(VLOOKUP($BI12,flows!$A$2:$J$4985,BQ$2,FALSE),0)</f>
        <v>0</v>
      </c>
      <c r="BR12" s="163">
        <f>IFERROR(VLOOKUP($BI12,flows!$A$2:$J$4985,BR$2,FALSE),0)</f>
        <v>0</v>
      </c>
      <c r="BU12" s="206" t="s">
        <v>1099</v>
      </c>
      <c r="BV12" s="194"/>
      <c r="BW12" s="163">
        <f>IFERROR(VLOOKUP($BU12,flows!$A$2:$J$4985,BW$2,FALSE),0)</f>
        <v>0</v>
      </c>
      <c r="BX12" s="163">
        <f>IFERROR(VLOOKUP($BU12,flows!$A$2:$J$4985,BX$2,FALSE),0)</f>
        <v>0</v>
      </c>
      <c r="BY12" s="163">
        <f>IFERROR(VLOOKUP($BU12,flows!$A$2:$J$4985,BY$2,FALSE),0)</f>
        <v>0</v>
      </c>
      <c r="BZ12" s="163">
        <f>IFERROR(VLOOKUP($BU12,flows!$A$2:$J$4985,BZ$2,FALSE),0)</f>
        <v>0</v>
      </c>
      <c r="CA12" s="163">
        <f>IFERROR(VLOOKUP($BU12,flows!$A$2:$J$4985,CA$2,FALSE),0)</f>
        <v>0</v>
      </c>
      <c r="CB12" s="163">
        <f>IFERROR(VLOOKUP($BU12,flows!$A$2:$J$4985,CB$2,FALSE),0)</f>
        <v>0</v>
      </c>
      <c r="CC12" s="163">
        <f>IFERROR(VLOOKUP($BU12,flows!$A$2:$J$4985,CC$2,FALSE),0)</f>
        <v>0</v>
      </c>
      <c r="CD12" s="163">
        <f>IFERROR(VLOOKUP($BU12,flows!$A$2:$J$4985,CD$2,FALSE),0)</f>
        <v>0</v>
      </c>
    </row>
    <row r="13" spans="2:82" ht="14.5" x14ac:dyDescent="0.35">
      <c r="N13" s="207" t="s">
        <v>678</v>
      </c>
      <c r="O13" s="195"/>
      <c r="P13" s="163">
        <f>IFERROR(VLOOKUP($N13,flows!$A$2:$J$4985,P$2,FALSE),0)</f>
        <v>0</v>
      </c>
      <c r="Q13" s="163">
        <f>IFERROR(VLOOKUP($N13,flows!$A$2:$J$4985,Q$2,FALSE),0)</f>
        <v>0</v>
      </c>
      <c r="R13" s="163">
        <f>IFERROR(VLOOKUP($N13,flows!$A$2:$J$4985,R$2,FALSE),0)</f>
        <v>0</v>
      </c>
      <c r="S13" s="163">
        <f>IFERROR(VLOOKUP($N13,flows!$A$2:$J$4985,S$2,FALSE),0)</f>
        <v>0</v>
      </c>
      <c r="T13" s="163">
        <f>IFERROR(VLOOKUP($N13,flows!$A$2:$J$4985,T$2,FALSE),0)</f>
        <v>0</v>
      </c>
      <c r="U13" s="163">
        <f>IFERROR(VLOOKUP($N13,flows!$A$2:$J$4985,U$2,FALSE),0)</f>
        <v>0</v>
      </c>
      <c r="V13" s="163">
        <f>IFERROR(VLOOKUP($N13,flows!$A$2:$J$4985,V$2,FALSE),0)</f>
        <v>0</v>
      </c>
      <c r="W13" s="163">
        <f>IFERROR(VLOOKUP($N13,flows!$A$2:$J$4985,W$2,FALSE),0)</f>
        <v>0</v>
      </c>
      <c r="Z13" s="206" t="s">
        <v>792</v>
      </c>
      <c r="AA13" s="194"/>
      <c r="AB13" s="163">
        <f>IFERROR(VLOOKUP($Z13,flows!$A$2:$J$4985,AB$2,FALSE),0)</f>
        <v>0</v>
      </c>
      <c r="AC13" s="163">
        <f>IFERROR(VLOOKUP($Z13,flows!$A$2:$J$4985,AC$2,FALSE),0)</f>
        <v>0</v>
      </c>
      <c r="AD13" s="163">
        <f>IFERROR(VLOOKUP($Z13,flows!$A$2:$J$4985,AD$2,FALSE),0)</f>
        <v>0</v>
      </c>
      <c r="AE13" s="163">
        <f>IFERROR(VLOOKUP($Z13,flows!$A$2:$J$4985,AE$2,FALSE),0)</f>
        <v>0</v>
      </c>
      <c r="AF13" s="163">
        <f>IFERROR(VLOOKUP($Z13,flows!$A$2:$J$4985,AF$2,FALSE),0)</f>
        <v>0</v>
      </c>
      <c r="AG13" s="163">
        <f>IFERROR(VLOOKUP($Z13,flows!$A$2:$J$4985,AG$2,FALSE),0)</f>
        <v>0</v>
      </c>
      <c r="AH13" s="163">
        <f>IFERROR(VLOOKUP($Z13,flows!$A$2:$J$4985,AH$2,FALSE),0)</f>
        <v>0</v>
      </c>
      <c r="AI13" s="163">
        <f>IFERROR(VLOOKUP($Z13,flows!$A$2:$J$4985,AI$2,FALSE),0)</f>
        <v>0</v>
      </c>
      <c r="AJ13" s="204"/>
      <c r="AK13" s="204"/>
      <c r="AL13" s="203"/>
      <c r="AM13" s="204"/>
      <c r="AN13" s="204"/>
      <c r="AO13" s="204"/>
      <c r="AP13" s="204"/>
      <c r="AQ13" s="204"/>
      <c r="AR13" s="204"/>
      <c r="AS13" s="204"/>
      <c r="AT13" s="204"/>
      <c r="AU13" s="852"/>
      <c r="AV13" s="204"/>
      <c r="AW13" s="204"/>
      <c r="AX13" s="204"/>
      <c r="AY13" s="204"/>
      <c r="AZ13" s="204"/>
      <c r="BA13" s="204"/>
      <c r="BB13" s="204"/>
      <c r="BC13" s="204"/>
      <c r="BD13" s="204"/>
      <c r="BE13" s="204"/>
      <c r="BF13" s="204"/>
      <c r="BG13" s="204"/>
      <c r="BI13" s="206" t="s">
        <v>129</v>
      </c>
      <c r="BJ13" s="194"/>
      <c r="BK13" s="163">
        <f>IFERROR(VLOOKUP($BI13,flows!$A$2:$J$4985,BK$2,FALSE),0)</f>
        <v>0</v>
      </c>
      <c r="BL13" s="163">
        <f>IFERROR(VLOOKUP($BI13,flows!$A$2:$J$4985,BL$2,FALSE),0)</f>
        <v>0</v>
      </c>
      <c r="BM13" s="163">
        <f>IFERROR(VLOOKUP($BI13,flows!$A$2:$J$4985,BM$2,FALSE),0)</f>
        <v>0</v>
      </c>
      <c r="BN13" s="163">
        <f>IFERROR(VLOOKUP($BI13,flows!$A$2:$J$4985,BN$2,FALSE),0)</f>
        <v>0</v>
      </c>
      <c r="BO13" s="163">
        <f>IFERROR(VLOOKUP($BI13,flows!$A$2:$J$4985,BO$2,FALSE),0)</f>
        <v>0</v>
      </c>
      <c r="BP13" s="163">
        <f>IFERROR(VLOOKUP($BI13,flows!$A$2:$J$4985,BP$2,FALSE),0)</f>
        <v>0</v>
      </c>
      <c r="BQ13" s="163">
        <f>IFERROR(VLOOKUP($BI13,flows!$A$2:$J$4985,BQ$2,FALSE),0)</f>
        <v>0</v>
      </c>
      <c r="BR13" s="163">
        <f>IFERROR(VLOOKUP($BI13,flows!$A$2:$J$4985,BR$2,FALSE),0)</f>
        <v>0</v>
      </c>
      <c r="BU13" s="206" t="s">
        <v>1105</v>
      </c>
      <c r="BV13" s="194"/>
      <c r="BW13" s="163">
        <f>IFERROR(VLOOKUP($BU13,flows!$A$2:$J$4985,BW$2,FALSE),0)</f>
        <v>0</v>
      </c>
      <c r="BX13" s="163">
        <f>IFERROR(VLOOKUP($BU13,flows!$A$2:$J$4985,BX$2,FALSE),0)</f>
        <v>0</v>
      </c>
      <c r="BY13" s="163">
        <f>IFERROR(VLOOKUP($BU13,flows!$A$2:$J$4985,BY$2,FALSE),0)</f>
        <v>0</v>
      </c>
      <c r="BZ13" s="163">
        <f>IFERROR(VLOOKUP($BU13,flows!$A$2:$J$4985,BZ$2,FALSE),0)</f>
        <v>0</v>
      </c>
      <c r="CA13" s="163">
        <f>IFERROR(VLOOKUP($BU13,flows!$A$2:$J$4985,CA$2,FALSE),0)</f>
        <v>0</v>
      </c>
      <c r="CB13" s="163">
        <f>IFERROR(VLOOKUP($BU13,flows!$A$2:$J$4985,CB$2,FALSE),0)</f>
        <v>0</v>
      </c>
      <c r="CC13" s="163">
        <f>IFERROR(VLOOKUP($BU13,flows!$A$2:$J$4985,CC$2,FALSE),0)</f>
        <v>0</v>
      </c>
      <c r="CD13" s="163">
        <f>IFERROR(VLOOKUP($BU13,flows!$A$2:$J$4985,CD$2,FALSE),0)</f>
        <v>0</v>
      </c>
    </row>
    <row r="14" spans="2:82" ht="14.5" x14ac:dyDescent="0.35">
      <c r="N14" s="207" t="s">
        <v>730</v>
      </c>
      <c r="O14" s="195"/>
      <c r="P14" s="163">
        <f>IFERROR(VLOOKUP($N14,flows!$A$2:$J$4985,P$2,FALSE),0)</f>
        <v>0</v>
      </c>
      <c r="Q14" s="163">
        <f>IFERROR(VLOOKUP($N14,flows!$A$2:$J$4985,Q$2,FALSE),0)</f>
        <v>0</v>
      </c>
      <c r="R14" s="163">
        <f>IFERROR(VLOOKUP($N14,flows!$A$2:$J$4985,R$2,FALSE),0)</f>
        <v>0</v>
      </c>
      <c r="S14" s="163">
        <f>IFERROR(VLOOKUP($N14,flows!$A$2:$J$4985,S$2,FALSE),0)</f>
        <v>0</v>
      </c>
      <c r="T14" s="163">
        <f>IFERROR(VLOOKUP($N14,flows!$A$2:$J$4985,T$2,FALSE),0)</f>
        <v>0</v>
      </c>
      <c r="U14" s="163">
        <f>IFERROR(VLOOKUP($N14,flows!$A$2:$J$4985,U$2,FALSE),0)</f>
        <v>0</v>
      </c>
      <c r="V14" s="163">
        <f>IFERROR(VLOOKUP($N14,flows!$A$2:$J$4985,V$2,FALSE),0)</f>
        <v>0</v>
      </c>
      <c r="W14" s="163">
        <f>IFERROR(VLOOKUP($N14,flows!$A$2:$J$4985,W$2,FALSE),0)</f>
        <v>0</v>
      </c>
      <c r="Z14" s="206" t="s">
        <v>793</v>
      </c>
      <c r="AA14" s="194"/>
      <c r="AB14" s="163">
        <f>IFERROR(VLOOKUP($Z14,flows!$A$2:$J$4985,AB$2,FALSE),0)</f>
        <v>0</v>
      </c>
      <c r="AC14" s="163">
        <f>IFERROR(VLOOKUP($Z14,flows!$A$2:$J$4985,AC$2,FALSE),0)</f>
        <v>0</v>
      </c>
      <c r="AD14" s="163">
        <f>IFERROR(VLOOKUP($Z14,flows!$A$2:$J$4985,AD$2,FALSE),0)</f>
        <v>0</v>
      </c>
      <c r="AE14" s="163">
        <f>IFERROR(VLOOKUP($Z14,flows!$A$2:$J$4985,AE$2,FALSE),0)</f>
        <v>0</v>
      </c>
      <c r="AF14" s="163">
        <f>IFERROR(VLOOKUP($Z14,flows!$A$2:$J$4985,AF$2,FALSE),0)</f>
        <v>0</v>
      </c>
      <c r="AG14" s="163">
        <f>IFERROR(VLOOKUP($Z14,flows!$A$2:$J$4985,AG$2,FALSE),0)</f>
        <v>0</v>
      </c>
      <c r="AH14" s="163">
        <f>IFERROR(VLOOKUP($Z14,flows!$A$2:$J$4985,AH$2,FALSE),0)</f>
        <v>0</v>
      </c>
      <c r="AI14" s="163">
        <f>IFERROR(VLOOKUP($Z14,flows!$A$2:$J$4985,AI$2,FALSE),0)</f>
        <v>0</v>
      </c>
      <c r="AJ14" s="204"/>
      <c r="AK14" s="204"/>
      <c r="AL14" s="203"/>
      <c r="AM14" s="204"/>
      <c r="AN14" s="204"/>
      <c r="AO14" s="204"/>
      <c r="AP14" s="204"/>
      <c r="AQ14" s="204"/>
      <c r="AR14" s="204"/>
      <c r="AS14" s="204"/>
      <c r="AT14" s="204"/>
      <c r="AU14" s="852"/>
      <c r="AV14" s="204"/>
      <c r="AW14" s="204"/>
      <c r="AX14" s="204"/>
      <c r="AY14" s="204"/>
      <c r="AZ14" s="204"/>
      <c r="BA14" s="204"/>
      <c r="BB14" s="204"/>
      <c r="BC14" s="204"/>
      <c r="BD14" s="204"/>
      <c r="BE14" s="204"/>
      <c r="BF14" s="204"/>
      <c r="BG14" s="204"/>
      <c r="BI14" s="206" t="s">
        <v>130</v>
      </c>
      <c r="BJ14" s="194"/>
      <c r="BK14" s="163">
        <f>IFERROR(VLOOKUP($BI14,flows!$A$2:$J$4985,BK$2,FALSE),0)</f>
        <v>0</v>
      </c>
      <c r="BL14" s="163">
        <f>IFERROR(VLOOKUP($BI14,flows!$A$2:$J$4985,BL$2,FALSE),0)</f>
        <v>0</v>
      </c>
      <c r="BM14" s="163">
        <f>IFERROR(VLOOKUP($BI14,flows!$A$2:$J$4985,BM$2,FALSE),0)</f>
        <v>0</v>
      </c>
      <c r="BN14" s="163">
        <f>IFERROR(VLOOKUP($BI14,flows!$A$2:$J$4985,BN$2,FALSE),0)</f>
        <v>0</v>
      </c>
      <c r="BO14" s="163">
        <f>IFERROR(VLOOKUP($BI14,flows!$A$2:$J$4985,BO$2,FALSE),0)</f>
        <v>0</v>
      </c>
      <c r="BP14" s="163">
        <f>IFERROR(VLOOKUP($BI14,flows!$A$2:$J$4985,BP$2,FALSE),0)</f>
        <v>0</v>
      </c>
      <c r="BQ14" s="163">
        <f>IFERROR(VLOOKUP($BI14,flows!$A$2:$J$4985,BQ$2,FALSE),0)</f>
        <v>0</v>
      </c>
      <c r="BR14" s="163">
        <f>IFERROR(VLOOKUP($BI14,flows!$A$2:$J$4985,BR$2,FALSE),0)</f>
        <v>0</v>
      </c>
      <c r="BU14" s="206" t="s">
        <v>763</v>
      </c>
      <c r="BV14" s="194"/>
      <c r="BW14" s="163">
        <f>IFERROR(VLOOKUP($BU14,flows!$A$2:$J$4985,BW$2,FALSE),0)</f>
        <v>0</v>
      </c>
      <c r="BX14" s="163">
        <f>IFERROR(VLOOKUP($BU14,flows!$A$2:$J$4985,BX$2,FALSE),0)</f>
        <v>0</v>
      </c>
      <c r="BY14" s="163">
        <f>IFERROR(VLOOKUP($BU14,flows!$A$2:$J$4985,BY$2,FALSE),0)</f>
        <v>0</v>
      </c>
      <c r="BZ14" s="163">
        <f>IFERROR(VLOOKUP($BU14,flows!$A$2:$J$4985,BZ$2,FALSE),0)</f>
        <v>0</v>
      </c>
      <c r="CA14" s="163">
        <f>IFERROR(VLOOKUP($BU14,flows!$A$2:$J$4985,CA$2,FALSE),0)</f>
        <v>0</v>
      </c>
      <c r="CB14" s="163">
        <f>IFERROR(VLOOKUP($BU14,flows!$A$2:$J$4985,CB$2,FALSE),0)</f>
        <v>0</v>
      </c>
      <c r="CC14" s="163">
        <f>IFERROR(VLOOKUP($BU14,flows!$A$2:$J$4985,CC$2,FALSE),0)</f>
        <v>0</v>
      </c>
      <c r="CD14" s="163">
        <f>IFERROR(VLOOKUP($BU14,flows!$A$2:$J$4985,CD$2,FALSE),0)</f>
        <v>0</v>
      </c>
    </row>
    <row r="15" spans="2:82" ht="14.5" x14ac:dyDescent="0.35">
      <c r="N15" s="207" t="s">
        <v>816</v>
      </c>
      <c r="O15" s="195"/>
      <c r="P15" s="163">
        <f>IFERROR(VLOOKUP($N15,flows!$A$2:$J$4985,P$2,FALSE),0)</f>
        <v>0</v>
      </c>
      <c r="Q15" s="163">
        <f>IFERROR(VLOOKUP($N15,flows!$A$2:$J$4985,Q$2,FALSE),0)</f>
        <v>0</v>
      </c>
      <c r="R15" s="163">
        <f>IFERROR(VLOOKUP($N15,flows!$A$2:$J$4985,R$2,FALSE),0)</f>
        <v>0</v>
      </c>
      <c r="S15" s="163">
        <f>IFERROR(VLOOKUP($N15,flows!$A$2:$J$4985,S$2,FALSE),0)</f>
        <v>0</v>
      </c>
      <c r="T15" s="163">
        <f>IFERROR(VLOOKUP($N15,flows!$A$2:$J$4985,T$2,FALSE),0)</f>
        <v>0</v>
      </c>
      <c r="U15" s="163">
        <f>IFERROR(VLOOKUP($N15,flows!$A$2:$J$4985,U$2,FALSE),0)</f>
        <v>0</v>
      </c>
      <c r="V15" s="163">
        <f>IFERROR(VLOOKUP($N15,flows!$A$2:$J$4985,V$2,FALSE),0)</f>
        <v>0</v>
      </c>
      <c r="W15" s="163">
        <f>IFERROR(VLOOKUP($N15,flows!$A$2:$J$4985,W$2,FALSE),0)</f>
        <v>0</v>
      </c>
      <c r="Z15" s="206" t="s">
        <v>794</v>
      </c>
      <c r="AA15" s="194"/>
      <c r="AB15" s="163">
        <f>IFERROR(VLOOKUP($Z15,flows!$A$2:$J$4985,AB$2,FALSE),0)</f>
        <v>0</v>
      </c>
      <c r="AC15" s="163">
        <f>IFERROR(VLOOKUP($Z15,flows!$A$2:$J$4985,AC$2,FALSE),0)</f>
        <v>0</v>
      </c>
      <c r="AD15" s="163">
        <f>IFERROR(VLOOKUP($Z15,flows!$A$2:$J$4985,AD$2,FALSE),0)</f>
        <v>0</v>
      </c>
      <c r="AE15" s="163">
        <f>IFERROR(VLOOKUP($Z15,flows!$A$2:$J$4985,AE$2,FALSE),0)</f>
        <v>0</v>
      </c>
      <c r="AF15" s="163">
        <f>IFERROR(VLOOKUP($Z15,flows!$A$2:$J$4985,AF$2,FALSE),0)</f>
        <v>0</v>
      </c>
      <c r="AG15" s="163">
        <f>IFERROR(VLOOKUP($Z15,flows!$A$2:$J$4985,AG$2,FALSE),0)</f>
        <v>0</v>
      </c>
      <c r="AH15" s="163">
        <f>IFERROR(VLOOKUP($Z15,flows!$A$2:$J$4985,AH$2,FALSE),0)</f>
        <v>0</v>
      </c>
      <c r="AI15" s="163">
        <f>IFERROR(VLOOKUP($Z15,flows!$A$2:$J$4985,AI$2,FALSE),0)</f>
        <v>0</v>
      </c>
      <c r="AJ15" s="204"/>
      <c r="AK15" s="204"/>
      <c r="AL15" s="203"/>
      <c r="AM15" s="204" t="s">
        <v>1339</v>
      </c>
      <c r="AN15" s="204" t="e">
        <f>SUM(AN16:AN22)</f>
        <v>#DIV/0!</v>
      </c>
      <c r="AO15" s="204" t="e">
        <f t="shared" ref="AO15:AU15" si="7">SUM(AO16:AO22)</f>
        <v>#DIV/0!</v>
      </c>
      <c r="AP15" s="204" t="e">
        <f t="shared" si="7"/>
        <v>#DIV/0!</v>
      </c>
      <c r="AQ15" s="204" t="e">
        <f t="shared" si="7"/>
        <v>#DIV/0!</v>
      </c>
      <c r="AR15" s="204" t="e">
        <f t="shared" si="7"/>
        <v>#DIV/0!</v>
      </c>
      <c r="AS15" s="204" t="e">
        <f t="shared" si="7"/>
        <v>#DIV/0!</v>
      </c>
      <c r="AT15" s="204" t="e">
        <f t="shared" si="7"/>
        <v>#DIV/0!</v>
      </c>
      <c r="AU15" s="852" t="e">
        <f t="shared" si="7"/>
        <v>#DIV/0!</v>
      </c>
      <c r="AV15" s="204"/>
      <c r="AW15" s="204" t="s">
        <v>4011</v>
      </c>
      <c r="AX15" s="163">
        <f>IFERROR(VLOOKUP($AW15,flows!$A$2:$J$4985,AX$2,FALSE),0)</f>
        <v>0</v>
      </c>
      <c r="AY15" s="163">
        <f>IFERROR(VLOOKUP($AW15,flows!$A$2:$J$4985,AY$2,FALSE),0)</f>
        <v>0</v>
      </c>
      <c r="AZ15" s="163">
        <f>IFERROR(VLOOKUP($AW15,flows!$A$2:$J$4985,AZ$2,FALSE),0)</f>
        <v>0</v>
      </c>
      <c r="BA15" s="163">
        <f>IFERROR(VLOOKUP($AW15,flows!$A$2:$J$4985,BA$2,FALSE),0)</f>
        <v>0</v>
      </c>
      <c r="BB15" s="163">
        <f>IFERROR(VLOOKUP($AW15,flows!$A$2:$J$4985,BB$2,FALSE),0)</f>
        <v>0</v>
      </c>
      <c r="BC15" s="163">
        <f>IFERROR(VLOOKUP($AW15,flows!$A$2:$J$4985,BC$2,FALSE),0)</f>
        <v>0</v>
      </c>
      <c r="BD15" s="163">
        <f>IFERROR(VLOOKUP($AW15,flows!$A$2:$J$4985,BD$2,FALSE),0)</f>
        <v>0</v>
      </c>
      <c r="BE15" s="163">
        <f>IFERROR(VLOOKUP($AW15,flows!$A$2:$J$4985,BE$2,FALSE),0)</f>
        <v>0</v>
      </c>
      <c r="BF15" s="204"/>
      <c r="BG15" s="204"/>
      <c r="BI15" s="206" t="s">
        <v>131</v>
      </c>
      <c r="BJ15" s="194"/>
      <c r="BK15" s="163">
        <f>IFERROR(VLOOKUP($BI15,flows!$A$2:$J$4985,BK$2,FALSE),0)</f>
        <v>0</v>
      </c>
      <c r="BL15" s="163">
        <f>IFERROR(VLOOKUP($BI15,flows!$A$2:$J$4985,BL$2,FALSE),0)</f>
        <v>0</v>
      </c>
      <c r="BM15" s="163">
        <f>IFERROR(VLOOKUP($BI15,flows!$A$2:$J$4985,BM$2,FALSE),0)</f>
        <v>0</v>
      </c>
      <c r="BN15" s="163">
        <f>IFERROR(VLOOKUP($BI15,flows!$A$2:$J$4985,BN$2,FALSE),0)</f>
        <v>0</v>
      </c>
      <c r="BO15" s="163">
        <f>IFERROR(VLOOKUP($BI15,flows!$A$2:$J$4985,BO$2,FALSE),0)</f>
        <v>0</v>
      </c>
      <c r="BP15" s="163">
        <f>IFERROR(VLOOKUP($BI15,flows!$A$2:$J$4985,BP$2,FALSE),0)</f>
        <v>0</v>
      </c>
      <c r="BQ15" s="163">
        <f>IFERROR(VLOOKUP($BI15,flows!$A$2:$J$4985,BQ$2,FALSE),0)</f>
        <v>0</v>
      </c>
      <c r="BR15" s="163">
        <f>IFERROR(VLOOKUP($BI15,flows!$A$2:$J$4985,BR$2,FALSE),0)</f>
        <v>0</v>
      </c>
      <c r="BU15" s="206" t="s">
        <v>764</v>
      </c>
      <c r="BV15" s="194"/>
      <c r="BW15" s="163">
        <f>IFERROR(VLOOKUP($BU15,flows!$A$2:$J$4985,BW$2,FALSE),0)</f>
        <v>0</v>
      </c>
      <c r="BX15" s="163">
        <f>IFERROR(VLOOKUP($BU15,flows!$A$2:$J$4985,BX$2,FALSE),0)</f>
        <v>0</v>
      </c>
      <c r="BY15" s="163">
        <f>IFERROR(VLOOKUP($BU15,flows!$A$2:$J$4985,BY$2,FALSE),0)</f>
        <v>0</v>
      </c>
      <c r="BZ15" s="163">
        <f>IFERROR(VLOOKUP($BU15,flows!$A$2:$J$4985,BZ$2,FALSE),0)</f>
        <v>0</v>
      </c>
      <c r="CA15" s="163">
        <f>IFERROR(VLOOKUP($BU15,flows!$A$2:$J$4985,CA$2,FALSE),0)</f>
        <v>0</v>
      </c>
      <c r="CB15" s="163">
        <f>IFERROR(VLOOKUP($BU15,flows!$A$2:$J$4985,CB$2,FALSE),0)</f>
        <v>0</v>
      </c>
      <c r="CC15" s="163">
        <f>IFERROR(VLOOKUP($BU15,flows!$A$2:$J$4985,CC$2,FALSE),0)</f>
        <v>0</v>
      </c>
      <c r="CD15" s="163">
        <f>IFERROR(VLOOKUP($BU15,flows!$A$2:$J$4985,CD$2,FALSE),0)</f>
        <v>0</v>
      </c>
    </row>
    <row r="16" spans="2:82" ht="14.5" x14ac:dyDescent="0.35">
      <c r="N16" s="207" t="s">
        <v>818</v>
      </c>
      <c r="O16" s="195"/>
      <c r="P16" s="163">
        <f>IFERROR(VLOOKUP($N16,flows!$A$2:$J$4985,P$2,FALSE),0)</f>
        <v>0</v>
      </c>
      <c r="Q16" s="163">
        <f>IFERROR(VLOOKUP($N16,flows!$A$2:$J$4985,Q$2,FALSE),0)</f>
        <v>0</v>
      </c>
      <c r="R16" s="163">
        <f>IFERROR(VLOOKUP($N16,flows!$A$2:$J$4985,R$2,FALSE),0)</f>
        <v>0</v>
      </c>
      <c r="S16" s="163">
        <f>IFERROR(VLOOKUP($N16,flows!$A$2:$J$4985,S$2,FALSE),0)</f>
        <v>0</v>
      </c>
      <c r="T16" s="163">
        <f>IFERROR(VLOOKUP($N16,flows!$A$2:$J$4985,T$2,FALSE),0)</f>
        <v>0</v>
      </c>
      <c r="U16" s="163">
        <f>IFERROR(VLOOKUP($N16,flows!$A$2:$J$4985,U$2,FALSE),0)</f>
        <v>0</v>
      </c>
      <c r="V16" s="163">
        <f>IFERROR(VLOOKUP($N16,flows!$A$2:$J$4985,V$2,FALSE),0)</f>
        <v>0</v>
      </c>
      <c r="W16" s="163">
        <f>IFERROR(VLOOKUP($N16,flows!$A$2:$J$4985,W$2,FALSE),0)</f>
        <v>0</v>
      </c>
      <c r="Z16" s="206" t="s">
        <v>795</v>
      </c>
      <c r="AA16" s="194"/>
      <c r="AB16" s="163">
        <f>IFERROR(VLOOKUP($Z16,flows!$A$2:$J$4985,AB$2,FALSE),0)</f>
        <v>0</v>
      </c>
      <c r="AC16" s="163">
        <f>IFERROR(VLOOKUP($Z16,flows!$A$2:$J$4985,AC$2,FALSE),0)</f>
        <v>0</v>
      </c>
      <c r="AD16" s="163">
        <f>IFERROR(VLOOKUP($Z16,flows!$A$2:$J$4985,AD$2,FALSE),0)</f>
        <v>0</v>
      </c>
      <c r="AE16" s="163">
        <f>IFERROR(VLOOKUP($Z16,flows!$A$2:$J$4985,AE$2,FALSE),0)</f>
        <v>0</v>
      </c>
      <c r="AF16" s="163">
        <f>IFERROR(VLOOKUP($Z16,flows!$A$2:$J$4985,AF$2,FALSE),0)</f>
        <v>0</v>
      </c>
      <c r="AG16" s="163">
        <f>IFERROR(VLOOKUP($Z16,flows!$A$2:$J$4985,AG$2,FALSE),0)</f>
        <v>0</v>
      </c>
      <c r="AH16" s="163">
        <f>IFERROR(VLOOKUP($Z16,flows!$A$2:$J$4985,AH$2,FALSE),0)</f>
        <v>0</v>
      </c>
      <c r="AI16" s="163">
        <f>IFERROR(VLOOKUP($Z16,flows!$A$2:$J$4985,AI$2,FALSE),0)</f>
        <v>0</v>
      </c>
      <c r="AJ16" s="204"/>
      <c r="AK16" s="204"/>
      <c r="AL16" s="203"/>
      <c r="AM16" s="337" t="s">
        <v>1160</v>
      </c>
      <c r="AN16" s="204" t="e">
        <f>SUM(AN4:AN6)+SUM(AB51:AB53)*(1-AB84)+AN11</f>
        <v>#DIV/0!</v>
      </c>
      <c r="AO16" s="204" t="e">
        <f t="shared" ref="AO16:AU16" si="8">SUM(AO4:AO6)+SUM(AC51:AC53)*(1-AC84)+AO11</f>
        <v>#DIV/0!</v>
      </c>
      <c r="AP16" s="204" t="e">
        <f t="shared" si="8"/>
        <v>#DIV/0!</v>
      </c>
      <c r="AQ16" s="204" t="e">
        <f t="shared" si="8"/>
        <v>#DIV/0!</v>
      </c>
      <c r="AR16" s="204" t="e">
        <f t="shared" si="8"/>
        <v>#DIV/0!</v>
      </c>
      <c r="AS16" s="204" t="e">
        <f t="shared" si="8"/>
        <v>#DIV/0!</v>
      </c>
      <c r="AT16" s="204" t="e">
        <f t="shared" si="8"/>
        <v>#DIV/0!</v>
      </c>
      <c r="AU16" s="204" t="e">
        <f t="shared" si="8"/>
        <v>#DIV/0!</v>
      </c>
      <c r="AV16" s="204"/>
      <c r="AW16" s="204" t="s">
        <v>159</v>
      </c>
      <c r="AX16" s="163">
        <f>IFERROR(VLOOKUP($AW16,flows!$A$2:$J$4985,AX$2,FALSE),0)</f>
        <v>0</v>
      </c>
      <c r="AY16" s="163">
        <f>IFERROR(VLOOKUP($AW16,flows!$A$2:$J$4985,AY$2,FALSE),0)</f>
        <v>0</v>
      </c>
      <c r="AZ16" s="163">
        <f>IFERROR(VLOOKUP($AW16,flows!$A$2:$J$4985,AZ$2,FALSE),0)</f>
        <v>0</v>
      </c>
      <c r="BA16" s="163">
        <f>IFERROR(VLOOKUP($AW16,flows!$A$2:$J$4985,BA$2,FALSE),0)</f>
        <v>0</v>
      </c>
      <c r="BB16" s="163">
        <f>IFERROR(VLOOKUP($AW16,flows!$A$2:$J$4985,BB$2,FALSE),0)</f>
        <v>0</v>
      </c>
      <c r="BC16" s="163">
        <f>IFERROR(VLOOKUP($AW16,flows!$A$2:$J$4985,BC$2,FALSE),0)</f>
        <v>0</v>
      </c>
      <c r="BD16" s="163">
        <f>IFERROR(VLOOKUP($AW16,flows!$A$2:$J$4985,BD$2,FALSE),0)</f>
        <v>0</v>
      </c>
      <c r="BE16" s="163">
        <f>IFERROR(VLOOKUP($AW16,flows!$A$2:$J$4985,BE$2,FALSE),0)</f>
        <v>0</v>
      </c>
      <c r="BF16" s="204"/>
      <c r="BG16" s="204"/>
      <c r="BI16" s="206" t="s">
        <v>132</v>
      </c>
      <c r="BJ16" s="194"/>
      <c r="BK16" s="163">
        <f>IFERROR(VLOOKUP($BI16,flows!$A$2:$J$4985,BK$2,FALSE),0)</f>
        <v>0</v>
      </c>
      <c r="BL16" s="163">
        <f>IFERROR(VLOOKUP($BI16,flows!$A$2:$J$4985,BL$2,FALSE),0)</f>
        <v>0</v>
      </c>
      <c r="BM16" s="163">
        <f>IFERROR(VLOOKUP($BI16,flows!$A$2:$J$4985,BM$2,FALSE),0)</f>
        <v>0</v>
      </c>
      <c r="BN16" s="163">
        <f>IFERROR(VLOOKUP($BI16,flows!$A$2:$J$4985,BN$2,FALSE),0)</f>
        <v>0</v>
      </c>
      <c r="BO16" s="163">
        <f>IFERROR(VLOOKUP($BI16,flows!$A$2:$J$4985,BO$2,FALSE),0)</f>
        <v>0</v>
      </c>
      <c r="BP16" s="163">
        <f>IFERROR(VLOOKUP($BI16,flows!$A$2:$J$4985,BP$2,FALSE),0)</f>
        <v>0</v>
      </c>
      <c r="BQ16" s="163">
        <f>IFERROR(VLOOKUP($BI16,flows!$A$2:$J$4985,BQ$2,FALSE),0)</f>
        <v>0</v>
      </c>
      <c r="BR16" s="163">
        <f>IFERROR(VLOOKUP($BI16,flows!$A$2:$J$4985,BR$2,FALSE),0)</f>
        <v>0</v>
      </c>
      <c r="BU16" s="206" t="s">
        <v>765</v>
      </c>
      <c r="BV16" s="194"/>
      <c r="BW16" s="163">
        <f>IFERROR(VLOOKUP($BU16,flows!$A$2:$J$4985,BW$2,FALSE),0)</f>
        <v>0</v>
      </c>
      <c r="BX16" s="163">
        <f>IFERROR(VLOOKUP($BU16,flows!$A$2:$J$4985,BX$2,FALSE),0)</f>
        <v>0</v>
      </c>
      <c r="BY16" s="163">
        <f>IFERROR(VLOOKUP($BU16,flows!$A$2:$J$4985,BY$2,FALSE),0)</f>
        <v>0</v>
      </c>
      <c r="BZ16" s="163">
        <f>IFERROR(VLOOKUP($BU16,flows!$A$2:$J$4985,BZ$2,FALSE),0)</f>
        <v>0</v>
      </c>
      <c r="CA16" s="163">
        <f>IFERROR(VLOOKUP($BU16,flows!$A$2:$J$4985,CA$2,FALSE),0)</f>
        <v>0</v>
      </c>
      <c r="CB16" s="163">
        <f>IFERROR(VLOOKUP($BU16,flows!$A$2:$J$4985,CB$2,FALSE),0)</f>
        <v>0</v>
      </c>
      <c r="CC16" s="163">
        <f>IFERROR(VLOOKUP($BU16,flows!$A$2:$J$4985,CC$2,FALSE),0)</f>
        <v>0</v>
      </c>
      <c r="CD16" s="163">
        <f>IFERROR(VLOOKUP($BU16,flows!$A$2:$J$4985,CD$2,FALSE),0)</f>
        <v>0</v>
      </c>
    </row>
    <row r="17" spans="2:82" ht="14.5" x14ac:dyDescent="0.35">
      <c r="N17" s="207" t="s">
        <v>817</v>
      </c>
      <c r="O17" s="338"/>
      <c r="P17" s="163">
        <f>IFERROR(VLOOKUP($N17,flows!$A$2:$J$4985,P$2,FALSE),0)</f>
        <v>114919.2139592431</v>
      </c>
      <c r="Q17" s="163">
        <f>IFERROR(VLOOKUP($N17,flows!$A$2:$J$4985,Q$2,FALSE),0)</f>
        <v>11255.74357974178</v>
      </c>
      <c r="R17" s="163">
        <f>IFERROR(VLOOKUP($N17,flows!$A$2:$J$4985,R$2,FALSE),0)</f>
        <v>22864.083470322981</v>
      </c>
      <c r="S17" s="163">
        <f>IFERROR(VLOOKUP($N17,flows!$A$2:$J$4985,S$2,FALSE),0)</f>
        <v>40537.188651640012</v>
      </c>
      <c r="T17" s="163">
        <f>IFERROR(VLOOKUP($N17,flows!$A$2:$J$4985,T$2,FALSE),0)</f>
        <v>76491.508325183255</v>
      </c>
      <c r="U17" s="163">
        <f>IFERROR(VLOOKUP($N17,flows!$A$2:$J$4985,U$2,FALSE),0)</f>
        <v>90534.40706327511</v>
      </c>
      <c r="V17" s="163">
        <f>IFERROR(VLOOKUP($N17,flows!$A$2:$J$4985,V$2,FALSE),0)</f>
        <v>112924.83044288339</v>
      </c>
      <c r="W17" s="163">
        <f>IFERROR(VLOOKUP($N17,flows!$A$2:$J$4985,W$2,FALSE),0)</f>
        <v>0</v>
      </c>
      <c r="Z17" s="206" t="s">
        <v>798</v>
      </c>
      <c r="AA17" s="194"/>
      <c r="AB17" s="163">
        <f>IFERROR(VLOOKUP($Z17,flows!$A$2:$J$4985,AB$2,FALSE),0)</f>
        <v>0</v>
      </c>
      <c r="AC17" s="163">
        <f>IFERROR(VLOOKUP($Z17,flows!$A$2:$J$4985,AC$2,FALSE),0)</f>
        <v>0</v>
      </c>
      <c r="AD17" s="163">
        <f>IFERROR(VLOOKUP($Z17,flows!$A$2:$J$4985,AD$2,FALSE),0)</f>
        <v>0</v>
      </c>
      <c r="AE17" s="163">
        <f>IFERROR(VLOOKUP($Z17,flows!$A$2:$J$4985,AE$2,FALSE),0)</f>
        <v>0</v>
      </c>
      <c r="AF17" s="163">
        <f>IFERROR(VLOOKUP($Z17,flows!$A$2:$J$4985,AF$2,FALSE),0)</f>
        <v>0</v>
      </c>
      <c r="AG17" s="163">
        <f>IFERROR(VLOOKUP($Z17,flows!$A$2:$J$4985,AG$2,FALSE),0)</f>
        <v>0</v>
      </c>
      <c r="AH17" s="163">
        <f>IFERROR(VLOOKUP($Z17,flows!$A$2:$J$4985,AH$2,FALSE),0)</f>
        <v>0</v>
      </c>
      <c r="AI17" s="163">
        <f>IFERROR(VLOOKUP($Z17,flows!$A$2:$J$4985,AI$2,FALSE),0)</f>
        <v>0</v>
      </c>
      <c r="AJ17" s="204"/>
      <c r="AK17" s="204"/>
      <c r="AL17" s="203"/>
      <c r="AM17" s="337" t="s">
        <v>1167</v>
      </c>
      <c r="AN17" s="204" t="e">
        <f>((AB56+AB57)*(1-AB84)+AN12)*(1-Erdgas!F16)</f>
        <v>#DIV/0!</v>
      </c>
      <c r="AO17" s="204" t="e">
        <f>((AC56+AC57)*(1-AC84)+AO12)*(1-Erdgas!G16)</f>
        <v>#DIV/0!</v>
      </c>
      <c r="AP17" s="204" t="e">
        <f>((AD56+AD57)*(1-AD84)+AP12)*(1-Erdgas!H16)</f>
        <v>#DIV/0!</v>
      </c>
      <c r="AQ17" s="204" t="e">
        <f>((AE56+AE57)*(1-AE84)+AQ12)*(1-Erdgas!I16)</f>
        <v>#DIV/0!</v>
      </c>
      <c r="AR17" s="204" t="e">
        <f>((AF56+AF57)*(1-AF84)+AR12)*(1-Erdgas!J16)</f>
        <v>#DIV/0!</v>
      </c>
      <c r="AS17" s="204" t="e">
        <f>((AG56+AG57)*(1-AG84)+AS12)*(1-Erdgas!K16)</f>
        <v>#DIV/0!</v>
      </c>
      <c r="AT17" s="204" t="e">
        <f>((AH56+AH57)*(1-AH84)+AT12)*(1-Erdgas!L16)</f>
        <v>#DIV/0!</v>
      </c>
      <c r="AU17" s="204" t="e">
        <f>((AI56+AI57)*(1-AI84)+AU12)*(1-Erdgas!M16)</f>
        <v>#DIV/0!</v>
      </c>
      <c r="AV17" s="204"/>
      <c r="AW17" s="204"/>
      <c r="AX17" s="204"/>
      <c r="AY17" s="204"/>
      <c r="AZ17" s="204"/>
      <c r="BA17" s="204"/>
      <c r="BB17" s="204"/>
      <c r="BC17" s="204"/>
      <c r="BD17" s="204"/>
      <c r="BE17" s="204"/>
      <c r="BF17" s="204"/>
      <c r="BG17" s="204"/>
      <c r="BI17" s="206" t="s">
        <v>133</v>
      </c>
      <c r="BJ17" s="194"/>
      <c r="BK17" s="163">
        <f>IFERROR(VLOOKUP($BI17,flows!$A$2:$J$4985,BK$2,FALSE),0)</f>
        <v>0</v>
      </c>
      <c r="BL17" s="163">
        <f>IFERROR(VLOOKUP($BI17,flows!$A$2:$J$4985,BL$2,FALSE),0)</f>
        <v>0</v>
      </c>
      <c r="BM17" s="163">
        <f>IFERROR(VLOOKUP($BI17,flows!$A$2:$J$4985,BM$2,FALSE),0)</f>
        <v>0</v>
      </c>
      <c r="BN17" s="163">
        <f>IFERROR(VLOOKUP($BI17,flows!$A$2:$J$4985,BN$2,FALSE),0)</f>
        <v>0</v>
      </c>
      <c r="BO17" s="163">
        <f>IFERROR(VLOOKUP($BI17,flows!$A$2:$J$4985,BO$2,FALSE),0)</f>
        <v>0</v>
      </c>
      <c r="BP17" s="163">
        <f>IFERROR(VLOOKUP($BI17,flows!$A$2:$J$4985,BP$2,FALSE),0)</f>
        <v>0</v>
      </c>
      <c r="BQ17" s="163">
        <f>IFERROR(VLOOKUP($BI17,flows!$A$2:$J$4985,BQ$2,FALSE),0)</f>
        <v>0</v>
      </c>
      <c r="BR17" s="163">
        <f>IFERROR(VLOOKUP($BI17,flows!$A$2:$J$4985,BR$2,FALSE),0)</f>
        <v>0</v>
      </c>
      <c r="BU17" s="206" t="s">
        <v>766</v>
      </c>
      <c r="BV17" s="194"/>
      <c r="BW17" s="163">
        <f>IFERROR(VLOOKUP($BU17,flows!$A$2:$J$4985,BW$2,FALSE),0)</f>
        <v>0</v>
      </c>
      <c r="BX17" s="163">
        <f>IFERROR(VLOOKUP($BU17,flows!$A$2:$J$4985,BX$2,FALSE),0)</f>
        <v>0</v>
      </c>
      <c r="BY17" s="163">
        <f>IFERROR(VLOOKUP($BU17,flows!$A$2:$J$4985,BY$2,FALSE),0)</f>
        <v>0</v>
      </c>
      <c r="BZ17" s="163">
        <f>IFERROR(VLOOKUP($BU17,flows!$A$2:$J$4985,BZ$2,FALSE),0)</f>
        <v>0</v>
      </c>
      <c r="CA17" s="163">
        <f>IFERROR(VLOOKUP($BU17,flows!$A$2:$J$4985,CA$2,FALSE),0)</f>
        <v>0</v>
      </c>
      <c r="CB17" s="163">
        <f>IFERROR(VLOOKUP($BU17,flows!$A$2:$J$4985,CB$2,FALSE),0)</f>
        <v>0</v>
      </c>
      <c r="CC17" s="163">
        <f>IFERROR(VLOOKUP($BU17,flows!$A$2:$J$4985,CC$2,FALSE),0)</f>
        <v>0</v>
      </c>
      <c r="CD17" s="163">
        <f>IFERROR(VLOOKUP($BU17,flows!$A$2:$J$4985,CD$2,FALSE),0)</f>
        <v>0</v>
      </c>
    </row>
    <row r="18" spans="2:82" ht="14.5" x14ac:dyDescent="0.35">
      <c r="N18" s="207" t="s">
        <v>4019</v>
      </c>
      <c r="O18" s="338"/>
      <c r="P18" s="163">
        <f>IFERROR(VLOOKUP($N18,flows!$A$2:$J$4985,P$2,FALSE),0)</f>
        <v>55614.029671917269</v>
      </c>
      <c r="Q18" s="163">
        <f>IFERROR(VLOOKUP($N18,flows!$A$2:$J$4985,Q$2,FALSE),0)</f>
        <v>0</v>
      </c>
      <c r="R18" s="163">
        <f>IFERROR(VLOOKUP($N18,flows!$A$2:$J$4985,R$2,FALSE),0)</f>
        <v>91.492117891534122</v>
      </c>
      <c r="S18" s="163">
        <f>IFERROR(VLOOKUP($N18,flows!$A$2:$J$4985,S$2,FALSE),0)</f>
        <v>6069.9507182249799</v>
      </c>
      <c r="T18" s="163">
        <f>IFERROR(VLOOKUP($N18,flows!$A$2:$J$4985,T$2,FALSE),0)</f>
        <v>25378.76623606509</v>
      </c>
      <c r="U18" s="163">
        <f>IFERROR(VLOOKUP($N18,flows!$A$2:$J$4985,U$2,FALSE),0)</f>
        <v>40578.226335045358</v>
      </c>
      <c r="V18" s="163">
        <f>IFERROR(VLOOKUP($N18,flows!$A$2:$J$4985,V$2,FALSE),0)</f>
        <v>66353.085894021046</v>
      </c>
      <c r="W18" s="163">
        <f>IFERROR(VLOOKUP($N18,flows!$A$2:$J$4985,W$2,FALSE),0)</f>
        <v>0</v>
      </c>
      <c r="Z18" s="206" t="s">
        <v>799</v>
      </c>
      <c r="AA18" s="194"/>
      <c r="AB18" s="163">
        <f>IFERROR(VLOOKUP($Z18,flows!$A$2:$J$4985,AB$2,FALSE),0)</f>
        <v>0</v>
      </c>
      <c r="AC18" s="163">
        <f>IFERROR(VLOOKUP($Z18,flows!$A$2:$J$4985,AC$2,FALSE),0)</f>
        <v>0</v>
      </c>
      <c r="AD18" s="163">
        <f>IFERROR(VLOOKUP($Z18,flows!$A$2:$J$4985,AD$2,FALSE),0)</f>
        <v>0</v>
      </c>
      <c r="AE18" s="163">
        <f>IFERROR(VLOOKUP($Z18,flows!$A$2:$J$4985,AE$2,FALSE),0)</f>
        <v>0</v>
      </c>
      <c r="AF18" s="163">
        <f>IFERROR(VLOOKUP($Z18,flows!$A$2:$J$4985,AF$2,FALSE),0)</f>
        <v>0</v>
      </c>
      <c r="AG18" s="163">
        <f>IFERROR(VLOOKUP($Z18,flows!$A$2:$J$4985,AG$2,FALSE),0)</f>
        <v>0</v>
      </c>
      <c r="AH18" s="163">
        <f>IFERROR(VLOOKUP($Z18,flows!$A$2:$J$4985,AH$2,FALSE),0)</f>
        <v>0</v>
      </c>
      <c r="AI18" s="163">
        <f>IFERROR(VLOOKUP($Z18,flows!$A$2:$J$4985,AI$2,FALSE),0)</f>
        <v>0</v>
      </c>
      <c r="AJ18" s="204"/>
      <c r="AK18" s="204"/>
      <c r="AL18" s="203"/>
      <c r="AM18" s="337" t="s">
        <v>1207</v>
      </c>
      <c r="AN18" s="204" t="e">
        <f t="shared" ref="AN18:AU18" si="9">(AB61+AB62)*(1-AB84)</f>
        <v>#DIV/0!</v>
      </c>
      <c r="AO18" s="204" t="e">
        <f t="shared" si="9"/>
        <v>#DIV/0!</v>
      </c>
      <c r="AP18" s="204" t="e">
        <f t="shared" si="9"/>
        <v>#DIV/0!</v>
      </c>
      <c r="AQ18" s="204" t="e">
        <f t="shared" si="9"/>
        <v>#DIV/0!</v>
      </c>
      <c r="AR18" s="204" t="e">
        <f t="shared" si="9"/>
        <v>#DIV/0!</v>
      </c>
      <c r="AS18" s="204" t="e">
        <f t="shared" si="9"/>
        <v>#DIV/0!</v>
      </c>
      <c r="AT18" s="204" t="e">
        <f t="shared" si="9"/>
        <v>#DIV/0!</v>
      </c>
      <c r="AU18" s="204" t="e">
        <f t="shared" si="9"/>
        <v>#DIV/0!</v>
      </c>
      <c r="AV18" s="204"/>
      <c r="AW18" s="204"/>
      <c r="AX18" s="204"/>
      <c r="AY18" s="204"/>
      <c r="AZ18" s="204"/>
      <c r="BA18" s="204"/>
      <c r="BB18" s="204"/>
      <c r="BC18" s="204"/>
      <c r="BD18" s="204"/>
      <c r="BE18" s="204"/>
      <c r="BF18" s="204"/>
      <c r="BG18" s="204"/>
      <c r="BI18" s="206" t="s">
        <v>134</v>
      </c>
      <c r="BJ18" s="194"/>
      <c r="BK18" s="163">
        <f>IFERROR(VLOOKUP($BI18,flows!$A$2:$J$4985,BK$2,FALSE),0)</f>
        <v>0</v>
      </c>
      <c r="BL18" s="163">
        <f>IFERROR(VLOOKUP($BI18,flows!$A$2:$J$4985,BL$2,FALSE),0)</f>
        <v>0</v>
      </c>
      <c r="BM18" s="163">
        <f>IFERROR(VLOOKUP($BI18,flows!$A$2:$J$4985,BM$2,FALSE),0)</f>
        <v>0</v>
      </c>
      <c r="BN18" s="163">
        <f>IFERROR(VLOOKUP($BI18,flows!$A$2:$J$4985,BN$2,FALSE),0)</f>
        <v>0</v>
      </c>
      <c r="BO18" s="163">
        <f>IFERROR(VLOOKUP($BI18,flows!$A$2:$J$4985,BO$2,FALSE),0)</f>
        <v>0</v>
      </c>
      <c r="BP18" s="163">
        <f>IFERROR(VLOOKUP($BI18,flows!$A$2:$J$4985,BP$2,FALSE),0)</f>
        <v>0</v>
      </c>
      <c r="BQ18" s="163">
        <f>IFERROR(VLOOKUP($BI18,flows!$A$2:$J$4985,BQ$2,FALSE),0)</f>
        <v>0</v>
      </c>
      <c r="BR18" s="163">
        <f>IFERROR(VLOOKUP($BI18,flows!$A$2:$J$4985,BR$2,FALSE),0)</f>
        <v>0</v>
      </c>
      <c r="BU18" s="206" t="s">
        <v>767</v>
      </c>
      <c r="BV18" s="194"/>
      <c r="BW18" s="163">
        <f>IFERROR(VLOOKUP($BU18,flows!$A$2:$J$4985,BW$2,FALSE),0)</f>
        <v>0</v>
      </c>
      <c r="BX18" s="163">
        <f>IFERROR(VLOOKUP($BU18,flows!$A$2:$J$4985,BX$2,FALSE),0)</f>
        <v>0</v>
      </c>
      <c r="BY18" s="163">
        <f>IFERROR(VLOOKUP($BU18,flows!$A$2:$J$4985,BY$2,FALSE),0)</f>
        <v>0</v>
      </c>
      <c r="BZ18" s="163">
        <f>IFERROR(VLOOKUP($BU18,flows!$A$2:$J$4985,BZ$2,FALSE),0)</f>
        <v>0</v>
      </c>
      <c r="CA18" s="163">
        <f>IFERROR(VLOOKUP($BU18,flows!$A$2:$J$4985,CA$2,FALSE),0)</f>
        <v>0</v>
      </c>
      <c r="CB18" s="163">
        <f>IFERROR(VLOOKUP($BU18,flows!$A$2:$J$4985,CB$2,FALSE),0)</f>
        <v>0</v>
      </c>
      <c r="CC18" s="163">
        <f>IFERROR(VLOOKUP($BU18,flows!$A$2:$J$4985,CC$2,FALSE),0)</f>
        <v>0</v>
      </c>
      <c r="CD18" s="163">
        <f>IFERROR(VLOOKUP($BU18,flows!$A$2:$J$4985,CD$2,FALSE),0)</f>
        <v>0</v>
      </c>
    </row>
    <row r="19" spans="2:82" ht="14.5" x14ac:dyDescent="0.35">
      <c r="N19" s="207" t="s">
        <v>4076</v>
      </c>
      <c r="O19" s="338"/>
      <c r="P19" s="163">
        <f>IFERROR(VLOOKUP($N19,flows!$A$2:$J$4985,P$2,FALSE),0)</f>
        <v>0</v>
      </c>
      <c r="Q19" s="163">
        <f>IFERROR(VLOOKUP($N19,flows!$A$2:$J$4985,Q$2,FALSE),0)</f>
        <v>0</v>
      </c>
      <c r="R19" s="163">
        <f>IFERROR(VLOOKUP($N19,flows!$A$2:$J$4985,R$2,FALSE),0)</f>
        <v>0</v>
      </c>
      <c r="S19" s="163">
        <f>IFERROR(VLOOKUP($N19,flows!$A$2:$J$4985,S$2,FALSE),0)</f>
        <v>0</v>
      </c>
      <c r="T19" s="163">
        <f>IFERROR(VLOOKUP($N19,flows!$A$2:$J$4985,T$2,FALSE),0)</f>
        <v>0</v>
      </c>
      <c r="U19" s="163">
        <f>IFERROR(VLOOKUP($N19,flows!$A$2:$J$4985,U$2,FALSE),0)</f>
        <v>0</v>
      </c>
      <c r="V19" s="163">
        <f>IFERROR(VLOOKUP($N19,flows!$A$2:$J$4985,V$2,FALSE),0)</f>
        <v>0</v>
      </c>
      <c r="W19" s="163">
        <f>IFERROR(VLOOKUP($N19,flows!$A$2:$J$4985,W$2,FALSE),0)</f>
        <v>0</v>
      </c>
      <c r="Z19" s="206" t="s">
        <v>800</v>
      </c>
      <c r="AA19" s="194"/>
      <c r="AB19" s="163">
        <f>IFERROR(VLOOKUP($Z19,flows!$A$2:$J$4985,AB$2,FALSE),0)</f>
        <v>0</v>
      </c>
      <c r="AC19" s="163">
        <f>IFERROR(VLOOKUP($Z19,flows!$A$2:$J$4985,AC$2,FALSE),0)</f>
        <v>0</v>
      </c>
      <c r="AD19" s="163">
        <f>IFERROR(VLOOKUP($Z19,flows!$A$2:$J$4985,AD$2,FALSE),0)</f>
        <v>0</v>
      </c>
      <c r="AE19" s="163">
        <f>IFERROR(VLOOKUP($Z19,flows!$A$2:$J$4985,AE$2,FALSE),0)</f>
        <v>0</v>
      </c>
      <c r="AF19" s="163">
        <f>IFERROR(VLOOKUP($Z19,flows!$A$2:$J$4985,AF$2,FALSE),0)</f>
        <v>0</v>
      </c>
      <c r="AG19" s="163">
        <f>IFERROR(VLOOKUP($Z19,flows!$A$2:$J$4985,AG$2,FALSE),0)</f>
        <v>0</v>
      </c>
      <c r="AH19" s="163">
        <f>IFERROR(VLOOKUP($Z19,flows!$A$2:$J$4985,AH$2,FALSE),0)</f>
        <v>0</v>
      </c>
      <c r="AI19" s="163">
        <f>IFERROR(VLOOKUP($Z19,flows!$A$2:$J$4985,AI$2,FALSE),0)</f>
        <v>0</v>
      </c>
      <c r="AJ19" s="204"/>
      <c r="AK19" s="204"/>
      <c r="AL19" s="203"/>
      <c r="AM19" s="337" t="s">
        <v>1209</v>
      </c>
      <c r="AN19" s="204" t="e">
        <f>(AB58+AB59+AB60)*(1-AB84)+(((AB56+AB57)*(1-AB84)+AN12)*Erdgas!F16)</f>
        <v>#DIV/0!</v>
      </c>
      <c r="AO19" s="204" t="e">
        <f>(AC58+AC59+AC60)*(1-AC84)+(((AC56+AC57)*(1-AC84)+AO12)*Erdgas!G16)</f>
        <v>#DIV/0!</v>
      </c>
      <c r="AP19" s="204" t="e">
        <f>(AD58+AD59+AD60)*(1-AD84)+(((AD56+AD57)*(1-AD84)+AP12)*Erdgas!H16)</f>
        <v>#DIV/0!</v>
      </c>
      <c r="AQ19" s="204" t="e">
        <f>(AE58+AE59+AE60)*(1-AE84)+(((AE56+AE57)*(1-AE84)+AQ12)*Erdgas!I16)</f>
        <v>#DIV/0!</v>
      </c>
      <c r="AR19" s="204" t="e">
        <f>(AF58+AF59+AF60)*(1-AF84)+(((AF56+AF57)*(1-AF84)+AR12)*Erdgas!J16)</f>
        <v>#DIV/0!</v>
      </c>
      <c r="AS19" s="204" t="e">
        <f>(AG58+AG59+AG60)*(1-AG84)+(((AG56+AG57)*(1-AG84)+AS12)*Erdgas!K16)</f>
        <v>#DIV/0!</v>
      </c>
      <c r="AT19" s="204" t="e">
        <f>(AH58+AH59+AH60)*(1-AH84)+(((AH56+AH57)*(1-AH84)+AT12)*Erdgas!L16)</f>
        <v>#DIV/0!</v>
      </c>
      <c r="AU19" s="204" t="e">
        <f>(AI58+AI59+AI60)*(1-AI84)+(((AI56+AI57)*(1-AI84)+AU12)*Erdgas!M16)</f>
        <v>#DIV/0!</v>
      </c>
      <c r="AV19" s="204"/>
      <c r="AW19" s="204" t="s">
        <v>1339</v>
      </c>
      <c r="AY19" s="204"/>
      <c r="AZ19" s="204"/>
      <c r="BA19" s="204"/>
      <c r="BB19" s="204"/>
      <c r="BC19" s="204"/>
      <c r="BD19" s="204"/>
      <c r="BE19" s="204"/>
      <c r="BF19" s="204"/>
      <c r="BG19" s="204"/>
      <c r="BI19" s="206" t="s">
        <v>135</v>
      </c>
      <c r="BJ19" s="37"/>
      <c r="BK19" s="163">
        <f>IFERROR(VLOOKUP($BI19,flows!$A$2:$J$4985,BK$2,FALSE),0)</f>
        <v>0</v>
      </c>
      <c r="BL19" s="163">
        <f>IFERROR(VLOOKUP($BI19,flows!$A$2:$J$4985,BL$2,FALSE),0)</f>
        <v>0</v>
      </c>
      <c r="BM19" s="163">
        <f>IFERROR(VLOOKUP($BI19,flows!$A$2:$J$4985,BM$2,FALSE),0)</f>
        <v>0</v>
      </c>
      <c r="BN19" s="163">
        <f>IFERROR(VLOOKUP($BI19,flows!$A$2:$J$4985,BN$2,FALSE),0)</f>
        <v>0</v>
      </c>
      <c r="BO19" s="163">
        <f>IFERROR(VLOOKUP($BI19,flows!$A$2:$J$4985,BO$2,FALSE),0)</f>
        <v>0</v>
      </c>
      <c r="BP19" s="163">
        <f>IFERROR(VLOOKUP($BI19,flows!$A$2:$J$4985,BP$2,FALSE),0)</f>
        <v>0</v>
      </c>
      <c r="BQ19" s="163">
        <f>IFERROR(VLOOKUP($BI19,flows!$A$2:$J$4985,BQ$2,FALSE),0)</f>
        <v>0</v>
      </c>
      <c r="BR19" s="163">
        <f>IFERROR(VLOOKUP($BI19,flows!$A$2:$J$4985,BR$2,FALSE),0)</f>
        <v>0</v>
      </c>
      <c r="BU19" s="206" t="s">
        <v>680</v>
      </c>
      <c r="BV19" s="37"/>
      <c r="BW19" s="163">
        <f>IFERROR(VLOOKUP($BU19,flows!$A$2:$J$4985,BW$2,FALSE),0)</f>
        <v>0</v>
      </c>
      <c r="BX19" s="163">
        <f>IFERROR(VLOOKUP($BU19,flows!$A$2:$J$4985,BX$2,FALSE),0)</f>
        <v>0</v>
      </c>
      <c r="BY19" s="163">
        <f>IFERROR(VLOOKUP($BU19,flows!$A$2:$J$4985,BY$2,FALSE),0)</f>
        <v>0</v>
      </c>
      <c r="BZ19" s="163">
        <f>IFERROR(VLOOKUP($BU19,flows!$A$2:$J$4985,BZ$2,FALSE),0)</f>
        <v>0</v>
      </c>
      <c r="CA19" s="163">
        <f>IFERROR(VLOOKUP($BU19,flows!$A$2:$J$4985,CA$2,FALSE),0)</f>
        <v>0</v>
      </c>
      <c r="CB19" s="163">
        <f>IFERROR(VLOOKUP($BU19,flows!$A$2:$J$4985,CB$2,FALSE),0)</f>
        <v>0</v>
      </c>
      <c r="CC19" s="163">
        <f>IFERROR(VLOOKUP($BU19,flows!$A$2:$J$4985,CC$2,FALSE),0)</f>
        <v>0</v>
      </c>
      <c r="CD19" s="163">
        <f>IFERROR(VLOOKUP($BU19,flows!$A$2:$J$4985,CD$2,FALSE),0)</f>
        <v>0</v>
      </c>
    </row>
    <row r="20" spans="2:82" ht="14.5" x14ac:dyDescent="0.35">
      <c r="N20" s="207" t="s">
        <v>4247</v>
      </c>
      <c r="O20" s="338"/>
      <c r="P20" s="163">
        <f>IFERROR(VLOOKUP($N20,flows!$A$2:$J$4985,P$2,FALSE),0)</f>
        <v>0</v>
      </c>
      <c r="Q20" s="163">
        <f>IFERROR(VLOOKUP($N20,flows!$A$2:$J$4985,Q$2,FALSE),0)</f>
        <v>0</v>
      </c>
      <c r="R20" s="163">
        <f>IFERROR(VLOOKUP($N20,flows!$A$2:$J$4985,R$2,FALSE),0)</f>
        <v>0</v>
      </c>
      <c r="S20" s="163">
        <f>IFERROR(VLOOKUP($N20,flows!$A$2:$J$4985,S$2,FALSE),0)</f>
        <v>0</v>
      </c>
      <c r="T20" s="163">
        <f>IFERROR(VLOOKUP($N20,flows!$A$2:$J$4985,T$2,FALSE),0)</f>
        <v>0</v>
      </c>
      <c r="U20" s="163">
        <f>IFERROR(VLOOKUP($N20,flows!$A$2:$J$4985,U$2,FALSE),0)</f>
        <v>0</v>
      </c>
      <c r="V20" s="163">
        <f>IFERROR(VLOOKUP($N20,flows!$A$2:$J$4985,V$2,FALSE),0)</f>
        <v>0</v>
      </c>
      <c r="W20" s="163">
        <f>IFERROR(VLOOKUP($N20,flows!$A$2:$J$4985,W$2,FALSE),0)</f>
        <v>0</v>
      </c>
      <c r="Z20" s="206" t="s">
        <v>801</v>
      </c>
      <c r="AA20" s="194"/>
      <c r="AB20" s="163">
        <f>IFERROR(VLOOKUP($Z20,flows!$A$2:$J$4985,AB$2,FALSE),0)</f>
        <v>0</v>
      </c>
      <c r="AC20" s="163">
        <f>IFERROR(VLOOKUP($Z20,flows!$A$2:$J$4985,AC$2,FALSE),0)</f>
        <v>0</v>
      </c>
      <c r="AD20" s="163">
        <f>IFERROR(VLOOKUP($Z20,flows!$A$2:$J$4985,AD$2,FALSE),0)</f>
        <v>0</v>
      </c>
      <c r="AE20" s="163">
        <f>IFERROR(VLOOKUP($Z20,flows!$A$2:$J$4985,AE$2,FALSE),0)</f>
        <v>0</v>
      </c>
      <c r="AF20" s="163">
        <f>IFERROR(VLOOKUP($Z20,flows!$A$2:$J$4985,AF$2,FALSE),0)</f>
        <v>0</v>
      </c>
      <c r="AG20" s="163">
        <f>IFERROR(VLOOKUP($Z20,flows!$A$2:$J$4985,AG$2,FALSE),0)</f>
        <v>0</v>
      </c>
      <c r="AH20" s="163">
        <f>IFERROR(VLOOKUP($Z20,flows!$A$2:$J$4985,AH$2,FALSE),0)</f>
        <v>0</v>
      </c>
      <c r="AI20" s="163">
        <f>IFERROR(VLOOKUP($Z20,flows!$A$2:$J$4985,AI$2,FALSE),0)</f>
        <v>0</v>
      </c>
      <c r="AJ20" s="204"/>
      <c r="AK20" s="204"/>
      <c r="AL20" s="203"/>
      <c r="AM20" s="337" t="s">
        <v>1210</v>
      </c>
      <c r="AN20" s="204" t="e">
        <f t="shared" ref="AN20:AU20" si="10">AB63*(1-AB84)</f>
        <v>#DIV/0!</v>
      </c>
      <c r="AO20" s="204" t="e">
        <f t="shared" si="10"/>
        <v>#DIV/0!</v>
      </c>
      <c r="AP20" s="204" t="e">
        <f t="shared" si="10"/>
        <v>#DIV/0!</v>
      </c>
      <c r="AQ20" s="204" t="e">
        <f t="shared" si="10"/>
        <v>#DIV/0!</v>
      </c>
      <c r="AR20" s="204" t="e">
        <f t="shared" si="10"/>
        <v>#DIV/0!</v>
      </c>
      <c r="AS20" s="204" t="e">
        <f t="shared" si="10"/>
        <v>#DIV/0!</v>
      </c>
      <c r="AT20" s="204" t="e">
        <f t="shared" si="10"/>
        <v>#DIV/0!</v>
      </c>
      <c r="AU20" s="204" t="e">
        <f t="shared" si="10"/>
        <v>#DIV/0!</v>
      </c>
      <c r="AV20" s="204"/>
      <c r="AW20" s="204" t="s">
        <v>1160</v>
      </c>
      <c r="AX20" s="204">
        <f>SUM(AN4:AN6)+AX15</f>
        <v>0</v>
      </c>
      <c r="AY20" s="204">
        <f t="shared" ref="AY20:BE20" si="11">SUM(AO4:AO6)+AY15</f>
        <v>0</v>
      </c>
      <c r="AZ20" s="204">
        <f t="shared" si="11"/>
        <v>0</v>
      </c>
      <c r="BA20" s="204">
        <f t="shared" si="11"/>
        <v>0</v>
      </c>
      <c r="BB20" s="204">
        <f t="shared" si="11"/>
        <v>0</v>
      </c>
      <c r="BC20" s="204">
        <f>SUM(AS4:AS6)+BC15</f>
        <v>0</v>
      </c>
      <c r="BD20" s="204">
        <f t="shared" si="11"/>
        <v>0</v>
      </c>
      <c r="BE20" s="204">
        <f t="shared" si="11"/>
        <v>0</v>
      </c>
      <c r="BF20" s="204"/>
      <c r="BG20" s="204"/>
      <c r="BI20" s="206" t="s">
        <v>2489</v>
      </c>
      <c r="BJ20" s="194"/>
      <c r="BK20" s="163">
        <f>IFERROR(VLOOKUP($BI20,flows!$A$2:$J$4985,BK$2,FALSE),0)</f>
        <v>0</v>
      </c>
      <c r="BL20" s="163">
        <f>IFERROR(VLOOKUP($BI20,flows!$A$2:$J$4985,BL$2,FALSE),0)</f>
        <v>0</v>
      </c>
      <c r="BM20" s="163">
        <f>IFERROR(VLOOKUP($BI20,flows!$A$2:$J$4985,BM$2,FALSE),0)</f>
        <v>0</v>
      </c>
      <c r="BN20" s="163">
        <f>IFERROR(VLOOKUP($BI20,flows!$A$2:$J$4985,BN$2,FALSE),0)</f>
        <v>0</v>
      </c>
      <c r="BO20" s="163">
        <f>IFERROR(VLOOKUP($BI20,flows!$A$2:$J$4985,BO$2,FALSE),0)</f>
        <v>0</v>
      </c>
      <c r="BP20" s="163">
        <f>IFERROR(VLOOKUP($BI20,flows!$A$2:$J$4985,BP$2,FALSE),0)</f>
        <v>0</v>
      </c>
      <c r="BQ20" s="163">
        <f>IFERROR(VLOOKUP($BI20,flows!$A$2:$J$4985,BQ$2,FALSE),0)</f>
        <v>0</v>
      </c>
      <c r="BR20" s="163">
        <f>IFERROR(VLOOKUP($BI20,flows!$A$2:$J$4985,BR$2,FALSE),0)</f>
        <v>0</v>
      </c>
      <c r="BU20" s="206" t="s">
        <v>681</v>
      </c>
      <c r="BV20" s="194"/>
      <c r="BW20" s="163">
        <f>IFERROR(VLOOKUP($BU20,flows!$A$2:$J$4985,BW$2,FALSE),0)</f>
        <v>0</v>
      </c>
      <c r="BX20" s="163">
        <f>IFERROR(VLOOKUP($BU20,flows!$A$2:$J$4985,BX$2,FALSE),0)</f>
        <v>0</v>
      </c>
      <c r="BY20" s="163">
        <f>IFERROR(VLOOKUP($BU20,flows!$A$2:$J$4985,BY$2,FALSE),0)</f>
        <v>0</v>
      </c>
      <c r="BZ20" s="163">
        <f>IFERROR(VLOOKUP($BU20,flows!$A$2:$J$4985,BZ$2,FALSE),0)</f>
        <v>0</v>
      </c>
      <c r="CA20" s="163">
        <f>IFERROR(VLOOKUP($BU20,flows!$A$2:$J$4985,CA$2,FALSE),0)</f>
        <v>0</v>
      </c>
      <c r="CB20" s="163">
        <f>IFERROR(VLOOKUP($BU20,flows!$A$2:$J$4985,CB$2,FALSE),0)</f>
        <v>0</v>
      </c>
      <c r="CC20" s="163">
        <f>IFERROR(VLOOKUP($BU20,flows!$A$2:$J$4985,CC$2,FALSE),0)</f>
        <v>0</v>
      </c>
      <c r="CD20" s="163">
        <f>IFERROR(VLOOKUP($BU20,flows!$A$2:$J$4985,CD$2,FALSE),0)</f>
        <v>0</v>
      </c>
    </row>
    <row r="21" spans="2:82" ht="14.5" x14ac:dyDescent="0.35">
      <c r="N21" s="206" t="s">
        <v>2598</v>
      </c>
      <c r="O21" s="342"/>
      <c r="P21" s="163">
        <f>IFERROR(VLOOKUP($N21,flows!$A$2:$J$4985,P$2,FALSE),0)</f>
        <v>0</v>
      </c>
      <c r="Q21" s="163">
        <f>IFERROR(VLOOKUP($N21,flows!$A$2:$J$4985,Q$2,FALSE),0)</f>
        <v>0</v>
      </c>
      <c r="R21" s="163">
        <f>IFERROR(VLOOKUP($N21,flows!$A$2:$J$4985,R$2,FALSE),0)</f>
        <v>0</v>
      </c>
      <c r="S21" s="163">
        <f>IFERROR(VLOOKUP($N21,flows!$A$2:$J$4985,S$2,FALSE),0)</f>
        <v>0</v>
      </c>
      <c r="T21" s="163">
        <f>IFERROR(VLOOKUP($N21,flows!$A$2:$J$4985,T$2,FALSE),0)</f>
        <v>0</v>
      </c>
      <c r="U21" s="163">
        <f>IFERROR(VLOOKUP($N21,flows!$A$2:$J$4985,U$2,FALSE),0)</f>
        <v>0</v>
      </c>
      <c r="V21" s="163">
        <f>IFERROR(VLOOKUP($N21,flows!$A$2:$J$4985,V$2,FALSE),0)</f>
        <v>0</v>
      </c>
      <c r="W21" s="163">
        <f>IFERROR(VLOOKUP($N21,flows!$A$2:$J$4985,W$2,FALSE),0)</f>
        <v>0</v>
      </c>
      <c r="Z21" s="206" t="s">
        <v>802</v>
      </c>
      <c r="AA21" s="194"/>
      <c r="AB21" s="163">
        <f>IFERROR(VLOOKUP($Z21,flows!$A$2:$J$4985,AB$2,FALSE),0)</f>
        <v>0</v>
      </c>
      <c r="AC21" s="163">
        <f>IFERROR(VLOOKUP($Z21,flows!$A$2:$J$4985,AC$2,FALSE),0)</f>
        <v>0</v>
      </c>
      <c r="AD21" s="163">
        <f>IFERROR(VLOOKUP($Z21,flows!$A$2:$J$4985,AD$2,FALSE),0)</f>
        <v>0</v>
      </c>
      <c r="AE21" s="163">
        <f>IFERROR(VLOOKUP($Z21,flows!$A$2:$J$4985,AE$2,FALSE),0)</f>
        <v>0</v>
      </c>
      <c r="AF21" s="163">
        <f>IFERROR(VLOOKUP($Z21,flows!$A$2:$J$4985,AF$2,FALSE),0)</f>
        <v>0</v>
      </c>
      <c r="AG21" s="163">
        <f>IFERROR(VLOOKUP($Z21,flows!$A$2:$J$4985,AG$2,FALSE),0)</f>
        <v>0</v>
      </c>
      <c r="AH21" s="163">
        <f>IFERROR(VLOOKUP($Z21,flows!$A$2:$J$4985,AH$2,FALSE),0)</f>
        <v>0</v>
      </c>
      <c r="AI21" s="163">
        <f>IFERROR(VLOOKUP($Z21,flows!$A$2:$J$4985,AI$2,FALSE),0)</f>
        <v>0</v>
      </c>
      <c r="AJ21" s="204"/>
      <c r="AK21" s="204"/>
      <c r="AL21" s="203"/>
      <c r="AM21" s="337" t="s">
        <v>1162</v>
      </c>
      <c r="AN21" s="204" t="e">
        <f t="shared" ref="AN21:AU21" si="12">(AB55+AB64)*(1-AB84)</f>
        <v>#DIV/0!</v>
      </c>
      <c r="AO21" s="204" t="e">
        <f t="shared" si="12"/>
        <v>#DIV/0!</v>
      </c>
      <c r="AP21" s="204" t="e">
        <f t="shared" si="12"/>
        <v>#DIV/0!</v>
      </c>
      <c r="AQ21" s="204" t="e">
        <f t="shared" si="12"/>
        <v>#DIV/0!</v>
      </c>
      <c r="AR21" s="204" t="e">
        <f t="shared" si="12"/>
        <v>#DIV/0!</v>
      </c>
      <c r="AS21" s="204" t="e">
        <f t="shared" si="12"/>
        <v>#DIV/0!</v>
      </c>
      <c r="AT21" s="204" t="e">
        <f t="shared" si="12"/>
        <v>#DIV/0!</v>
      </c>
      <c r="AU21" s="204" t="e">
        <f t="shared" si="12"/>
        <v>#DIV/0!</v>
      </c>
      <c r="AV21" s="204"/>
      <c r="AW21" s="204" t="s">
        <v>1161</v>
      </c>
      <c r="AX21" s="204" t="e">
        <f>AX16*(1-Erdgas!F16)</f>
        <v>#N/A</v>
      </c>
      <c r="AY21" s="204" t="e">
        <f>AY16*(1-Erdgas!G16)</f>
        <v>#N/A</v>
      </c>
      <c r="AZ21" s="204" t="e">
        <f>AZ16*(1-Erdgas!H16)</f>
        <v>#N/A</v>
      </c>
      <c r="BA21" s="204" t="e">
        <f>BA16*(1-Erdgas!I16)</f>
        <v>#N/A</v>
      </c>
      <c r="BB21" s="204" t="e">
        <f>BB16*(1-Erdgas!J16)</f>
        <v>#N/A</v>
      </c>
      <c r="BC21" s="204" t="e">
        <f>BC16*(1-Erdgas!K16)</f>
        <v>#N/A</v>
      </c>
      <c r="BD21" s="204" t="e">
        <f>BD16*(1-Erdgas!L16)</f>
        <v>#N/A</v>
      </c>
      <c r="BE21" s="204" t="e">
        <f>BE16*(1-Erdgas!M16)</f>
        <v>#N/A</v>
      </c>
      <c r="BF21" s="204"/>
      <c r="BG21" s="204"/>
      <c r="BI21" s="206" t="s">
        <v>4148</v>
      </c>
      <c r="BJ21" s="337"/>
      <c r="BK21" s="163">
        <f>IFERROR(VLOOKUP($BI21,flows!$A$2:$J$4985,BK$2,FALSE),0)</f>
        <v>8.8465562889195146E-4</v>
      </c>
      <c r="BL21" s="163">
        <f>IFERROR(VLOOKUP($BI21,flows!$A$2:$J$4985,BL$2,FALSE),0)</f>
        <v>0</v>
      </c>
      <c r="BM21" s="163">
        <f>IFERROR(VLOOKUP($BI21,flows!$A$2:$J$4985,BM$2,FALSE),0)</f>
        <v>0.72771572971397591</v>
      </c>
      <c r="BN21" s="163">
        <f>IFERROR(VLOOKUP($BI21,flows!$A$2:$J$4985,BN$2,FALSE),0)</f>
        <v>3.5798441773447812E-3</v>
      </c>
      <c r="BO21" s="163">
        <f>IFERROR(VLOOKUP($BI21,flows!$A$2:$J$4985,BO$2,FALSE),0)</f>
        <v>2.4243121413485848E-3</v>
      </c>
      <c r="BP21" s="163">
        <f>IFERROR(VLOOKUP($BI21,flows!$A$2:$J$4985,BP$2,FALSE),0)</f>
        <v>3433.1926499807341</v>
      </c>
      <c r="BQ21" s="163">
        <f>IFERROR(VLOOKUP($BI21,flows!$A$2:$J$4985,BQ$2,FALSE),0)</f>
        <v>9.3622537683307305E-2</v>
      </c>
      <c r="BR21" s="163">
        <f>IFERROR(VLOOKUP($BI21,flows!$A$2:$J$4985,BR$2,FALSE),0)</f>
        <v>0</v>
      </c>
      <c r="BU21" s="206" t="s">
        <v>682</v>
      </c>
      <c r="BV21" s="194"/>
      <c r="BW21" s="163">
        <f>IFERROR(VLOOKUP($BU21,flows!$A$2:$J$4985,BW$2,FALSE),0)</f>
        <v>0</v>
      </c>
      <c r="BX21" s="163">
        <f>IFERROR(VLOOKUP($BU21,flows!$A$2:$J$4985,BX$2,FALSE),0)</f>
        <v>0</v>
      </c>
      <c r="BY21" s="163">
        <f>IFERROR(VLOOKUP($BU21,flows!$A$2:$J$4985,BY$2,FALSE),0)</f>
        <v>0</v>
      </c>
      <c r="BZ21" s="163">
        <f>IFERROR(VLOOKUP($BU21,flows!$A$2:$J$4985,BZ$2,FALSE),0)</f>
        <v>0</v>
      </c>
      <c r="CA21" s="163">
        <f>IFERROR(VLOOKUP($BU21,flows!$A$2:$J$4985,CA$2,FALSE),0)</f>
        <v>0</v>
      </c>
      <c r="CB21" s="163">
        <f>IFERROR(VLOOKUP($BU21,flows!$A$2:$J$4985,CB$2,FALSE),0)</f>
        <v>0</v>
      </c>
      <c r="CC21" s="163">
        <f>IFERROR(VLOOKUP($BU21,flows!$A$2:$J$4985,CC$2,FALSE),0)</f>
        <v>0</v>
      </c>
      <c r="CD21" s="163">
        <f>IFERROR(VLOOKUP($BU21,flows!$A$2:$J$4985,CD$2,FALSE),0)</f>
        <v>0</v>
      </c>
    </row>
    <row r="22" spans="2:82" ht="14.5" x14ac:dyDescent="0.35">
      <c r="N22" s="206" t="s">
        <v>4077</v>
      </c>
      <c r="O22" s="338"/>
      <c r="P22" s="163">
        <f>IFERROR(VLOOKUP($N22,flows!$A$2:$J$4985,P$2,FALSE),0)</f>
        <v>0</v>
      </c>
      <c r="Q22" s="163">
        <f>IFERROR(VLOOKUP($N22,flows!$A$2:$J$4985,Q$2,FALSE),0)</f>
        <v>0</v>
      </c>
      <c r="R22" s="163">
        <f>IFERROR(VLOOKUP($N22,flows!$A$2:$J$4985,R$2,FALSE),0)</f>
        <v>0</v>
      </c>
      <c r="S22" s="163">
        <f>IFERROR(VLOOKUP($N22,flows!$A$2:$J$4985,S$2,FALSE),0)</f>
        <v>0</v>
      </c>
      <c r="T22" s="163">
        <f>IFERROR(VLOOKUP($N22,flows!$A$2:$J$4985,T$2,FALSE),0)</f>
        <v>0</v>
      </c>
      <c r="U22" s="163">
        <f>IFERROR(VLOOKUP($N22,flows!$A$2:$J$4985,U$2,FALSE),0)</f>
        <v>0</v>
      </c>
      <c r="V22" s="163">
        <f>IFERROR(VLOOKUP($N22,flows!$A$2:$J$4985,V$2,FALSE),0)</f>
        <v>0</v>
      </c>
      <c r="W22" s="163">
        <f>IFERROR(VLOOKUP($N22,flows!$A$2:$J$4985,W$2,FALSE),0)</f>
        <v>0</v>
      </c>
      <c r="Z22" s="206" t="s">
        <v>803</v>
      </c>
      <c r="AA22" s="194"/>
      <c r="AB22" s="163">
        <f>IFERROR(VLOOKUP($Z22,flows!$A$2:$J$4985,AB$2,FALSE),0)</f>
        <v>0</v>
      </c>
      <c r="AC22" s="163">
        <f>IFERROR(VLOOKUP($Z22,flows!$A$2:$J$4985,AC$2,FALSE),0)</f>
        <v>0</v>
      </c>
      <c r="AD22" s="163">
        <f>IFERROR(VLOOKUP($Z22,flows!$A$2:$J$4985,AD$2,FALSE),0)</f>
        <v>0</v>
      </c>
      <c r="AE22" s="163">
        <f>IFERROR(VLOOKUP($Z22,flows!$A$2:$J$4985,AE$2,FALSE),0)</f>
        <v>0</v>
      </c>
      <c r="AF22" s="163">
        <f>IFERROR(VLOOKUP($Z22,flows!$A$2:$J$4985,AF$2,FALSE),0)</f>
        <v>0</v>
      </c>
      <c r="AG22" s="163">
        <f>IFERROR(VLOOKUP($Z22,flows!$A$2:$J$4985,AG$2,FALSE),0)</f>
        <v>0</v>
      </c>
      <c r="AH22" s="163">
        <f>IFERROR(VLOOKUP($Z22,flows!$A$2:$J$4985,AH$2,FALSE),0)</f>
        <v>0</v>
      </c>
      <c r="AI22" s="163">
        <f>IFERROR(VLOOKUP($Z22,flows!$A$2:$J$4985,AI$2,FALSE),0)</f>
        <v>0</v>
      </c>
      <c r="AJ22" s="204"/>
      <c r="AK22" s="204"/>
      <c r="AL22" s="203"/>
      <c r="AM22" s="337" t="s">
        <v>1814</v>
      </c>
      <c r="AN22" s="204">
        <f t="shared" ref="AN22:AU22" si="13">SUM(AN9:AN10)</f>
        <v>0</v>
      </c>
      <c r="AO22" s="204">
        <f t="shared" si="13"/>
        <v>0</v>
      </c>
      <c r="AP22" s="204">
        <f t="shared" si="13"/>
        <v>0</v>
      </c>
      <c r="AQ22" s="204">
        <f t="shared" si="13"/>
        <v>0</v>
      </c>
      <c r="AR22" s="204">
        <f t="shared" si="13"/>
        <v>0</v>
      </c>
      <c r="AS22" s="204">
        <f t="shared" si="13"/>
        <v>0</v>
      </c>
      <c r="AT22" s="204">
        <f t="shared" si="13"/>
        <v>0</v>
      </c>
      <c r="AU22" s="204">
        <f t="shared" si="13"/>
        <v>0</v>
      </c>
      <c r="AV22" s="204"/>
      <c r="AW22" s="204" t="s">
        <v>1413</v>
      </c>
      <c r="AX22" s="204" t="e">
        <f>AX16*Erdgas!F16</f>
        <v>#N/A</v>
      </c>
      <c r="AY22" s="204" t="e">
        <f>AY16*Erdgas!G16</f>
        <v>#N/A</v>
      </c>
      <c r="AZ22" s="204" t="e">
        <f>AZ16*Erdgas!H16</f>
        <v>#N/A</v>
      </c>
      <c r="BA22" s="204" t="e">
        <f>BA16*Erdgas!I16</f>
        <v>#N/A</v>
      </c>
      <c r="BB22" s="204" t="e">
        <f>BB16*Erdgas!J16</f>
        <v>#N/A</v>
      </c>
      <c r="BC22" s="204" t="e">
        <f>BC16*Erdgas!K16</f>
        <v>#N/A</v>
      </c>
      <c r="BD22" s="204" t="e">
        <f>BD16*Erdgas!L16</f>
        <v>#N/A</v>
      </c>
      <c r="BE22" s="204" t="e">
        <f>BE16*Erdgas!M16</f>
        <v>#N/A</v>
      </c>
      <c r="BF22" s="204"/>
      <c r="BG22" s="204"/>
      <c r="BI22" s="206" t="s">
        <v>2488</v>
      </c>
      <c r="BJ22" s="194"/>
      <c r="BK22" s="163">
        <f>IFERROR(VLOOKUP($BI22,flows!$A$2:$J$4985,BK$2,FALSE),0)</f>
        <v>0</v>
      </c>
      <c r="BL22" s="163">
        <f>IFERROR(VLOOKUP($BI22,flows!$A$2:$J$4985,BL$2,FALSE),0)</f>
        <v>0</v>
      </c>
      <c r="BM22" s="163">
        <f>IFERROR(VLOOKUP($BI22,flows!$A$2:$J$4985,BM$2,FALSE),0)</f>
        <v>0</v>
      </c>
      <c r="BN22" s="163">
        <f>IFERROR(VLOOKUP($BI22,flows!$A$2:$J$4985,BN$2,FALSE),0)</f>
        <v>0</v>
      </c>
      <c r="BO22" s="163">
        <f>IFERROR(VLOOKUP($BI22,flows!$A$2:$J$4985,BO$2,FALSE),0)</f>
        <v>0</v>
      </c>
      <c r="BP22" s="163">
        <f>IFERROR(VLOOKUP($BI22,flows!$A$2:$J$4985,BP$2,FALSE),0)</f>
        <v>0</v>
      </c>
      <c r="BQ22" s="163">
        <f>IFERROR(VLOOKUP($BI22,flows!$A$2:$J$4985,BQ$2,FALSE),0)</f>
        <v>0</v>
      </c>
      <c r="BR22" s="163">
        <f>IFERROR(VLOOKUP($BI22,flows!$A$2:$J$4985,BR$2,FALSE),0)</f>
        <v>0</v>
      </c>
      <c r="BU22" s="206" t="s">
        <v>683</v>
      </c>
      <c r="BV22" s="194"/>
      <c r="BW22" s="163">
        <f>IFERROR(VLOOKUP($BU22,flows!$A$2:$J$4985,BW$2,FALSE),0)</f>
        <v>0</v>
      </c>
      <c r="BX22" s="163">
        <f>IFERROR(VLOOKUP($BU22,flows!$A$2:$J$4985,BX$2,FALSE),0)</f>
        <v>0</v>
      </c>
      <c r="BY22" s="163">
        <f>IFERROR(VLOOKUP($BU22,flows!$A$2:$J$4985,BY$2,FALSE),0)</f>
        <v>0</v>
      </c>
      <c r="BZ22" s="163">
        <f>IFERROR(VLOOKUP($BU22,flows!$A$2:$J$4985,BZ$2,FALSE),0)</f>
        <v>0</v>
      </c>
      <c r="CA22" s="163">
        <f>IFERROR(VLOOKUP($BU22,flows!$A$2:$J$4985,CA$2,FALSE),0)</f>
        <v>0</v>
      </c>
      <c r="CB22" s="163">
        <f>IFERROR(VLOOKUP($BU22,flows!$A$2:$J$4985,CB$2,FALSE),0)</f>
        <v>0</v>
      </c>
      <c r="CC22" s="163">
        <f>IFERROR(VLOOKUP($BU22,flows!$A$2:$J$4985,CC$2,FALSE),0)</f>
        <v>0</v>
      </c>
      <c r="CD22" s="163">
        <f>IFERROR(VLOOKUP($BU22,flows!$A$2:$J$4985,CD$2,FALSE),0)</f>
        <v>0</v>
      </c>
    </row>
    <row r="23" spans="2:82" ht="14.5" x14ac:dyDescent="0.35">
      <c r="N23" s="206" t="s">
        <v>4275</v>
      </c>
      <c r="O23" s="338"/>
      <c r="P23" s="163">
        <f>IFERROR(VLOOKUP($N23,flows!$A$2:$J$4985,P$2,FALSE),0)</f>
        <v>8.9933030871201372E-2</v>
      </c>
      <c r="Q23" s="163">
        <f>IFERROR(VLOOKUP($N23,flows!$A$2:$J$4985,Q$2,FALSE),0)</f>
        <v>0</v>
      </c>
      <c r="R23" s="163">
        <f>IFERROR(VLOOKUP($N23,flows!$A$2:$J$4985,R$2,FALSE),0)</f>
        <v>1.203537030655659</v>
      </c>
      <c r="S23" s="163">
        <f>IFERROR(VLOOKUP($N23,flows!$A$2:$J$4985,S$2,FALSE),0)</f>
        <v>4.8608154475480239E-3</v>
      </c>
      <c r="T23" s="163">
        <f>IFERROR(VLOOKUP($N23,flows!$A$2:$J$4985,T$2,FALSE),0)</f>
        <v>3.8609072086340998E-3</v>
      </c>
      <c r="U23" s="163">
        <f>IFERROR(VLOOKUP($N23,flows!$A$2:$J$4985,U$2,FALSE),0)</f>
        <v>1098.574072514461</v>
      </c>
      <c r="V23" s="163">
        <f>IFERROR(VLOOKUP($N23,flows!$A$2:$J$4985,V$2,FALSE),0)</f>
        <v>142.26365754486221</v>
      </c>
      <c r="W23" s="163">
        <f>IFERROR(VLOOKUP($N23,flows!$A$2:$J$4985,W$2,FALSE),0)</f>
        <v>0</v>
      </c>
      <c r="Z23" s="206" t="s">
        <v>804</v>
      </c>
      <c r="AA23" s="194"/>
      <c r="AB23" s="163">
        <f>IFERROR(VLOOKUP($Z23,flows!$A$2:$J$4985,AB$2,FALSE),0)</f>
        <v>0</v>
      </c>
      <c r="AC23" s="163">
        <f>IFERROR(VLOOKUP($Z23,flows!$A$2:$J$4985,AC$2,FALSE),0)</f>
        <v>0</v>
      </c>
      <c r="AD23" s="163">
        <f>IFERROR(VLOOKUP($Z23,flows!$A$2:$J$4985,AD$2,FALSE),0)</f>
        <v>0</v>
      </c>
      <c r="AE23" s="163">
        <f>IFERROR(VLOOKUP($Z23,flows!$A$2:$J$4985,AE$2,FALSE),0)</f>
        <v>0</v>
      </c>
      <c r="AF23" s="163">
        <f>IFERROR(VLOOKUP($Z23,flows!$A$2:$J$4985,AF$2,FALSE),0)</f>
        <v>0</v>
      </c>
      <c r="AG23" s="163">
        <f>IFERROR(VLOOKUP($Z23,flows!$A$2:$J$4985,AG$2,FALSE),0)</f>
        <v>0</v>
      </c>
      <c r="AH23" s="163">
        <f>IFERROR(VLOOKUP($Z23,flows!$A$2:$J$4985,AH$2,FALSE),0)</f>
        <v>0</v>
      </c>
      <c r="AI23" s="163">
        <f>IFERROR(VLOOKUP($Z23,flows!$A$2:$J$4985,AI$2,FALSE),0)</f>
        <v>0</v>
      </c>
      <c r="AJ23" s="204"/>
      <c r="AK23" s="204"/>
      <c r="AL23" s="204"/>
      <c r="AM23" s="204"/>
      <c r="AN23" s="204"/>
      <c r="AO23" s="204"/>
      <c r="AP23" s="204"/>
      <c r="AQ23" s="204"/>
      <c r="AR23" s="204"/>
      <c r="AS23" s="204"/>
      <c r="AT23" s="204"/>
      <c r="AU23" s="204"/>
      <c r="AV23" s="204"/>
      <c r="AW23" s="204"/>
      <c r="AX23" s="204"/>
      <c r="AY23" s="204"/>
      <c r="AZ23" s="204"/>
      <c r="BA23" s="204"/>
      <c r="BB23" s="204"/>
      <c r="BC23" s="204"/>
      <c r="BD23" s="204"/>
      <c r="BE23" s="204"/>
      <c r="BF23" s="204"/>
      <c r="BG23" s="204"/>
      <c r="BI23" s="206" t="s">
        <v>2494</v>
      </c>
      <c r="BJ23" s="337"/>
      <c r="BK23" s="163">
        <f>IFERROR(VLOOKUP($BI23,flows!$A$2:$J$4985,BK$2,FALSE),0)</f>
        <v>0</v>
      </c>
      <c r="BL23" s="163">
        <f>IFERROR(VLOOKUP($BI23,flows!$A$2:$J$4985,BL$2,FALSE),0)</f>
        <v>0</v>
      </c>
      <c r="BM23" s="163">
        <f>IFERROR(VLOOKUP($BI23,flows!$A$2:$J$4985,BM$2,FALSE),0)</f>
        <v>0</v>
      </c>
      <c r="BN23" s="163">
        <f>IFERROR(VLOOKUP($BI23,flows!$A$2:$J$4985,BN$2,FALSE),0)</f>
        <v>0</v>
      </c>
      <c r="BO23" s="163">
        <f>IFERROR(VLOOKUP($BI23,flows!$A$2:$J$4985,BO$2,FALSE),0)</f>
        <v>0</v>
      </c>
      <c r="BP23" s="163">
        <f>IFERROR(VLOOKUP($BI23,flows!$A$2:$J$4985,BP$2,FALSE),0)</f>
        <v>0</v>
      </c>
      <c r="BQ23" s="163">
        <f>IFERROR(VLOOKUP($BI23,flows!$A$2:$J$4985,BQ$2,FALSE),0)</f>
        <v>0</v>
      </c>
      <c r="BR23" s="163">
        <f>IFERROR(VLOOKUP($BI23,flows!$A$2:$J$4985,BR$2,FALSE),0)</f>
        <v>0</v>
      </c>
      <c r="BU23" s="198" t="s">
        <v>684</v>
      </c>
      <c r="BV23" s="199"/>
      <c r="BW23" s="163">
        <f>IFERROR(VLOOKUP($BU23,flows!$A$2:$J$4985,BW$2,FALSE),0)</f>
        <v>0</v>
      </c>
      <c r="BX23" s="163">
        <f>IFERROR(VLOOKUP($BU23,flows!$A$2:$J$4985,BX$2,FALSE),0)</f>
        <v>0</v>
      </c>
      <c r="BY23" s="163">
        <f>IFERROR(VLOOKUP($BU23,flows!$A$2:$J$4985,BY$2,FALSE),0)</f>
        <v>0</v>
      </c>
      <c r="BZ23" s="163">
        <f>IFERROR(VLOOKUP($BU23,flows!$A$2:$J$4985,BZ$2,FALSE),0)</f>
        <v>0</v>
      </c>
      <c r="CA23" s="163">
        <f>IFERROR(VLOOKUP($BU23,flows!$A$2:$J$4985,CA$2,FALSE),0)</f>
        <v>0</v>
      </c>
      <c r="CB23" s="163">
        <f>IFERROR(VLOOKUP($BU23,flows!$A$2:$J$4985,CB$2,FALSE),0)</f>
        <v>0</v>
      </c>
      <c r="CC23" s="163">
        <f>IFERROR(VLOOKUP($BU23,flows!$A$2:$J$4985,CC$2,FALSE),0)</f>
        <v>0</v>
      </c>
      <c r="CD23" s="163">
        <f>IFERROR(VLOOKUP($BU23,flows!$A$2:$J$4985,CD$2,FALSE),0)</f>
        <v>0</v>
      </c>
    </row>
    <row r="24" spans="2:82" ht="14.5" x14ac:dyDescent="0.35">
      <c r="N24" s="206" t="s">
        <v>4080</v>
      </c>
      <c r="O24" s="338"/>
      <c r="P24" s="163">
        <f>IFERROR(VLOOKUP($N24,flows!$A$2:$J$4985,P$2,FALSE),0)</f>
        <v>0</v>
      </c>
      <c r="Q24" s="163">
        <f>IFERROR(VLOOKUP($N24,flows!$A$2:$J$4985,Q$2,FALSE),0)</f>
        <v>0</v>
      </c>
      <c r="R24" s="163">
        <f>IFERROR(VLOOKUP($N24,flows!$A$2:$J$4985,R$2,FALSE),0)</f>
        <v>0</v>
      </c>
      <c r="S24" s="163">
        <f>IFERROR(VLOOKUP($N24,flows!$A$2:$J$4985,S$2,FALSE),0)</f>
        <v>0</v>
      </c>
      <c r="T24" s="163">
        <f>IFERROR(VLOOKUP($N24,flows!$A$2:$J$4985,T$2,FALSE),0)</f>
        <v>0</v>
      </c>
      <c r="U24" s="163">
        <f>IFERROR(VLOOKUP($N24,flows!$A$2:$J$4985,U$2,FALSE),0)</f>
        <v>0</v>
      </c>
      <c r="V24" s="163">
        <f>IFERROR(VLOOKUP($N24,flows!$A$2:$J$4985,V$2,FALSE),0)</f>
        <v>0</v>
      </c>
      <c r="W24" s="163">
        <f>IFERROR(VLOOKUP($N24,flows!$A$2:$J$4985,W$2,FALSE),0)</f>
        <v>0</v>
      </c>
      <c r="Z24" s="206" t="s">
        <v>807</v>
      </c>
      <c r="AA24" s="194"/>
      <c r="AB24" s="163">
        <f>IFERROR(VLOOKUP($Z24,flows!$A$2:$J$4985,AB$2,FALSE),0)</f>
        <v>0</v>
      </c>
      <c r="AC24" s="163">
        <f>IFERROR(VLOOKUP($Z24,flows!$A$2:$J$4985,AC$2,FALSE),0)</f>
        <v>0</v>
      </c>
      <c r="AD24" s="163">
        <f>IFERROR(VLOOKUP($Z24,flows!$A$2:$J$4985,AD$2,FALSE),0)</f>
        <v>0</v>
      </c>
      <c r="AE24" s="163">
        <f>IFERROR(VLOOKUP($Z24,flows!$A$2:$J$4985,AE$2,FALSE),0)</f>
        <v>0</v>
      </c>
      <c r="AF24" s="163">
        <f>IFERROR(VLOOKUP($Z24,flows!$A$2:$J$4985,AF$2,FALSE),0)</f>
        <v>0</v>
      </c>
      <c r="AG24" s="163">
        <f>IFERROR(VLOOKUP($Z24,flows!$A$2:$J$4985,AG$2,FALSE),0)</f>
        <v>0</v>
      </c>
      <c r="AH24" s="163">
        <f>IFERROR(VLOOKUP($Z24,flows!$A$2:$J$4985,AH$2,FALSE),0)</f>
        <v>0</v>
      </c>
      <c r="AI24" s="163">
        <f>IFERROR(VLOOKUP($Z24,flows!$A$2:$J$4985,AI$2,FALSE),0)</f>
        <v>0</v>
      </c>
      <c r="AJ24" s="204"/>
      <c r="AK24" s="204"/>
      <c r="AL24" s="204"/>
      <c r="AM24" s="204"/>
      <c r="AN24" s="204"/>
      <c r="AO24" s="204"/>
      <c r="AP24" s="204"/>
      <c r="AQ24" s="204"/>
      <c r="AR24" s="204"/>
      <c r="AS24" s="204"/>
      <c r="AT24" s="204"/>
      <c r="AU24" s="204"/>
      <c r="AV24" s="204"/>
      <c r="AW24" s="204"/>
      <c r="AX24" s="204"/>
      <c r="AY24" s="204"/>
      <c r="AZ24" s="204"/>
      <c r="BA24" s="204"/>
      <c r="BB24" s="204"/>
      <c r="BC24" s="204"/>
      <c r="BD24" s="204"/>
      <c r="BE24" s="204"/>
      <c r="BF24" s="204"/>
      <c r="BG24" s="204"/>
      <c r="BI24" s="206" t="s">
        <v>2525</v>
      </c>
      <c r="BJ24" s="337"/>
      <c r="BK24" s="163">
        <f>IFERROR(VLOOKUP($BI24,flows!$A$2:$J$4985,BK$2,FALSE),0)</f>
        <v>0</v>
      </c>
      <c r="BL24" s="163">
        <f>IFERROR(VLOOKUP($BI24,flows!$A$2:$J$4985,BL$2,FALSE),0)</f>
        <v>0</v>
      </c>
      <c r="BM24" s="163">
        <f>IFERROR(VLOOKUP($BI24,flows!$A$2:$J$4985,BM$2,FALSE),0)</f>
        <v>0</v>
      </c>
      <c r="BN24" s="163">
        <f>IFERROR(VLOOKUP($BI24,flows!$A$2:$J$4985,BN$2,FALSE),0)</f>
        <v>0</v>
      </c>
      <c r="BO24" s="163">
        <f>IFERROR(VLOOKUP($BI24,flows!$A$2:$J$4985,BO$2,FALSE),0)</f>
        <v>0</v>
      </c>
      <c r="BP24" s="163">
        <f>IFERROR(VLOOKUP($BI24,flows!$A$2:$J$4985,BP$2,FALSE),0)</f>
        <v>0</v>
      </c>
      <c r="BQ24" s="163">
        <f>IFERROR(VLOOKUP($BI24,flows!$A$2:$J$4985,BQ$2,FALSE),0)</f>
        <v>0</v>
      </c>
      <c r="BR24" s="163">
        <f>IFERROR(VLOOKUP($BI24,flows!$A$2:$J$4985,BR$2,FALSE),0)</f>
        <v>0</v>
      </c>
      <c r="BU24" s="198" t="s">
        <v>685</v>
      </c>
      <c r="BV24" s="199"/>
      <c r="BW24" s="163">
        <f>IFERROR(VLOOKUP($BU24,flows!$A$2:$J$4985,BW$2,FALSE),0)</f>
        <v>0</v>
      </c>
      <c r="BX24" s="163">
        <f>IFERROR(VLOOKUP($BU24,flows!$A$2:$J$4985,BX$2,FALSE),0)</f>
        <v>0</v>
      </c>
      <c r="BY24" s="163">
        <f>IFERROR(VLOOKUP($BU24,flows!$A$2:$J$4985,BY$2,FALSE),0)</f>
        <v>0</v>
      </c>
      <c r="BZ24" s="163">
        <f>IFERROR(VLOOKUP($BU24,flows!$A$2:$J$4985,BZ$2,FALSE),0)</f>
        <v>0</v>
      </c>
      <c r="CA24" s="163">
        <f>IFERROR(VLOOKUP($BU24,flows!$A$2:$J$4985,CA$2,FALSE),0)</f>
        <v>0</v>
      </c>
      <c r="CB24" s="163">
        <f>IFERROR(VLOOKUP($BU24,flows!$A$2:$J$4985,CB$2,FALSE),0)</f>
        <v>0</v>
      </c>
      <c r="CC24" s="163">
        <f>IFERROR(VLOOKUP($BU24,flows!$A$2:$J$4985,CC$2,FALSE),0)</f>
        <v>0</v>
      </c>
      <c r="CD24" s="163">
        <f>IFERROR(VLOOKUP($BU24,flows!$A$2:$J$4985,CD$2,FALSE),0)</f>
        <v>0</v>
      </c>
    </row>
    <row r="25" spans="2:82" ht="14.5" x14ac:dyDescent="0.35">
      <c r="N25" s="206" t="s">
        <v>4114</v>
      </c>
      <c r="O25" s="338"/>
      <c r="P25" s="163">
        <f>IFERROR(VLOOKUP($N25,flows!$A$2:$J$4985,P$2,FALSE),0)</f>
        <v>0.37299688660430519</v>
      </c>
      <c r="Q25" s="163">
        <f>IFERROR(VLOOKUP($N25,flows!$A$2:$J$4985,Q$2,FALSE),0)</f>
        <v>0</v>
      </c>
      <c r="R25" s="163">
        <f>IFERROR(VLOOKUP($N25,flows!$A$2:$J$4985,R$2,FALSE),0)</f>
        <v>1.384505395222785</v>
      </c>
      <c r="S25" s="163">
        <f>IFERROR(VLOOKUP($N25,flows!$A$2:$J$4985,S$2,FALSE),0)</f>
        <v>1489.3314317062691</v>
      </c>
      <c r="T25" s="163">
        <f>IFERROR(VLOOKUP($N25,flows!$A$2:$J$4985,T$2,FALSE),0)</f>
        <v>5959.957370865618</v>
      </c>
      <c r="U25" s="163">
        <f>IFERROR(VLOOKUP($N25,flows!$A$2:$J$4985,U$2,FALSE),0)</f>
        <v>7710.0221297048638</v>
      </c>
      <c r="V25" s="163">
        <f>IFERROR(VLOOKUP($N25,flows!$A$2:$J$4985,V$2,FALSE),0)</f>
        <v>8351.9078492462304</v>
      </c>
      <c r="W25" s="163">
        <f>IFERROR(VLOOKUP($N25,flows!$A$2:$J$4985,W$2,FALSE),0)</f>
        <v>0</v>
      </c>
      <c r="Z25" s="206" t="s">
        <v>808</v>
      </c>
      <c r="AA25" s="194"/>
      <c r="AB25" s="163">
        <f>IFERROR(VLOOKUP($Z25,flows!$A$2:$J$4985,AB$2,FALSE),0)</f>
        <v>0</v>
      </c>
      <c r="AC25" s="163">
        <f>IFERROR(VLOOKUP($Z25,flows!$A$2:$J$4985,AC$2,FALSE),0)</f>
        <v>0</v>
      </c>
      <c r="AD25" s="163">
        <f>IFERROR(VLOOKUP($Z25,flows!$A$2:$J$4985,AD$2,FALSE),0)</f>
        <v>0</v>
      </c>
      <c r="AE25" s="163">
        <f>IFERROR(VLOOKUP($Z25,flows!$A$2:$J$4985,AE$2,FALSE),0)</f>
        <v>0</v>
      </c>
      <c r="AF25" s="163">
        <f>IFERROR(VLOOKUP($Z25,flows!$A$2:$J$4985,AF$2,FALSE),0)</f>
        <v>0</v>
      </c>
      <c r="AG25" s="163">
        <f>IFERROR(VLOOKUP($Z25,flows!$A$2:$J$4985,AG$2,FALSE),0)</f>
        <v>0</v>
      </c>
      <c r="AH25" s="163">
        <f>IFERROR(VLOOKUP($Z25,flows!$A$2:$J$4985,AH$2,FALSE),0)</f>
        <v>0</v>
      </c>
      <c r="AI25" s="163">
        <f>IFERROR(VLOOKUP($Z25,flows!$A$2:$J$4985,AI$2,FALSE),0)</f>
        <v>0</v>
      </c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I25" s="206" t="s">
        <v>2526</v>
      </c>
      <c r="BJ25" s="337"/>
      <c r="BK25" s="163">
        <f>IFERROR(VLOOKUP($BI25,flows!$A$2:$J$4985,BK$2,FALSE),0)</f>
        <v>471.09967108361741</v>
      </c>
      <c r="BL25" s="163">
        <f>IFERROR(VLOOKUP($BI25,flows!$A$2:$J$4985,BL$2,FALSE),0)</f>
        <v>5340.2272571732883</v>
      </c>
      <c r="BM25" s="163">
        <f>IFERROR(VLOOKUP($BI25,flows!$A$2:$J$4985,BM$2,FALSE),0)</f>
        <v>5758.2531257755563</v>
      </c>
      <c r="BN25" s="163">
        <f>IFERROR(VLOOKUP($BI25,flows!$A$2:$J$4985,BN$2,FALSE),0)</f>
        <v>5466.9041315814447</v>
      </c>
      <c r="BO25" s="163">
        <f>IFERROR(VLOOKUP($BI25,flows!$A$2:$J$4985,BO$2,FALSE),0)</f>
        <v>4419.3504622962446</v>
      </c>
      <c r="BP25" s="163">
        <f>IFERROR(VLOOKUP($BI25,flows!$A$2:$J$4985,BP$2,FALSE),0)</f>
        <v>1826.849820600574</v>
      </c>
      <c r="BQ25" s="163">
        <f>IFERROR(VLOOKUP($BI25,flows!$A$2:$J$4985,BQ$2,FALSE),0)</f>
        <v>471.09469826850147</v>
      </c>
      <c r="BR25" s="163">
        <f>IFERROR(VLOOKUP($BI25,flows!$A$2:$J$4985,BR$2,FALSE),0)</f>
        <v>0</v>
      </c>
      <c r="BU25" s="198" t="s">
        <v>686</v>
      </c>
      <c r="BV25" s="199"/>
      <c r="BW25" s="163">
        <f>IFERROR(VLOOKUP($BU25,flows!$A$2:$J$4985,BW$2,FALSE),0)</f>
        <v>0</v>
      </c>
      <c r="BX25" s="163">
        <f>IFERROR(VLOOKUP($BU25,flows!$A$2:$J$4985,BX$2,FALSE),0)</f>
        <v>0</v>
      </c>
      <c r="BY25" s="163">
        <f>IFERROR(VLOOKUP($BU25,flows!$A$2:$J$4985,BY$2,FALSE),0)</f>
        <v>0</v>
      </c>
      <c r="BZ25" s="163">
        <f>IFERROR(VLOOKUP($BU25,flows!$A$2:$J$4985,BZ$2,FALSE),0)</f>
        <v>0</v>
      </c>
      <c r="CA25" s="163">
        <f>IFERROR(VLOOKUP($BU25,flows!$A$2:$J$4985,CA$2,FALSE),0)</f>
        <v>0</v>
      </c>
      <c r="CB25" s="163">
        <f>IFERROR(VLOOKUP($BU25,flows!$A$2:$J$4985,CB$2,FALSE),0)</f>
        <v>0</v>
      </c>
      <c r="CC25" s="163">
        <f>IFERROR(VLOOKUP($BU25,flows!$A$2:$J$4985,CC$2,FALSE),0)</f>
        <v>0</v>
      </c>
      <c r="CD25" s="163">
        <f>IFERROR(VLOOKUP($BU25,flows!$A$2:$J$4985,CD$2,FALSE),0)</f>
        <v>0</v>
      </c>
    </row>
    <row r="26" spans="2:82" ht="14.5" x14ac:dyDescent="0.35">
      <c r="N26" s="206" t="s">
        <v>4115</v>
      </c>
      <c r="O26" s="338"/>
      <c r="P26" s="163">
        <f>IFERROR(VLOOKUP($N26,flows!$A$2:$J$4985,P$2,FALSE),0)</f>
        <v>25367.273034652699</v>
      </c>
      <c r="Q26" s="163">
        <f>IFERROR(VLOOKUP($N26,flows!$A$2:$J$4985,Q$2,FALSE),0)</f>
        <v>0</v>
      </c>
      <c r="R26" s="163">
        <f>IFERROR(VLOOKUP($N26,flows!$A$2:$J$4985,R$2,FALSE),0)</f>
        <v>638.6015714041506</v>
      </c>
      <c r="S26" s="163">
        <f>IFERROR(VLOOKUP($N26,flows!$A$2:$J$4985,S$2,FALSE),0)</f>
        <v>5074.7066081926969</v>
      </c>
      <c r="T26" s="163">
        <f>IFERROR(VLOOKUP($N26,flows!$A$2:$J$4985,T$2,FALSE),0)</f>
        <v>12990.668015000179</v>
      </c>
      <c r="U26" s="163">
        <f>IFERROR(VLOOKUP($N26,flows!$A$2:$J$4985,U$2,FALSE),0)</f>
        <v>13226.229999740821</v>
      </c>
      <c r="V26" s="163">
        <f>IFERROR(VLOOKUP($N26,flows!$A$2:$J$4985,V$2,FALSE),0)</f>
        <v>25267.6144292067</v>
      </c>
      <c r="W26" s="163">
        <f>IFERROR(VLOOKUP($N26,flows!$A$2:$J$4985,W$2,FALSE),0)</f>
        <v>0</v>
      </c>
      <c r="Z26" s="206" t="s">
        <v>809</v>
      </c>
      <c r="AA26" s="194"/>
      <c r="AB26" s="163">
        <f>IFERROR(VLOOKUP($Z26,flows!$A$2:$J$4985,AB$2,FALSE),0)</f>
        <v>0</v>
      </c>
      <c r="AC26" s="163">
        <f>IFERROR(VLOOKUP($Z26,flows!$A$2:$J$4985,AC$2,FALSE),0)</f>
        <v>0</v>
      </c>
      <c r="AD26" s="163">
        <f>IFERROR(VLOOKUP($Z26,flows!$A$2:$J$4985,AD$2,FALSE),0)</f>
        <v>0</v>
      </c>
      <c r="AE26" s="163">
        <f>IFERROR(VLOOKUP($Z26,flows!$A$2:$J$4985,AE$2,FALSE),0)</f>
        <v>0</v>
      </c>
      <c r="AF26" s="163">
        <f>IFERROR(VLOOKUP($Z26,flows!$A$2:$J$4985,AF$2,FALSE),0)</f>
        <v>0</v>
      </c>
      <c r="AG26" s="163">
        <f>IFERROR(VLOOKUP($Z26,flows!$A$2:$J$4985,AG$2,FALSE),0)</f>
        <v>0</v>
      </c>
      <c r="AH26" s="163">
        <f>IFERROR(VLOOKUP($Z26,flows!$A$2:$J$4985,AH$2,FALSE),0)</f>
        <v>0</v>
      </c>
      <c r="AI26" s="163">
        <f>IFERROR(VLOOKUP($Z26,flows!$A$2:$J$4985,AI$2,FALSE),0)</f>
        <v>0</v>
      </c>
      <c r="AJ26" s="204"/>
      <c r="AK26" s="204"/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4"/>
      <c r="AX26" s="204"/>
      <c r="AY26" s="204"/>
      <c r="AZ26" s="204"/>
      <c r="BA26" s="204"/>
      <c r="BB26" s="204"/>
      <c r="BC26" s="204"/>
      <c r="BD26" s="204"/>
      <c r="BE26" s="204"/>
      <c r="BF26" s="204"/>
      <c r="BG26" s="204"/>
      <c r="BI26" s="206" t="s">
        <v>4146</v>
      </c>
      <c r="BJ26" s="337"/>
      <c r="BK26" s="163">
        <f>IFERROR(VLOOKUP($BI26,flows!$A$2:$J$4985,BK$2,FALSE),0)</f>
        <v>26.625547887702041</v>
      </c>
      <c r="BL26" s="163">
        <f>IFERROR(VLOOKUP($BI26,flows!$A$2:$J$4985,BL$2,FALSE),0)</f>
        <v>0</v>
      </c>
      <c r="BM26" s="163">
        <f>IFERROR(VLOOKUP($BI26,flows!$A$2:$J$4985,BM$2,FALSE),0)</f>
        <v>0.54333152698231624</v>
      </c>
      <c r="BN26" s="163">
        <f>IFERROR(VLOOKUP($BI26,flows!$A$2:$J$4985,BN$2,FALSE),0)</f>
        <v>6.8036625943153559E-3</v>
      </c>
      <c r="BO26" s="163">
        <f>IFERROR(VLOOKUP($BI26,flows!$A$2:$J$4985,BO$2,FALSE),0)</f>
        <v>8.3131897570195132</v>
      </c>
      <c r="BP26" s="163">
        <f>IFERROR(VLOOKUP($BI26,flows!$A$2:$J$4985,BP$2,FALSE),0)</f>
        <v>103.25671176038399</v>
      </c>
      <c r="BQ26" s="163">
        <f>IFERROR(VLOOKUP($BI26,flows!$A$2:$J$4985,BQ$2,FALSE),0)</f>
        <v>26.627084695426539</v>
      </c>
      <c r="BR26" s="163">
        <f>IFERROR(VLOOKUP($BI26,flows!$A$2:$J$4985,BR$2,FALSE),0)</f>
        <v>0</v>
      </c>
      <c r="BU26" s="198" t="s">
        <v>687</v>
      </c>
      <c r="BV26" s="199"/>
      <c r="BW26" s="163">
        <f>IFERROR(VLOOKUP($BU26,flows!$A$2:$J$4985,BW$2,FALSE),0)</f>
        <v>0</v>
      </c>
      <c r="BX26" s="163">
        <f>IFERROR(VLOOKUP($BU26,flows!$A$2:$J$4985,BX$2,FALSE),0)</f>
        <v>0</v>
      </c>
      <c r="BY26" s="163">
        <f>IFERROR(VLOOKUP($BU26,flows!$A$2:$J$4985,BY$2,FALSE),0)</f>
        <v>0</v>
      </c>
      <c r="BZ26" s="163">
        <f>IFERROR(VLOOKUP($BU26,flows!$A$2:$J$4985,BZ$2,FALSE),0)</f>
        <v>0</v>
      </c>
      <c r="CA26" s="163">
        <f>IFERROR(VLOOKUP($BU26,flows!$A$2:$J$4985,CA$2,FALSE),0)</f>
        <v>0</v>
      </c>
      <c r="CB26" s="163">
        <f>IFERROR(VLOOKUP($BU26,flows!$A$2:$J$4985,CB$2,FALSE),0)</f>
        <v>0</v>
      </c>
      <c r="CC26" s="163">
        <f>IFERROR(VLOOKUP($BU26,flows!$A$2:$J$4985,CC$2,FALSE),0)</f>
        <v>0</v>
      </c>
      <c r="CD26" s="163">
        <f>IFERROR(VLOOKUP($BU26,flows!$A$2:$J$4985,CD$2,FALSE),0)</f>
        <v>0</v>
      </c>
    </row>
    <row r="27" spans="2:82" ht="14.5" x14ac:dyDescent="0.35">
      <c r="N27" s="206" t="s">
        <v>4112</v>
      </c>
      <c r="O27" s="338"/>
      <c r="P27" s="163">
        <f>IFERROR(VLOOKUP($N27,flows!$A$2:$J$4985,P$2,FALSE),0)</f>
        <v>8.9569336740770653E-3</v>
      </c>
      <c r="Q27" s="163">
        <f>IFERROR(VLOOKUP($N27,flows!$A$2:$J$4985,Q$2,FALSE),0)</f>
        <v>0</v>
      </c>
      <c r="R27" s="163">
        <f>IFERROR(VLOOKUP($N27,flows!$A$2:$J$4985,R$2,FALSE),0)</f>
        <v>0.2156634304927745</v>
      </c>
      <c r="S27" s="163">
        <f>IFERROR(VLOOKUP($N27,flows!$A$2:$J$4985,S$2,FALSE),0)</f>
        <v>2.8339808421952401E-4</v>
      </c>
      <c r="T27" s="163">
        <f>IFERROR(VLOOKUP($N27,flows!$A$2:$J$4985,T$2,FALSE),0)</f>
        <v>1.4462078688295369E-4</v>
      </c>
      <c r="U27" s="163">
        <f>IFERROR(VLOOKUP($N27,flows!$A$2:$J$4985,U$2,FALSE),0)</f>
        <v>1.8649900445181099E-5</v>
      </c>
      <c r="V27" s="163">
        <f>IFERROR(VLOOKUP($N27,flows!$A$2:$J$4985,V$2,FALSE),0)</f>
        <v>2.837523995759859E-5</v>
      </c>
      <c r="W27" s="163">
        <f>IFERROR(VLOOKUP($N27,flows!$A$2:$J$4985,W$2,FALSE),0)</f>
        <v>0</v>
      </c>
      <c r="Z27" s="206" t="s">
        <v>810</v>
      </c>
      <c r="AA27" s="194"/>
      <c r="AB27" s="163">
        <f>IFERROR(VLOOKUP($Z27,flows!$A$2:$J$4985,AB$2,FALSE),0)</f>
        <v>0</v>
      </c>
      <c r="AC27" s="163">
        <f>IFERROR(VLOOKUP($Z27,flows!$A$2:$J$4985,AC$2,FALSE),0)</f>
        <v>0</v>
      </c>
      <c r="AD27" s="163">
        <f>IFERROR(VLOOKUP($Z27,flows!$A$2:$J$4985,AD$2,FALSE),0)</f>
        <v>0</v>
      </c>
      <c r="AE27" s="163">
        <f>IFERROR(VLOOKUP($Z27,flows!$A$2:$J$4985,AE$2,FALSE),0)</f>
        <v>0</v>
      </c>
      <c r="AF27" s="163">
        <f>IFERROR(VLOOKUP($Z27,flows!$A$2:$J$4985,AF$2,FALSE),0)</f>
        <v>0</v>
      </c>
      <c r="AG27" s="163">
        <f>IFERROR(VLOOKUP($Z27,flows!$A$2:$J$4985,AG$2,FALSE),0)</f>
        <v>0</v>
      </c>
      <c r="AH27" s="163">
        <f>IFERROR(VLOOKUP($Z27,flows!$A$2:$J$4985,AH$2,FALSE),0)</f>
        <v>0</v>
      </c>
      <c r="AI27" s="163">
        <f>IFERROR(VLOOKUP($Z27,flows!$A$2:$J$4985,AI$2,FALSE),0)</f>
        <v>0</v>
      </c>
      <c r="AJ27" s="204"/>
      <c r="AK27" s="204"/>
      <c r="AL27" s="204"/>
      <c r="AM27" s="204"/>
      <c r="AN27" s="204"/>
      <c r="AO27" s="204"/>
      <c r="AP27" s="204"/>
      <c r="AQ27" s="204"/>
      <c r="AR27" s="204"/>
      <c r="AS27" s="204"/>
      <c r="AT27" s="204"/>
      <c r="AU27" s="204"/>
      <c r="AV27" s="204"/>
      <c r="AW27" s="204"/>
      <c r="AX27" s="204"/>
      <c r="AY27" s="204"/>
      <c r="AZ27" s="204"/>
      <c r="BA27" s="204"/>
      <c r="BB27" s="204"/>
      <c r="BC27" s="204"/>
      <c r="BD27" s="204"/>
      <c r="BE27" s="204"/>
      <c r="BF27" s="204"/>
      <c r="BG27" s="204"/>
      <c r="BI27" s="206" t="s">
        <v>2527</v>
      </c>
      <c r="BJ27" s="337"/>
      <c r="BK27" s="163">
        <f>IFERROR(VLOOKUP($BI27,flows!$A$2:$J$4985,BK$2,FALSE),0)</f>
        <v>5796.3490475133694</v>
      </c>
      <c r="BL27" s="163">
        <f>IFERROR(VLOOKUP($BI27,flows!$A$2:$J$4985,BL$2,FALSE),0)</f>
        <v>0</v>
      </c>
      <c r="BM27" s="163">
        <f>IFERROR(VLOOKUP($BI27,flows!$A$2:$J$4985,BM$2,FALSE),0)</f>
        <v>3.2209231737105082</v>
      </c>
      <c r="BN27" s="163">
        <f>IFERROR(VLOOKUP($BI27,flows!$A$2:$J$4985,BN$2,FALSE),0)</f>
        <v>595.15036144691476</v>
      </c>
      <c r="BO27" s="163">
        <f>IFERROR(VLOOKUP($BI27,flows!$A$2:$J$4985,BO$2,FALSE),0)</f>
        <v>1815.5961537343021</v>
      </c>
      <c r="BP27" s="163">
        <f>IFERROR(VLOOKUP($BI27,flows!$A$2:$J$4985,BP$2,FALSE),0)</f>
        <v>4319.7659988160794</v>
      </c>
      <c r="BQ27" s="163">
        <f>IFERROR(VLOOKUP($BI27,flows!$A$2:$J$4985,BQ$2,FALSE),0)</f>
        <v>5796.3518297123301</v>
      </c>
      <c r="BR27" s="163">
        <f>IFERROR(VLOOKUP($BI27,flows!$A$2:$J$4985,BR$2,FALSE),0)</f>
        <v>0</v>
      </c>
      <c r="BU27" s="198" t="s">
        <v>864</v>
      </c>
      <c r="BV27" s="199"/>
      <c r="BW27" s="163">
        <f>IFERROR(VLOOKUP($BU27,flows!$A$2:$J$4985,BW$2,FALSE),0)</f>
        <v>0</v>
      </c>
      <c r="BX27" s="163">
        <f>IFERROR(VLOOKUP($BU27,flows!$A$2:$J$4985,BX$2,FALSE),0)</f>
        <v>0</v>
      </c>
      <c r="BY27" s="163">
        <f>IFERROR(VLOOKUP($BU27,flows!$A$2:$J$4985,BY$2,FALSE),0)</f>
        <v>0</v>
      </c>
      <c r="BZ27" s="163">
        <f>IFERROR(VLOOKUP($BU27,flows!$A$2:$J$4985,BZ$2,FALSE),0)</f>
        <v>0</v>
      </c>
      <c r="CA27" s="163">
        <f>IFERROR(VLOOKUP($BU27,flows!$A$2:$J$4985,CA$2,FALSE),0)</f>
        <v>0</v>
      </c>
      <c r="CB27" s="163">
        <f>IFERROR(VLOOKUP($BU27,flows!$A$2:$J$4985,CB$2,FALSE),0)</f>
        <v>0</v>
      </c>
      <c r="CC27" s="163">
        <f>IFERROR(VLOOKUP($BU27,flows!$A$2:$J$4985,CC$2,FALSE),0)</f>
        <v>0</v>
      </c>
      <c r="CD27" s="163">
        <f>IFERROR(VLOOKUP($BU27,flows!$A$2:$J$4985,CD$2,FALSE),0)</f>
        <v>0</v>
      </c>
    </row>
    <row r="28" spans="2:82" ht="14.5" x14ac:dyDescent="0.35">
      <c r="N28" s="206" t="s">
        <v>4113</v>
      </c>
      <c r="O28" s="338"/>
      <c r="P28" s="163">
        <f>IFERROR(VLOOKUP($N28,flows!$A$2:$J$4985,P$2,FALSE),0)</f>
        <v>32991.619064920516</v>
      </c>
      <c r="Q28" s="163">
        <f>IFERROR(VLOOKUP($N28,flows!$A$2:$J$4985,Q$2,FALSE),0)</f>
        <v>0</v>
      </c>
      <c r="R28" s="163">
        <f>IFERROR(VLOOKUP($N28,flows!$A$2:$J$4985,R$2,FALSE),0)</f>
        <v>0.66032323814167604</v>
      </c>
      <c r="S28" s="163">
        <f>IFERROR(VLOOKUP($N28,flows!$A$2:$J$4985,S$2,FALSE),0)</f>
        <v>3.3592999969259581E-3</v>
      </c>
      <c r="T28" s="163">
        <f>IFERROR(VLOOKUP($N28,flows!$A$2:$J$4985,T$2,FALSE),0)</f>
        <v>1.0219160627517761E-3</v>
      </c>
      <c r="U28" s="163">
        <f>IFERROR(VLOOKUP($N28,flows!$A$2:$J$4985,U$2,FALSE),0)</f>
        <v>4940.1969287430366</v>
      </c>
      <c r="V28" s="163">
        <f>IFERROR(VLOOKUP($N28,flows!$A$2:$J$4985,V$2,FALSE),0)</f>
        <v>34603.498678444201</v>
      </c>
      <c r="W28" s="163">
        <f>IFERROR(VLOOKUP($N28,flows!$A$2:$J$4985,W$2,FALSE),0)</f>
        <v>0</v>
      </c>
      <c r="Z28" s="206" t="s">
        <v>811</v>
      </c>
      <c r="AA28" s="194"/>
      <c r="AB28" s="163">
        <f>IFERROR(VLOOKUP($Z28,flows!$A$2:$J$4985,AB$2,FALSE),0)</f>
        <v>0</v>
      </c>
      <c r="AC28" s="163">
        <f>IFERROR(VLOOKUP($Z28,flows!$A$2:$J$4985,AC$2,FALSE),0)</f>
        <v>0</v>
      </c>
      <c r="AD28" s="163">
        <f>IFERROR(VLOOKUP($Z28,flows!$A$2:$J$4985,AD$2,FALSE),0)</f>
        <v>0</v>
      </c>
      <c r="AE28" s="163">
        <f>IFERROR(VLOOKUP($Z28,flows!$A$2:$J$4985,AE$2,FALSE),0)</f>
        <v>0</v>
      </c>
      <c r="AF28" s="163">
        <f>IFERROR(VLOOKUP($Z28,flows!$A$2:$J$4985,AF$2,FALSE),0)</f>
        <v>0</v>
      </c>
      <c r="AG28" s="163">
        <f>IFERROR(VLOOKUP($Z28,flows!$A$2:$J$4985,AG$2,FALSE),0)</f>
        <v>0</v>
      </c>
      <c r="AH28" s="163">
        <f>IFERROR(VLOOKUP($Z28,flows!$A$2:$J$4985,AH$2,FALSE),0)</f>
        <v>0</v>
      </c>
      <c r="AI28" s="163">
        <f>IFERROR(VLOOKUP($Z28,flows!$A$2:$J$4985,AI$2,FALSE),0)</f>
        <v>0</v>
      </c>
      <c r="AJ28" s="204"/>
      <c r="AK28" s="204"/>
      <c r="AL28" s="204"/>
      <c r="AM28" s="204"/>
      <c r="AN28" s="204"/>
      <c r="AO28" s="204"/>
      <c r="AP28" s="204"/>
      <c r="AQ28" s="204"/>
      <c r="AR28" s="204"/>
      <c r="AS28" s="204"/>
      <c r="AT28" s="204"/>
      <c r="AU28" s="204"/>
      <c r="AV28" s="204"/>
      <c r="AW28" s="204"/>
      <c r="AX28" s="204"/>
      <c r="AY28" s="204"/>
      <c r="AZ28" s="204"/>
      <c r="BA28" s="204"/>
      <c r="BB28" s="204"/>
      <c r="BC28" s="204"/>
      <c r="BD28" s="204"/>
      <c r="BE28" s="204"/>
      <c r="BF28" s="204"/>
      <c r="BG28" s="204"/>
      <c r="BI28" s="206" t="s">
        <v>2528</v>
      </c>
      <c r="BJ28" s="337"/>
      <c r="BK28" s="163">
        <f>IFERROR(VLOOKUP($BI28,flows!$A$2:$J$4985,BK$2,FALSE),0)</f>
        <v>22.476112590323002</v>
      </c>
      <c r="BL28" s="163">
        <f>IFERROR(VLOOKUP($BI28,flows!$A$2:$J$4985,BL$2,FALSE),0)</f>
        <v>29.11999995587983</v>
      </c>
      <c r="BM28" s="163">
        <f>IFERROR(VLOOKUP($BI28,flows!$A$2:$J$4985,BM$2,FALSE),0)</f>
        <v>31.348388390187608</v>
      </c>
      <c r="BN28" s="163">
        <f>IFERROR(VLOOKUP($BI28,flows!$A$2:$J$4985,BN$2,FALSE),0)</f>
        <v>33.711840071601557</v>
      </c>
      <c r="BO28" s="163">
        <f>IFERROR(VLOOKUP($BI28,flows!$A$2:$J$4985,BO$2,FALSE),0)</f>
        <v>36.007937200895249</v>
      </c>
      <c r="BP28" s="163">
        <f>IFERROR(VLOOKUP($BI28,flows!$A$2:$J$4985,BP$2,FALSE),0)</f>
        <v>38.303992975168953</v>
      </c>
      <c r="BQ28" s="163">
        <f>IFERROR(VLOOKUP($BI28,flows!$A$2:$J$4985,BQ$2,FALSE),0)</f>
        <v>22.477222212753251</v>
      </c>
      <c r="BR28" s="163">
        <f>IFERROR(VLOOKUP($BI28,flows!$A$2:$J$4985,BR$2,FALSE),0)</f>
        <v>0</v>
      </c>
      <c r="BU28" s="198" t="s">
        <v>865</v>
      </c>
      <c r="BV28" s="199"/>
      <c r="BW28" s="163">
        <f>IFERROR(VLOOKUP($BU28,flows!$A$2:$J$4985,BW$2,FALSE),0)</f>
        <v>0</v>
      </c>
      <c r="BX28" s="163">
        <f>IFERROR(VLOOKUP($BU28,flows!$A$2:$J$4985,BX$2,FALSE),0)</f>
        <v>0</v>
      </c>
      <c r="BY28" s="163">
        <f>IFERROR(VLOOKUP($BU28,flows!$A$2:$J$4985,BY$2,FALSE),0)</f>
        <v>0</v>
      </c>
      <c r="BZ28" s="163">
        <f>IFERROR(VLOOKUP($BU28,flows!$A$2:$J$4985,BZ$2,FALSE),0)</f>
        <v>0</v>
      </c>
      <c r="CA28" s="163">
        <f>IFERROR(VLOOKUP($BU28,flows!$A$2:$J$4985,CA$2,FALSE),0)</f>
        <v>0</v>
      </c>
      <c r="CB28" s="163">
        <f>IFERROR(VLOOKUP($BU28,flows!$A$2:$J$4985,CB$2,FALSE),0)</f>
        <v>0</v>
      </c>
      <c r="CC28" s="163">
        <f>IFERROR(VLOOKUP($BU28,flows!$A$2:$J$4985,CC$2,FALSE),0)</f>
        <v>0</v>
      </c>
      <c r="CD28" s="163">
        <f>IFERROR(VLOOKUP($BU28,flows!$A$2:$J$4985,CD$2,FALSE),0)</f>
        <v>0</v>
      </c>
    </row>
    <row r="29" spans="2:82" ht="15" thickBot="1" x14ac:dyDescent="0.4">
      <c r="N29" s="206"/>
      <c r="O29" s="338"/>
      <c r="P29" s="163"/>
      <c r="Q29" s="163"/>
      <c r="R29" s="163"/>
      <c r="S29" s="163"/>
      <c r="T29" s="163"/>
      <c r="U29" s="163"/>
      <c r="V29" s="163"/>
      <c r="W29" s="163"/>
      <c r="Z29" s="206" t="s">
        <v>812</v>
      </c>
      <c r="AA29" s="194"/>
      <c r="AB29" s="163">
        <f>IFERROR(VLOOKUP($Z29,flows!$A$2:$J$4985,AB$2,FALSE),0)</f>
        <v>0</v>
      </c>
      <c r="AC29" s="163">
        <f>IFERROR(VLOOKUP($Z29,flows!$A$2:$J$4985,AC$2,FALSE),0)</f>
        <v>0</v>
      </c>
      <c r="AD29" s="163">
        <f>IFERROR(VLOOKUP($Z29,flows!$A$2:$J$4985,AD$2,FALSE),0)</f>
        <v>0</v>
      </c>
      <c r="AE29" s="163">
        <f>IFERROR(VLOOKUP($Z29,flows!$A$2:$J$4985,AE$2,FALSE),0)</f>
        <v>0</v>
      </c>
      <c r="AF29" s="163">
        <f>IFERROR(VLOOKUP($Z29,flows!$A$2:$J$4985,AF$2,FALSE),0)</f>
        <v>0</v>
      </c>
      <c r="AG29" s="163">
        <f>IFERROR(VLOOKUP($Z29,flows!$A$2:$J$4985,AG$2,FALSE),0)</f>
        <v>0</v>
      </c>
      <c r="AH29" s="163">
        <f>IFERROR(VLOOKUP($Z29,flows!$A$2:$J$4985,AH$2,FALSE),0)</f>
        <v>0</v>
      </c>
      <c r="AI29" s="163">
        <f>IFERROR(VLOOKUP($Z29,flows!$A$2:$J$4985,AI$2,FALSE),0)</f>
        <v>0</v>
      </c>
      <c r="AJ29" s="204"/>
      <c r="AK29" s="204"/>
      <c r="AL29" s="204"/>
      <c r="AM29" s="204"/>
      <c r="AN29" s="204"/>
      <c r="AO29" s="204"/>
      <c r="AP29" s="204"/>
      <c r="AQ29" s="204"/>
      <c r="AR29" s="204"/>
      <c r="AS29" s="204"/>
      <c r="AT29" s="204"/>
      <c r="AU29" s="204"/>
      <c r="AV29" s="204"/>
      <c r="AW29" s="204"/>
      <c r="AX29" s="204"/>
      <c r="AY29" s="204"/>
      <c r="AZ29" s="204"/>
      <c r="BA29" s="204"/>
      <c r="BB29" s="204"/>
      <c r="BC29" s="204"/>
      <c r="BD29" s="204"/>
      <c r="BE29" s="204"/>
      <c r="BF29" s="204"/>
      <c r="BG29" s="204"/>
      <c r="BI29" s="206" t="s">
        <v>2529</v>
      </c>
      <c r="BJ29" s="337"/>
      <c r="BK29" s="163">
        <f>IFERROR(VLOOKUP($BI29,flows!$A$2:$J$4985,BK$2,FALSE),0)</f>
        <v>18.126751549723121</v>
      </c>
      <c r="BL29" s="163">
        <f>IFERROR(VLOOKUP($BI29,flows!$A$2:$J$4985,BL$2,FALSE),0)</f>
        <v>0</v>
      </c>
      <c r="BM29" s="163">
        <f>IFERROR(VLOOKUP($BI29,flows!$A$2:$J$4985,BM$2,FALSE),0)</f>
        <v>6.7793703718837472E-2</v>
      </c>
      <c r="BN29" s="163">
        <f>IFERROR(VLOOKUP($BI29,flows!$A$2:$J$4985,BN$2,FALSE),0)</f>
        <v>1.6022977992310501E-4</v>
      </c>
      <c r="BO29" s="163">
        <f>IFERROR(VLOOKUP($BI29,flows!$A$2:$J$4985,BO$2,FALSE),0)</f>
        <v>6.2972791540316439E-5</v>
      </c>
      <c r="BP29" s="163">
        <f>IFERROR(VLOOKUP($BI29,flows!$A$2:$J$4985,BP$2,FALSE),0)</f>
        <v>7.0336580276762563E-6</v>
      </c>
      <c r="BQ29" s="163">
        <f>IFERROR(VLOOKUP($BI29,flows!$A$2:$J$4985,BQ$2,FALSE),0)</f>
        <v>18.125639146643518</v>
      </c>
      <c r="BR29" s="163">
        <f>IFERROR(VLOOKUP($BI29,flows!$A$2:$J$4985,BR$2,FALSE),0)</f>
        <v>0</v>
      </c>
      <c r="BU29" s="198"/>
      <c r="BV29" s="199"/>
      <c r="BW29" s="199"/>
      <c r="BX29" s="199"/>
      <c r="BY29" s="199"/>
      <c r="BZ29" s="199"/>
      <c r="CA29" s="199"/>
      <c r="CB29" s="199"/>
      <c r="CC29" s="199"/>
      <c r="CD29" s="199"/>
    </row>
    <row r="30" spans="2:82" ht="14.5" x14ac:dyDescent="0.35">
      <c r="B30" s="196" t="s">
        <v>1173</v>
      </c>
      <c r="C30" s="209"/>
      <c r="D30" s="89">
        <v>2</v>
      </c>
      <c r="E30" s="89">
        <v>3</v>
      </c>
      <c r="F30" s="89">
        <v>4</v>
      </c>
      <c r="G30" s="89">
        <v>5</v>
      </c>
      <c r="H30" s="89">
        <v>6</v>
      </c>
      <c r="I30" s="89">
        <v>7</v>
      </c>
      <c r="J30" s="89">
        <v>8</v>
      </c>
      <c r="K30" s="89">
        <v>9</v>
      </c>
      <c r="N30" s="207" t="s">
        <v>145</v>
      </c>
      <c r="O30" s="195"/>
      <c r="P30" s="163">
        <f>IFERROR(VLOOKUP($N30,flows!$A$2:$J$4985,P$2,FALSE),0)</f>
        <v>0</v>
      </c>
      <c r="Q30" s="163">
        <f>IFERROR(VLOOKUP($N30,flows!$A$2:$J$4985,Q$2,FALSE),0)</f>
        <v>0</v>
      </c>
      <c r="R30" s="163">
        <f>IFERROR(VLOOKUP($N30,flows!$A$2:$J$4985,R$2,FALSE),0)</f>
        <v>0</v>
      </c>
      <c r="S30" s="163">
        <f>IFERROR(VLOOKUP($N30,flows!$A$2:$J$4985,S$2,FALSE),0)</f>
        <v>0</v>
      </c>
      <c r="T30" s="163">
        <f>IFERROR(VLOOKUP($N30,flows!$A$2:$J$4985,T$2,FALSE),0)</f>
        <v>0</v>
      </c>
      <c r="U30" s="163">
        <f>IFERROR(VLOOKUP($N30,flows!$A$2:$J$4985,U$2,FALSE),0)</f>
        <v>0</v>
      </c>
      <c r="V30" s="163">
        <f>IFERROR(VLOOKUP($N30,flows!$A$2:$J$4985,V$2,FALSE),0)</f>
        <v>0</v>
      </c>
      <c r="W30" s="163">
        <f>IFERROR(VLOOKUP($N30,flows!$A$2:$J$4985,W$2,FALSE),0)</f>
        <v>0</v>
      </c>
      <c r="Z30" s="206" t="s">
        <v>813</v>
      </c>
      <c r="AA30" s="194"/>
      <c r="AB30" s="163">
        <f>IFERROR(VLOOKUP($Z30,flows!$A$2:$J$4985,AB$2,FALSE),0)</f>
        <v>0</v>
      </c>
      <c r="AC30" s="163">
        <f>IFERROR(VLOOKUP($Z30,flows!$A$2:$J$4985,AC$2,FALSE),0)</f>
        <v>0</v>
      </c>
      <c r="AD30" s="163">
        <f>IFERROR(VLOOKUP($Z30,flows!$A$2:$J$4985,AD$2,FALSE),0)</f>
        <v>0</v>
      </c>
      <c r="AE30" s="163">
        <f>IFERROR(VLOOKUP($Z30,flows!$A$2:$J$4985,AE$2,FALSE),0)</f>
        <v>0</v>
      </c>
      <c r="AF30" s="163">
        <f>IFERROR(VLOOKUP($Z30,flows!$A$2:$J$4985,AF$2,FALSE),0)</f>
        <v>0</v>
      </c>
      <c r="AG30" s="163">
        <f>IFERROR(VLOOKUP($Z30,flows!$A$2:$J$4985,AG$2,FALSE),0)</f>
        <v>0</v>
      </c>
      <c r="AH30" s="163">
        <f>IFERROR(VLOOKUP($Z30,flows!$A$2:$J$4985,AH$2,FALSE),0)</f>
        <v>0</v>
      </c>
      <c r="AI30" s="163">
        <f>IFERROR(VLOOKUP($Z30,flows!$A$2:$J$4985,AI$2,FALSE),0)</f>
        <v>0</v>
      </c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04"/>
      <c r="AW30" s="204"/>
      <c r="AX30" s="204"/>
      <c r="AY30" s="204"/>
      <c r="AZ30" s="204"/>
      <c r="BA30" s="204"/>
      <c r="BB30" s="204"/>
      <c r="BC30" s="204"/>
      <c r="BD30" s="204"/>
      <c r="BE30" s="204"/>
      <c r="BF30" s="204"/>
      <c r="BG30" s="204"/>
      <c r="BI30" s="206" t="s">
        <v>2530</v>
      </c>
      <c r="BJ30" s="337"/>
      <c r="BK30" s="163">
        <f>IFERROR(VLOOKUP($BI30,flows!$A$2:$J$4985,BK$2,FALSE),0)</f>
        <v>267.85072131844612</v>
      </c>
      <c r="BL30" s="163">
        <f>IFERROR(VLOOKUP($BI30,flows!$A$2:$J$4985,BL$2,FALSE),0)</f>
        <v>76.840428797585943</v>
      </c>
      <c r="BM30" s="163">
        <f>IFERROR(VLOOKUP($BI30,flows!$A$2:$J$4985,BM$2,FALSE),0)</f>
        <v>86.441620397202414</v>
      </c>
      <c r="BN30" s="163">
        <f>IFERROR(VLOOKUP($BI30,flows!$A$2:$J$4985,BN$2,FALSE),0)</f>
        <v>438.56806732190648</v>
      </c>
      <c r="BO30" s="163">
        <f>IFERROR(VLOOKUP($BI30,flows!$A$2:$J$4985,BO$2,FALSE),0)</f>
        <v>1047.3060296371279</v>
      </c>
      <c r="BP30" s="163">
        <f>IFERROR(VLOOKUP($BI30,flows!$A$2:$J$4985,BP$2,FALSE),0)</f>
        <v>2058.915949536216</v>
      </c>
      <c r="BQ30" s="163">
        <f>IFERROR(VLOOKUP($BI30,flows!$A$2:$J$4985,BQ$2,FALSE),0)</f>
        <v>264.04845608780198</v>
      </c>
      <c r="BR30" s="163">
        <f>IFERROR(VLOOKUP($BI30,flows!$A$2:$J$4985,BR$2,FALSE),0)</f>
        <v>0</v>
      </c>
      <c r="BU30" s="198"/>
      <c r="BV30" s="199"/>
      <c r="BW30" s="199"/>
      <c r="BX30" s="199"/>
      <c r="BY30" s="199"/>
      <c r="BZ30" s="199"/>
      <c r="CA30" s="199"/>
      <c r="CB30" s="199"/>
      <c r="CC30" s="199"/>
      <c r="CD30" s="199"/>
    </row>
    <row r="31" spans="2:82" ht="14.5" x14ac:dyDescent="0.35">
      <c r="B31" s="205" t="s">
        <v>1330</v>
      </c>
      <c r="C31" s="210"/>
      <c r="D31" s="133" t="s">
        <v>1417</v>
      </c>
      <c r="E31" s="133">
        <v>2020</v>
      </c>
      <c r="F31" s="133">
        <v>2025</v>
      </c>
      <c r="G31" s="133">
        <v>2030</v>
      </c>
      <c r="H31" s="133">
        <v>2035</v>
      </c>
      <c r="I31" s="133">
        <v>2040</v>
      </c>
      <c r="J31" s="133">
        <v>2045</v>
      </c>
      <c r="K31" s="133">
        <v>2050</v>
      </c>
      <c r="N31" s="207" t="s">
        <v>4297</v>
      </c>
      <c r="O31" s="195"/>
      <c r="P31" s="163">
        <f>IFERROR(VLOOKUP($N31,flows!$A$2:$J$4985,P$2,FALSE),0)</f>
        <v>0</v>
      </c>
      <c r="Q31" s="163">
        <f>IFERROR(VLOOKUP($N31,flows!$A$2:$J$4985,Q$2,FALSE),0)</f>
        <v>0</v>
      </c>
      <c r="R31" s="163">
        <f>IFERROR(VLOOKUP($N31,flows!$A$2:$J$4985,R$2,FALSE),0)</f>
        <v>0</v>
      </c>
      <c r="S31" s="163">
        <f>IFERROR(VLOOKUP($N31,flows!$A$2:$J$4985,S$2,FALSE),0)</f>
        <v>0</v>
      </c>
      <c r="T31" s="163">
        <f>IFERROR(VLOOKUP($N31,flows!$A$2:$J$4985,T$2,FALSE),0)</f>
        <v>0</v>
      </c>
      <c r="U31" s="163">
        <f>IFERROR(VLOOKUP($N31,flows!$A$2:$J$4985,U$2,FALSE),0)</f>
        <v>0</v>
      </c>
      <c r="V31" s="163">
        <f>IFERROR(VLOOKUP($N31,flows!$A$2:$J$4985,V$2,FALSE),0)</f>
        <v>0</v>
      </c>
      <c r="W31" s="163">
        <f>IFERROR(VLOOKUP($N31,flows!$A$2:$J$4985,W$2,FALSE),0)</f>
        <v>0</v>
      </c>
      <c r="Z31" s="206" t="s">
        <v>814</v>
      </c>
      <c r="AA31" s="194"/>
      <c r="AB31" s="163">
        <f>IFERROR(VLOOKUP($Z31,flows!$A$2:$J$4985,AB$2,FALSE),0)</f>
        <v>0</v>
      </c>
      <c r="AC31" s="163">
        <f>IFERROR(VLOOKUP($Z31,flows!$A$2:$J$4985,AC$2,FALSE),0)</f>
        <v>0</v>
      </c>
      <c r="AD31" s="163">
        <f>IFERROR(VLOOKUP($Z31,flows!$A$2:$J$4985,AD$2,FALSE),0)</f>
        <v>0</v>
      </c>
      <c r="AE31" s="163">
        <f>IFERROR(VLOOKUP($Z31,flows!$A$2:$J$4985,AE$2,FALSE),0)</f>
        <v>0</v>
      </c>
      <c r="AF31" s="163">
        <f>IFERROR(VLOOKUP($Z31,flows!$A$2:$J$4985,AF$2,FALSE),0)</f>
        <v>0</v>
      </c>
      <c r="AG31" s="163">
        <f>IFERROR(VLOOKUP($Z31,flows!$A$2:$J$4985,AG$2,FALSE),0)</f>
        <v>0</v>
      </c>
      <c r="AH31" s="163">
        <f>IFERROR(VLOOKUP($Z31,flows!$A$2:$J$4985,AH$2,FALSE),0)</f>
        <v>0</v>
      </c>
      <c r="AI31" s="163">
        <f>IFERROR(VLOOKUP($Z31,flows!$A$2:$J$4985,AI$2,FALSE),0)</f>
        <v>0</v>
      </c>
      <c r="AJ31" s="204"/>
      <c r="AK31" s="204"/>
      <c r="AL31" s="204"/>
      <c r="AM31" s="204"/>
      <c r="AN31" s="204"/>
      <c r="AO31" s="204"/>
      <c r="AP31" s="204"/>
      <c r="AQ31" s="204"/>
      <c r="AR31" s="204"/>
      <c r="AS31" s="204"/>
      <c r="AT31" s="204"/>
      <c r="AU31" s="204"/>
      <c r="AV31" s="204"/>
      <c r="AW31" s="204"/>
      <c r="AX31" s="204"/>
      <c r="AY31" s="204"/>
      <c r="AZ31" s="204"/>
      <c r="BA31" s="204"/>
      <c r="BB31" s="204"/>
      <c r="BC31" s="204"/>
      <c r="BD31" s="204"/>
      <c r="BE31" s="204"/>
      <c r="BF31" s="204"/>
      <c r="BG31" s="204"/>
      <c r="BI31" s="206" t="s">
        <v>4144</v>
      </c>
      <c r="BJ31" s="337"/>
      <c r="BK31" s="163">
        <f>IFERROR(VLOOKUP($BI31,flows!$A$2:$J$4985,BK$2,FALSE),0)</f>
        <v>68.536449789311447</v>
      </c>
      <c r="BL31" s="163">
        <f>IFERROR(VLOOKUP($BI31,flows!$A$2:$J$4985,BL$2,FALSE),0)</f>
        <v>0</v>
      </c>
      <c r="BM31" s="163">
        <f>IFERROR(VLOOKUP($BI31,flows!$A$2:$J$4985,BM$2,FALSE),0)</f>
        <v>0.53984480303872406</v>
      </c>
      <c r="BN31" s="163">
        <f>IFERROR(VLOOKUP($BI31,flows!$A$2:$J$4985,BN$2,FALSE),0)</f>
        <v>6.8766110867916307E-3</v>
      </c>
      <c r="BO31" s="163">
        <f>IFERROR(VLOOKUP($BI31,flows!$A$2:$J$4985,BO$2,FALSE),0)</f>
        <v>5.7155701306533331</v>
      </c>
      <c r="BP31" s="163">
        <f>IFERROR(VLOOKUP($BI31,flows!$A$2:$J$4985,BP$2,FALSE),0)</f>
        <v>526.84024074703586</v>
      </c>
      <c r="BQ31" s="163">
        <f>IFERROR(VLOOKUP($BI31,flows!$A$2:$J$4985,BQ$2,FALSE),0)</f>
        <v>67.565333373980181</v>
      </c>
      <c r="BR31" s="163">
        <f>IFERROR(VLOOKUP($BI31,flows!$A$2:$J$4985,BR$2,FALSE),0)</f>
        <v>0</v>
      </c>
      <c r="BU31" s="198" t="s">
        <v>1815</v>
      </c>
      <c r="BV31" s="199" t="s">
        <v>1160</v>
      </c>
      <c r="BW31" s="199">
        <f>SUM(BW4:BW9)</f>
        <v>0</v>
      </c>
      <c r="BX31" s="199">
        <f>SUM(BX4:BX9)</f>
        <v>0</v>
      </c>
      <c r="BY31" s="199">
        <f t="shared" ref="BY31:CD31" si="14">SUM(BY4:BY9)</f>
        <v>0</v>
      </c>
      <c r="BZ31" s="199">
        <f t="shared" si="14"/>
        <v>0</v>
      </c>
      <c r="CA31" s="199">
        <f t="shared" si="14"/>
        <v>0</v>
      </c>
      <c r="CB31" s="199">
        <f t="shared" si="14"/>
        <v>0</v>
      </c>
      <c r="CC31" s="199">
        <f t="shared" si="14"/>
        <v>0</v>
      </c>
      <c r="CD31" s="199">
        <f t="shared" si="14"/>
        <v>0</v>
      </c>
    </row>
    <row r="32" spans="2:82" ht="14.5" x14ac:dyDescent="0.35">
      <c r="B32" s="198" t="s">
        <v>1164</v>
      </c>
      <c r="C32" s="199"/>
      <c r="D32" s="9" t="e">
        <f t="shared" ref="D32:K33" si="15">D4/278</f>
        <v>#DIV/0!</v>
      </c>
      <c r="E32" s="9" t="e">
        <f t="shared" si="15"/>
        <v>#DIV/0!</v>
      </c>
      <c r="F32" s="9" t="e">
        <f t="shared" si="15"/>
        <v>#DIV/0!</v>
      </c>
      <c r="G32" s="9" t="e">
        <f t="shared" si="15"/>
        <v>#DIV/0!</v>
      </c>
      <c r="H32" s="9" t="e">
        <f t="shared" si="15"/>
        <v>#DIV/0!</v>
      </c>
      <c r="I32" s="9" t="e">
        <f t="shared" si="15"/>
        <v>#DIV/0!</v>
      </c>
      <c r="J32" s="9" t="e">
        <f t="shared" si="15"/>
        <v>#DIV/0!</v>
      </c>
      <c r="K32" s="9" t="e">
        <f t="shared" si="15"/>
        <v>#DIV/0!</v>
      </c>
      <c r="N32" s="206"/>
      <c r="Z32" s="206" t="s">
        <v>815</v>
      </c>
      <c r="AA32" s="194"/>
      <c r="AB32" s="163">
        <f>IFERROR(VLOOKUP($Z32,flows!$A$2:$J$4985,AB$2,FALSE),0)</f>
        <v>0</v>
      </c>
      <c r="AC32" s="163">
        <f>IFERROR(VLOOKUP($Z32,flows!$A$2:$J$4985,AC$2,FALSE),0)</f>
        <v>0</v>
      </c>
      <c r="AD32" s="163">
        <f>IFERROR(VLOOKUP($Z32,flows!$A$2:$J$4985,AD$2,FALSE),0)</f>
        <v>0</v>
      </c>
      <c r="AE32" s="163">
        <f>IFERROR(VLOOKUP($Z32,flows!$A$2:$J$4985,AE$2,FALSE),0)</f>
        <v>0</v>
      </c>
      <c r="AF32" s="163">
        <f>IFERROR(VLOOKUP($Z32,flows!$A$2:$J$4985,AF$2,FALSE),0)</f>
        <v>0</v>
      </c>
      <c r="AG32" s="163">
        <f>IFERROR(VLOOKUP($Z32,flows!$A$2:$J$4985,AG$2,FALSE),0)</f>
        <v>0</v>
      </c>
      <c r="AH32" s="163">
        <f>IFERROR(VLOOKUP($Z32,flows!$A$2:$J$4985,AH$2,FALSE),0)</f>
        <v>0</v>
      </c>
      <c r="AI32" s="163">
        <f>IFERROR(VLOOKUP($Z32,flows!$A$2:$J$4985,AI$2,FALSE),0)</f>
        <v>0</v>
      </c>
      <c r="AJ32" s="204"/>
      <c r="AK32" s="204"/>
      <c r="AL32" s="204"/>
      <c r="AM32" s="204"/>
      <c r="AN32" s="204"/>
      <c r="AO32" s="204"/>
      <c r="AP32" s="204"/>
      <c r="AQ32" s="204"/>
      <c r="AR32" s="204"/>
      <c r="AS32" s="204"/>
      <c r="AT32" s="204"/>
      <c r="AU32" s="204"/>
      <c r="AV32" s="204"/>
      <c r="AW32" s="204"/>
      <c r="AX32" s="204"/>
      <c r="AY32" s="204"/>
      <c r="AZ32" s="204"/>
      <c r="BA32" s="204"/>
      <c r="BB32" s="204"/>
      <c r="BC32" s="204"/>
      <c r="BD32" s="204"/>
      <c r="BE32" s="204"/>
      <c r="BF32" s="204"/>
      <c r="BG32" s="204"/>
      <c r="BI32" s="206" t="s">
        <v>2531</v>
      </c>
      <c r="BJ32" s="337"/>
      <c r="BK32" s="163">
        <f>IFERROR(VLOOKUP($BI32,flows!$A$2:$J$4985,BK$2,FALSE),0)</f>
        <v>2.5681816478003452E-3</v>
      </c>
      <c r="BL32" s="163">
        <f>IFERROR(VLOOKUP($BI32,flows!$A$2:$J$4985,BL$2,FALSE),0)</f>
        <v>0</v>
      </c>
      <c r="BM32" s="163">
        <f>IFERROR(VLOOKUP($BI32,flows!$A$2:$J$4985,BM$2,FALSE),0)</f>
        <v>0.28801157532834187</v>
      </c>
      <c r="BN32" s="163">
        <f>IFERROR(VLOOKUP($BI32,flows!$A$2:$J$4985,BN$2,FALSE),0)</f>
        <v>1.031309964235345E-4</v>
      </c>
      <c r="BO32" s="163">
        <f>IFERROR(VLOOKUP($BI32,flows!$A$2:$J$4985,BO$2,FALSE),0)</f>
        <v>2.8806912517132649E-5</v>
      </c>
      <c r="BP32" s="163">
        <f>IFERROR(VLOOKUP($BI32,flows!$A$2:$J$4985,BP$2,FALSE),0)</f>
        <v>4.0694767006365541E-6</v>
      </c>
      <c r="BQ32" s="163">
        <f>IFERROR(VLOOKUP($BI32,flows!$A$2:$J$4985,BQ$2,FALSE),0)</f>
        <v>4.7567494308064657E-6</v>
      </c>
      <c r="BR32" s="163">
        <f>IFERROR(VLOOKUP($BI32,flows!$A$2:$J$4985,BR$2,FALSE),0)</f>
        <v>0</v>
      </c>
      <c r="BU32" s="198" t="s">
        <v>1816</v>
      </c>
      <c r="BV32" s="199" t="s">
        <v>1162</v>
      </c>
      <c r="BW32" s="199">
        <f>SUM(BW10:BW13)</f>
        <v>0</v>
      </c>
      <c r="BX32" s="199">
        <f t="shared" ref="BX32:CD32" si="16">SUM(BX10:BX13)</f>
        <v>0</v>
      </c>
      <c r="BY32" s="199">
        <f t="shared" si="16"/>
        <v>0</v>
      </c>
      <c r="BZ32" s="199">
        <f t="shared" si="16"/>
        <v>0</v>
      </c>
      <c r="CA32" s="199">
        <f t="shared" si="16"/>
        <v>0</v>
      </c>
      <c r="CB32" s="199">
        <f t="shared" si="16"/>
        <v>0</v>
      </c>
      <c r="CC32" s="199">
        <f t="shared" si="16"/>
        <v>0</v>
      </c>
      <c r="CD32" s="199">
        <f t="shared" si="16"/>
        <v>0</v>
      </c>
    </row>
    <row r="33" spans="2:82" ht="14.5" x14ac:dyDescent="0.35">
      <c r="B33" s="198" t="s">
        <v>1331</v>
      </c>
      <c r="C33" s="199"/>
      <c r="D33" s="9" t="e">
        <f t="shared" si="15"/>
        <v>#DIV/0!</v>
      </c>
      <c r="E33" s="9" t="e">
        <f t="shared" si="15"/>
        <v>#DIV/0!</v>
      </c>
      <c r="F33" s="9" t="e">
        <f t="shared" si="15"/>
        <v>#DIV/0!</v>
      </c>
      <c r="G33" s="9" t="e">
        <f t="shared" si="15"/>
        <v>#DIV/0!</v>
      </c>
      <c r="H33" s="9" t="e">
        <f t="shared" si="15"/>
        <v>#DIV/0!</v>
      </c>
      <c r="I33" s="9" t="e">
        <f t="shared" si="15"/>
        <v>#DIV/0!</v>
      </c>
      <c r="J33" s="9" t="e">
        <f t="shared" si="15"/>
        <v>#DIV/0!</v>
      </c>
      <c r="K33" s="9" t="e">
        <f t="shared" si="15"/>
        <v>#DIV/0!</v>
      </c>
      <c r="N33" s="206"/>
      <c r="O33" s="194" t="s">
        <v>1161</v>
      </c>
      <c r="P33" s="204" t="e">
        <f>SUM(P4:P7)*(1-Erdgas!F16)</f>
        <v>#N/A</v>
      </c>
      <c r="Q33" s="204" t="e">
        <f>SUM(Q4:Q7)*(1-Erdgas!G16)</f>
        <v>#N/A</v>
      </c>
      <c r="R33" s="204" t="e">
        <f>SUM(R4:R7)*(1-Erdgas!H16)</f>
        <v>#N/A</v>
      </c>
      <c r="S33" s="204" t="e">
        <f>SUM(S4:S7)*(1-Erdgas!I16)</f>
        <v>#N/A</v>
      </c>
      <c r="T33" s="204" t="e">
        <f>SUM(T4:T7)*(1-Erdgas!J16)</f>
        <v>#N/A</v>
      </c>
      <c r="U33" s="204" t="e">
        <f>SUM(U4:U7)*(1-Erdgas!K16)</f>
        <v>#N/A</v>
      </c>
      <c r="V33" s="204" t="e">
        <f>SUM(V4:V7)*(1-Erdgas!L16)</f>
        <v>#N/A</v>
      </c>
      <c r="W33" s="204" t="e">
        <f>SUM(W4:W7)*(1-Erdgas!M16)</f>
        <v>#N/A</v>
      </c>
      <c r="Z33" s="206" t="s">
        <v>819</v>
      </c>
      <c r="AA33" s="194"/>
      <c r="AB33" s="163">
        <f>IFERROR(VLOOKUP($Z33,flows!$A$2:$J$4985,AB$2,FALSE),0)</f>
        <v>0</v>
      </c>
      <c r="AC33" s="163">
        <f>IFERROR(VLOOKUP($Z33,flows!$A$2:$J$4985,AC$2,FALSE),0)</f>
        <v>0</v>
      </c>
      <c r="AD33" s="163">
        <f>IFERROR(VLOOKUP($Z33,flows!$A$2:$J$4985,AD$2,FALSE),0)</f>
        <v>0</v>
      </c>
      <c r="AE33" s="163">
        <f>IFERROR(VLOOKUP($Z33,flows!$A$2:$J$4985,AE$2,FALSE),0)</f>
        <v>0</v>
      </c>
      <c r="AF33" s="163">
        <f>IFERROR(VLOOKUP($Z33,flows!$A$2:$J$4985,AF$2,FALSE),0)</f>
        <v>0</v>
      </c>
      <c r="AG33" s="163">
        <f>IFERROR(VLOOKUP($Z33,flows!$A$2:$J$4985,AG$2,FALSE),0)</f>
        <v>0</v>
      </c>
      <c r="AH33" s="163">
        <f>IFERROR(VLOOKUP($Z33,flows!$A$2:$J$4985,AH$2,FALSE),0)</f>
        <v>0</v>
      </c>
      <c r="AI33" s="163">
        <f>IFERROR(VLOOKUP($Z33,flows!$A$2:$J$4985,AI$2,FALSE),0)</f>
        <v>0</v>
      </c>
      <c r="AJ33" s="204"/>
      <c r="AK33" s="204"/>
      <c r="AL33" s="204"/>
      <c r="AM33" s="204"/>
      <c r="AN33" s="204"/>
      <c r="AO33" s="204"/>
      <c r="AP33" s="204"/>
      <c r="AQ33" s="204"/>
      <c r="AR33" s="204"/>
      <c r="AS33" s="204"/>
      <c r="AT33" s="204"/>
      <c r="AU33" s="204"/>
      <c r="AV33" s="204"/>
      <c r="AW33" s="204"/>
      <c r="AX33" s="204"/>
      <c r="AY33" s="204"/>
      <c r="AZ33" s="204"/>
      <c r="BA33" s="204"/>
      <c r="BB33" s="204"/>
      <c r="BC33" s="204"/>
      <c r="BD33" s="204"/>
      <c r="BE33" s="204"/>
      <c r="BF33" s="204"/>
      <c r="BG33" s="204"/>
      <c r="BI33" s="206" t="s">
        <v>2532</v>
      </c>
      <c r="BJ33" s="337"/>
      <c r="BK33" s="163">
        <f>IFERROR(VLOOKUP($BI33,flows!$A$2:$J$4985,BK$2,FALSE),0)</f>
        <v>24754.00606815498</v>
      </c>
      <c r="BL33" s="163">
        <f>IFERROR(VLOOKUP($BI33,flows!$A$2:$J$4985,BL$2,FALSE),0)</f>
        <v>0</v>
      </c>
      <c r="BM33" s="163">
        <f>IFERROR(VLOOKUP($BI33,flows!$A$2:$J$4985,BM$2,FALSE),0)</f>
        <v>0.73661520885552578</v>
      </c>
      <c r="BN33" s="163">
        <f>IFERROR(VLOOKUP($BI33,flows!$A$2:$J$4985,BN$2,FALSE),0)</f>
        <v>4.0683627670837098E-3</v>
      </c>
      <c r="BO33" s="163">
        <f>IFERROR(VLOOKUP($BI33,flows!$A$2:$J$4985,BO$2,FALSE),0)</f>
        <v>4.4602589311861507E-3</v>
      </c>
      <c r="BP33" s="163">
        <f>IFERROR(VLOOKUP($BI33,flows!$A$2:$J$4985,BP$2,FALSE),0)</f>
        <v>3.2223217939971192E-4</v>
      </c>
      <c r="BQ33" s="163">
        <f>IFERROR(VLOOKUP($BI33,flows!$A$2:$J$4985,BQ$2,FALSE),0)</f>
        <v>24714.547177744938</v>
      </c>
      <c r="BR33" s="163">
        <f>IFERROR(VLOOKUP($BI33,flows!$A$2:$J$4985,BR$2,FALSE),0)</f>
        <v>0</v>
      </c>
      <c r="BU33" s="198" t="s">
        <v>1571</v>
      </c>
      <c r="BV33" s="199" t="s">
        <v>1316</v>
      </c>
      <c r="BW33" s="199">
        <f>SUM(BW14:BW18)</f>
        <v>0</v>
      </c>
      <c r="BX33" s="199">
        <f t="shared" ref="BX33:CD33" si="17">SUM(BX14:BX18)</f>
        <v>0</v>
      </c>
      <c r="BY33" s="199">
        <f t="shared" si="17"/>
        <v>0</v>
      </c>
      <c r="BZ33" s="199">
        <f t="shared" si="17"/>
        <v>0</v>
      </c>
      <c r="CA33" s="199">
        <f t="shared" si="17"/>
        <v>0</v>
      </c>
      <c r="CB33" s="199">
        <f t="shared" si="17"/>
        <v>0</v>
      </c>
      <c r="CC33" s="199">
        <f>SUM(CC14:CC18)</f>
        <v>0</v>
      </c>
      <c r="CD33" s="199">
        <f t="shared" si="17"/>
        <v>0</v>
      </c>
    </row>
    <row r="34" spans="2:82" ht="14.5" x14ac:dyDescent="0.35">
      <c r="B34" s="198" t="s">
        <v>1166</v>
      </c>
      <c r="C34" s="199"/>
      <c r="D34" s="9" t="e">
        <f t="shared" ref="D34:J34" si="18">D6/278</f>
        <v>#N/A</v>
      </c>
      <c r="E34" s="9" t="e">
        <f t="shared" si="18"/>
        <v>#N/A</v>
      </c>
      <c r="F34" s="9" t="e">
        <f t="shared" si="18"/>
        <v>#N/A</v>
      </c>
      <c r="G34" s="9" t="e">
        <f t="shared" si="18"/>
        <v>#N/A</v>
      </c>
      <c r="H34" s="9" t="e">
        <f t="shared" si="18"/>
        <v>#N/A</v>
      </c>
      <c r="I34" s="9" t="e">
        <f t="shared" si="18"/>
        <v>#N/A</v>
      </c>
      <c r="J34" s="9" t="e">
        <f t="shared" si="18"/>
        <v>#N/A</v>
      </c>
      <c r="K34" s="9" t="e">
        <f>K6/278</f>
        <v>#N/A</v>
      </c>
      <c r="N34" s="206"/>
      <c r="O34" s="337" t="s">
        <v>1413</v>
      </c>
      <c r="P34" s="204" t="e">
        <f>SUM(P4:P7)*Erdgas!F16</f>
        <v>#N/A</v>
      </c>
      <c r="Q34" s="204" t="e">
        <f>SUM(Q4:Q7)*Erdgas!G16</f>
        <v>#N/A</v>
      </c>
      <c r="R34" s="204" t="e">
        <f>SUM(R4:R7)*Erdgas!H16</f>
        <v>#N/A</v>
      </c>
      <c r="S34" s="204" t="e">
        <f>SUM(S4:S7)*Erdgas!I16</f>
        <v>#N/A</v>
      </c>
      <c r="T34" s="204" t="e">
        <f>SUM(T4:T7)*Erdgas!J16</f>
        <v>#N/A</v>
      </c>
      <c r="U34" s="204" t="e">
        <f>SUM(U4:U7)*Erdgas!K16</f>
        <v>#N/A</v>
      </c>
      <c r="V34" s="204" t="e">
        <f>SUM(V4:V7)*Erdgas!L16</f>
        <v>#N/A</v>
      </c>
      <c r="W34" s="204" t="e">
        <f>SUM(W4:W7)*Erdgas!M16</f>
        <v>#N/A</v>
      </c>
      <c r="Z34" s="206" t="s">
        <v>820</v>
      </c>
      <c r="AA34" s="194"/>
      <c r="AB34" s="163">
        <f>IFERROR(VLOOKUP($Z34,flows!$A$2:$J$4985,AB$2,FALSE),0)</f>
        <v>0</v>
      </c>
      <c r="AC34" s="163">
        <f>IFERROR(VLOOKUP($Z34,flows!$A$2:$J$4985,AC$2,FALSE),0)</f>
        <v>0</v>
      </c>
      <c r="AD34" s="163">
        <f>IFERROR(VLOOKUP($Z34,flows!$A$2:$J$4985,AD$2,FALSE),0)</f>
        <v>0</v>
      </c>
      <c r="AE34" s="163">
        <f>IFERROR(VLOOKUP($Z34,flows!$A$2:$J$4985,AE$2,FALSE),0)</f>
        <v>0</v>
      </c>
      <c r="AF34" s="163">
        <f>IFERROR(VLOOKUP($Z34,flows!$A$2:$J$4985,AF$2,FALSE),0)</f>
        <v>0</v>
      </c>
      <c r="AG34" s="163">
        <f>IFERROR(VLOOKUP($Z34,flows!$A$2:$J$4985,AG$2,FALSE),0)</f>
        <v>0</v>
      </c>
      <c r="AH34" s="163">
        <f>IFERROR(VLOOKUP($Z34,flows!$A$2:$J$4985,AH$2,FALSE),0)</f>
        <v>0</v>
      </c>
      <c r="AI34" s="163">
        <f>IFERROR(VLOOKUP($Z34,flows!$A$2:$J$4985,AI$2,FALSE),0)</f>
        <v>0</v>
      </c>
      <c r="AJ34" s="204"/>
      <c r="AK34" s="204"/>
      <c r="AL34" s="204"/>
      <c r="AM34" s="204"/>
      <c r="AN34" s="204"/>
      <c r="AO34" s="204"/>
      <c r="AP34" s="204"/>
      <c r="AQ34" s="204"/>
      <c r="AR34" s="204"/>
      <c r="AS34" s="204"/>
      <c r="AT34" s="204"/>
      <c r="AU34" s="204"/>
      <c r="AV34" s="204"/>
      <c r="AW34" s="204"/>
      <c r="AX34" s="204"/>
      <c r="AY34" s="204"/>
      <c r="AZ34" s="204"/>
      <c r="BA34" s="204"/>
      <c r="BB34" s="204"/>
      <c r="BC34" s="204"/>
      <c r="BD34" s="204"/>
      <c r="BE34" s="204"/>
      <c r="BF34" s="204"/>
      <c r="BG34" s="204"/>
      <c r="BI34" s="206" t="s">
        <v>2535</v>
      </c>
      <c r="BJ34" s="337"/>
      <c r="BK34" s="163">
        <f>IFERROR(VLOOKUP($BI34,flows!$A$2:$J$4985,BK$2,FALSE),0)</f>
        <v>12664.91479432756</v>
      </c>
      <c r="BL34" s="163">
        <f>IFERROR(VLOOKUP($BI34,flows!$A$2:$J$4985,BL$2,FALSE),0)</f>
        <v>6811.9073983881608</v>
      </c>
      <c r="BM34" s="163">
        <f>IFERROR(VLOOKUP($BI34,flows!$A$2:$J$4985,BM$2,FALSE),0)</f>
        <v>7205.0999330130326</v>
      </c>
      <c r="BN34" s="163">
        <f>IFERROR(VLOOKUP($BI34,flows!$A$2:$J$4985,BN$2,FALSE),0)</f>
        <v>9803.041345666159</v>
      </c>
      <c r="BO34" s="163">
        <f>IFERROR(VLOOKUP($BI34,flows!$A$2:$J$4985,BO$2,FALSE),0)</f>
        <v>11232.05327968354</v>
      </c>
      <c r="BP34" s="163">
        <f>IFERROR(VLOOKUP($BI34,flows!$A$2:$J$4985,BP$2,FALSE),0)</f>
        <v>11948.57403864455</v>
      </c>
      <c r="BQ34" s="163">
        <f>IFERROR(VLOOKUP($BI34,flows!$A$2:$J$4985,BQ$2,FALSE),0)</f>
        <v>12664.97184989032</v>
      </c>
      <c r="BR34" s="163">
        <f>IFERROR(VLOOKUP($BI34,flows!$A$2:$J$4985,BR$2,FALSE),0)</f>
        <v>0</v>
      </c>
      <c r="BU34" s="198" t="s">
        <v>1317</v>
      </c>
      <c r="BV34" s="199" t="s">
        <v>1317</v>
      </c>
      <c r="BW34" s="199">
        <f>SUM(BW19:BW26)</f>
        <v>0</v>
      </c>
      <c r="BX34" s="344">
        <f t="shared" ref="BX34:CD34" si="19">SUM(BX19:BX26)</f>
        <v>0</v>
      </c>
      <c r="BY34" s="344">
        <f t="shared" si="19"/>
        <v>0</v>
      </c>
      <c r="BZ34" s="344">
        <f t="shared" si="19"/>
        <v>0</v>
      </c>
      <c r="CA34" s="344">
        <f t="shared" si="19"/>
        <v>0</v>
      </c>
      <c r="CB34" s="344">
        <f t="shared" si="19"/>
        <v>0</v>
      </c>
      <c r="CC34" s="344">
        <f>SUM(CC19:CC26)</f>
        <v>0</v>
      </c>
      <c r="CD34" s="344">
        <f t="shared" si="19"/>
        <v>0</v>
      </c>
    </row>
    <row r="35" spans="2:82" ht="14.5" x14ac:dyDescent="0.35">
      <c r="B35" s="198" t="s">
        <v>1165</v>
      </c>
      <c r="C35" s="199"/>
      <c r="D35" s="9">
        <f t="shared" ref="D35:I35" si="20">D8/278</f>
        <v>348.92086330935251</v>
      </c>
      <c r="E35" s="9">
        <f t="shared" si="20"/>
        <v>348.92086330935251</v>
      </c>
      <c r="F35" s="9">
        <f t="shared" si="20"/>
        <v>348.92086330935251</v>
      </c>
      <c r="G35" s="9">
        <f t="shared" si="20"/>
        <v>348.92086330935251</v>
      </c>
      <c r="H35" s="9">
        <f t="shared" si="20"/>
        <v>348.92086330935251</v>
      </c>
      <c r="I35" s="9">
        <f t="shared" si="20"/>
        <v>348.92086330935251</v>
      </c>
      <c r="J35" s="9">
        <f>J8/278</f>
        <v>348.92086330935251</v>
      </c>
      <c r="K35" s="9">
        <f>K8/278</f>
        <v>348.92086330935251</v>
      </c>
      <c r="N35" s="206"/>
      <c r="O35" s="861" t="s">
        <v>4428</v>
      </c>
      <c r="P35" s="342">
        <f t="shared" ref="P35:W35" si="21">P17+P18+P25+P26</f>
        <v>195900.88966269969</v>
      </c>
      <c r="Q35" s="342">
        <f t="shared" si="21"/>
        <v>11255.74357974178</v>
      </c>
      <c r="R35" s="342">
        <f t="shared" si="21"/>
        <v>23595.561665013891</v>
      </c>
      <c r="S35" s="342">
        <f t="shared" si="21"/>
        <v>53171.177409763957</v>
      </c>
      <c r="T35" s="342">
        <f t="shared" si="21"/>
        <v>120820.89994711414</v>
      </c>
      <c r="U35" s="342">
        <f t="shared" si="21"/>
        <v>152048.88552776614</v>
      </c>
      <c r="V35" s="342">
        <f t="shared" si="21"/>
        <v>212897.43861535739</v>
      </c>
      <c r="W35" s="342">
        <f t="shared" si="21"/>
        <v>0</v>
      </c>
      <c r="Z35" s="206" t="s">
        <v>821</v>
      </c>
      <c r="AA35" s="194"/>
      <c r="AB35" s="163">
        <f>IFERROR(VLOOKUP($Z35,flows!$A$2:$J$4985,AB$2,FALSE),0)</f>
        <v>0</v>
      </c>
      <c r="AC35" s="163">
        <f>IFERROR(VLOOKUP($Z35,flows!$A$2:$J$4985,AC$2,FALSE),0)</f>
        <v>0</v>
      </c>
      <c r="AD35" s="163">
        <f>IFERROR(VLOOKUP($Z35,flows!$A$2:$J$4985,AD$2,FALSE),0)</f>
        <v>0</v>
      </c>
      <c r="AE35" s="163">
        <f>IFERROR(VLOOKUP($Z35,flows!$A$2:$J$4985,AE$2,FALSE),0)</f>
        <v>0</v>
      </c>
      <c r="AF35" s="163">
        <f>IFERROR(VLOOKUP($Z35,flows!$A$2:$J$4985,AF$2,FALSE),0)</f>
        <v>0</v>
      </c>
      <c r="AG35" s="163">
        <f>IFERROR(VLOOKUP($Z35,flows!$A$2:$J$4985,AG$2,FALSE),0)</f>
        <v>0</v>
      </c>
      <c r="AH35" s="163">
        <f>IFERROR(VLOOKUP($Z35,flows!$A$2:$J$4985,AH$2,FALSE),0)</f>
        <v>0</v>
      </c>
      <c r="AI35" s="163">
        <f>IFERROR(VLOOKUP($Z35,flows!$A$2:$J$4985,AI$2,FALSE),0)</f>
        <v>0</v>
      </c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04"/>
      <c r="AW35" s="204"/>
      <c r="AX35" s="204"/>
      <c r="AY35" s="204"/>
      <c r="AZ35" s="204"/>
      <c r="BA35" s="204"/>
      <c r="BB35" s="204"/>
      <c r="BC35" s="204"/>
      <c r="BD35" s="204"/>
      <c r="BE35" s="204"/>
      <c r="BF35" s="204"/>
      <c r="BG35" s="204"/>
      <c r="BI35" s="206" t="s">
        <v>2533</v>
      </c>
      <c r="BJ35" s="337"/>
      <c r="BK35" s="163">
        <f>IFERROR(VLOOKUP($BI35,flows!$A$2:$J$4985,BK$2,FALSE),0)</f>
        <v>6.3976184353030374E-2</v>
      </c>
      <c r="BL35" s="163">
        <f>IFERROR(VLOOKUP($BI35,flows!$A$2:$J$4985,BL$2,FALSE),0)</f>
        <v>2512.1927982145121</v>
      </c>
      <c r="BM35" s="163">
        <f>IFERROR(VLOOKUP($BI35,flows!$A$2:$J$4985,BM$2,FALSE),0)</f>
        <v>2655.6815265115179</v>
      </c>
      <c r="BN35" s="163">
        <f>IFERROR(VLOOKUP($BI35,flows!$A$2:$J$4985,BN$2,FALSE),0)</f>
        <v>788.3019294795406</v>
      </c>
      <c r="BO35" s="163">
        <f>IFERROR(VLOOKUP($BI35,flows!$A$2:$J$4985,BO$2,FALSE),0)</f>
        <v>7.4433592913400607E-3</v>
      </c>
      <c r="BP35" s="163">
        <f>IFERROR(VLOOKUP($BI35,flows!$A$2:$J$4985,BP$2,FALSE),0)</f>
        <v>1.064038092511176E-3</v>
      </c>
      <c r="BQ35" s="163">
        <f>IFERROR(VLOOKUP($BI35,flows!$A$2:$J$4985,BQ$2,FALSE),0)</f>
        <v>7.1969262658185928E-4</v>
      </c>
      <c r="BR35" s="163">
        <f>IFERROR(VLOOKUP($BI35,flows!$A$2:$J$4985,BR$2,FALSE),0)</f>
        <v>0</v>
      </c>
      <c r="BU35" s="198" t="s">
        <v>1575</v>
      </c>
      <c r="BV35" s="199" t="s">
        <v>1318</v>
      </c>
      <c r="BW35" s="199">
        <f>SUM(BW27:BW28)</f>
        <v>0</v>
      </c>
      <c r="BX35" s="199">
        <f t="shared" ref="BX35:CD35" si="22">SUM(BX27:BX28)</f>
        <v>0</v>
      </c>
      <c r="BY35" s="199">
        <f t="shared" si="22"/>
        <v>0</v>
      </c>
      <c r="BZ35" s="199">
        <f t="shared" si="22"/>
        <v>0</v>
      </c>
      <c r="CA35" s="199">
        <f t="shared" si="22"/>
        <v>0</v>
      </c>
      <c r="CB35" s="199">
        <f t="shared" si="22"/>
        <v>0</v>
      </c>
      <c r="CC35" s="199">
        <f t="shared" si="22"/>
        <v>0</v>
      </c>
      <c r="CD35" s="199">
        <f t="shared" si="22"/>
        <v>0</v>
      </c>
    </row>
    <row r="36" spans="2:82" ht="15" thickBot="1" x14ac:dyDescent="0.4">
      <c r="B36" s="66" t="s">
        <v>1339</v>
      </c>
      <c r="C36" s="11"/>
      <c r="D36" s="68" t="e">
        <f t="shared" ref="D36:J36" si="23">SUM(D32:D35)</f>
        <v>#DIV/0!</v>
      </c>
      <c r="E36" s="68" t="e">
        <f t="shared" si="23"/>
        <v>#DIV/0!</v>
      </c>
      <c r="F36" s="68" t="e">
        <f t="shared" si="23"/>
        <v>#DIV/0!</v>
      </c>
      <c r="G36" s="68" t="e">
        <f t="shared" si="23"/>
        <v>#DIV/0!</v>
      </c>
      <c r="H36" s="68" t="e">
        <f t="shared" si="23"/>
        <v>#DIV/0!</v>
      </c>
      <c r="I36" s="68" t="e">
        <f t="shared" si="23"/>
        <v>#DIV/0!</v>
      </c>
      <c r="J36" s="68" t="e">
        <f t="shared" si="23"/>
        <v>#DIV/0!</v>
      </c>
      <c r="K36" s="68" t="e">
        <f>SUM(K32:K35)</f>
        <v>#DIV/0!</v>
      </c>
      <c r="N36" s="206"/>
      <c r="O36" s="194" t="s">
        <v>1160</v>
      </c>
      <c r="P36" s="204">
        <f t="shared" ref="P36:W36" si="24">SUM(P8:P28)</f>
        <v>228892.60761758476</v>
      </c>
      <c r="Q36" s="204">
        <f t="shared" si="24"/>
        <v>11255.74357974178</v>
      </c>
      <c r="R36" s="204">
        <f t="shared" si="24"/>
        <v>23597.64118871318</v>
      </c>
      <c r="S36" s="204">
        <f t="shared" si="24"/>
        <v>53171.185913277484</v>
      </c>
      <c r="T36" s="204">
        <f t="shared" si="24"/>
        <v>120820.9049745582</v>
      </c>
      <c r="U36" s="204">
        <f t="shared" si="24"/>
        <v>158087.65654767354</v>
      </c>
      <c r="V36" s="204">
        <f t="shared" si="24"/>
        <v>247643.20097972167</v>
      </c>
      <c r="W36" s="204">
        <f t="shared" si="24"/>
        <v>0</v>
      </c>
      <c r="Z36" s="206" t="s">
        <v>822</v>
      </c>
      <c r="AA36" s="194"/>
      <c r="AB36" s="163">
        <f>IFERROR(VLOOKUP($Z36,flows!$A$2:$J$4985,AB$2,FALSE),0)</f>
        <v>0</v>
      </c>
      <c r="AC36" s="163">
        <f>IFERROR(VLOOKUP($Z36,flows!$A$2:$J$4985,AC$2,FALSE),0)</f>
        <v>0</v>
      </c>
      <c r="AD36" s="163">
        <f>IFERROR(VLOOKUP($Z36,flows!$A$2:$J$4985,AD$2,FALSE),0)</f>
        <v>0</v>
      </c>
      <c r="AE36" s="163">
        <f>IFERROR(VLOOKUP($Z36,flows!$A$2:$J$4985,AE$2,FALSE),0)</f>
        <v>0</v>
      </c>
      <c r="AF36" s="163">
        <f>IFERROR(VLOOKUP($Z36,flows!$A$2:$J$4985,AF$2,FALSE),0)</f>
        <v>0</v>
      </c>
      <c r="AG36" s="163">
        <f>IFERROR(VLOOKUP($Z36,flows!$A$2:$J$4985,AG$2,FALSE),0)</f>
        <v>0</v>
      </c>
      <c r="AH36" s="163">
        <f>IFERROR(VLOOKUP($Z36,flows!$A$2:$J$4985,AH$2,FALSE),0)</f>
        <v>0</v>
      </c>
      <c r="AI36" s="163">
        <f>IFERROR(VLOOKUP($Z36,flows!$A$2:$J$4985,AI$2,FALSE),0)</f>
        <v>0</v>
      </c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4"/>
      <c r="AX36" s="204"/>
      <c r="AY36" s="204"/>
      <c r="AZ36" s="204"/>
      <c r="BA36" s="204"/>
      <c r="BB36" s="204"/>
      <c r="BC36" s="204"/>
      <c r="BD36" s="204"/>
      <c r="BE36" s="204"/>
      <c r="BF36" s="204"/>
      <c r="BG36" s="204"/>
      <c r="BI36" s="206" t="s">
        <v>2534</v>
      </c>
      <c r="BJ36" s="337"/>
      <c r="BK36" s="163">
        <f>IFERROR(VLOOKUP($BI36,flows!$A$2:$J$4985,BK$2,FALSE),0)</f>
        <v>7.9706497892875576E-4</v>
      </c>
      <c r="BL36" s="163">
        <f>IFERROR(VLOOKUP($BI36,flows!$A$2:$J$4985,BL$2,FALSE),0)</f>
        <v>122.0406723703766</v>
      </c>
      <c r="BM36" s="163">
        <f>IFERROR(VLOOKUP($BI36,flows!$A$2:$J$4985,BM$2,FALSE),0)</f>
        <v>127.563367780029</v>
      </c>
      <c r="BN36" s="163">
        <f>IFERROR(VLOOKUP($BI36,flows!$A$2:$J$4985,BN$2,FALSE),0)</f>
        <v>7.5949246595208427E-4</v>
      </c>
      <c r="BO36" s="163">
        <f>IFERROR(VLOOKUP($BI36,flows!$A$2:$J$4985,BO$2,FALSE),0)</f>
        <v>2.5322270915387022E-4</v>
      </c>
      <c r="BP36" s="163">
        <f>IFERROR(VLOOKUP($BI36,flows!$A$2:$J$4985,BP$2,FALSE),0)</f>
        <v>6.8546637538640076E-5</v>
      </c>
      <c r="BQ36" s="163">
        <f>IFERROR(VLOOKUP($BI36,flows!$A$2:$J$4985,BQ$2,FALSE),0)</f>
        <v>4.1086225363883912E-6</v>
      </c>
      <c r="BR36" s="163">
        <f>IFERROR(VLOOKUP($BI36,flows!$A$2:$J$4985,BR$2,FALSE),0)</f>
        <v>0</v>
      </c>
      <c r="BU36" s="201"/>
      <c r="BV36" s="211"/>
      <c r="BW36" s="211"/>
      <c r="BX36" s="211"/>
      <c r="BY36" s="211"/>
      <c r="BZ36" s="211"/>
      <c r="CA36" s="211"/>
      <c r="CB36" s="211"/>
      <c r="CC36" s="211"/>
      <c r="CD36" s="211"/>
    </row>
    <row r="37" spans="2:82" ht="14.5" x14ac:dyDescent="0.35">
      <c r="B37" s="198"/>
      <c r="C37" s="199"/>
      <c r="D37" s="199"/>
      <c r="E37" s="199"/>
      <c r="F37" s="199"/>
      <c r="G37" s="199"/>
      <c r="H37" s="199"/>
      <c r="I37" s="199"/>
      <c r="J37" s="199"/>
      <c r="K37" s="199"/>
      <c r="N37" s="206"/>
      <c r="O37" s="194" t="s">
        <v>1162</v>
      </c>
      <c r="P37" s="204">
        <f t="shared" ref="P37:W37" si="25">SUM(P30:P31)</f>
        <v>0</v>
      </c>
      <c r="Q37" s="204">
        <f t="shared" si="25"/>
        <v>0</v>
      </c>
      <c r="R37" s="204">
        <f t="shared" si="25"/>
        <v>0</v>
      </c>
      <c r="S37" s="204">
        <f t="shared" si="25"/>
        <v>0</v>
      </c>
      <c r="T37" s="204">
        <f t="shared" si="25"/>
        <v>0</v>
      </c>
      <c r="U37" s="204">
        <f t="shared" si="25"/>
        <v>0</v>
      </c>
      <c r="V37" s="204">
        <f t="shared" si="25"/>
        <v>0</v>
      </c>
      <c r="W37" s="204">
        <f t="shared" si="25"/>
        <v>0</v>
      </c>
      <c r="Z37" s="206" t="s">
        <v>823</v>
      </c>
      <c r="AA37" s="194"/>
      <c r="AB37" s="163">
        <f>IFERROR(VLOOKUP($Z37,flows!$A$2:$J$4985,AB$2,FALSE),0)</f>
        <v>0</v>
      </c>
      <c r="AC37" s="163">
        <f>IFERROR(VLOOKUP($Z37,flows!$A$2:$J$4985,AC$2,FALSE),0)</f>
        <v>0</v>
      </c>
      <c r="AD37" s="163">
        <f>IFERROR(VLOOKUP($Z37,flows!$A$2:$J$4985,AD$2,FALSE),0)</f>
        <v>0</v>
      </c>
      <c r="AE37" s="163">
        <f>IFERROR(VLOOKUP($Z37,flows!$A$2:$J$4985,AE$2,FALSE),0)</f>
        <v>0</v>
      </c>
      <c r="AF37" s="163">
        <f>IFERROR(VLOOKUP($Z37,flows!$A$2:$J$4985,AF$2,FALSE),0)</f>
        <v>0</v>
      </c>
      <c r="AG37" s="163">
        <f>IFERROR(VLOOKUP($Z37,flows!$A$2:$J$4985,AG$2,FALSE),0)</f>
        <v>0</v>
      </c>
      <c r="AH37" s="163">
        <f>IFERROR(VLOOKUP($Z37,flows!$A$2:$J$4985,AH$2,FALSE),0)</f>
        <v>0</v>
      </c>
      <c r="AI37" s="163">
        <f>IFERROR(VLOOKUP($Z37,flows!$A$2:$J$4985,AI$2,FALSE),0)</f>
        <v>0</v>
      </c>
      <c r="AJ37" s="204"/>
      <c r="AK37" s="204"/>
      <c r="AL37" s="204"/>
      <c r="AM37" s="204"/>
      <c r="AN37" s="204"/>
      <c r="AO37" s="204"/>
      <c r="AP37" s="204"/>
      <c r="AQ37" s="204"/>
      <c r="AR37" s="204"/>
      <c r="AS37" s="204"/>
      <c r="AT37" s="204"/>
      <c r="AU37" s="204"/>
      <c r="AV37" s="204"/>
      <c r="AW37" s="204"/>
      <c r="AX37" s="204"/>
      <c r="AY37" s="204"/>
      <c r="AZ37" s="204"/>
      <c r="BA37" s="204"/>
      <c r="BB37" s="204"/>
      <c r="BC37" s="204"/>
      <c r="BD37" s="204"/>
      <c r="BE37" s="204"/>
      <c r="BF37" s="204"/>
      <c r="BG37" s="204"/>
      <c r="BI37" s="206" t="s">
        <v>4145</v>
      </c>
      <c r="BJ37" s="337"/>
      <c r="BK37" s="163">
        <f>IFERROR(VLOOKUP($BI37,flows!$A$2:$J$4985,BK$2,FALSE),0)</f>
        <v>3.7037690324618402E-4</v>
      </c>
      <c r="BL37" s="163">
        <f>IFERROR(VLOOKUP($BI37,flows!$A$2:$J$4985,BL$2,FALSE),0)</f>
        <v>0</v>
      </c>
      <c r="BM37" s="163">
        <f>IFERROR(VLOOKUP($BI37,flows!$A$2:$J$4985,BM$2,FALSE),0)</f>
        <v>0.53641749141493344</v>
      </c>
      <c r="BN37" s="163">
        <f>IFERROR(VLOOKUP($BI37,flows!$A$2:$J$4985,BN$2,FALSE),0)</f>
        <v>4.6176676952852089E-4</v>
      </c>
      <c r="BO37" s="163">
        <f>IFERROR(VLOOKUP($BI37,flows!$A$2:$J$4985,BO$2,FALSE),0)</f>
        <v>1.5476229981382469E-4</v>
      </c>
      <c r="BP37" s="163">
        <f>IFERROR(VLOOKUP($BI37,flows!$A$2:$J$4985,BP$2,FALSE),0)</f>
        <v>5.7016621373264621E-5</v>
      </c>
      <c r="BQ37" s="163">
        <f>IFERROR(VLOOKUP($BI37,flows!$A$2:$J$4985,BQ$2,FALSE),0)</f>
        <v>2.604180713347343E-6</v>
      </c>
      <c r="BR37" s="163">
        <f>IFERROR(VLOOKUP($BI37,flows!$A$2:$J$4985,BR$2,FALSE),0)</f>
        <v>0</v>
      </c>
    </row>
    <row r="38" spans="2:82" ht="15" thickBot="1" x14ac:dyDescent="0.4">
      <c r="B38" s="198"/>
      <c r="C38" s="199"/>
      <c r="D38" s="199"/>
      <c r="E38" s="199"/>
      <c r="F38" s="199"/>
      <c r="G38" s="199"/>
      <c r="H38" s="199"/>
      <c r="I38" s="199"/>
      <c r="J38" s="199"/>
      <c r="K38" s="199"/>
      <c r="N38" s="208"/>
      <c r="O38" s="194"/>
      <c r="P38" s="204"/>
      <c r="Q38" s="204"/>
      <c r="R38" s="204"/>
      <c r="S38" s="204"/>
      <c r="T38" s="204"/>
      <c r="U38" s="204"/>
      <c r="V38" s="204"/>
      <c r="W38" s="204"/>
      <c r="Z38" s="206" t="s">
        <v>824</v>
      </c>
      <c r="AA38" s="194"/>
      <c r="AB38" s="163">
        <f>IFERROR(VLOOKUP($Z38,flows!$A$2:$J$4985,AB$2,FALSE),0)</f>
        <v>0</v>
      </c>
      <c r="AC38" s="163">
        <f>IFERROR(VLOOKUP($Z38,flows!$A$2:$J$4985,AC$2,FALSE),0)</f>
        <v>0</v>
      </c>
      <c r="AD38" s="163">
        <f>IFERROR(VLOOKUP($Z38,flows!$A$2:$J$4985,AD$2,FALSE),0)</f>
        <v>0</v>
      </c>
      <c r="AE38" s="163">
        <f>IFERROR(VLOOKUP($Z38,flows!$A$2:$J$4985,AE$2,FALSE),0)</f>
        <v>0</v>
      </c>
      <c r="AF38" s="163">
        <f>IFERROR(VLOOKUP($Z38,flows!$A$2:$J$4985,AF$2,FALSE),0)</f>
        <v>0</v>
      </c>
      <c r="AG38" s="163">
        <f>IFERROR(VLOOKUP($Z38,flows!$A$2:$J$4985,AG$2,FALSE),0)</f>
        <v>0</v>
      </c>
      <c r="AH38" s="163">
        <f>IFERROR(VLOOKUP($Z38,flows!$A$2:$J$4985,AH$2,FALSE),0)</f>
        <v>0</v>
      </c>
      <c r="AI38" s="163">
        <f>IFERROR(VLOOKUP($Z38,flows!$A$2:$J$4985,AI$2,FALSE),0)</f>
        <v>0</v>
      </c>
      <c r="AJ38" s="204"/>
      <c r="AK38" s="204"/>
      <c r="AL38" s="204"/>
      <c r="AM38" s="204"/>
      <c r="AN38" s="204"/>
      <c r="AO38" s="204"/>
      <c r="AP38" s="204"/>
      <c r="AQ38" s="204"/>
      <c r="AR38" s="204"/>
      <c r="AS38" s="204"/>
      <c r="AT38" s="204"/>
      <c r="AU38" s="204"/>
      <c r="AV38" s="204"/>
      <c r="AW38" s="204"/>
      <c r="AX38" s="204"/>
      <c r="AY38" s="204"/>
      <c r="AZ38" s="204"/>
      <c r="BA38" s="204"/>
      <c r="BB38" s="204"/>
      <c r="BC38" s="204"/>
      <c r="BD38" s="204"/>
      <c r="BE38" s="204"/>
      <c r="BF38" s="204"/>
      <c r="BG38" s="204"/>
      <c r="BI38" s="206" t="s">
        <v>4035</v>
      </c>
      <c r="BJ38" s="337"/>
      <c r="BK38" s="163">
        <f>IFERROR(VLOOKUP($BI38,flows!$A$2:$J$4985,BK$2,FALSE),0)</f>
        <v>42.701817575834362</v>
      </c>
      <c r="BL38" s="163">
        <f>IFERROR(VLOOKUP($BI38,flows!$A$2:$J$4985,BL$2,FALSE),0)</f>
        <v>1260.4936855359999</v>
      </c>
      <c r="BM38" s="163">
        <f>IFERROR(VLOOKUP($BI38,flows!$A$2:$J$4985,BM$2,FALSE),0)</f>
        <v>1326.6193243436751</v>
      </c>
      <c r="BN38" s="163">
        <f>IFERROR(VLOOKUP($BI38,flows!$A$2:$J$4985,BN$2,FALSE),0)</f>
        <v>1329.259600293911</v>
      </c>
      <c r="BO38" s="163">
        <f>IFERROR(VLOOKUP($BI38,flows!$A$2:$J$4985,BO$2,FALSE),0)</f>
        <v>1176.858848619687</v>
      </c>
      <c r="BP38" s="163">
        <f>IFERROR(VLOOKUP($BI38,flows!$A$2:$J$4985,BP$2,FALSE),0)</f>
        <v>1066.188038257957</v>
      </c>
      <c r="BQ38" s="163">
        <f>IFERROR(VLOOKUP($BI38,flows!$A$2:$J$4985,BQ$2,FALSE),0)</f>
        <v>25.48282558981742</v>
      </c>
      <c r="BR38" s="163">
        <f>IFERROR(VLOOKUP($BI38,flows!$A$2:$J$4985,BR$2,FALSE),0)</f>
        <v>0</v>
      </c>
    </row>
    <row r="39" spans="2:82" ht="15" thickBot="1" x14ac:dyDescent="0.4">
      <c r="B39" s="66" t="s">
        <v>1333</v>
      </c>
      <c r="C39" s="11"/>
      <c r="D39" s="199"/>
      <c r="E39" s="892">
        <v>2019</v>
      </c>
      <c r="F39" s="199" t="s">
        <v>1332</v>
      </c>
      <c r="G39" s="199"/>
      <c r="H39" s="199"/>
      <c r="I39" s="11" t="s">
        <v>1346</v>
      </c>
      <c r="J39" s="199"/>
      <c r="K39" s="199"/>
      <c r="O39" s="33"/>
      <c r="P39" s="35"/>
      <c r="Q39" s="35"/>
      <c r="R39" s="35"/>
      <c r="S39" s="35"/>
      <c r="T39" s="35"/>
      <c r="U39" s="35"/>
      <c r="V39" s="35"/>
      <c r="W39" s="35"/>
      <c r="Z39" s="206" t="s">
        <v>825</v>
      </c>
      <c r="AA39" s="194"/>
      <c r="AB39" s="163">
        <f>IFERROR(VLOOKUP($Z39,flows!$A$2:$J$4985,AB$2,FALSE),0)</f>
        <v>0</v>
      </c>
      <c r="AC39" s="163">
        <f>IFERROR(VLOOKUP($Z39,flows!$A$2:$J$4985,AC$2,FALSE),0)</f>
        <v>0</v>
      </c>
      <c r="AD39" s="163">
        <f>IFERROR(VLOOKUP($Z39,flows!$A$2:$J$4985,AD$2,FALSE),0)</f>
        <v>0</v>
      </c>
      <c r="AE39" s="163">
        <f>IFERROR(VLOOKUP($Z39,flows!$A$2:$J$4985,AE$2,FALSE),0)</f>
        <v>0</v>
      </c>
      <c r="AF39" s="163">
        <f>IFERROR(VLOOKUP($Z39,flows!$A$2:$J$4985,AF$2,FALSE),0)</f>
        <v>0</v>
      </c>
      <c r="AG39" s="163">
        <f>IFERROR(VLOOKUP($Z39,flows!$A$2:$J$4985,AG$2,FALSE),0)</f>
        <v>0</v>
      </c>
      <c r="AH39" s="163">
        <f>IFERROR(VLOOKUP($Z39,flows!$A$2:$J$4985,AH$2,FALSE),0)</f>
        <v>0</v>
      </c>
      <c r="AI39" s="163">
        <f>IFERROR(VLOOKUP($Z39,flows!$A$2:$J$4985,AI$2,FALSE),0)</f>
        <v>0</v>
      </c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I39" s="206" t="s">
        <v>4147</v>
      </c>
      <c r="BJ39" s="337"/>
      <c r="BK39" s="163">
        <f>IFERROR(VLOOKUP($BI39,flows!$A$2:$J$4985,BK$2,FALSE),0)</f>
        <v>54.130875044198277</v>
      </c>
      <c r="BL39" s="163">
        <f>IFERROR(VLOOKUP($BI39,flows!$A$2:$J$4985,BL$2,FALSE),0)</f>
        <v>0</v>
      </c>
      <c r="BM39" s="163">
        <f>IFERROR(VLOOKUP($BI39,flows!$A$2:$J$4985,BM$2,FALSE),0)</f>
        <v>0.69825695688208944</v>
      </c>
      <c r="BN39" s="163">
        <f>IFERROR(VLOOKUP($BI39,flows!$A$2:$J$4985,BN$2,FALSE),0)</f>
        <v>2.58274741014254E-3</v>
      </c>
      <c r="BO39" s="163">
        <f>IFERROR(VLOOKUP($BI39,flows!$A$2:$J$4985,BO$2,FALSE),0)</f>
        <v>1.2723369430225661E-3</v>
      </c>
      <c r="BP39" s="163">
        <f>IFERROR(VLOOKUP($BI39,flows!$A$2:$J$4985,BP$2,FALSE),0)</f>
        <v>1285.215821332125</v>
      </c>
      <c r="BQ39" s="163">
        <f>IFERROR(VLOOKUP($BI39,flows!$A$2:$J$4985,BQ$2,FALSE),0)</f>
        <v>40.594135460190671</v>
      </c>
      <c r="BR39" s="163">
        <f>IFERROR(VLOOKUP($BI39,flows!$A$2:$J$4985,BR$2,FALSE),0)</f>
        <v>0</v>
      </c>
    </row>
    <row r="40" spans="2:82" ht="14.5" x14ac:dyDescent="0.35">
      <c r="B40" s="198" t="s">
        <v>1164</v>
      </c>
      <c r="C40" s="199"/>
      <c r="D40" s="199"/>
      <c r="E40" s="892">
        <v>2408</v>
      </c>
      <c r="F40" s="199" t="e">
        <f>E32-E40</f>
        <v>#DIV/0!</v>
      </c>
      <c r="G40" s="199"/>
      <c r="H40" s="199"/>
      <c r="I40" s="199"/>
      <c r="J40" s="199"/>
      <c r="K40" s="199"/>
      <c r="Z40" s="206" t="s">
        <v>826</v>
      </c>
      <c r="AA40" s="194"/>
      <c r="AB40" s="163">
        <f>IFERROR(VLOOKUP($Z40,flows!$A$2:$J$4985,AB$2,FALSE),0)</f>
        <v>0</v>
      </c>
      <c r="AC40" s="163">
        <f>IFERROR(VLOOKUP($Z40,flows!$A$2:$J$4985,AC$2,FALSE),0)</f>
        <v>0</v>
      </c>
      <c r="AD40" s="163">
        <f>IFERROR(VLOOKUP($Z40,flows!$A$2:$J$4985,AD$2,FALSE),0)</f>
        <v>0</v>
      </c>
      <c r="AE40" s="163">
        <f>IFERROR(VLOOKUP($Z40,flows!$A$2:$J$4985,AE$2,FALSE),0)</f>
        <v>0</v>
      </c>
      <c r="AF40" s="163">
        <f>IFERROR(VLOOKUP($Z40,flows!$A$2:$J$4985,AF$2,FALSE),0)</f>
        <v>0</v>
      </c>
      <c r="AG40" s="163">
        <f>IFERROR(VLOOKUP($Z40,flows!$A$2:$J$4985,AG$2,FALSE),0)</f>
        <v>0</v>
      </c>
      <c r="AH40" s="163">
        <f>IFERROR(VLOOKUP($Z40,flows!$A$2:$J$4985,AH$2,FALSE),0)</f>
        <v>0</v>
      </c>
      <c r="AI40" s="163">
        <f>IFERROR(VLOOKUP($Z40,flows!$A$2:$J$4985,AI$2,FALSE),0)</f>
        <v>0</v>
      </c>
      <c r="AJ40" s="204"/>
      <c r="AK40" s="204"/>
      <c r="AL40" s="204"/>
      <c r="AM40" s="204"/>
      <c r="AN40" s="204"/>
      <c r="AO40" s="204"/>
      <c r="AP40" s="204"/>
      <c r="AQ40" s="204"/>
      <c r="AR40" s="204"/>
      <c r="AS40" s="204"/>
      <c r="AT40" s="204"/>
      <c r="AU40" s="204"/>
      <c r="AV40" s="204"/>
      <c r="AW40" s="204"/>
      <c r="AX40" s="204"/>
      <c r="AY40" s="204"/>
      <c r="AZ40" s="204"/>
      <c r="BA40" s="204"/>
      <c r="BB40" s="204"/>
      <c r="BC40" s="204"/>
      <c r="BD40" s="204"/>
      <c r="BE40" s="204"/>
      <c r="BF40" s="204"/>
      <c r="BG40" s="204"/>
      <c r="BI40" s="343" t="s">
        <v>3071</v>
      </c>
      <c r="BJ40" s="337"/>
      <c r="BK40" s="163">
        <f>IFERROR(VLOOKUP($BI40,flows!$A$2:$J$4985,BK$2,FALSE),0)</f>
        <v>9800.5319517464595</v>
      </c>
      <c r="BL40" s="163">
        <f>IFERROR(VLOOKUP($BI40,flows!$A$2:$J$4985,BL$2,FALSE),0)</f>
        <v>0</v>
      </c>
      <c r="BM40" s="163">
        <f>IFERROR(VLOOKUP($BI40,flows!$A$2:$J$4985,BM$2,FALSE),0)</f>
        <v>1.152538620010497E-4</v>
      </c>
      <c r="BN40" s="163">
        <f>IFERROR(VLOOKUP($BI40,flows!$A$2:$J$4985,BN$2,FALSE),0)</f>
        <v>755.12603447194886</v>
      </c>
      <c r="BO40" s="163">
        <f>IFERROR(VLOOKUP($BI40,flows!$A$2:$J$4985,BO$2,FALSE),0)</f>
        <v>2828.7713181294471</v>
      </c>
      <c r="BP40" s="163">
        <f>IFERROR(VLOOKUP($BI40,flows!$A$2:$J$4985,BP$2,FALSE),0)</f>
        <v>6309.8064327091524</v>
      </c>
      <c r="BQ40" s="163">
        <f>IFERROR(VLOOKUP($BI40,flows!$A$2:$J$4985,BQ$2,FALSE),0)</f>
        <v>9771.6161599888146</v>
      </c>
      <c r="BR40" s="163">
        <f>IFERROR(VLOOKUP($BI40,flows!$A$2:$J$4985,BR$2,FALSE),0)</f>
        <v>0</v>
      </c>
    </row>
    <row r="41" spans="2:82" ht="14.5" x14ac:dyDescent="0.35">
      <c r="B41" s="198" t="s">
        <v>1331</v>
      </c>
      <c r="C41" s="199"/>
      <c r="D41" s="199"/>
      <c r="E41" s="892">
        <v>1342</v>
      </c>
      <c r="F41" s="344" t="e">
        <f t="shared" ref="F41:F44" si="26">E33-E41</f>
        <v>#DIV/0!</v>
      </c>
      <c r="G41" s="199"/>
      <c r="H41" s="199"/>
      <c r="I41" s="199"/>
      <c r="J41" s="199"/>
      <c r="K41" s="199"/>
      <c r="Z41" s="206" t="s">
        <v>827</v>
      </c>
      <c r="AA41" s="194"/>
      <c r="AB41" s="163">
        <f>IFERROR(VLOOKUP($Z41,flows!$A$2:$J$4985,AB$2,FALSE),0)</f>
        <v>0</v>
      </c>
      <c r="AC41" s="163">
        <f>IFERROR(VLOOKUP($Z41,flows!$A$2:$J$4985,AC$2,FALSE),0)</f>
        <v>0</v>
      </c>
      <c r="AD41" s="163">
        <f>IFERROR(VLOOKUP($Z41,flows!$A$2:$J$4985,AD$2,FALSE),0)</f>
        <v>0</v>
      </c>
      <c r="AE41" s="163">
        <f>IFERROR(VLOOKUP($Z41,flows!$A$2:$J$4985,AE$2,FALSE),0)</f>
        <v>0</v>
      </c>
      <c r="AF41" s="163">
        <f>IFERROR(VLOOKUP($Z41,flows!$A$2:$J$4985,AF$2,FALSE),0)</f>
        <v>0</v>
      </c>
      <c r="AG41" s="163">
        <f>IFERROR(VLOOKUP($Z41,flows!$A$2:$J$4985,AG$2,FALSE),0)</f>
        <v>0</v>
      </c>
      <c r="AH41" s="163">
        <f>IFERROR(VLOOKUP($Z41,flows!$A$2:$J$4985,AH$2,FALSE),0)</f>
        <v>0</v>
      </c>
      <c r="AI41" s="163">
        <f>IFERROR(VLOOKUP($Z41,flows!$A$2:$J$4985,AI$2,FALSE),0)</f>
        <v>0</v>
      </c>
      <c r="AJ41" s="204"/>
      <c r="AK41" s="204"/>
      <c r="AL41" s="204"/>
      <c r="AM41" s="204"/>
      <c r="AN41" s="204"/>
      <c r="AO41" s="204"/>
      <c r="AP41" s="204"/>
      <c r="AQ41" s="204"/>
      <c r="AR41" s="204"/>
      <c r="AS41" s="204"/>
      <c r="AT41" s="204"/>
      <c r="AU41" s="204"/>
      <c r="AV41" s="204"/>
      <c r="AW41" s="204"/>
      <c r="AX41" s="204"/>
      <c r="AY41" s="204"/>
      <c r="AZ41" s="204"/>
      <c r="BA41" s="204"/>
      <c r="BB41" s="204"/>
      <c r="BC41" s="204"/>
      <c r="BD41" s="204"/>
      <c r="BE41" s="204"/>
      <c r="BF41" s="204"/>
      <c r="BG41" s="204"/>
      <c r="BH41" s="342"/>
      <c r="BI41" s="206" t="s">
        <v>4034</v>
      </c>
      <c r="BJ41" s="337"/>
      <c r="BK41" s="163">
        <f>IFERROR(VLOOKUP($BI41,flows!$A$2:$J$4985,BK$2,FALSE),0)</f>
        <v>39262.487954058357</v>
      </c>
      <c r="BL41" s="163">
        <f>IFERROR(VLOOKUP($BI41,flows!$A$2:$J$4985,BL$2,FALSE),0)</f>
        <v>0</v>
      </c>
      <c r="BM41" s="163">
        <f>IFERROR(VLOOKUP($BI41,flows!$A$2:$J$4985,BM$2,FALSE),0)</f>
        <v>1.40110818978799</v>
      </c>
      <c r="BN41" s="163">
        <f>IFERROR(VLOOKUP($BI41,flows!$A$2:$J$4985,BN$2,FALSE),0)</f>
        <v>394.09253541686053</v>
      </c>
      <c r="BO41" s="163">
        <f>IFERROR(VLOOKUP($BI41,flows!$A$2:$J$4985,BO$2,FALSE),0)</f>
        <v>3576.8511009840608</v>
      </c>
      <c r="BP41" s="163">
        <f>IFERROR(VLOOKUP($BI41,flows!$A$2:$J$4985,BP$2,FALSE),0)</f>
        <v>1.0594888656842371E-3</v>
      </c>
      <c r="BQ41" s="163">
        <f>IFERROR(VLOOKUP($BI41,flows!$A$2:$J$4985,BQ$2,FALSE),0)</f>
        <v>40169.593012550104</v>
      </c>
      <c r="BR41" s="163">
        <f>IFERROR(VLOOKUP($BI41,flows!$A$2:$J$4985,BR$2,FALSE),0)</f>
        <v>0</v>
      </c>
    </row>
    <row r="42" spans="2:82" ht="14.5" x14ac:dyDescent="0.35">
      <c r="B42" s="198" t="s">
        <v>1166</v>
      </c>
      <c r="C42" s="199"/>
      <c r="D42" s="199"/>
      <c r="E42" s="892">
        <v>2536</v>
      </c>
      <c r="F42" s="344" t="e">
        <f t="shared" si="26"/>
        <v>#N/A</v>
      </c>
      <c r="G42" s="199"/>
      <c r="H42" s="199"/>
      <c r="I42" s="199"/>
      <c r="J42" s="199"/>
      <c r="K42" s="199"/>
      <c r="Z42" s="206" t="s">
        <v>828</v>
      </c>
      <c r="AA42" s="194"/>
      <c r="AB42" s="163">
        <f>IFERROR(VLOOKUP($Z42,flows!$A$2:$J$4985,AB$2,FALSE),0)</f>
        <v>0</v>
      </c>
      <c r="AC42" s="163">
        <f>IFERROR(VLOOKUP($Z42,flows!$A$2:$J$4985,AC$2,FALSE),0)</f>
        <v>0</v>
      </c>
      <c r="AD42" s="163">
        <f>IFERROR(VLOOKUP($Z42,flows!$A$2:$J$4985,AD$2,FALSE),0)</f>
        <v>0</v>
      </c>
      <c r="AE42" s="163">
        <f>IFERROR(VLOOKUP($Z42,flows!$A$2:$J$4985,AE$2,FALSE),0)</f>
        <v>0</v>
      </c>
      <c r="AF42" s="163">
        <f>IFERROR(VLOOKUP($Z42,flows!$A$2:$J$4985,AF$2,FALSE),0)</f>
        <v>0</v>
      </c>
      <c r="AG42" s="163">
        <f>IFERROR(VLOOKUP($Z42,flows!$A$2:$J$4985,AG$2,FALSE),0)</f>
        <v>0</v>
      </c>
      <c r="AH42" s="163">
        <f>IFERROR(VLOOKUP($Z42,flows!$A$2:$J$4985,AH$2,FALSE),0)</f>
        <v>0</v>
      </c>
      <c r="AI42" s="163">
        <f>IFERROR(VLOOKUP($Z42,flows!$A$2:$J$4985,AI$2,FALSE),0)</f>
        <v>0</v>
      </c>
      <c r="AJ42" s="204"/>
      <c r="AK42" s="204"/>
      <c r="AL42" s="204"/>
      <c r="AM42" s="204"/>
      <c r="AN42" s="204"/>
      <c r="AO42" s="204"/>
      <c r="AP42" s="204"/>
      <c r="AQ42" s="204"/>
      <c r="AR42" s="204"/>
      <c r="AS42" s="204"/>
      <c r="AT42" s="204"/>
      <c r="AU42" s="204"/>
      <c r="AV42"/>
      <c r="AW42" s="204"/>
      <c r="AX42" s="204"/>
      <c r="AY42" s="204"/>
      <c r="AZ42" s="204"/>
      <c r="BA42" s="204"/>
      <c r="BB42" s="204"/>
      <c r="BC42" s="204"/>
      <c r="BD42" s="204"/>
      <c r="BE42" s="204"/>
      <c r="BF42" s="854"/>
      <c r="BG42" s="204"/>
      <c r="BI42" s="387" t="s">
        <v>121</v>
      </c>
      <c r="BJ42" s="199"/>
      <c r="BK42" s="163">
        <f>IFERROR(VLOOKUP($BI42,flows!$A$2:$J$4985,BK$2,FALSE),0)</f>
        <v>0</v>
      </c>
      <c r="BL42" s="163">
        <f>IFERROR(VLOOKUP($BI42,flows!$A$2:$J$4985,BL$2,FALSE),0)</f>
        <v>0</v>
      </c>
      <c r="BM42" s="163">
        <f>IFERROR(VLOOKUP($BI42,flows!$A$2:$J$4985,BM$2,FALSE),0)</f>
        <v>0</v>
      </c>
      <c r="BN42" s="163">
        <f>IFERROR(VLOOKUP($BI42,flows!$A$2:$J$4985,BN$2,FALSE),0)</f>
        <v>0</v>
      </c>
      <c r="BO42" s="163">
        <f>IFERROR(VLOOKUP($BI42,flows!$A$2:$J$4985,BO$2,FALSE),0)</f>
        <v>0</v>
      </c>
      <c r="BP42" s="163">
        <f>IFERROR(VLOOKUP($BI42,flows!$A$2:$J$4985,BP$2,FALSE),0)</f>
        <v>0</v>
      </c>
      <c r="BQ42" s="163">
        <f>IFERROR(VLOOKUP($BI42,flows!$A$2:$J$4985,BQ$2,FALSE),0)</f>
        <v>0</v>
      </c>
      <c r="BR42" s="163">
        <f>IFERROR(VLOOKUP($BI42,flows!$A$2:$J$4985,BR$2,FALSE),0)</f>
        <v>0</v>
      </c>
    </row>
    <row r="43" spans="2:82" ht="14.5" x14ac:dyDescent="0.35">
      <c r="B43" s="198" t="s">
        <v>1165</v>
      </c>
      <c r="C43" s="199"/>
      <c r="D43" s="199"/>
      <c r="E43" s="892">
        <v>2770</v>
      </c>
      <c r="F43" s="344">
        <f t="shared" si="26"/>
        <v>-2421.0791366906474</v>
      </c>
      <c r="G43" s="199"/>
      <c r="H43" s="199"/>
      <c r="I43" s="199"/>
      <c r="J43" s="199"/>
      <c r="K43" s="199"/>
      <c r="Z43" s="206" t="s">
        <v>829</v>
      </c>
      <c r="AA43" s="194"/>
      <c r="AB43" s="163">
        <f>IFERROR(VLOOKUP($Z43,flows!$A$2:$J$4985,AB$2,FALSE),0)</f>
        <v>0</v>
      </c>
      <c r="AC43" s="163">
        <f>IFERROR(VLOOKUP($Z43,flows!$A$2:$J$4985,AC$2,FALSE),0)</f>
        <v>0</v>
      </c>
      <c r="AD43" s="163">
        <f>IFERROR(VLOOKUP($Z43,flows!$A$2:$J$4985,AD$2,FALSE),0)</f>
        <v>0</v>
      </c>
      <c r="AE43" s="163">
        <f>IFERROR(VLOOKUP($Z43,flows!$A$2:$J$4985,AE$2,FALSE),0)</f>
        <v>0</v>
      </c>
      <c r="AF43" s="163">
        <f>IFERROR(VLOOKUP($Z43,flows!$A$2:$J$4985,AF$2,FALSE),0)</f>
        <v>0</v>
      </c>
      <c r="AG43" s="163">
        <f>IFERROR(VLOOKUP($Z43,flows!$A$2:$J$4985,AG$2,FALSE),0)</f>
        <v>0</v>
      </c>
      <c r="AH43" s="163">
        <f>IFERROR(VLOOKUP($Z43,flows!$A$2:$J$4985,AH$2,FALSE),0)</f>
        <v>0</v>
      </c>
      <c r="AI43" s="163">
        <f>IFERROR(VLOOKUP($Z43,flows!$A$2:$J$4985,AI$2,FALSE),0)</f>
        <v>0</v>
      </c>
      <c r="AJ43" s="204"/>
      <c r="AK43" s="204"/>
      <c r="AL43" s="204"/>
      <c r="AM43" s="204"/>
      <c r="AN43" s="204"/>
      <c r="AO43" s="204"/>
      <c r="AP43" s="204"/>
      <c r="AQ43" s="204"/>
      <c r="AR43" s="204"/>
      <c r="AS43" s="204"/>
      <c r="AT43" s="204"/>
      <c r="AU43" s="204"/>
      <c r="AV43"/>
      <c r="AW43" s="204"/>
      <c r="AX43" s="204"/>
      <c r="AY43" s="204"/>
      <c r="AZ43" s="204"/>
      <c r="BA43" s="204"/>
      <c r="BB43" s="204"/>
      <c r="BC43" s="204"/>
      <c r="BD43" s="204"/>
      <c r="BE43" s="204"/>
      <c r="BF43" s="854"/>
      <c r="BG43" s="204"/>
      <c r="BI43" s="387" t="s">
        <v>2265</v>
      </c>
      <c r="BJ43" s="199"/>
      <c r="BK43" s="163">
        <f>Glasindustrie!E642</f>
        <v>8739.8214268714528</v>
      </c>
      <c r="BL43" s="163">
        <f>Glasindustrie!F642</f>
        <v>955.60756391407494</v>
      </c>
      <c r="BM43" s="163">
        <f>Glasindustrie!G642</f>
        <v>590.41079993558969</v>
      </c>
      <c r="BN43" s="163">
        <f>Glasindustrie!H642</f>
        <v>926.8501846280742</v>
      </c>
      <c r="BO43" s="163">
        <f>Glasindustrie!I642</f>
        <v>2388.2611111495407</v>
      </c>
      <c r="BP43" s="163">
        <f>Glasindustrie!J642</f>
        <v>4360.6593201656979</v>
      </c>
      <c r="BQ43" s="163">
        <f>Glasindustrie!K642</f>
        <v>8739.7086826049963</v>
      </c>
      <c r="BR43" s="163">
        <f>Glasindustrie!L642</f>
        <v>0</v>
      </c>
    </row>
    <row r="44" spans="2:82" ht="14.5" x14ac:dyDescent="0.35">
      <c r="B44" s="66" t="s">
        <v>1339</v>
      </c>
      <c r="C44" s="11"/>
      <c r="D44" s="11"/>
      <c r="E44" s="893">
        <f>SUM(E40:E43)</f>
        <v>9056</v>
      </c>
      <c r="F44" s="344" t="e">
        <f t="shared" si="26"/>
        <v>#DIV/0!</v>
      </c>
      <c r="G44" s="199"/>
      <c r="H44" s="199"/>
      <c r="I44" s="199"/>
      <c r="J44" s="199"/>
      <c r="K44" s="199"/>
      <c r="Z44" s="206" t="s">
        <v>830</v>
      </c>
      <c r="AA44" s="194"/>
      <c r="AB44" s="163">
        <f>IFERROR(VLOOKUP($Z44,flows!$A$2:$J$4985,AB$2,FALSE),0)</f>
        <v>0</v>
      </c>
      <c r="AC44" s="163">
        <f>IFERROR(VLOOKUP($Z44,flows!$A$2:$J$4985,AC$2,FALSE),0)</f>
        <v>0</v>
      </c>
      <c r="AD44" s="163">
        <f>IFERROR(VLOOKUP($Z44,flows!$A$2:$J$4985,AD$2,FALSE),0)</f>
        <v>0</v>
      </c>
      <c r="AE44" s="163">
        <f>IFERROR(VLOOKUP($Z44,flows!$A$2:$J$4985,AE$2,FALSE),0)</f>
        <v>0</v>
      </c>
      <c r="AF44" s="163">
        <f>IFERROR(VLOOKUP($Z44,flows!$A$2:$J$4985,AF$2,FALSE),0)</f>
        <v>0</v>
      </c>
      <c r="AG44" s="163">
        <f>IFERROR(VLOOKUP($Z44,flows!$A$2:$J$4985,AG$2,FALSE),0)</f>
        <v>0</v>
      </c>
      <c r="AH44" s="163">
        <f>IFERROR(VLOOKUP($Z44,flows!$A$2:$J$4985,AH$2,FALSE),0)</f>
        <v>0</v>
      </c>
      <c r="AI44" s="163">
        <f>IFERROR(VLOOKUP($Z44,flows!$A$2:$J$4985,AI$2,FALSE),0)</f>
        <v>0</v>
      </c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/>
      <c r="AW44" s="204"/>
      <c r="AX44" s="204"/>
      <c r="AY44" s="204"/>
      <c r="AZ44" s="204"/>
      <c r="BA44" s="204"/>
      <c r="BB44" s="204"/>
      <c r="BC44" s="204"/>
      <c r="BD44" s="204"/>
      <c r="BE44" s="204"/>
      <c r="BF44" s="854"/>
      <c r="BG44" s="204"/>
      <c r="BI44" s="387" t="s">
        <v>3906</v>
      </c>
      <c r="BJ44" s="199"/>
      <c r="BK44" s="163">
        <f>Glasindustrie!R80</f>
        <v>70.773552497707556</v>
      </c>
      <c r="BL44" s="163">
        <f>Glasindustrie!S80</f>
        <v>227.04942148183051</v>
      </c>
      <c r="BM44" s="163">
        <f>Glasindustrie!T80</f>
        <v>231.73801936370936</v>
      </c>
      <c r="BN44" s="163">
        <f>Glasindustrie!U80</f>
        <v>216.79924678410327</v>
      </c>
      <c r="BO44" s="163">
        <f>Glasindustrie!V80</f>
        <v>199.52664988700801</v>
      </c>
      <c r="BP44" s="163">
        <f>Glasindustrie!W80</f>
        <v>164.45093344767457</v>
      </c>
      <c r="BQ44" s="163">
        <f>Glasindustrie!X80</f>
        <v>70.770014754176159</v>
      </c>
      <c r="BR44" s="163">
        <f>Glasindustrie!Y80</f>
        <v>0</v>
      </c>
    </row>
    <row r="45" spans="2:82" ht="14.5" x14ac:dyDescent="0.35">
      <c r="B45" s="198"/>
      <c r="C45" s="199"/>
      <c r="D45" s="199"/>
      <c r="G45" s="199"/>
      <c r="H45" s="199"/>
      <c r="I45" s="199"/>
      <c r="J45" s="199"/>
      <c r="K45" s="199"/>
      <c r="Z45" s="206" t="s">
        <v>831</v>
      </c>
      <c r="AA45" s="194"/>
      <c r="AB45" s="163">
        <f>IFERROR(VLOOKUP($Z45,flows!$A$2:$J$4985,AB$2,FALSE),0)</f>
        <v>0</v>
      </c>
      <c r="AC45" s="163">
        <f>IFERROR(VLOOKUP($Z45,flows!$A$2:$J$4985,AC$2,FALSE),0)</f>
        <v>0</v>
      </c>
      <c r="AD45" s="163">
        <f>IFERROR(VLOOKUP($Z45,flows!$A$2:$J$4985,AD$2,FALSE),0)</f>
        <v>0</v>
      </c>
      <c r="AE45" s="163">
        <f>IFERROR(VLOOKUP($Z45,flows!$A$2:$J$4985,AE$2,FALSE),0)</f>
        <v>0</v>
      </c>
      <c r="AF45" s="163">
        <f>IFERROR(VLOOKUP($Z45,flows!$A$2:$J$4985,AF$2,FALSE),0)</f>
        <v>0</v>
      </c>
      <c r="AG45" s="163">
        <f>IFERROR(VLOOKUP($Z45,flows!$A$2:$J$4985,AG$2,FALSE),0)</f>
        <v>0</v>
      </c>
      <c r="AH45" s="163">
        <f>IFERROR(VLOOKUP($Z45,flows!$A$2:$J$4985,AH$2,FALSE),0)</f>
        <v>0</v>
      </c>
      <c r="AI45" s="163">
        <f>IFERROR(VLOOKUP($Z45,flows!$A$2:$J$4985,AI$2,FALSE),0)</f>
        <v>0</v>
      </c>
      <c r="AJ45" s="204"/>
      <c r="AK45" s="204"/>
      <c r="AL45" s="204"/>
      <c r="AM45" s="204"/>
      <c r="AN45" s="204"/>
      <c r="AO45" s="204"/>
      <c r="AP45" s="204"/>
      <c r="AQ45" s="204"/>
      <c r="AR45" s="204"/>
      <c r="AS45" s="204"/>
      <c r="AT45" s="204"/>
      <c r="AU45" s="204"/>
      <c r="AV45"/>
      <c r="AW45" s="204"/>
      <c r="AX45" s="204"/>
      <c r="AY45" s="204"/>
      <c r="AZ45" s="204"/>
      <c r="BA45" s="204"/>
      <c r="BB45" s="204"/>
      <c r="BC45" s="204"/>
      <c r="BD45" s="204"/>
      <c r="BE45" s="204"/>
      <c r="BF45" s="854"/>
      <c r="BG45" s="204"/>
      <c r="BI45" s="387" t="s">
        <v>3907</v>
      </c>
      <c r="BJ45" s="199"/>
      <c r="BK45" s="163">
        <f>Glasindustrie!R31</f>
        <v>1096.9619463963847</v>
      </c>
      <c r="BL45" s="163">
        <f>Glasindustrie!S31</f>
        <v>1732.8658649157112</v>
      </c>
      <c r="BM45" s="163">
        <f>Glasindustrie!T31</f>
        <v>1276.8068999986629</v>
      </c>
      <c r="BN45" s="163">
        <f>Glasindustrie!U31</f>
        <v>1071.1463287797619</v>
      </c>
      <c r="BO45" s="163">
        <f>Glasindustrie!V31</f>
        <v>1075.6087388363683</v>
      </c>
      <c r="BP45" s="163">
        <f>Glasindustrie!W31</f>
        <v>1073.5547013279668</v>
      </c>
      <c r="BQ45" s="163">
        <f>Glasindustrie!X31</f>
        <v>1096.9753833329887</v>
      </c>
      <c r="BR45" s="163">
        <f>Glasindustrie!Y31</f>
        <v>0</v>
      </c>
    </row>
    <row r="46" spans="2:82" ht="14.5" x14ac:dyDescent="0.35">
      <c r="B46" s="198"/>
      <c r="C46" s="199"/>
      <c r="D46" s="199"/>
      <c r="E46" s="892" t="s">
        <v>2825</v>
      </c>
      <c r="F46" s="454" t="e">
        <f>F44/E44</f>
        <v>#DIV/0!</v>
      </c>
      <c r="G46" s="199"/>
      <c r="H46" s="199"/>
      <c r="I46" s="199"/>
      <c r="J46" s="199"/>
      <c r="K46" s="199"/>
      <c r="Z46" s="206" t="s">
        <v>832</v>
      </c>
      <c r="AA46" s="194"/>
      <c r="AB46" s="163">
        <f>IFERROR(VLOOKUP($Z46,flows!$A$2:$J$4985,AB$2,FALSE),0)</f>
        <v>0</v>
      </c>
      <c r="AC46" s="163">
        <f>IFERROR(VLOOKUP($Z46,flows!$A$2:$J$4985,AC$2,FALSE),0)</f>
        <v>0</v>
      </c>
      <c r="AD46" s="163">
        <f>IFERROR(VLOOKUP($Z46,flows!$A$2:$J$4985,AD$2,FALSE),0)</f>
        <v>0</v>
      </c>
      <c r="AE46" s="163">
        <f>IFERROR(VLOOKUP($Z46,flows!$A$2:$J$4985,AE$2,FALSE),0)</f>
        <v>0</v>
      </c>
      <c r="AF46" s="163">
        <f>IFERROR(VLOOKUP($Z46,flows!$A$2:$J$4985,AF$2,FALSE),0)</f>
        <v>0</v>
      </c>
      <c r="AG46" s="163">
        <f>IFERROR(VLOOKUP($Z46,flows!$A$2:$J$4985,AG$2,FALSE),0)</f>
        <v>0</v>
      </c>
      <c r="AH46" s="163">
        <f>IFERROR(VLOOKUP($Z46,flows!$A$2:$J$4985,AH$2,FALSE),0)</f>
        <v>0</v>
      </c>
      <c r="AI46" s="163">
        <f>IFERROR(VLOOKUP($Z46,flows!$A$2:$J$4985,AI$2,FALSE),0)</f>
        <v>0</v>
      </c>
      <c r="AJ46" s="204"/>
      <c r="AK46" s="204"/>
      <c r="AL46" s="204"/>
      <c r="AM46" s="204"/>
      <c r="AN46" s="204"/>
      <c r="AO46" s="204"/>
      <c r="AP46" s="204"/>
      <c r="AQ46" s="204"/>
      <c r="AR46" s="204"/>
      <c r="AS46" s="204"/>
      <c r="AT46" s="204"/>
      <c r="AU46" s="204"/>
      <c r="AV46" s="204"/>
      <c r="AW46" s="204"/>
      <c r="AX46" s="204"/>
      <c r="AY46" s="204"/>
      <c r="AZ46" s="204"/>
      <c r="BA46" s="204"/>
      <c r="BB46" s="204"/>
      <c r="BC46" s="204"/>
      <c r="BD46" s="204"/>
      <c r="BE46" s="204"/>
      <c r="BF46" s="854"/>
      <c r="BG46" s="204"/>
      <c r="BI46" s="389" t="s">
        <v>2524</v>
      </c>
      <c r="BJ46" s="195"/>
      <c r="BK46" s="163">
        <f>IFERROR(VLOOKUP($BI46,flows!$A$2:$J$4985,BK$2,FALSE),0)</f>
        <v>0</v>
      </c>
      <c r="BL46" s="163">
        <f>IFERROR(VLOOKUP($BI46,flows!$A$2:$J$4985,BL$2,FALSE),0)</f>
        <v>0</v>
      </c>
      <c r="BM46" s="163">
        <f>IFERROR(VLOOKUP($BI46,flows!$A$2:$J$4985,BM$2,FALSE),0)</f>
        <v>0</v>
      </c>
      <c r="BN46" s="163">
        <f>IFERROR(VLOOKUP($BI46,flows!$A$2:$J$4985,BN$2,FALSE),0)</f>
        <v>0</v>
      </c>
      <c r="BO46" s="163">
        <f>IFERROR(VLOOKUP($BI46,flows!$A$2:$J$4985,BO$2,FALSE),0)</f>
        <v>0</v>
      </c>
      <c r="BP46" s="163">
        <f>IFERROR(VLOOKUP($BI46,flows!$A$2:$J$4985,BP$2,FALSE),0)</f>
        <v>0</v>
      </c>
      <c r="BQ46" s="163">
        <f>IFERROR(VLOOKUP($BI46,flows!$A$2:$J$4985,BQ$2,FALSE),0)</f>
        <v>0</v>
      </c>
      <c r="BR46" s="163">
        <f>IFERROR(VLOOKUP($BI46,flows!$A$2:$J$4985,BR$2,FALSE),0)</f>
        <v>0</v>
      </c>
    </row>
    <row r="47" spans="2:82" ht="15" thickBot="1" x14ac:dyDescent="0.4">
      <c r="B47" s="201"/>
      <c r="C47" s="211"/>
      <c r="D47" s="211"/>
      <c r="E47" s="347" t="s">
        <v>4340</v>
      </c>
      <c r="F47" s="454" t="e">
        <f>F42/E42</f>
        <v>#N/A</v>
      </c>
      <c r="G47" s="211"/>
      <c r="H47" s="211"/>
      <c r="I47" s="211"/>
      <c r="J47" s="211"/>
      <c r="K47" s="211"/>
      <c r="Z47" s="206" t="s">
        <v>833</v>
      </c>
      <c r="AA47" s="194"/>
      <c r="AB47" s="163">
        <f>IFERROR(VLOOKUP($Z47,flows!$A$2:$J$4985,AB$2,FALSE),0)</f>
        <v>0</v>
      </c>
      <c r="AC47" s="163">
        <f>IFERROR(VLOOKUP($Z47,flows!$A$2:$J$4985,AC$2,FALSE),0)</f>
        <v>0</v>
      </c>
      <c r="AD47" s="163">
        <f>IFERROR(VLOOKUP($Z47,flows!$A$2:$J$4985,AD$2,FALSE),0)</f>
        <v>0</v>
      </c>
      <c r="AE47" s="163">
        <f>IFERROR(VLOOKUP($Z47,flows!$A$2:$J$4985,AE$2,FALSE),0)</f>
        <v>0</v>
      </c>
      <c r="AF47" s="163">
        <f>IFERROR(VLOOKUP($Z47,flows!$A$2:$J$4985,AF$2,FALSE),0)</f>
        <v>0</v>
      </c>
      <c r="AG47" s="163">
        <f>IFERROR(VLOOKUP($Z47,flows!$A$2:$J$4985,AG$2,FALSE),0)</f>
        <v>0</v>
      </c>
      <c r="AH47" s="163">
        <f>IFERROR(VLOOKUP($Z47,flows!$A$2:$J$4985,AH$2,FALSE),0)</f>
        <v>0</v>
      </c>
      <c r="AI47" s="163">
        <f>IFERROR(VLOOKUP($Z47,flows!$A$2:$J$4985,AI$2,FALSE),0)</f>
        <v>0</v>
      </c>
      <c r="AJ47" s="204"/>
      <c r="AK47" s="204"/>
      <c r="AL47" s="857" t="s">
        <v>4071</v>
      </c>
      <c r="AM47" s="204"/>
      <c r="AN47" s="204"/>
      <c r="AO47" s="204"/>
      <c r="AP47" s="204"/>
      <c r="AQ47" s="204"/>
      <c r="AR47" s="204"/>
      <c r="AS47" s="204"/>
      <c r="AT47" s="204"/>
      <c r="AU47" s="204"/>
      <c r="AV47" s="204"/>
      <c r="AW47" s="204"/>
      <c r="AX47" s="204"/>
      <c r="AY47" s="204"/>
      <c r="AZ47" s="204"/>
      <c r="BA47" s="204"/>
      <c r="BB47" s="204"/>
      <c r="BC47" s="204"/>
      <c r="BD47" s="204"/>
      <c r="BE47" s="204"/>
      <c r="BF47" s="854"/>
      <c r="BG47" s="204"/>
      <c r="BI47" s="389" t="s">
        <v>3016</v>
      </c>
      <c r="BJ47" s="338"/>
      <c r="BK47" s="163">
        <f>IFERROR(VLOOKUP($BI47,flows!$A$2:$J$4985,BK$2,FALSE),0)</f>
        <v>16962.440116572521</v>
      </c>
      <c r="BL47" s="163">
        <f>IFERROR(VLOOKUP($BI47,flows!$A$2:$J$4985,BL$2,FALSE),0)</f>
        <v>8914.2583358706434</v>
      </c>
      <c r="BM47" s="163">
        <f>IFERROR(VLOOKUP($BI47,flows!$A$2:$J$4985,BM$2,FALSE),0)</f>
        <v>9201.1003304431615</v>
      </c>
      <c r="BN47" s="163">
        <f>IFERROR(VLOOKUP($BI47,flows!$A$2:$J$4985,BN$2,FALSE),0)</f>
        <v>5189.8356660075406</v>
      </c>
      <c r="BO47" s="163">
        <f>IFERROR(VLOOKUP($BI47,flows!$A$2:$J$4985,BO$2,FALSE),0)</f>
        <v>8269.3169607167292</v>
      </c>
      <c r="BP47" s="163">
        <f>IFERROR(VLOOKUP($BI47,flows!$A$2:$J$4985,BP$2,FALSE),0)</f>
        <v>9286.4567816581311</v>
      </c>
      <c r="BQ47" s="163">
        <f>IFERROR(VLOOKUP($BI47,flows!$A$2:$J$4985,BQ$2,FALSE),0)</f>
        <v>14343.316454349169</v>
      </c>
      <c r="BR47" s="163">
        <f>IFERROR(VLOOKUP($BI47,flows!$A$2:$J$4985,BR$2,FALSE),0)</f>
        <v>0</v>
      </c>
    </row>
    <row r="48" spans="2:82" ht="14.5" x14ac:dyDescent="0.35">
      <c r="Z48" s="206" t="s">
        <v>834</v>
      </c>
      <c r="AA48" s="194"/>
      <c r="AB48" s="163">
        <f>IFERROR(VLOOKUP($Z48,flows!$A$2:$J$4985,AB$2,FALSE),0)</f>
        <v>0</v>
      </c>
      <c r="AC48" s="163">
        <f>IFERROR(VLOOKUP($Z48,flows!$A$2:$J$4985,AC$2,FALSE),0)</f>
        <v>0</v>
      </c>
      <c r="AD48" s="163">
        <f>IFERROR(VLOOKUP($Z48,flows!$A$2:$J$4985,AD$2,FALSE),0)</f>
        <v>0</v>
      </c>
      <c r="AE48" s="163">
        <f>IFERROR(VLOOKUP($Z48,flows!$A$2:$J$4985,AE$2,FALSE),0)</f>
        <v>0</v>
      </c>
      <c r="AF48" s="163">
        <f>IFERROR(VLOOKUP($Z48,flows!$A$2:$J$4985,AF$2,FALSE),0)</f>
        <v>0</v>
      </c>
      <c r="AG48" s="163">
        <f>IFERROR(VLOOKUP($Z48,flows!$A$2:$J$4985,AG$2,FALSE),0)</f>
        <v>0</v>
      </c>
      <c r="AH48" s="163">
        <f>IFERROR(VLOOKUP($Z48,flows!$A$2:$J$4985,AH$2,FALSE),0)</f>
        <v>0</v>
      </c>
      <c r="AI48" s="163">
        <f>IFERROR(VLOOKUP($Z48,flows!$A$2:$J$4985,AI$2,FALSE),0)</f>
        <v>0</v>
      </c>
      <c r="AJ48" s="204"/>
      <c r="AK48" s="204"/>
      <c r="AL48" s="204"/>
      <c r="AM48" s="204" t="s">
        <v>773</v>
      </c>
      <c r="AN48" s="163">
        <f>IFERROR(VLOOKUP($AM48,flows!$A$2:$J$4985,AN$2,FALSE),0)</f>
        <v>0</v>
      </c>
      <c r="AO48" s="163">
        <f>IFERROR(VLOOKUP($AM48,flows!$A$2:$J$4985,AO$2,FALSE),0)</f>
        <v>0</v>
      </c>
      <c r="AP48" s="163">
        <f>IFERROR(VLOOKUP($AM48,flows!$A$2:$J$4985,AP$2,FALSE),0)</f>
        <v>0</v>
      </c>
      <c r="AQ48" s="163">
        <f>IFERROR(VLOOKUP($AM48,flows!$A$2:$J$4985,AQ$2,FALSE),0)</f>
        <v>0</v>
      </c>
      <c r="AR48" s="163">
        <f>IFERROR(VLOOKUP($AM48,flows!$A$2:$J$4985,AR$2,FALSE),0)</f>
        <v>0</v>
      </c>
      <c r="AS48" s="163">
        <f>IFERROR(VLOOKUP($AM48,flows!$A$2:$J$4985,AS$2,FALSE),0)</f>
        <v>0</v>
      </c>
      <c r="AT48" s="163">
        <f>IFERROR(VLOOKUP($AM48,flows!$A$2:$J$4985,AT$2,FALSE),0)</f>
        <v>0</v>
      </c>
      <c r="AU48" s="163">
        <f>IFERROR(VLOOKUP($AM48,flows!$A$2:$J$4985,AU$2,FALSE),0)</f>
        <v>0</v>
      </c>
      <c r="AV48" s="204"/>
      <c r="AW48" s="204"/>
      <c r="AX48" s="204"/>
      <c r="AY48" s="204"/>
      <c r="AZ48" s="204"/>
      <c r="BA48" s="204"/>
      <c r="BB48" s="204"/>
      <c r="BC48" s="204"/>
      <c r="BD48" s="204"/>
      <c r="BE48" s="204"/>
      <c r="BF48" s="854"/>
      <c r="BG48" s="204"/>
      <c r="BI48" s="40" t="s">
        <v>3983</v>
      </c>
      <c r="BJ48" s="338"/>
      <c r="BK48" s="163">
        <f>IFERROR(VLOOKUP($BI48,flows!$A$2:$J$4985,BK$2,FALSE),0)</f>
        <v>394.22459428053332</v>
      </c>
      <c r="BL48" s="163">
        <f>IFERROR(VLOOKUP($BI48,flows!$A$2:$J$4985,BL$2,FALSE),0)</f>
        <v>0</v>
      </c>
      <c r="BM48" s="163">
        <f>IFERROR(VLOOKUP($BI48,flows!$A$2:$J$4985,BM$2,FALSE),0)</f>
        <v>2.5487253887334641E-6</v>
      </c>
      <c r="BN48" s="163">
        <f>IFERROR(VLOOKUP($BI48,flows!$A$2:$J$4985,BN$2,FALSE),0)</f>
        <v>4.1003570800233202E-9</v>
      </c>
      <c r="BO48" s="163">
        <f>IFERROR(VLOOKUP($BI48,flows!$A$2:$J$4985,BO$2,FALSE),0)</f>
        <v>9.4057131697178074E-9</v>
      </c>
      <c r="BP48" s="163">
        <f>IFERROR(VLOOKUP($BI48,flows!$A$2:$J$4985,BP$2,FALSE),0)</f>
        <v>359.88561064731277</v>
      </c>
      <c r="BQ48" s="163">
        <f>IFERROR(VLOOKUP($BI48,flows!$A$2:$J$4985,BQ$2,FALSE),0)</f>
        <v>394.22457204240118</v>
      </c>
      <c r="BR48" s="163">
        <f>IFERROR(VLOOKUP($BI48,flows!$A$2:$J$4985,BR$2,FALSE),0)</f>
        <v>0</v>
      </c>
    </row>
    <row r="49" spans="2:82" ht="14.5" x14ac:dyDescent="0.35">
      <c r="Z49" s="206" t="s">
        <v>835</v>
      </c>
      <c r="AA49" s="194"/>
      <c r="AB49" s="163">
        <f>IFERROR(VLOOKUP($Z49,flows!$A$2:$J$4985,AB$2,FALSE),0)</f>
        <v>0</v>
      </c>
      <c r="AC49" s="163">
        <f>IFERROR(VLOOKUP($Z49,flows!$A$2:$J$4985,AC$2,FALSE),0)</f>
        <v>0</v>
      </c>
      <c r="AD49" s="163">
        <f>IFERROR(VLOOKUP($Z49,flows!$A$2:$J$4985,AD$2,FALSE),0)</f>
        <v>0</v>
      </c>
      <c r="AE49" s="163">
        <f>IFERROR(VLOOKUP($Z49,flows!$A$2:$J$4985,AE$2,FALSE),0)</f>
        <v>0</v>
      </c>
      <c r="AF49" s="163">
        <f>IFERROR(VLOOKUP($Z49,flows!$A$2:$J$4985,AF$2,FALSE),0)</f>
        <v>0</v>
      </c>
      <c r="AG49" s="163">
        <f>IFERROR(VLOOKUP($Z49,flows!$A$2:$J$4985,AG$2,FALSE),0)</f>
        <v>0</v>
      </c>
      <c r="AH49" s="163">
        <f>IFERROR(VLOOKUP($Z49,flows!$A$2:$J$4985,AH$2,FALSE),0)</f>
        <v>0</v>
      </c>
      <c r="AI49" s="163">
        <f>IFERROR(VLOOKUP($Z49,flows!$A$2:$J$4985,AI$2,FALSE),0)</f>
        <v>0</v>
      </c>
      <c r="AJ49" s="204"/>
      <c r="AK49" s="204"/>
      <c r="AL49" s="204"/>
      <c r="AM49" s="204" t="s">
        <v>774</v>
      </c>
      <c r="AN49" s="163">
        <f>IFERROR(VLOOKUP($AM49,flows!$A$2:$J$4985,AN$2,FALSE),0)</f>
        <v>0</v>
      </c>
      <c r="AO49" s="163">
        <f>IFERROR(VLOOKUP($AM49,flows!$A$2:$J$4985,AO$2,FALSE),0)</f>
        <v>0</v>
      </c>
      <c r="AP49" s="163">
        <f>IFERROR(VLOOKUP($AM49,flows!$A$2:$J$4985,AP$2,FALSE),0)</f>
        <v>0</v>
      </c>
      <c r="AQ49" s="163">
        <f>IFERROR(VLOOKUP($AM49,flows!$A$2:$J$4985,AQ$2,FALSE),0)</f>
        <v>0</v>
      </c>
      <c r="AR49" s="163">
        <f>IFERROR(VLOOKUP($AM49,flows!$A$2:$J$4985,AR$2,FALSE),0)</f>
        <v>0</v>
      </c>
      <c r="AS49" s="163">
        <f>IFERROR(VLOOKUP($AM49,flows!$A$2:$J$4985,AS$2,FALSE),0)</f>
        <v>0</v>
      </c>
      <c r="AT49" s="163">
        <f>IFERROR(VLOOKUP($AM49,flows!$A$2:$J$4985,AT$2,FALSE),0)</f>
        <v>0</v>
      </c>
      <c r="AU49" s="163">
        <f>IFERROR(VLOOKUP($AM49,flows!$A$2:$J$4985,AU$2,FALSE),0)</f>
        <v>0</v>
      </c>
      <c r="AV49" s="204"/>
      <c r="AW49" s="204"/>
      <c r="AX49" s="204"/>
      <c r="AY49" s="204"/>
      <c r="AZ49" s="204"/>
      <c r="BA49" s="204"/>
      <c r="BB49" s="204"/>
      <c r="BC49" s="204"/>
      <c r="BD49" s="204"/>
      <c r="BE49" s="204"/>
      <c r="BF49" s="854"/>
      <c r="BG49" s="204"/>
      <c r="BI49" s="40" t="s">
        <v>3984</v>
      </c>
      <c r="BJ49" s="338"/>
      <c r="BK49" s="163">
        <f>IFERROR(VLOOKUP($BI49,flows!$A$2:$J$4985,BK$2,FALSE),0)</f>
        <v>1.9055911422199889E-4</v>
      </c>
      <c r="BL49" s="163">
        <f>IFERROR(VLOOKUP($BI49,flows!$A$2:$J$4985,BL$2,FALSE),0)</f>
        <v>0</v>
      </c>
      <c r="BM49" s="163">
        <f>IFERROR(VLOOKUP($BI49,flows!$A$2:$J$4985,BM$2,FALSE),0)</f>
        <v>5.6195081887828378E-6</v>
      </c>
      <c r="BN49" s="163">
        <f>IFERROR(VLOOKUP($BI49,flows!$A$2:$J$4985,BN$2,FALSE),0)</f>
        <v>1.055815935408965E-8</v>
      </c>
      <c r="BO49" s="163">
        <f>IFERROR(VLOOKUP($BI49,flows!$A$2:$J$4985,BO$2,FALSE),0)</f>
        <v>1.6342277725675351E-8</v>
      </c>
      <c r="BP49" s="163">
        <f>IFERROR(VLOOKUP($BI49,flows!$A$2:$J$4985,BP$2,FALSE),0)</f>
        <v>1.4740342977600579E-6</v>
      </c>
      <c r="BQ49" s="163">
        <f>IFERROR(VLOOKUP($BI49,flows!$A$2:$J$4985,BQ$2,FALSE),0)</f>
        <v>5.7081735640857255E-7</v>
      </c>
      <c r="BR49" s="163">
        <f>IFERROR(VLOOKUP($BI49,flows!$A$2:$J$4985,BR$2,FALSE),0)</f>
        <v>0</v>
      </c>
    </row>
    <row r="50" spans="2:82" ht="14.5" x14ac:dyDescent="0.35">
      <c r="B50" s="191" t="s">
        <v>1164</v>
      </c>
      <c r="F50" s="153" t="e">
        <f t="shared" ref="F50:K50" si="27">1-F32/$E32</f>
        <v>#DIV/0!</v>
      </c>
      <c r="G50" s="153" t="e">
        <f t="shared" si="27"/>
        <v>#DIV/0!</v>
      </c>
      <c r="H50" s="153" t="e">
        <f t="shared" si="27"/>
        <v>#DIV/0!</v>
      </c>
      <c r="I50" s="153" t="e">
        <f t="shared" si="27"/>
        <v>#DIV/0!</v>
      </c>
      <c r="J50" s="153" t="e">
        <f t="shared" si="27"/>
        <v>#DIV/0!</v>
      </c>
      <c r="K50" s="153" t="e">
        <f t="shared" si="27"/>
        <v>#DIV/0!</v>
      </c>
      <c r="Z50" s="206"/>
      <c r="AA50" s="194"/>
      <c r="AB50" s="163"/>
      <c r="AC50" s="163"/>
      <c r="AD50" s="163"/>
      <c r="AE50" s="163"/>
      <c r="AF50" s="163"/>
      <c r="AG50" s="163"/>
      <c r="AH50" s="163"/>
      <c r="AI50" s="163"/>
      <c r="AJ50" s="204"/>
      <c r="AK50" s="204"/>
      <c r="AL50" s="204"/>
      <c r="AM50" s="204" t="s">
        <v>775</v>
      </c>
      <c r="AN50" s="163">
        <f>IFERROR(VLOOKUP($AM50,flows!$A$2:$J$4985,AN$2,FALSE),0)</f>
        <v>0</v>
      </c>
      <c r="AO50" s="163">
        <f>IFERROR(VLOOKUP($AM50,flows!$A$2:$J$4985,AO$2,FALSE),0)</f>
        <v>0</v>
      </c>
      <c r="AP50" s="163">
        <f>IFERROR(VLOOKUP($AM50,flows!$A$2:$J$4985,AP$2,FALSE),0)</f>
        <v>0</v>
      </c>
      <c r="AQ50" s="163">
        <f>IFERROR(VLOOKUP($AM50,flows!$A$2:$J$4985,AQ$2,FALSE),0)</f>
        <v>0</v>
      </c>
      <c r="AR50" s="163">
        <f>IFERROR(VLOOKUP($AM50,flows!$A$2:$J$4985,AR$2,FALSE),0)</f>
        <v>0</v>
      </c>
      <c r="AS50" s="163">
        <f>IFERROR(VLOOKUP($AM50,flows!$A$2:$J$4985,AS$2,FALSE),0)</f>
        <v>0</v>
      </c>
      <c r="AT50" s="163">
        <f>IFERROR(VLOOKUP($AM50,flows!$A$2:$J$4985,AT$2,FALSE),0)</f>
        <v>0</v>
      </c>
      <c r="AU50" s="163">
        <f>IFERROR(VLOOKUP($AM50,flows!$A$2:$J$4985,AU$2,FALSE),0)</f>
        <v>0</v>
      </c>
      <c r="AV50" s="204"/>
      <c r="AW50" s="204"/>
      <c r="AX50" s="204"/>
      <c r="AY50" s="204"/>
      <c r="AZ50" s="204"/>
      <c r="BA50" s="204"/>
      <c r="BB50" s="204"/>
      <c r="BC50" s="204"/>
      <c r="BD50" s="204"/>
      <c r="BE50" s="204"/>
      <c r="BF50" s="854"/>
      <c r="BG50" s="204"/>
      <c r="BI50" s="40" t="s">
        <v>2877</v>
      </c>
      <c r="BJ50" s="338"/>
      <c r="BK50" s="163">
        <f>IFERROR(VLOOKUP($BI50,flows!$A$2:$J$4985,BK$2,FALSE),0)</f>
        <v>919.68199053053877</v>
      </c>
      <c r="BL50" s="163">
        <f>IFERROR(VLOOKUP($BI50,flows!$A$2:$J$4985,BL$2,FALSE),0)</f>
        <v>0</v>
      </c>
      <c r="BM50" s="163">
        <f>IFERROR(VLOOKUP($BI50,flows!$A$2:$J$4985,BM$2,FALSE),0)</f>
        <v>3.1172560806065281E-3</v>
      </c>
      <c r="BN50" s="163">
        <f>IFERROR(VLOOKUP($BI50,flows!$A$2:$J$4985,BN$2,FALSE),0)</f>
        <v>8.5357969499872604E-6</v>
      </c>
      <c r="BO50" s="163">
        <f>IFERROR(VLOOKUP($BI50,flows!$A$2:$J$4985,BO$2,FALSE),0)</f>
        <v>4.9670050767779704E-6</v>
      </c>
      <c r="BP50" s="163">
        <f>IFERROR(VLOOKUP($BI50,flows!$A$2:$J$4985,BP$2,FALSE),0)</f>
        <v>890.89414266379663</v>
      </c>
      <c r="BQ50" s="163">
        <f>IFERROR(VLOOKUP($BI50,flows!$A$2:$J$4985,BQ$2,FALSE),0)</f>
        <v>1187.0062860631581</v>
      </c>
      <c r="BR50" s="163">
        <f>IFERROR(VLOOKUP($BI50,flows!$A$2:$J$4985,BR$2,FALSE),0)</f>
        <v>0</v>
      </c>
    </row>
    <row r="51" spans="2:82" ht="14.5" x14ac:dyDescent="0.35">
      <c r="B51" s="191" t="s">
        <v>1331</v>
      </c>
      <c r="F51" s="153" t="e">
        <f>1-F33/$E33</f>
        <v>#DIV/0!</v>
      </c>
      <c r="G51" s="153" t="e">
        <f t="shared" ref="F51:K54" si="28">1-G33/$E33</f>
        <v>#DIV/0!</v>
      </c>
      <c r="H51" s="153" t="e">
        <f>1-H33/$E33</f>
        <v>#DIV/0!</v>
      </c>
      <c r="I51" s="153" t="e">
        <f t="shared" si="28"/>
        <v>#DIV/0!</v>
      </c>
      <c r="J51" s="153" t="e">
        <f t="shared" si="28"/>
        <v>#DIV/0!</v>
      </c>
      <c r="K51" s="153" t="e">
        <f t="shared" si="28"/>
        <v>#DIV/0!</v>
      </c>
      <c r="Z51" s="206" t="s">
        <v>1817</v>
      </c>
      <c r="AA51" s="194" t="s">
        <v>24</v>
      </c>
      <c r="AB51" s="163">
        <f>IFERROR(VLOOKUP($Z51,flows!$A$2:$J$4985,AB$2,FALSE),0)</f>
        <v>0</v>
      </c>
      <c r="AC51" s="163">
        <f>IFERROR(VLOOKUP($Z51,flows!$A$2:$J$4985,AC$2,FALSE),0)</f>
        <v>0</v>
      </c>
      <c r="AD51" s="163">
        <f>IFERROR(VLOOKUP($Z51,flows!$A$2:$J$4985,AD$2,FALSE),0)</f>
        <v>0</v>
      </c>
      <c r="AE51" s="163">
        <f>IFERROR(VLOOKUP($Z51,flows!$A$2:$J$4985,AE$2,FALSE),0)</f>
        <v>0</v>
      </c>
      <c r="AF51" s="163">
        <f>IFERROR(VLOOKUP($Z51,flows!$A$2:$J$4985,AF$2,FALSE),0)</f>
        <v>0</v>
      </c>
      <c r="AG51" s="163">
        <f>IFERROR(VLOOKUP($Z51,flows!$A$2:$J$4985,AG$2,FALSE),0)</f>
        <v>0</v>
      </c>
      <c r="AH51" s="163">
        <f>IFERROR(VLOOKUP($Z51,flows!$A$2:$J$4985,AH$2,FALSE),0)</f>
        <v>0</v>
      </c>
      <c r="AI51" s="163">
        <f>IFERROR(VLOOKUP($Z51,flows!$A$2:$J$4985,AI$2,FALSE),0)</f>
        <v>0</v>
      </c>
      <c r="AJ51" s="204"/>
      <c r="AK51" s="204"/>
      <c r="AL51" s="204"/>
      <c r="AM51" s="204" t="s">
        <v>776</v>
      </c>
      <c r="AN51" s="163">
        <f>IFERROR(VLOOKUP($AM51,flows!$A$2:$J$4985,AN$2,FALSE),0)</f>
        <v>0</v>
      </c>
      <c r="AO51" s="163">
        <f>IFERROR(VLOOKUP($AM51,flows!$A$2:$J$4985,AO$2,FALSE),0)</f>
        <v>0</v>
      </c>
      <c r="AP51" s="163">
        <f>IFERROR(VLOOKUP($AM51,flows!$A$2:$J$4985,AP$2,FALSE),0)</f>
        <v>0</v>
      </c>
      <c r="AQ51" s="163">
        <f>IFERROR(VLOOKUP($AM51,flows!$A$2:$J$4985,AQ$2,FALSE),0)</f>
        <v>0</v>
      </c>
      <c r="AR51" s="163">
        <f>IFERROR(VLOOKUP($AM51,flows!$A$2:$J$4985,AR$2,FALSE),0)</f>
        <v>0</v>
      </c>
      <c r="AS51" s="163">
        <f>IFERROR(VLOOKUP($AM51,flows!$A$2:$J$4985,AS$2,FALSE),0)</f>
        <v>0</v>
      </c>
      <c r="AT51" s="163">
        <f>IFERROR(VLOOKUP($AM51,flows!$A$2:$J$4985,AT$2,FALSE),0)</f>
        <v>0</v>
      </c>
      <c r="AU51" s="163">
        <f>IFERROR(VLOOKUP($AM51,flows!$A$2:$J$4985,AU$2,FALSE),0)</f>
        <v>0</v>
      </c>
      <c r="AV51" s="204"/>
      <c r="AW51" s="204"/>
      <c r="AX51" s="204"/>
      <c r="AY51" s="204"/>
      <c r="AZ51" s="204"/>
      <c r="BA51" s="204"/>
      <c r="BB51" s="204"/>
      <c r="BC51" s="204"/>
      <c r="BD51" s="204"/>
      <c r="BE51" s="204"/>
      <c r="BF51" s="854"/>
      <c r="BG51" s="204"/>
      <c r="BI51" s="79" t="s">
        <v>2551</v>
      </c>
    </row>
    <row r="52" spans="2:82" ht="14.5" x14ac:dyDescent="0.35">
      <c r="B52" s="191" t="s">
        <v>1166</v>
      </c>
      <c r="F52" s="153" t="e">
        <f t="shared" si="28"/>
        <v>#N/A</v>
      </c>
      <c r="G52" s="153" t="e">
        <f t="shared" si="28"/>
        <v>#N/A</v>
      </c>
      <c r="H52" s="153" t="e">
        <f t="shared" si="28"/>
        <v>#N/A</v>
      </c>
      <c r="I52" s="153" t="e">
        <f t="shared" si="28"/>
        <v>#N/A</v>
      </c>
      <c r="J52" s="153" t="e">
        <f t="shared" si="28"/>
        <v>#N/A</v>
      </c>
      <c r="K52" s="153" t="e">
        <f>1-K34/$E34</f>
        <v>#N/A</v>
      </c>
      <c r="Z52" s="206" t="s">
        <v>1818</v>
      </c>
      <c r="AA52" s="194" t="s">
        <v>1241</v>
      </c>
      <c r="AB52" s="163">
        <f>IFERROR(VLOOKUP($Z52,flows!$A$2:$J$4985,AB$2,FALSE),0)</f>
        <v>114919.2139592431</v>
      </c>
      <c r="AC52" s="163">
        <f>IFERROR(VLOOKUP($Z52,flows!$A$2:$J$4985,AC$2,FALSE),0)</f>
        <v>11255.74357974178</v>
      </c>
      <c r="AD52" s="163">
        <f>IFERROR(VLOOKUP($Z52,flows!$A$2:$J$4985,AD$2,FALSE),0)</f>
        <v>22864.083470322981</v>
      </c>
      <c r="AE52" s="163">
        <f>IFERROR(VLOOKUP($Z52,flows!$A$2:$J$4985,AE$2,FALSE),0)</f>
        <v>40537.188651640012</v>
      </c>
      <c r="AF52" s="163">
        <f>IFERROR(VLOOKUP($Z52,flows!$A$2:$J$4985,AF$2,FALSE),0)</f>
        <v>76491.508325183255</v>
      </c>
      <c r="AG52" s="163">
        <f>IFERROR(VLOOKUP($Z52,flows!$A$2:$J$4985,AG$2,FALSE),0)</f>
        <v>90534.40706327511</v>
      </c>
      <c r="AH52" s="163">
        <f>IFERROR(VLOOKUP($Z52,flows!$A$2:$J$4985,AH$2,FALSE),0)</f>
        <v>112924.83044288339</v>
      </c>
      <c r="AI52" s="163">
        <f>IFERROR(VLOOKUP($Z52,flows!$A$2:$J$4985,AI$2,FALSE),0)</f>
        <v>0</v>
      </c>
      <c r="AJ52" s="204"/>
      <c r="AK52" s="204"/>
      <c r="AL52" s="204"/>
      <c r="AM52" s="204" t="s">
        <v>777</v>
      </c>
      <c r="AN52" s="163">
        <f>IFERROR(VLOOKUP($AM52,flows!$A$2:$J$4985,AN$2,FALSE),0)</f>
        <v>0</v>
      </c>
      <c r="AO52" s="163">
        <f>IFERROR(VLOOKUP($AM52,flows!$A$2:$J$4985,AO$2,FALSE),0)</f>
        <v>0</v>
      </c>
      <c r="AP52" s="163">
        <f>IFERROR(VLOOKUP($AM52,flows!$A$2:$J$4985,AP$2,FALSE),0)</f>
        <v>0</v>
      </c>
      <c r="AQ52" s="163">
        <f>IFERROR(VLOOKUP($AM52,flows!$A$2:$J$4985,AQ$2,FALSE),0)</f>
        <v>0</v>
      </c>
      <c r="AR52" s="163">
        <f>IFERROR(VLOOKUP($AM52,flows!$A$2:$J$4985,AR$2,FALSE),0)</f>
        <v>0</v>
      </c>
      <c r="AS52" s="163">
        <f>IFERROR(VLOOKUP($AM52,flows!$A$2:$J$4985,AS$2,FALSE),0)</f>
        <v>0</v>
      </c>
      <c r="AT52" s="163">
        <f>IFERROR(VLOOKUP($AM52,flows!$A$2:$J$4985,AT$2,FALSE),0)</f>
        <v>0</v>
      </c>
      <c r="AU52" s="163">
        <f>IFERROR(VLOOKUP($AM52,flows!$A$2:$J$4985,AU$2,FALSE),0)</f>
        <v>0</v>
      </c>
      <c r="AV52" s="204"/>
      <c r="AW52" s="204"/>
      <c r="AX52" s="204"/>
      <c r="AY52" s="204"/>
      <c r="AZ52" s="204"/>
      <c r="BA52" s="204"/>
      <c r="BB52" s="204"/>
      <c r="BC52" s="204"/>
      <c r="BD52" s="204"/>
      <c r="BE52" s="204"/>
      <c r="BF52" s="854"/>
      <c r="BG52" s="204"/>
      <c r="BI52" s="191" t="s">
        <v>4308</v>
      </c>
      <c r="BK52" s="163">
        <f>IFERROR(VLOOKUP($BI52,flows!$A$2:$J$4985,BK$2,FALSE),0)</f>
        <v>1327.499701174271</v>
      </c>
      <c r="BL52" s="163">
        <f>IFERROR(VLOOKUP($BI52,flows!$A$2:$J$4985,BL$2,FALSE),0)</f>
        <v>15048.089657532269</v>
      </c>
      <c r="BM52" s="163">
        <f>IFERROR(VLOOKUP($BI52,flows!$A$2:$J$4985,BM$2,FALSE),0)</f>
        <v>16226.034049588799</v>
      </c>
      <c r="BN52" s="163">
        <f>IFERROR(VLOOKUP($BI52,flows!$A$2:$J$4985,BN$2,FALSE),0)</f>
        <v>15405.04917850946</v>
      </c>
      <c r="BO52" s="163">
        <f>IFERROR(VLOOKUP($BI52,flows!$A$2:$J$4985,BO$2,FALSE),0)</f>
        <v>12453.17451525314</v>
      </c>
      <c r="BP52" s="163">
        <f>IFERROR(VLOOKUP($BI52,flows!$A$2:$J$4985,BP$2,FALSE),0)</f>
        <v>5147.8333350546627</v>
      </c>
      <c r="BQ52" s="163">
        <f>IFERROR(VLOOKUP($BI52,flows!$A$2:$J$4985,BQ$2,FALSE),0)</f>
        <v>1327.485688405879</v>
      </c>
      <c r="BR52" s="163">
        <f>IFERROR(VLOOKUP($BI52,flows!$A$2:$J$4985,BR$2,FALSE),0)</f>
        <v>0</v>
      </c>
    </row>
    <row r="53" spans="2:82" ht="14.5" x14ac:dyDescent="0.35">
      <c r="B53" s="191" t="s">
        <v>1165</v>
      </c>
      <c r="F53" s="153">
        <f t="shared" si="28"/>
        <v>0</v>
      </c>
      <c r="G53" s="153">
        <f t="shared" si="28"/>
        <v>0</v>
      </c>
      <c r="H53" s="153">
        <f t="shared" si="28"/>
        <v>0</v>
      </c>
      <c r="I53" s="153">
        <f t="shared" si="28"/>
        <v>0</v>
      </c>
      <c r="J53" s="153">
        <f t="shared" si="28"/>
        <v>0</v>
      </c>
      <c r="K53" s="153">
        <f t="shared" si="28"/>
        <v>0</v>
      </c>
      <c r="Z53" s="206" t="s">
        <v>4115</v>
      </c>
      <c r="AA53" s="194" t="s">
        <v>4120</v>
      </c>
      <c r="AB53" s="163">
        <f>IFERROR(VLOOKUP($Z53,flows!$A$2:$J$4985,AB$2,FALSE),0)</f>
        <v>25367.273034652699</v>
      </c>
      <c r="AC53" s="163">
        <f>IFERROR(VLOOKUP($Z53,flows!$A$2:$J$4985,AC$2,FALSE),0)</f>
        <v>0</v>
      </c>
      <c r="AD53" s="163">
        <f>IFERROR(VLOOKUP($Z53,flows!$A$2:$J$4985,AD$2,FALSE),0)</f>
        <v>638.6015714041506</v>
      </c>
      <c r="AE53" s="163">
        <f>IFERROR(VLOOKUP($Z53,flows!$A$2:$J$4985,AE$2,FALSE),0)</f>
        <v>5074.7066081926969</v>
      </c>
      <c r="AF53" s="163">
        <f>IFERROR(VLOOKUP($Z53,flows!$A$2:$J$4985,AF$2,FALSE),0)</f>
        <v>12990.668015000179</v>
      </c>
      <c r="AG53" s="163">
        <f>IFERROR(VLOOKUP($Z53,flows!$A$2:$J$4985,AG$2,FALSE),0)</f>
        <v>13226.229999740821</v>
      </c>
      <c r="AH53" s="163">
        <f>IFERROR(VLOOKUP($Z53,flows!$A$2:$J$4985,AH$2,FALSE),0)</f>
        <v>25267.6144292067</v>
      </c>
      <c r="AI53" s="163">
        <f>IFERROR(VLOOKUP($Z53,flows!$A$2:$J$4985,AI$2,FALSE),0)</f>
        <v>0</v>
      </c>
      <c r="AJ53" s="204"/>
      <c r="AK53" s="204"/>
      <c r="AL53" s="204"/>
      <c r="AM53" s="204" t="s">
        <v>778</v>
      </c>
      <c r="AN53" s="163">
        <f>IFERROR(VLOOKUP($AM53,flows!$A$2:$J$4985,AN$2,FALSE),0)</f>
        <v>0</v>
      </c>
      <c r="AO53" s="163">
        <f>IFERROR(VLOOKUP($AM53,flows!$A$2:$J$4985,AO$2,FALSE),0)</f>
        <v>0</v>
      </c>
      <c r="AP53" s="163">
        <f>IFERROR(VLOOKUP($AM53,flows!$A$2:$J$4985,AP$2,FALSE),0)</f>
        <v>0</v>
      </c>
      <c r="AQ53" s="163">
        <f>IFERROR(VLOOKUP($AM53,flows!$A$2:$J$4985,AQ$2,FALSE),0)</f>
        <v>0</v>
      </c>
      <c r="AR53" s="163">
        <f>IFERROR(VLOOKUP($AM53,flows!$A$2:$J$4985,AR$2,FALSE),0)</f>
        <v>0</v>
      </c>
      <c r="AS53" s="163">
        <f>IFERROR(VLOOKUP($AM53,flows!$A$2:$J$4985,AS$2,FALSE),0)</f>
        <v>0</v>
      </c>
      <c r="AT53" s="163">
        <f>IFERROR(VLOOKUP($AM53,flows!$A$2:$J$4985,AT$2,FALSE),0)</f>
        <v>0</v>
      </c>
      <c r="AU53" s="163">
        <f>IFERROR(VLOOKUP($AM53,flows!$A$2:$J$4985,AU$2,FALSE),0)</f>
        <v>0</v>
      </c>
      <c r="AV53" s="204"/>
      <c r="AW53" s="204"/>
      <c r="AX53" s="204"/>
      <c r="AY53" s="204"/>
      <c r="AZ53" s="204"/>
      <c r="BA53" s="204"/>
      <c r="BB53" s="204"/>
      <c r="BC53" s="204"/>
      <c r="BD53" s="204"/>
      <c r="BE53" s="204"/>
      <c r="BF53" s="854"/>
      <c r="BG53" s="204"/>
      <c r="BI53" s="191" t="s">
        <v>4309</v>
      </c>
      <c r="BK53" s="163">
        <f>IFERROR(VLOOKUP($BI53,flows!$A$2:$J$4985,BK$2,FALSE),0)</f>
        <v>15886.69895914054</v>
      </c>
      <c r="BL53" s="163">
        <f>IFERROR(VLOOKUP($BI53,flows!$A$2:$J$4985,BL$2,FALSE),0)</f>
        <v>4557.5414327415228</v>
      </c>
      <c r="BM53" s="163">
        <f>IFERROR(VLOOKUP($BI53,flows!$A$2:$J$4985,BM$2,FALSE),0)</f>
        <v>5127.0050497940692</v>
      </c>
      <c r="BN53" s="163">
        <f>IFERROR(VLOOKUP($BI53,flows!$A$2:$J$4985,BN$2,FALSE),0)</f>
        <v>26012.246016510489</v>
      </c>
      <c r="BO53" s="163">
        <f>IFERROR(VLOOKUP($BI53,flows!$A$2:$J$4985,BO$2,FALSE),0)</f>
        <v>62117.568804889161</v>
      </c>
      <c r="BP53" s="163">
        <f>IFERROR(VLOOKUP($BI53,flows!$A$2:$J$4985,BP$2,FALSE),0)</f>
        <v>122117.9383480804</v>
      </c>
      <c r="BQ53" s="163">
        <f>IFERROR(VLOOKUP($BI53,flows!$A$2:$J$4985,BQ$2,FALSE),0)</f>
        <v>15661.179898431221</v>
      </c>
      <c r="BR53" s="163">
        <f>IFERROR(VLOOKUP($BI53,flows!$A$2:$J$4985,BR$2,FALSE),0)</f>
        <v>0</v>
      </c>
    </row>
    <row r="54" spans="2:82" ht="14.5" x14ac:dyDescent="0.35">
      <c r="B54" s="191" t="s">
        <v>1339</v>
      </c>
      <c r="F54" s="153" t="e">
        <f t="shared" si="28"/>
        <v>#DIV/0!</v>
      </c>
      <c r="G54" s="153" t="e">
        <f t="shared" si="28"/>
        <v>#DIV/0!</v>
      </c>
      <c r="H54" s="153" t="e">
        <f t="shared" si="28"/>
        <v>#DIV/0!</v>
      </c>
      <c r="I54" s="153" t="e">
        <f t="shared" si="28"/>
        <v>#DIV/0!</v>
      </c>
      <c r="J54" s="153" t="e">
        <f t="shared" si="28"/>
        <v>#DIV/0!</v>
      </c>
      <c r="K54" s="153" t="e">
        <f t="shared" si="28"/>
        <v>#DIV/0!</v>
      </c>
      <c r="Z54" s="206"/>
      <c r="AA54" s="194"/>
      <c r="AB54" s="163"/>
      <c r="AC54" s="163"/>
      <c r="AD54" s="163"/>
      <c r="AE54" s="163"/>
      <c r="AF54" s="163"/>
      <c r="AG54" s="163"/>
      <c r="AH54" s="163"/>
      <c r="AI54" s="163"/>
      <c r="AJ54" s="204"/>
      <c r="AK54" s="204"/>
      <c r="AL54" s="204"/>
      <c r="AM54" s="204" t="s">
        <v>779</v>
      </c>
      <c r="AN54" s="163">
        <f>IFERROR(VLOOKUP($AM54,flows!$A$2:$J$4985,AN$2,FALSE),0)</f>
        <v>0</v>
      </c>
      <c r="AO54" s="163">
        <f>IFERROR(VLOOKUP($AM54,flows!$A$2:$J$4985,AO$2,FALSE),0)</f>
        <v>0</v>
      </c>
      <c r="AP54" s="163">
        <f>IFERROR(VLOOKUP($AM54,flows!$A$2:$J$4985,AP$2,FALSE),0)</f>
        <v>0</v>
      </c>
      <c r="AQ54" s="163">
        <f>IFERROR(VLOOKUP($AM54,flows!$A$2:$J$4985,AQ$2,FALSE),0)</f>
        <v>0</v>
      </c>
      <c r="AR54" s="163">
        <f>IFERROR(VLOOKUP($AM54,flows!$A$2:$J$4985,AR$2,FALSE),0)</f>
        <v>0</v>
      </c>
      <c r="AS54" s="163">
        <f>IFERROR(VLOOKUP($AM54,flows!$A$2:$J$4985,AS$2,FALSE),0)</f>
        <v>0</v>
      </c>
      <c r="AT54" s="163">
        <f>IFERROR(VLOOKUP($AM54,flows!$A$2:$J$4985,AT$2,FALSE),0)</f>
        <v>0</v>
      </c>
      <c r="AU54" s="163">
        <f>IFERROR(VLOOKUP($AM54,flows!$A$2:$J$4985,AU$2,FALSE),0)</f>
        <v>0</v>
      </c>
      <c r="AV54" s="204"/>
      <c r="AW54" s="204"/>
      <c r="AX54" s="204"/>
      <c r="AY54" s="204"/>
      <c r="AZ54" s="204"/>
      <c r="BA54" s="204"/>
      <c r="BB54" s="204"/>
      <c r="BC54" s="204"/>
      <c r="BD54" s="204"/>
      <c r="BE54" s="204"/>
      <c r="BF54" s="854"/>
      <c r="BG54" s="204"/>
      <c r="BI54" s="387" t="s">
        <v>2995</v>
      </c>
      <c r="BJ54" s="342"/>
      <c r="BK54" s="163">
        <f>IFERROR(VLOOKUP($BI54,flows!$A$2:$J$4985,BK$2,FALSE),0)</f>
        <v>5.1872406854841693E-2</v>
      </c>
      <c r="BL54" s="163">
        <f>IFERROR(VLOOKUP($BI54,flows!$A$2:$J$4985,BL$2,FALSE),0)</f>
        <v>5225.941373157103</v>
      </c>
      <c r="BM54" s="163">
        <f>IFERROR(VLOOKUP($BI54,flows!$A$2:$J$4985,BM$2,FALSE),0)</f>
        <v>4614.8026660096066</v>
      </c>
      <c r="BN54" s="163">
        <f>IFERROR(VLOOKUP($BI54,flows!$A$2:$J$4985,BN$2,FALSE),0)</f>
        <v>1049.75718761077</v>
      </c>
      <c r="BO54" s="163">
        <f>IFERROR(VLOOKUP($BI54,flows!$A$2:$J$4985,BO$2,FALSE),0)</f>
        <v>25.564910906472079</v>
      </c>
      <c r="BP54" s="163">
        <f>IFERROR(VLOOKUP($BI54,flows!$A$2:$J$4985,BP$2,FALSE),0)</f>
        <v>11.217998058961919</v>
      </c>
      <c r="BQ54" s="163">
        <f>IFERROR(VLOOKUP($BI54,flows!$A$2:$J$4985,BQ$2,FALSE),0)</f>
        <v>2.898188296573404E-4</v>
      </c>
      <c r="BR54" s="163">
        <f>IFERROR(VLOOKUP($BI54,flows!$A$2:$J$4985,BR$2,FALSE),0)</f>
        <v>0</v>
      </c>
    </row>
    <row r="55" spans="2:82" ht="14.5" x14ac:dyDescent="0.35">
      <c r="Z55" s="206" t="s">
        <v>1819</v>
      </c>
      <c r="AA55" s="194" t="s">
        <v>1186</v>
      </c>
      <c r="AB55" s="163">
        <f>IFERROR(VLOOKUP($Z55,flows!$A$2:$J$4985,AB$2,FALSE),0)</f>
        <v>0</v>
      </c>
      <c r="AC55" s="163">
        <f>IFERROR(VLOOKUP($Z55,flows!$A$2:$J$4985,AC$2,FALSE),0)</f>
        <v>0</v>
      </c>
      <c r="AD55" s="163">
        <f>IFERROR(VLOOKUP($Z55,flows!$A$2:$J$4985,AD$2,FALSE),0)</f>
        <v>0</v>
      </c>
      <c r="AE55" s="163">
        <f>IFERROR(VLOOKUP($Z55,flows!$A$2:$J$4985,AE$2,FALSE),0)</f>
        <v>0</v>
      </c>
      <c r="AF55" s="163">
        <f>IFERROR(VLOOKUP($Z55,flows!$A$2:$J$4985,AF$2,FALSE),0)</f>
        <v>0</v>
      </c>
      <c r="AG55" s="163">
        <f>IFERROR(VLOOKUP($Z55,flows!$A$2:$J$4985,AG$2,FALSE),0)</f>
        <v>0</v>
      </c>
      <c r="AH55" s="163">
        <f>IFERROR(VLOOKUP($Z55,flows!$A$2:$J$4985,AH$2,FALSE),0)</f>
        <v>0</v>
      </c>
      <c r="AI55" s="163">
        <f>IFERROR(VLOOKUP($Z55,flows!$A$2:$J$4985,AI$2,FALSE),0)</f>
        <v>0</v>
      </c>
      <c r="AJ55" s="204"/>
      <c r="AK55" s="204"/>
      <c r="AL55" s="204"/>
      <c r="AM55" s="204" t="s">
        <v>1817</v>
      </c>
      <c r="AN55" s="163">
        <f>IFERROR(VLOOKUP($AM55,flows!$A$2:$J$4985,AN$2,FALSE),0)</f>
        <v>0</v>
      </c>
      <c r="AO55" s="163">
        <f>IFERROR(VLOOKUP($AM55,flows!$A$2:$J$4985,AO$2,FALSE),0)</f>
        <v>0</v>
      </c>
      <c r="AP55" s="163">
        <f>IFERROR(VLOOKUP($AM55,flows!$A$2:$J$4985,AP$2,FALSE),0)</f>
        <v>0</v>
      </c>
      <c r="AQ55" s="163">
        <f>IFERROR(VLOOKUP($AM55,flows!$A$2:$J$4985,AQ$2,FALSE),0)</f>
        <v>0</v>
      </c>
      <c r="AR55" s="163">
        <f>IFERROR(VLOOKUP($AM55,flows!$A$2:$J$4985,AR$2,FALSE),0)</f>
        <v>0</v>
      </c>
      <c r="AS55" s="163">
        <f>IFERROR(VLOOKUP($AM55,flows!$A$2:$J$4985,AS$2,FALSE),0)</f>
        <v>0</v>
      </c>
      <c r="AT55" s="163">
        <f>IFERROR(VLOOKUP($AM55,flows!$A$2:$J$4985,AT$2,FALSE),0)</f>
        <v>0</v>
      </c>
      <c r="AU55" s="163">
        <f>IFERROR(VLOOKUP($AM55,flows!$A$2:$J$4985,AU$2,FALSE),0)</f>
        <v>0</v>
      </c>
      <c r="AV55" s="204"/>
      <c r="AW55" s="204"/>
      <c r="AX55" s="204"/>
      <c r="AY55" s="204"/>
      <c r="AZ55" s="204"/>
      <c r="BA55" s="204"/>
      <c r="BB55" s="204"/>
      <c r="BC55" s="204"/>
      <c r="BD55" s="204"/>
      <c r="BE55" s="204"/>
      <c r="BF55" s="854"/>
      <c r="BG55" s="204"/>
      <c r="BI55" s="387" t="s">
        <v>2978</v>
      </c>
      <c r="BJ55" s="342"/>
      <c r="BK55" s="163">
        <f>IFERROR(VLOOKUP($BI55,flows!$A$2:$J$4985,BK$2,FALSE),0)</f>
        <v>5.2090263070617267E-2</v>
      </c>
      <c r="BL55" s="163">
        <f>IFERROR(VLOOKUP($BI55,flows!$A$2:$J$4985,BL$2,FALSE),0)</f>
        <v>18459.13312967023</v>
      </c>
      <c r="BM55" s="163">
        <f>IFERROR(VLOOKUP($BI55,flows!$A$2:$J$4985,BM$2,FALSE),0)</f>
        <v>20909.604965384518</v>
      </c>
      <c r="BN55" s="163">
        <f>IFERROR(VLOOKUP($BI55,flows!$A$2:$J$4985,BN$2,FALSE),0)</f>
        <v>8199.5814038235894</v>
      </c>
      <c r="BO55" s="163">
        <f>IFERROR(VLOOKUP($BI55,flows!$A$2:$J$4985,BO$2,FALSE),0)</f>
        <v>765.87913030661878</v>
      </c>
      <c r="BP55" s="163">
        <f>IFERROR(VLOOKUP($BI55,flows!$A$2:$J$4985,BP$2,FALSE),0)</f>
        <v>3657.874838557133</v>
      </c>
      <c r="BQ55" s="163">
        <f>IFERROR(VLOOKUP($BI55,flows!$A$2:$J$4985,BQ$2,FALSE),0)</f>
        <v>2.8714420488176712E-4</v>
      </c>
      <c r="BR55" s="163">
        <f>IFERROR(VLOOKUP($BI55,flows!$A$2:$J$4985,BR$2,FALSE),0)</f>
        <v>0</v>
      </c>
    </row>
    <row r="56" spans="2:82" ht="14.5" x14ac:dyDescent="0.35">
      <c r="Z56" s="206" t="s">
        <v>160</v>
      </c>
      <c r="AA56" s="194" t="s">
        <v>1187</v>
      </c>
      <c r="AB56" s="163">
        <f>IFERROR(VLOOKUP($Z56,flows!$A$2:$J$4985,AB$2,FALSE),0)</f>
        <v>0</v>
      </c>
      <c r="AC56" s="163">
        <f>IFERROR(VLOOKUP($Z56,flows!$A$2:$J$4985,AC$2,FALSE),0)</f>
        <v>0</v>
      </c>
      <c r="AD56" s="163">
        <f>IFERROR(VLOOKUP($Z56,flows!$A$2:$J$4985,AD$2,FALSE),0)</f>
        <v>0</v>
      </c>
      <c r="AE56" s="163">
        <f>IFERROR(VLOOKUP($Z56,flows!$A$2:$J$4985,AE$2,FALSE),0)</f>
        <v>0</v>
      </c>
      <c r="AF56" s="163">
        <f>IFERROR(VLOOKUP($Z56,flows!$A$2:$J$4985,AF$2,FALSE),0)</f>
        <v>0</v>
      </c>
      <c r="AG56" s="163">
        <f>IFERROR(VLOOKUP($Z56,flows!$A$2:$J$4985,AG$2,FALSE),0)</f>
        <v>0</v>
      </c>
      <c r="AH56" s="163">
        <f>IFERROR(VLOOKUP($Z56,flows!$A$2:$J$4985,AH$2,FALSE),0)</f>
        <v>0</v>
      </c>
      <c r="AI56" s="163">
        <f>IFERROR(VLOOKUP($Z56,flows!$A$2:$J$4985,AI$2,FALSE),0)</f>
        <v>0</v>
      </c>
      <c r="AJ56" s="204"/>
      <c r="AK56" s="204"/>
      <c r="AL56" s="204"/>
      <c r="AM56" s="204" t="s">
        <v>1818</v>
      </c>
      <c r="AN56" s="163">
        <f>IFERROR(VLOOKUP($AM56,flows!$A$2:$J$4985,AN$2,FALSE),0)</f>
        <v>114919.2139592431</v>
      </c>
      <c r="AO56" s="163">
        <f>IFERROR(VLOOKUP($AM56,flows!$A$2:$J$4985,AO$2,FALSE),0)</f>
        <v>11255.74357974178</v>
      </c>
      <c r="AP56" s="163">
        <f>IFERROR(VLOOKUP($AM56,flows!$A$2:$J$4985,AP$2,FALSE),0)</f>
        <v>22864.083470322981</v>
      </c>
      <c r="AQ56" s="163">
        <f>IFERROR(VLOOKUP($AM56,flows!$A$2:$J$4985,AQ$2,FALSE),0)</f>
        <v>40537.188651640012</v>
      </c>
      <c r="AR56" s="163">
        <f>IFERROR(VLOOKUP($AM56,flows!$A$2:$J$4985,AR$2,FALSE),0)</f>
        <v>76491.508325183255</v>
      </c>
      <c r="AS56" s="163">
        <f>IFERROR(VLOOKUP($AM56,flows!$A$2:$J$4985,AS$2,FALSE),0)</f>
        <v>90534.40706327511</v>
      </c>
      <c r="AT56" s="163">
        <f>IFERROR(VLOOKUP($AM56,flows!$A$2:$J$4985,AT$2,FALSE),0)</f>
        <v>112924.83044288339</v>
      </c>
      <c r="AU56" s="163">
        <f>IFERROR(VLOOKUP($AM56,flows!$A$2:$J$4985,AU$2,FALSE),0)</f>
        <v>0</v>
      </c>
      <c r="AW56" s="204"/>
      <c r="AX56" s="204"/>
      <c r="AY56" s="204"/>
      <c r="AZ56" s="204"/>
      <c r="BA56" s="204"/>
      <c r="BB56" s="204"/>
      <c r="BC56" s="204"/>
      <c r="BD56" s="204"/>
      <c r="BE56" s="204"/>
      <c r="BF56" s="854"/>
      <c r="BG56" s="204"/>
      <c r="BI56" s="342" t="s">
        <v>2867</v>
      </c>
      <c r="BK56" s="163">
        <f>IFERROR(VLOOKUP($BI56,flows!$A$2:$J$4985,BK$2,FALSE),0)</f>
        <v>0</v>
      </c>
      <c r="BL56" s="163">
        <f>IFERROR(VLOOKUP($BI56,flows!$A$2:$J$4985,BL$2,FALSE),0)</f>
        <v>0</v>
      </c>
      <c r="BM56" s="163">
        <f>IFERROR(VLOOKUP($BI56,flows!$A$2:$J$4985,BM$2,FALSE),0)</f>
        <v>0</v>
      </c>
      <c r="BN56" s="163">
        <f>IFERROR(VLOOKUP($BI56,flows!$A$2:$J$4985,BN$2,FALSE),0)</f>
        <v>0</v>
      </c>
      <c r="BO56" s="163">
        <f>IFERROR(VLOOKUP($BI56,flows!$A$2:$J$4985,BO$2,FALSE),0)</f>
        <v>0</v>
      </c>
      <c r="BP56" s="163">
        <f>IFERROR(VLOOKUP($BI56,flows!$A$2:$J$4985,BP$2,FALSE),0)</f>
        <v>0</v>
      </c>
      <c r="BQ56" s="163">
        <f>IFERROR(VLOOKUP($BI56,flows!$A$2:$J$4985,BQ$2,FALSE),0)</f>
        <v>0</v>
      </c>
      <c r="BR56" s="163">
        <f>IFERROR(VLOOKUP($BI56,flows!$A$2:$J$4985,BR$2,FALSE),0)</f>
        <v>0</v>
      </c>
    </row>
    <row r="57" spans="2:82" ht="14.5" x14ac:dyDescent="0.35">
      <c r="Z57" s="206" t="s">
        <v>163</v>
      </c>
      <c r="AA57" s="194" t="s">
        <v>1188</v>
      </c>
      <c r="AB57" s="163">
        <f>IFERROR(VLOOKUP($Z57,flows!$A$2:$J$4985,AB$2,FALSE),0)</f>
        <v>0</v>
      </c>
      <c r="AC57" s="163">
        <f>IFERROR(VLOOKUP($Z57,flows!$A$2:$J$4985,AC$2,FALSE),0)</f>
        <v>0</v>
      </c>
      <c r="AD57" s="163">
        <f>IFERROR(VLOOKUP($Z57,flows!$A$2:$J$4985,AD$2,FALSE),0)</f>
        <v>0</v>
      </c>
      <c r="AE57" s="163">
        <f>IFERROR(VLOOKUP($Z57,flows!$A$2:$J$4985,AE$2,FALSE),0)</f>
        <v>0</v>
      </c>
      <c r="AF57" s="163">
        <f>IFERROR(VLOOKUP($Z57,flows!$A$2:$J$4985,AF$2,FALSE),0)</f>
        <v>0</v>
      </c>
      <c r="AG57" s="163">
        <f>IFERROR(VLOOKUP($Z57,flows!$A$2:$J$4985,AG$2,FALSE),0)</f>
        <v>0</v>
      </c>
      <c r="AH57" s="163">
        <f>IFERROR(VLOOKUP($Z57,flows!$A$2:$J$4985,AH$2,FALSE),0)</f>
        <v>0</v>
      </c>
      <c r="AI57" s="163">
        <f>IFERROR(VLOOKUP($Z57,flows!$A$2:$J$4985,AI$2,FALSE),0)</f>
        <v>0</v>
      </c>
      <c r="AJ57" s="204"/>
      <c r="AK57" s="204"/>
      <c r="AL57" s="204"/>
      <c r="AM57" s="204" t="s">
        <v>4115</v>
      </c>
      <c r="AN57" s="163">
        <f>IFERROR(VLOOKUP($AM57,flows!$A$2:$J$4985,AN$2,FALSE),0)</f>
        <v>25367.273034652699</v>
      </c>
      <c r="AO57" s="163">
        <f>IFERROR(VLOOKUP($AM57,flows!$A$2:$J$4985,AO$2,FALSE),0)</f>
        <v>0</v>
      </c>
      <c r="AP57" s="163">
        <f>IFERROR(VLOOKUP($AM57,flows!$A$2:$J$4985,AP$2,FALSE),0)</f>
        <v>638.6015714041506</v>
      </c>
      <c r="AQ57" s="163">
        <f>IFERROR(VLOOKUP($AM57,flows!$A$2:$J$4985,AQ$2,FALSE),0)</f>
        <v>5074.7066081926969</v>
      </c>
      <c r="AR57" s="163">
        <f>IFERROR(VLOOKUP($AM57,flows!$A$2:$J$4985,AR$2,FALSE),0)</f>
        <v>12990.668015000179</v>
      </c>
      <c r="AS57" s="163">
        <f>IFERROR(VLOOKUP($AM57,flows!$A$2:$J$4985,AS$2,FALSE),0)</f>
        <v>13226.229999740821</v>
      </c>
      <c r="AT57" s="163">
        <f>IFERROR(VLOOKUP($AM57,flows!$A$2:$J$4985,AT$2,FALSE),0)</f>
        <v>25267.6144292067</v>
      </c>
      <c r="AU57" s="163">
        <f>IFERROR(VLOOKUP($AM57,flows!$A$2:$J$4985,AU$2,FALSE),0)</f>
        <v>0</v>
      </c>
      <c r="AW57" s="204"/>
      <c r="AX57" s="204"/>
      <c r="AY57" s="204"/>
      <c r="AZ57" s="204"/>
      <c r="BA57" s="204"/>
      <c r="BB57" s="204"/>
      <c r="BC57" s="204"/>
      <c r="BD57" s="204"/>
      <c r="BE57" s="204"/>
      <c r="BF57" s="854"/>
      <c r="BG57" s="204"/>
      <c r="BI57" s="387" t="s">
        <v>3891</v>
      </c>
      <c r="BJ57" s="342"/>
      <c r="BK57" s="163">
        <f>IFERROR(VLOOKUP($BI57,flows!$A$2:$J$4985,BK$2,FALSE),0)</f>
        <v>4379.9631321032984</v>
      </c>
      <c r="BL57" s="163">
        <f>IFERROR(VLOOKUP($BI57,flows!$A$2:$J$4985,BL$2,FALSE),0)</f>
        <v>2838.0748052862859</v>
      </c>
      <c r="BM57" s="163">
        <f>IFERROR(VLOOKUP($BI57,flows!$A$2:$J$4985,BM$2,FALSE),0)</f>
        <v>2911.1009775129619</v>
      </c>
      <c r="BN57" s="163">
        <f>IFERROR(VLOOKUP($BI57,flows!$A$2:$J$4985,BN$2,FALSE),0)</f>
        <v>3505.7031327876039</v>
      </c>
      <c r="BO57" s="163">
        <f>IFERROR(VLOOKUP($BI57,flows!$A$2:$J$4985,BO$2,FALSE),0)</f>
        <v>4.5088325233072372E-2</v>
      </c>
      <c r="BP57" s="163">
        <f>IFERROR(VLOOKUP($BI57,flows!$A$2:$J$4985,BP$2,FALSE),0)</f>
        <v>5927.7557852660711</v>
      </c>
      <c r="BQ57" s="163">
        <f>IFERROR(VLOOKUP($BI57,flows!$A$2:$J$4985,BQ$2,FALSE),0)</f>
        <v>4328.4678144655218</v>
      </c>
      <c r="BR57" s="163">
        <f>IFERROR(VLOOKUP($BI57,flows!$A$2:$J$4985,BR$2,FALSE),0)</f>
        <v>0</v>
      </c>
    </row>
    <row r="58" spans="2:82" ht="15" thickBot="1" x14ac:dyDescent="0.4">
      <c r="Z58" s="206" t="s">
        <v>1140</v>
      </c>
      <c r="AA58" s="194" t="s">
        <v>1236</v>
      </c>
      <c r="AB58" s="163">
        <f>IFERROR(VLOOKUP($Z58,flows!$A$2:$J$4985,AB$2,FALSE),0)</f>
        <v>0</v>
      </c>
      <c r="AC58" s="163">
        <f>IFERROR(VLOOKUP($Z58,flows!$A$2:$J$4985,AC$2,FALSE),0)</f>
        <v>0</v>
      </c>
      <c r="AD58" s="163">
        <f>IFERROR(VLOOKUP($Z58,flows!$A$2:$J$4985,AD$2,FALSE),0)</f>
        <v>0</v>
      </c>
      <c r="AE58" s="163">
        <f>IFERROR(VLOOKUP($Z58,flows!$A$2:$J$4985,AE$2,FALSE),0)</f>
        <v>0</v>
      </c>
      <c r="AF58" s="163">
        <f>IFERROR(VLOOKUP($Z58,flows!$A$2:$J$4985,AF$2,FALSE),0)</f>
        <v>0</v>
      </c>
      <c r="AG58" s="163">
        <f>IFERROR(VLOOKUP($Z58,flows!$A$2:$J$4985,AG$2,FALSE),0)</f>
        <v>0</v>
      </c>
      <c r="AH58" s="163">
        <f>IFERROR(VLOOKUP($Z58,flows!$A$2:$J$4985,AH$2,FALSE),0)</f>
        <v>0</v>
      </c>
      <c r="AI58" s="163">
        <f>IFERROR(VLOOKUP($Z58,flows!$A$2:$J$4985,AI$2,FALSE),0)</f>
        <v>0</v>
      </c>
      <c r="AJ58" s="204"/>
      <c r="AK58" s="204"/>
      <c r="AL58" s="204"/>
      <c r="AM58" s="204" t="s">
        <v>1819</v>
      </c>
      <c r="AN58" s="163">
        <f>IFERROR(VLOOKUP($AM58,flows!$A$2:$J$4985,AN$2,FALSE),0)</f>
        <v>0</v>
      </c>
      <c r="AO58" s="163">
        <f>IFERROR(VLOOKUP($AM58,flows!$A$2:$J$4985,AO$2,FALSE),0)</f>
        <v>0</v>
      </c>
      <c r="AP58" s="163">
        <f>IFERROR(VLOOKUP($AM58,flows!$A$2:$J$4985,AP$2,FALSE),0)</f>
        <v>0</v>
      </c>
      <c r="AQ58" s="163">
        <f>IFERROR(VLOOKUP($AM58,flows!$A$2:$J$4985,AQ$2,FALSE),0)</f>
        <v>0</v>
      </c>
      <c r="AR58" s="163">
        <f>IFERROR(VLOOKUP($AM58,flows!$A$2:$J$4985,AR$2,FALSE),0)</f>
        <v>0</v>
      </c>
      <c r="AS58" s="163">
        <f>IFERROR(VLOOKUP($AM58,flows!$A$2:$J$4985,AS$2,FALSE),0)</f>
        <v>0</v>
      </c>
      <c r="AT58" s="163">
        <f>IFERROR(VLOOKUP($AM58,flows!$A$2:$J$4985,AT$2,FALSE),0)</f>
        <v>0</v>
      </c>
      <c r="AU58" s="163">
        <f>IFERROR(VLOOKUP($AM58,flows!$A$2:$J$4985,AU$2,FALSE),0)</f>
        <v>0</v>
      </c>
      <c r="AW58" s="204"/>
      <c r="AX58" s="204"/>
      <c r="AY58" s="204"/>
      <c r="AZ58" s="204"/>
      <c r="BA58" s="204"/>
      <c r="BB58" s="204"/>
      <c r="BC58" s="204"/>
      <c r="BD58" s="204"/>
      <c r="BE58" s="204"/>
      <c r="BF58" s="854"/>
      <c r="BG58" s="204"/>
      <c r="BI58" s="387" t="s">
        <v>2265</v>
      </c>
      <c r="BJ58" s="342"/>
      <c r="BK58" s="163" t="e">
        <f>Glasindustrie!E640</f>
        <v>#N/A</v>
      </c>
      <c r="BL58" s="163" t="e">
        <f>Glasindustrie!F640</f>
        <v>#N/A</v>
      </c>
      <c r="BM58" s="163" t="e">
        <f>Glasindustrie!G640</f>
        <v>#N/A</v>
      </c>
      <c r="BN58" s="163" t="e">
        <f>Glasindustrie!H640</f>
        <v>#N/A</v>
      </c>
      <c r="BO58" s="163" t="e">
        <f>Glasindustrie!I640</f>
        <v>#N/A</v>
      </c>
      <c r="BP58" s="163" t="e">
        <f>Glasindustrie!J640</f>
        <v>#N/A</v>
      </c>
      <c r="BQ58" s="163" t="e">
        <f>Glasindustrie!K640</f>
        <v>#N/A</v>
      </c>
      <c r="BR58" s="163" t="e">
        <f>Glasindustrie!L640</f>
        <v>#N/A</v>
      </c>
    </row>
    <row r="59" spans="2:82" ht="14.5" x14ac:dyDescent="0.35">
      <c r="Z59" s="206" t="s">
        <v>1142</v>
      </c>
      <c r="AA59" s="194" t="s">
        <v>1242</v>
      </c>
      <c r="AB59" s="163">
        <f>IFERROR(VLOOKUP($Z59,flows!$A$2:$J$4985,AB$2,FALSE),0)</f>
        <v>0</v>
      </c>
      <c r="AC59" s="163">
        <f>IFERROR(VLOOKUP($Z59,flows!$A$2:$J$4985,AC$2,FALSE),0)</f>
        <v>0</v>
      </c>
      <c r="AD59" s="163">
        <f>IFERROR(VLOOKUP($Z59,flows!$A$2:$J$4985,AD$2,FALSE),0)</f>
        <v>0</v>
      </c>
      <c r="AE59" s="163">
        <f>IFERROR(VLOOKUP($Z59,flows!$A$2:$J$4985,AE$2,FALSE),0)</f>
        <v>0</v>
      </c>
      <c r="AF59" s="163">
        <f>IFERROR(VLOOKUP($Z59,flows!$A$2:$J$4985,AF$2,FALSE),0)</f>
        <v>0</v>
      </c>
      <c r="AG59" s="163">
        <f>IFERROR(VLOOKUP($Z59,flows!$A$2:$J$4985,AG$2,FALSE),0)</f>
        <v>0</v>
      </c>
      <c r="AH59" s="163">
        <f>IFERROR(VLOOKUP($Z59,flows!$A$2:$J$4985,AH$2,FALSE),0)</f>
        <v>0</v>
      </c>
      <c r="AI59" s="163">
        <f>IFERROR(VLOOKUP($Z59,flows!$A$2:$J$4985,AI$2,FALSE),0)</f>
        <v>0</v>
      </c>
      <c r="AJ59" s="204"/>
      <c r="AK59" s="204"/>
      <c r="AL59" s="204"/>
      <c r="AM59" s="204" t="s">
        <v>160</v>
      </c>
      <c r="AN59" s="163">
        <f>IFERROR(VLOOKUP($AM59,flows!$A$2:$J$4985,AN$2,FALSE),0)</f>
        <v>0</v>
      </c>
      <c r="AO59" s="163">
        <f>IFERROR(VLOOKUP($AM59,flows!$A$2:$J$4985,AO$2,FALSE),0)</f>
        <v>0</v>
      </c>
      <c r="AP59" s="163">
        <f>IFERROR(VLOOKUP($AM59,flows!$A$2:$J$4985,AP$2,FALSE),0)</f>
        <v>0</v>
      </c>
      <c r="AQ59" s="163">
        <f>IFERROR(VLOOKUP($AM59,flows!$A$2:$J$4985,AQ$2,FALSE),0)</f>
        <v>0</v>
      </c>
      <c r="AR59" s="163">
        <f>IFERROR(VLOOKUP($AM59,flows!$A$2:$J$4985,AR$2,FALSE),0)</f>
        <v>0</v>
      </c>
      <c r="AS59" s="163">
        <f>IFERROR(VLOOKUP($AM59,flows!$A$2:$J$4985,AS$2,FALSE),0)</f>
        <v>0</v>
      </c>
      <c r="AT59" s="163">
        <f>IFERROR(VLOOKUP($AM59,flows!$A$2:$J$4985,AT$2,FALSE),0)</f>
        <v>0</v>
      </c>
      <c r="AU59" s="163">
        <f>IFERROR(VLOOKUP($AM59,flows!$A$2:$J$4985,AU$2,FALSE),0)</f>
        <v>0</v>
      </c>
      <c r="AW59" s="204"/>
      <c r="AX59" s="204"/>
      <c r="AY59" s="204"/>
      <c r="AZ59" s="204"/>
      <c r="BA59" s="204"/>
      <c r="BB59" s="204"/>
      <c r="BC59" s="204"/>
      <c r="BD59" s="204"/>
      <c r="BE59" s="204"/>
      <c r="BF59" s="854"/>
      <c r="BG59" s="204"/>
      <c r="BI59" s="387" t="s">
        <v>3906</v>
      </c>
      <c r="BJ59" s="342"/>
      <c r="BK59" s="163" t="e">
        <f>Glasindustrie!R82</f>
        <v>#N/A</v>
      </c>
      <c r="BL59" s="163" t="e">
        <f>Glasindustrie!S82</f>
        <v>#N/A</v>
      </c>
      <c r="BM59" s="163" t="e">
        <f>Glasindustrie!T82</f>
        <v>#N/A</v>
      </c>
      <c r="BN59" s="163" t="e">
        <f>Glasindustrie!U82</f>
        <v>#N/A</v>
      </c>
      <c r="BO59" s="163" t="e">
        <f>Glasindustrie!V82</f>
        <v>#N/A</v>
      </c>
      <c r="BP59" s="163" t="e">
        <f>Glasindustrie!W82</f>
        <v>#N/A</v>
      </c>
      <c r="BQ59" s="163" t="e">
        <f>Glasindustrie!X82</f>
        <v>#N/A</v>
      </c>
      <c r="BR59" s="163" t="e">
        <f>Glasindustrie!Y82</f>
        <v>#N/A</v>
      </c>
      <c r="BV59" s="25" t="s">
        <v>1334</v>
      </c>
      <c r="BW59" s="133" t="s">
        <v>1417</v>
      </c>
      <c r="BX59" s="133">
        <v>2020</v>
      </c>
      <c r="BY59" s="133">
        <v>2025</v>
      </c>
      <c r="BZ59" s="133">
        <v>2030</v>
      </c>
      <c r="CA59" s="133">
        <v>2035</v>
      </c>
      <c r="CB59" s="133">
        <v>2040</v>
      </c>
      <c r="CC59" s="133">
        <v>2045</v>
      </c>
      <c r="CD59" s="133">
        <v>2050</v>
      </c>
    </row>
    <row r="60" spans="2:82" ht="14.5" x14ac:dyDescent="0.35">
      <c r="Z60" s="206" t="s">
        <v>638</v>
      </c>
      <c r="AA60" s="194" t="s">
        <v>1243</v>
      </c>
      <c r="AB60" s="163">
        <f>IFERROR(VLOOKUP($Z60,flows!$A$2:$J$4985,AB$2,FALSE),0)</f>
        <v>0</v>
      </c>
      <c r="AC60" s="163">
        <f>IFERROR(VLOOKUP($Z60,flows!$A$2:$J$4985,AC$2,FALSE),0)</f>
        <v>0</v>
      </c>
      <c r="AD60" s="163">
        <f>IFERROR(VLOOKUP($Z60,flows!$A$2:$J$4985,AD$2,FALSE),0)</f>
        <v>0</v>
      </c>
      <c r="AE60" s="163">
        <f>IFERROR(VLOOKUP($Z60,flows!$A$2:$J$4985,AE$2,FALSE),0)</f>
        <v>0</v>
      </c>
      <c r="AF60" s="163">
        <f>IFERROR(VLOOKUP($Z60,flows!$A$2:$J$4985,AF$2,FALSE),0)</f>
        <v>0</v>
      </c>
      <c r="AG60" s="163">
        <f>IFERROR(VLOOKUP($Z60,flows!$A$2:$J$4985,AG$2,FALSE),0)</f>
        <v>0</v>
      </c>
      <c r="AH60" s="163">
        <f>IFERROR(VLOOKUP($Z60,flows!$A$2:$J$4985,AH$2,FALSE),0)</f>
        <v>0</v>
      </c>
      <c r="AI60" s="163">
        <f>IFERROR(VLOOKUP($Z60,flows!$A$2:$J$4985,AI$2,FALSE),0)</f>
        <v>0</v>
      </c>
      <c r="AJ60" s="204"/>
      <c r="AK60" s="204"/>
      <c r="AM60" s="204" t="s">
        <v>163</v>
      </c>
      <c r="AN60" s="163">
        <f>IFERROR(VLOOKUP($AM60,flows!$A$2:$J$4985,AN$2,FALSE),0)</f>
        <v>0</v>
      </c>
      <c r="AO60" s="163">
        <f>IFERROR(VLOOKUP($AM60,flows!$A$2:$J$4985,AO$2,FALSE),0)</f>
        <v>0</v>
      </c>
      <c r="AP60" s="163">
        <f>IFERROR(VLOOKUP($AM60,flows!$A$2:$J$4985,AP$2,FALSE),0)</f>
        <v>0</v>
      </c>
      <c r="AQ60" s="163">
        <f>IFERROR(VLOOKUP($AM60,flows!$A$2:$J$4985,AQ$2,FALSE),0)</f>
        <v>0</v>
      </c>
      <c r="AR60" s="163">
        <f>IFERROR(VLOOKUP($AM60,flows!$A$2:$J$4985,AR$2,FALSE),0)</f>
        <v>0</v>
      </c>
      <c r="AS60" s="163">
        <f>IFERROR(VLOOKUP($AM60,flows!$A$2:$J$4985,AS$2,FALSE),0)</f>
        <v>0</v>
      </c>
      <c r="AT60" s="163">
        <f>IFERROR(VLOOKUP($AM60,flows!$A$2:$J$4985,AT$2,FALSE),0)</f>
        <v>0</v>
      </c>
      <c r="AU60" s="163">
        <f>IFERROR(VLOOKUP($AM60,flows!$A$2:$J$4985,AU$2,FALSE),0)</f>
        <v>0</v>
      </c>
      <c r="AW60" s="204"/>
      <c r="AX60" s="204"/>
      <c r="AY60" s="204"/>
      <c r="AZ60" s="204"/>
      <c r="BA60" s="204"/>
      <c r="BB60" s="204"/>
      <c r="BC60" s="204"/>
      <c r="BD60" s="204"/>
      <c r="BE60" s="204"/>
      <c r="BF60" s="854"/>
      <c r="BG60" s="204"/>
      <c r="BI60" s="387" t="s">
        <v>3907</v>
      </c>
      <c r="BJ60" s="342"/>
      <c r="BK60" s="163" t="e">
        <f>Glasindustrie!R33</f>
        <v>#N/A</v>
      </c>
      <c r="BL60" s="163" t="e">
        <f>Glasindustrie!S33</f>
        <v>#N/A</v>
      </c>
      <c r="BM60" s="163" t="e">
        <f>Glasindustrie!T33</f>
        <v>#N/A</v>
      </c>
      <c r="BN60" s="163" t="e">
        <f>Glasindustrie!U33</f>
        <v>#N/A</v>
      </c>
      <c r="BO60" s="163" t="e">
        <f>Glasindustrie!V33</f>
        <v>#N/A</v>
      </c>
      <c r="BP60" s="163" t="e">
        <f>Glasindustrie!W33</f>
        <v>#N/A</v>
      </c>
      <c r="BQ60" s="163" t="e">
        <f>Glasindustrie!X33</f>
        <v>#N/A</v>
      </c>
      <c r="BR60" s="163" t="e">
        <f>Glasindustrie!Y33</f>
        <v>#N/A</v>
      </c>
      <c r="BV60" s="198" t="s">
        <v>1160</v>
      </c>
      <c r="BW60" s="199">
        <f>BW31/278</f>
        <v>0</v>
      </c>
      <c r="BX60" s="199">
        <f t="shared" ref="BX60:CD60" si="29">BX31/278</f>
        <v>0</v>
      </c>
      <c r="BY60" s="199">
        <f t="shared" si="29"/>
        <v>0</v>
      </c>
      <c r="BZ60" s="199">
        <f t="shared" si="29"/>
        <v>0</v>
      </c>
      <c r="CA60" s="199">
        <f t="shared" si="29"/>
        <v>0</v>
      </c>
      <c r="CB60" s="199">
        <f t="shared" si="29"/>
        <v>0</v>
      </c>
      <c r="CC60" s="199">
        <f t="shared" si="29"/>
        <v>0</v>
      </c>
      <c r="CD60" s="199">
        <f t="shared" si="29"/>
        <v>0</v>
      </c>
    </row>
    <row r="61" spans="2:82" ht="14.5" x14ac:dyDescent="0.35">
      <c r="Z61" s="206" t="s">
        <v>743</v>
      </c>
      <c r="AA61" s="194" t="s">
        <v>1189</v>
      </c>
      <c r="AB61" s="163">
        <f>IFERROR(VLOOKUP($Z61,flows!$A$2:$J$4985,AB$2,FALSE),0)</f>
        <v>0</v>
      </c>
      <c r="AC61" s="163">
        <f>IFERROR(VLOOKUP($Z61,flows!$A$2:$J$4985,AC$2,FALSE),0)</f>
        <v>0</v>
      </c>
      <c r="AD61" s="163">
        <f>IFERROR(VLOOKUP($Z61,flows!$A$2:$J$4985,AD$2,FALSE),0)</f>
        <v>0</v>
      </c>
      <c r="AE61" s="163">
        <f>IFERROR(VLOOKUP($Z61,flows!$A$2:$J$4985,AE$2,FALSE),0)</f>
        <v>0</v>
      </c>
      <c r="AF61" s="163">
        <f>IFERROR(VLOOKUP($Z61,flows!$A$2:$J$4985,AF$2,FALSE),0)</f>
        <v>0</v>
      </c>
      <c r="AG61" s="163">
        <f>IFERROR(VLOOKUP($Z61,flows!$A$2:$J$4985,AG$2,FALSE),0)</f>
        <v>0</v>
      </c>
      <c r="AH61" s="163">
        <f>IFERROR(VLOOKUP($Z61,flows!$A$2:$J$4985,AH$2,FALSE),0)</f>
        <v>0</v>
      </c>
      <c r="AI61" s="163">
        <f>IFERROR(VLOOKUP($Z61,flows!$A$2:$J$4985,AI$2,FALSE),0)</f>
        <v>0</v>
      </c>
      <c r="AJ61" s="204"/>
      <c r="AK61" s="204"/>
      <c r="AM61" s="65" t="s">
        <v>1140</v>
      </c>
      <c r="AN61" s="163">
        <f>IFERROR(VLOOKUP($AM61,flows!$A$2:$J$4985,AN$2,FALSE),0)</f>
        <v>0</v>
      </c>
      <c r="AO61" s="163">
        <f>IFERROR(VLOOKUP($AM61,flows!$A$2:$J$4985,AO$2,FALSE),0)</f>
        <v>0</v>
      </c>
      <c r="AP61" s="163">
        <f>IFERROR(VLOOKUP($AM61,flows!$A$2:$J$4985,AP$2,FALSE),0)</f>
        <v>0</v>
      </c>
      <c r="AQ61" s="163">
        <f>IFERROR(VLOOKUP($AM61,flows!$A$2:$J$4985,AQ$2,FALSE),0)</f>
        <v>0</v>
      </c>
      <c r="AR61" s="163">
        <f>IFERROR(VLOOKUP($AM61,flows!$A$2:$J$4985,AR$2,FALSE),0)</f>
        <v>0</v>
      </c>
      <c r="AS61" s="163">
        <f>IFERROR(VLOOKUP($AM61,flows!$A$2:$J$4985,AS$2,FALSE),0)</f>
        <v>0</v>
      </c>
      <c r="AT61" s="163">
        <f>IFERROR(VLOOKUP($AM61,flows!$A$2:$J$4985,AT$2,FALSE),0)</f>
        <v>0</v>
      </c>
      <c r="AU61" s="163">
        <f>IFERROR(VLOOKUP($AM61,flows!$A$2:$J$4985,AU$2,FALSE),0)</f>
        <v>0</v>
      </c>
      <c r="AW61" s="204"/>
      <c r="AX61" s="204"/>
      <c r="AY61" s="204"/>
      <c r="AZ61" s="204"/>
      <c r="BA61" s="204"/>
      <c r="BB61" s="204"/>
      <c r="BC61" s="204"/>
      <c r="BD61" s="204"/>
      <c r="BE61" s="204"/>
      <c r="BF61" s="854"/>
      <c r="BG61" s="204"/>
      <c r="BI61" s="387" t="s">
        <v>2473</v>
      </c>
      <c r="BJ61" s="342"/>
      <c r="BK61" s="163">
        <f>IFERROR(VLOOKUP($BI61,flows!$A$2:$J$4985,BK$2,FALSE),0)</f>
        <v>0</v>
      </c>
      <c r="BL61" s="163">
        <f>IFERROR(VLOOKUP($BI61,flows!$A$2:$J$4985,BL$2,FALSE),0)</f>
        <v>0</v>
      </c>
      <c r="BM61" s="163">
        <f>IFERROR(VLOOKUP($BI61,flows!$A$2:$J$4985,BM$2,FALSE),0)</f>
        <v>0</v>
      </c>
      <c r="BN61" s="163">
        <f>IFERROR(VLOOKUP($BI61,flows!$A$2:$J$4985,BN$2,FALSE),0)</f>
        <v>0</v>
      </c>
      <c r="BO61" s="163">
        <f>IFERROR(VLOOKUP($BI61,flows!$A$2:$J$4985,BO$2,FALSE),0)</f>
        <v>0</v>
      </c>
      <c r="BP61" s="163">
        <f>IFERROR(VLOOKUP($BI61,flows!$A$2:$J$4985,BP$2,FALSE),0)</f>
        <v>0</v>
      </c>
      <c r="BQ61" s="163">
        <f>IFERROR(VLOOKUP($BI61,flows!$A$2:$J$4985,BQ$2,FALSE),0)</f>
        <v>0</v>
      </c>
      <c r="BR61" s="163">
        <f>IFERROR(VLOOKUP($BI61,flows!$A$2:$J$4985,BR$2,FALSE),0)</f>
        <v>0</v>
      </c>
      <c r="BV61" s="198" t="s">
        <v>1162</v>
      </c>
      <c r="BW61" s="199">
        <f t="shared" ref="BW61:CD64" si="30">BW32/278</f>
        <v>0</v>
      </c>
      <c r="BX61" s="199">
        <f t="shared" si="30"/>
        <v>0</v>
      </c>
      <c r="BY61" s="199">
        <f t="shared" si="30"/>
        <v>0</v>
      </c>
      <c r="BZ61" s="199">
        <f t="shared" si="30"/>
        <v>0</v>
      </c>
      <c r="CA61" s="199">
        <f t="shared" si="30"/>
        <v>0</v>
      </c>
      <c r="CB61" s="199">
        <f t="shared" si="30"/>
        <v>0</v>
      </c>
      <c r="CC61" s="199">
        <f t="shared" si="30"/>
        <v>0</v>
      </c>
      <c r="CD61" s="199">
        <f t="shared" si="30"/>
        <v>0</v>
      </c>
    </row>
    <row r="62" spans="2:82" ht="14.5" x14ac:dyDescent="0.35">
      <c r="Z62" s="206" t="s">
        <v>744</v>
      </c>
      <c r="AA62" s="194" t="s">
        <v>1190</v>
      </c>
      <c r="AB62" s="163">
        <f>IFERROR(VLOOKUP($Z62,flows!$A$2:$J$4985,AB$2,FALSE),0)</f>
        <v>0</v>
      </c>
      <c r="AC62" s="163">
        <f>IFERROR(VLOOKUP($Z62,flows!$A$2:$J$4985,AC$2,FALSE),0)</f>
        <v>0</v>
      </c>
      <c r="AD62" s="163">
        <f>IFERROR(VLOOKUP($Z62,flows!$A$2:$J$4985,AD$2,FALSE),0)</f>
        <v>0</v>
      </c>
      <c r="AE62" s="163">
        <f>IFERROR(VLOOKUP($Z62,flows!$A$2:$J$4985,AE$2,FALSE),0)</f>
        <v>0</v>
      </c>
      <c r="AF62" s="163">
        <f>IFERROR(VLOOKUP($Z62,flows!$A$2:$J$4985,AF$2,FALSE),0)</f>
        <v>0</v>
      </c>
      <c r="AG62" s="163">
        <f>IFERROR(VLOOKUP($Z62,flows!$A$2:$J$4985,AG$2,FALSE),0)</f>
        <v>0</v>
      </c>
      <c r="AH62" s="163">
        <f>IFERROR(VLOOKUP($Z62,flows!$A$2:$J$4985,AH$2,FALSE),0)</f>
        <v>0</v>
      </c>
      <c r="AI62" s="163">
        <f>IFERROR(VLOOKUP($Z62,flows!$A$2:$J$4985,AI$2,FALSE),0)</f>
        <v>0</v>
      </c>
      <c r="AJ62" s="204"/>
      <c r="AK62" s="204"/>
      <c r="AM62" s="65" t="s">
        <v>1142</v>
      </c>
      <c r="AN62" s="163">
        <f>IFERROR(VLOOKUP($AM62,flows!$A$2:$J$4985,AN$2,FALSE),0)</f>
        <v>0</v>
      </c>
      <c r="AO62" s="163">
        <f>IFERROR(VLOOKUP($AM62,flows!$A$2:$J$4985,AO$2,FALSE),0)</f>
        <v>0</v>
      </c>
      <c r="AP62" s="163">
        <f>IFERROR(VLOOKUP($AM62,flows!$A$2:$J$4985,AP$2,FALSE),0)</f>
        <v>0</v>
      </c>
      <c r="AQ62" s="163">
        <f>IFERROR(VLOOKUP($AM62,flows!$A$2:$J$4985,AQ$2,FALSE),0)</f>
        <v>0</v>
      </c>
      <c r="AR62" s="163">
        <f>IFERROR(VLOOKUP($AM62,flows!$A$2:$J$4985,AR$2,FALSE),0)</f>
        <v>0</v>
      </c>
      <c r="AS62" s="163">
        <f>IFERROR(VLOOKUP($AM62,flows!$A$2:$J$4985,AS$2,FALSE),0)</f>
        <v>0</v>
      </c>
      <c r="AT62" s="163">
        <f>IFERROR(VLOOKUP($AM62,flows!$A$2:$J$4985,AT$2,FALSE),0)</f>
        <v>0</v>
      </c>
      <c r="AU62" s="163">
        <f>IFERROR(VLOOKUP($AM62,flows!$A$2:$J$4985,AU$2,FALSE),0)</f>
        <v>0</v>
      </c>
      <c r="AW62" s="204"/>
      <c r="AX62" s="204"/>
      <c r="AY62" s="204"/>
      <c r="AZ62" s="204"/>
      <c r="BA62" s="204"/>
      <c r="BB62" s="204"/>
      <c r="BC62" s="204"/>
      <c r="BD62" s="204"/>
      <c r="BE62" s="204"/>
      <c r="BF62" s="204"/>
      <c r="BG62" s="204"/>
      <c r="BI62" s="387" t="s">
        <v>2536</v>
      </c>
      <c r="BJ62" s="342"/>
      <c r="BK62" s="163">
        <f>IFERROR(VLOOKUP($BI62,flows!$A$2:$J$4985,BK$2,FALSE),0)</f>
        <v>0</v>
      </c>
      <c r="BL62" s="163">
        <f>IFERROR(VLOOKUP($BI62,flows!$A$2:$J$4985,BL$2,FALSE),0)</f>
        <v>0</v>
      </c>
      <c r="BM62" s="163">
        <f>IFERROR(VLOOKUP($BI62,flows!$A$2:$J$4985,BM$2,FALSE),0)</f>
        <v>0</v>
      </c>
      <c r="BN62" s="163">
        <f>IFERROR(VLOOKUP($BI62,flows!$A$2:$J$4985,BN$2,FALSE),0)</f>
        <v>0</v>
      </c>
      <c r="BO62" s="163">
        <f>IFERROR(VLOOKUP($BI62,flows!$A$2:$J$4985,BO$2,FALSE),0)</f>
        <v>0</v>
      </c>
      <c r="BP62" s="163">
        <f>IFERROR(VLOOKUP($BI62,flows!$A$2:$J$4985,BP$2,FALSE),0)</f>
        <v>0</v>
      </c>
      <c r="BQ62" s="163">
        <f>IFERROR(VLOOKUP($BI62,flows!$A$2:$J$4985,BQ$2,FALSE),0)</f>
        <v>0</v>
      </c>
      <c r="BR62" s="163">
        <f>IFERROR(VLOOKUP($BI62,flows!$A$2:$J$4985,BR$2,FALSE),0)</f>
        <v>0</v>
      </c>
      <c r="BV62" s="198" t="s">
        <v>1316</v>
      </c>
      <c r="BW62" s="199">
        <f t="shared" si="30"/>
        <v>0</v>
      </c>
      <c r="BX62" s="199">
        <f t="shared" si="30"/>
        <v>0</v>
      </c>
      <c r="BY62" s="199">
        <f t="shared" si="30"/>
        <v>0</v>
      </c>
      <c r="BZ62" s="199">
        <f t="shared" si="30"/>
        <v>0</v>
      </c>
      <c r="CA62" s="199">
        <f t="shared" si="30"/>
        <v>0</v>
      </c>
      <c r="CB62" s="199">
        <f t="shared" si="30"/>
        <v>0</v>
      </c>
      <c r="CC62" s="199">
        <f t="shared" si="30"/>
        <v>0</v>
      </c>
      <c r="CD62" s="199">
        <f t="shared" si="30"/>
        <v>0</v>
      </c>
    </row>
    <row r="63" spans="2:82" ht="14.5" x14ac:dyDescent="0.35">
      <c r="Z63" s="206" t="s">
        <v>46</v>
      </c>
      <c r="AA63" s="194" t="s">
        <v>1185</v>
      </c>
      <c r="AB63" s="163">
        <f>IFERROR(VLOOKUP($Z63,flows!$A$2:$J$4985,AB$2,FALSE),0)</f>
        <v>0</v>
      </c>
      <c r="AC63" s="163">
        <f>IFERROR(VLOOKUP($Z63,flows!$A$2:$J$4985,AC$2,FALSE),0)</f>
        <v>0</v>
      </c>
      <c r="AD63" s="163">
        <f>IFERROR(VLOOKUP($Z63,flows!$A$2:$J$4985,AD$2,FALSE),0)</f>
        <v>0</v>
      </c>
      <c r="AE63" s="163">
        <f>IFERROR(VLOOKUP($Z63,flows!$A$2:$J$4985,AE$2,FALSE),0)</f>
        <v>0</v>
      </c>
      <c r="AF63" s="163">
        <f>IFERROR(VLOOKUP($Z63,flows!$A$2:$J$4985,AF$2,FALSE),0)</f>
        <v>0</v>
      </c>
      <c r="AG63" s="163">
        <f>IFERROR(VLOOKUP($Z63,flows!$A$2:$J$4985,AG$2,FALSE),0)</f>
        <v>0</v>
      </c>
      <c r="AH63" s="163">
        <f>IFERROR(VLOOKUP($Z63,flows!$A$2:$J$4985,AH$2,FALSE),0)</f>
        <v>0</v>
      </c>
      <c r="AI63" s="163">
        <f>IFERROR(VLOOKUP($Z63,flows!$A$2:$J$4985,AI$2,FALSE),0)</f>
        <v>0</v>
      </c>
      <c r="AJ63" s="204"/>
      <c r="AK63" s="204"/>
      <c r="AM63" s="65" t="s">
        <v>638</v>
      </c>
      <c r="AN63" s="163">
        <f>IFERROR(VLOOKUP($AM63,flows!$A$2:$J$4985,AN$2,FALSE),0)</f>
        <v>0</v>
      </c>
      <c r="AO63" s="163">
        <f>IFERROR(VLOOKUP($AM63,flows!$A$2:$J$4985,AO$2,FALSE),0)</f>
        <v>0</v>
      </c>
      <c r="AP63" s="163">
        <f>IFERROR(VLOOKUP($AM63,flows!$A$2:$J$4985,AP$2,FALSE),0)</f>
        <v>0</v>
      </c>
      <c r="AQ63" s="163">
        <f>IFERROR(VLOOKUP($AM63,flows!$A$2:$J$4985,AQ$2,FALSE),0)</f>
        <v>0</v>
      </c>
      <c r="AR63" s="163">
        <f>IFERROR(VLOOKUP($AM63,flows!$A$2:$J$4985,AR$2,FALSE),0)</f>
        <v>0</v>
      </c>
      <c r="AS63" s="163">
        <f>IFERROR(VLOOKUP($AM63,flows!$A$2:$J$4985,AS$2,FALSE),0)</f>
        <v>0</v>
      </c>
      <c r="AT63" s="163">
        <f>IFERROR(VLOOKUP($AM63,flows!$A$2:$J$4985,AT$2,FALSE),0)</f>
        <v>0</v>
      </c>
      <c r="AU63" s="163">
        <f>IFERROR(VLOOKUP($AM63,flows!$A$2:$J$4985,AU$2,FALSE),0)</f>
        <v>0</v>
      </c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I63" s="388" t="s">
        <v>2537</v>
      </c>
      <c r="BJ63" s="342"/>
      <c r="BK63" s="163">
        <f>IFERROR(VLOOKUP($BI63,flows!$A$2:$J$4985,BK$2,FALSE),0)</f>
        <v>0</v>
      </c>
      <c r="BL63" s="163">
        <f>IFERROR(VLOOKUP($BI63,flows!$A$2:$J$4985,BL$2,FALSE),0)</f>
        <v>0</v>
      </c>
      <c r="BM63" s="163">
        <f>IFERROR(VLOOKUP($BI63,flows!$A$2:$J$4985,BM$2,FALSE),0)</f>
        <v>0</v>
      </c>
      <c r="BN63" s="163">
        <f>IFERROR(VLOOKUP($BI63,flows!$A$2:$J$4985,BN$2,FALSE),0)</f>
        <v>0</v>
      </c>
      <c r="BO63" s="163">
        <f>IFERROR(VLOOKUP($BI63,flows!$A$2:$J$4985,BO$2,FALSE),0)</f>
        <v>0</v>
      </c>
      <c r="BP63" s="163">
        <f>IFERROR(VLOOKUP($BI63,flows!$A$2:$J$4985,BP$2,FALSE),0)</f>
        <v>0</v>
      </c>
      <c r="BQ63" s="163">
        <f>IFERROR(VLOOKUP($BI63,flows!$A$2:$J$4985,BQ$2,FALSE),0)</f>
        <v>0</v>
      </c>
      <c r="BR63" s="163">
        <f>IFERROR(VLOOKUP($BI63,flows!$A$2:$J$4985,BR$2,FALSE),0)</f>
        <v>0</v>
      </c>
      <c r="BV63" s="198" t="s">
        <v>1317</v>
      </c>
      <c r="BW63" s="199">
        <f>BW34/278</f>
        <v>0</v>
      </c>
      <c r="BX63" s="199">
        <f t="shared" si="30"/>
        <v>0</v>
      </c>
      <c r="BY63" s="199">
        <f t="shared" si="30"/>
        <v>0</v>
      </c>
      <c r="BZ63" s="199">
        <f t="shared" si="30"/>
        <v>0</v>
      </c>
      <c r="CA63" s="199">
        <f t="shared" si="30"/>
        <v>0</v>
      </c>
      <c r="CB63" s="199">
        <f t="shared" si="30"/>
        <v>0</v>
      </c>
      <c r="CC63" s="199">
        <f>CC34/278</f>
        <v>0</v>
      </c>
      <c r="CD63" s="199">
        <f t="shared" si="30"/>
        <v>0</v>
      </c>
    </row>
    <row r="64" spans="2:82" ht="14.5" x14ac:dyDescent="0.35">
      <c r="Z64" s="206" t="s">
        <v>151</v>
      </c>
      <c r="AA64" s="194" t="s">
        <v>1237</v>
      </c>
      <c r="AB64" s="163">
        <f>IFERROR(VLOOKUP($Z64,flows!$A$2:$J$4985,AB$2,FALSE),0)</f>
        <v>0</v>
      </c>
      <c r="AC64" s="163">
        <f>IFERROR(VLOOKUP($Z64,flows!$A$2:$J$4985,AC$2,FALSE),0)</f>
        <v>0</v>
      </c>
      <c r="AD64" s="163">
        <f>IFERROR(VLOOKUP($Z64,flows!$A$2:$J$4985,AD$2,FALSE),0)</f>
        <v>0</v>
      </c>
      <c r="AE64" s="163">
        <f>IFERROR(VLOOKUP($Z64,flows!$A$2:$J$4985,AE$2,FALSE),0)</f>
        <v>0</v>
      </c>
      <c r="AF64" s="163">
        <f>IFERROR(VLOOKUP($Z64,flows!$A$2:$J$4985,AF$2,FALSE),0)</f>
        <v>0</v>
      </c>
      <c r="AG64" s="163">
        <f>IFERROR(VLOOKUP($Z64,flows!$A$2:$J$4985,AG$2,FALSE),0)</f>
        <v>0</v>
      </c>
      <c r="AH64" s="163">
        <f>IFERROR(VLOOKUP($Z64,flows!$A$2:$J$4985,AH$2,FALSE),0)</f>
        <v>0</v>
      </c>
      <c r="AI64" s="163">
        <f>IFERROR(VLOOKUP($Z64,flows!$A$2:$J$4985,AI$2,FALSE),0)</f>
        <v>0</v>
      </c>
      <c r="AJ64" s="204"/>
      <c r="AK64" s="204"/>
      <c r="AM64" s="65" t="s">
        <v>743</v>
      </c>
      <c r="AN64" s="163">
        <f>IFERROR(VLOOKUP($AM64,flows!$A$2:$J$4985,AN$2,FALSE),0)</f>
        <v>0</v>
      </c>
      <c r="AO64" s="163">
        <f>IFERROR(VLOOKUP($AM64,flows!$A$2:$J$4985,AO$2,FALSE),0)</f>
        <v>0</v>
      </c>
      <c r="AP64" s="163">
        <f>IFERROR(VLOOKUP($AM64,flows!$A$2:$J$4985,AP$2,FALSE),0)</f>
        <v>0</v>
      </c>
      <c r="AQ64" s="163">
        <f>IFERROR(VLOOKUP($AM64,flows!$A$2:$J$4985,AQ$2,FALSE),0)</f>
        <v>0</v>
      </c>
      <c r="AR64" s="163">
        <f>IFERROR(VLOOKUP($AM64,flows!$A$2:$J$4985,AR$2,FALSE),0)</f>
        <v>0</v>
      </c>
      <c r="AS64" s="163">
        <f>IFERROR(VLOOKUP($AM64,flows!$A$2:$J$4985,AS$2,FALSE),0)</f>
        <v>0</v>
      </c>
      <c r="AT64" s="163">
        <f>IFERROR(VLOOKUP($AM64,flows!$A$2:$J$4985,AT$2,FALSE),0)</f>
        <v>0</v>
      </c>
      <c r="AU64" s="163">
        <f>IFERROR(VLOOKUP($AM64,flows!$A$2:$J$4985,AU$2,FALSE),0)</f>
        <v>0</v>
      </c>
      <c r="AW64" s="204"/>
      <c r="AX64" s="204"/>
      <c r="AY64" s="204"/>
      <c r="AZ64" s="204"/>
      <c r="BA64" s="204"/>
      <c r="BB64" s="204"/>
      <c r="BC64" s="204"/>
      <c r="BD64" s="204"/>
      <c r="BE64" s="204"/>
      <c r="BF64" s="204"/>
      <c r="BG64" s="204"/>
      <c r="BI64" s="79" t="s">
        <v>2552</v>
      </c>
      <c r="BJ64" s="342"/>
      <c r="BK64" s="163"/>
      <c r="BL64" s="163"/>
      <c r="BM64" s="163"/>
      <c r="BN64" s="163"/>
      <c r="BO64" s="163"/>
      <c r="BP64" s="163"/>
      <c r="BQ64" s="163"/>
      <c r="BR64" s="163"/>
      <c r="BV64" s="198" t="s">
        <v>1318</v>
      </c>
      <c r="BW64" s="199">
        <f t="shared" si="30"/>
        <v>0</v>
      </c>
      <c r="BX64" s="199">
        <f t="shared" si="30"/>
        <v>0</v>
      </c>
      <c r="BY64" s="199">
        <f t="shared" si="30"/>
        <v>0</v>
      </c>
      <c r="BZ64" s="199">
        <f t="shared" si="30"/>
        <v>0</v>
      </c>
      <c r="CA64" s="199">
        <f t="shared" si="30"/>
        <v>0</v>
      </c>
      <c r="CB64" s="199">
        <f t="shared" si="30"/>
        <v>0</v>
      </c>
      <c r="CC64" s="199">
        <f t="shared" si="30"/>
        <v>0</v>
      </c>
      <c r="CD64" s="199">
        <f t="shared" si="30"/>
        <v>0</v>
      </c>
    </row>
    <row r="65" spans="26:82" ht="14.5" x14ac:dyDescent="0.35">
      <c r="Z65" s="206"/>
      <c r="AA65" s="194"/>
      <c r="AB65" s="163"/>
      <c r="AC65" s="163"/>
      <c r="AD65" s="163"/>
      <c r="AE65" s="163"/>
      <c r="AF65" s="163"/>
      <c r="AG65" s="163"/>
      <c r="AH65" s="163"/>
      <c r="AI65" s="163"/>
      <c r="AJ65" s="204"/>
      <c r="AK65" s="204"/>
      <c r="AM65" s="65" t="s">
        <v>744</v>
      </c>
      <c r="AN65" s="163">
        <f>IFERROR(VLOOKUP($AM65,flows!$A$2:$J$4985,AN$2,FALSE),0)</f>
        <v>0</v>
      </c>
      <c r="AO65" s="163">
        <f>IFERROR(VLOOKUP($AM65,flows!$A$2:$J$4985,AO$2,FALSE),0)</f>
        <v>0</v>
      </c>
      <c r="AP65" s="163">
        <f>IFERROR(VLOOKUP($AM65,flows!$A$2:$J$4985,AP$2,FALSE),0)</f>
        <v>0</v>
      </c>
      <c r="AQ65" s="163">
        <f>IFERROR(VLOOKUP($AM65,flows!$A$2:$J$4985,AQ$2,FALSE),0)</f>
        <v>0</v>
      </c>
      <c r="AR65" s="163">
        <f>IFERROR(VLOOKUP($AM65,flows!$A$2:$J$4985,AR$2,FALSE),0)</f>
        <v>0</v>
      </c>
      <c r="AS65" s="163">
        <f>IFERROR(VLOOKUP($AM65,flows!$A$2:$J$4985,AS$2,FALSE),0)</f>
        <v>0</v>
      </c>
      <c r="AT65" s="163">
        <f>IFERROR(VLOOKUP($AM65,flows!$A$2:$J$4985,AT$2,FALSE),0)</f>
        <v>0</v>
      </c>
      <c r="AU65" s="163">
        <f>IFERROR(VLOOKUP($AM65,flows!$A$2:$J$4985,AU$2,FALSE),0)</f>
        <v>0</v>
      </c>
      <c r="AW65" s="204"/>
      <c r="AX65" s="204"/>
      <c r="AY65" s="204"/>
      <c r="AZ65" s="204"/>
      <c r="BA65" s="204"/>
      <c r="BB65" s="204"/>
      <c r="BC65" s="204"/>
      <c r="BD65" s="204"/>
      <c r="BE65" s="204"/>
      <c r="BF65" s="204"/>
      <c r="BG65" s="204"/>
      <c r="BI65" s="342" t="s">
        <v>2868</v>
      </c>
      <c r="BJ65" s="342"/>
      <c r="BK65" s="163">
        <f>IFERROR(VLOOKUP($BI65,flows!$A$2:$J$4985,BK$2,FALSE),0)</f>
        <v>0</v>
      </c>
      <c r="BL65" s="163">
        <f>IFERROR(VLOOKUP($BI65,flows!$A$2:$J$4985,BL$2,FALSE),0)</f>
        <v>0</v>
      </c>
      <c r="BM65" s="163">
        <f>IFERROR(VLOOKUP($BI65,flows!$A$2:$J$4985,BM$2,FALSE),0)</f>
        <v>0</v>
      </c>
      <c r="BN65" s="163">
        <f>IFERROR(VLOOKUP($BI65,flows!$A$2:$J$4985,BN$2,FALSE),0)</f>
        <v>0</v>
      </c>
      <c r="BO65" s="163">
        <f>IFERROR(VLOOKUP($BI65,flows!$A$2:$J$4985,BO$2,FALSE),0)</f>
        <v>0</v>
      </c>
      <c r="BP65" s="163">
        <f>IFERROR(VLOOKUP($BI65,flows!$A$2:$J$4985,BP$2,FALSE),0)</f>
        <v>0</v>
      </c>
      <c r="BQ65" s="163">
        <f>IFERROR(VLOOKUP($BI65,flows!$A$2:$J$4985,BQ$2,FALSE),0)</f>
        <v>0</v>
      </c>
      <c r="BR65" s="163">
        <f>IFERROR(VLOOKUP($BI65,flows!$A$2:$J$4985,BR$2,FALSE),0)</f>
        <v>0</v>
      </c>
      <c r="BV65" s="198"/>
      <c r="BW65" s="199"/>
      <c r="BX65" s="199"/>
      <c r="BY65" s="199"/>
      <c r="BZ65" s="199"/>
      <c r="CA65" s="199"/>
      <c r="CB65" s="199"/>
      <c r="CC65" s="199"/>
      <c r="CD65" s="199"/>
    </row>
    <row r="66" spans="26:82" ht="14.5" x14ac:dyDescent="0.35">
      <c r="Z66" s="206"/>
      <c r="AA66" s="194"/>
      <c r="AB66" s="163"/>
      <c r="AC66" s="163"/>
      <c r="AD66" s="163"/>
      <c r="AE66" s="163"/>
      <c r="AF66" s="163"/>
      <c r="AG66" s="163"/>
      <c r="AH66" s="163"/>
      <c r="AI66" s="163"/>
      <c r="AJ66" s="204"/>
      <c r="AK66" s="204"/>
      <c r="AM66" s="65" t="s">
        <v>46</v>
      </c>
      <c r="AN66" s="163">
        <f>IFERROR(VLOOKUP($AM66,flows!$A$2:$J$4985,AN$2,FALSE),0)</f>
        <v>0</v>
      </c>
      <c r="AO66" s="163">
        <f>IFERROR(VLOOKUP($AM66,flows!$A$2:$J$4985,AO$2,FALSE),0)</f>
        <v>0</v>
      </c>
      <c r="AP66" s="163">
        <f>IFERROR(VLOOKUP($AM66,flows!$A$2:$J$4985,AP$2,FALSE),0)</f>
        <v>0</v>
      </c>
      <c r="AQ66" s="163">
        <f>IFERROR(VLOOKUP($AM66,flows!$A$2:$J$4985,AQ$2,FALSE),0)</f>
        <v>0</v>
      </c>
      <c r="AR66" s="163">
        <f>IFERROR(VLOOKUP($AM66,flows!$A$2:$J$4985,AR$2,FALSE),0)</f>
        <v>0</v>
      </c>
      <c r="AS66" s="163">
        <f>IFERROR(VLOOKUP($AM66,flows!$A$2:$J$4985,AS$2,FALSE),0)</f>
        <v>0</v>
      </c>
      <c r="AT66" s="163">
        <f>IFERROR(VLOOKUP($AM66,flows!$A$2:$J$4985,AT$2,FALSE),0)</f>
        <v>0</v>
      </c>
      <c r="AU66" s="163">
        <f>IFERROR(VLOOKUP($AM66,flows!$A$2:$J$4985,AU$2,FALSE),0)</f>
        <v>0</v>
      </c>
      <c r="AW66" s="204"/>
      <c r="AX66" s="204"/>
      <c r="AY66" s="204"/>
      <c r="AZ66" s="204"/>
      <c r="BA66" s="204"/>
      <c r="BB66" s="204"/>
      <c r="BC66" s="204"/>
      <c r="BD66" s="204"/>
      <c r="BE66" s="204"/>
      <c r="BF66" s="204"/>
      <c r="BG66" s="204"/>
      <c r="BH66" s="342"/>
      <c r="BI66" s="342" t="s">
        <v>2538</v>
      </c>
      <c r="BJ66" s="342"/>
      <c r="BK66" s="163">
        <f>IFERROR(VLOOKUP($BI66,flows!$A$2:$J$4985,BK$2,FALSE),0)</f>
        <v>19994.034243544658</v>
      </c>
      <c r="BL66" s="163">
        <f>IFERROR(VLOOKUP($BI66,flows!$A$2:$J$4985,BL$2,FALSE),0)</f>
        <v>0</v>
      </c>
      <c r="BM66" s="163">
        <f>IFERROR(VLOOKUP($BI66,flows!$A$2:$J$4985,BM$2,FALSE),0)</f>
        <v>11.1103123195491</v>
      </c>
      <c r="BN66" s="163">
        <f>IFERROR(VLOOKUP($BI66,flows!$A$2:$J$4985,BN$2,FALSE),0)</f>
        <v>2052.9227293398508</v>
      </c>
      <c r="BO66" s="163">
        <f>IFERROR(VLOOKUP($BI66,flows!$A$2:$J$4985,BO$2,FALSE),0)</f>
        <v>6262.7511512241936</v>
      </c>
      <c r="BP66" s="163">
        <f>IFERROR(VLOOKUP($BI66,flows!$A$2:$J$4985,BP$2,FALSE),0)</f>
        <v>14900.681204055691</v>
      </c>
      <c r="BQ66" s="163">
        <f>IFERROR(VLOOKUP($BI66,flows!$A$2:$J$4985,BQ$2,FALSE),0)</f>
        <v>19994.04384051351</v>
      </c>
      <c r="BR66" s="163">
        <f>IFERROR(VLOOKUP($BI66,flows!$A$2:$J$4985,BR$2,FALSE),0)</f>
        <v>0</v>
      </c>
      <c r="BV66" s="198"/>
      <c r="BW66" s="199"/>
      <c r="BX66" s="199"/>
      <c r="BY66" s="199"/>
      <c r="BZ66" s="199"/>
      <c r="CA66" s="199"/>
      <c r="CB66" s="199"/>
      <c r="CC66" s="199"/>
      <c r="CD66" s="199"/>
    </row>
    <row r="67" spans="26:82" ht="15" thickBot="1" x14ac:dyDescent="0.4">
      <c r="Z67" s="206" t="s">
        <v>773</v>
      </c>
      <c r="AA67" s="194"/>
      <c r="AB67" s="163">
        <f>IFERROR(VLOOKUP($Z67,flows!$A$2:$J$4985,AB$2,FALSE),0)</f>
        <v>0</v>
      </c>
      <c r="AC67" s="163">
        <f>IFERROR(VLOOKUP($Z67,flows!$A$2:$J$4985,AC$2,FALSE),0)</f>
        <v>0</v>
      </c>
      <c r="AD67" s="163">
        <f>IFERROR(VLOOKUP($Z67,flows!$A$2:$J$4985,AD$2,FALSE),0)</f>
        <v>0</v>
      </c>
      <c r="AE67" s="163">
        <f>IFERROR(VLOOKUP($Z67,flows!$A$2:$J$4985,AE$2,FALSE),0)</f>
        <v>0</v>
      </c>
      <c r="AF67" s="163">
        <f>IFERROR(VLOOKUP($Z67,flows!$A$2:$J$4985,AF$2,FALSE),0)</f>
        <v>0</v>
      </c>
      <c r="AG67" s="163">
        <f>IFERROR(VLOOKUP($Z67,flows!$A$2:$J$4985,AG$2,FALSE),0)</f>
        <v>0</v>
      </c>
      <c r="AH67" s="163">
        <f>IFERROR(VLOOKUP($Z67,flows!$A$2:$J$4985,AH$2,FALSE),0)</f>
        <v>0</v>
      </c>
      <c r="AI67" s="163">
        <f>IFERROR(VLOOKUP($Z67,flows!$A$2:$J$4985,AI$2,FALSE),0)</f>
        <v>0</v>
      </c>
      <c r="AJ67" s="204"/>
      <c r="AK67" s="204"/>
      <c r="AM67" s="65" t="s">
        <v>151</v>
      </c>
      <c r="AN67" s="163">
        <f>IFERROR(VLOOKUP($AM67,flows!$A$2:$J$4985,AN$2,FALSE),0)</f>
        <v>0</v>
      </c>
      <c r="AO67" s="163">
        <f>IFERROR(VLOOKUP($AM67,flows!$A$2:$J$4985,AO$2,FALSE),0)</f>
        <v>0</v>
      </c>
      <c r="AP67" s="163">
        <f>IFERROR(VLOOKUP($AM67,flows!$A$2:$J$4985,AP$2,FALSE),0)</f>
        <v>0</v>
      </c>
      <c r="AQ67" s="163">
        <f>IFERROR(VLOOKUP($AM67,flows!$A$2:$J$4985,AQ$2,FALSE),0)</f>
        <v>0</v>
      </c>
      <c r="AR67" s="163">
        <f>IFERROR(VLOOKUP($AM67,flows!$A$2:$J$4985,AR$2,FALSE),0)</f>
        <v>0</v>
      </c>
      <c r="AS67" s="163">
        <f>IFERROR(VLOOKUP($AM67,flows!$A$2:$J$4985,AS$2,FALSE),0)</f>
        <v>0</v>
      </c>
      <c r="AT67" s="163">
        <f>IFERROR(VLOOKUP($AM67,flows!$A$2:$J$4985,AT$2,FALSE),0)</f>
        <v>0</v>
      </c>
      <c r="AU67" s="163">
        <f>IFERROR(VLOOKUP($AM67,flows!$A$2:$J$4985,AU$2,FALSE),0)</f>
        <v>0</v>
      </c>
      <c r="AW67" s="204"/>
      <c r="AX67" s="204"/>
      <c r="AY67" s="204"/>
      <c r="AZ67" s="204"/>
      <c r="BA67" s="204"/>
      <c r="BB67" s="204"/>
      <c r="BC67" s="204"/>
      <c r="BD67" s="204"/>
      <c r="BE67" s="204"/>
      <c r="BF67" s="204"/>
      <c r="BG67" s="204"/>
      <c r="BI67" s="342" t="s">
        <v>2539</v>
      </c>
      <c r="BJ67" s="342"/>
      <c r="BK67" s="163">
        <f>IFERROR(VLOOKUP($BI67,flows!$A$2:$J$4985,BK$2,FALSE),0)</f>
        <v>104511.4136197503</v>
      </c>
      <c r="BL67" s="163">
        <f>IFERROR(VLOOKUP($BI67,flows!$A$2:$J$4985,BL$2,FALSE),0)</f>
        <v>0</v>
      </c>
      <c r="BM67" s="163">
        <f>IFERROR(VLOOKUP($BI67,flows!$A$2:$J$4985,BM$2,FALSE),0)</f>
        <v>3.10998941178803</v>
      </c>
      <c r="BN67" s="163">
        <f>IFERROR(VLOOKUP($BI67,flows!$A$2:$J$4985,BN$2,FALSE),0)</f>
        <v>1.717662760262742E-2</v>
      </c>
      <c r="BO67" s="163">
        <f>IFERROR(VLOOKUP($BI67,flows!$A$2:$J$4985,BO$2,FALSE),0)</f>
        <v>1.8831213207467921E-2</v>
      </c>
      <c r="BP67" s="163">
        <f>IFERROR(VLOOKUP($BI67,flows!$A$2:$J$4985,BP$2,FALSE),0)</f>
        <v>1.3604642614255839E-3</v>
      </c>
      <c r="BQ67" s="163">
        <f>IFERROR(VLOOKUP($BI67,flows!$A$2:$J$4985,BQ$2,FALSE),0)</f>
        <v>104344.81818443909</v>
      </c>
      <c r="BR67" s="163">
        <f>IFERROR(VLOOKUP($BI67,flows!$A$2:$J$4985,BR$2,FALSE),0)</f>
        <v>0</v>
      </c>
      <c r="BV67" s="66" t="s">
        <v>1335</v>
      </c>
      <c r="BW67" s="199"/>
      <c r="BX67" s="199" t="s">
        <v>1338</v>
      </c>
      <c r="BY67" s="67" t="s">
        <v>1341</v>
      </c>
      <c r="BZ67" s="199"/>
      <c r="CA67" s="199"/>
      <c r="CB67" s="199"/>
      <c r="CC67" s="199"/>
      <c r="CD67" s="199"/>
    </row>
    <row r="68" spans="26:82" ht="14.5" x14ac:dyDescent="0.35">
      <c r="Z68" s="206" t="s">
        <v>774</v>
      </c>
      <c r="AA68" s="194"/>
      <c r="AB68" s="163">
        <f>IFERROR(VLOOKUP($Z68,flows!$A$2:$J$4985,AB$2,FALSE),0)</f>
        <v>0</v>
      </c>
      <c r="AC68" s="163">
        <f>IFERROR(VLOOKUP($Z68,flows!$A$2:$J$4985,AC$2,FALSE),0)</f>
        <v>0</v>
      </c>
      <c r="AD68" s="163">
        <f>IFERROR(VLOOKUP($Z68,flows!$A$2:$J$4985,AD$2,FALSE),0)</f>
        <v>0</v>
      </c>
      <c r="AE68" s="163">
        <f>IFERROR(VLOOKUP($Z68,flows!$A$2:$J$4985,AE$2,FALSE),0)</f>
        <v>0</v>
      </c>
      <c r="AF68" s="163">
        <f>IFERROR(VLOOKUP($Z68,flows!$A$2:$J$4985,AF$2,FALSE),0)</f>
        <v>0</v>
      </c>
      <c r="AG68" s="163">
        <f>IFERROR(VLOOKUP($Z68,flows!$A$2:$J$4985,AG$2,FALSE),0)</f>
        <v>0</v>
      </c>
      <c r="AH68" s="163">
        <f>IFERROR(VLOOKUP($Z68,flows!$A$2:$J$4985,AH$2,FALSE),0)</f>
        <v>0</v>
      </c>
      <c r="AI68" s="163">
        <f>IFERROR(VLOOKUP($Z68,flows!$A$2:$J$4985,AI$2,FALSE),0)</f>
        <v>0</v>
      </c>
      <c r="AJ68" s="204"/>
      <c r="AK68" s="204"/>
      <c r="AM68" s="858" t="s">
        <v>1160</v>
      </c>
      <c r="AN68" s="859">
        <f>SUM(AN55:AN57)</f>
        <v>140286.48699389581</v>
      </c>
      <c r="AO68" s="859">
        <f t="shared" ref="AO68:AU68" si="31">SUM(AO55:AO57)</f>
        <v>11255.74357974178</v>
      </c>
      <c r="AP68" s="859">
        <f t="shared" si="31"/>
        <v>23502.685041727131</v>
      </c>
      <c r="AQ68" s="859">
        <f t="shared" si="31"/>
        <v>45611.895259832709</v>
      </c>
      <c r="AR68" s="859">
        <f t="shared" si="31"/>
        <v>89482.176340183432</v>
      </c>
      <c r="AS68" s="859">
        <f t="shared" si="31"/>
        <v>103760.63706301594</v>
      </c>
      <c r="AT68" s="859">
        <f t="shared" si="31"/>
        <v>138192.4448720901</v>
      </c>
      <c r="AU68" s="859">
        <f t="shared" si="31"/>
        <v>0</v>
      </c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I68" s="342" t="s">
        <v>3017</v>
      </c>
      <c r="BJ68" s="342"/>
      <c r="BK68" s="163">
        <f>IFERROR(VLOOKUP($BI68,flows!$A$2:$J$4985,BK$2,FALSE),0)</f>
        <v>3995.8668414623198</v>
      </c>
      <c r="BL68" s="163">
        <f>IFERROR(VLOOKUP($BI68,flows!$A$2:$J$4985,BL$2,FALSE),0)</f>
        <v>0</v>
      </c>
      <c r="BM68" s="163">
        <f>IFERROR(VLOOKUP($BI68,flows!$A$2:$J$4985,BM$2,FALSE),0)</f>
        <v>3.322414673289396</v>
      </c>
      <c r="BN68" s="163">
        <f>IFERROR(VLOOKUP($BI68,flows!$A$2:$J$4985,BN$2,FALSE),0)</f>
        <v>118.58656860986881</v>
      </c>
      <c r="BO68" s="163">
        <f>IFERROR(VLOOKUP($BI68,flows!$A$2:$J$4985,BO$2,FALSE),0)</f>
        <v>1152.8536139575949</v>
      </c>
      <c r="BP68" s="163">
        <f>IFERROR(VLOOKUP($BI68,flows!$A$2:$J$4985,BP$2,FALSE),0)</f>
        <v>4088.2188069708509</v>
      </c>
      <c r="BQ68" s="163">
        <f>IFERROR(VLOOKUP($BI68,flows!$A$2:$J$4985,BQ$2,FALSE),0)</f>
        <v>5431.9029001919635</v>
      </c>
      <c r="BR68" s="163">
        <f>IFERROR(VLOOKUP($BI68,flows!$A$2:$J$4985,BR$2,FALSE),0)</f>
        <v>0</v>
      </c>
      <c r="BV68" s="198" t="s">
        <v>1160</v>
      </c>
      <c r="BW68" s="199"/>
      <c r="BX68" s="199">
        <v>43</v>
      </c>
      <c r="BY68" s="199">
        <f>BX68-BX60</f>
        <v>43</v>
      </c>
      <c r="BZ68" s="199"/>
      <c r="CA68" s="199"/>
      <c r="CB68" s="11" t="s">
        <v>1346</v>
      </c>
      <c r="CC68" s="199"/>
      <c r="CD68" s="199"/>
    </row>
    <row r="69" spans="26:82" ht="14.5" x14ac:dyDescent="0.35">
      <c r="Z69" s="206" t="s">
        <v>775</v>
      </c>
      <c r="AA69" s="194"/>
      <c r="AB69" s="163">
        <f>IFERROR(VLOOKUP($Z69,flows!$A$2:$J$4985,AB$2,FALSE),0)</f>
        <v>0</v>
      </c>
      <c r="AC69" s="163">
        <f>IFERROR(VLOOKUP($Z69,flows!$A$2:$J$4985,AC$2,FALSE),0)</f>
        <v>0</v>
      </c>
      <c r="AD69" s="163">
        <f>IFERROR(VLOOKUP($Z69,flows!$A$2:$J$4985,AD$2,FALSE),0)</f>
        <v>0</v>
      </c>
      <c r="AE69" s="163">
        <f>IFERROR(VLOOKUP($Z69,flows!$A$2:$J$4985,AE$2,FALSE),0)</f>
        <v>0</v>
      </c>
      <c r="AF69" s="163">
        <f>IFERROR(VLOOKUP($Z69,flows!$A$2:$J$4985,AF$2,FALSE),0)</f>
        <v>0</v>
      </c>
      <c r="AG69" s="163">
        <f>IFERROR(VLOOKUP($Z69,flows!$A$2:$J$4985,AG$2,FALSE),0)</f>
        <v>0</v>
      </c>
      <c r="AH69" s="163">
        <f>IFERROR(VLOOKUP($Z69,flows!$A$2:$J$4985,AH$2,FALSE),0)</f>
        <v>0</v>
      </c>
      <c r="AI69" s="163">
        <f>IFERROR(VLOOKUP($Z69,flows!$A$2:$J$4985,AI$2,FALSE),0)</f>
        <v>0</v>
      </c>
      <c r="AJ69" s="204"/>
      <c r="AK69" s="204"/>
      <c r="AM69" s="203" t="s">
        <v>1167</v>
      </c>
      <c r="AN69" s="204" t="e">
        <f>(AN60+AN59)*(1-Erdgas!F16)</f>
        <v>#N/A</v>
      </c>
      <c r="AO69" s="204" t="e">
        <f>(AO60+AO59)*(1-Erdgas!G16)</f>
        <v>#N/A</v>
      </c>
      <c r="AP69" s="204" t="e">
        <f>(AP60+AP59)*(1-Erdgas!H16)</f>
        <v>#N/A</v>
      </c>
      <c r="AQ69" s="204" t="e">
        <f>(AQ60+AQ59)*(1-Erdgas!I16)</f>
        <v>#N/A</v>
      </c>
      <c r="AR69" s="204" t="e">
        <f>(AR60+AR59)*(1-Erdgas!J16)</f>
        <v>#N/A</v>
      </c>
      <c r="AS69" s="204" t="e">
        <f>(AS60+AS59)*(1-Erdgas!K16)</f>
        <v>#N/A</v>
      </c>
      <c r="AT69" s="204" t="e">
        <f>(AT60+AT59)*(1-Erdgas!L16)</f>
        <v>#N/A</v>
      </c>
      <c r="AU69" s="204" t="e">
        <f>(AU60+AU59)*(1-Erdgas!M16)</f>
        <v>#N/A</v>
      </c>
      <c r="AW69" s="204"/>
      <c r="AX69" s="204"/>
      <c r="AY69" s="204"/>
      <c r="AZ69" s="204"/>
      <c r="BA69" s="204"/>
      <c r="BB69" s="204"/>
      <c r="BC69" s="204"/>
      <c r="BD69" s="204"/>
      <c r="BE69" s="204"/>
      <c r="BF69" s="204"/>
      <c r="BG69" s="204"/>
      <c r="BI69" s="387" t="s">
        <v>4223</v>
      </c>
      <c r="BJ69" s="342"/>
      <c r="BK69" s="163">
        <f>IFERROR(VLOOKUP($BI69,flows!$A$2:$J$4985,BK$2,FALSE),0)</f>
        <v>4005.039287317009</v>
      </c>
      <c r="BL69" s="163">
        <f>IFERROR(VLOOKUP($BI69,flows!$A$2:$J$4985,BL$2,FALSE),0)</f>
        <v>0</v>
      </c>
      <c r="BM69" s="163">
        <f>IFERROR(VLOOKUP($BI69,flows!$A$2:$J$4985,BM$2,FALSE),0)</f>
        <v>1.651125082986914</v>
      </c>
      <c r="BN69" s="163">
        <f>IFERROR(VLOOKUP($BI69,flows!$A$2:$J$4985,BN$2,FALSE),0)</f>
        <v>9.1672203015324312E-3</v>
      </c>
      <c r="BO69" s="163">
        <f>IFERROR(VLOOKUP($BI69,flows!$A$2:$J$4985,BO$2,FALSE),0)</f>
        <v>4712.9720061677363</v>
      </c>
      <c r="BP69" s="163">
        <f>IFERROR(VLOOKUP($BI69,flows!$A$2:$J$4985,BP$2,FALSE),0)</f>
        <v>4.9331093052695459E-2</v>
      </c>
      <c r="BQ69" s="163">
        <f>IFERROR(VLOOKUP($BI69,flows!$A$2:$J$4985,BQ$2,FALSE),0)</f>
        <v>4056.4651695948169</v>
      </c>
      <c r="BR69" s="163">
        <f>IFERROR(VLOOKUP($BI69,flows!$A$2:$J$4985,BR$2,FALSE),0)</f>
        <v>0</v>
      </c>
      <c r="BV69" s="198" t="s">
        <v>1162</v>
      </c>
      <c r="BW69" s="199"/>
      <c r="BX69" s="199">
        <v>0</v>
      </c>
      <c r="BY69" s="199">
        <f>BX69-BX61</f>
        <v>0</v>
      </c>
      <c r="BZ69" s="199"/>
      <c r="CA69" s="199"/>
      <c r="CB69" s="199"/>
      <c r="CC69" s="199"/>
      <c r="CD69" s="199"/>
    </row>
    <row r="70" spans="26:82" ht="14.5" x14ac:dyDescent="0.35">
      <c r="Z70" s="206" t="s">
        <v>776</v>
      </c>
      <c r="AA70" s="194"/>
      <c r="AB70" s="163">
        <f>IFERROR(VLOOKUP($Z70,flows!$A$2:$J$4985,AB$2,FALSE),0)</f>
        <v>0</v>
      </c>
      <c r="AC70" s="163">
        <f>IFERROR(VLOOKUP($Z70,flows!$A$2:$J$4985,AC$2,FALSE),0)</f>
        <v>0</v>
      </c>
      <c r="AD70" s="163">
        <f>IFERROR(VLOOKUP($Z70,flows!$A$2:$J$4985,AD$2,FALSE),0)</f>
        <v>0</v>
      </c>
      <c r="AE70" s="163">
        <f>IFERROR(VLOOKUP($Z70,flows!$A$2:$J$4985,AE$2,FALSE),0)</f>
        <v>0</v>
      </c>
      <c r="AF70" s="163">
        <f>IFERROR(VLOOKUP($Z70,flows!$A$2:$J$4985,AF$2,FALSE),0)</f>
        <v>0</v>
      </c>
      <c r="AG70" s="163">
        <f>IFERROR(VLOOKUP($Z70,flows!$A$2:$J$4985,AG$2,FALSE),0)</f>
        <v>0</v>
      </c>
      <c r="AH70" s="163">
        <f>IFERROR(VLOOKUP($Z70,flows!$A$2:$J$4985,AH$2,FALSE),0)</f>
        <v>0</v>
      </c>
      <c r="AI70" s="163">
        <f>IFERROR(VLOOKUP($Z70,flows!$A$2:$J$4985,AI$2,FALSE),0)</f>
        <v>0</v>
      </c>
      <c r="AJ70" s="204"/>
      <c r="AK70" s="204"/>
      <c r="AM70" s="203" t="s">
        <v>1207</v>
      </c>
      <c r="AN70" s="204">
        <f>AN64+AN65</f>
        <v>0</v>
      </c>
      <c r="AO70" s="204">
        <f t="shared" ref="AO70:AU70" si="32">AO64+AO65</f>
        <v>0</v>
      </c>
      <c r="AP70" s="204">
        <f t="shared" si="32"/>
        <v>0</v>
      </c>
      <c r="AQ70" s="204">
        <f t="shared" si="32"/>
        <v>0</v>
      </c>
      <c r="AR70" s="204">
        <f t="shared" si="32"/>
        <v>0</v>
      </c>
      <c r="AS70" s="204">
        <f t="shared" si="32"/>
        <v>0</v>
      </c>
      <c r="AT70" s="204">
        <f t="shared" si="32"/>
        <v>0</v>
      </c>
      <c r="AU70" s="204">
        <f t="shared" si="32"/>
        <v>0</v>
      </c>
      <c r="AW70" s="204"/>
      <c r="AX70" s="204"/>
      <c r="AY70" s="204"/>
      <c r="AZ70" s="204"/>
      <c r="BA70" s="204"/>
      <c r="BB70" s="204"/>
      <c r="BC70" s="204"/>
      <c r="BD70" s="204"/>
      <c r="BE70" s="204"/>
      <c r="BF70" s="204"/>
      <c r="BG70" s="204"/>
      <c r="BH70" s="342"/>
      <c r="BI70" s="342" t="s">
        <v>2265</v>
      </c>
      <c r="BJ70" s="342"/>
      <c r="BK70" s="163">
        <f>Glasindustrie!E644</f>
        <v>0.28147051885882707</v>
      </c>
      <c r="BL70" s="163">
        <f>Glasindustrie!F644</f>
        <v>0</v>
      </c>
      <c r="BM70" s="163">
        <f>Glasindustrie!G644</f>
        <v>62.126159477568152</v>
      </c>
      <c r="BN70" s="163">
        <f>Glasindustrie!H644</f>
        <v>38.376061177381892</v>
      </c>
      <c r="BO70" s="163">
        <f>Glasindustrie!I644</f>
        <v>47.245522251308195</v>
      </c>
      <c r="BP70" s="163">
        <f>Glasindustrie!J644</f>
        <v>2.2420790991307909E-3</v>
      </c>
      <c r="BQ70" s="163">
        <f>Glasindustrie!K644</f>
        <v>9.2715329084526151E-4</v>
      </c>
      <c r="BR70" s="163">
        <f>Glasindustrie!L644</f>
        <v>0</v>
      </c>
      <c r="BV70" s="198" t="s">
        <v>1316</v>
      </c>
      <c r="BW70" s="199"/>
      <c r="BX70" s="199">
        <v>742</v>
      </c>
      <c r="BY70" s="199">
        <f>BX70-BX62</f>
        <v>742</v>
      </c>
      <c r="BZ70" s="199"/>
      <c r="CA70" s="199"/>
      <c r="CB70" s="199"/>
      <c r="CC70" s="199"/>
      <c r="CD70" s="199"/>
    </row>
    <row r="71" spans="26:82" ht="14.5" x14ac:dyDescent="0.35">
      <c r="Z71" s="206" t="s">
        <v>777</v>
      </c>
      <c r="AA71" s="194"/>
      <c r="AB71" s="163">
        <f>IFERROR(VLOOKUP($Z71,flows!$A$2:$J$4985,AB$2,FALSE),0)</f>
        <v>0</v>
      </c>
      <c r="AC71" s="163">
        <f>IFERROR(VLOOKUP($Z71,flows!$A$2:$J$4985,AC$2,FALSE),0)</f>
        <v>0</v>
      </c>
      <c r="AD71" s="163">
        <f>IFERROR(VLOOKUP($Z71,flows!$A$2:$J$4985,AD$2,FALSE),0)</f>
        <v>0</v>
      </c>
      <c r="AE71" s="163">
        <f>IFERROR(VLOOKUP($Z71,flows!$A$2:$J$4985,AE$2,FALSE),0)</f>
        <v>0</v>
      </c>
      <c r="AF71" s="163">
        <f>IFERROR(VLOOKUP($Z71,flows!$A$2:$J$4985,AF$2,FALSE),0)</f>
        <v>0</v>
      </c>
      <c r="AG71" s="163">
        <f>IFERROR(VLOOKUP($Z71,flows!$A$2:$J$4985,AG$2,FALSE),0)</f>
        <v>0</v>
      </c>
      <c r="AH71" s="163">
        <f>IFERROR(VLOOKUP($Z71,flows!$A$2:$J$4985,AH$2,FALSE),0)</f>
        <v>0</v>
      </c>
      <c r="AI71" s="163">
        <f>IFERROR(VLOOKUP($Z71,flows!$A$2:$J$4985,AI$2,FALSE),0)</f>
        <v>0</v>
      </c>
      <c r="AM71" s="203" t="s">
        <v>1209</v>
      </c>
      <c r="AN71" s="204" t="e">
        <f>(AN61+AN62+AN63)+((AN60+AN59)*Erdgas!F16)</f>
        <v>#N/A</v>
      </c>
      <c r="AO71" s="204" t="e">
        <f>(AO61+AO62+AO63)+((AO60+AO59)*Erdgas!G16)</f>
        <v>#N/A</v>
      </c>
      <c r="AP71" s="204" t="e">
        <f>(AP61+AP62+AP63)+((AP60+AP59)*Erdgas!H16)</f>
        <v>#N/A</v>
      </c>
      <c r="AQ71" s="204" t="e">
        <f>(AQ61+AQ62+AQ63)+((AQ60+AQ59)*Erdgas!I16)</f>
        <v>#N/A</v>
      </c>
      <c r="AR71" s="204" t="e">
        <f>(AR61+AR62+AR63)+((AR60+AR59)*Erdgas!J16)</f>
        <v>#N/A</v>
      </c>
      <c r="AS71" s="204" t="e">
        <f>(AS61+AS62+AS63)+((AS60+AS59)*Erdgas!K16)</f>
        <v>#N/A</v>
      </c>
      <c r="AT71" s="204" t="e">
        <f>(AT61+AT62+AT63)+((AT60+AT59)*Erdgas!L16)</f>
        <v>#N/A</v>
      </c>
      <c r="AU71" s="204" t="e">
        <f>(AU61+AU62+AU63)+((AU60+AU59)*Erdgas!M16)</f>
        <v>#N/A</v>
      </c>
      <c r="BH71" s="342"/>
      <c r="BI71" s="387" t="s">
        <v>2540</v>
      </c>
      <c r="BJ71" s="342"/>
      <c r="BK71" s="163">
        <f>IFERROR(VLOOKUP($BI71,flows!$A$2:$J$4985,BK$2,FALSE),0)</f>
        <v>0</v>
      </c>
      <c r="BL71" s="163">
        <f>IFERROR(VLOOKUP($BI71,flows!$A$2:$J$4985,BL$2,FALSE),0)</f>
        <v>0</v>
      </c>
      <c r="BM71" s="163">
        <f>IFERROR(VLOOKUP($BI71,flows!$A$2:$J$4985,BM$2,FALSE),0)</f>
        <v>0</v>
      </c>
      <c r="BN71" s="163">
        <f>IFERROR(VLOOKUP($BI71,flows!$A$2:$J$4985,BN$2,FALSE),0)</f>
        <v>0</v>
      </c>
      <c r="BO71" s="163">
        <f>IFERROR(VLOOKUP($BI71,flows!$A$2:$J$4985,BO$2,FALSE),0)</f>
        <v>0</v>
      </c>
      <c r="BP71" s="163">
        <f>IFERROR(VLOOKUP($BI71,flows!$A$2:$J$4985,BP$2,FALSE),0)</f>
        <v>0</v>
      </c>
      <c r="BQ71" s="163">
        <f>IFERROR(VLOOKUP($BI71,flows!$A$2:$J$4985,BQ$2,FALSE),0)</f>
        <v>0</v>
      </c>
      <c r="BR71" s="163">
        <f>IFERROR(VLOOKUP($BI71,flows!$A$2:$J$4985,BR$2,FALSE),0)</f>
        <v>0</v>
      </c>
      <c r="BV71" s="198" t="s">
        <v>1317</v>
      </c>
      <c r="BW71" s="199"/>
      <c r="BX71" s="199">
        <v>1309</v>
      </c>
      <c r="BY71" s="199">
        <f>BX71-BX63</f>
        <v>1309</v>
      </c>
      <c r="BZ71" s="199"/>
      <c r="CA71" s="199"/>
      <c r="CB71" s="199"/>
      <c r="CC71" s="199"/>
      <c r="CD71" s="199"/>
    </row>
    <row r="72" spans="26:82" ht="14.5" x14ac:dyDescent="0.35">
      <c r="Z72" s="206"/>
      <c r="AA72" s="194"/>
      <c r="AB72" s="163"/>
      <c r="AC72" s="163"/>
      <c r="AD72" s="163"/>
      <c r="AE72" s="163"/>
      <c r="AF72" s="163"/>
      <c r="AG72" s="163"/>
      <c r="AH72" s="163"/>
      <c r="AI72" s="163"/>
      <c r="AM72" s="203" t="s">
        <v>1210</v>
      </c>
      <c r="AN72" s="204">
        <f>AN66</f>
        <v>0</v>
      </c>
      <c r="AO72" s="204">
        <f t="shared" ref="AO72:AU72" si="33">AO66</f>
        <v>0</v>
      </c>
      <c r="AP72" s="204">
        <f t="shared" si="33"/>
        <v>0</v>
      </c>
      <c r="AQ72" s="204">
        <f t="shared" si="33"/>
        <v>0</v>
      </c>
      <c r="AR72" s="204">
        <f t="shared" si="33"/>
        <v>0</v>
      </c>
      <c r="AS72" s="204">
        <f t="shared" si="33"/>
        <v>0</v>
      </c>
      <c r="AT72" s="204">
        <f t="shared" si="33"/>
        <v>0</v>
      </c>
      <c r="AU72" s="204">
        <f t="shared" si="33"/>
        <v>0</v>
      </c>
      <c r="BI72" s="387" t="s">
        <v>2650</v>
      </c>
      <c r="BJ72" s="342"/>
      <c r="BK72" s="856" t="e">
        <f>'Chemische Industrie'!CW28</f>
        <v>#DIV/0!</v>
      </c>
      <c r="BL72" s="856">
        <f>'Chemische Industrie'!CX28</f>
        <v>0</v>
      </c>
      <c r="BM72" s="856" t="e">
        <f>'Chemische Industrie'!CY28</f>
        <v>#DIV/0!</v>
      </c>
      <c r="BN72" s="856" t="e">
        <f>'Chemische Industrie'!CZ28</f>
        <v>#DIV/0!</v>
      </c>
      <c r="BO72" s="856" t="e">
        <f>'Chemische Industrie'!DA28</f>
        <v>#DIV/0!</v>
      </c>
      <c r="BP72" s="856" t="e">
        <f>'Chemische Industrie'!DB28</f>
        <v>#DIV/0!</v>
      </c>
      <c r="BQ72" s="856" t="e">
        <f>'Chemische Industrie'!DC28</f>
        <v>#DIV/0!</v>
      </c>
      <c r="BR72" s="856" t="e">
        <f>'Chemische Industrie'!DD28</f>
        <v>#DIV/0!</v>
      </c>
      <c r="BV72" s="198" t="s">
        <v>1336</v>
      </c>
      <c r="BW72" s="199"/>
      <c r="BX72" s="199">
        <v>2448</v>
      </c>
      <c r="BY72" s="199">
        <f>BX72-BX62-BX63-BX64</f>
        <v>2448</v>
      </c>
      <c r="BZ72" s="199"/>
      <c r="CA72" s="199"/>
      <c r="CB72" s="199"/>
      <c r="CC72" s="199"/>
      <c r="CD72" s="199"/>
    </row>
    <row r="73" spans="26:82" ht="14.5" x14ac:dyDescent="0.35">
      <c r="Z73" s="206"/>
      <c r="AA73" s="194"/>
      <c r="AB73" s="163"/>
      <c r="AC73" s="163"/>
      <c r="AD73" s="163"/>
      <c r="AE73" s="163"/>
      <c r="AF73" s="163"/>
      <c r="AG73" s="163"/>
      <c r="AH73" s="163"/>
      <c r="AI73" s="163"/>
      <c r="AM73" s="203" t="s">
        <v>1162</v>
      </c>
      <c r="AN73" s="204">
        <f>AN58+AN67</f>
        <v>0</v>
      </c>
      <c r="AO73" s="204">
        <f t="shared" ref="AO73:AU73" si="34">AO58+AO67</f>
        <v>0</v>
      </c>
      <c r="AP73" s="204">
        <f t="shared" si="34"/>
        <v>0</v>
      </c>
      <c r="AQ73" s="204">
        <f t="shared" si="34"/>
        <v>0</v>
      </c>
      <c r="AR73" s="204">
        <f t="shared" si="34"/>
        <v>0</v>
      </c>
      <c r="AS73" s="204">
        <f t="shared" si="34"/>
        <v>0</v>
      </c>
      <c r="AT73" s="204">
        <f t="shared" si="34"/>
        <v>0</v>
      </c>
      <c r="AU73" s="204">
        <f t="shared" si="34"/>
        <v>0</v>
      </c>
      <c r="BH73" s="342"/>
      <c r="BI73" s="79" t="s">
        <v>2553</v>
      </c>
      <c r="BV73" s="198" t="s">
        <v>1340</v>
      </c>
      <c r="BW73" s="199"/>
      <c r="BX73" s="199">
        <v>7</v>
      </c>
      <c r="BY73" s="199"/>
      <c r="BZ73" s="199"/>
      <c r="CA73" s="199"/>
      <c r="CB73" s="199"/>
      <c r="CC73" s="199"/>
      <c r="CD73" s="199"/>
    </row>
    <row r="74" spans="26:82" ht="15" thickBot="1" x14ac:dyDescent="0.4">
      <c r="Z74" s="206"/>
      <c r="AA74" s="194"/>
      <c r="AB74" s="163"/>
      <c r="AC74" s="163"/>
      <c r="AD74" s="163"/>
      <c r="AE74" s="163"/>
      <c r="AF74" s="163"/>
      <c r="AG74" s="163"/>
      <c r="AH74" s="163"/>
      <c r="AI74" s="163"/>
      <c r="AM74" s="14" t="s">
        <v>1814</v>
      </c>
      <c r="AN74" s="35">
        <f t="shared" ref="AN74:AU74" si="35">SUM(AN48:AN54)</f>
        <v>0</v>
      </c>
      <c r="AO74" s="35">
        <f t="shared" si="35"/>
        <v>0</v>
      </c>
      <c r="AP74" s="35">
        <f t="shared" si="35"/>
        <v>0</v>
      </c>
      <c r="AQ74" s="35">
        <f t="shared" si="35"/>
        <v>0</v>
      </c>
      <c r="AR74" s="35">
        <f t="shared" si="35"/>
        <v>0</v>
      </c>
      <c r="AS74" s="35">
        <f t="shared" si="35"/>
        <v>0</v>
      </c>
      <c r="AT74" s="35">
        <f t="shared" si="35"/>
        <v>0</v>
      </c>
      <c r="AU74" s="35">
        <f t="shared" si="35"/>
        <v>0</v>
      </c>
      <c r="BH74" s="342"/>
      <c r="BI74" s="342" t="s">
        <v>2976</v>
      </c>
      <c r="BJ74" s="342"/>
      <c r="BK74" s="163">
        <f>IFERROR(VLOOKUP($BI74,flows!$A$2:$J$4985,BK$2,FALSE),0)</f>
        <v>0</v>
      </c>
      <c r="BL74" s="163">
        <f>IFERROR(VLOOKUP($BI74,flows!$A$2:$J$4985,BL$2,FALSE),0)</f>
        <v>1908.2551995205649</v>
      </c>
      <c r="BM74" s="163">
        <f>IFERROR(VLOOKUP($BI74,flows!$A$2:$J$4985,BM$2,FALSE),0)</f>
        <v>1414.225381069318</v>
      </c>
      <c r="BN74" s="163">
        <f>IFERROR(VLOOKUP($BI74,flows!$A$2:$J$4985,BN$2,FALSE),0)</f>
        <v>7.4150700442521334E-3</v>
      </c>
      <c r="BO74" s="163">
        <f>IFERROR(VLOOKUP($BI74,flows!$A$2:$J$4985,BO$2,FALSE),0)</f>
        <v>1.524383841507091E-3</v>
      </c>
      <c r="BP74" s="163">
        <f>IFERROR(VLOOKUP($BI74,flows!$A$2:$J$4985,BP$2,FALSE),0)</f>
        <v>0</v>
      </c>
      <c r="BQ74" s="163">
        <f>IFERROR(VLOOKUP($BI74,flows!$A$2:$J$4985,BQ$2,FALSE),0)</f>
        <v>0</v>
      </c>
      <c r="BR74" s="163">
        <f>IFERROR(VLOOKUP($BI74,flows!$A$2:$J$4985,BR$2,FALSE),0)</f>
        <v>0</v>
      </c>
      <c r="BV74" s="198" t="s">
        <v>1337</v>
      </c>
      <c r="BW74" s="199"/>
      <c r="BX74" s="199">
        <v>113</v>
      </c>
      <c r="BY74" s="199"/>
      <c r="BZ74" s="199"/>
      <c r="CA74" s="199"/>
      <c r="CB74" s="199"/>
      <c r="CC74" s="199"/>
      <c r="CD74" s="199"/>
    </row>
    <row r="75" spans="26:82" ht="14.5" x14ac:dyDescent="0.35">
      <c r="Z75" s="206" t="s">
        <v>836</v>
      </c>
      <c r="AA75" s="194"/>
      <c r="AB75" s="163">
        <f>IFERROR(VLOOKUP($Z75,flows!$A$2:$J$4985,AB$2,FALSE),0)</f>
        <v>0</v>
      </c>
      <c r="AC75" s="163">
        <f>IFERROR(VLOOKUP($Z75,flows!$A$2:$J$4985,AC$2,FALSE),0)</f>
        <v>0</v>
      </c>
      <c r="AD75" s="163">
        <f>IFERROR(VLOOKUP($Z75,flows!$A$2:$J$4985,AD$2,FALSE),0)</f>
        <v>0</v>
      </c>
      <c r="AE75" s="163">
        <f>IFERROR(VLOOKUP($Z75,flows!$A$2:$J$4985,AE$2,FALSE),0)</f>
        <v>0</v>
      </c>
      <c r="AF75" s="163">
        <f>IFERROR(VLOOKUP($Z75,flows!$A$2:$J$4985,AF$2,FALSE),0)</f>
        <v>0</v>
      </c>
      <c r="AG75" s="163">
        <f>IFERROR(VLOOKUP($Z75,flows!$A$2:$J$4985,AG$2,FALSE),0)</f>
        <v>0</v>
      </c>
      <c r="AH75" s="163">
        <f>IFERROR(VLOOKUP($Z75,flows!$A$2:$J$4985,AH$2,FALSE),0)</f>
        <v>0</v>
      </c>
      <c r="AI75" s="163">
        <f>IFERROR(VLOOKUP($Z75,flows!$A$2:$J$4985,AI$2,FALSE),0)</f>
        <v>0</v>
      </c>
      <c r="BH75" s="342"/>
      <c r="BI75" s="387" t="s">
        <v>2543</v>
      </c>
      <c r="BJ75" s="342"/>
      <c r="BK75" s="163">
        <f>IFERROR(VLOOKUP($BI75,flows!$A$2:$J$4985,BK$2,FALSE),0)</f>
        <v>0</v>
      </c>
      <c r="BL75" s="163">
        <f>IFERROR(VLOOKUP($BI75,flows!$A$2:$J$4985,BL$2,FALSE),0)</f>
        <v>0</v>
      </c>
      <c r="BM75" s="163">
        <f>IFERROR(VLOOKUP($BI75,flows!$A$2:$J$4985,BM$2,FALSE),0)</f>
        <v>0</v>
      </c>
      <c r="BN75" s="163">
        <f>IFERROR(VLOOKUP($BI75,flows!$A$2:$J$4985,BN$2,FALSE),0)</f>
        <v>0</v>
      </c>
      <c r="BO75" s="163">
        <f>IFERROR(VLOOKUP($BI75,flows!$A$2:$J$4985,BO$2,FALSE),0)</f>
        <v>0</v>
      </c>
      <c r="BP75" s="163">
        <f>IFERROR(VLOOKUP($BI75,flows!$A$2:$J$4985,BP$2,FALSE),0)</f>
        <v>0</v>
      </c>
      <c r="BQ75" s="163">
        <f>IFERROR(VLOOKUP($BI75,flows!$A$2:$J$4985,BQ$2,FALSE),0)</f>
        <v>0</v>
      </c>
      <c r="BR75" s="163">
        <f>IFERROR(VLOOKUP($BI75,flows!$A$2:$J$4985,BR$2,FALSE),0)</f>
        <v>0</v>
      </c>
      <c r="BV75" s="198"/>
      <c r="BW75" s="199"/>
      <c r="BX75" s="199"/>
      <c r="BY75" s="199"/>
      <c r="BZ75" s="199"/>
      <c r="CA75" s="199"/>
      <c r="CB75" s="199"/>
      <c r="CC75" s="199"/>
      <c r="CD75" s="199"/>
    </row>
    <row r="76" spans="26:82" ht="15" thickBot="1" x14ac:dyDescent="0.4">
      <c r="Z76" s="206" t="s">
        <v>837</v>
      </c>
      <c r="AA76" s="194"/>
      <c r="AB76" s="163">
        <f>IFERROR(VLOOKUP($Z76,flows!$A$2:$J$4985,AB$2,FALSE),0)</f>
        <v>0</v>
      </c>
      <c r="AC76" s="163">
        <f>IFERROR(VLOOKUP($Z76,flows!$A$2:$J$4985,AC$2,FALSE),0)</f>
        <v>0</v>
      </c>
      <c r="AD76" s="163">
        <f>IFERROR(VLOOKUP($Z76,flows!$A$2:$J$4985,AD$2,FALSE),0)</f>
        <v>0</v>
      </c>
      <c r="AE76" s="163">
        <f>IFERROR(VLOOKUP($Z76,flows!$A$2:$J$4985,AE$2,FALSE),0)</f>
        <v>0</v>
      </c>
      <c r="AF76" s="163">
        <f>IFERROR(VLOOKUP($Z76,flows!$A$2:$J$4985,AF$2,FALSE),0)</f>
        <v>0</v>
      </c>
      <c r="AG76" s="163">
        <f>IFERROR(VLOOKUP($Z76,flows!$A$2:$J$4985,AG$2,FALSE),0)</f>
        <v>0</v>
      </c>
      <c r="AH76" s="163">
        <f>IFERROR(VLOOKUP($Z76,flows!$A$2:$J$4985,AH$2,FALSE),0)</f>
        <v>0</v>
      </c>
      <c r="AI76" s="163">
        <f>IFERROR(VLOOKUP($Z76,flows!$A$2:$J$4985,AI$2,FALSE),0)</f>
        <v>0</v>
      </c>
      <c r="BH76" s="342"/>
      <c r="BI76" s="79" t="s">
        <v>2547</v>
      </c>
      <c r="BJ76" s="342"/>
      <c r="BK76" s="163"/>
      <c r="BL76" s="163"/>
      <c r="BM76" s="163"/>
      <c r="BN76" s="163"/>
      <c r="BO76" s="163"/>
      <c r="BP76" s="163"/>
      <c r="BQ76" s="163"/>
      <c r="BR76" s="163"/>
      <c r="BV76" s="201" t="s">
        <v>1339</v>
      </c>
      <c r="BW76" s="211"/>
      <c r="BX76" s="211">
        <v>2612</v>
      </c>
      <c r="BY76" s="211">
        <f>BX76-SUM(BX60:BX64)</f>
        <v>2612</v>
      </c>
      <c r="BZ76" s="211"/>
      <c r="CA76" s="211"/>
      <c r="CB76" s="211"/>
      <c r="CC76" s="211"/>
      <c r="CD76" s="211"/>
    </row>
    <row r="77" spans="26:82" ht="14.5" x14ac:dyDescent="0.35">
      <c r="Z77" s="206" t="s">
        <v>838</v>
      </c>
      <c r="AA77" s="194"/>
      <c r="AB77" s="163">
        <f>IFERROR(VLOOKUP($Z77,flows!$A$2:$J$4985,AB$2,FALSE),0)</f>
        <v>0</v>
      </c>
      <c r="AC77" s="163">
        <f>IFERROR(VLOOKUP($Z77,flows!$A$2:$J$4985,AC$2,FALSE),0)</f>
        <v>0</v>
      </c>
      <c r="AD77" s="163">
        <f>IFERROR(VLOOKUP($Z77,flows!$A$2:$J$4985,AD$2,FALSE),0)</f>
        <v>0</v>
      </c>
      <c r="AE77" s="163">
        <f>IFERROR(VLOOKUP($Z77,flows!$A$2:$J$4985,AE$2,FALSE),0)</f>
        <v>0</v>
      </c>
      <c r="AF77" s="163">
        <f>IFERROR(VLOOKUP($Z77,flows!$A$2:$J$4985,AF$2,FALSE),0)</f>
        <v>0</v>
      </c>
      <c r="AG77" s="163">
        <f>IFERROR(VLOOKUP($Z77,flows!$A$2:$J$4985,AG$2,FALSE),0)</f>
        <v>0</v>
      </c>
      <c r="AH77" s="163">
        <f>IFERROR(VLOOKUP($Z77,flows!$A$2:$J$4985,AH$2,FALSE),0)</f>
        <v>0</v>
      </c>
      <c r="AI77" s="163">
        <f>IFERROR(VLOOKUP($Z77,flows!$A$2:$J$4985,AI$2,FALSE),0)</f>
        <v>0</v>
      </c>
      <c r="BH77" s="342"/>
      <c r="BI77" s="390" t="s">
        <v>2545</v>
      </c>
      <c r="BJ77" s="342"/>
      <c r="BK77" s="163">
        <f>IFERROR(VLOOKUP($BI77,flows!$A$2:$J$4985,BK$2,FALSE),0)</f>
        <v>0</v>
      </c>
      <c r="BL77" s="163">
        <f>IFERROR(VLOOKUP($BI77,flows!$A$2:$J$4985,BL$2,FALSE),0)</f>
        <v>0</v>
      </c>
      <c r="BM77" s="163">
        <f>IFERROR(VLOOKUP($BI77,flows!$A$2:$J$4985,BM$2,FALSE),0)</f>
        <v>0</v>
      </c>
      <c r="BN77" s="163">
        <f>IFERROR(VLOOKUP($BI77,flows!$A$2:$J$4985,BN$2,FALSE),0)</f>
        <v>0</v>
      </c>
      <c r="BO77" s="163">
        <f>IFERROR(VLOOKUP($BI77,flows!$A$2:$J$4985,BO$2,FALSE),0)</f>
        <v>0</v>
      </c>
      <c r="BP77" s="163">
        <f>IFERROR(VLOOKUP($BI77,flows!$A$2:$J$4985,BP$2,FALSE),0)</f>
        <v>0</v>
      </c>
      <c r="BQ77" s="163">
        <f>IFERROR(VLOOKUP($BI77,flows!$A$2:$J$4985,BQ$2,FALSE),0)</f>
        <v>0</v>
      </c>
      <c r="BR77" s="163">
        <f>IFERROR(VLOOKUP($BI77,flows!$A$2:$J$4985,BR$2,FALSE),0)</f>
        <v>0</v>
      </c>
    </row>
    <row r="78" spans="26:82" ht="14.5" x14ac:dyDescent="0.35">
      <c r="Z78" s="206" t="s">
        <v>839</v>
      </c>
      <c r="AA78" s="194"/>
      <c r="AB78" s="163">
        <f>IFERROR(VLOOKUP($Z78,flows!$A$2:$J$4985,AB$2,FALSE),0)</f>
        <v>0</v>
      </c>
      <c r="AC78" s="163">
        <f>IFERROR(VLOOKUP($Z78,flows!$A$2:$J$4985,AC$2,FALSE),0)</f>
        <v>0</v>
      </c>
      <c r="AD78" s="163">
        <f>IFERROR(VLOOKUP($Z78,flows!$A$2:$J$4985,AD$2,FALSE),0)</f>
        <v>0</v>
      </c>
      <c r="AE78" s="163">
        <f>IFERROR(VLOOKUP($Z78,flows!$A$2:$J$4985,AE$2,FALSE),0)</f>
        <v>0</v>
      </c>
      <c r="AF78" s="163">
        <f>IFERROR(VLOOKUP($Z78,flows!$A$2:$J$4985,AF$2,FALSE),0)</f>
        <v>0</v>
      </c>
      <c r="AG78" s="163">
        <f>IFERROR(VLOOKUP($Z78,flows!$A$2:$J$4985,AG$2,FALSE),0)</f>
        <v>0</v>
      </c>
      <c r="AH78" s="163">
        <f>IFERROR(VLOOKUP($Z78,flows!$A$2:$J$4985,AH$2,FALSE),0)</f>
        <v>0</v>
      </c>
      <c r="AI78" s="163">
        <f>IFERROR(VLOOKUP($Z78,flows!$A$2:$J$4985,AI$2,FALSE),0)</f>
        <v>0</v>
      </c>
      <c r="BH78" s="342"/>
      <c r="BI78" s="387" t="s">
        <v>3906</v>
      </c>
      <c r="BJ78" s="342"/>
      <c r="BK78" s="163">
        <f>Glasindustrie!R84</f>
        <v>1004.9144133865814</v>
      </c>
      <c r="BL78" s="163">
        <f>Glasindustrie!S84</f>
        <v>733.1657230540286</v>
      </c>
      <c r="BM78" s="163">
        <f>Glasindustrie!T84</f>
        <v>725.0551670730074</v>
      </c>
      <c r="BN78" s="163">
        <f>Glasindustrie!U84</f>
        <v>750.98972000950653</v>
      </c>
      <c r="BO78" s="163">
        <f>Glasindustrie!V84</f>
        <v>781.02501899851723</v>
      </c>
      <c r="BP78" s="163">
        <f>Glasindustrie!W84</f>
        <v>842.01816751605395</v>
      </c>
      <c r="BQ78" s="163">
        <f>Glasindustrie!X84</f>
        <v>1004.9199763892337</v>
      </c>
      <c r="BR78" s="163">
        <f>Glasindustrie!Y84</f>
        <v>0</v>
      </c>
    </row>
    <row r="79" spans="26:82" ht="14.5" x14ac:dyDescent="0.35">
      <c r="Z79" s="206" t="s">
        <v>840</v>
      </c>
      <c r="AA79" s="194"/>
      <c r="AB79" s="163">
        <f>IFERROR(VLOOKUP($Z79,flows!$A$2:$J$4985,AB$2,FALSE),0)</f>
        <v>0</v>
      </c>
      <c r="AC79" s="163">
        <f>IFERROR(VLOOKUP($Z79,flows!$A$2:$J$4985,AC$2,FALSE),0)</f>
        <v>0</v>
      </c>
      <c r="AD79" s="163">
        <f>IFERROR(VLOOKUP($Z79,flows!$A$2:$J$4985,AD$2,FALSE),0)</f>
        <v>0</v>
      </c>
      <c r="AE79" s="163">
        <f>IFERROR(VLOOKUP($Z79,flows!$A$2:$J$4985,AE$2,FALSE),0)</f>
        <v>0</v>
      </c>
      <c r="AF79" s="163">
        <f>IFERROR(VLOOKUP($Z79,flows!$A$2:$J$4985,AF$2,FALSE),0)</f>
        <v>0</v>
      </c>
      <c r="AG79" s="163">
        <f>IFERROR(VLOOKUP($Z79,flows!$A$2:$J$4985,AG$2,FALSE),0)</f>
        <v>0</v>
      </c>
      <c r="AH79" s="163">
        <f>IFERROR(VLOOKUP($Z79,flows!$A$2:$J$4985,AH$2,FALSE),0)</f>
        <v>0</v>
      </c>
      <c r="AI79" s="163">
        <f>IFERROR(VLOOKUP($Z79,flows!$A$2:$J$4985,AI$2,FALSE),0)</f>
        <v>0</v>
      </c>
      <c r="AL79" s="860" t="s">
        <v>4033</v>
      </c>
      <c r="BH79" s="342"/>
      <c r="BI79" s="387" t="s">
        <v>3907</v>
      </c>
      <c r="BJ79" s="342"/>
      <c r="BK79" s="163">
        <f>Glasindustrie!R35</f>
        <v>1.667157773737267E-3</v>
      </c>
      <c r="BL79" s="163">
        <f>Glasindustrie!S35</f>
        <v>39.285533409526487</v>
      </c>
      <c r="BM79" s="163">
        <f>Glasindustrie!T35</f>
        <v>19.05327837542967</v>
      </c>
      <c r="BN79" s="163">
        <f>Glasindustrie!U35</f>
        <v>0.75751163084901585</v>
      </c>
      <c r="BO79" s="163">
        <f>Glasindustrie!V35</f>
        <v>0.86998517985374846</v>
      </c>
      <c r="BP79" s="163">
        <f>Glasindustrie!W35</f>
        <v>0.13583214128382559</v>
      </c>
      <c r="BQ79" s="163">
        <f>Glasindustrie!X35</f>
        <v>2.616505564602851E-5</v>
      </c>
      <c r="BR79" s="163">
        <f>Glasindustrie!Y35</f>
        <v>0</v>
      </c>
    </row>
    <row r="80" spans="26:82" ht="15" customHeight="1" x14ac:dyDescent="0.35">
      <c r="Z80" s="206" t="s">
        <v>841</v>
      </c>
      <c r="AA80" s="194"/>
      <c r="AB80" s="163">
        <f>IFERROR(VLOOKUP($Z80,flows!$A$2:$J$4985,AB$2,FALSE),0)</f>
        <v>0</v>
      </c>
      <c r="AC80" s="163">
        <f>IFERROR(VLOOKUP($Z80,flows!$A$2:$J$4985,AC$2,FALSE),0)</f>
        <v>0</v>
      </c>
      <c r="AD80" s="163">
        <f>IFERROR(VLOOKUP($Z80,flows!$A$2:$J$4985,AD$2,FALSE),0)</f>
        <v>0</v>
      </c>
      <c r="AE80" s="163">
        <f>IFERROR(VLOOKUP($Z80,flows!$A$2:$J$4985,AE$2,FALSE),0)</f>
        <v>0</v>
      </c>
      <c r="AF80" s="163">
        <f>IFERROR(VLOOKUP($Z80,flows!$A$2:$J$4985,AF$2,FALSE),0)</f>
        <v>0</v>
      </c>
      <c r="AG80" s="163">
        <f>IFERROR(VLOOKUP($Z80,flows!$A$2:$J$4985,AG$2,FALSE),0)</f>
        <v>0</v>
      </c>
      <c r="AH80" s="163">
        <f>IFERROR(VLOOKUP($Z80,flows!$A$2:$J$4985,AH$2,FALSE),0)</f>
        <v>0</v>
      </c>
      <c r="AI80" s="163">
        <f>IFERROR(VLOOKUP($Z80,flows!$A$2:$J$4985,AI$2,FALSE),0)</f>
        <v>0</v>
      </c>
      <c r="BH80" s="342"/>
      <c r="BI80" s="342" t="s">
        <v>2548</v>
      </c>
      <c r="BJ80" s="342"/>
      <c r="BK80" s="163">
        <f>IFERROR(VLOOKUP($BI80,flows!$A$2:$J$4985,BK$2,FALSE),0)</f>
        <v>0</v>
      </c>
      <c r="BL80" s="163">
        <f>IFERROR(VLOOKUP($BI80,flows!$A$2:$J$4985,BL$2,FALSE),0)</f>
        <v>0</v>
      </c>
      <c r="BM80" s="163">
        <f>IFERROR(VLOOKUP($BI80,flows!$A$2:$J$4985,BM$2,FALSE),0)</f>
        <v>0</v>
      </c>
      <c r="BN80" s="163">
        <f>IFERROR(VLOOKUP($BI80,flows!$A$2:$J$4985,BN$2,FALSE),0)</f>
        <v>0</v>
      </c>
      <c r="BO80" s="163">
        <f>IFERROR(VLOOKUP($BI80,flows!$A$2:$J$4985,BO$2,FALSE),0)</f>
        <v>0</v>
      </c>
      <c r="BP80" s="163">
        <f>IFERROR(VLOOKUP($BI80,flows!$A$2:$J$4985,BP$2,FALSE),0)</f>
        <v>0</v>
      </c>
      <c r="BQ80" s="163">
        <f>IFERROR(VLOOKUP($BI80,flows!$A$2:$J$4985,BQ$2,FALSE),0)</f>
        <v>0</v>
      </c>
      <c r="BR80" s="163">
        <f>IFERROR(VLOOKUP($BI80,flows!$A$2:$J$4985,BR$2,FALSE),0)</f>
        <v>0</v>
      </c>
    </row>
    <row r="81" spans="2:70" ht="14.5" x14ac:dyDescent="0.35">
      <c r="Z81" s="198" t="s">
        <v>842</v>
      </c>
      <c r="AA81" s="199"/>
      <c r="AB81" s="163">
        <f>IFERROR(VLOOKUP($Z81,flows!$A$2:$J$4985,AB$2,FALSE),0)</f>
        <v>0</v>
      </c>
      <c r="AC81" s="163">
        <f>IFERROR(VLOOKUP($Z81,flows!$A$2:$J$4985,AC$2,FALSE),0)</f>
        <v>0</v>
      </c>
      <c r="AD81" s="163">
        <f>IFERROR(VLOOKUP($Z81,flows!$A$2:$J$4985,AD$2,FALSE),0)</f>
        <v>0</v>
      </c>
      <c r="AE81" s="163">
        <f>IFERROR(VLOOKUP($Z81,flows!$A$2:$J$4985,AE$2,FALSE),0)</f>
        <v>0</v>
      </c>
      <c r="AF81" s="163">
        <f>IFERROR(VLOOKUP($Z81,flows!$A$2:$J$4985,AF$2,FALSE),0)</f>
        <v>0</v>
      </c>
      <c r="AG81" s="163">
        <f>IFERROR(VLOOKUP($Z81,flows!$A$2:$J$4985,AG$2,FALSE),0)</f>
        <v>0</v>
      </c>
      <c r="AH81" s="163">
        <f>IFERROR(VLOOKUP($Z81,flows!$A$2:$J$4985,AH$2,FALSE),0)</f>
        <v>0</v>
      </c>
      <c r="AI81" s="163">
        <f>IFERROR(VLOOKUP($Z81,flows!$A$2:$J$4985,AI$2,FALSE),0)</f>
        <v>0</v>
      </c>
      <c r="AM81" s="204" t="s">
        <v>1339</v>
      </c>
      <c r="AN81" s="204" t="e">
        <f>SUM(AN82:AN88)</f>
        <v>#DIV/0!</v>
      </c>
      <c r="AO81" s="204">
        <f t="shared" ref="AO81:AU81" si="36">SUM(AO82:AO88)</f>
        <v>11255.74357974178</v>
      </c>
      <c r="AP81" s="204">
        <f t="shared" si="36"/>
        <v>22864.083470322981</v>
      </c>
      <c r="AQ81" s="204">
        <f t="shared" si="36"/>
        <v>40537.188651640012</v>
      </c>
      <c r="AR81" s="204">
        <f t="shared" si="36"/>
        <v>76491.508325183255</v>
      </c>
      <c r="AS81" s="204">
        <f t="shared" si="36"/>
        <v>90534.40706327511</v>
      </c>
      <c r="AT81" s="204">
        <f t="shared" si="36"/>
        <v>112924.83044288339</v>
      </c>
      <c r="AU81" s="204">
        <f t="shared" si="36"/>
        <v>0</v>
      </c>
      <c r="BH81" s="342"/>
      <c r="BI81" s="79" t="s">
        <v>2549</v>
      </c>
      <c r="BJ81" s="342"/>
      <c r="BK81" s="163"/>
      <c r="BL81" s="163"/>
      <c r="BM81" s="163"/>
      <c r="BN81" s="163"/>
      <c r="BO81" s="163"/>
      <c r="BP81" s="163"/>
      <c r="BQ81" s="163"/>
      <c r="BR81" s="163"/>
    </row>
    <row r="82" spans="2:70" ht="14.5" x14ac:dyDescent="0.35">
      <c r="Z82" s="198"/>
      <c r="AA82" s="199"/>
      <c r="AB82" s="16"/>
      <c r="AC82" s="16"/>
      <c r="AD82" s="16"/>
      <c r="AE82" s="16"/>
      <c r="AF82" s="16"/>
      <c r="AG82" s="16"/>
      <c r="AH82" s="16"/>
      <c r="AI82" s="16"/>
      <c r="AM82" s="337" t="s">
        <v>1160</v>
      </c>
      <c r="AN82" s="204" t="e">
        <f>AB86+AN16</f>
        <v>#DIV/0!</v>
      </c>
      <c r="AO82" s="204">
        <f t="shared" ref="AO82:AU82" si="37">SUM(AC4:AC49)+SUM(AO4:AO6)+AO11+SUM(AC51:AC52)</f>
        <v>11255.74357974178</v>
      </c>
      <c r="AP82" s="204">
        <f t="shared" si="37"/>
        <v>22864.083470322981</v>
      </c>
      <c r="AQ82" s="204">
        <f t="shared" si="37"/>
        <v>40537.188651640012</v>
      </c>
      <c r="AR82" s="204">
        <f t="shared" si="37"/>
        <v>76491.508325183255</v>
      </c>
      <c r="AS82" s="204">
        <f t="shared" si="37"/>
        <v>90534.40706327511</v>
      </c>
      <c r="AT82" s="204">
        <f t="shared" si="37"/>
        <v>112924.83044288339</v>
      </c>
      <c r="AU82" s="204">
        <f t="shared" si="37"/>
        <v>0</v>
      </c>
      <c r="BH82" s="342"/>
      <c r="BI82" s="387" t="s">
        <v>2544</v>
      </c>
      <c r="BJ82" s="342"/>
      <c r="BK82" s="163">
        <f>IFERROR(VLOOKUP($BI82,flows!$A$2:$J$4985,BK$2,FALSE),0)</f>
        <v>0</v>
      </c>
      <c r="BL82" s="163">
        <f>IFERROR(VLOOKUP($BI82,flows!$A$2:$J$4985,BL$2,FALSE),0)</f>
        <v>0</v>
      </c>
      <c r="BM82" s="163">
        <f>IFERROR(VLOOKUP($BI82,flows!$A$2:$J$4985,BM$2,FALSE),0)</f>
        <v>0</v>
      </c>
      <c r="BN82" s="163">
        <f>IFERROR(VLOOKUP($BI82,flows!$A$2:$J$4985,BN$2,FALSE),0)</f>
        <v>0</v>
      </c>
      <c r="BO82" s="163">
        <f>IFERROR(VLOOKUP($BI82,flows!$A$2:$J$4985,BO$2,FALSE),0)</f>
        <v>0</v>
      </c>
      <c r="BP82" s="163">
        <f>IFERROR(VLOOKUP($BI82,flows!$A$2:$J$4985,BP$2,FALSE),0)</f>
        <v>0</v>
      </c>
      <c r="BQ82" s="163">
        <f>IFERROR(VLOOKUP($BI82,flows!$A$2:$J$4985,BQ$2,FALSE),0)</f>
        <v>0</v>
      </c>
      <c r="BR82" s="163">
        <f>IFERROR(VLOOKUP($BI82,flows!$A$2:$J$4985,BR$2,FALSE),0)</f>
        <v>0</v>
      </c>
    </row>
    <row r="83" spans="2:70" ht="14.5" x14ac:dyDescent="0.35">
      <c r="Z83" s="198"/>
      <c r="AA83" s="199"/>
      <c r="AB83" s="16"/>
      <c r="AC83" s="16"/>
      <c r="AD83" s="16"/>
      <c r="AE83" s="16"/>
      <c r="AF83" s="16"/>
      <c r="AG83" s="16"/>
      <c r="AH83" s="16"/>
      <c r="AI83" s="16"/>
      <c r="AM83" s="337" t="s">
        <v>1167</v>
      </c>
      <c r="AN83" s="204" t="e">
        <f t="shared" ref="AN83:AN88" si="38">AB87+AN17</f>
        <v>#DIV/0!</v>
      </c>
      <c r="AO83" s="204">
        <f t="shared" ref="AO83:AU83" si="39">SUM(AC56:AC57)+AO12</f>
        <v>0</v>
      </c>
      <c r="AP83" s="204">
        <f t="shared" si="39"/>
        <v>0</v>
      </c>
      <c r="AQ83" s="204">
        <f t="shared" si="39"/>
        <v>0</v>
      </c>
      <c r="AR83" s="204">
        <f t="shared" si="39"/>
        <v>0</v>
      </c>
      <c r="AS83" s="204">
        <f t="shared" si="39"/>
        <v>0</v>
      </c>
      <c r="AT83" s="204">
        <f t="shared" si="39"/>
        <v>0</v>
      </c>
      <c r="AU83" s="204">
        <f t="shared" si="39"/>
        <v>0</v>
      </c>
      <c r="BH83" s="342"/>
      <c r="BI83" s="387" t="s">
        <v>3018</v>
      </c>
      <c r="BJ83" s="342"/>
      <c r="BK83" s="163">
        <f>IFERROR(VLOOKUP($BI83,flows!$A$2:$J$4985,BK$2,FALSE),0)</f>
        <v>0</v>
      </c>
      <c r="BL83" s="163">
        <f>IFERROR(VLOOKUP($BI83,flows!$A$2:$J$4985,BL$2,FALSE),0)</f>
        <v>2234.969110060083</v>
      </c>
      <c r="BM83" s="163">
        <f>IFERROR(VLOOKUP($BI83,flows!$A$2:$J$4985,BM$2,FALSE),0)</f>
        <v>450.78088308471848</v>
      </c>
      <c r="BN83" s="163">
        <f>IFERROR(VLOOKUP($BI83,flows!$A$2:$J$4985,BN$2,FALSE),0)</f>
        <v>3.754695684213548E-3</v>
      </c>
      <c r="BO83" s="163">
        <f>IFERROR(VLOOKUP($BI83,flows!$A$2:$J$4985,BO$2,FALSE),0)</f>
        <v>9.684450019307885E-4</v>
      </c>
      <c r="BP83" s="163">
        <f>IFERROR(VLOOKUP($BI83,flows!$A$2:$J$4985,BP$2,FALSE),0)</f>
        <v>0</v>
      </c>
      <c r="BQ83" s="163">
        <f>IFERROR(VLOOKUP($BI83,flows!$A$2:$J$4985,BQ$2,FALSE),0)</f>
        <v>0</v>
      </c>
      <c r="BR83" s="163">
        <f>IFERROR(VLOOKUP($BI83,flows!$A$2:$J$4985,BR$2,FALSE),0)</f>
        <v>0</v>
      </c>
    </row>
    <row r="84" spans="2:70" ht="14.5" x14ac:dyDescent="0.35">
      <c r="Z84" s="198" t="s">
        <v>1820</v>
      </c>
      <c r="AA84" s="199"/>
      <c r="AB84" s="213" t="e">
        <f>SUM(AB75:AB79)/SUM(AB75:AB81)</f>
        <v>#DIV/0!</v>
      </c>
      <c r="AC84" s="213" t="e">
        <f t="shared" ref="AC84:AI84" si="40">SUM(AC75:AC79)/SUM(AC75:AC81)</f>
        <v>#DIV/0!</v>
      </c>
      <c r="AD84" s="213" t="e">
        <f t="shared" si="40"/>
        <v>#DIV/0!</v>
      </c>
      <c r="AE84" s="213" t="e">
        <f t="shared" si="40"/>
        <v>#DIV/0!</v>
      </c>
      <c r="AF84" s="213" t="e">
        <f t="shared" si="40"/>
        <v>#DIV/0!</v>
      </c>
      <c r="AG84" s="213" t="e">
        <f t="shared" si="40"/>
        <v>#DIV/0!</v>
      </c>
      <c r="AH84" s="213" t="e">
        <f t="shared" si="40"/>
        <v>#DIV/0!</v>
      </c>
      <c r="AI84" s="213" t="e">
        <f t="shared" si="40"/>
        <v>#DIV/0!</v>
      </c>
      <c r="AM84" s="337" t="s">
        <v>1207</v>
      </c>
      <c r="AN84" s="204" t="e">
        <f t="shared" si="38"/>
        <v>#DIV/0!</v>
      </c>
      <c r="AO84" s="204">
        <f t="shared" ref="AO84:AU84" si="41">SUM(AC61:AC62)</f>
        <v>0</v>
      </c>
      <c r="AP84" s="204">
        <f t="shared" si="41"/>
        <v>0</v>
      </c>
      <c r="AQ84" s="204">
        <f t="shared" si="41"/>
        <v>0</v>
      </c>
      <c r="AR84" s="204">
        <f t="shared" si="41"/>
        <v>0</v>
      </c>
      <c r="AS84" s="204">
        <f t="shared" si="41"/>
        <v>0</v>
      </c>
      <c r="AT84" s="204">
        <f t="shared" si="41"/>
        <v>0</v>
      </c>
      <c r="AU84" s="204">
        <f t="shared" si="41"/>
        <v>0</v>
      </c>
      <c r="BH84" s="342"/>
      <c r="BI84" s="387" t="s">
        <v>2541</v>
      </c>
      <c r="BJ84" s="342"/>
      <c r="BK84" s="163">
        <f>IFERROR(VLOOKUP($BI84,flows!$A$2:$J$4985,BK$2,FALSE),0)</f>
        <v>0</v>
      </c>
      <c r="BL84" s="163">
        <f>IFERROR(VLOOKUP($BI84,flows!$A$2:$J$4985,BL$2,FALSE),0)</f>
        <v>0</v>
      </c>
      <c r="BM84" s="163">
        <f>IFERROR(VLOOKUP($BI84,flows!$A$2:$J$4985,BM$2,FALSE),0)</f>
        <v>0</v>
      </c>
      <c r="BN84" s="163">
        <f>IFERROR(VLOOKUP($BI84,flows!$A$2:$J$4985,BN$2,FALSE),0)</f>
        <v>0</v>
      </c>
      <c r="BO84" s="163">
        <f>IFERROR(VLOOKUP($BI84,flows!$A$2:$J$4985,BO$2,FALSE),0)</f>
        <v>0</v>
      </c>
      <c r="BP84" s="163">
        <f>IFERROR(VLOOKUP($BI84,flows!$A$2:$J$4985,BP$2,FALSE),0)</f>
        <v>0</v>
      </c>
      <c r="BQ84" s="163">
        <f>IFERROR(VLOOKUP($BI84,flows!$A$2:$J$4985,BQ$2,FALSE),0)</f>
        <v>0</v>
      </c>
      <c r="BR84" s="163">
        <f>IFERROR(VLOOKUP($BI84,flows!$A$2:$J$4985,BR$2,FALSE),0)</f>
        <v>0</v>
      </c>
    </row>
    <row r="85" spans="2:70" ht="14.5" x14ac:dyDescent="0.35">
      <c r="Z85" s="206"/>
      <c r="AA85" s="37"/>
      <c r="AB85" s="204"/>
      <c r="AC85" s="204"/>
      <c r="AD85" s="204"/>
      <c r="AE85" s="204"/>
      <c r="AF85" s="204"/>
      <c r="AG85" s="204"/>
      <c r="AH85" s="204"/>
      <c r="AI85" s="204"/>
      <c r="AM85" s="337" t="s">
        <v>1209</v>
      </c>
      <c r="AN85" s="204" t="e">
        <f t="shared" si="38"/>
        <v>#DIV/0!</v>
      </c>
      <c r="AO85" s="204">
        <f t="shared" ref="AO85:AU85" si="42">SUM(AC58:AC60)</f>
        <v>0</v>
      </c>
      <c r="AP85" s="204">
        <f t="shared" si="42"/>
        <v>0</v>
      </c>
      <c r="AQ85" s="204">
        <f t="shared" si="42"/>
        <v>0</v>
      </c>
      <c r="AR85" s="204">
        <f t="shared" si="42"/>
        <v>0</v>
      </c>
      <c r="AS85" s="204">
        <f t="shared" si="42"/>
        <v>0</v>
      </c>
      <c r="AT85" s="204">
        <f t="shared" si="42"/>
        <v>0</v>
      </c>
      <c r="AU85" s="204">
        <f t="shared" si="42"/>
        <v>0</v>
      </c>
      <c r="BH85" s="342"/>
      <c r="BI85" s="198" t="s">
        <v>650</v>
      </c>
      <c r="BJ85" s="342"/>
      <c r="BK85" s="163">
        <f>IFERROR(VLOOKUP($BI85,flows!$A$2:$J$4985,BK$2,FALSE),0)</f>
        <v>0</v>
      </c>
      <c r="BL85" s="163">
        <f>IFERROR(VLOOKUP($BI85,flows!$A$2:$J$4985,BL$2,FALSE),0)</f>
        <v>0</v>
      </c>
      <c r="BM85" s="163">
        <f>IFERROR(VLOOKUP($BI85,flows!$A$2:$J$4985,BM$2,FALSE),0)</f>
        <v>0</v>
      </c>
      <c r="BN85" s="163">
        <f>IFERROR(VLOOKUP($BI85,flows!$A$2:$J$4985,BN$2,FALSE),0)</f>
        <v>0</v>
      </c>
      <c r="BO85" s="163">
        <f>IFERROR(VLOOKUP($BI85,flows!$A$2:$J$4985,BO$2,FALSE),0)</f>
        <v>0</v>
      </c>
      <c r="BP85" s="163">
        <f>IFERROR(VLOOKUP($BI85,flows!$A$2:$J$4985,BP$2,FALSE),0)</f>
        <v>0</v>
      </c>
      <c r="BQ85" s="163">
        <f>IFERROR(VLOOKUP($BI85,flows!$A$2:$J$4985,BQ$2,FALSE),0)</f>
        <v>0</v>
      </c>
      <c r="BR85" s="163">
        <f>IFERROR(VLOOKUP($BI85,flows!$A$2:$J$4985,BR$2,FALSE),0)</f>
        <v>0</v>
      </c>
    </row>
    <row r="86" spans="2:70" x14ac:dyDescent="0.35">
      <c r="Z86" s="206"/>
      <c r="AA86" s="194" t="s">
        <v>1160</v>
      </c>
      <c r="AB86" s="204" t="e">
        <f t="shared" ref="AB86:AH86" si="43">SUM(AB4:AB49)+(AB51+AB52+AB53)*AB84</f>
        <v>#DIV/0!</v>
      </c>
      <c r="AC86" s="204" t="e">
        <f t="shared" si="43"/>
        <v>#DIV/0!</v>
      </c>
      <c r="AD86" s="204" t="e">
        <f t="shared" si="43"/>
        <v>#DIV/0!</v>
      </c>
      <c r="AE86" s="204" t="e">
        <f t="shared" si="43"/>
        <v>#DIV/0!</v>
      </c>
      <c r="AF86" s="204" t="e">
        <f t="shared" si="43"/>
        <v>#DIV/0!</v>
      </c>
      <c r="AG86" s="204" t="e">
        <f t="shared" si="43"/>
        <v>#DIV/0!</v>
      </c>
      <c r="AH86" s="204" t="e">
        <f t="shared" si="43"/>
        <v>#DIV/0!</v>
      </c>
      <c r="AI86" s="204" t="e">
        <f>SUM(AI4:AI49)+(AI51+AI52+AI53)*AI84</f>
        <v>#DIV/0!</v>
      </c>
      <c r="AM86" s="337" t="s">
        <v>1210</v>
      </c>
      <c r="AN86" s="204" t="e">
        <f t="shared" si="38"/>
        <v>#DIV/0!</v>
      </c>
      <c r="AO86" s="204">
        <f t="shared" ref="AO86:AU86" si="44">AC63</f>
        <v>0</v>
      </c>
      <c r="AP86" s="204">
        <f t="shared" si="44"/>
        <v>0</v>
      </c>
      <c r="AQ86" s="204">
        <f t="shared" si="44"/>
        <v>0</v>
      </c>
      <c r="AR86" s="204">
        <f t="shared" si="44"/>
        <v>0</v>
      </c>
      <c r="AS86" s="204">
        <f t="shared" si="44"/>
        <v>0</v>
      </c>
      <c r="AT86" s="204">
        <f t="shared" si="44"/>
        <v>0</v>
      </c>
      <c r="AU86" s="204">
        <f t="shared" si="44"/>
        <v>0</v>
      </c>
      <c r="BH86" s="342"/>
      <c r="BI86" s="79" t="s">
        <v>2550</v>
      </c>
      <c r="BJ86" s="342"/>
      <c r="BK86" s="342"/>
      <c r="BL86" s="342"/>
      <c r="BM86" s="342"/>
      <c r="BN86" s="342"/>
      <c r="BO86" s="342"/>
      <c r="BP86" s="342"/>
      <c r="BQ86" s="342"/>
      <c r="BR86" s="342"/>
    </row>
    <row r="87" spans="2:70" s="342" customFormat="1" ht="14.5" x14ac:dyDescent="0.35">
      <c r="B87" s="191"/>
      <c r="C87" s="191"/>
      <c r="D87" s="191"/>
      <c r="E87" s="191"/>
      <c r="F87" s="191"/>
      <c r="G87" s="191"/>
      <c r="H87" s="191"/>
      <c r="I87" s="191"/>
      <c r="J87" s="191"/>
      <c r="K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Z87" s="206"/>
      <c r="AA87" s="194" t="s">
        <v>1167</v>
      </c>
      <c r="AB87" s="204" t="e">
        <f>AB84*(AB56+AB57)*(1-Erdgas!F16)</f>
        <v>#DIV/0!</v>
      </c>
      <c r="AC87" s="204" t="e">
        <f>AC84*(AC56+AC57)*(1-Erdgas!G16)</f>
        <v>#DIV/0!</v>
      </c>
      <c r="AD87" s="204" t="e">
        <f>AD84*(AD56+AD57)*(1-Erdgas!H16)</f>
        <v>#DIV/0!</v>
      </c>
      <c r="AE87" s="204" t="e">
        <f>AE84*(AE56+AE57)*(1-Erdgas!I16)</f>
        <v>#DIV/0!</v>
      </c>
      <c r="AF87" s="204" t="e">
        <f>AF84*(AF56+AF57)*(1-Erdgas!J16)</f>
        <v>#DIV/0!</v>
      </c>
      <c r="AG87" s="204" t="e">
        <f>AG84*(AG56+AG57)*(1-Erdgas!K16)</f>
        <v>#DIV/0!</v>
      </c>
      <c r="AH87" s="204" t="e">
        <f>AH84*(AH56+AH57)*(1-Erdgas!L16)</f>
        <v>#DIV/0!</v>
      </c>
      <c r="AI87" s="204" t="e">
        <f>AI84*(AI56+AI57)*(1-Erdgas!M16)</f>
        <v>#DIV/0!</v>
      </c>
      <c r="AJ87" s="65"/>
      <c r="AK87" s="65"/>
      <c r="AL87" s="65"/>
      <c r="AM87" s="337" t="s">
        <v>1162</v>
      </c>
      <c r="AN87" s="204" t="e">
        <f t="shared" si="38"/>
        <v>#DIV/0!</v>
      </c>
      <c r="AO87" s="204">
        <f t="shared" ref="AO87:AU87" si="45">AC55+AC64</f>
        <v>0</v>
      </c>
      <c r="AP87" s="204">
        <f t="shared" si="45"/>
        <v>0</v>
      </c>
      <c r="AQ87" s="204">
        <f t="shared" si="45"/>
        <v>0</v>
      </c>
      <c r="AR87" s="204">
        <f t="shared" si="45"/>
        <v>0</v>
      </c>
      <c r="AS87" s="204">
        <f t="shared" si="45"/>
        <v>0</v>
      </c>
      <c r="AT87" s="204">
        <f t="shared" si="45"/>
        <v>0</v>
      </c>
      <c r="AU87" s="204">
        <f t="shared" si="45"/>
        <v>0</v>
      </c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I87" s="387" t="s">
        <v>2977</v>
      </c>
      <c r="BK87" s="163">
        <f>IFERROR(VLOOKUP($BI87,flows!$A$2:$J$4985,BK$2,FALSE),0)</f>
        <v>6.2854000189456194E-3</v>
      </c>
      <c r="BL87" s="163">
        <f>IFERROR(VLOOKUP($BI87,flows!$A$2:$J$4985,BL$2,FALSE),0)</f>
        <v>0.37072398146427238</v>
      </c>
      <c r="BM87" s="163">
        <f>IFERROR(VLOOKUP($BI87,flows!$A$2:$J$4985,BM$2,FALSE),0)</f>
        <v>16.869807489217411</v>
      </c>
      <c r="BN87" s="163">
        <f>IFERROR(VLOOKUP($BI87,flows!$A$2:$J$4985,BN$2,FALSE),0)</f>
        <v>9.3412772080545114E-3</v>
      </c>
      <c r="BO87" s="163">
        <f>IFERROR(VLOOKUP($BI87,flows!$A$2:$J$4985,BO$2,FALSE),0)</f>
        <v>3.130402009867703E-3</v>
      </c>
      <c r="BP87" s="163">
        <f>IFERROR(VLOOKUP($BI87,flows!$A$2:$J$4985,BP$2,FALSE),0)</f>
        <v>3.9221214862618711E-4</v>
      </c>
      <c r="BQ87" s="163">
        <f>IFERROR(VLOOKUP($BI87,flows!$A$2:$J$4985,BQ$2,FALSE),0)</f>
        <v>4.0982831764300849E-5</v>
      </c>
      <c r="BR87" s="163">
        <f>IFERROR(VLOOKUP($BI87,flows!$A$2:$J$4985,BR$2,FALSE),0)</f>
        <v>0</v>
      </c>
    </row>
    <row r="88" spans="2:70" s="342" customFormat="1" ht="14.5" x14ac:dyDescent="0.35"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Z88" s="206"/>
      <c r="AA88" s="194" t="s">
        <v>1207</v>
      </c>
      <c r="AB88" s="204" t="e">
        <f t="shared" ref="AB88:AI88" si="46">(AB61+AB62)*AB84</f>
        <v>#DIV/0!</v>
      </c>
      <c r="AC88" s="204" t="e">
        <f t="shared" si="46"/>
        <v>#DIV/0!</v>
      </c>
      <c r="AD88" s="204" t="e">
        <f t="shared" si="46"/>
        <v>#DIV/0!</v>
      </c>
      <c r="AE88" s="204" t="e">
        <f t="shared" si="46"/>
        <v>#DIV/0!</v>
      </c>
      <c r="AF88" s="204" t="e">
        <f t="shared" si="46"/>
        <v>#DIV/0!</v>
      </c>
      <c r="AG88" s="204" t="e">
        <f t="shared" si="46"/>
        <v>#DIV/0!</v>
      </c>
      <c r="AH88" s="204" t="e">
        <f t="shared" si="46"/>
        <v>#DIV/0!</v>
      </c>
      <c r="AI88" s="204" t="e">
        <f t="shared" si="46"/>
        <v>#DIV/0!</v>
      </c>
      <c r="AJ88" s="65"/>
      <c r="AK88" s="65"/>
      <c r="AL88" s="65"/>
      <c r="AM88" s="337" t="s">
        <v>1814</v>
      </c>
      <c r="AN88" s="204">
        <f t="shared" si="38"/>
        <v>0</v>
      </c>
      <c r="AO88" s="204">
        <f t="shared" ref="AO88:AU88" si="47">SUM(AC67:AC71)+SUM(AO9:AO10)</f>
        <v>0</v>
      </c>
      <c r="AP88" s="204">
        <f t="shared" si="47"/>
        <v>0</v>
      </c>
      <c r="AQ88" s="204">
        <f t="shared" si="47"/>
        <v>0</v>
      </c>
      <c r="AR88" s="204">
        <f t="shared" si="47"/>
        <v>0</v>
      </c>
      <c r="AS88" s="204">
        <f t="shared" si="47"/>
        <v>0</v>
      </c>
      <c r="AT88" s="204">
        <f t="shared" si="47"/>
        <v>0</v>
      </c>
      <c r="AU88" s="204">
        <f t="shared" si="47"/>
        <v>0</v>
      </c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I88" s="387" t="s">
        <v>2542</v>
      </c>
      <c r="BK88" s="163">
        <f>IFERROR(VLOOKUP($BI88,flows!$A$2:$J$4985,BK$2,FALSE),0)</f>
        <v>0</v>
      </c>
      <c r="BL88" s="163">
        <f>IFERROR(VLOOKUP($BI88,flows!$A$2:$J$4985,BL$2,FALSE),0)</f>
        <v>0</v>
      </c>
      <c r="BM88" s="163">
        <f>IFERROR(VLOOKUP($BI88,flows!$A$2:$J$4985,BM$2,FALSE),0)</f>
        <v>0</v>
      </c>
      <c r="BN88" s="163">
        <f>IFERROR(VLOOKUP($BI88,flows!$A$2:$J$4985,BN$2,FALSE),0)</f>
        <v>0</v>
      </c>
      <c r="BO88" s="163">
        <f>IFERROR(VLOOKUP($BI88,flows!$A$2:$J$4985,BO$2,FALSE),0)</f>
        <v>0</v>
      </c>
      <c r="BP88" s="163">
        <f>IFERROR(VLOOKUP($BI88,flows!$A$2:$J$4985,BP$2,FALSE),0)</f>
        <v>0</v>
      </c>
      <c r="BQ88" s="163">
        <f>IFERROR(VLOOKUP($BI88,flows!$A$2:$J$4985,BQ$2,FALSE),0)</f>
        <v>0</v>
      </c>
      <c r="BR88" s="163">
        <f>IFERROR(VLOOKUP($BI88,flows!$A$2:$J$4985,BR$2,FALSE),0)</f>
        <v>0</v>
      </c>
    </row>
    <row r="89" spans="2:70" s="342" customFormat="1" ht="14.5" x14ac:dyDescent="0.35"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Z89" s="206"/>
      <c r="AA89" s="194" t="s">
        <v>1209</v>
      </c>
      <c r="AB89" s="204" t="e">
        <f>(AB58+AB59+AB60)*AB84+(AB84*(AB56+AB57)*Erdgas!F16)</f>
        <v>#DIV/0!</v>
      </c>
      <c r="AC89" s="204" t="e">
        <f>(AC58+AC59+AC60)*AC84+(AC84*(AC56+AC57)*Erdgas!G16)</f>
        <v>#DIV/0!</v>
      </c>
      <c r="AD89" s="204" t="e">
        <f>(AD58+AD59+AD60)*AD84+(AD84*(AD56+AD57)*Erdgas!H16)</f>
        <v>#DIV/0!</v>
      </c>
      <c r="AE89" s="204" t="e">
        <f>(AE58+AE59+AE60)*AE84+(AE84*(AE56+AE57)*Erdgas!I16)</f>
        <v>#DIV/0!</v>
      </c>
      <c r="AF89" s="204" t="e">
        <f>(AF58+AF59+AF60)*AF84+(AF84*(AF56+AF57)*Erdgas!J16)</f>
        <v>#DIV/0!</v>
      </c>
      <c r="AG89" s="204" t="e">
        <f>(AG58+AG59+AG60)*AG84+(AG84*(AG56+AG57)*Erdgas!K16)</f>
        <v>#DIV/0!</v>
      </c>
      <c r="AH89" s="204" t="e">
        <f>(AH58+AH59+AH60)*AH84+(AH84*(AH56+AH57)*Erdgas!L16)</f>
        <v>#DIV/0!</v>
      </c>
      <c r="AI89" s="204" t="e">
        <f>(AI58+AI59+AI60)*AI84+(AI84*(AI56+AI57)*Erdgas!M16)</f>
        <v>#DIV/0!</v>
      </c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I89" s="387" t="s">
        <v>3906</v>
      </c>
      <c r="BK89" s="163">
        <f>Glasindustrie!R81</f>
        <v>5.5551024606566588E-3</v>
      </c>
      <c r="BL89" s="163">
        <f>Glasindustrie!S81</f>
        <v>246.9536892608038</v>
      </c>
      <c r="BM89" s="163">
        <f>Glasindustrie!T81</f>
        <v>254.35843178694691</v>
      </c>
      <c r="BN89" s="163">
        <f>Glasindustrie!U81</f>
        <v>230.75630415873101</v>
      </c>
      <c r="BO89" s="163">
        <f>Glasindustrie!V81</f>
        <v>203.46204368701899</v>
      </c>
      <c r="BP89" s="163">
        <f>Glasindustrie!W81</f>
        <v>148.03518519042149</v>
      </c>
      <c r="BQ89" s="163">
        <f>Glasindustrie!X81</f>
        <v>2.311186505095375E-5</v>
      </c>
      <c r="BR89" s="163">
        <f>Glasindustrie!Y81</f>
        <v>0</v>
      </c>
    </row>
    <row r="90" spans="2:70" s="342" customFormat="1" ht="14.5" x14ac:dyDescent="0.35"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Z90" s="206"/>
      <c r="AA90" s="194" t="s">
        <v>1210</v>
      </c>
      <c r="AB90" s="204" t="e">
        <f t="shared" ref="AB90:AI90" si="48">AB63*AB84</f>
        <v>#DIV/0!</v>
      </c>
      <c r="AC90" s="204" t="e">
        <f>AC63*AC84</f>
        <v>#DIV/0!</v>
      </c>
      <c r="AD90" s="204" t="e">
        <f t="shared" si="48"/>
        <v>#DIV/0!</v>
      </c>
      <c r="AE90" s="204" t="e">
        <f t="shared" si="48"/>
        <v>#DIV/0!</v>
      </c>
      <c r="AF90" s="204" t="e">
        <f t="shared" si="48"/>
        <v>#DIV/0!</v>
      </c>
      <c r="AG90" s="204" t="e">
        <f t="shared" si="48"/>
        <v>#DIV/0!</v>
      </c>
      <c r="AH90" s="204" t="e">
        <f t="shared" si="48"/>
        <v>#DIV/0!</v>
      </c>
      <c r="AI90" s="204" t="e">
        <f t="shared" si="48"/>
        <v>#DIV/0!</v>
      </c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I90" s="387" t="s">
        <v>3907</v>
      </c>
      <c r="BK90" s="163">
        <f>Glasindustrie!R32</f>
        <v>9.2631088490296403</v>
      </c>
      <c r="BL90" s="163">
        <f>Glasindustrie!S32</f>
        <v>117.11866120462093</v>
      </c>
      <c r="BM90" s="163">
        <f>Glasindustrie!T32</f>
        <v>124.76684211122458</v>
      </c>
      <c r="BN90" s="163">
        <f>Glasindustrie!U32</f>
        <v>9.6009130369779712</v>
      </c>
      <c r="BO90" s="163">
        <f>Glasindustrie!V32</f>
        <v>11.306414334030695</v>
      </c>
      <c r="BP90" s="163">
        <f>Glasindustrie!W32</f>
        <v>9.0117341032843683</v>
      </c>
      <c r="BQ90" s="163">
        <f>Glasindustrie!X32</f>
        <v>9.2400868281156487</v>
      </c>
      <c r="BR90" s="163">
        <f>Glasindustrie!Y32</f>
        <v>0</v>
      </c>
    </row>
    <row r="91" spans="2:70" s="342" customFormat="1" ht="14.5" x14ac:dyDescent="0.35"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Z91" s="206"/>
      <c r="AA91" s="194" t="s">
        <v>1162</v>
      </c>
      <c r="AB91" s="204" t="e">
        <f t="shared" ref="AB91:AI91" si="49">(AB55+AB64)*AB84</f>
        <v>#DIV/0!</v>
      </c>
      <c r="AC91" s="204" t="e">
        <f t="shared" si="49"/>
        <v>#DIV/0!</v>
      </c>
      <c r="AD91" s="204" t="e">
        <f t="shared" si="49"/>
        <v>#DIV/0!</v>
      </c>
      <c r="AE91" s="204" t="e">
        <f t="shared" si="49"/>
        <v>#DIV/0!</v>
      </c>
      <c r="AF91" s="204" t="e">
        <f t="shared" si="49"/>
        <v>#DIV/0!</v>
      </c>
      <c r="AG91" s="204" t="e">
        <f t="shared" si="49"/>
        <v>#DIV/0!</v>
      </c>
      <c r="AH91" s="204" t="e">
        <f t="shared" si="49"/>
        <v>#DIV/0!</v>
      </c>
      <c r="AI91" s="204" t="e">
        <f t="shared" si="49"/>
        <v>#DIV/0!</v>
      </c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I91" s="387" t="s">
        <v>2265</v>
      </c>
      <c r="BK91" s="163">
        <f>Glasindustrie!E643</f>
        <v>3.9445121921887476E-2</v>
      </c>
      <c r="BL91" s="163">
        <f>Glasindustrie!F643</f>
        <v>975.60783925022679</v>
      </c>
      <c r="BM91" s="163">
        <f>Glasindustrie!G643</f>
        <v>196.77838065972102</v>
      </c>
      <c r="BN91" s="163">
        <f>Glasindustrie!H643</f>
        <v>7.6615005867522381</v>
      </c>
      <c r="BO91" s="163">
        <f>Glasindustrie!I643</f>
        <v>2.2114956559131413</v>
      </c>
      <c r="BP91" s="163">
        <f>Glasindustrie!J643</f>
        <v>2.0299415545680499E-3</v>
      </c>
      <c r="BQ91" s="163">
        <f>Glasindustrie!K643</f>
        <v>1.3241033757220837E-4</v>
      </c>
      <c r="BR91" s="163">
        <f>Glasindustrie!L643</f>
        <v>0</v>
      </c>
    </row>
    <row r="92" spans="2:70" s="342" customFormat="1" ht="14.5" x14ac:dyDescent="0.35"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Z92" s="206"/>
      <c r="AA92" s="194" t="s">
        <v>1814</v>
      </c>
      <c r="AB92" s="204">
        <f>SUM(AB67:AB71)</f>
        <v>0</v>
      </c>
      <c r="AC92" s="204">
        <f t="shared" ref="AC92:AI92" si="50">SUM(AC67:AC71)</f>
        <v>0</v>
      </c>
      <c r="AD92" s="204">
        <f t="shared" si="50"/>
        <v>0</v>
      </c>
      <c r="AE92" s="204">
        <f t="shared" si="50"/>
        <v>0</v>
      </c>
      <c r="AF92" s="204">
        <f t="shared" si="50"/>
        <v>0</v>
      </c>
      <c r="AG92" s="204">
        <f t="shared" si="50"/>
        <v>0</v>
      </c>
      <c r="AH92" s="204">
        <f t="shared" si="50"/>
        <v>0</v>
      </c>
      <c r="AI92" s="204">
        <f t="shared" si="50"/>
        <v>0</v>
      </c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I92" s="79" t="s">
        <v>2836</v>
      </c>
      <c r="BK92" s="163"/>
      <c r="BL92" s="163"/>
      <c r="BM92" s="163"/>
      <c r="BN92" s="163"/>
      <c r="BO92" s="163"/>
      <c r="BP92" s="163"/>
      <c r="BQ92" s="163"/>
      <c r="BR92" s="163"/>
    </row>
    <row r="93" spans="2:70" s="342" customFormat="1" ht="15" thickBot="1" x14ac:dyDescent="0.4"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Z93" s="208"/>
      <c r="AA93" s="33" t="s">
        <v>1339</v>
      </c>
      <c r="AB93" s="35" t="e">
        <f t="shared" ref="AB93:AI93" si="51">SUM(AB86:AB92)</f>
        <v>#DIV/0!</v>
      </c>
      <c r="AC93" s="35" t="e">
        <f t="shared" si="51"/>
        <v>#DIV/0!</v>
      </c>
      <c r="AD93" s="35" t="e">
        <f t="shared" si="51"/>
        <v>#DIV/0!</v>
      </c>
      <c r="AE93" s="35" t="e">
        <f t="shared" si="51"/>
        <v>#DIV/0!</v>
      </c>
      <c r="AF93" s="35" t="e">
        <f t="shared" si="51"/>
        <v>#DIV/0!</v>
      </c>
      <c r="AG93" s="35" t="e">
        <f t="shared" si="51"/>
        <v>#DIV/0!</v>
      </c>
      <c r="AH93" s="35" t="e">
        <f t="shared" si="51"/>
        <v>#DIV/0!</v>
      </c>
      <c r="AI93" s="35" t="e">
        <f t="shared" si="51"/>
        <v>#DIV/0!</v>
      </c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I93" s="387" t="s">
        <v>2512</v>
      </c>
      <c r="BK93" s="163">
        <f>IFERROR(VLOOKUP($BI93,flows!$A$2:$J$4985,BK$2,FALSE),0)</f>
        <v>3.8967621192072512E-2</v>
      </c>
      <c r="BL93" s="163">
        <f>IFERROR(VLOOKUP($BI93,flows!$A$2:$J$4985,BL$2,FALSE),0)</f>
        <v>5966.4328714406338</v>
      </c>
      <c r="BM93" s="163">
        <f>IFERROR(VLOOKUP($BI93,flows!$A$2:$J$4985,BM$2,FALSE),0)</f>
        <v>6236.4313136903056</v>
      </c>
      <c r="BN93" s="163">
        <f>IFERROR(VLOOKUP($BI93,flows!$A$2:$J$4985,BN$2,FALSE),0)</f>
        <v>3.7130742779879683E-2</v>
      </c>
      <c r="BO93" s="163">
        <f>IFERROR(VLOOKUP($BI93,flows!$A$2:$J$4985,BO$2,FALSE),0)</f>
        <v>1.237977689196699E-2</v>
      </c>
      <c r="BP93" s="163">
        <f>IFERROR(VLOOKUP($BI93,flows!$A$2:$J$4985,BP$2,FALSE),0)</f>
        <v>3.3511689463335149E-3</v>
      </c>
      <c r="BQ93" s="163">
        <f>IFERROR(VLOOKUP($BI93,flows!$A$2:$J$4985,BQ$2,FALSE),0)</f>
        <v>2.0086599066787691E-4</v>
      </c>
      <c r="BR93" s="163">
        <f>IFERROR(VLOOKUP($BI93,flows!$A$2:$J$4985,BR$2,FALSE),0)</f>
        <v>0</v>
      </c>
    </row>
    <row r="94" spans="2:70" s="342" customFormat="1" ht="14.5" x14ac:dyDescent="0.35"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Z94" s="191"/>
      <c r="AA94" s="194"/>
      <c r="AB94" s="191"/>
      <c r="AC94" s="191"/>
      <c r="AD94" s="191"/>
      <c r="AE94" s="191"/>
      <c r="AF94" s="191"/>
      <c r="AG94" s="191"/>
      <c r="AH94" s="191"/>
      <c r="AI94" s="191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I94" s="387" t="s">
        <v>4048</v>
      </c>
      <c r="BK94" s="856">
        <f>'Chemische Industrie'!CW$30</f>
        <v>0.1155585484241158</v>
      </c>
      <c r="BL94" s="856">
        <f>'Chemische Industrie'!CX$30</f>
        <v>91013.380386003788</v>
      </c>
      <c r="BM94" s="856">
        <f>'Chemische Industrie'!CY$30</f>
        <v>100539.1631226145</v>
      </c>
      <c r="BN94" s="856">
        <f>'Chemische Industrie'!CZ$30</f>
        <v>102124.90635060036</v>
      </c>
      <c r="BO94" s="856">
        <f>'Chemische Industrie'!DA$30</f>
        <v>89928.520028104555</v>
      </c>
      <c r="BP94" s="856">
        <f>'Chemische Industrie'!DB$30</f>
        <v>29875.562534633085</v>
      </c>
      <c r="BQ94" s="856">
        <f>'Chemische Industrie'!DC$30</f>
        <v>5.1056187386604873E-4</v>
      </c>
      <c r="BR94" s="856">
        <f>'Chemische Industrie'!DD$30</f>
        <v>0</v>
      </c>
    </row>
    <row r="95" spans="2:70" s="342" customFormat="1" x14ac:dyDescent="0.35"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Z95" s="191"/>
      <c r="AA95" s="194"/>
      <c r="AB95" s="191"/>
      <c r="AC95" s="191"/>
      <c r="AD95" s="191"/>
      <c r="AE95" s="191"/>
      <c r="AF95" s="191"/>
      <c r="AG95" s="191"/>
      <c r="AH95" s="191"/>
      <c r="AI95" s="191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I95" s="79" t="s">
        <v>2554</v>
      </c>
    </row>
    <row r="96" spans="2:70" s="342" customFormat="1" ht="14.5" x14ac:dyDescent="0.35"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Z96" s="191"/>
      <c r="AA96" s="194"/>
      <c r="AB96" s="191"/>
      <c r="AC96" s="191"/>
      <c r="AD96" s="191"/>
      <c r="AE96" s="191"/>
      <c r="AF96" s="191"/>
      <c r="AG96" s="191"/>
      <c r="AH96" s="191"/>
      <c r="AI96" s="191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I96" s="387" t="s">
        <v>2706</v>
      </c>
      <c r="BK96" s="163">
        <f>IFERROR(VLOOKUP($BI96,flows!$A$2:$J$4985,BK$2,FALSE),0)</f>
        <v>0</v>
      </c>
      <c r="BL96" s="163">
        <f>IFERROR(VLOOKUP($BI96,flows!$A$2:$J$4985,BL$2,FALSE),0)</f>
        <v>0</v>
      </c>
      <c r="BM96" s="163">
        <f>IFERROR(VLOOKUP($BI96,flows!$A$2:$J$4985,BM$2,FALSE),0)</f>
        <v>0</v>
      </c>
      <c r="BN96" s="163">
        <f>IFERROR(VLOOKUP($BI96,flows!$A$2:$J$4985,BN$2,FALSE),0)</f>
        <v>0</v>
      </c>
      <c r="BO96" s="163">
        <f>IFERROR(VLOOKUP($BI96,flows!$A$2:$J$4985,BO$2,FALSE),0)</f>
        <v>0</v>
      </c>
      <c r="BP96" s="163">
        <f>IFERROR(VLOOKUP($BI96,flows!$A$2:$J$4985,BP$2,FALSE),0)</f>
        <v>0</v>
      </c>
      <c r="BQ96" s="163">
        <f>IFERROR(VLOOKUP($BI96,flows!$A$2:$J$4985,BQ$2,FALSE),0)</f>
        <v>0</v>
      </c>
      <c r="BR96" s="163">
        <f>IFERROR(VLOOKUP($BI96,flows!$A$2:$J$4985,BR$2,FALSE),0)</f>
        <v>0</v>
      </c>
    </row>
    <row r="97" spans="2:70" s="342" customFormat="1" ht="14.5" x14ac:dyDescent="0.35"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Z97" s="191"/>
      <c r="AA97" s="194"/>
      <c r="AB97" s="191"/>
      <c r="AC97" s="191"/>
      <c r="AD97" s="191"/>
      <c r="AE97" s="191"/>
      <c r="AF97" s="191"/>
      <c r="AG97" s="191"/>
      <c r="AH97" s="191"/>
      <c r="AI97" s="191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I97" s="40" t="s">
        <v>2876</v>
      </c>
      <c r="BK97" s="163">
        <f>IFERROR(VLOOKUP($BI97,flows!$A$2:$J$4985,BK$2,FALSE),0)</f>
        <v>9665.1778147093883</v>
      </c>
      <c r="BL97" s="163">
        <f>IFERROR(VLOOKUP($BI97,flows!$A$2:$J$4985,BL$2,FALSE),0)</f>
        <v>0</v>
      </c>
      <c r="BM97" s="163">
        <f>IFERROR(VLOOKUP($BI97,flows!$A$2:$J$4985,BM$2,FALSE),0)</f>
        <v>2.7725225165216309E-3</v>
      </c>
      <c r="BN97" s="163">
        <f>IFERROR(VLOOKUP($BI97,flows!$A$2:$J$4985,BN$2,FALSE),0)</f>
        <v>7.599008122856956E-6</v>
      </c>
      <c r="BO97" s="163">
        <f>IFERROR(VLOOKUP($BI97,flows!$A$2:$J$4985,BO$2,FALSE),0)</f>
        <v>4.4270631102238443E-6</v>
      </c>
      <c r="BP97" s="163">
        <f>IFERROR(VLOOKUP($BI97,flows!$A$2:$J$4985,BP$2,FALSE),0)</f>
        <v>8777.6678379653113</v>
      </c>
      <c r="BQ97" s="163">
        <f>IFERROR(VLOOKUP($BI97,flows!$A$2:$J$4985,BQ$2,FALSE),0)</f>
        <v>9427.550548007921</v>
      </c>
      <c r="BR97" s="163">
        <f>IFERROR(VLOOKUP($BI97,flows!$A$2:$J$4985,BR$2,FALSE),0)</f>
        <v>0</v>
      </c>
    </row>
    <row r="98" spans="2:70" s="342" customFormat="1" ht="14.5" x14ac:dyDescent="0.35"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Z98" s="191"/>
      <c r="AA98" s="194"/>
      <c r="AB98" s="191"/>
      <c r="AC98" s="191"/>
      <c r="AD98" s="191"/>
      <c r="AE98" s="191"/>
      <c r="AF98" s="191"/>
      <c r="AG98" s="191"/>
      <c r="AH98" s="191"/>
      <c r="AI98" s="191"/>
      <c r="AJ98" s="65"/>
      <c r="AK98" s="65"/>
      <c r="AL98" s="65"/>
      <c r="AM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I98" s="79" t="s">
        <v>3019</v>
      </c>
      <c r="BK98" s="163"/>
      <c r="BL98" s="163"/>
      <c r="BM98" s="163"/>
      <c r="BN98" s="163"/>
      <c r="BO98" s="163"/>
      <c r="BP98" s="163"/>
      <c r="BQ98" s="163"/>
      <c r="BR98" s="163"/>
    </row>
    <row r="99" spans="2:70" s="342" customFormat="1" ht="14.5" x14ac:dyDescent="0.35"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Z99" s="191"/>
      <c r="AA99" s="191"/>
      <c r="AB99" s="191"/>
      <c r="AC99" s="191"/>
      <c r="AD99" s="191"/>
      <c r="AE99" s="191"/>
      <c r="AF99" s="191"/>
      <c r="AG99" s="191"/>
      <c r="AH99" s="191"/>
      <c r="AI99" s="191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I99" s="387" t="s">
        <v>2924</v>
      </c>
      <c r="BK99" s="163">
        <f>IFERROR(VLOOKUP($BI99,flows!$A$2:$J$4985,BK$2,FALSE),0)</f>
        <v>39467.883649726493</v>
      </c>
      <c r="BL99" s="163">
        <f>IFERROR(VLOOKUP($BI99,flows!$A$2:$J$4985,BL$2,FALSE),0)</f>
        <v>1790.7451745005619</v>
      </c>
      <c r="BM99" s="163">
        <f>IFERROR(VLOOKUP($BI99,flows!$A$2:$J$4985,BM$2,FALSE),0)</f>
        <v>3893.6169759580421</v>
      </c>
      <c r="BN99" s="163">
        <f>IFERROR(VLOOKUP($BI99,flows!$A$2:$J$4985,BN$2,FALSE),0)</f>
        <v>56972.211901903422</v>
      </c>
      <c r="BO99" s="163">
        <f>IFERROR(VLOOKUP($BI99,flows!$A$2:$J$4985,BO$2,FALSE),0)</f>
        <v>49971.13991329931</v>
      </c>
      <c r="BP99" s="163">
        <f>IFERROR(VLOOKUP($BI99,flows!$A$2:$J$4985,BP$2,FALSE),0)</f>
        <v>48220.860633155178</v>
      </c>
      <c r="BQ99" s="163">
        <f>IFERROR(VLOOKUP($BI99,flows!$A$2:$J$4985,BQ$2,FALSE),0)</f>
        <v>39787.165662838001</v>
      </c>
      <c r="BR99" s="163">
        <f>IFERROR(VLOOKUP($BI99,flows!$A$2:$J$4985,BR$2,FALSE),0)</f>
        <v>0</v>
      </c>
    </row>
    <row r="100" spans="2:70" s="342" customFormat="1" ht="14.5" x14ac:dyDescent="0.35"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Z100" s="191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I100" s="387" t="s">
        <v>4294</v>
      </c>
      <c r="BK100" s="163">
        <f>IFERROR(VLOOKUP($BI100,flows!$A$2:$J$4985,BK$2,FALSE),0)</f>
        <v>0.15232338561629921</v>
      </c>
      <c r="BL100" s="163">
        <f>IFERROR(VLOOKUP($BI100,flows!$A$2:$J$4985,BL$2,FALSE),0)</f>
        <v>0</v>
      </c>
      <c r="BM100" s="163">
        <f>IFERROR(VLOOKUP($BI100,flows!$A$2:$J$4985,BM$2,FALSE),0)</f>
        <v>17.082474788445118</v>
      </c>
      <c r="BN100" s="163">
        <f>IFERROR(VLOOKUP($BI100,flows!$A$2:$J$4985,BN$2,FALSE),0)</f>
        <v>6.1168813937558728E-3</v>
      </c>
      <c r="BO100" s="163">
        <f>IFERROR(VLOOKUP($BI100,flows!$A$2:$J$4985,BO$2,FALSE),0)</f>
        <v>1.708588817119109E-3</v>
      </c>
      <c r="BP100" s="163">
        <f>IFERROR(VLOOKUP($BI100,flows!$A$2:$J$4985,BP$2,FALSE),0)</f>
        <v>2.4136784454422571E-4</v>
      </c>
      <c r="BQ100" s="163">
        <f>IFERROR(VLOOKUP($BI100,flows!$A$2:$J$4985,BQ$2,FALSE),0)</f>
        <v>2.8213120300483291E-4</v>
      </c>
      <c r="BR100" s="163">
        <f>IFERROR(VLOOKUP($BI100,flows!$A$2:$J$4985,BR$2,FALSE),0)</f>
        <v>0</v>
      </c>
    </row>
    <row r="101" spans="2:70" s="342" customFormat="1" ht="15" thickBot="1" x14ac:dyDescent="0.4"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Z101" s="191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I101" s="79" t="s">
        <v>2707</v>
      </c>
      <c r="BJ101" s="365"/>
      <c r="BK101" s="365"/>
      <c r="BL101" s="365"/>
      <c r="BM101" s="365"/>
      <c r="BN101" s="365"/>
      <c r="BO101" s="365"/>
      <c r="BP101" s="365"/>
      <c r="BQ101" s="365"/>
      <c r="BR101" s="365"/>
    </row>
    <row r="102" spans="2:70" s="342" customFormat="1" ht="14.5" x14ac:dyDescent="0.35">
      <c r="O102" s="191"/>
      <c r="P102" s="191"/>
      <c r="Q102" s="191"/>
      <c r="R102" s="191"/>
      <c r="S102" s="191"/>
      <c r="T102" s="191"/>
      <c r="U102" s="191"/>
      <c r="V102" s="191"/>
      <c r="W102" s="191"/>
      <c r="Z102" s="191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H102" s="984" t="s">
        <v>2703</v>
      </c>
      <c r="BI102" s="197" t="s">
        <v>594</v>
      </c>
      <c r="BJ102" s="401" t="s">
        <v>2713</v>
      </c>
      <c r="BK102" s="402">
        <f>IFERROR(VLOOKUP($BI102,flows!$A$2:$J$4985,BK$2,FALSE),0)</f>
        <v>0</v>
      </c>
      <c r="BL102" s="402">
        <f>IFERROR(VLOOKUP($BI102,flows!$A$2:$J$4985,BL$2,FALSE),0)</f>
        <v>0</v>
      </c>
      <c r="BM102" s="402">
        <f>IFERROR(VLOOKUP($BI102,flows!$A$2:$J$4985,BM$2,FALSE),0)</f>
        <v>0</v>
      </c>
      <c r="BN102" s="402">
        <f>IFERROR(VLOOKUP($BI102,flows!$A$2:$J$4985,BN$2,FALSE),0)</f>
        <v>0</v>
      </c>
      <c r="BO102" s="402">
        <f>IFERROR(VLOOKUP($BI102,flows!$A$2:$J$4985,BO$2,FALSE),0)</f>
        <v>0</v>
      </c>
      <c r="BP102" s="402">
        <f>IFERROR(VLOOKUP($BI102,flows!$A$2:$J$4985,BP$2,FALSE),0)</f>
        <v>0</v>
      </c>
      <c r="BQ102" s="402">
        <f>IFERROR(VLOOKUP($BI102,flows!$A$2:$J$4985,BQ$2,FALSE),0)</f>
        <v>0</v>
      </c>
      <c r="BR102" s="403">
        <f>IFERROR(VLOOKUP($BI102,flows!$A$2:$J$4985,BR$2,FALSE),0)</f>
        <v>0</v>
      </c>
    </row>
    <row r="103" spans="2:70" s="342" customFormat="1" ht="14.5" x14ac:dyDescent="0.35">
      <c r="Z103" s="191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H103" s="985"/>
      <c r="BI103" s="344" t="s">
        <v>596</v>
      </c>
      <c r="BJ103" s="400" t="s">
        <v>2714</v>
      </c>
      <c r="BK103" s="151">
        <f>IFERROR(VLOOKUP($BI103,flows!$A$2:$J$4985,BK$2,FALSE),0)</f>
        <v>0</v>
      </c>
      <c r="BL103" s="151">
        <f>IFERROR(VLOOKUP($BI103,flows!$A$2:$J$4985,BL$2,FALSE),0)</f>
        <v>0</v>
      </c>
      <c r="BM103" s="151">
        <f>IFERROR(VLOOKUP($BI103,flows!$A$2:$J$4985,BM$2,FALSE),0)</f>
        <v>0</v>
      </c>
      <c r="BN103" s="151">
        <f>IFERROR(VLOOKUP($BI103,flows!$A$2:$J$4985,BN$2,FALSE),0)</f>
        <v>0</v>
      </c>
      <c r="BO103" s="151">
        <f>IFERROR(VLOOKUP($BI103,flows!$A$2:$J$4985,BO$2,FALSE),0)</f>
        <v>0</v>
      </c>
      <c r="BP103" s="151">
        <f>IFERROR(VLOOKUP($BI103,flows!$A$2:$J$4985,BP$2,FALSE),0)</f>
        <v>0</v>
      </c>
      <c r="BQ103" s="151">
        <f>IFERROR(VLOOKUP($BI103,flows!$A$2:$J$4985,BQ$2,FALSE),0)</f>
        <v>0</v>
      </c>
      <c r="BR103" s="404">
        <f>IFERROR(VLOOKUP($BI103,flows!$A$2:$J$4985,BR$2,FALSE),0)</f>
        <v>0</v>
      </c>
    </row>
    <row r="104" spans="2:70" s="342" customFormat="1" ht="14.5" x14ac:dyDescent="0.35">
      <c r="Z104" s="191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H104" s="985"/>
      <c r="BI104" s="344" t="s">
        <v>648</v>
      </c>
      <c r="BJ104" s="400" t="s">
        <v>2715</v>
      </c>
      <c r="BK104" s="151">
        <f>IFERROR(VLOOKUP($BI104,flows!$A$2:$J$4985,BK$2,FALSE),0)</f>
        <v>0</v>
      </c>
      <c r="BL104" s="151">
        <f>IFERROR(VLOOKUP($BI104,flows!$A$2:$J$4985,BL$2,FALSE),0)</f>
        <v>0</v>
      </c>
      <c r="BM104" s="151">
        <f>IFERROR(VLOOKUP($BI104,flows!$A$2:$J$4985,BM$2,FALSE),0)</f>
        <v>0</v>
      </c>
      <c r="BN104" s="151">
        <f>IFERROR(VLOOKUP($BI104,flows!$A$2:$J$4985,BN$2,FALSE),0)</f>
        <v>0</v>
      </c>
      <c r="BO104" s="151">
        <f>IFERROR(VLOOKUP($BI104,flows!$A$2:$J$4985,BO$2,FALSE),0)</f>
        <v>0</v>
      </c>
      <c r="BP104" s="151">
        <f>IFERROR(VLOOKUP($BI104,flows!$A$2:$J$4985,BP$2,FALSE),0)</f>
        <v>0</v>
      </c>
      <c r="BQ104" s="151">
        <f>IFERROR(VLOOKUP($BI104,flows!$A$2:$J$4985,BQ$2,FALSE),0)</f>
        <v>0</v>
      </c>
      <c r="BR104" s="404">
        <f>IFERROR(VLOOKUP($BI104,flows!$A$2:$J$4985,BR$2,FALSE),0)</f>
        <v>0</v>
      </c>
    </row>
    <row r="105" spans="2:70" ht="14.5" x14ac:dyDescent="0.35"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N105" s="342"/>
      <c r="O105" s="342"/>
      <c r="P105" s="342"/>
      <c r="Q105" s="342"/>
      <c r="R105" s="342"/>
      <c r="S105" s="342"/>
      <c r="T105" s="342"/>
      <c r="U105" s="342"/>
      <c r="V105" s="342"/>
      <c r="W105" s="342"/>
      <c r="BH105" s="985"/>
      <c r="BI105" s="344" t="s">
        <v>2708</v>
      </c>
      <c r="BJ105" s="400" t="s">
        <v>2716</v>
      </c>
      <c r="BK105" s="151">
        <f>IFERROR(VLOOKUP($BI105,flows!$A$2:$J$4985,BK$2,FALSE),0)</f>
        <v>0</v>
      </c>
      <c r="BL105" s="151">
        <f>IFERROR(VLOOKUP($BI105,flows!$A$2:$J$4985,BL$2,FALSE),0)</f>
        <v>0</v>
      </c>
      <c r="BM105" s="151">
        <f>IFERROR(VLOOKUP($BI105,flows!$A$2:$J$4985,BM$2,FALSE),0)</f>
        <v>0</v>
      </c>
      <c r="BN105" s="151">
        <f>IFERROR(VLOOKUP($BI105,flows!$A$2:$J$4985,BN$2,FALSE),0)</f>
        <v>0</v>
      </c>
      <c r="BO105" s="151">
        <f>IFERROR(VLOOKUP($BI105,flows!$A$2:$J$4985,BO$2,FALSE),0)</f>
        <v>0</v>
      </c>
      <c r="BP105" s="151">
        <f>IFERROR(VLOOKUP($BI105,flows!$A$2:$J$4985,BP$2,FALSE),0)</f>
        <v>0</v>
      </c>
      <c r="BQ105" s="151">
        <f>IFERROR(VLOOKUP($BI105,flows!$A$2:$J$4985,BQ$2,FALSE),0)</f>
        <v>0</v>
      </c>
      <c r="BR105" s="404">
        <f>IFERROR(VLOOKUP($BI105,flows!$A$2:$J$4985,BR$2,FALSE),0)</f>
        <v>0</v>
      </c>
    </row>
    <row r="106" spans="2:70" ht="14.5" x14ac:dyDescent="0.35">
      <c r="N106" s="342"/>
      <c r="O106" s="342"/>
      <c r="P106" s="342"/>
      <c r="Q106" s="342"/>
      <c r="R106" s="342"/>
      <c r="S106" s="342"/>
      <c r="T106" s="342"/>
      <c r="U106" s="342"/>
      <c r="V106" s="342"/>
      <c r="W106" s="342"/>
      <c r="BH106" s="985"/>
      <c r="BI106" s="344" t="s">
        <v>166</v>
      </c>
      <c r="BJ106" s="400" t="s">
        <v>1409</v>
      </c>
      <c r="BK106" s="151">
        <f>IFERROR(VLOOKUP($BI106,flows!$A$2:$J$4985,BK$2,FALSE),0)</f>
        <v>0</v>
      </c>
      <c r="BL106" s="151">
        <f>IFERROR(VLOOKUP($BI106,flows!$A$2:$J$4985,BL$2,FALSE),0)</f>
        <v>0</v>
      </c>
      <c r="BM106" s="151">
        <f>IFERROR(VLOOKUP($BI106,flows!$A$2:$J$4985,BM$2,FALSE),0)</f>
        <v>0</v>
      </c>
      <c r="BN106" s="151">
        <f>IFERROR(VLOOKUP($BI106,flows!$A$2:$J$4985,BN$2,FALSE),0)</f>
        <v>0</v>
      </c>
      <c r="BO106" s="151">
        <f>IFERROR(VLOOKUP($BI106,flows!$A$2:$J$4985,BO$2,FALSE),0)</f>
        <v>0</v>
      </c>
      <c r="BP106" s="151">
        <f>IFERROR(VLOOKUP($BI106,flows!$A$2:$J$4985,BP$2,FALSE),0)</f>
        <v>0</v>
      </c>
      <c r="BQ106" s="151">
        <f>IFERROR(VLOOKUP($BI106,flows!$A$2:$J$4985,BQ$2,FALSE),0)</f>
        <v>0</v>
      </c>
      <c r="BR106" s="404">
        <f>IFERROR(VLOOKUP($BI106,flows!$A$2:$J$4985,BR$2,FALSE),0)</f>
        <v>0</v>
      </c>
    </row>
    <row r="107" spans="2:70" ht="14.5" x14ac:dyDescent="0.35">
      <c r="N107" s="342"/>
      <c r="O107" s="342"/>
      <c r="P107" s="342"/>
      <c r="Q107" s="342"/>
      <c r="R107" s="342"/>
      <c r="S107" s="342"/>
      <c r="T107" s="342"/>
      <c r="U107" s="342"/>
      <c r="V107" s="342"/>
      <c r="W107" s="342"/>
      <c r="BH107" s="985"/>
      <c r="BI107" s="344" t="s">
        <v>2709</v>
      </c>
      <c r="BJ107" s="400" t="s">
        <v>1502</v>
      </c>
      <c r="BK107" s="151">
        <f>IFERROR(VLOOKUP($BI107,flows!$A$2:$J$4985,BK$2,FALSE),0)</f>
        <v>0</v>
      </c>
      <c r="BL107" s="151">
        <f>IFERROR(VLOOKUP($BI107,flows!$A$2:$J$4985,BL$2,FALSE),0)</f>
        <v>0</v>
      </c>
      <c r="BM107" s="151">
        <f>IFERROR(VLOOKUP($BI107,flows!$A$2:$J$4985,BM$2,FALSE),0)</f>
        <v>0</v>
      </c>
      <c r="BN107" s="151">
        <f>IFERROR(VLOOKUP($BI107,flows!$A$2:$J$4985,BN$2,FALSE),0)</f>
        <v>0</v>
      </c>
      <c r="BO107" s="151">
        <f>IFERROR(VLOOKUP($BI107,flows!$A$2:$J$4985,BO$2,FALSE),0)</f>
        <v>0</v>
      </c>
      <c r="BP107" s="151">
        <f>IFERROR(VLOOKUP($BI107,flows!$A$2:$J$4985,BP$2,FALSE),0)</f>
        <v>0</v>
      </c>
      <c r="BQ107" s="151">
        <f>IFERROR(VLOOKUP($BI107,flows!$A$2:$J$4985,BQ$2,FALSE),0)</f>
        <v>0</v>
      </c>
      <c r="BR107" s="404">
        <f>IFERROR(VLOOKUP($BI107,flows!$A$2:$J$4985,BR$2,FALSE),0)</f>
        <v>0</v>
      </c>
    </row>
    <row r="108" spans="2:70" ht="15" thickBot="1" x14ac:dyDescent="0.4"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BH108" s="986"/>
      <c r="BI108" s="347" t="s">
        <v>2710</v>
      </c>
      <c r="BJ108" s="405" t="s">
        <v>2717</v>
      </c>
      <c r="BK108" s="152">
        <f>IFERROR(VLOOKUP($BI108,flows!$A$2:$J$4985,BK$2,FALSE),0)</f>
        <v>0</v>
      </c>
      <c r="BL108" s="152">
        <f>IFERROR(VLOOKUP($BI108,flows!$A$2:$J$4985,BL$2,FALSE),0)</f>
        <v>0</v>
      </c>
      <c r="BM108" s="152">
        <f>IFERROR(VLOOKUP($BI108,flows!$A$2:$J$4985,BM$2,FALSE),0)</f>
        <v>0</v>
      </c>
      <c r="BN108" s="152">
        <f>IFERROR(VLOOKUP($BI108,flows!$A$2:$J$4985,BN$2,FALSE),0)</f>
        <v>0</v>
      </c>
      <c r="BO108" s="152">
        <f>IFERROR(VLOOKUP($BI108,flows!$A$2:$J$4985,BO$2,FALSE),0)</f>
        <v>0</v>
      </c>
      <c r="BP108" s="152">
        <f>IFERROR(VLOOKUP($BI108,flows!$A$2:$J$4985,BP$2,FALSE),0)</f>
        <v>0</v>
      </c>
      <c r="BQ108" s="152">
        <f>IFERROR(VLOOKUP($BI108,flows!$A$2:$J$4985,BQ$2,FALSE),0)</f>
        <v>0</v>
      </c>
      <c r="BR108" s="406">
        <f>IFERROR(VLOOKUP($BI108,flows!$A$2:$J$4985,BR$2,FALSE),0)</f>
        <v>0</v>
      </c>
    </row>
    <row r="109" spans="2:70" ht="15" thickBot="1" x14ac:dyDescent="0.4"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BI109" s="79" t="s">
        <v>1232</v>
      </c>
      <c r="BJ109" s="365"/>
      <c r="BK109" s="365"/>
      <c r="BL109" s="365"/>
      <c r="BM109" s="365"/>
      <c r="BN109" s="365"/>
      <c r="BO109" s="365"/>
      <c r="BP109" s="365"/>
      <c r="BQ109" s="365"/>
      <c r="BR109" s="365"/>
    </row>
    <row r="110" spans="2:70" ht="14.5" x14ac:dyDescent="0.35">
      <c r="N110" s="342"/>
      <c r="O110" s="342"/>
      <c r="P110" s="342"/>
      <c r="Q110" s="342"/>
      <c r="R110" s="342"/>
      <c r="S110" s="342"/>
      <c r="T110" s="342"/>
      <c r="U110" s="342"/>
      <c r="V110" s="342"/>
      <c r="W110" s="342"/>
      <c r="BH110" s="984" t="s">
        <v>2704</v>
      </c>
      <c r="BI110" s="408" t="s">
        <v>2731</v>
      </c>
      <c r="BJ110" s="409" t="s">
        <v>2715</v>
      </c>
      <c r="BK110" s="402">
        <f>IFERROR(VLOOKUP($BI110,flows!$A$2:$J$4985,BK$2,FALSE),0)</f>
        <v>0</v>
      </c>
      <c r="BL110" s="402">
        <f>IFERROR(VLOOKUP($BI110,flows!$A$2:$J$4985,BL$2,FALSE),0)</f>
        <v>0</v>
      </c>
      <c r="BM110" s="402">
        <f>IFERROR(VLOOKUP($BI110,flows!$A$2:$J$4985,BM$2,FALSE),0)</f>
        <v>0</v>
      </c>
      <c r="BN110" s="402">
        <f>IFERROR(VLOOKUP($BI110,flows!$A$2:$J$4985,BN$2,FALSE),0)</f>
        <v>0</v>
      </c>
      <c r="BO110" s="402">
        <f>IFERROR(VLOOKUP($BI110,flows!$A$2:$J$4985,BO$2,FALSE),0)</f>
        <v>0</v>
      </c>
      <c r="BP110" s="402">
        <f>IFERROR(VLOOKUP($BI110,flows!$A$2:$J$4985,BP$2,FALSE),0)</f>
        <v>0</v>
      </c>
      <c r="BQ110" s="402">
        <f>IFERROR(VLOOKUP($BI110,flows!$A$2:$J$4985,BQ$2,FALSE),0)</f>
        <v>0</v>
      </c>
      <c r="BR110" s="403">
        <f>IFERROR(VLOOKUP($BI110,flows!$A$2:$J$4985,BR$2,FALSE),0)</f>
        <v>0</v>
      </c>
    </row>
    <row r="111" spans="2:70" ht="14.5" x14ac:dyDescent="0.35"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BH111" s="985"/>
      <c r="BI111" s="337" t="s">
        <v>2732</v>
      </c>
      <c r="BJ111" s="397" t="s">
        <v>1409</v>
      </c>
      <c r="BK111" s="151">
        <f>IFERROR(VLOOKUP($BI111,flows!$A$2:$J$4985,BK$2,FALSE),0)</f>
        <v>0</v>
      </c>
      <c r="BL111" s="151">
        <f>IFERROR(VLOOKUP($BI111,flows!$A$2:$J$4985,BL$2,FALSE),0)</f>
        <v>0</v>
      </c>
      <c r="BM111" s="151">
        <f>IFERROR(VLOOKUP($BI111,flows!$A$2:$J$4985,BM$2,FALSE),0)</f>
        <v>0</v>
      </c>
      <c r="BN111" s="151">
        <f>IFERROR(VLOOKUP($BI111,flows!$A$2:$J$4985,BN$2,FALSE),0)</f>
        <v>0</v>
      </c>
      <c r="BO111" s="151">
        <f>IFERROR(VLOOKUP($BI111,flows!$A$2:$J$4985,BO$2,FALSE),0)</f>
        <v>0</v>
      </c>
      <c r="BP111" s="151">
        <f>IFERROR(VLOOKUP($BI111,flows!$A$2:$J$4985,BP$2,FALSE),0)</f>
        <v>0</v>
      </c>
      <c r="BQ111" s="151">
        <f>IFERROR(VLOOKUP($BI111,flows!$A$2:$J$4985,BQ$2,FALSE),0)</f>
        <v>0</v>
      </c>
      <c r="BR111" s="404">
        <f>IFERROR(VLOOKUP($BI111,flows!$A$2:$J$4985,BR$2,FALSE),0)</f>
        <v>0</v>
      </c>
    </row>
    <row r="112" spans="2:70" ht="14.5" x14ac:dyDescent="0.35"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BH112" s="985"/>
      <c r="BI112" s="337" t="s">
        <v>2733</v>
      </c>
      <c r="BJ112" s="397" t="s">
        <v>2717</v>
      </c>
      <c r="BK112" s="151">
        <f>IFERROR(VLOOKUP($BI112,flows!$A$2:$J$4985,BK$2,FALSE),0)</f>
        <v>0</v>
      </c>
      <c r="BL112" s="151">
        <f>IFERROR(VLOOKUP($BI112,flows!$A$2:$J$4985,BL$2,FALSE),0)</f>
        <v>0</v>
      </c>
      <c r="BM112" s="151">
        <f>IFERROR(VLOOKUP($BI112,flows!$A$2:$J$4985,BM$2,FALSE),0)</f>
        <v>0</v>
      </c>
      <c r="BN112" s="151">
        <f>IFERROR(VLOOKUP($BI112,flows!$A$2:$J$4985,BN$2,FALSE),0)</f>
        <v>0</v>
      </c>
      <c r="BO112" s="151">
        <f>IFERROR(VLOOKUP($BI112,flows!$A$2:$J$4985,BO$2,FALSE),0)</f>
        <v>0</v>
      </c>
      <c r="BP112" s="151">
        <f>IFERROR(VLOOKUP($BI112,flows!$A$2:$J$4985,BP$2,FALSE),0)</f>
        <v>0</v>
      </c>
      <c r="BQ112" s="151">
        <f>IFERROR(VLOOKUP($BI112,flows!$A$2:$J$4985,BQ$2,FALSE),0)</f>
        <v>0</v>
      </c>
      <c r="BR112" s="404">
        <f>IFERROR(VLOOKUP($BI112,flows!$A$2:$J$4985,BR$2,FALSE),0)</f>
        <v>0</v>
      </c>
    </row>
    <row r="113" spans="14:70" ht="14.5" x14ac:dyDescent="0.35">
      <c r="N113" s="342"/>
      <c r="O113" s="342"/>
      <c r="P113" s="342"/>
      <c r="Q113" s="342"/>
      <c r="R113" s="342"/>
      <c r="S113" s="342"/>
      <c r="T113" s="342"/>
      <c r="U113" s="342"/>
      <c r="V113" s="342"/>
      <c r="W113" s="342"/>
      <c r="BH113" s="985"/>
      <c r="BI113" s="337" t="s">
        <v>2734</v>
      </c>
      <c r="BJ113" s="397" t="s">
        <v>2729</v>
      </c>
      <c r="BK113" s="151">
        <f>IFERROR(VLOOKUP($BI113,flows!$A$2:$J$4985,BK$2,FALSE),0)</f>
        <v>0</v>
      </c>
      <c r="BL113" s="151">
        <f>IFERROR(VLOOKUP($BI113,flows!$A$2:$J$4985,BL$2,FALSE),0)</f>
        <v>0</v>
      </c>
      <c r="BM113" s="151">
        <f>IFERROR(VLOOKUP($BI113,flows!$A$2:$J$4985,BM$2,FALSE),0)</f>
        <v>0</v>
      </c>
      <c r="BN113" s="151">
        <f>IFERROR(VLOOKUP($BI113,flows!$A$2:$J$4985,BN$2,FALSE),0)</f>
        <v>0</v>
      </c>
      <c r="BO113" s="151">
        <f>IFERROR(VLOOKUP($BI113,flows!$A$2:$J$4985,BO$2,FALSE),0)</f>
        <v>0</v>
      </c>
      <c r="BP113" s="151">
        <f>IFERROR(VLOOKUP($BI113,flows!$A$2:$J$4985,BP$2,FALSE),0)</f>
        <v>0</v>
      </c>
      <c r="BQ113" s="151">
        <f>IFERROR(VLOOKUP($BI113,flows!$A$2:$J$4985,BQ$2,FALSE),0)</f>
        <v>0</v>
      </c>
      <c r="BR113" s="404">
        <f>IFERROR(VLOOKUP($BI113,flows!$A$2:$J$4985,BR$2,FALSE),0)</f>
        <v>0</v>
      </c>
    </row>
    <row r="114" spans="14:70" ht="14.5" x14ac:dyDescent="0.35"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BH114" s="985"/>
      <c r="BI114" s="338" t="s">
        <v>2735</v>
      </c>
      <c r="BJ114" s="397" t="s">
        <v>2730</v>
      </c>
      <c r="BK114" s="151">
        <f>IFERROR(VLOOKUP($BI114,flows!$A$2:$J$4985,BK$2,FALSE),0)</f>
        <v>0</v>
      </c>
      <c r="BL114" s="151">
        <f>IFERROR(VLOOKUP($BI114,flows!$A$2:$J$4985,BL$2,FALSE),0)</f>
        <v>0</v>
      </c>
      <c r="BM114" s="151">
        <f>IFERROR(VLOOKUP($BI114,flows!$A$2:$J$4985,BM$2,FALSE),0)</f>
        <v>0</v>
      </c>
      <c r="BN114" s="151">
        <f>IFERROR(VLOOKUP($BI114,flows!$A$2:$J$4985,BN$2,FALSE),0)</f>
        <v>0</v>
      </c>
      <c r="BO114" s="151">
        <f>IFERROR(VLOOKUP($BI114,flows!$A$2:$J$4985,BO$2,FALSE),0)</f>
        <v>0</v>
      </c>
      <c r="BP114" s="151">
        <f>IFERROR(VLOOKUP($BI114,flows!$A$2:$J$4985,BP$2,FALSE),0)</f>
        <v>0</v>
      </c>
      <c r="BQ114" s="151">
        <f>IFERROR(VLOOKUP($BI114,flows!$A$2:$J$4985,BQ$2,FALSE),0)</f>
        <v>0</v>
      </c>
      <c r="BR114" s="404">
        <f>IFERROR(VLOOKUP($BI114,flows!$A$2:$J$4985,BR$2,FALSE),0)</f>
        <v>0</v>
      </c>
    </row>
    <row r="115" spans="14:70" ht="14.5" x14ac:dyDescent="0.35">
      <c r="N115" s="342"/>
      <c r="O115" s="342"/>
      <c r="P115" s="342"/>
      <c r="Q115" s="342"/>
      <c r="R115" s="342"/>
      <c r="S115" s="342"/>
      <c r="T115" s="342"/>
      <c r="U115" s="342"/>
      <c r="V115" s="342"/>
      <c r="W115" s="342"/>
      <c r="BH115" s="985"/>
      <c r="BI115" s="337" t="s">
        <v>2736</v>
      </c>
      <c r="BJ115" s="397" t="s">
        <v>2716</v>
      </c>
      <c r="BK115" s="151">
        <f>IFERROR(VLOOKUP($BI115,flows!$A$2:$J$4985,BK$2,FALSE),0)</f>
        <v>0</v>
      </c>
      <c r="BL115" s="151">
        <f>IFERROR(VLOOKUP($BI115,flows!$A$2:$J$4985,BL$2,FALSE),0)</f>
        <v>0</v>
      </c>
      <c r="BM115" s="151">
        <f>IFERROR(VLOOKUP($BI115,flows!$A$2:$J$4985,BM$2,FALSE),0)</f>
        <v>0</v>
      </c>
      <c r="BN115" s="151">
        <f>IFERROR(VLOOKUP($BI115,flows!$A$2:$J$4985,BN$2,FALSE),0)</f>
        <v>0</v>
      </c>
      <c r="BO115" s="151">
        <f>IFERROR(VLOOKUP($BI115,flows!$A$2:$J$4985,BO$2,FALSE),0)</f>
        <v>0</v>
      </c>
      <c r="BP115" s="151">
        <f>IFERROR(VLOOKUP($BI115,flows!$A$2:$J$4985,BP$2,FALSE),0)</f>
        <v>0</v>
      </c>
      <c r="BQ115" s="151">
        <f>IFERROR(VLOOKUP($BI115,flows!$A$2:$J$4985,BQ$2,FALSE),0)</f>
        <v>0</v>
      </c>
      <c r="BR115" s="404">
        <f>IFERROR(VLOOKUP($BI115,flows!$A$2:$J$4985,BR$2,FALSE),0)</f>
        <v>0</v>
      </c>
    </row>
    <row r="116" spans="14:70" ht="14.5" x14ac:dyDescent="0.35">
      <c r="N116" s="342"/>
      <c r="O116" s="342"/>
      <c r="P116" s="342"/>
      <c r="Q116" s="342"/>
      <c r="R116" s="342"/>
      <c r="S116" s="342"/>
      <c r="T116" s="342"/>
      <c r="U116" s="342"/>
      <c r="V116" s="342"/>
      <c r="W116" s="342"/>
      <c r="BH116" s="398"/>
      <c r="BI116" s="344"/>
      <c r="BJ116" s="407" t="s">
        <v>2726</v>
      </c>
      <c r="BK116" s="453">
        <f t="shared" ref="BK116:BR116" si="52">BK122/(BK120+BK122+BK124)</f>
        <v>0</v>
      </c>
      <c r="BL116" s="453" t="e">
        <f t="shared" si="52"/>
        <v>#DIV/0!</v>
      </c>
      <c r="BM116" s="453">
        <f t="shared" si="52"/>
        <v>0</v>
      </c>
      <c r="BN116" s="453">
        <f t="shared" si="52"/>
        <v>0</v>
      </c>
      <c r="BO116" s="453">
        <f t="shared" si="52"/>
        <v>0</v>
      </c>
      <c r="BP116" s="453">
        <f t="shared" si="52"/>
        <v>0</v>
      </c>
      <c r="BQ116" s="453">
        <f t="shared" si="52"/>
        <v>0</v>
      </c>
      <c r="BR116" s="456" t="e">
        <f t="shared" si="52"/>
        <v>#DIV/0!</v>
      </c>
    </row>
    <row r="117" spans="14:70" ht="14.5" x14ac:dyDescent="0.35"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BH117" s="343"/>
      <c r="BI117" s="344"/>
      <c r="BJ117" s="407" t="s">
        <v>2727</v>
      </c>
      <c r="BK117" s="453" t="e">
        <f t="shared" ref="BK117:BR117" si="53">(1-BK116)*(BK127/BK124)</f>
        <v>#DIV/0!</v>
      </c>
      <c r="BL117" s="453" t="e">
        <f t="shared" si="53"/>
        <v>#DIV/0!</v>
      </c>
      <c r="BM117" s="453" t="e">
        <f t="shared" si="53"/>
        <v>#DIV/0!</v>
      </c>
      <c r="BN117" s="453" t="e">
        <f t="shared" si="53"/>
        <v>#DIV/0!</v>
      </c>
      <c r="BO117" s="453" t="e">
        <f t="shared" si="53"/>
        <v>#DIV/0!</v>
      </c>
      <c r="BP117" s="453" t="e">
        <f t="shared" si="53"/>
        <v>#DIV/0!</v>
      </c>
      <c r="BQ117" s="453" t="e">
        <f t="shared" si="53"/>
        <v>#DIV/0!</v>
      </c>
      <c r="BR117" s="456" t="e">
        <f t="shared" si="53"/>
        <v>#DIV/0!</v>
      </c>
    </row>
    <row r="118" spans="14:70" ht="14.5" x14ac:dyDescent="0.35">
      <c r="N118" s="342"/>
      <c r="O118" s="342"/>
      <c r="P118" s="342"/>
      <c r="Q118" s="342"/>
      <c r="R118" s="342"/>
      <c r="S118" s="342"/>
      <c r="T118" s="342"/>
      <c r="U118" s="342"/>
      <c r="V118" s="342"/>
      <c r="W118" s="342"/>
      <c r="BH118" s="343"/>
      <c r="BI118" s="344"/>
      <c r="BJ118" s="92" t="s">
        <v>2728</v>
      </c>
      <c r="BK118" s="92" t="e">
        <f t="shared" ref="BK118:BR118" si="54">1-(BK117+BK116)</f>
        <v>#DIV/0!</v>
      </c>
      <c r="BL118" s="92" t="e">
        <f t="shared" si="54"/>
        <v>#DIV/0!</v>
      </c>
      <c r="BM118" s="92" t="e">
        <f t="shared" si="54"/>
        <v>#DIV/0!</v>
      </c>
      <c r="BN118" s="92" t="e">
        <f t="shared" si="54"/>
        <v>#DIV/0!</v>
      </c>
      <c r="BO118" s="92" t="e">
        <f t="shared" si="54"/>
        <v>#DIV/0!</v>
      </c>
      <c r="BP118" s="92" t="e">
        <f t="shared" si="54"/>
        <v>#DIV/0!</v>
      </c>
      <c r="BQ118" s="92" t="e">
        <f t="shared" si="54"/>
        <v>#DIV/0!</v>
      </c>
      <c r="BR118" s="93" t="e">
        <f t="shared" si="54"/>
        <v>#DIV/0!</v>
      </c>
    </row>
    <row r="119" spans="14:70" ht="14.5" x14ac:dyDescent="0.35">
      <c r="N119" s="342"/>
      <c r="O119" s="342"/>
      <c r="P119" s="342"/>
      <c r="Q119" s="342"/>
      <c r="R119" s="342"/>
      <c r="S119" s="342"/>
      <c r="T119" s="342"/>
      <c r="U119" s="342"/>
      <c r="V119" s="342"/>
      <c r="W119" s="342"/>
      <c r="AJ119" s="204"/>
      <c r="AK119" s="204"/>
      <c r="AL119" s="204"/>
      <c r="AV119" s="204"/>
      <c r="AW119" s="204"/>
      <c r="AX119" s="204"/>
      <c r="AY119" s="204"/>
      <c r="AZ119" s="204"/>
      <c r="BA119" s="204"/>
      <c r="BB119" s="204"/>
      <c r="BC119" s="204"/>
      <c r="BD119" s="204"/>
      <c r="BE119" s="204"/>
      <c r="BF119" s="204"/>
      <c r="BH119" s="343"/>
      <c r="BI119" s="92"/>
      <c r="BJ119" s="92"/>
      <c r="BK119" s="92"/>
      <c r="BL119" s="92"/>
      <c r="BM119" s="92"/>
      <c r="BN119" s="92"/>
      <c r="BO119" s="92"/>
      <c r="BP119" s="92"/>
      <c r="BQ119" s="92"/>
      <c r="BR119" s="93"/>
    </row>
    <row r="120" spans="14:70" ht="14.5" x14ac:dyDescent="0.35">
      <c r="O120" s="342"/>
      <c r="P120" s="342"/>
      <c r="Q120" s="342"/>
      <c r="R120" s="342"/>
      <c r="S120" s="342"/>
      <c r="T120" s="342"/>
      <c r="U120" s="342"/>
      <c r="V120" s="342"/>
      <c r="W120" s="342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  <c r="AW120" s="204"/>
      <c r="AX120" s="204"/>
      <c r="AY120" s="204"/>
      <c r="AZ120" s="204"/>
      <c r="BA120" s="204"/>
      <c r="BB120" s="204"/>
      <c r="BC120" s="204"/>
      <c r="BD120" s="204"/>
      <c r="BE120" s="204"/>
      <c r="BF120" s="204"/>
      <c r="BH120" s="343"/>
      <c r="BI120" s="366" t="s">
        <v>2718</v>
      </c>
      <c r="BJ120" s="436"/>
      <c r="BK120" s="437">
        <f>IFERROR(VLOOKUP($BI120,flows!$A$2:$J$4985,BK$2,FALSE),0)</f>
        <v>2628.9918085293698</v>
      </c>
      <c r="BL120" s="437">
        <f>IFERROR(VLOOKUP($BI120,flows!$A$2:$J$4985,BL$2,FALSE),0)</f>
        <v>0</v>
      </c>
      <c r="BM120" s="437">
        <f>IFERROR(VLOOKUP($BI120,flows!$A$2:$J$4985,BM$2,FALSE),0)</f>
        <v>0.83541107392190306</v>
      </c>
      <c r="BN120" s="437">
        <f>IFERROR(VLOOKUP($BI120,flows!$A$2:$J$4985,BN$2,FALSE),0)</f>
        <v>84.856052455315762</v>
      </c>
      <c r="BO120" s="437">
        <f>IFERROR(VLOOKUP($BI120,flows!$A$2:$J$4985,BO$2,FALSE),0)</f>
        <v>524.34857657494717</v>
      </c>
      <c r="BP120" s="437">
        <f>IFERROR(VLOOKUP($BI120,flows!$A$2:$J$4985,BP$2,FALSE),0)</f>
        <v>1329.144522662235</v>
      </c>
      <c r="BQ120" s="437">
        <f>IFERROR(VLOOKUP($BI120,flows!$A$2:$J$4985,BQ$2,FALSE),0)</f>
        <v>2821.469488959649</v>
      </c>
      <c r="BR120" s="438">
        <f>IFERROR(VLOOKUP($BI120,flows!$A$2:$J$4985,BR$2,FALSE),0)</f>
        <v>0</v>
      </c>
    </row>
    <row r="121" spans="14:70" ht="14.5" x14ac:dyDescent="0.35"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  <c r="AW121" s="204"/>
      <c r="AX121" s="204"/>
      <c r="AY121" s="204"/>
      <c r="AZ121" s="204"/>
      <c r="BA121" s="204"/>
      <c r="BB121" s="204"/>
      <c r="BC121" s="204"/>
      <c r="BD121" s="204"/>
      <c r="BE121" s="204"/>
      <c r="BF121" s="204"/>
      <c r="BH121" s="343"/>
      <c r="BI121" s="366" t="s">
        <v>2724</v>
      </c>
      <c r="BJ121" s="366"/>
      <c r="BK121" s="437">
        <f>IFERROR(VLOOKUP($BI121,flows!$A$2:$J$4985,BK$2,FALSE),0)</f>
        <v>21023.525058211679</v>
      </c>
      <c r="BL121" s="437">
        <f>IFERROR(VLOOKUP($BI121,flows!$A$2:$J$4985,BL$2,FALSE),0)</f>
        <v>0</v>
      </c>
      <c r="BM121" s="437">
        <f>IFERROR(VLOOKUP($BI121,flows!$A$2:$J$4985,BM$2,FALSE),0)</f>
        <v>6.6806163448372899</v>
      </c>
      <c r="BN121" s="437">
        <f>IFERROR(VLOOKUP($BI121,flows!$A$2:$J$4985,BN$2,FALSE),0)</f>
        <v>557.60679127511401</v>
      </c>
      <c r="BO121" s="437">
        <f>IFERROR(VLOOKUP($BI121,flows!$A$2:$J$4985,BO$2,FALSE),0)</f>
        <v>3110.768673400411</v>
      </c>
      <c r="BP121" s="437">
        <f>IFERROR(VLOOKUP($BI121,flows!$A$2:$J$4985,BP$2,FALSE),0)</f>
        <v>8000.7412225740518</v>
      </c>
      <c r="BQ121" s="437">
        <f>IFERROR(VLOOKUP($BI121,flows!$A$2:$J$4985,BQ$2,FALSE),0)</f>
        <v>12223.92702151702</v>
      </c>
      <c r="BR121" s="438">
        <f>IFERROR(VLOOKUP($BI121,flows!$A$2:$J$4985,BR$2,FALSE),0)</f>
        <v>0</v>
      </c>
    </row>
    <row r="122" spans="14:70" ht="14.5" x14ac:dyDescent="0.35"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  <c r="AW122" s="204"/>
      <c r="AX122" s="204"/>
      <c r="AY122" s="204"/>
      <c r="AZ122" s="204"/>
      <c r="BA122" s="204"/>
      <c r="BB122" s="204"/>
      <c r="BC122" s="204"/>
      <c r="BD122" s="204"/>
      <c r="BE122" s="204"/>
      <c r="BF122" s="204"/>
      <c r="BH122" s="343"/>
      <c r="BI122" s="344" t="s">
        <v>2719</v>
      </c>
      <c r="BJ122" s="92"/>
      <c r="BK122" s="151">
        <f>IFERROR(VLOOKUP($BI122,flows!$A$2:$J$4985,BK$2,FALSE),0)</f>
        <v>0</v>
      </c>
      <c r="BL122" s="151">
        <f>IFERROR(VLOOKUP($BI122,flows!$A$2:$J$4985,BL$2,FALSE),0)</f>
        <v>0</v>
      </c>
      <c r="BM122" s="151">
        <f>IFERROR(VLOOKUP($BI122,flows!$A$2:$J$4985,BM$2,FALSE),0)</f>
        <v>0</v>
      </c>
      <c r="BN122" s="151">
        <f>IFERROR(VLOOKUP($BI122,flows!$A$2:$J$4985,BN$2,FALSE),0)</f>
        <v>0</v>
      </c>
      <c r="BO122" s="151">
        <f>IFERROR(VLOOKUP($BI122,flows!$A$2:$J$4985,BO$2,FALSE),0)</f>
        <v>0</v>
      </c>
      <c r="BP122" s="151">
        <f>IFERROR(VLOOKUP($BI122,flows!$A$2:$J$4985,BP$2,FALSE),0)</f>
        <v>0</v>
      </c>
      <c r="BQ122" s="151">
        <f>IFERROR(VLOOKUP($BI122,flows!$A$2:$J$4985,BQ$2,FALSE),0)</f>
        <v>0</v>
      </c>
      <c r="BR122" s="404">
        <f>IFERROR(VLOOKUP($BI122,flows!$A$2:$J$4985,BR$2,FALSE),0)</f>
        <v>0</v>
      </c>
    </row>
    <row r="123" spans="14:70" ht="14.5" x14ac:dyDescent="0.35">
      <c r="AA123" s="81"/>
      <c r="AB123" s="199"/>
      <c r="AC123" s="199"/>
      <c r="AD123" s="199"/>
      <c r="AE123" s="199"/>
      <c r="AF123" s="199"/>
      <c r="AG123" s="199"/>
      <c r="AH123" s="199"/>
      <c r="AI123" s="199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  <c r="AW123" s="204"/>
      <c r="AX123" s="204"/>
      <c r="AY123" s="204"/>
      <c r="AZ123" s="204"/>
      <c r="BA123" s="204"/>
      <c r="BB123" s="204"/>
      <c r="BC123" s="204"/>
      <c r="BD123" s="204"/>
      <c r="BE123" s="204"/>
      <c r="BF123" s="204"/>
      <c r="BH123" s="343"/>
      <c r="BI123" s="344" t="s">
        <v>2725</v>
      </c>
      <c r="BJ123" s="344"/>
      <c r="BK123" s="151">
        <f>IFERROR(VLOOKUP($BI123,flows!$A$2:$J$4985,BK$2,FALSE),0)</f>
        <v>0</v>
      </c>
      <c r="BL123" s="151">
        <f>IFERROR(VLOOKUP($BI123,flows!$A$2:$J$4985,BL$2,FALSE),0)</f>
        <v>0</v>
      </c>
      <c r="BM123" s="151">
        <f>IFERROR(VLOOKUP($BI123,flows!$A$2:$J$4985,BM$2,FALSE),0)</f>
        <v>0</v>
      </c>
      <c r="BN123" s="151">
        <f>IFERROR(VLOOKUP($BI123,flows!$A$2:$J$4985,BN$2,FALSE),0)</f>
        <v>0</v>
      </c>
      <c r="BO123" s="151">
        <f>IFERROR(VLOOKUP($BI123,flows!$A$2:$J$4985,BO$2,FALSE),0)</f>
        <v>0</v>
      </c>
      <c r="BP123" s="151">
        <f>IFERROR(VLOOKUP($BI123,flows!$A$2:$J$4985,BP$2,FALSE),0)</f>
        <v>0</v>
      </c>
      <c r="BQ123" s="151">
        <f>IFERROR(VLOOKUP($BI123,flows!$A$2:$J$4985,BQ$2,FALSE),0)</f>
        <v>0</v>
      </c>
      <c r="BR123" s="404">
        <f>IFERROR(VLOOKUP($BI123,flows!$A$2:$J$4985,BR$2,FALSE),0)</f>
        <v>0</v>
      </c>
    </row>
    <row r="124" spans="14:70" ht="14.5" x14ac:dyDescent="0.35">
      <c r="AA124" s="199"/>
      <c r="AB124" s="199"/>
      <c r="AC124" s="199"/>
      <c r="AD124" s="199"/>
      <c r="AE124" s="199"/>
      <c r="AF124" s="199"/>
      <c r="AG124" s="199"/>
      <c r="AH124" s="199"/>
      <c r="AI124" s="199"/>
      <c r="AM124" s="204"/>
      <c r="AN124" s="204"/>
      <c r="AO124" s="204"/>
      <c r="AP124" s="204"/>
      <c r="AQ124" s="204"/>
      <c r="AR124" s="204"/>
      <c r="AS124" s="204"/>
      <c r="AT124" s="204"/>
      <c r="AU124" s="204"/>
      <c r="BH124" s="343"/>
      <c r="BI124" s="344" t="s">
        <v>2720</v>
      </c>
      <c r="BJ124" s="92"/>
      <c r="BK124" s="151">
        <f>IFERROR(VLOOKUP($BI124,flows!$A$2:$J$4985,BK$2,FALSE),0)</f>
        <v>0</v>
      </c>
      <c r="BL124" s="151">
        <f>IFERROR(VLOOKUP($BI124,flows!$A$2:$J$4985,BL$2,FALSE),0)</f>
        <v>0</v>
      </c>
      <c r="BM124" s="151">
        <f>IFERROR(VLOOKUP($BI124,flows!$A$2:$J$4985,BM$2,FALSE),0)</f>
        <v>0</v>
      </c>
      <c r="BN124" s="151">
        <f>IFERROR(VLOOKUP($BI124,flows!$A$2:$J$4985,BN$2,FALSE),0)</f>
        <v>0</v>
      </c>
      <c r="BO124" s="151">
        <f>IFERROR(VLOOKUP($BI124,flows!$A$2:$J$4985,BO$2,FALSE),0)</f>
        <v>0</v>
      </c>
      <c r="BP124" s="151">
        <f>IFERROR(VLOOKUP($BI124,flows!$A$2:$J$4985,BP$2,FALSE),0)</f>
        <v>0</v>
      </c>
      <c r="BQ124" s="151">
        <f>IFERROR(VLOOKUP($BI124,flows!$A$2:$J$4985,BQ$2,FALSE),0)</f>
        <v>0</v>
      </c>
      <c r="BR124" s="404">
        <f>IFERROR(VLOOKUP($BI124,flows!$A$2:$J$4985,BR$2,FALSE),0)</f>
        <v>0</v>
      </c>
    </row>
    <row r="125" spans="14:70" ht="14.5" x14ac:dyDescent="0.35">
      <c r="AA125" s="199"/>
      <c r="AB125" s="199"/>
      <c r="AC125" s="199"/>
      <c r="AD125" s="199"/>
      <c r="AE125" s="199"/>
      <c r="AF125" s="199"/>
      <c r="AG125" s="199"/>
      <c r="AH125" s="199"/>
      <c r="AI125" s="199"/>
      <c r="BH125" s="343"/>
      <c r="BI125" s="344" t="s">
        <v>2721</v>
      </c>
      <c r="BJ125" s="92"/>
      <c r="BK125" s="151">
        <f>IFERROR(VLOOKUP($BI125,flows!$A$2:$J$4985,BK$2,FALSE),0)</f>
        <v>0</v>
      </c>
      <c r="BL125" s="151">
        <f>IFERROR(VLOOKUP($BI125,flows!$A$2:$J$4985,BL$2,FALSE),0)</f>
        <v>0</v>
      </c>
      <c r="BM125" s="151">
        <f>IFERROR(VLOOKUP($BI125,flows!$A$2:$J$4985,BM$2,FALSE),0)</f>
        <v>0</v>
      </c>
      <c r="BN125" s="151">
        <f>IFERROR(VLOOKUP($BI125,flows!$A$2:$J$4985,BN$2,FALSE),0)</f>
        <v>0</v>
      </c>
      <c r="BO125" s="151">
        <f>IFERROR(VLOOKUP($BI125,flows!$A$2:$J$4985,BO$2,FALSE),0)</f>
        <v>0</v>
      </c>
      <c r="BP125" s="151">
        <f>IFERROR(VLOOKUP($BI125,flows!$A$2:$J$4985,BP$2,FALSE),0)</f>
        <v>0</v>
      </c>
      <c r="BQ125" s="151">
        <f>IFERROR(VLOOKUP($BI125,flows!$A$2:$J$4985,BQ$2,FALSE),0)</f>
        <v>0</v>
      </c>
      <c r="BR125" s="404">
        <f>IFERROR(VLOOKUP($BI125,flows!$A$2:$J$4985,BR$2,FALSE),0)</f>
        <v>0</v>
      </c>
    </row>
    <row r="126" spans="14:70" ht="14.5" x14ac:dyDescent="0.35">
      <c r="AA126" s="199"/>
      <c r="AB126" s="199"/>
      <c r="AC126" s="199"/>
      <c r="AD126" s="199"/>
      <c r="AE126" s="199"/>
      <c r="AF126" s="199"/>
      <c r="AG126" s="199"/>
      <c r="AH126" s="199"/>
      <c r="AI126" s="199"/>
      <c r="BH126" s="343"/>
      <c r="BI126" s="344" t="s">
        <v>2722</v>
      </c>
      <c r="BJ126" s="92"/>
      <c r="BK126" s="151">
        <f>IFERROR(VLOOKUP($BI126,flows!$A$2:$J$4985,BK$2,FALSE),0)</f>
        <v>0</v>
      </c>
      <c r="BL126" s="151">
        <f>IFERROR(VLOOKUP($BI126,flows!$A$2:$J$4985,BL$2,FALSE),0)</f>
        <v>0</v>
      </c>
      <c r="BM126" s="151">
        <f>IFERROR(VLOOKUP($BI126,flows!$A$2:$J$4985,BM$2,FALSE),0)</f>
        <v>0</v>
      </c>
      <c r="BN126" s="151">
        <f>IFERROR(VLOOKUP($BI126,flows!$A$2:$J$4985,BN$2,FALSE),0)</f>
        <v>0</v>
      </c>
      <c r="BO126" s="151">
        <f>IFERROR(VLOOKUP($BI126,flows!$A$2:$J$4985,BO$2,FALSE),0)</f>
        <v>0</v>
      </c>
      <c r="BP126" s="151">
        <f>IFERROR(VLOOKUP($BI126,flows!$A$2:$J$4985,BP$2,FALSE),0)</f>
        <v>0</v>
      </c>
      <c r="BQ126" s="151">
        <f>IFERROR(VLOOKUP($BI126,flows!$A$2:$J$4985,BQ$2,FALSE),0)</f>
        <v>0</v>
      </c>
      <c r="BR126" s="404">
        <f>IFERROR(VLOOKUP($BI126,flows!$A$2:$J$4985,BR$2,FALSE),0)</f>
        <v>0</v>
      </c>
    </row>
    <row r="127" spans="14:70" ht="15" thickBot="1" x14ac:dyDescent="0.4">
      <c r="AA127" s="199"/>
      <c r="AB127" s="199"/>
      <c r="AC127" s="199"/>
      <c r="AD127" s="199"/>
      <c r="AE127" s="199"/>
      <c r="AF127" s="199"/>
      <c r="AG127" s="199"/>
      <c r="AH127" s="199"/>
      <c r="AI127" s="199"/>
      <c r="BH127" s="201"/>
      <c r="BI127" s="347" t="s">
        <v>2723</v>
      </c>
      <c r="BJ127" s="77"/>
      <c r="BK127" s="152">
        <f>IFERROR(VLOOKUP($BI127,flows!$A$2:$J$4985,BK$2,FALSE),0)</f>
        <v>0</v>
      </c>
      <c r="BL127" s="152">
        <f>IFERROR(VLOOKUP($BI127,flows!$A$2:$J$4985,BL$2,FALSE),0)</f>
        <v>0</v>
      </c>
      <c r="BM127" s="152">
        <f>IFERROR(VLOOKUP($BI127,flows!$A$2:$J$4985,BM$2,FALSE),0)</f>
        <v>0</v>
      </c>
      <c r="BN127" s="152">
        <f>IFERROR(VLOOKUP($BI127,flows!$A$2:$J$4985,BN$2,FALSE),0)</f>
        <v>0</v>
      </c>
      <c r="BO127" s="152">
        <f>IFERROR(VLOOKUP($BI127,flows!$A$2:$J$4985,BO$2,FALSE),0)</f>
        <v>0</v>
      </c>
      <c r="BP127" s="152">
        <f>IFERROR(VLOOKUP($BI127,flows!$A$2:$J$4985,BP$2,FALSE),0)</f>
        <v>0</v>
      </c>
      <c r="BQ127" s="152">
        <f>IFERROR(VLOOKUP($BI127,flows!$A$2:$J$4985,BQ$2,FALSE),0)</f>
        <v>0</v>
      </c>
      <c r="BR127" s="406">
        <f>IFERROR(VLOOKUP($BI127,flows!$A$2:$J$4985,BR$2,FALSE),0)</f>
        <v>0</v>
      </c>
    </row>
    <row r="128" spans="14:70" ht="15" thickBot="1" x14ac:dyDescent="0.4">
      <c r="AA128" s="199"/>
      <c r="AB128" s="199"/>
      <c r="AC128" s="199"/>
      <c r="AD128" s="199"/>
      <c r="AE128" s="199"/>
      <c r="AF128" s="199"/>
      <c r="AG128" s="199"/>
      <c r="AH128" s="199"/>
      <c r="AI128" s="199"/>
      <c r="BH128" s="342"/>
      <c r="BI128" s="79" t="s">
        <v>2737</v>
      </c>
      <c r="BJ128" s="365"/>
      <c r="BK128" s="365"/>
      <c r="BL128" s="365"/>
      <c r="BM128" s="365"/>
      <c r="BN128" s="365"/>
      <c r="BO128" s="365"/>
      <c r="BP128" s="365"/>
      <c r="BQ128" s="365"/>
      <c r="BR128" s="365"/>
    </row>
    <row r="129" spans="27:70" ht="14.5" x14ac:dyDescent="0.35">
      <c r="AA129" s="199"/>
      <c r="AB129" s="199"/>
      <c r="AC129" s="199"/>
      <c r="AD129" s="199"/>
      <c r="AE129" s="199"/>
      <c r="AF129" s="199"/>
      <c r="AG129" s="11"/>
      <c r="AH129" s="199"/>
      <c r="AI129" s="199"/>
      <c r="BH129" s="46"/>
      <c r="BI129" s="408" t="s">
        <v>2752</v>
      </c>
      <c r="BJ129" s="89" t="s">
        <v>2748</v>
      </c>
      <c r="BK129" s="89">
        <f>BK151</f>
        <v>0</v>
      </c>
      <c r="BL129" s="89">
        <f t="shared" ref="BK129:BR130" si="55">BL151</f>
        <v>0</v>
      </c>
      <c r="BM129" s="89">
        <f t="shared" si="55"/>
        <v>0</v>
      </c>
      <c r="BN129" s="89">
        <f t="shared" si="55"/>
        <v>0</v>
      </c>
      <c r="BO129" s="89">
        <f t="shared" si="55"/>
        <v>0</v>
      </c>
      <c r="BP129" s="89">
        <f t="shared" si="55"/>
        <v>0</v>
      </c>
      <c r="BQ129" s="89">
        <f t="shared" si="55"/>
        <v>0</v>
      </c>
      <c r="BR129" s="90">
        <f t="shared" si="55"/>
        <v>0</v>
      </c>
    </row>
    <row r="130" spans="27:70" ht="14.5" x14ac:dyDescent="0.35">
      <c r="AA130" s="11"/>
      <c r="AB130" s="199"/>
      <c r="AC130" s="199"/>
      <c r="AD130" s="199"/>
      <c r="AE130" s="199"/>
      <c r="AF130" s="199"/>
      <c r="AG130" s="199"/>
      <c r="AH130" s="199"/>
      <c r="AI130" s="199"/>
      <c r="BH130" s="343"/>
      <c r="BI130" s="337" t="s">
        <v>2753</v>
      </c>
      <c r="BJ130" s="92" t="s">
        <v>2749</v>
      </c>
      <c r="BK130" s="92">
        <f t="shared" si="55"/>
        <v>0</v>
      </c>
      <c r="BL130" s="92">
        <f t="shared" si="55"/>
        <v>0</v>
      </c>
      <c r="BM130" s="92">
        <f t="shared" si="55"/>
        <v>0</v>
      </c>
      <c r="BN130" s="92">
        <f t="shared" si="55"/>
        <v>0</v>
      </c>
      <c r="BO130" s="92">
        <f t="shared" si="55"/>
        <v>0</v>
      </c>
      <c r="BP130" s="92">
        <f t="shared" si="55"/>
        <v>0</v>
      </c>
      <c r="BQ130" s="92">
        <f t="shared" si="55"/>
        <v>0</v>
      </c>
      <c r="BR130" s="93">
        <f t="shared" si="55"/>
        <v>0</v>
      </c>
    </row>
    <row r="131" spans="27:70" ht="14.5" x14ac:dyDescent="0.35">
      <c r="AA131" s="199"/>
      <c r="AB131" s="199"/>
      <c r="AC131" s="199"/>
      <c r="AD131" s="199"/>
      <c r="AE131" s="199"/>
      <c r="AF131" s="199"/>
      <c r="AG131" s="199"/>
      <c r="AH131" s="199"/>
      <c r="AI131" s="199"/>
      <c r="BH131" s="343"/>
      <c r="BI131" s="344" t="s">
        <v>2754</v>
      </c>
      <c r="BJ131" s="92" t="s">
        <v>2715</v>
      </c>
      <c r="BK131" s="92">
        <f>IF((BK161+BK169)&gt;0,BK153*(BK161/(BK161+BK169)),0)</f>
        <v>0</v>
      </c>
      <c r="BL131" s="92">
        <f t="shared" ref="BK131:BR138" si="56">IF((BL161+BL169)&gt;0,BL153*(BL161/(BL161+BL169)),0)</f>
        <v>0</v>
      </c>
      <c r="BM131" s="92">
        <f t="shared" si="56"/>
        <v>0</v>
      </c>
      <c r="BN131" s="92">
        <f t="shared" si="56"/>
        <v>0</v>
      </c>
      <c r="BO131" s="92">
        <f t="shared" si="56"/>
        <v>0</v>
      </c>
      <c r="BP131" s="92">
        <f t="shared" si="56"/>
        <v>0</v>
      </c>
      <c r="BQ131" s="92">
        <f t="shared" si="56"/>
        <v>0</v>
      </c>
      <c r="BR131" s="93">
        <f t="shared" si="56"/>
        <v>0</v>
      </c>
    </row>
    <row r="132" spans="27:70" ht="14.5" x14ac:dyDescent="0.35">
      <c r="AA132" s="199"/>
      <c r="AB132" s="199"/>
      <c r="AC132" s="199"/>
      <c r="AD132" s="199"/>
      <c r="AE132" s="199"/>
      <c r="AF132" s="199"/>
      <c r="AG132" s="199"/>
      <c r="AH132" s="199"/>
      <c r="AI132" s="199"/>
      <c r="BH132" s="343"/>
      <c r="BI132" s="344" t="s">
        <v>2755</v>
      </c>
      <c r="BJ132" s="92" t="s">
        <v>2750</v>
      </c>
      <c r="BK132" s="92">
        <f t="shared" si="56"/>
        <v>0</v>
      </c>
      <c r="BL132" s="92">
        <f t="shared" si="56"/>
        <v>0</v>
      </c>
      <c r="BM132" s="92">
        <f t="shared" si="56"/>
        <v>0</v>
      </c>
      <c r="BN132" s="92">
        <f t="shared" si="56"/>
        <v>0</v>
      </c>
      <c r="BO132" s="92">
        <f t="shared" si="56"/>
        <v>0</v>
      </c>
      <c r="BP132" s="92">
        <f t="shared" si="56"/>
        <v>0</v>
      </c>
      <c r="BQ132" s="92">
        <f t="shared" si="56"/>
        <v>0</v>
      </c>
      <c r="BR132" s="93">
        <f t="shared" si="56"/>
        <v>0</v>
      </c>
    </row>
    <row r="133" spans="27:70" ht="14.5" x14ac:dyDescent="0.35">
      <c r="AA133" s="199"/>
      <c r="AB133" s="199"/>
      <c r="AC133" s="199"/>
      <c r="AD133" s="199"/>
      <c r="AE133" s="199"/>
      <c r="AF133" s="199"/>
      <c r="AG133" s="199"/>
      <c r="AH133" s="199"/>
      <c r="AI133" s="199"/>
      <c r="BH133" s="343"/>
      <c r="BI133" s="344" t="s">
        <v>2756</v>
      </c>
      <c r="BJ133" s="92" t="s">
        <v>1409</v>
      </c>
      <c r="BK133" s="92">
        <f t="shared" si="56"/>
        <v>0</v>
      </c>
      <c r="BL133" s="92">
        <f t="shared" si="56"/>
        <v>0</v>
      </c>
      <c r="BM133" s="92">
        <f t="shared" si="56"/>
        <v>0</v>
      </c>
      <c r="BN133" s="92">
        <f t="shared" si="56"/>
        <v>0</v>
      </c>
      <c r="BO133" s="92">
        <f t="shared" si="56"/>
        <v>0</v>
      </c>
      <c r="BP133" s="92">
        <f t="shared" si="56"/>
        <v>0</v>
      </c>
      <c r="BQ133" s="92">
        <f t="shared" si="56"/>
        <v>0</v>
      </c>
      <c r="BR133" s="93">
        <f t="shared" si="56"/>
        <v>0</v>
      </c>
    </row>
    <row r="134" spans="27:70" ht="14.5" x14ac:dyDescent="0.35">
      <c r="AA134" s="199"/>
      <c r="AB134" s="199"/>
      <c r="AC134" s="199"/>
      <c r="AD134" s="199"/>
      <c r="AE134" s="199"/>
      <c r="AF134" s="199"/>
      <c r="AG134" s="199"/>
      <c r="AH134" s="199"/>
      <c r="AI134" s="199"/>
      <c r="BH134" s="343"/>
      <c r="BI134" s="204" t="s">
        <v>2757</v>
      </c>
      <c r="BJ134" s="92" t="s">
        <v>1409</v>
      </c>
      <c r="BK134" s="92">
        <f t="shared" si="56"/>
        <v>0</v>
      </c>
      <c r="BL134" s="92">
        <f t="shared" si="56"/>
        <v>0</v>
      </c>
      <c r="BM134" s="92">
        <f t="shared" si="56"/>
        <v>0</v>
      </c>
      <c r="BN134" s="92">
        <f t="shared" si="56"/>
        <v>0</v>
      </c>
      <c r="BO134" s="92">
        <f t="shared" si="56"/>
        <v>0</v>
      </c>
      <c r="BP134" s="92">
        <f t="shared" si="56"/>
        <v>0</v>
      </c>
      <c r="BQ134" s="92">
        <f t="shared" si="56"/>
        <v>0</v>
      </c>
      <c r="BR134" s="93">
        <f t="shared" si="56"/>
        <v>0</v>
      </c>
    </row>
    <row r="135" spans="27:70" ht="14.5" x14ac:dyDescent="0.35">
      <c r="AA135" s="199"/>
      <c r="AB135" s="199"/>
      <c r="AC135" s="199"/>
      <c r="AD135" s="199"/>
      <c r="AE135" s="199"/>
      <c r="AF135" s="199"/>
      <c r="AG135" s="199"/>
      <c r="AH135" s="199"/>
      <c r="AI135" s="199"/>
      <c r="BH135" s="343"/>
      <c r="BI135" s="344" t="s">
        <v>2758</v>
      </c>
      <c r="BJ135" s="92" t="s">
        <v>2748</v>
      </c>
      <c r="BK135" s="92">
        <f t="shared" si="56"/>
        <v>0</v>
      </c>
      <c r="BL135" s="92">
        <f t="shared" si="56"/>
        <v>0</v>
      </c>
      <c r="BM135" s="92">
        <f t="shared" si="56"/>
        <v>0</v>
      </c>
      <c r="BN135" s="92">
        <f t="shared" si="56"/>
        <v>0</v>
      </c>
      <c r="BO135" s="92">
        <f t="shared" si="56"/>
        <v>0</v>
      </c>
      <c r="BP135" s="92">
        <f t="shared" si="56"/>
        <v>0</v>
      </c>
      <c r="BQ135" s="92">
        <f t="shared" si="56"/>
        <v>0</v>
      </c>
      <c r="BR135" s="93">
        <f t="shared" si="56"/>
        <v>0</v>
      </c>
    </row>
    <row r="136" spans="27:70" ht="14.5" x14ac:dyDescent="0.35">
      <c r="AA136" s="199"/>
      <c r="AB136" s="199"/>
      <c r="AC136" s="199"/>
      <c r="AD136" s="199"/>
      <c r="AE136" s="199"/>
      <c r="AF136" s="199"/>
      <c r="AG136" s="199"/>
      <c r="AH136" s="199"/>
      <c r="AI136" s="199"/>
      <c r="BH136" s="343"/>
      <c r="BI136" s="344" t="s">
        <v>2759</v>
      </c>
      <c r="BJ136" s="92" t="s">
        <v>2749</v>
      </c>
      <c r="BK136" s="92">
        <f t="shared" si="56"/>
        <v>0</v>
      </c>
      <c r="BL136" s="92">
        <f t="shared" si="56"/>
        <v>0</v>
      </c>
      <c r="BM136" s="92">
        <f t="shared" si="56"/>
        <v>0</v>
      </c>
      <c r="BN136" s="92">
        <f t="shared" si="56"/>
        <v>0</v>
      </c>
      <c r="BO136" s="92">
        <f t="shared" si="56"/>
        <v>0</v>
      </c>
      <c r="BP136" s="92">
        <f t="shared" si="56"/>
        <v>0</v>
      </c>
      <c r="BQ136" s="92">
        <f t="shared" si="56"/>
        <v>0</v>
      </c>
      <c r="BR136" s="93">
        <f t="shared" si="56"/>
        <v>0</v>
      </c>
    </row>
    <row r="137" spans="27:70" ht="14.5" x14ac:dyDescent="0.35">
      <c r="AA137" s="199"/>
      <c r="AB137" s="199"/>
      <c r="AC137" s="199"/>
      <c r="AD137" s="199"/>
      <c r="AE137" s="199"/>
      <c r="AF137" s="199"/>
      <c r="AG137" s="199"/>
      <c r="AH137" s="199"/>
      <c r="AI137" s="199"/>
      <c r="BH137" s="343"/>
      <c r="BI137" s="204" t="s">
        <v>2760</v>
      </c>
      <c r="BJ137" s="92" t="s">
        <v>2730</v>
      </c>
      <c r="BK137" s="92">
        <f t="shared" si="56"/>
        <v>0</v>
      </c>
      <c r="BL137" s="92">
        <f t="shared" si="56"/>
        <v>0</v>
      </c>
      <c r="BM137" s="92">
        <f t="shared" si="56"/>
        <v>0</v>
      </c>
      <c r="BN137" s="92">
        <f t="shared" si="56"/>
        <v>0</v>
      </c>
      <c r="BO137" s="92">
        <f t="shared" si="56"/>
        <v>0</v>
      </c>
      <c r="BP137" s="92">
        <f t="shared" si="56"/>
        <v>0</v>
      </c>
      <c r="BQ137" s="92">
        <f t="shared" si="56"/>
        <v>0</v>
      </c>
      <c r="BR137" s="93">
        <f t="shared" si="56"/>
        <v>0</v>
      </c>
    </row>
    <row r="138" spans="27:70" ht="14.5" x14ac:dyDescent="0.35">
      <c r="AA138" s="199"/>
      <c r="AB138" s="199"/>
      <c r="AC138" s="199"/>
      <c r="AD138" s="199"/>
      <c r="AE138" s="199"/>
      <c r="AF138" s="199"/>
      <c r="AG138" s="199"/>
      <c r="AH138" s="199"/>
      <c r="AI138" s="199"/>
      <c r="BH138" s="343"/>
      <c r="BI138" s="344" t="s">
        <v>2761</v>
      </c>
      <c r="BJ138" s="92" t="s">
        <v>1502</v>
      </c>
      <c r="BK138" s="92">
        <f t="shared" si="56"/>
        <v>0</v>
      </c>
      <c r="BL138" s="92">
        <f t="shared" si="56"/>
        <v>0</v>
      </c>
      <c r="BM138" s="92">
        <f t="shared" si="56"/>
        <v>0</v>
      </c>
      <c r="BN138" s="92">
        <f t="shared" si="56"/>
        <v>0</v>
      </c>
      <c r="BO138" s="92">
        <f t="shared" si="56"/>
        <v>0</v>
      </c>
      <c r="BP138" s="92">
        <f t="shared" si="56"/>
        <v>0</v>
      </c>
      <c r="BQ138" s="92">
        <f t="shared" si="56"/>
        <v>0</v>
      </c>
      <c r="BR138" s="93">
        <f t="shared" si="56"/>
        <v>0</v>
      </c>
    </row>
    <row r="139" spans="27:70" ht="14.5" x14ac:dyDescent="0.35">
      <c r="AA139" s="199"/>
      <c r="AB139" s="199"/>
      <c r="AC139" s="199"/>
      <c r="AD139" s="199"/>
      <c r="AE139" s="199"/>
      <c r="AF139" s="199"/>
      <c r="AG139" s="199"/>
      <c r="AH139" s="199"/>
      <c r="AI139" s="199"/>
      <c r="BH139" s="343"/>
      <c r="BI139" s="344"/>
      <c r="BJ139" s="407" t="s">
        <v>2739</v>
      </c>
      <c r="BK139" s="454" t="e">
        <f>BK141/BK149</f>
        <v>#DIV/0!</v>
      </c>
      <c r="BL139" s="454" t="e">
        <f t="shared" ref="BL139:BR139" si="57">BL141/BL149</f>
        <v>#DIV/0!</v>
      </c>
      <c r="BM139" s="454" t="e">
        <f t="shared" si="57"/>
        <v>#DIV/0!</v>
      </c>
      <c r="BN139" s="454" t="e">
        <f t="shared" si="57"/>
        <v>#DIV/0!</v>
      </c>
      <c r="BO139" s="454" t="e">
        <f t="shared" si="57"/>
        <v>#DIV/0!</v>
      </c>
      <c r="BP139" s="454" t="e">
        <f t="shared" si="57"/>
        <v>#DIV/0!</v>
      </c>
      <c r="BQ139" s="454" t="e">
        <f t="shared" si="57"/>
        <v>#DIV/0!</v>
      </c>
      <c r="BR139" s="455" t="e">
        <f t="shared" si="57"/>
        <v>#DIV/0!</v>
      </c>
    </row>
    <row r="140" spans="27:70" ht="14.5" x14ac:dyDescent="0.35">
      <c r="AA140" s="199"/>
      <c r="AB140" s="199"/>
      <c r="AC140" s="199"/>
      <c r="AD140" s="199"/>
      <c r="AE140" s="199"/>
      <c r="AF140" s="199"/>
      <c r="AG140" s="199"/>
      <c r="AH140" s="199"/>
      <c r="AI140" s="199"/>
      <c r="BH140" s="343"/>
      <c r="BI140" s="344"/>
      <c r="BJ140" s="92"/>
      <c r="BK140" s="92"/>
      <c r="BL140" s="92"/>
      <c r="BM140" s="92"/>
      <c r="BN140" s="92"/>
      <c r="BO140" s="92"/>
      <c r="BP140" s="92"/>
      <c r="BQ140" s="92"/>
      <c r="BR140" s="93"/>
    </row>
    <row r="141" spans="27:70" ht="14.5" x14ac:dyDescent="0.35">
      <c r="BH141" s="343"/>
      <c r="BI141" s="344" t="s">
        <v>2738</v>
      </c>
      <c r="BJ141" s="92"/>
      <c r="BK141" s="151">
        <f>IFERROR(VLOOKUP($BI141,flows!$A$2:$J$4985,BK$2,FALSE),0)</f>
        <v>0</v>
      </c>
      <c r="BL141" s="151">
        <f>IFERROR(VLOOKUP($BI141,flows!$A$2:$J$4985,BL$2,FALSE),0)</f>
        <v>0</v>
      </c>
      <c r="BM141" s="151">
        <f>IFERROR(VLOOKUP($BI141,flows!$A$2:$J$4985,BM$2,FALSE),0)</f>
        <v>0</v>
      </c>
      <c r="BN141" s="151">
        <f>IFERROR(VLOOKUP($BI141,flows!$A$2:$J$4985,BN$2,FALSE),0)</f>
        <v>0</v>
      </c>
      <c r="BO141" s="151">
        <f>IFERROR(VLOOKUP($BI141,flows!$A$2:$J$4985,BO$2,FALSE),0)</f>
        <v>0</v>
      </c>
      <c r="BP141" s="151">
        <f>IFERROR(VLOOKUP($BI141,flows!$A$2:$J$4985,BP$2,FALSE),0)</f>
        <v>0</v>
      </c>
      <c r="BQ141" s="151">
        <f>IFERROR(VLOOKUP($BI141,flows!$A$2:$J$4985,BQ$2,FALSE),0)</f>
        <v>0</v>
      </c>
      <c r="BR141" s="404">
        <f>IFERROR(VLOOKUP($BI141,flows!$A$2:$J$4985,BR$2,FALSE),0)</f>
        <v>0</v>
      </c>
    </row>
    <row r="142" spans="27:70" ht="14.5" x14ac:dyDescent="0.35">
      <c r="BH142" s="343"/>
      <c r="BI142" s="344" t="s">
        <v>2740</v>
      </c>
      <c r="BJ142" s="92"/>
      <c r="BK142" s="151">
        <f>IFERROR(VLOOKUP($BI142,flows!$A$2:$J$4985,BK$2,FALSE),0)</f>
        <v>0</v>
      </c>
      <c r="BL142" s="151">
        <f>IFERROR(VLOOKUP($BI142,flows!$A$2:$J$4985,BL$2,FALSE),0)</f>
        <v>0</v>
      </c>
      <c r="BM142" s="151">
        <f>IFERROR(VLOOKUP($BI142,flows!$A$2:$J$4985,BM$2,FALSE),0)</f>
        <v>0</v>
      </c>
      <c r="BN142" s="151">
        <f>IFERROR(VLOOKUP($BI142,flows!$A$2:$J$4985,BN$2,FALSE),0)</f>
        <v>0</v>
      </c>
      <c r="BO142" s="151">
        <f>IFERROR(VLOOKUP($BI142,flows!$A$2:$J$4985,BO$2,FALSE),0)</f>
        <v>0</v>
      </c>
      <c r="BP142" s="151">
        <f>IFERROR(VLOOKUP($BI142,flows!$A$2:$J$4985,BP$2,FALSE),0)</f>
        <v>0</v>
      </c>
      <c r="BQ142" s="151">
        <f>IFERROR(VLOOKUP($BI142,flows!$A$2:$J$4985,BQ$2,FALSE),0)</f>
        <v>0</v>
      </c>
      <c r="BR142" s="404">
        <f>IFERROR(VLOOKUP($BI142,flows!$A$2:$J$4985,BR$2,FALSE),0)</f>
        <v>0</v>
      </c>
    </row>
    <row r="143" spans="27:70" ht="14.5" x14ac:dyDescent="0.35">
      <c r="BH143" s="343"/>
      <c r="BI143" s="344" t="s">
        <v>2741</v>
      </c>
      <c r="BJ143" s="92"/>
      <c r="BK143" s="151">
        <f>IFERROR(VLOOKUP($BI143,flows!$A$2:$J$4985,BK$2,FALSE),0)</f>
        <v>0</v>
      </c>
      <c r="BL143" s="151">
        <f>IFERROR(VLOOKUP($BI143,flows!$A$2:$J$4985,BL$2,FALSE),0)</f>
        <v>0</v>
      </c>
      <c r="BM143" s="151">
        <f>IFERROR(VLOOKUP($BI143,flows!$A$2:$J$4985,BM$2,FALSE),0)</f>
        <v>0</v>
      </c>
      <c r="BN143" s="151">
        <f>IFERROR(VLOOKUP($BI143,flows!$A$2:$J$4985,BN$2,FALSE),0)</f>
        <v>0</v>
      </c>
      <c r="BO143" s="151">
        <f>IFERROR(VLOOKUP($BI143,flows!$A$2:$J$4985,BO$2,FALSE),0)</f>
        <v>0</v>
      </c>
      <c r="BP143" s="151">
        <f>IFERROR(VLOOKUP($BI143,flows!$A$2:$J$4985,BP$2,FALSE),0)</f>
        <v>0</v>
      </c>
      <c r="BQ143" s="151">
        <f>IFERROR(VLOOKUP($BI143,flows!$A$2:$J$4985,BQ$2,FALSE),0)</f>
        <v>0</v>
      </c>
      <c r="BR143" s="404">
        <f>IFERROR(VLOOKUP($BI143,flows!$A$2:$J$4985,BR$2,FALSE),0)</f>
        <v>0</v>
      </c>
    </row>
    <row r="144" spans="27:70" ht="14.5" x14ac:dyDescent="0.35">
      <c r="BH144" s="343"/>
      <c r="BI144" s="344" t="s">
        <v>2742</v>
      </c>
      <c r="BJ144" s="92"/>
      <c r="BK144" s="151">
        <f>IFERROR(VLOOKUP($BI144,flows!$A$2:$J$4985,BK$2,FALSE),0)</f>
        <v>0</v>
      </c>
      <c r="BL144" s="151">
        <f>IFERROR(VLOOKUP($BI144,flows!$A$2:$J$4985,BL$2,FALSE),0)</f>
        <v>0</v>
      </c>
      <c r="BM144" s="151">
        <f>IFERROR(VLOOKUP($BI144,flows!$A$2:$J$4985,BM$2,FALSE),0)</f>
        <v>0</v>
      </c>
      <c r="BN144" s="151">
        <f>IFERROR(VLOOKUP($BI144,flows!$A$2:$J$4985,BN$2,FALSE),0)</f>
        <v>0</v>
      </c>
      <c r="BO144" s="151">
        <f>IFERROR(VLOOKUP($BI144,flows!$A$2:$J$4985,BO$2,FALSE),0)</f>
        <v>0</v>
      </c>
      <c r="BP144" s="151">
        <f>IFERROR(VLOOKUP($BI144,flows!$A$2:$J$4985,BP$2,FALSE),0)</f>
        <v>0</v>
      </c>
      <c r="BQ144" s="151">
        <f>IFERROR(VLOOKUP($BI144,flows!$A$2:$J$4985,BQ$2,FALSE),0)</f>
        <v>0</v>
      </c>
      <c r="BR144" s="404">
        <f>IFERROR(VLOOKUP($BI144,flows!$A$2:$J$4985,BR$2,FALSE),0)</f>
        <v>0</v>
      </c>
    </row>
    <row r="145" spans="60:70" ht="14.5" x14ac:dyDescent="0.35">
      <c r="BH145" s="343"/>
      <c r="BI145" s="344" t="s">
        <v>2743</v>
      </c>
      <c r="BJ145" s="92"/>
      <c r="BK145" s="151">
        <f>IFERROR(VLOOKUP($BI145,flows!$A$2:$J$4985,BK$2,FALSE),0)</f>
        <v>0</v>
      </c>
      <c r="BL145" s="151">
        <f>IFERROR(VLOOKUP($BI145,flows!$A$2:$J$4985,BL$2,FALSE),0)</f>
        <v>0</v>
      </c>
      <c r="BM145" s="151">
        <f>IFERROR(VLOOKUP($BI145,flows!$A$2:$J$4985,BM$2,FALSE),0)</f>
        <v>0</v>
      </c>
      <c r="BN145" s="151">
        <f>IFERROR(VLOOKUP($BI145,flows!$A$2:$J$4985,BN$2,FALSE),0)</f>
        <v>0</v>
      </c>
      <c r="BO145" s="151">
        <f>IFERROR(VLOOKUP($BI145,flows!$A$2:$J$4985,BO$2,FALSE),0)</f>
        <v>0</v>
      </c>
      <c r="BP145" s="151">
        <f>IFERROR(VLOOKUP($BI145,flows!$A$2:$J$4985,BP$2,FALSE),0)</f>
        <v>0</v>
      </c>
      <c r="BQ145" s="151">
        <f>IFERROR(VLOOKUP($BI145,flows!$A$2:$J$4985,BQ$2,FALSE),0)</f>
        <v>0</v>
      </c>
      <c r="BR145" s="404">
        <f>IFERROR(VLOOKUP($BI145,flows!$A$2:$J$4985,BR$2,FALSE),0)</f>
        <v>0</v>
      </c>
    </row>
    <row r="146" spans="60:70" ht="14.5" x14ac:dyDescent="0.35">
      <c r="BH146" s="343"/>
      <c r="BI146" s="344" t="s">
        <v>2744</v>
      </c>
      <c r="BJ146" s="92"/>
      <c r="BK146" s="151">
        <f>IFERROR(VLOOKUP($BI146,flows!$A$2:$J$4985,BK$2,FALSE),0)</f>
        <v>0</v>
      </c>
      <c r="BL146" s="151">
        <f>IFERROR(VLOOKUP($BI146,flows!$A$2:$J$4985,BL$2,FALSE),0)</f>
        <v>0</v>
      </c>
      <c r="BM146" s="151">
        <f>IFERROR(VLOOKUP($BI146,flows!$A$2:$J$4985,BM$2,FALSE),0)</f>
        <v>0</v>
      </c>
      <c r="BN146" s="151">
        <f>IFERROR(VLOOKUP($BI146,flows!$A$2:$J$4985,BN$2,FALSE),0)</f>
        <v>0</v>
      </c>
      <c r="BO146" s="151">
        <f>IFERROR(VLOOKUP($BI146,flows!$A$2:$J$4985,BO$2,FALSE),0)</f>
        <v>0</v>
      </c>
      <c r="BP146" s="151">
        <f>IFERROR(VLOOKUP($BI146,flows!$A$2:$J$4985,BP$2,FALSE),0)</f>
        <v>0</v>
      </c>
      <c r="BQ146" s="151">
        <f>IFERROR(VLOOKUP($BI146,flows!$A$2:$J$4985,BQ$2,FALSE),0)</f>
        <v>0</v>
      </c>
      <c r="BR146" s="404">
        <f>IFERROR(VLOOKUP($BI146,flows!$A$2:$J$4985,BR$2,FALSE),0)</f>
        <v>0</v>
      </c>
    </row>
    <row r="147" spans="60:70" ht="14.5" x14ac:dyDescent="0.35">
      <c r="BH147" s="343"/>
      <c r="BI147" s="344" t="s">
        <v>2745</v>
      </c>
      <c r="BJ147" s="92"/>
      <c r="BK147" s="151">
        <f>IFERROR(VLOOKUP($BI147,flows!$A$2:$J$4985,BK$2,FALSE),0)</f>
        <v>0</v>
      </c>
      <c r="BL147" s="151">
        <f>IFERROR(VLOOKUP($BI147,flows!$A$2:$J$4985,BL$2,FALSE),0)</f>
        <v>0</v>
      </c>
      <c r="BM147" s="151">
        <f>IFERROR(VLOOKUP($BI147,flows!$A$2:$J$4985,BM$2,FALSE),0)</f>
        <v>0</v>
      </c>
      <c r="BN147" s="151">
        <f>IFERROR(VLOOKUP($BI147,flows!$A$2:$J$4985,BN$2,FALSE),0)</f>
        <v>0</v>
      </c>
      <c r="BO147" s="151">
        <f>IFERROR(VLOOKUP($BI147,flows!$A$2:$J$4985,BO$2,FALSE),0)</f>
        <v>0</v>
      </c>
      <c r="BP147" s="151">
        <f>IFERROR(VLOOKUP($BI147,flows!$A$2:$J$4985,BP$2,FALSE),0)</f>
        <v>0</v>
      </c>
      <c r="BQ147" s="151">
        <f>IFERROR(VLOOKUP($BI147,flows!$A$2:$J$4985,BQ$2,FALSE),0)</f>
        <v>0</v>
      </c>
      <c r="BR147" s="404">
        <f>IFERROR(VLOOKUP($BI147,flows!$A$2:$J$4985,BR$2,FALSE),0)</f>
        <v>0</v>
      </c>
    </row>
    <row r="148" spans="60:70" ht="14.5" x14ac:dyDescent="0.35">
      <c r="BH148" s="343"/>
      <c r="BI148" s="344" t="s">
        <v>2746</v>
      </c>
      <c r="BJ148" s="92"/>
      <c r="BK148" s="151">
        <f>IFERROR(VLOOKUP($BI148,flows!$A$2:$J$4985,BK$2,FALSE),0)</f>
        <v>0</v>
      </c>
      <c r="BL148" s="151">
        <f>IFERROR(VLOOKUP($BI148,flows!$A$2:$J$4985,BL$2,FALSE),0)</f>
        <v>0</v>
      </c>
      <c r="BM148" s="151">
        <f>IFERROR(VLOOKUP($BI148,flows!$A$2:$J$4985,BM$2,FALSE),0)</f>
        <v>0</v>
      </c>
      <c r="BN148" s="151">
        <f>IFERROR(VLOOKUP($BI148,flows!$A$2:$J$4985,BN$2,FALSE),0)</f>
        <v>0</v>
      </c>
      <c r="BO148" s="151">
        <f>IFERROR(VLOOKUP($BI148,flows!$A$2:$J$4985,BO$2,FALSE),0)</f>
        <v>0</v>
      </c>
      <c r="BP148" s="151">
        <f>IFERROR(VLOOKUP($BI148,flows!$A$2:$J$4985,BP$2,FALSE),0)</f>
        <v>0</v>
      </c>
      <c r="BQ148" s="151">
        <f>IFERROR(VLOOKUP($BI148,flows!$A$2:$J$4985,BQ$2,FALSE),0)</f>
        <v>0</v>
      </c>
      <c r="BR148" s="404">
        <f>IFERROR(VLOOKUP($BI148,flows!$A$2:$J$4985,BR$2,FALSE),0)</f>
        <v>0</v>
      </c>
    </row>
    <row r="149" spans="60:70" ht="14.5" x14ac:dyDescent="0.35">
      <c r="BH149" s="343"/>
      <c r="BI149" s="92"/>
      <c r="BJ149" s="92" t="s">
        <v>2747</v>
      </c>
      <c r="BK149" s="151">
        <f>SUM(BK141:BK148)</f>
        <v>0</v>
      </c>
      <c r="BL149" s="151">
        <f t="shared" ref="BL149:BR149" si="58">SUM(BL141:BL148)</f>
        <v>0</v>
      </c>
      <c r="BM149" s="151">
        <f t="shared" si="58"/>
        <v>0</v>
      </c>
      <c r="BN149" s="151">
        <f t="shared" si="58"/>
        <v>0</v>
      </c>
      <c r="BO149" s="151">
        <f t="shared" si="58"/>
        <v>0</v>
      </c>
      <c r="BP149" s="151">
        <f t="shared" si="58"/>
        <v>0</v>
      </c>
      <c r="BQ149" s="151">
        <f t="shared" si="58"/>
        <v>0</v>
      </c>
      <c r="BR149" s="404">
        <f t="shared" si="58"/>
        <v>0</v>
      </c>
    </row>
    <row r="150" spans="60:70" x14ac:dyDescent="0.35">
      <c r="BH150" s="343"/>
      <c r="BI150" s="344"/>
      <c r="BJ150" s="344"/>
      <c r="BK150" s="344"/>
      <c r="BL150" s="344"/>
      <c r="BM150" s="344"/>
      <c r="BN150" s="344"/>
      <c r="BO150" s="344"/>
      <c r="BP150" s="344"/>
      <c r="BQ150" s="344"/>
      <c r="BR150" s="396"/>
    </row>
    <row r="151" spans="60:70" ht="14.5" x14ac:dyDescent="0.35">
      <c r="BH151" s="410"/>
      <c r="BI151" s="411" t="s">
        <v>2752</v>
      </c>
      <c r="BJ151" s="412" t="s">
        <v>2748</v>
      </c>
      <c r="BK151" s="413">
        <f>IFERROR(VLOOKUP($BI151,flows!$A$2:$J$4985,BK$2,FALSE),0)</f>
        <v>0</v>
      </c>
      <c r="BL151" s="413">
        <f>IFERROR(VLOOKUP($BI151,flows!$A$2:$J$4985,BL$2,FALSE),0)</f>
        <v>0</v>
      </c>
      <c r="BM151" s="413">
        <f>IFERROR(VLOOKUP($BI151,flows!$A$2:$J$4985,BM$2,FALSE),0)</f>
        <v>0</v>
      </c>
      <c r="BN151" s="413">
        <f>IFERROR(VLOOKUP($BI151,flows!$A$2:$J$4985,BN$2,FALSE),0)</f>
        <v>0</v>
      </c>
      <c r="BO151" s="413">
        <f>IFERROR(VLOOKUP($BI151,flows!$A$2:$J$4985,BO$2,FALSE),0)</f>
        <v>0</v>
      </c>
      <c r="BP151" s="413">
        <f>IFERROR(VLOOKUP($BI151,flows!$A$2:$J$4985,BP$2,FALSE),0)</f>
        <v>0</v>
      </c>
      <c r="BQ151" s="413">
        <f>IFERROR(VLOOKUP($BI151,flows!$A$2:$J$4985,BQ$2,FALSE),0)</f>
        <v>0</v>
      </c>
      <c r="BR151" s="414">
        <f>IFERROR(VLOOKUP($BI151,flows!$A$2:$J$4985,BR$2,FALSE),0)</f>
        <v>0</v>
      </c>
    </row>
    <row r="152" spans="60:70" ht="14.5" x14ac:dyDescent="0.35">
      <c r="BH152" s="415"/>
      <c r="BI152" s="416" t="s">
        <v>2753</v>
      </c>
      <c r="BJ152" s="140" t="s">
        <v>2749</v>
      </c>
      <c r="BK152" s="417">
        <f>IFERROR(VLOOKUP($BI152,flows!$A$2:$J$4985,BK$2,FALSE),0)</f>
        <v>0</v>
      </c>
      <c r="BL152" s="417">
        <f>IFERROR(VLOOKUP($BI152,flows!$A$2:$J$4985,BL$2,FALSE),0)</f>
        <v>0</v>
      </c>
      <c r="BM152" s="417">
        <f>IFERROR(VLOOKUP($BI152,flows!$A$2:$J$4985,BM$2,FALSE),0)</f>
        <v>0</v>
      </c>
      <c r="BN152" s="417">
        <f>IFERROR(VLOOKUP($BI152,flows!$A$2:$J$4985,BN$2,FALSE),0)</f>
        <v>0</v>
      </c>
      <c r="BO152" s="417">
        <f>IFERROR(VLOOKUP($BI152,flows!$A$2:$J$4985,BO$2,FALSE),0)</f>
        <v>0</v>
      </c>
      <c r="BP152" s="417">
        <f>IFERROR(VLOOKUP($BI152,flows!$A$2:$J$4985,BP$2,FALSE),0)</f>
        <v>0</v>
      </c>
      <c r="BQ152" s="417">
        <f>IFERROR(VLOOKUP($BI152,flows!$A$2:$J$4985,BQ$2,FALSE),0)</f>
        <v>0</v>
      </c>
      <c r="BR152" s="418">
        <f>IFERROR(VLOOKUP($BI152,flows!$A$2:$J$4985,BR$2,FALSE),0)</f>
        <v>0</v>
      </c>
    </row>
    <row r="153" spans="60:70" ht="14.5" x14ac:dyDescent="0.35">
      <c r="BH153" s="415"/>
      <c r="BI153" s="419" t="s">
        <v>2754</v>
      </c>
      <c r="BJ153" s="140" t="s">
        <v>2715</v>
      </c>
      <c r="BK153" s="417">
        <f>IFERROR(VLOOKUP($BI153,flows!$A$2:$J$4985,BK$2,FALSE),0)</f>
        <v>0</v>
      </c>
      <c r="BL153" s="417">
        <f>IFERROR(VLOOKUP($BI153,flows!$A$2:$J$4985,BL$2,FALSE),0)</f>
        <v>0</v>
      </c>
      <c r="BM153" s="417">
        <f>IFERROR(VLOOKUP($BI153,flows!$A$2:$J$4985,BM$2,FALSE),0)</f>
        <v>0</v>
      </c>
      <c r="BN153" s="417">
        <f>IFERROR(VLOOKUP($BI153,flows!$A$2:$J$4985,BN$2,FALSE),0)</f>
        <v>0</v>
      </c>
      <c r="BO153" s="417">
        <f>IFERROR(VLOOKUP($BI153,flows!$A$2:$J$4985,BO$2,FALSE),0)</f>
        <v>0</v>
      </c>
      <c r="BP153" s="417">
        <f>IFERROR(VLOOKUP($BI153,flows!$A$2:$J$4985,BP$2,FALSE),0)</f>
        <v>0</v>
      </c>
      <c r="BQ153" s="417">
        <f>IFERROR(VLOOKUP($BI153,flows!$A$2:$J$4985,BQ$2,FALSE),0)</f>
        <v>0</v>
      </c>
      <c r="BR153" s="418">
        <f>IFERROR(VLOOKUP($BI153,flows!$A$2:$J$4985,BR$2,FALSE),0)</f>
        <v>0</v>
      </c>
    </row>
    <row r="154" spans="60:70" ht="14.5" x14ac:dyDescent="0.35">
      <c r="BH154" s="415"/>
      <c r="BI154" s="419" t="s">
        <v>2755</v>
      </c>
      <c r="BJ154" s="140" t="s">
        <v>2750</v>
      </c>
      <c r="BK154" s="417">
        <f>IFERROR(VLOOKUP($BI154,flows!$A$2:$J$4985,BK$2,FALSE),0)</f>
        <v>0</v>
      </c>
      <c r="BL154" s="417">
        <f>IFERROR(VLOOKUP($BI154,flows!$A$2:$J$4985,BL$2,FALSE),0)</f>
        <v>0</v>
      </c>
      <c r="BM154" s="417">
        <f>IFERROR(VLOOKUP($BI154,flows!$A$2:$J$4985,BM$2,FALSE),0)</f>
        <v>0</v>
      </c>
      <c r="BN154" s="417">
        <f>IFERROR(VLOOKUP($BI154,flows!$A$2:$J$4985,BN$2,FALSE),0)</f>
        <v>0</v>
      </c>
      <c r="BO154" s="417">
        <f>IFERROR(VLOOKUP($BI154,flows!$A$2:$J$4985,BO$2,FALSE),0)</f>
        <v>0</v>
      </c>
      <c r="BP154" s="417">
        <f>IFERROR(VLOOKUP($BI154,flows!$A$2:$J$4985,BP$2,FALSE),0)</f>
        <v>0</v>
      </c>
      <c r="BQ154" s="417">
        <f>IFERROR(VLOOKUP($BI154,flows!$A$2:$J$4985,BQ$2,FALSE),0)</f>
        <v>0</v>
      </c>
      <c r="BR154" s="418">
        <f>IFERROR(VLOOKUP($BI154,flows!$A$2:$J$4985,BR$2,FALSE),0)</f>
        <v>0</v>
      </c>
    </row>
    <row r="155" spans="60:70" ht="14.5" x14ac:dyDescent="0.35">
      <c r="BH155" s="415"/>
      <c r="BI155" s="419" t="s">
        <v>2756</v>
      </c>
      <c r="BJ155" s="140" t="s">
        <v>1409</v>
      </c>
      <c r="BK155" s="417">
        <f>IFERROR(VLOOKUP($BI155,flows!$A$2:$J$4985,BK$2,FALSE),0)</f>
        <v>0</v>
      </c>
      <c r="BL155" s="417">
        <f>IFERROR(VLOOKUP($BI155,flows!$A$2:$J$4985,BL$2,FALSE),0)</f>
        <v>0</v>
      </c>
      <c r="BM155" s="417">
        <f>IFERROR(VLOOKUP($BI155,flows!$A$2:$J$4985,BM$2,FALSE),0)</f>
        <v>0</v>
      </c>
      <c r="BN155" s="417">
        <f>IFERROR(VLOOKUP($BI155,flows!$A$2:$J$4985,BN$2,FALSE),0)</f>
        <v>0</v>
      </c>
      <c r="BO155" s="417">
        <f>IFERROR(VLOOKUP($BI155,flows!$A$2:$J$4985,BO$2,FALSE),0)</f>
        <v>0</v>
      </c>
      <c r="BP155" s="417">
        <f>IFERROR(VLOOKUP($BI155,flows!$A$2:$J$4985,BP$2,FALSE),0)</f>
        <v>0</v>
      </c>
      <c r="BQ155" s="417">
        <f>IFERROR(VLOOKUP($BI155,flows!$A$2:$J$4985,BQ$2,FALSE),0)</f>
        <v>0</v>
      </c>
      <c r="BR155" s="418">
        <f>IFERROR(VLOOKUP($BI155,flows!$A$2:$J$4985,BR$2,FALSE),0)</f>
        <v>0</v>
      </c>
    </row>
    <row r="156" spans="60:70" ht="14.5" x14ac:dyDescent="0.35">
      <c r="BH156" s="415"/>
      <c r="BI156" s="420" t="s">
        <v>2757</v>
      </c>
      <c r="BJ156" s="140" t="s">
        <v>1409</v>
      </c>
      <c r="BK156" s="417">
        <f>IFERROR(VLOOKUP($BI156,flows!$A$2:$J$4985,BK$2,FALSE),0)</f>
        <v>0</v>
      </c>
      <c r="BL156" s="417">
        <f>IFERROR(VLOOKUP($BI156,flows!$A$2:$J$4985,BL$2,FALSE),0)</f>
        <v>0</v>
      </c>
      <c r="BM156" s="417">
        <f>IFERROR(VLOOKUP($BI156,flows!$A$2:$J$4985,BM$2,FALSE),0)</f>
        <v>0</v>
      </c>
      <c r="BN156" s="417">
        <f>IFERROR(VLOOKUP($BI156,flows!$A$2:$J$4985,BN$2,FALSE),0)</f>
        <v>0</v>
      </c>
      <c r="BO156" s="417">
        <f>IFERROR(VLOOKUP($BI156,flows!$A$2:$J$4985,BO$2,FALSE),0)</f>
        <v>0</v>
      </c>
      <c r="BP156" s="417">
        <f>IFERROR(VLOOKUP($BI156,flows!$A$2:$J$4985,BP$2,FALSE),0)</f>
        <v>0</v>
      </c>
      <c r="BQ156" s="417">
        <f>IFERROR(VLOOKUP($BI156,flows!$A$2:$J$4985,BQ$2,FALSE),0)</f>
        <v>0</v>
      </c>
      <c r="BR156" s="418">
        <f>IFERROR(VLOOKUP($BI156,flows!$A$2:$J$4985,BR$2,FALSE),0)</f>
        <v>0</v>
      </c>
    </row>
    <row r="157" spans="60:70" ht="14.5" x14ac:dyDescent="0.35">
      <c r="BH157" s="415"/>
      <c r="BI157" s="419" t="s">
        <v>2758</v>
      </c>
      <c r="BJ157" s="140" t="s">
        <v>2748</v>
      </c>
      <c r="BK157" s="417">
        <f>IFERROR(VLOOKUP($BI157,flows!$A$2:$J$4985,BK$2,FALSE),0)</f>
        <v>0</v>
      </c>
      <c r="BL157" s="417">
        <f>IFERROR(VLOOKUP($BI157,flows!$A$2:$J$4985,BL$2,FALSE),0)</f>
        <v>0</v>
      </c>
      <c r="BM157" s="417">
        <f>IFERROR(VLOOKUP($BI157,flows!$A$2:$J$4985,BM$2,FALSE),0)</f>
        <v>0</v>
      </c>
      <c r="BN157" s="417">
        <f>IFERROR(VLOOKUP($BI157,flows!$A$2:$J$4985,BN$2,FALSE),0)</f>
        <v>0</v>
      </c>
      <c r="BO157" s="417">
        <f>IFERROR(VLOOKUP($BI157,flows!$A$2:$J$4985,BO$2,FALSE),0)</f>
        <v>0</v>
      </c>
      <c r="BP157" s="417">
        <f>IFERROR(VLOOKUP($BI157,flows!$A$2:$J$4985,BP$2,FALSE),0)</f>
        <v>0</v>
      </c>
      <c r="BQ157" s="417">
        <f>IFERROR(VLOOKUP($BI157,flows!$A$2:$J$4985,BQ$2,FALSE),0)</f>
        <v>0</v>
      </c>
      <c r="BR157" s="418">
        <f>IFERROR(VLOOKUP($BI157,flows!$A$2:$J$4985,BR$2,FALSE),0)</f>
        <v>0</v>
      </c>
    </row>
    <row r="158" spans="60:70" ht="14.5" x14ac:dyDescent="0.35">
      <c r="BH158" s="415"/>
      <c r="BI158" s="419" t="s">
        <v>2759</v>
      </c>
      <c r="BJ158" s="140" t="s">
        <v>2749</v>
      </c>
      <c r="BK158" s="417">
        <f>IFERROR(VLOOKUP($BI158,flows!$A$2:$J$4985,BK$2,FALSE),0)</f>
        <v>0</v>
      </c>
      <c r="BL158" s="417">
        <f>IFERROR(VLOOKUP($BI158,flows!$A$2:$J$4985,BL$2,FALSE),0)</f>
        <v>0</v>
      </c>
      <c r="BM158" s="417">
        <f>IFERROR(VLOOKUP($BI158,flows!$A$2:$J$4985,BM$2,FALSE),0)</f>
        <v>0</v>
      </c>
      <c r="BN158" s="417">
        <f>IFERROR(VLOOKUP($BI158,flows!$A$2:$J$4985,BN$2,FALSE),0)</f>
        <v>0</v>
      </c>
      <c r="BO158" s="417">
        <f>IFERROR(VLOOKUP($BI158,flows!$A$2:$J$4985,BO$2,FALSE),0)</f>
        <v>0</v>
      </c>
      <c r="BP158" s="417">
        <f>IFERROR(VLOOKUP($BI158,flows!$A$2:$J$4985,BP$2,FALSE),0)</f>
        <v>0</v>
      </c>
      <c r="BQ158" s="417">
        <f>IFERROR(VLOOKUP($BI158,flows!$A$2:$J$4985,BQ$2,FALSE),0)</f>
        <v>0</v>
      </c>
      <c r="BR158" s="418">
        <f>IFERROR(VLOOKUP($BI158,flows!$A$2:$J$4985,BR$2,FALSE),0)</f>
        <v>0</v>
      </c>
    </row>
    <row r="159" spans="60:70" ht="14.5" x14ac:dyDescent="0.35">
      <c r="BH159" s="415"/>
      <c r="BI159" s="420" t="s">
        <v>2760</v>
      </c>
      <c r="BJ159" s="140" t="s">
        <v>2730</v>
      </c>
      <c r="BK159" s="417">
        <f>IFERROR(VLOOKUP($BI159,flows!$A$2:$J$4985,BK$2,FALSE),0)</f>
        <v>0</v>
      </c>
      <c r="BL159" s="417">
        <f>IFERROR(VLOOKUP($BI159,flows!$A$2:$J$4985,BL$2,FALSE),0)</f>
        <v>0</v>
      </c>
      <c r="BM159" s="417">
        <f>IFERROR(VLOOKUP($BI159,flows!$A$2:$J$4985,BM$2,FALSE),0)</f>
        <v>0</v>
      </c>
      <c r="BN159" s="417">
        <f>IFERROR(VLOOKUP($BI159,flows!$A$2:$J$4985,BN$2,FALSE),0)</f>
        <v>0</v>
      </c>
      <c r="BO159" s="417">
        <f>IFERROR(VLOOKUP($BI159,flows!$A$2:$J$4985,BO$2,FALSE),0)</f>
        <v>0</v>
      </c>
      <c r="BP159" s="417">
        <f>IFERROR(VLOOKUP($BI159,flows!$A$2:$J$4985,BP$2,FALSE),0)</f>
        <v>0</v>
      </c>
      <c r="BQ159" s="417">
        <f>IFERROR(VLOOKUP($BI159,flows!$A$2:$J$4985,BQ$2,FALSE),0)</f>
        <v>0</v>
      </c>
      <c r="BR159" s="418">
        <f>IFERROR(VLOOKUP($BI159,flows!$A$2:$J$4985,BR$2,FALSE),0)</f>
        <v>0</v>
      </c>
    </row>
    <row r="160" spans="60:70" ht="14.5" x14ac:dyDescent="0.35">
      <c r="BH160" s="415"/>
      <c r="BI160" s="419" t="s">
        <v>2761</v>
      </c>
      <c r="BJ160" s="140" t="s">
        <v>1502</v>
      </c>
      <c r="BK160" s="417">
        <f>IFERROR(VLOOKUP($BI160,flows!$A$2:$J$4985,BK$2,FALSE),0)</f>
        <v>0</v>
      </c>
      <c r="BL160" s="417">
        <f>IFERROR(VLOOKUP($BI160,flows!$A$2:$J$4985,BL$2,FALSE),0)</f>
        <v>0</v>
      </c>
      <c r="BM160" s="417">
        <f>IFERROR(VLOOKUP($BI160,flows!$A$2:$J$4985,BM$2,FALSE),0)</f>
        <v>0</v>
      </c>
      <c r="BN160" s="417">
        <f>IFERROR(VLOOKUP($BI160,flows!$A$2:$J$4985,BN$2,FALSE),0)</f>
        <v>0</v>
      </c>
      <c r="BO160" s="417">
        <f>IFERROR(VLOOKUP($BI160,flows!$A$2:$J$4985,BO$2,FALSE),0)</f>
        <v>0</v>
      </c>
      <c r="BP160" s="417">
        <f>IFERROR(VLOOKUP($BI160,flows!$A$2:$J$4985,BP$2,FALSE),0)</f>
        <v>0</v>
      </c>
      <c r="BQ160" s="417">
        <f>IFERROR(VLOOKUP($BI160,flows!$A$2:$J$4985,BQ$2,FALSE),0)</f>
        <v>0</v>
      </c>
      <c r="BR160" s="418">
        <f>IFERROR(VLOOKUP($BI160,flows!$A$2:$J$4985,BR$2,FALSE),0)</f>
        <v>0</v>
      </c>
    </row>
    <row r="161" spans="60:70" ht="14.5" x14ac:dyDescent="0.35">
      <c r="BH161" s="421" t="s">
        <v>2762</v>
      </c>
      <c r="BI161" s="422" t="s">
        <v>2777</v>
      </c>
      <c r="BJ161" s="423"/>
      <c r="BK161" s="424">
        <f>IFERROR(VLOOKUP($BI161,flows!$A$2:$J$4985,BK$2,FALSE),0)</f>
        <v>0</v>
      </c>
      <c r="BL161" s="424">
        <f>IFERROR(VLOOKUP($BI161,flows!$A$2:$J$4985,BL$2,FALSE),0)</f>
        <v>0</v>
      </c>
      <c r="BM161" s="424">
        <f>IFERROR(VLOOKUP($BI161,flows!$A$2:$J$4985,BM$2,FALSE),0)</f>
        <v>0</v>
      </c>
      <c r="BN161" s="424">
        <f>IFERROR(VLOOKUP($BI161,flows!$A$2:$J$4985,BN$2,FALSE),0)</f>
        <v>0</v>
      </c>
      <c r="BO161" s="424">
        <f>IFERROR(VLOOKUP($BI161,flows!$A$2:$J$4985,BO$2,FALSE),0)</f>
        <v>0</v>
      </c>
      <c r="BP161" s="424">
        <f>IFERROR(VLOOKUP($BI161,flows!$A$2:$J$4985,BP$2,FALSE),0)</f>
        <v>0</v>
      </c>
      <c r="BQ161" s="424">
        <f>IFERROR(VLOOKUP($BI161,flows!$A$2:$J$4985,BQ$2,FALSE),0)</f>
        <v>0</v>
      </c>
      <c r="BR161" s="425">
        <f>IFERROR(VLOOKUP($BI161,flows!$A$2:$J$4985,BR$2,FALSE),0)</f>
        <v>0</v>
      </c>
    </row>
    <row r="162" spans="60:70" ht="14.5" x14ac:dyDescent="0.35">
      <c r="BH162" s="421" t="s">
        <v>2763</v>
      </c>
      <c r="BI162" s="422" t="s">
        <v>2778</v>
      </c>
      <c r="BJ162" s="423"/>
      <c r="BK162" s="424">
        <f>IFERROR(VLOOKUP($BI162,flows!$A$2:$J$4985,BK$2,FALSE),0)</f>
        <v>0</v>
      </c>
      <c r="BL162" s="424">
        <f>IFERROR(VLOOKUP($BI162,flows!$A$2:$J$4985,BL$2,FALSE),0)</f>
        <v>0</v>
      </c>
      <c r="BM162" s="424">
        <f>IFERROR(VLOOKUP($BI162,flows!$A$2:$J$4985,BM$2,FALSE),0)</f>
        <v>0</v>
      </c>
      <c r="BN162" s="424">
        <f>IFERROR(VLOOKUP($BI162,flows!$A$2:$J$4985,BN$2,FALSE),0)</f>
        <v>0</v>
      </c>
      <c r="BO162" s="424">
        <f>IFERROR(VLOOKUP($BI162,flows!$A$2:$J$4985,BO$2,FALSE),0)</f>
        <v>0</v>
      </c>
      <c r="BP162" s="424">
        <f>IFERROR(VLOOKUP($BI162,flows!$A$2:$J$4985,BP$2,FALSE),0)</f>
        <v>0</v>
      </c>
      <c r="BQ162" s="424">
        <f>IFERROR(VLOOKUP($BI162,flows!$A$2:$J$4985,BQ$2,FALSE),0)</f>
        <v>0</v>
      </c>
      <c r="BR162" s="425">
        <f>IFERROR(VLOOKUP($BI162,flows!$A$2:$J$4985,BR$2,FALSE),0)</f>
        <v>0</v>
      </c>
    </row>
    <row r="163" spans="60:70" ht="14.5" x14ac:dyDescent="0.35">
      <c r="BH163" s="421" t="s">
        <v>2764</v>
      </c>
      <c r="BI163" s="422" t="s">
        <v>2779</v>
      </c>
      <c r="BJ163" s="423"/>
      <c r="BK163" s="424">
        <f>IFERROR(VLOOKUP($BI163,flows!$A$2:$J$4985,BK$2,FALSE),0)</f>
        <v>0</v>
      </c>
      <c r="BL163" s="424">
        <f>IFERROR(VLOOKUP($BI163,flows!$A$2:$J$4985,BL$2,FALSE),0)</f>
        <v>0</v>
      </c>
      <c r="BM163" s="424">
        <f>IFERROR(VLOOKUP($BI163,flows!$A$2:$J$4985,BM$2,FALSE),0)</f>
        <v>0</v>
      </c>
      <c r="BN163" s="424">
        <f>IFERROR(VLOOKUP($BI163,flows!$A$2:$J$4985,BN$2,FALSE),0)</f>
        <v>0</v>
      </c>
      <c r="BO163" s="424">
        <f>IFERROR(VLOOKUP($BI163,flows!$A$2:$J$4985,BO$2,FALSE),0)</f>
        <v>0</v>
      </c>
      <c r="BP163" s="424">
        <f>IFERROR(VLOOKUP($BI163,flows!$A$2:$J$4985,BP$2,FALSE),0)</f>
        <v>0</v>
      </c>
      <c r="BQ163" s="424">
        <f>IFERROR(VLOOKUP($BI163,flows!$A$2:$J$4985,BQ$2,FALSE),0)</f>
        <v>0</v>
      </c>
      <c r="BR163" s="425">
        <f>IFERROR(VLOOKUP($BI163,flows!$A$2:$J$4985,BR$2,FALSE),0)</f>
        <v>0</v>
      </c>
    </row>
    <row r="164" spans="60:70" ht="14.5" x14ac:dyDescent="0.35">
      <c r="BH164" s="421" t="s">
        <v>2765</v>
      </c>
      <c r="BI164" s="422" t="s">
        <v>2780</v>
      </c>
      <c r="BJ164" s="423"/>
      <c r="BK164" s="424">
        <f>IFERROR(VLOOKUP($BI164,flows!$A$2:$J$4985,BK$2,FALSE),0)</f>
        <v>0</v>
      </c>
      <c r="BL164" s="424">
        <f>IFERROR(VLOOKUP($BI164,flows!$A$2:$J$4985,BL$2,FALSE),0)</f>
        <v>0</v>
      </c>
      <c r="BM164" s="424">
        <f>IFERROR(VLOOKUP($BI164,flows!$A$2:$J$4985,BM$2,FALSE),0)</f>
        <v>0</v>
      </c>
      <c r="BN164" s="424">
        <f>IFERROR(VLOOKUP($BI164,flows!$A$2:$J$4985,BN$2,FALSE),0)</f>
        <v>0</v>
      </c>
      <c r="BO164" s="424">
        <f>IFERROR(VLOOKUP($BI164,flows!$A$2:$J$4985,BO$2,FALSE),0)</f>
        <v>0</v>
      </c>
      <c r="BP164" s="424">
        <f>IFERROR(VLOOKUP($BI164,flows!$A$2:$J$4985,BP$2,FALSE),0)</f>
        <v>0</v>
      </c>
      <c r="BQ164" s="424">
        <f>IFERROR(VLOOKUP($BI164,flows!$A$2:$J$4985,BQ$2,FALSE),0)</f>
        <v>0</v>
      </c>
      <c r="BR164" s="425">
        <f>IFERROR(VLOOKUP($BI164,flows!$A$2:$J$4985,BR$2,FALSE),0)</f>
        <v>0</v>
      </c>
    </row>
    <row r="165" spans="60:70" ht="14.5" x14ac:dyDescent="0.35">
      <c r="BH165" s="421" t="s">
        <v>2766</v>
      </c>
      <c r="BI165" s="422" t="s">
        <v>2781</v>
      </c>
      <c r="BJ165" s="423"/>
      <c r="BK165" s="424">
        <f>IFERROR(VLOOKUP($BI165,flows!$A$2:$J$4985,BK$2,FALSE),0)</f>
        <v>0</v>
      </c>
      <c r="BL165" s="424">
        <f>IFERROR(VLOOKUP($BI165,flows!$A$2:$J$4985,BL$2,FALSE),0)</f>
        <v>0</v>
      </c>
      <c r="BM165" s="424">
        <f>IFERROR(VLOOKUP($BI165,flows!$A$2:$J$4985,BM$2,FALSE),0)</f>
        <v>0</v>
      </c>
      <c r="BN165" s="424">
        <f>IFERROR(VLOOKUP($BI165,flows!$A$2:$J$4985,BN$2,FALSE),0)</f>
        <v>0</v>
      </c>
      <c r="BO165" s="424">
        <f>IFERROR(VLOOKUP($BI165,flows!$A$2:$J$4985,BO$2,FALSE),0)</f>
        <v>0</v>
      </c>
      <c r="BP165" s="424">
        <f>IFERROR(VLOOKUP($BI165,flows!$A$2:$J$4985,BP$2,FALSE),0)</f>
        <v>0</v>
      </c>
      <c r="BQ165" s="424">
        <f>IFERROR(VLOOKUP($BI165,flows!$A$2:$J$4985,BQ$2,FALSE),0)</f>
        <v>0</v>
      </c>
      <c r="BR165" s="425">
        <f>IFERROR(VLOOKUP($BI165,flows!$A$2:$J$4985,BR$2,FALSE),0)</f>
        <v>0</v>
      </c>
    </row>
    <row r="166" spans="60:70" ht="14.5" x14ac:dyDescent="0.35">
      <c r="BH166" s="421" t="s">
        <v>2767</v>
      </c>
      <c r="BI166" s="422" t="s">
        <v>2782</v>
      </c>
      <c r="BJ166" s="423"/>
      <c r="BK166" s="424">
        <f>IFERROR(VLOOKUP($BI166,flows!$A$2:$J$4985,BK$2,FALSE),0)</f>
        <v>0</v>
      </c>
      <c r="BL166" s="424">
        <f>IFERROR(VLOOKUP($BI166,flows!$A$2:$J$4985,BL$2,FALSE),0)</f>
        <v>0</v>
      </c>
      <c r="BM166" s="424">
        <f>IFERROR(VLOOKUP($BI166,flows!$A$2:$J$4985,BM$2,FALSE),0)</f>
        <v>0</v>
      </c>
      <c r="BN166" s="424">
        <f>IFERROR(VLOOKUP($BI166,flows!$A$2:$J$4985,BN$2,FALSE),0)</f>
        <v>0</v>
      </c>
      <c r="BO166" s="424">
        <f>IFERROR(VLOOKUP($BI166,flows!$A$2:$J$4985,BO$2,FALSE),0)</f>
        <v>0</v>
      </c>
      <c r="BP166" s="424">
        <f>IFERROR(VLOOKUP($BI166,flows!$A$2:$J$4985,BP$2,FALSE),0)</f>
        <v>0</v>
      </c>
      <c r="BQ166" s="424">
        <f>IFERROR(VLOOKUP($BI166,flows!$A$2:$J$4985,BQ$2,FALSE),0)</f>
        <v>0</v>
      </c>
      <c r="BR166" s="425">
        <f>IFERROR(VLOOKUP($BI166,flows!$A$2:$J$4985,BR$2,FALSE),0)</f>
        <v>0</v>
      </c>
    </row>
    <row r="167" spans="60:70" ht="14.5" x14ac:dyDescent="0.35">
      <c r="BH167" s="421" t="s">
        <v>2768</v>
      </c>
      <c r="BI167" s="422" t="s">
        <v>2783</v>
      </c>
      <c r="BJ167" s="423"/>
      <c r="BK167" s="424">
        <f>IFERROR(VLOOKUP($BI167,flows!$A$2:$J$4985,BK$2,FALSE),0)</f>
        <v>0</v>
      </c>
      <c r="BL167" s="424">
        <f>IFERROR(VLOOKUP($BI167,flows!$A$2:$J$4985,BL$2,FALSE),0)</f>
        <v>0</v>
      </c>
      <c r="BM167" s="424">
        <f>IFERROR(VLOOKUP($BI167,flows!$A$2:$J$4985,BM$2,FALSE),0)</f>
        <v>0</v>
      </c>
      <c r="BN167" s="424">
        <f>IFERROR(VLOOKUP($BI167,flows!$A$2:$J$4985,BN$2,FALSE),0)</f>
        <v>0</v>
      </c>
      <c r="BO167" s="424">
        <f>IFERROR(VLOOKUP($BI167,flows!$A$2:$J$4985,BO$2,FALSE),0)</f>
        <v>0</v>
      </c>
      <c r="BP167" s="424">
        <f>IFERROR(VLOOKUP($BI167,flows!$A$2:$J$4985,BP$2,FALSE),0)</f>
        <v>0</v>
      </c>
      <c r="BQ167" s="424">
        <f>IFERROR(VLOOKUP($BI167,flows!$A$2:$J$4985,BQ$2,FALSE),0)</f>
        <v>0</v>
      </c>
      <c r="BR167" s="425">
        <f>IFERROR(VLOOKUP($BI167,flows!$A$2:$J$4985,BR$2,FALSE),0)</f>
        <v>0</v>
      </c>
    </row>
    <row r="168" spans="60:70" ht="14.5" x14ac:dyDescent="0.35">
      <c r="BH168" s="421" t="s">
        <v>2769</v>
      </c>
      <c r="BI168" s="422" t="s">
        <v>2784</v>
      </c>
      <c r="BJ168" s="423"/>
      <c r="BK168" s="424">
        <f>IFERROR(VLOOKUP($BI168,flows!$A$2:$J$4985,BK$2,FALSE),0)</f>
        <v>0</v>
      </c>
      <c r="BL168" s="424">
        <f>IFERROR(VLOOKUP($BI168,flows!$A$2:$J$4985,BL$2,FALSE),0)</f>
        <v>0</v>
      </c>
      <c r="BM168" s="424">
        <f>IFERROR(VLOOKUP($BI168,flows!$A$2:$J$4985,BM$2,FALSE),0)</f>
        <v>0</v>
      </c>
      <c r="BN168" s="424">
        <f>IFERROR(VLOOKUP($BI168,flows!$A$2:$J$4985,BN$2,FALSE),0)</f>
        <v>0</v>
      </c>
      <c r="BO168" s="424">
        <f>IFERROR(VLOOKUP($BI168,flows!$A$2:$J$4985,BO$2,FALSE),0)</f>
        <v>0</v>
      </c>
      <c r="BP168" s="424">
        <f>IFERROR(VLOOKUP($BI168,flows!$A$2:$J$4985,BP$2,FALSE),0)</f>
        <v>0</v>
      </c>
      <c r="BQ168" s="424">
        <f>IFERROR(VLOOKUP($BI168,flows!$A$2:$J$4985,BQ$2,FALSE),0)</f>
        <v>0</v>
      </c>
      <c r="BR168" s="425">
        <f>IFERROR(VLOOKUP($BI168,flows!$A$2:$J$4985,BR$2,FALSE),0)</f>
        <v>0</v>
      </c>
    </row>
    <row r="169" spans="60:70" ht="14.5" x14ac:dyDescent="0.35">
      <c r="BH169" s="426" t="s">
        <v>2762</v>
      </c>
      <c r="BI169" s="427" t="s">
        <v>2785</v>
      </c>
      <c r="BJ169" s="428"/>
      <c r="BK169" s="429">
        <f>IFERROR(VLOOKUP($BI169,flows!$A$2:$J$4985,BK$2,FALSE),0)</f>
        <v>0</v>
      </c>
      <c r="BL169" s="429">
        <f>IFERROR(VLOOKUP($BI169,flows!$A$2:$J$4985,BL$2,FALSE),0)</f>
        <v>0</v>
      </c>
      <c r="BM169" s="429">
        <f>IFERROR(VLOOKUP($BI169,flows!$A$2:$J$4985,BM$2,FALSE),0)</f>
        <v>0</v>
      </c>
      <c r="BN169" s="429">
        <f>IFERROR(VLOOKUP($BI169,flows!$A$2:$J$4985,BN$2,FALSE),0)</f>
        <v>0</v>
      </c>
      <c r="BO169" s="429">
        <f>IFERROR(VLOOKUP($BI169,flows!$A$2:$J$4985,BO$2,FALSE),0)</f>
        <v>0</v>
      </c>
      <c r="BP169" s="429">
        <f>IFERROR(VLOOKUP($BI169,flows!$A$2:$J$4985,BP$2,FALSE),0)</f>
        <v>0</v>
      </c>
      <c r="BQ169" s="429">
        <f>IFERROR(VLOOKUP($BI169,flows!$A$2:$J$4985,BQ$2,FALSE),0)</f>
        <v>0</v>
      </c>
      <c r="BR169" s="430">
        <f>IFERROR(VLOOKUP($BI169,flows!$A$2:$J$4985,BR$2,FALSE),0)</f>
        <v>0</v>
      </c>
    </row>
    <row r="170" spans="60:70" ht="14.5" x14ac:dyDescent="0.35">
      <c r="BH170" s="426" t="s">
        <v>2763</v>
      </c>
      <c r="BI170" s="427" t="s">
        <v>2786</v>
      </c>
      <c r="BJ170" s="428"/>
      <c r="BK170" s="429">
        <f>IFERROR(VLOOKUP($BI170,flows!$A$2:$J$4985,BK$2,FALSE),0)</f>
        <v>0</v>
      </c>
      <c r="BL170" s="429">
        <f>IFERROR(VLOOKUP($BI170,flows!$A$2:$J$4985,BL$2,FALSE),0)</f>
        <v>0</v>
      </c>
      <c r="BM170" s="429">
        <f>IFERROR(VLOOKUP($BI170,flows!$A$2:$J$4985,BM$2,FALSE),0)</f>
        <v>0</v>
      </c>
      <c r="BN170" s="429">
        <f>IFERROR(VLOOKUP($BI170,flows!$A$2:$J$4985,BN$2,FALSE),0)</f>
        <v>0</v>
      </c>
      <c r="BO170" s="429">
        <f>IFERROR(VLOOKUP($BI170,flows!$A$2:$J$4985,BO$2,FALSE),0)</f>
        <v>0</v>
      </c>
      <c r="BP170" s="429">
        <f>IFERROR(VLOOKUP($BI170,flows!$A$2:$J$4985,BP$2,FALSE),0)</f>
        <v>0</v>
      </c>
      <c r="BQ170" s="429">
        <f>IFERROR(VLOOKUP($BI170,flows!$A$2:$J$4985,BQ$2,FALSE),0)</f>
        <v>0</v>
      </c>
      <c r="BR170" s="430">
        <f>IFERROR(VLOOKUP($BI170,flows!$A$2:$J$4985,BR$2,FALSE),0)</f>
        <v>0</v>
      </c>
    </row>
    <row r="171" spans="60:70" ht="14.5" x14ac:dyDescent="0.35">
      <c r="BH171" s="426" t="s">
        <v>2764</v>
      </c>
      <c r="BI171" s="427" t="s">
        <v>2787</v>
      </c>
      <c r="BJ171" s="428"/>
      <c r="BK171" s="429">
        <f>IFERROR(VLOOKUP($BI171,flows!$A$2:$J$4985,BK$2,FALSE),0)</f>
        <v>0</v>
      </c>
      <c r="BL171" s="429">
        <f>IFERROR(VLOOKUP($BI171,flows!$A$2:$J$4985,BL$2,FALSE),0)</f>
        <v>0</v>
      </c>
      <c r="BM171" s="429">
        <f>IFERROR(VLOOKUP($BI171,flows!$A$2:$J$4985,BM$2,FALSE),0)</f>
        <v>0</v>
      </c>
      <c r="BN171" s="429">
        <f>IFERROR(VLOOKUP($BI171,flows!$A$2:$J$4985,BN$2,FALSE),0)</f>
        <v>0</v>
      </c>
      <c r="BO171" s="429">
        <f>IFERROR(VLOOKUP($BI171,flows!$A$2:$J$4985,BO$2,FALSE),0)</f>
        <v>0</v>
      </c>
      <c r="BP171" s="429">
        <f>IFERROR(VLOOKUP($BI171,flows!$A$2:$J$4985,BP$2,FALSE),0)</f>
        <v>0</v>
      </c>
      <c r="BQ171" s="429">
        <f>IFERROR(VLOOKUP($BI171,flows!$A$2:$J$4985,BQ$2,FALSE),0)</f>
        <v>0</v>
      </c>
      <c r="BR171" s="430">
        <f>IFERROR(VLOOKUP($BI171,flows!$A$2:$J$4985,BR$2,FALSE),0)</f>
        <v>0</v>
      </c>
    </row>
    <row r="172" spans="60:70" ht="14.5" x14ac:dyDescent="0.35">
      <c r="BH172" s="426" t="s">
        <v>2765</v>
      </c>
      <c r="BI172" s="427" t="s">
        <v>2788</v>
      </c>
      <c r="BJ172" s="428"/>
      <c r="BK172" s="429">
        <f>IFERROR(VLOOKUP($BI172,flows!$A$2:$J$4985,BK$2,FALSE),0)</f>
        <v>0</v>
      </c>
      <c r="BL172" s="429">
        <f>IFERROR(VLOOKUP($BI172,flows!$A$2:$J$4985,BL$2,FALSE),0)</f>
        <v>0</v>
      </c>
      <c r="BM172" s="429">
        <f>IFERROR(VLOOKUP($BI172,flows!$A$2:$J$4985,BM$2,FALSE),0)</f>
        <v>0</v>
      </c>
      <c r="BN172" s="429">
        <f>IFERROR(VLOOKUP($BI172,flows!$A$2:$J$4985,BN$2,FALSE),0)</f>
        <v>0</v>
      </c>
      <c r="BO172" s="429">
        <f>IFERROR(VLOOKUP($BI172,flows!$A$2:$J$4985,BO$2,FALSE),0)</f>
        <v>0</v>
      </c>
      <c r="BP172" s="429">
        <f>IFERROR(VLOOKUP($BI172,flows!$A$2:$J$4985,BP$2,FALSE),0)</f>
        <v>0</v>
      </c>
      <c r="BQ172" s="429">
        <f>IFERROR(VLOOKUP($BI172,flows!$A$2:$J$4985,BQ$2,FALSE),0)</f>
        <v>0</v>
      </c>
      <c r="BR172" s="430">
        <f>IFERROR(VLOOKUP($BI172,flows!$A$2:$J$4985,BR$2,FALSE),0)</f>
        <v>0</v>
      </c>
    </row>
    <row r="173" spans="60:70" ht="14.5" x14ac:dyDescent="0.35">
      <c r="BH173" s="426" t="s">
        <v>2766</v>
      </c>
      <c r="BI173" s="427" t="s">
        <v>2789</v>
      </c>
      <c r="BJ173" s="428"/>
      <c r="BK173" s="429">
        <f>IFERROR(VLOOKUP($BI173,flows!$A$2:$J$4985,BK$2,FALSE),0)</f>
        <v>0</v>
      </c>
      <c r="BL173" s="429">
        <f>IFERROR(VLOOKUP($BI173,flows!$A$2:$J$4985,BL$2,FALSE),0)</f>
        <v>0</v>
      </c>
      <c r="BM173" s="429">
        <f>IFERROR(VLOOKUP($BI173,flows!$A$2:$J$4985,BM$2,FALSE),0)</f>
        <v>0</v>
      </c>
      <c r="BN173" s="429">
        <f>IFERROR(VLOOKUP($BI173,flows!$A$2:$J$4985,BN$2,FALSE),0)</f>
        <v>0</v>
      </c>
      <c r="BO173" s="429">
        <f>IFERROR(VLOOKUP($BI173,flows!$A$2:$J$4985,BO$2,FALSE),0)</f>
        <v>0</v>
      </c>
      <c r="BP173" s="429">
        <f>IFERROR(VLOOKUP($BI173,flows!$A$2:$J$4985,BP$2,FALSE),0)</f>
        <v>0</v>
      </c>
      <c r="BQ173" s="429">
        <f>IFERROR(VLOOKUP($BI173,flows!$A$2:$J$4985,BQ$2,FALSE),0)</f>
        <v>0</v>
      </c>
      <c r="BR173" s="430">
        <f>IFERROR(VLOOKUP($BI173,flows!$A$2:$J$4985,BR$2,FALSE),0)</f>
        <v>0</v>
      </c>
    </row>
    <row r="174" spans="60:70" ht="14.5" x14ac:dyDescent="0.35">
      <c r="BH174" s="426" t="s">
        <v>2767</v>
      </c>
      <c r="BI174" s="427" t="s">
        <v>2790</v>
      </c>
      <c r="BJ174" s="428"/>
      <c r="BK174" s="429">
        <f>IFERROR(VLOOKUP($BI174,flows!$A$2:$J$4985,BK$2,FALSE),0)</f>
        <v>0</v>
      </c>
      <c r="BL174" s="429">
        <f>IFERROR(VLOOKUP($BI174,flows!$A$2:$J$4985,BL$2,FALSE),0)</f>
        <v>0</v>
      </c>
      <c r="BM174" s="429">
        <f>IFERROR(VLOOKUP($BI174,flows!$A$2:$J$4985,BM$2,FALSE),0)</f>
        <v>0</v>
      </c>
      <c r="BN174" s="429">
        <f>IFERROR(VLOOKUP($BI174,flows!$A$2:$J$4985,BN$2,FALSE),0)</f>
        <v>0</v>
      </c>
      <c r="BO174" s="429">
        <f>IFERROR(VLOOKUP($BI174,flows!$A$2:$J$4985,BO$2,FALSE),0)</f>
        <v>0</v>
      </c>
      <c r="BP174" s="429">
        <f>IFERROR(VLOOKUP($BI174,flows!$A$2:$J$4985,BP$2,FALSE),0)</f>
        <v>0</v>
      </c>
      <c r="BQ174" s="429">
        <f>IFERROR(VLOOKUP($BI174,flows!$A$2:$J$4985,BQ$2,FALSE),0)</f>
        <v>0</v>
      </c>
      <c r="BR174" s="430">
        <f>IFERROR(VLOOKUP($BI174,flows!$A$2:$J$4985,BR$2,FALSE),0)</f>
        <v>0</v>
      </c>
    </row>
    <row r="175" spans="60:70" ht="14.5" x14ac:dyDescent="0.35">
      <c r="BH175" s="426" t="s">
        <v>2768</v>
      </c>
      <c r="BI175" s="427" t="s">
        <v>2791</v>
      </c>
      <c r="BJ175" s="428"/>
      <c r="BK175" s="429">
        <f>IFERROR(VLOOKUP($BI175,flows!$A$2:$J$4985,BK$2,FALSE),0)</f>
        <v>0</v>
      </c>
      <c r="BL175" s="429">
        <f>IFERROR(VLOOKUP($BI175,flows!$A$2:$J$4985,BL$2,FALSE),0)</f>
        <v>0</v>
      </c>
      <c r="BM175" s="429">
        <f>IFERROR(VLOOKUP($BI175,flows!$A$2:$J$4985,BM$2,FALSE),0)</f>
        <v>0</v>
      </c>
      <c r="BN175" s="429">
        <f>IFERROR(VLOOKUP($BI175,flows!$A$2:$J$4985,BN$2,FALSE),0)</f>
        <v>0</v>
      </c>
      <c r="BO175" s="429">
        <f>IFERROR(VLOOKUP($BI175,flows!$A$2:$J$4985,BO$2,FALSE),0)</f>
        <v>0</v>
      </c>
      <c r="BP175" s="429">
        <f>IFERROR(VLOOKUP($BI175,flows!$A$2:$J$4985,BP$2,FALSE),0)</f>
        <v>0</v>
      </c>
      <c r="BQ175" s="429">
        <f>IFERROR(VLOOKUP($BI175,flows!$A$2:$J$4985,BQ$2,FALSE),0)</f>
        <v>0</v>
      </c>
      <c r="BR175" s="430">
        <f>IFERROR(VLOOKUP($BI175,flows!$A$2:$J$4985,BR$2,FALSE),0)</f>
        <v>0</v>
      </c>
    </row>
    <row r="176" spans="60:70" ht="15" thickBot="1" x14ac:dyDescent="0.4">
      <c r="BH176" s="431" t="s">
        <v>2769</v>
      </c>
      <c r="BI176" s="432" t="s">
        <v>2792</v>
      </c>
      <c r="BJ176" s="433"/>
      <c r="BK176" s="434">
        <f>IFERROR(VLOOKUP($BI176,flows!$A$2:$J$4985,BK$2,FALSE),0)</f>
        <v>0</v>
      </c>
      <c r="BL176" s="434">
        <f>IFERROR(VLOOKUP($BI176,flows!$A$2:$J$4985,BL$2,FALSE),0)</f>
        <v>0</v>
      </c>
      <c r="BM176" s="434">
        <f>IFERROR(VLOOKUP($BI176,flows!$A$2:$J$4985,BM$2,FALSE),0)</f>
        <v>0</v>
      </c>
      <c r="BN176" s="434">
        <f>IFERROR(VLOOKUP($BI176,flows!$A$2:$J$4985,BN$2,FALSE),0)</f>
        <v>0</v>
      </c>
      <c r="BO176" s="434">
        <f>IFERROR(VLOOKUP($BI176,flows!$A$2:$J$4985,BO$2,FALSE),0)</f>
        <v>0</v>
      </c>
      <c r="BP176" s="434">
        <f>IFERROR(VLOOKUP($BI176,flows!$A$2:$J$4985,BP$2,FALSE),0)</f>
        <v>0</v>
      </c>
      <c r="BQ176" s="434">
        <f>IFERROR(VLOOKUP($BI176,flows!$A$2:$J$4985,BQ$2,FALSE),0)</f>
        <v>0</v>
      </c>
      <c r="BR176" s="435">
        <f>IFERROR(VLOOKUP($BI176,flows!$A$2:$J$4985,BR$2,FALSE),0)</f>
        <v>0</v>
      </c>
    </row>
    <row r="177" spans="60:70" ht="14.5" x14ac:dyDescent="0.35">
      <c r="BH177" s="342"/>
      <c r="BI177" s="79" t="s">
        <v>2770</v>
      </c>
      <c r="BJ177" s="365"/>
      <c r="BK177" s="163"/>
      <c r="BL177" s="163"/>
      <c r="BM177" s="163"/>
      <c r="BN177" s="163"/>
      <c r="BO177" s="163"/>
      <c r="BP177" s="163"/>
      <c r="BQ177" s="163"/>
      <c r="BR177" s="163"/>
    </row>
    <row r="178" spans="60:70" ht="14.5" x14ac:dyDescent="0.35">
      <c r="BH178" s="342"/>
      <c r="BI178" s="337" t="s">
        <v>2793</v>
      </c>
      <c r="BJ178" s="365" t="s">
        <v>2716</v>
      </c>
      <c r="BK178" s="163">
        <f>BK199</f>
        <v>55614.029671917269</v>
      </c>
      <c r="BL178" s="163">
        <f t="shared" ref="BL178:BR178" si="59">BL199</f>
        <v>0</v>
      </c>
      <c r="BM178" s="163">
        <f t="shared" si="59"/>
        <v>91.492117891534122</v>
      </c>
      <c r="BN178" s="163">
        <f t="shared" si="59"/>
        <v>6069.9507182249799</v>
      </c>
      <c r="BO178" s="163">
        <f t="shared" si="59"/>
        <v>25378.76623606509</v>
      </c>
      <c r="BP178" s="163">
        <f t="shared" si="59"/>
        <v>40578.226335045358</v>
      </c>
      <c r="BQ178" s="163">
        <f t="shared" si="59"/>
        <v>66353.085894021046</v>
      </c>
      <c r="BR178" s="163">
        <f t="shared" si="59"/>
        <v>0</v>
      </c>
    </row>
    <row r="179" spans="60:70" ht="14.5" x14ac:dyDescent="0.35">
      <c r="BH179" s="342"/>
      <c r="BI179" s="337" t="s">
        <v>4114</v>
      </c>
      <c r="BJ179" s="862" t="s">
        <v>2716</v>
      </c>
      <c r="BK179" s="163">
        <f>BK200</f>
        <v>0.37299688660430519</v>
      </c>
      <c r="BL179" s="163">
        <f t="shared" ref="BL179:BR179" si="60">BL200</f>
        <v>0</v>
      </c>
      <c r="BM179" s="163">
        <f t="shared" si="60"/>
        <v>1.384505395222785</v>
      </c>
      <c r="BN179" s="163">
        <f t="shared" si="60"/>
        <v>1489.3314317062691</v>
      </c>
      <c r="BO179" s="163">
        <f t="shared" si="60"/>
        <v>5959.957370865618</v>
      </c>
      <c r="BP179" s="163">
        <f t="shared" si="60"/>
        <v>7710.0221297048638</v>
      </c>
      <c r="BQ179" s="163">
        <f t="shared" si="60"/>
        <v>8351.9078492462304</v>
      </c>
      <c r="BR179" s="163">
        <f t="shared" si="60"/>
        <v>0</v>
      </c>
    </row>
    <row r="180" spans="60:70" ht="14.5" x14ac:dyDescent="0.35">
      <c r="BH180" s="342"/>
      <c r="BI180" s="338" t="s">
        <v>2794</v>
      </c>
      <c r="BJ180" s="365" t="s">
        <v>2716</v>
      </c>
      <c r="BK180" s="163">
        <f t="shared" ref="BK180:BR181" si="61">BK201</f>
        <v>0</v>
      </c>
      <c r="BL180" s="163">
        <f t="shared" si="61"/>
        <v>0</v>
      </c>
      <c r="BM180" s="163">
        <f t="shared" si="61"/>
        <v>0</v>
      </c>
      <c r="BN180" s="163">
        <f t="shared" si="61"/>
        <v>0</v>
      </c>
      <c r="BO180" s="163">
        <f t="shared" si="61"/>
        <v>0</v>
      </c>
      <c r="BP180" s="163">
        <f t="shared" si="61"/>
        <v>0</v>
      </c>
      <c r="BQ180" s="163">
        <f t="shared" si="61"/>
        <v>0</v>
      </c>
      <c r="BR180" s="163">
        <f t="shared" si="61"/>
        <v>0</v>
      </c>
    </row>
    <row r="181" spans="60:70" ht="14.5" x14ac:dyDescent="0.35">
      <c r="BH181" s="342"/>
      <c r="BI181" s="337" t="s">
        <v>2795</v>
      </c>
      <c r="BJ181" s="365" t="s">
        <v>2749</v>
      </c>
      <c r="BK181" s="163">
        <f t="shared" si="61"/>
        <v>0</v>
      </c>
      <c r="BL181" s="163">
        <f t="shared" si="61"/>
        <v>0</v>
      </c>
      <c r="BM181" s="163">
        <f t="shared" si="61"/>
        <v>0</v>
      </c>
      <c r="BN181" s="163">
        <f t="shared" si="61"/>
        <v>0</v>
      </c>
      <c r="BO181" s="163">
        <f t="shared" si="61"/>
        <v>0</v>
      </c>
      <c r="BP181" s="163">
        <f t="shared" si="61"/>
        <v>0</v>
      </c>
      <c r="BQ181" s="163">
        <f t="shared" si="61"/>
        <v>0</v>
      </c>
      <c r="BR181" s="163">
        <f t="shared" si="61"/>
        <v>0</v>
      </c>
    </row>
    <row r="182" spans="60:70" ht="14.5" x14ac:dyDescent="0.35">
      <c r="BH182" s="342"/>
      <c r="BI182" s="337" t="s">
        <v>2796</v>
      </c>
      <c r="BJ182" s="365" t="s">
        <v>1502</v>
      </c>
      <c r="BK182" s="92">
        <f t="shared" ref="BK182:BR189" si="62">IF((BK211+BK219)&gt;0,BK$190*(BK203/(BK211+BK219)),0)</f>
        <v>0</v>
      </c>
      <c r="BL182" s="92">
        <f t="shared" si="62"/>
        <v>0</v>
      </c>
      <c r="BM182" s="92">
        <f t="shared" si="62"/>
        <v>0</v>
      </c>
      <c r="BN182" s="92">
        <f t="shared" si="62"/>
        <v>0</v>
      </c>
      <c r="BO182" s="92">
        <f t="shared" si="62"/>
        <v>0</v>
      </c>
      <c r="BP182" s="92">
        <f t="shared" si="62"/>
        <v>0</v>
      </c>
      <c r="BQ182" s="92">
        <f t="shared" si="62"/>
        <v>0</v>
      </c>
      <c r="BR182" s="92">
        <f t="shared" si="62"/>
        <v>0</v>
      </c>
    </row>
    <row r="183" spans="60:70" ht="14.5" x14ac:dyDescent="0.35">
      <c r="BH183" s="342"/>
      <c r="BI183" s="337" t="s">
        <v>2797</v>
      </c>
      <c r="BJ183" s="365" t="s">
        <v>1409</v>
      </c>
      <c r="BK183" s="92">
        <f t="shared" si="62"/>
        <v>0</v>
      </c>
      <c r="BL183" s="92">
        <f t="shared" si="62"/>
        <v>0</v>
      </c>
      <c r="BM183" s="92">
        <f t="shared" si="62"/>
        <v>0</v>
      </c>
      <c r="BN183" s="92">
        <f t="shared" si="62"/>
        <v>0</v>
      </c>
      <c r="BO183" s="92">
        <f t="shared" si="62"/>
        <v>0</v>
      </c>
      <c r="BP183" s="92">
        <f t="shared" si="62"/>
        <v>0</v>
      </c>
      <c r="BQ183" s="92">
        <f t="shared" si="62"/>
        <v>0</v>
      </c>
      <c r="BR183" s="92">
        <f t="shared" si="62"/>
        <v>0</v>
      </c>
    </row>
    <row r="184" spans="60:70" ht="14.5" x14ac:dyDescent="0.35">
      <c r="BH184" s="342"/>
      <c r="BI184" s="337" t="s">
        <v>2798</v>
      </c>
      <c r="BJ184" s="365" t="s">
        <v>2751</v>
      </c>
      <c r="BK184" s="92">
        <f t="shared" si="62"/>
        <v>0</v>
      </c>
      <c r="BL184" s="92">
        <f t="shared" si="62"/>
        <v>0</v>
      </c>
      <c r="BM184" s="92">
        <f t="shared" si="62"/>
        <v>0</v>
      </c>
      <c r="BN184" s="92">
        <f t="shared" si="62"/>
        <v>0</v>
      </c>
      <c r="BO184" s="92">
        <f t="shared" si="62"/>
        <v>0</v>
      </c>
      <c r="BP184" s="92">
        <f t="shared" si="62"/>
        <v>0</v>
      </c>
      <c r="BQ184" s="92">
        <f t="shared" si="62"/>
        <v>0</v>
      </c>
      <c r="BR184" s="92">
        <f t="shared" si="62"/>
        <v>0</v>
      </c>
    </row>
    <row r="185" spans="60:70" ht="14.5" x14ac:dyDescent="0.35">
      <c r="BH185" s="342"/>
      <c r="BI185" s="344" t="s">
        <v>2799</v>
      </c>
      <c r="BJ185" s="365" t="s">
        <v>2749</v>
      </c>
      <c r="BK185" s="92">
        <f t="shared" si="62"/>
        <v>0</v>
      </c>
      <c r="BL185" s="92">
        <f t="shared" si="62"/>
        <v>0</v>
      </c>
      <c r="BM185" s="92">
        <f t="shared" si="62"/>
        <v>0</v>
      </c>
      <c r="BN185" s="92">
        <f t="shared" si="62"/>
        <v>0</v>
      </c>
      <c r="BO185" s="92">
        <f t="shared" si="62"/>
        <v>0</v>
      </c>
      <c r="BP185" s="92">
        <f t="shared" si="62"/>
        <v>0</v>
      </c>
      <c r="BQ185" s="92">
        <f t="shared" si="62"/>
        <v>0</v>
      </c>
      <c r="BR185" s="92">
        <f t="shared" si="62"/>
        <v>0</v>
      </c>
    </row>
    <row r="186" spans="60:70" ht="14.5" x14ac:dyDescent="0.35">
      <c r="BH186" s="342"/>
      <c r="BI186" s="337" t="s">
        <v>2800</v>
      </c>
      <c r="BJ186" s="365" t="s">
        <v>2749</v>
      </c>
      <c r="BK186" s="92">
        <f t="shared" si="62"/>
        <v>0</v>
      </c>
      <c r="BL186" s="92">
        <f t="shared" si="62"/>
        <v>0</v>
      </c>
      <c r="BM186" s="92">
        <f t="shared" si="62"/>
        <v>0</v>
      </c>
      <c r="BN186" s="92">
        <f t="shared" si="62"/>
        <v>0</v>
      </c>
      <c r="BO186" s="92">
        <f t="shared" si="62"/>
        <v>0</v>
      </c>
      <c r="BP186" s="92">
        <f t="shared" si="62"/>
        <v>0</v>
      </c>
      <c r="BQ186" s="92">
        <f t="shared" si="62"/>
        <v>0</v>
      </c>
      <c r="BR186" s="92">
        <f t="shared" si="62"/>
        <v>0</v>
      </c>
    </row>
    <row r="187" spans="60:70" ht="14.5" x14ac:dyDescent="0.35">
      <c r="BH187" s="342"/>
      <c r="BI187" s="344" t="s">
        <v>2801</v>
      </c>
      <c r="BJ187" s="365" t="s">
        <v>2748</v>
      </c>
      <c r="BK187" s="92">
        <f t="shared" si="62"/>
        <v>0</v>
      </c>
      <c r="BL187" s="92">
        <f t="shared" si="62"/>
        <v>0</v>
      </c>
      <c r="BM187" s="92">
        <f t="shared" si="62"/>
        <v>0</v>
      </c>
      <c r="BN187" s="92">
        <f t="shared" si="62"/>
        <v>0</v>
      </c>
      <c r="BO187" s="92">
        <f t="shared" si="62"/>
        <v>0</v>
      </c>
      <c r="BP187" s="92">
        <f t="shared" si="62"/>
        <v>0</v>
      </c>
      <c r="BQ187" s="92">
        <f t="shared" si="62"/>
        <v>0</v>
      </c>
      <c r="BR187" s="92">
        <f t="shared" si="62"/>
        <v>0</v>
      </c>
    </row>
    <row r="188" spans="60:70" ht="14.5" x14ac:dyDescent="0.35">
      <c r="BH188" s="342"/>
      <c r="BI188" s="337" t="s">
        <v>2802</v>
      </c>
      <c r="BJ188" s="365" t="s">
        <v>2748</v>
      </c>
      <c r="BK188" s="92">
        <f t="shared" si="62"/>
        <v>0</v>
      </c>
      <c r="BL188" s="92">
        <f t="shared" si="62"/>
        <v>0</v>
      </c>
      <c r="BM188" s="92">
        <f t="shared" si="62"/>
        <v>0</v>
      </c>
      <c r="BN188" s="92">
        <f t="shared" si="62"/>
        <v>0</v>
      </c>
      <c r="BO188" s="92">
        <f t="shared" si="62"/>
        <v>0</v>
      </c>
      <c r="BP188" s="92">
        <f t="shared" si="62"/>
        <v>0</v>
      </c>
      <c r="BQ188" s="92">
        <f t="shared" si="62"/>
        <v>0</v>
      </c>
      <c r="BR188" s="92">
        <f t="shared" si="62"/>
        <v>0</v>
      </c>
    </row>
    <row r="189" spans="60:70" ht="14.5" x14ac:dyDescent="0.35">
      <c r="BH189" s="342"/>
      <c r="BI189" s="337" t="s">
        <v>2803</v>
      </c>
      <c r="BJ189" s="365" t="s">
        <v>1502</v>
      </c>
      <c r="BK189" s="92">
        <f t="shared" si="62"/>
        <v>0</v>
      </c>
      <c r="BL189" s="92">
        <f t="shared" si="62"/>
        <v>0</v>
      </c>
      <c r="BM189" s="92">
        <f t="shared" si="62"/>
        <v>0</v>
      </c>
      <c r="BN189" s="92">
        <f t="shared" si="62"/>
        <v>0</v>
      </c>
      <c r="BO189" s="92">
        <f t="shared" si="62"/>
        <v>0</v>
      </c>
      <c r="BP189" s="92">
        <f t="shared" si="62"/>
        <v>0</v>
      </c>
      <c r="BQ189" s="92">
        <f t="shared" si="62"/>
        <v>0</v>
      </c>
      <c r="BR189" s="92">
        <f t="shared" si="62"/>
        <v>0</v>
      </c>
    </row>
    <row r="190" spans="60:70" ht="14.5" x14ac:dyDescent="0.35">
      <c r="BH190" s="342"/>
      <c r="BI190" s="337"/>
      <c r="BJ190" s="407" t="s">
        <v>2810</v>
      </c>
      <c r="BK190" s="453" t="e">
        <f>BK192/BK197</f>
        <v>#DIV/0!</v>
      </c>
      <c r="BL190" s="453" t="e">
        <f t="shared" ref="BL190:BR190" si="63">BL192/BL197</f>
        <v>#DIV/0!</v>
      </c>
      <c r="BM190" s="453" t="e">
        <f t="shared" si="63"/>
        <v>#DIV/0!</v>
      </c>
      <c r="BN190" s="453" t="e">
        <f t="shared" si="63"/>
        <v>#DIV/0!</v>
      </c>
      <c r="BO190" s="453" t="e">
        <f t="shared" si="63"/>
        <v>#DIV/0!</v>
      </c>
      <c r="BP190" s="453" t="e">
        <f t="shared" si="63"/>
        <v>#DIV/0!</v>
      </c>
      <c r="BQ190" s="453" t="e">
        <f t="shared" si="63"/>
        <v>#DIV/0!</v>
      </c>
      <c r="BR190" s="453" t="e">
        <f t="shared" si="63"/>
        <v>#DIV/0!</v>
      </c>
    </row>
    <row r="191" spans="60:70" ht="14.5" x14ac:dyDescent="0.35">
      <c r="BH191" s="342"/>
      <c r="BI191" s="337"/>
      <c r="BJ191" s="365"/>
      <c r="BK191" s="163"/>
      <c r="BL191" s="163"/>
      <c r="BM191" s="163"/>
      <c r="BN191" s="163"/>
      <c r="BO191" s="163"/>
      <c r="BP191" s="163"/>
      <c r="BQ191" s="163"/>
      <c r="BR191" s="163"/>
    </row>
    <row r="192" spans="60:70" ht="14.5" x14ac:dyDescent="0.35">
      <c r="BH192" s="342"/>
      <c r="BI192" s="337" t="s">
        <v>2806</v>
      </c>
      <c r="BJ192" s="365"/>
      <c r="BK192" s="365">
        <f>IFERROR(VLOOKUP($BI192,flows!$A$2:$J$4985,BK$2,FALSE),0)</f>
        <v>0</v>
      </c>
      <c r="BL192" s="365">
        <f>IFERROR(VLOOKUP($BI192,flows!$A$2:$J$4985,BL$2,FALSE),0)</f>
        <v>0</v>
      </c>
      <c r="BM192" s="365">
        <f>IFERROR(VLOOKUP($BI192,flows!$A$2:$J$4985,BM$2,FALSE),0)</f>
        <v>0</v>
      </c>
      <c r="BN192" s="365">
        <f>IFERROR(VLOOKUP($BI192,flows!$A$2:$J$4985,BN$2,FALSE),0)</f>
        <v>0</v>
      </c>
      <c r="BO192" s="365">
        <f>IFERROR(VLOOKUP($BI192,flows!$A$2:$J$4985,BO$2,FALSE),0)</f>
        <v>0</v>
      </c>
      <c r="BP192" s="365">
        <f>IFERROR(VLOOKUP($BI192,flows!$A$2:$J$4985,BP$2,FALSE),0)</f>
        <v>0</v>
      </c>
      <c r="BQ192" s="365">
        <f>IFERROR(VLOOKUP($BI192,flows!$A$2:$J$4985,BQ$2,FALSE),0)</f>
        <v>0</v>
      </c>
      <c r="BR192" s="365">
        <f>IFERROR(VLOOKUP($BI192,flows!$A$2:$J$4985,BR$2,FALSE),0)</f>
        <v>0</v>
      </c>
    </row>
    <row r="193" spans="60:70" ht="14.5" x14ac:dyDescent="0.35">
      <c r="BH193" s="440"/>
      <c r="BI193" s="337" t="s">
        <v>2804</v>
      </c>
      <c r="BJ193" s="365"/>
      <c r="BK193" s="365">
        <f>IFERROR(VLOOKUP($BI193,flows!$A$2:$J$4985,BK$2,FALSE),0)</f>
        <v>0</v>
      </c>
      <c r="BL193" s="365">
        <f>IFERROR(VLOOKUP($BI193,flows!$A$2:$J$4985,BL$2,FALSE),0)</f>
        <v>0</v>
      </c>
      <c r="BM193" s="365">
        <f>IFERROR(VLOOKUP($BI193,flows!$A$2:$J$4985,BM$2,FALSE),0)</f>
        <v>0</v>
      </c>
      <c r="BN193" s="365">
        <f>IFERROR(VLOOKUP($BI193,flows!$A$2:$J$4985,BN$2,FALSE),0)</f>
        <v>0</v>
      </c>
      <c r="BO193" s="365">
        <f>IFERROR(VLOOKUP($BI193,flows!$A$2:$J$4985,BO$2,FALSE),0)</f>
        <v>0</v>
      </c>
      <c r="BP193" s="365">
        <f>IFERROR(VLOOKUP($BI193,flows!$A$2:$J$4985,BP$2,FALSE),0)</f>
        <v>0</v>
      </c>
      <c r="BQ193" s="365">
        <f>IFERROR(VLOOKUP($BI193,flows!$A$2:$J$4985,BQ$2,FALSE),0)</f>
        <v>0</v>
      </c>
      <c r="BR193" s="365">
        <f>IFERROR(VLOOKUP($BI193,flows!$A$2:$J$4985,BR$2,FALSE),0)</f>
        <v>0</v>
      </c>
    </row>
    <row r="194" spans="60:70" ht="14.5" x14ac:dyDescent="0.35">
      <c r="BH194" s="443"/>
      <c r="BI194" s="337" t="s">
        <v>2805</v>
      </c>
      <c r="BJ194" s="365"/>
      <c r="BK194" s="365">
        <f>IFERROR(VLOOKUP($BI194,flows!$A$2:$J$4985,BK$2,FALSE),0)</f>
        <v>0</v>
      </c>
      <c r="BL194" s="365">
        <f>IFERROR(VLOOKUP($BI194,flows!$A$2:$J$4985,BL$2,FALSE),0)</f>
        <v>0</v>
      </c>
      <c r="BM194" s="365">
        <f>IFERROR(VLOOKUP($BI194,flows!$A$2:$J$4985,BM$2,FALSE),0)</f>
        <v>0</v>
      </c>
      <c r="BN194" s="365">
        <f>IFERROR(VLOOKUP($BI194,flows!$A$2:$J$4985,BN$2,FALSE),0)</f>
        <v>0</v>
      </c>
      <c r="BO194" s="365">
        <f>IFERROR(VLOOKUP($BI194,flows!$A$2:$J$4985,BO$2,FALSE),0)</f>
        <v>0</v>
      </c>
      <c r="BP194" s="365">
        <f>IFERROR(VLOOKUP($BI194,flows!$A$2:$J$4985,BP$2,FALSE),0)</f>
        <v>0</v>
      </c>
      <c r="BQ194" s="365">
        <f>IFERROR(VLOOKUP($BI194,flows!$A$2:$J$4985,BQ$2,FALSE),0)</f>
        <v>0</v>
      </c>
      <c r="BR194" s="365">
        <f>IFERROR(VLOOKUP($BI194,flows!$A$2:$J$4985,BR$2,FALSE),0)</f>
        <v>0</v>
      </c>
    </row>
    <row r="195" spans="60:70" ht="14.5" x14ac:dyDescent="0.35">
      <c r="BH195" s="443"/>
      <c r="BI195" s="337" t="s">
        <v>2807</v>
      </c>
      <c r="BJ195" s="365"/>
      <c r="BK195" s="365">
        <f>IFERROR(VLOOKUP($BI195,flows!$A$2:$J$4985,BK$2,FALSE),0)</f>
        <v>0</v>
      </c>
      <c r="BL195" s="365">
        <f>IFERROR(VLOOKUP($BI195,flows!$A$2:$J$4985,BL$2,FALSE),0)</f>
        <v>0</v>
      </c>
      <c r="BM195" s="365">
        <f>IFERROR(VLOOKUP($BI195,flows!$A$2:$J$4985,BM$2,FALSE),0)</f>
        <v>0</v>
      </c>
      <c r="BN195" s="365">
        <f>IFERROR(VLOOKUP($BI195,flows!$A$2:$J$4985,BN$2,FALSE),0)</f>
        <v>0</v>
      </c>
      <c r="BO195" s="365">
        <f>IFERROR(VLOOKUP($BI195,flows!$A$2:$J$4985,BO$2,FALSE),0)</f>
        <v>0</v>
      </c>
      <c r="BP195" s="365">
        <f>IFERROR(VLOOKUP($BI195,flows!$A$2:$J$4985,BP$2,FALSE),0)</f>
        <v>0</v>
      </c>
      <c r="BQ195" s="365">
        <f>IFERROR(VLOOKUP($BI195,flows!$A$2:$J$4985,BQ$2,FALSE),0)</f>
        <v>0</v>
      </c>
      <c r="BR195" s="365">
        <f>IFERROR(VLOOKUP($BI195,flows!$A$2:$J$4985,BR$2,FALSE),0)</f>
        <v>0</v>
      </c>
    </row>
    <row r="196" spans="60:70" ht="14.5" x14ac:dyDescent="0.35">
      <c r="BH196" s="443"/>
      <c r="BI196" s="337" t="s">
        <v>2808</v>
      </c>
      <c r="BJ196" s="365"/>
      <c r="BK196" s="365">
        <f>IFERROR(VLOOKUP($BI196,flows!$A$2:$J$4985,BK$2,FALSE),0)</f>
        <v>0</v>
      </c>
      <c r="BL196" s="365">
        <f>IFERROR(VLOOKUP($BI196,flows!$A$2:$J$4985,BL$2,FALSE),0)</f>
        <v>0</v>
      </c>
      <c r="BM196" s="365">
        <f>IFERROR(VLOOKUP($BI196,flows!$A$2:$J$4985,BM$2,FALSE),0)</f>
        <v>0</v>
      </c>
      <c r="BN196" s="365">
        <f>IFERROR(VLOOKUP($BI196,flows!$A$2:$J$4985,BN$2,FALSE),0)</f>
        <v>0</v>
      </c>
      <c r="BO196" s="365">
        <f>IFERROR(VLOOKUP($BI196,flows!$A$2:$J$4985,BO$2,FALSE),0)</f>
        <v>0</v>
      </c>
      <c r="BP196" s="365">
        <f>IFERROR(VLOOKUP($BI196,flows!$A$2:$J$4985,BP$2,FALSE),0)</f>
        <v>0</v>
      </c>
      <c r="BQ196" s="365">
        <f>IFERROR(VLOOKUP($BI196,flows!$A$2:$J$4985,BQ$2,FALSE),0)</f>
        <v>0</v>
      </c>
      <c r="BR196" s="365">
        <f>IFERROR(VLOOKUP($BI196,flows!$A$2:$J$4985,BR$2,FALSE),0)</f>
        <v>0</v>
      </c>
    </row>
    <row r="197" spans="60:70" ht="14.5" x14ac:dyDescent="0.35">
      <c r="BH197" s="443"/>
      <c r="BI197" s="337"/>
      <c r="BJ197" s="365" t="s">
        <v>2809</v>
      </c>
      <c r="BK197" s="365">
        <f>SUM(BK192:BK196)</f>
        <v>0</v>
      </c>
      <c r="BL197" s="365">
        <f t="shared" ref="BL197:BR197" si="64">SUM(BL192:BL196)</f>
        <v>0</v>
      </c>
      <c r="BM197" s="365">
        <f t="shared" si="64"/>
        <v>0</v>
      </c>
      <c r="BN197" s="365">
        <f t="shared" si="64"/>
        <v>0</v>
      </c>
      <c r="BO197" s="365">
        <f t="shared" si="64"/>
        <v>0</v>
      </c>
      <c r="BP197" s="365">
        <f t="shared" si="64"/>
        <v>0</v>
      </c>
      <c r="BQ197" s="365">
        <f t="shared" si="64"/>
        <v>0</v>
      </c>
      <c r="BR197" s="365">
        <f t="shared" si="64"/>
        <v>0</v>
      </c>
    </row>
    <row r="198" spans="60:70" ht="14.5" x14ac:dyDescent="0.35">
      <c r="BH198" s="443"/>
      <c r="BI198" s="337"/>
      <c r="BJ198" s="365"/>
      <c r="BK198" s="365"/>
      <c r="BL198" s="365"/>
      <c r="BM198" s="365"/>
      <c r="BN198" s="365"/>
      <c r="BO198" s="365"/>
      <c r="BP198" s="365"/>
      <c r="BQ198" s="365"/>
      <c r="BR198" s="365"/>
    </row>
    <row r="199" spans="60:70" ht="14.5" x14ac:dyDescent="0.35">
      <c r="BH199" s="443"/>
      <c r="BI199" s="441" t="s">
        <v>2793</v>
      </c>
      <c r="BJ199" s="442" t="s">
        <v>2716</v>
      </c>
      <c r="BK199" s="442">
        <f>IFERROR(VLOOKUP($BI199,flows!$A$2:$J$4985,BK$2,FALSE),0)</f>
        <v>55614.029671917269</v>
      </c>
      <c r="BL199" s="442">
        <f>IFERROR(VLOOKUP($BI199,flows!$A$2:$J$4985,BL$2,FALSE),0)</f>
        <v>0</v>
      </c>
      <c r="BM199" s="442">
        <f>IFERROR(VLOOKUP($BI199,flows!$A$2:$J$4985,BM$2,FALSE),0)</f>
        <v>91.492117891534122</v>
      </c>
      <c r="BN199" s="442">
        <f>IFERROR(VLOOKUP($BI199,flows!$A$2:$J$4985,BN$2,FALSE),0)</f>
        <v>6069.9507182249799</v>
      </c>
      <c r="BO199" s="442">
        <f>IFERROR(VLOOKUP($BI199,flows!$A$2:$J$4985,BO$2,FALSE),0)</f>
        <v>25378.76623606509</v>
      </c>
      <c r="BP199" s="442">
        <f>IFERROR(VLOOKUP($BI199,flows!$A$2:$J$4985,BP$2,FALSE),0)</f>
        <v>40578.226335045358</v>
      </c>
      <c r="BQ199" s="442">
        <f>IFERROR(VLOOKUP($BI199,flows!$A$2:$J$4985,BQ$2,FALSE),0)</f>
        <v>66353.085894021046</v>
      </c>
      <c r="BR199" s="442">
        <f>IFERROR(VLOOKUP($BI199,flows!$A$2:$J$4985,BR$2,FALSE),0)</f>
        <v>0</v>
      </c>
    </row>
    <row r="200" spans="60:70" ht="14.5" x14ac:dyDescent="0.35">
      <c r="BH200" s="445"/>
      <c r="BI200" s="416" t="s">
        <v>4114</v>
      </c>
      <c r="BJ200" s="442" t="s">
        <v>2716</v>
      </c>
      <c r="BK200" s="442">
        <f>IFERROR(VLOOKUP($BI200,flows!$A$2:$J$4985,BK$2,FALSE),0)</f>
        <v>0.37299688660430519</v>
      </c>
      <c r="BL200" s="442">
        <f>IFERROR(VLOOKUP($BI200,flows!$A$2:$J$4985,BL$2,FALSE),0)</f>
        <v>0</v>
      </c>
      <c r="BM200" s="442">
        <f>IFERROR(VLOOKUP($BI200,flows!$A$2:$J$4985,BM$2,FALSE),0)</f>
        <v>1.384505395222785</v>
      </c>
      <c r="BN200" s="442">
        <f>IFERROR(VLOOKUP($BI200,flows!$A$2:$J$4985,BN$2,FALSE),0)</f>
        <v>1489.3314317062691</v>
      </c>
      <c r="BO200" s="442">
        <f>IFERROR(VLOOKUP($BI200,flows!$A$2:$J$4985,BO$2,FALSE),0)</f>
        <v>5959.957370865618</v>
      </c>
      <c r="BP200" s="442">
        <f>IFERROR(VLOOKUP($BI200,flows!$A$2:$J$4985,BP$2,FALSE),0)</f>
        <v>7710.0221297048638</v>
      </c>
      <c r="BQ200" s="442">
        <f>IFERROR(VLOOKUP($BI200,flows!$A$2:$J$4985,BQ$2,FALSE),0)</f>
        <v>8351.9078492462304</v>
      </c>
      <c r="BR200" s="442">
        <f>IFERROR(VLOOKUP($BI200,flows!$A$2:$J$4985,BR$2,FALSE),0)</f>
        <v>0</v>
      </c>
    </row>
    <row r="201" spans="60:70" ht="14.5" x14ac:dyDescent="0.35">
      <c r="BH201" s="443"/>
      <c r="BI201" s="439" t="s">
        <v>2794</v>
      </c>
      <c r="BJ201" s="140" t="s">
        <v>2716</v>
      </c>
      <c r="BK201" s="140">
        <f>IFERROR(VLOOKUP($BI201,flows!$A$2:$J$4985,BK$2,FALSE),0)</f>
        <v>0</v>
      </c>
      <c r="BL201" s="140">
        <f>IFERROR(VLOOKUP($BI201,flows!$A$2:$J$4985,BL$2,FALSE),0)</f>
        <v>0</v>
      </c>
      <c r="BM201" s="140">
        <f>IFERROR(VLOOKUP($BI201,flows!$A$2:$J$4985,BM$2,FALSE),0)</f>
        <v>0</v>
      </c>
      <c r="BN201" s="140">
        <f>IFERROR(VLOOKUP($BI201,flows!$A$2:$J$4985,BN$2,FALSE),0)</f>
        <v>0</v>
      </c>
      <c r="BO201" s="140">
        <f>IFERROR(VLOOKUP($BI201,flows!$A$2:$J$4985,BO$2,FALSE),0)</f>
        <v>0</v>
      </c>
      <c r="BP201" s="140">
        <f>IFERROR(VLOOKUP($BI201,flows!$A$2:$J$4985,BP$2,FALSE),0)</f>
        <v>0</v>
      </c>
      <c r="BQ201" s="140">
        <f>IFERROR(VLOOKUP($BI201,flows!$A$2:$J$4985,BQ$2,FALSE),0)</f>
        <v>0</v>
      </c>
      <c r="BR201" s="444">
        <f>IFERROR(VLOOKUP($BI201,flows!$A$2:$J$4985,BR$2,FALSE),0)</f>
        <v>0</v>
      </c>
    </row>
    <row r="202" spans="60:70" ht="14.5" x14ac:dyDescent="0.35">
      <c r="BH202" s="443"/>
      <c r="BI202" s="416" t="s">
        <v>2795</v>
      </c>
      <c r="BJ202" s="140" t="s">
        <v>2729</v>
      </c>
      <c r="BK202" s="140">
        <f>IFERROR(VLOOKUP($BI202,flows!$A$2:$J$4985,BK$2,FALSE),0)</f>
        <v>0</v>
      </c>
      <c r="BL202" s="140">
        <f>IFERROR(VLOOKUP($BI202,flows!$A$2:$J$4985,BL$2,FALSE),0)</f>
        <v>0</v>
      </c>
      <c r="BM202" s="140">
        <f>IFERROR(VLOOKUP($BI202,flows!$A$2:$J$4985,BM$2,FALSE),0)</f>
        <v>0</v>
      </c>
      <c r="BN202" s="140">
        <f>IFERROR(VLOOKUP($BI202,flows!$A$2:$J$4985,BN$2,FALSE),0)</f>
        <v>0</v>
      </c>
      <c r="BO202" s="140">
        <f>IFERROR(VLOOKUP($BI202,flows!$A$2:$J$4985,BO$2,FALSE),0)</f>
        <v>0</v>
      </c>
      <c r="BP202" s="140">
        <f>IFERROR(VLOOKUP($BI202,flows!$A$2:$J$4985,BP$2,FALSE),0)</f>
        <v>0</v>
      </c>
      <c r="BQ202" s="140">
        <f>IFERROR(VLOOKUP($BI202,flows!$A$2:$J$4985,BQ$2,FALSE),0)</f>
        <v>0</v>
      </c>
      <c r="BR202" s="444">
        <f>IFERROR(VLOOKUP($BI202,flows!$A$2:$J$4985,BR$2,FALSE),0)</f>
        <v>0</v>
      </c>
    </row>
    <row r="203" spans="60:70" ht="14.5" x14ac:dyDescent="0.35">
      <c r="BH203" s="443"/>
      <c r="BI203" s="416" t="s">
        <v>2796</v>
      </c>
      <c r="BJ203" s="140" t="s">
        <v>1502</v>
      </c>
      <c r="BK203" s="140">
        <f>IFERROR(VLOOKUP($BI203,flows!$A$2:$J$4985,BK$2,FALSE),0)</f>
        <v>0</v>
      </c>
      <c r="BL203" s="140">
        <f>IFERROR(VLOOKUP($BI203,flows!$A$2:$J$4985,BL$2,FALSE),0)</f>
        <v>0</v>
      </c>
      <c r="BM203" s="140">
        <f>IFERROR(VLOOKUP($BI203,flows!$A$2:$J$4985,BM$2,FALSE),0)</f>
        <v>0</v>
      </c>
      <c r="BN203" s="140">
        <f>IFERROR(VLOOKUP($BI203,flows!$A$2:$J$4985,BN$2,FALSE),0)</f>
        <v>0</v>
      </c>
      <c r="BO203" s="140">
        <f>IFERROR(VLOOKUP($BI203,flows!$A$2:$J$4985,BO$2,FALSE),0)</f>
        <v>0</v>
      </c>
      <c r="BP203" s="140">
        <f>IFERROR(VLOOKUP($BI203,flows!$A$2:$J$4985,BP$2,FALSE),0)</f>
        <v>0</v>
      </c>
      <c r="BQ203" s="140">
        <f>IFERROR(VLOOKUP($BI203,flows!$A$2:$J$4985,BQ$2,FALSE),0)</f>
        <v>0</v>
      </c>
      <c r="BR203" s="444">
        <f>IFERROR(VLOOKUP($BI203,flows!$A$2:$J$4985,BR$2,FALSE),0)</f>
        <v>0</v>
      </c>
    </row>
    <row r="204" spans="60:70" ht="14.5" x14ac:dyDescent="0.35">
      <c r="BH204" s="443"/>
      <c r="BI204" s="416" t="s">
        <v>2797</v>
      </c>
      <c r="BJ204" s="140" t="s">
        <v>1409</v>
      </c>
      <c r="BK204" s="140">
        <f>IFERROR(VLOOKUP($BI204,flows!$A$2:$J$4985,BK$2,FALSE),0)</f>
        <v>0</v>
      </c>
      <c r="BL204" s="140">
        <f>IFERROR(VLOOKUP($BI204,flows!$A$2:$J$4985,BL$2,FALSE),0)</f>
        <v>0</v>
      </c>
      <c r="BM204" s="140">
        <f>IFERROR(VLOOKUP($BI204,flows!$A$2:$J$4985,BM$2,FALSE),0)</f>
        <v>0</v>
      </c>
      <c r="BN204" s="140">
        <f>IFERROR(VLOOKUP($BI204,flows!$A$2:$J$4985,BN$2,FALSE),0)</f>
        <v>0</v>
      </c>
      <c r="BO204" s="140">
        <f>IFERROR(VLOOKUP($BI204,flows!$A$2:$J$4985,BO$2,FALSE),0)</f>
        <v>0</v>
      </c>
      <c r="BP204" s="140">
        <f>IFERROR(VLOOKUP($BI204,flows!$A$2:$J$4985,BP$2,FALSE),0)</f>
        <v>0</v>
      </c>
      <c r="BQ204" s="140">
        <f>IFERROR(VLOOKUP($BI204,flows!$A$2:$J$4985,BQ$2,FALSE),0)</f>
        <v>0</v>
      </c>
      <c r="BR204" s="444">
        <f>IFERROR(VLOOKUP($BI204,flows!$A$2:$J$4985,BR$2,FALSE),0)</f>
        <v>0</v>
      </c>
    </row>
    <row r="205" spans="60:70" ht="14.5" x14ac:dyDescent="0.35">
      <c r="BI205" s="416" t="s">
        <v>2798</v>
      </c>
      <c r="BJ205" s="140" t="s">
        <v>2751</v>
      </c>
      <c r="BK205" s="140">
        <f>IFERROR(VLOOKUP($BI205,flows!$A$2:$J$4985,BK$2,FALSE),0)</f>
        <v>0</v>
      </c>
      <c r="BL205" s="140">
        <f>IFERROR(VLOOKUP($BI205,flows!$A$2:$J$4985,BL$2,FALSE),0)</f>
        <v>0</v>
      </c>
      <c r="BM205" s="140">
        <f>IFERROR(VLOOKUP($BI205,flows!$A$2:$J$4985,BM$2,FALSE),0)</f>
        <v>0</v>
      </c>
      <c r="BN205" s="140">
        <f>IFERROR(VLOOKUP($BI205,flows!$A$2:$J$4985,BN$2,FALSE),0)</f>
        <v>0</v>
      </c>
      <c r="BO205" s="140">
        <f>IFERROR(VLOOKUP($BI205,flows!$A$2:$J$4985,BO$2,FALSE),0)</f>
        <v>0</v>
      </c>
      <c r="BP205" s="140">
        <f>IFERROR(VLOOKUP($BI205,flows!$A$2:$J$4985,BP$2,FALSE),0)</f>
        <v>0</v>
      </c>
      <c r="BQ205" s="140">
        <f>IFERROR(VLOOKUP($BI205,flows!$A$2:$J$4985,BQ$2,FALSE),0)</f>
        <v>0</v>
      </c>
      <c r="BR205" s="444">
        <f>IFERROR(VLOOKUP($BI205,flows!$A$2:$J$4985,BR$2,FALSE),0)</f>
        <v>0</v>
      </c>
    </row>
    <row r="206" spans="60:70" ht="14.5" x14ac:dyDescent="0.35">
      <c r="BI206" s="419" t="s">
        <v>2799</v>
      </c>
      <c r="BJ206" s="140" t="s">
        <v>2749</v>
      </c>
      <c r="BK206" s="140">
        <f>IFERROR(VLOOKUP($BI206,flows!$A$2:$J$4985,BK$2,FALSE),0)</f>
        <v>0</v>
      </c>
      <c r="BL206" s="140">
        <f>IFERROR(VLOOKUP($BI206,flows!$A$2:$J$4985,BL$2,FALSE),0)</f>
        <v>0</v>
      </c>
      <c r="BM206" s="140">
        <f>IFERROR(VLOOKUP($BI206,flows!$A$2:$J$4985,BM$2,FALSE),0)</f>
        <v>0</v>
      </c>
      <c r="BN206" s="140">
        <f>IFERROR(VLOOKUP($BI206,flows!$A$2:$J$4985,BN$2,FALSE),0)</f>
        <v>0</v>
      </c>
      <c r="BO206" s="140">
        <f>IFERROR(VLOOKUP($BI206,flows!$A$2:$J$4985,BO$2,FALSE),0)</f>
        <v>0</v>
      </c>
      <c r="BP206" s="140">
        <f>IFERROR(VLOOKUP($BI206,flows!$A$2:$J$4985,BP$2,FALSE),0)</f>
        <v>0</v>
      </c>
      <c r="BQ206" s="140">
        <f>IFERROR(VLOOKUP($BI206,flows!$A$2:$J$4985,BQ$2,FALSE),0)</f>
        <v>0</v>
      </c>
      <c r="BR206" s="444">
        <f>IFERROR(VLOOKUP($BI206,flows!$A$2:$J$4985,BR$2,FALSE),0)</f>
        <v>0</v>
      </c>
    </row>
    <row r="207" spans="60:70" ht="14.5" x14ac:dyDescent="0.35">
      <c r="BI207" s="416" t="s">
        <v>2800</v>
      </c>
      <c r="BJ207" s="140" t="s">
        <v>2749</v>
      </c>
      <c r="BK207" s="140">
        <f>IFERROR(VLOOKUP($BI207,flows!$A$2:$J$4985,BK$2,FALSE),0)</f>
        <v>0</v>
      </c>
      <c r="BL207" s="140">
        <f>IFERROR(VLOOKUP($BI207,flows!$A$2:$J$4985,BL$2,FALSE),0)</f>
        <v>0</v>
      </c>
      <c r="BM207" s="140">
        <f>IFERROR(VLOOKUP($BI207,flows!$A$2:$J$4985,BM$2,FALSE),0)</f>
        <v>0</v>
      </c>
      <c r="BN207" s="140">
        <f>IFERROR(VLOOKUP($BI207,flows!$A$2:$J$4985,BN$2,FALSE),0)</f>
        <v>0</v>
      </c>
      <c r="BO207" s="140">
        <f>IFERROR(VLOOKUP($BI207,flows!$A$2:$J$4985,BO$2,FALSE),0)</f>
        <v>0</v>
      </c>
      <c r="BP207" s="140">
        <f>IFERROR(VLOOKUP($BI207,flows!$A$2:$J$4985,BP$2,FALSE),0)</f>
        <v>0</v>
      </c>
      <c r="BQ207" s="140">
        <f>IFERROR(VLOOKUP($BI207,flows!$A$2:$J$4985,BQ$2,FALSE),0)</f>
        <v>0</v>
      </c>
      <c r="BR207" s="444">
        <f>IFERROR(VLOOKUP($BI207,flows!$A$2:$J$4985,BR$2,FALSE),0)</f>
        <v>0</v>
      </c>
    </row>
    <row r="208" spans="60:70" ht="14.5" x14ac:dyDescent="0.35">
      <c r="BI208" s="419" t="s">
        <v>2801</v>
      </c>
      <c r="BJ208" s="140" t="s">
        <v>2748</v>
      </c>
      <c r="BK208" s="140">
        <f>IFERROR(VLOOKUP($BI208,flows!$A$2:$J$4985,BK$2,FALSE),0)</f>
        <v>0</v>
      </c>
      <c r="BL208" s="140">
        <f>IFERROR(VLOOKUP($BI208,flows!$A$2:$J$4985,BL$2,FALSE),0)</f>
        <v>0</v>
      </c>
      <c r="BM208" s="140">
        <f>IFERROR(VLOOKUP($BI208,flows!$A$2:$J$4985,BM$2,FALSE),0)</f>
        <v>0</v>
      </c>
      <c r="BN208" s="140">
        <f>IFERROR(VLOOKUP($BI208,flows!$A$2:$J$4985,BN$2,FALSE),0)</f>
        <v>0</v>
      </c>
      <c r="BO208" s="140">
        <f>IFERROR(VLOOKUP($BI208,flows!$A$2:$J$4985,BO$2,FALSE),0)</f>
        <v>0</v>
      </c>
      <c r="BP208" s="140">
        <f>IFERROR(VLOOKUP($BI208,flows!$A$2:$J$4985,BP$2,FALSE),0)</f>
        <v>0</v>
      </c>
      <c r="BQ208" s="140">
        <f>IFERROR(VLOOKUP($BI208,flows!$A$2:$J$4985,BQ$2,FALSE),0)</f>
        <v>0</v>
      </c>
      <c r="BR208" s="444">
        <f>IFERROR(VLOOKUP($BI208,flows!$A$2:$J$4985,BR$2,FALSE),0)</f>
        <v>0</v>
      </c>
    </row>
    <row r="209" spans="59:71" ht="14.5" x14ac:dyDescent="0.35">
      <c r="BI209" s="416" t="s">
        <v>2802</v>
      </c>
      <c r="BJ209" s="140" t="s">
        <v>2748</v>
      </c>
      <c r="BK209" s="140">
        <f>IFERROR(VLOOKUP($BI209,flows!$A$2:$J$4985,BK$2,FALSE),0)</f>
        <v>0</v>
      </c>
      <c r="BL209" s="140">
        <f>IFERROR(VLOOKUP($BI209,flows!$A$2:$J$4985,BL$2,FALSE),0)</f>
        <v>0</v>
      </c>
      <c r="BM209" s="140">
        <f>IFERROR(VLOOKUP($BI209,flows!$A$2:$J$4985,BM$2,FALSE),0)</f>
        <v>0</v>
      </c>
      <c r="BN209" s="140">
        <f>IFERROR(VLOOKUP($BI209,flows!$A$2:$J$4985,BN$2,FALSE),0)</f>
        <v>0</v>
      </c>
      <c r="BO209" s="140">
        <f>IFERROR(VLOOKUP($BI209,flows!$A$2:$J$4985,BO$2,FALSE),0)</f>
        <v>0</v>
      </c>
      <c r="BP209" s="140">
        <f>IFERROR(VLOOKUP($BI209,flows!$A$2:$J$4985,BP$2,FALSE),0)</f>
        <v>0</v>
      </c>
      <c r="BQ209" s="140">
        <f>IFERROR(VLOOKUP($BI209,flows!$A$2:$J$4985,BQ$2,FALSE),0)</f>
        <v>0</v>
      </c>
      <c r="BR209" s="444">
        <f>IFERROR(VLOOKUP($BI209,flows!$A$2:$J$4985,BR$2,FALSE),0)</f>
        <v>0</v>
      </c>
    </row>
    <row r="210" spans="59:71" ht="14.5" x14ac:dyDescent="0.35">
      <c r="BI210" s="416" t="s">
        <v>2803</v>
      </c>
      <c r="BJ210" s="140" t="s">
        <v>1502</v>
      </c>
      <c r="BK210" s="140">
        <f>IFERROR(VLOOKUP($BI210,flows!$A$2:$J$4985,BK$2,FALSE),0)</f>
        <v>0</v>
      </c>
      <c r="BL210" s="140">
        <f>IFERROR(VLOOKUP($BI210,flows!$A$2:$J$4985,BL$2,FALSE),0)</f>
        <v>0</v>
      </c>
      <c r="BM210" s="140">
        <f>IFERROR(VLOOKUP($BI210,flows!$A$2:$J$4985,BM$2,FALSE),0)</f>
        <v>0</v>
      </c>
      <c r="BN210" s="140">
        <f>IFERROR(VLOOKUP($BI210,flows!$A$2:$J$4985,BN$2,FALSE),0)</f>
        <v>0</v>
      </c>
      <c r="BO210" s="140">
        <f>IFERROR(VLOOKUP($BI210,flows!$A$2:$J$4985,BO$2,FALSE),0)</f>
        <v>0</v>
      </c>
      <c r="BP210" s="140">
        <f>IFERROR(VLOOKUP($BI210,flows!$A$2:$J$4985,BP$2,FALSE),0)</f>
        <v>0</v>
      </c>
      <c r="BQ210" s="140">
        <f>IFERROR(VLOOKUP($BI210,flows!$A$2:$J$4985,BQ$2,FALSE),0)</f>
        <v>0</v>
      </c>
      <c r="BR210" s="444">
        <f>IFERROR(VLOOKUP($BI210,flows!$A$2:$J$4985,BR$2,FALSE),0)</f>
        <v>0</v>
      </c>
    </row>
    <row r="211" spans="59:71" ht="14.5" x14ac:dyDescent="0.35">
      <c r="BH211" s="446" t="s">
        <v>56</v>
      </c>
      <c r="BI211" s="422" t="s">
        <v>34</v>
      </c>
      <c r="BJ211" s="422"/>
      <c r="BK211" s="422">
        <f>IFERROR(VLOOKUP($BI211,flows!$A$2:$J$4985,BK$2,FALSE),0)</f>
        <v>0</v>
      </c>
      <c r="BL211" s="422">
        <f>IFERROR(VLOOKUP($BI211,flows!$A$2:$J$4985,BL$2,FALSE),0)</f>
        <v>0</v>
      </c>
      <c r="BM211" s="422">
        <f>IFERROR(VLOOKUP($BI211,flows!$A$2:$J$4985,BM$2,FALSE),0)</f>
        <v>0</v>
      </c>
      <c r="BN211" s="422">
        <f>IFERROR(VLOOKUP($BI211,flows!$A$2:$J$4985,BN$2,FALSE),0)</f>
        <v>0</v>
      </c>
      <c r="BO211" s="422">
        <f>IFERROR(VLOOKUP($BI211,flows!$A$2:$J$4985,BO$2,FALSE),0)</f>
        <v>0</v>
      </c>
      <c r="BP211" s="422">
        <f>IFERROR(VLOOKUP($BI211,flows!$A$2:$J$4985,BP$2,FALSE),0)</f>
        <v>0</v>
      </c>
      <c r="BQ211" s="422">
        <f>IFERROR(VLOOKUP($BI211,flows!$A$2:$J$4985,BQ$2,FALSE),0)</f>
        <v>0</v>
      </c>
      <c r="BR211" s="447">
        <f>IFERROR(VLOOKUP($BI211,flows!$A$2:$J$4985,BR$2,FALSE),0)</f>
        <v>0</v>
      </c>
    </row>
    <row r="212" spans="59:71" ht="14.5" x14ac:dyDescent="0.35">
      <c r="BH212" s="446" t="s">
        <v>58</v>
      </c>
      <c r="BI212" s="422" t="s">
        <v>37</v>
      </c>
      <c r="BJ212" s="422"/>
      <c r="BK212" s="422">
        <f>IFERROR(VLOOKUP($BI212,flows!$A$2:$J$4985,BK$2,FALSE),0)</f>
        <v>0</v>
      </c>
      <c r="BL212" s="422">
        <f>IFERROR(VLOOKUP($BI212,flows!$A$2:$J$4985,BL$2,FALSE),0)</f>
        <v>0</v>
      </c>
      <c r="BM212" s="422">
        <f>IFERROR(VLOOKUP($BI212,flows!$A$2:$J$4985,BM$2,FALSE),0)</f>
        <v>0</v>
      </c>
      <c r="BN212" s="422">
        <f>IFERROR(VLOOKUP($BI212,flows!$A$2:$J$4985,BN$2,FALSE),0)</f>
        <v>0</v>
      </c>
      <c r="BO212" s="422">
        <f>IFERROR(VLOOKUP($BI212,flows!$A$2:$J$4985,BO$2,FALSE),0)</f>
        <v>0</v>
      </c>
      <c r="BP212" s="422">
        <f>IFERROR(VLOOKUP($BI212,flows!$A$2:$J$4985,BP$2,FALSE),0)</f>
        <v>0</v>
      </c>
      <c r="BQ212" s="422">
        <f>IFERROR(VLOOKUP($BI212,flows!$A$2:$J$4985,BQ$2,FALSE),0)</f>
        <v>0</v>
      </c>
      <c r="BR212" s="447">
        <f>IFERROR(VLOOKUP($BI212,flows!$A$2:$J$4985,BR$2,FALSE),0)</f>
        <v>0</v>
      </c>
    </row>
    <row r="213" spans="59:71" ht="14.5" x14ac:dyDescent="0.35">
      <c r="BH213" s="446" t="s">
        <v>182</v>
      </c>
      <c r="BI213" s="422" t="s">
        <v>601</v>
      </c>
      <c r="BJ213" s="422"/>
      <c r="BK213" s="422">
        <f>IFERROR(VLOOKUP($BI213,flows!$A$2:$J$4985,BK$2,FALSE),0)</f>
        <v>0</v>
      </c>
      <c r="BL213" s="422">
        <f>IFERROR(VLOOKUP($BI213,flows!$A$2:$J$4985,BL$2,FALSE),0)</f>
        <v>0</v>
      </c>
      <c r="BM213" s="422">
        <f>IFERROR(VLOOKUP($BI213,flows!$A$2:$J$4985,BM$2,FALSE),0)</f>
        <v>0</v>
      </c>
      <c r="BN213" s="422">
        <f>IFERROR(VLOOKUP($BI213,flows!$A$2:$J$4985,BN$2,FALSE),0)</f>
        <v>0</v>
      </c>
      <c r="BO213" s="422">
        <f>IFERROR(VLOOKUP($BI213,flows!$A$2:$J$4985,BO$2,FALSE),0)</f>
        <v>0</v>
      </c>
      <c r="BP213" s="422">
        <f>IFERROR(VLOOKUP($BI213,flows!$A$2:$J$4985,BP$2,FALSE),0)</f>
        <v>0</v>
      </c>
      <c r="BQ213" s="422">
        <f>IFERROR(VLOOKUP($BI213,flows!$A$2:$J$4985,BQ$2,FALSE),0)</f>
        <v>0</v>
      </c>
      <c r="BR213" s="447">
        <f>IFERROR(VLOOKUP($BI213,flows!$A$2:$J$4985,BR$2,FALSE),0)</f>
        <v>0</v>
      </c>
    </row>
    <row r="214" spans="59:71" ht="14.5" x14ac:dyDescent="0.35">
      <c r="BH214" s="446" t="s">
        <v>512</v>
      </c>
      <c r="BI214" s="422" t="s">
        <v>1701</v>
      </c>
      <c r="BJ214" s="422"/>
      <c r="BK214" s="422">
        <f>IFERROR(VLOOKUP($BI214,flows!$A$2:$J$4985,BK$2,FALSE),0)</f>
        <v>0</v>
      </c>
      <c r="BL214" s="422">
        <f>IFERROR(VLOOKUP($BI214,flows!$A$2:$J$4985,BL$2,FALSE),0)</f>
        <v>0</v>
      </c>
      <c r="BM214" s="422">
        <f>IFERROR(VLOOKUP($BI214,flows!$A$2:$J$4985,BM$2,FALSE),0)</f>
        <v>0</v>
      </c>
      <c r="BN214" s="422">
        <f>IFERROR(VLOOKUP($BI214,flows!$A$2:$J$4985,BN$2,FALSE),0)</f>
        <v>0</v>
      </c>
      <c r="BO214" s="422">
        <f>IFERROR(VLOOKUP($BI214,flows!$A$2:$J$4985,BO$2,FALSE),0)</f>
        <v>0</v>
      </c>
      <c r="BP214" s="422">
        <f>IFERROR(VLOOKUP($BI214,flows!$A$2:$J$4985,BP$2,FALSE),0)</f>
        <v>0</v>
      </c>
      <c r="BQ214" s="422">
        <f>IFERROR(VLOOKUP($BI214,flows!$A$2:$J$4985,BQ$2,FALSE),0)</f>
        <v>0</v>
      </c>
      <c r="BR214" s="447">
        <f>IFERROR(VLOOKUP($BI214,flows!$A$2:$J$4985,BR$2,FALSE),0)</f>
        <v>0</v>
      </c>
    </row>
    <row r="215" spans="59:71" ht="14.5" x14ac:dyDescent="0.35">
      <c r="BH215" s="446" t="s">
        <v>513</v>
      </c>
      <c r="BI215" s="422" t="s">
        <v>1128</v>
      </c>
      <c r="BJ215" s="422"/>
      <c r="BK215" s="422">
        <f>IFERROR(VLOOKUP($BI215,flows!$A$2:$J$4985,BK$2,FALSE),0)</f>
        <v>0</v>
      </c>
      <c r="BL215" s="422">
        <f>IFERROR(VLOOKUP($BI215,flows!$A$2:$J$4985,BL$2,FALSE),0)</f>
        <v>0</v>
      </c>
      <c r="BM215" s="422">
        <f>IFERROR(VLOOKUP($BI215,flows!$A$2:$J$4985,BM$2,FALSE),0)</f>
        <v>0</v>
      </c>
      <c r="BN215" s="422">
        <f>IFERROR(VLOOKUP($BI215,flows!$A$2:$J$4985,BN$2,FALSE),0)</f>
        <v>0</v>
      </c>
      <c r="BO215" s="422">
        <f>IFERROR(VLOOKUP($BI215,flows!$A$2:$J$4985,BO$2,FALSE),0)</f>
        <v>0</v>
      </c>
      <c r="BP215" s="422">
        <f>IFERROR(VLOOKUP($BI215,flows!$A$2:$J$4985,BP$2,FALSE),0)</f>
        <v>0</v>
      </c>
      <c r="BQ215" s="422">
        <f>IFERROR(VLOOKUP($BI215,flows!$A$2:$J$4985,BQ$2,FALSE),0)</f>
        <v>0</v>
      </c>
      <c r="BR215" s="447">
        <f>IFERROR(VLOOKUP($BI215,flows!$A$2:$J$4985,BR$2,FALSE),0)</f>
        <v>0</v>
      </c>
    </row>
    <row r="216" spans="59:71" ht="14.5" x14ac:dyDescent="0.35">
      <c r="BH216" s="446" t="s">
        <v>460</v>
      </c>
      <c r="BI216" s="422" t="s">
        <v>1754</v>
      </c>
      <c r="BJ216" s="422"/>
      <c r="BK216" s="422">
        <f>IFERROR(VLOOKUP($BI216,flows!$A$2:$J$4985,BK$2,FALSE),0)</f>
        <v>0</v>
      </c>
      <c r="BL216" s="422">
        <f>IFERROR(VLOOKUP($BI216,flows!$A$2:$J$4985,BL$2,FALSE),0)</f>
        <v>0</v>
      </c>
      <c r="BM216" s="422">
        <f>IFERROR(VLOOKUP($BI216,flows!$A$2:$J$4985,BM$2,FALSE),0)</f>
        <v>0</v>
      </c>
      <c r="BN216" s="422">
        <f>IFERROR(VLOOKUP($BI216,flows!$A$2:$J$4985,BN$2,FALSE),0)</f>
        <v>0</v>
      </c>
      <c r="BO216" s="422">
        <f>IFERROR(VLOOKUP($BI216,flows!$A$2:$J$4985,BO$2,FALSE),0)</f>
        <v>0</v>
      </c>
      <c r="BP216" s="422">
        <f>IFERROR(VLOOKUP($BI216,flows!$A$2:$J$4985,BP$2,FALSE),0)</f>
        <v>0</v>
      </c>
      <c r="BQ216" s="422">
        <f>IFERROR(VLOOKUP($BI216,flows!$A$2:$J$4985,BQ$2,FALSE),0)</f>
        <v>0</v>
      </c>
      <c r="BR216" s="447">
        <f>IFERROR(VLOOKUP($BI216,flows!$A$2:$J$4985,BR$2,FALSE),0)</f>
        <v>0</v>
      </c>
    </row>
    <row r="217" spans="59:71" ht="14.5" x14ac:dyDescent="0.35">
      <c r="BG217" s="365"/>
      <c r="BH217" s="446" t="s">
        <v>461</v>
      </c>
      <c r="BI217" s="422" t="s">
        <v>1071</v>
      </c>
      <c r="BJ217" s="422"/>
      <c r="BK217" s="422">
        <f>IFERROR(VLOOKUP($BI217,flows!$A$2:$J$4985,BK$2,FALSE),0)</f>
        <v>0</v>
      </c>
      <c r="BL217" s="422">
        <f>IFERROR(VLOOKUP($BI217,flows!$A$2:$J$4985,BL$2,FALSE),0)</f>
        <v>0</v>
      </c>
      <c r="BM217" s="422">
        <f>IFERROR(VLOOKUP($BI217,flows!$A$2:$J$4985,BM$2,FALSE),0)</f>
        <v>0</v>
      </c>
      <c r="BN217" s="422">
        <f>IFERROR(VLOOKUP($BI217,flows!$A$2:$J$4985,BN$2,FALSE),0)</f>
        <v>0</v>
      </c>
      <c r="BO217" s="422">
        <f>IFERROR(VLOOKUP($BI217,flows!$A$2:$J$4985,BO$2,FALSE),0)</f>
        <v>0</v>
      </c>
      <c r="BP217" s="422">
        <f>IFERROR(VLOOKUP($BI217,flows!$A$2:$J$4985,BP$2,FALSE),0)</f>
        <v>0</v>
      </c>
      <c r="BQ217" s="422">
        <f>IFERROR(VLOOKUP($BI217,flows!$A$2:$J$4985,BQ$2,FALSE),0)</f>
        <v>0</v>
      </c>
      <c r="BR217" s="447">
        <f>IFERROR(VLOOKUP($BI217,flows!$A$2:$J$4985,BR$2,FALSE),0)</f>
        <v>0</v>
      </c>
    </row>
    <row r="218" spans="59:71" ht="14.5" x14ac:dyDescent="0.35">
      <c r="BG218" s="365"/>
      <c r="BH218" s="446" t="s">
        <v>21</v>
      </c>
      <c r="BI218" s="422" t="s">
        <v>36</v>
      </c>
      <c r="BJ218" s="422"/>
      <c r="BK218" s="422">
        <f>IFERROR(VLOOKUP($BI218,flows!$A$2:$J$4985,BK$2,FALSE),0)</f>
        <v>0</v>
      </c>
      <c r="BL218" s="422">
        <f>IFERROR(VLOOKUP($BI218,flows!$A$2:$J$4985,BL$2,FALSE),0)</f>
        <v>0</v>
      </c>
      <c r="BM218" s="422">
        <f>IFERROR(VLOOKUP($BI218,flows!$A$2:$J$4985,BM$2,FALSE),0)</f>
        <v>0</v>
      </c>
      <c r="BN218" s="422">
        <f>IFERROR(VLOOKUP($BI218,flows!$A$2:$J$4985,BN$2,FALSE),0)</f>
        <v>0</v>
      </c>
      <c r="BO218" s="422">
        <f>IFERROR(VLOOKUP($BI218,flows!$A$2:$J$4985,BO$2,FALSE),0)</f>
        <v>0</v>
      </c>
      <c r="BP218" s="422">
        <f>IFERROR(VLOOKUP($BI218,flows!$A$2:$J$4985,BP$2,FALSE),0)</f>
        <v>0</v>
      </c>
      <c r="BQ218" s="422">
        <f>IFERROR(VLOOKUP($BI218,flows!$A$2:$J$4985,BQ$2,FALSE),0)</f>
        <v>0</v>
      </c>
      <c r="BR218" s="447">
        <f>IFERROR(VLOOKUP($BI218,flows!$A$2:$J$4985,BR$2,FALSE),0)</f>
        <v>0</v>
      </c>
    </row>
    <row r="219" spans="59:71" ht="14.5" x14ac:dyDescent="0.35">
      <c r="BG219" s="365"/>
      <c r="BH219" s="448" t="s">
        <v>56</v>
      </c>
      <c r="BI219" s="427" t="s">
        <v>2602</v>
      </c>
      <c r="BJ219" s="427"/>
      <c r="BK219" s="427">
        <f>IFERROR(VLOOKUP($BI219,flows!$A$2:$J$4985,BK$2,FALSE),0)</f>
        <v>0</v>
      </c>
      <c r="BL219" s="427">
        <f>IFERROR(VLOOKUP($BI219,flows!$A$2:$J$4985,BL$2,FALSE),0)</f>
        <v>0</v>
      </c>
      <c r="BM219" s="427">
        <f>IFERROR(VLOOKUP($BI219,flows!$A$2:$J$4985,BM$2,FALSE),0)</f>
        <v>0</v>
      </c>
      <c r="BN219" s="427">
        <f>IFERROR(VLOOKUP($BI219,flows!$A$2:$J$4985,BN$2,FALSE),0)</f>
        <v>0</v>
      </c>
      <c r="BO219" s="427">
        <f>IFERROR(VLOOKUP($BI219,flows!$A$2:$J$4985,BO$2,FALSE),0)</f>
        <v>0</v>
      </c>
      <c r="BP219" s="427">
        <f>IFERROR(VLOOKUP($BI219,flows!$A$2:$J$4985,BP$2,FALSE),0)</f>
        <v>0</v>
      </c>
      <c r="BQ219" s="427">
        <f>IFERROR(VLOOKUP($BI219,flows!$A$2:$J$4985,BQ$2,FALSE),0)</f>
        <v>0</v>
      </c>
      <c r="BR219" s="449">
        <f>IFERROR(VLOOKUP($BI219,flows!$A$2:$J$4985,BR$2,FALSE),0)</f>
        <v>0</v>
      </c>
    </row>
    <row r="220" spans="59:71" ht="14.5" x14ac:dyDescent="0.35">
      <c r="BG220" s="365"/>
      <c r="BH220" s="448" t="s">
        <v>58</v>
      </c>
      <c r="BI220" s="427" t="s">
        <v>2771</v>
      </c>
      <c r="BJ220" s="427"/>
      <c r="BK220" s="427">
        <f>IFERROR(VLOOKUP($BI220,flows!$A$2:$J$4985,BK$2,FALSE),0)</f>
        <v>0</v>
      </c>
      <c r="BL220" s="427">
        <f>IFERROR(VLOOKUP($BI220,flows!$A$2:$J$4985,BL$2,FALSE),0)</f>
        <v>0</v>
      </c>
      <c r="BM220" s="427">
        <f>IFERROR(VLOOKUP($BI220,flows!$A$2:$J$4985,BM$2,FALSE),0)</f>
        <v>0</v>
      </c>
      <c r="BN220" s="427">
        <f>IFERROR(VLOOKUP($BI220,flows!$A$2:$J$4985,BN$2,FALSE),0)</f>
        <v>0</v>
      </c>
      <c r="BO220" s="427">
        <f>IFERROR(VLOOKUP($BI220,flows!$A$2:$J$4985,BO$2,FALSE),0)</f>
        <v>0</v>
      </c>
      <c r="BP220" s="427">
        <f>IFERROR(VLOOKUP($BI220,flows!$A$2:$J$4985,BP$2,FALSE),0)</f>
        <v>0</v>
      </c>
      <c r="BQ220" s="427">
        <f>IFERROR(VLOOKUP($BI220,flows!$A$2:$J$4985,BQ$2,FALSE),0)</f>
        <v>0</v>
      </c>
      <c r="BR220" s="449">
        <f>IFERROR(VLOOKUP($BI220,flows!$A$2:$J$4985,BR$2,FALSE),0)</f>
        <v>0</v>
      </c>
    </row>
    <row r="221" spans="59:71" ht="14.5" x14ac:dyDescent="0.35">
      <c r="BG221" s="365"/>
      <c r="BH221" s="448" t="s">
        <v>182</v>
      </c>
      <c r="BI221" s="427" t="s">
        <v>2772</v>
      </c>
      <c r="BJ221" s="427"/>
      <c r="BK221" s="427">
        <f>IFERROR(VLOOKUP($BI221,flows!$A$2:$J$4985,BK$2,FALSE),0)</f>
        <v>0</v>
      </c>
      <c r="BL221" s="427">
        <f>IFERROR(VLOOKUP($BI221,flows!$A$2:$J$4985,BL$2,FALSE),0)</f>
        <v>0</v>
      </c>
      <c r="BM221" s="427">
        <f>IFERROR(VLOOKUP($BI221,flows!$A$2:$J$4985,BM$2,FALSE),0)</f>
        <v>0</v>
      </c>
      <c r="BN221" s="427">
        <f>IFERROR(VLOOKUP($BI221,flows!$A$2:$J$4985,BN$2,FALSE),0)</f>
        <v>0</v>
      </c>
      <c r="BO221" s="427">
        <f>IFERROR(VLOOKUP($BI221,flows!$A$2:$J$4985,BO$2,FALSE),0)</f>
        <v>0</v>
      </c>
      <c r="BP221" s="427">
        <f>IFERROR(VLOOKUP($BI221,flows!$A$2:$J$4985,BP$2,FALSE),0)</f>
        <v>0</v>
      </c>
      <c r="BQ221" s="427">
        <f>IFERROR(VLOOKUP($BI221,flows!$A$2:$J$4985,BQ$2,FALSE),0)</f>
        <v>0</v>
      </c>
      <c r="BR221" s="449">
        <f>IFERROR(VLOOKUP($BI221,flows!$A$2:$J$4985,BR$2,FALSE),0)</f>
        <v>0</v>
      </c>
    </row>
    <row r="222" spans="59:71" ht="14.5" x14ac:dyDescent="0.35">
      <c r="BG222" s="365"/>
      <c r="BH222" s="448" t="s">
        <v>512</v>
      </c>
      <c r="BI222" s="427" t="s">
        <v>2773</v>
      </c>
      <c r="BJ222" s="427"/>
      <c r="BK222" s="427">
        <f>IFERROR(VLOOKUP($BI222,flows!$A$2:$J$4985,BK$2,FALSE),0)</f>
        <v>0</v>
      </c>
      <c r="BL222" s="427">
        <f>IFERROR(VLOOKUP($BI222,flows!$A$2:$J$4985,BL$2,FALSE),0)</f>
        <v>0</v>
      </c>
      <c r="BM222" s="427">
        <f>IFERROR(VLOOKUP($BI222,flows!$A$2:$J$4985,BM$2,FALSE),0)</f>
        <v>0</v>
      </c>
      <c r="BN222" s="427">
        <f>IFERROR(VLOOKUP($BI222,flows!$A$2:$J$4985,BN$2,FALSE),0)</f>
        <v>0</v>
      </c>
      <c r="BO222" s="427">
        <f>IFERROR(VLOOKUP($BI222,flows!$A$2:$J$4985,BO$2,FALSE),0)</f>
        <v>0</v>
      </c>
      <c r="BP222" s="427">
        <f>IFERROR(VLOOKUP($BI222,flows!$A$2:$J$4985,BP$2,FALSE),0)</f>
        <v>0</v>
      </c>
      <c r="BQ222" s="427">
        <f>IFERROR(VLOOKUP($BI222,flows!$A$2:$J$4985,BQ$2,FALSE),0)</f>
        <v>0</v>
      </c>
      <c r="BR222" s="449">
        <f>IFERROR(VLOOKUP($BI222,flows!$A$2:$J$4985,BR$2,FALSE),0)</f>
        <v>0</v>
      </c>
    </row>
    <row r="223" spans="59:71" ht="14.5" x14ac:dyDescent="0.35">
      <c r="BG223" s="365"/>
      <c r="BH223" s="448" t="s">
        <v>513</v>
      </c>
      <c r="BI223" s="427" t="s">
        <v>2774</v>
      </c>
      <c r="BJ223" s="427"/>
      <c r="BK223" s="427">
        <f>IFERROR(VLOOKUP($BI223,flows!$A$2:$J$4985,BK$2,FALSE),0)</f>
        <v>0</v>
      </c>
      <c r="BL223" s="427">
        <f>IFERROR(VLOOKUP($BI223,flows!$A$2:$J$4985,BL$2,FALSE),0)</f>
        <v>0</v>
      </c>
      <c r="BM223" s="427">
        <f>IFERROR(VLOOKUP($BI223,flows!$A$2:$J$4985,BM$2,FALSE),0)</f>
        <v>0</v>
      </c>
      <c r="BN223" s="427">
        <f>IFERROR(VLOOKUP($BI223,flows!$A$2:$J$4985,BN$2,FALSE),0)</f>
        <v>0</v>
      </c>
      <c r="BO223" s="427">
        <f>IFERROR(VLOOKUP($BI223,flows!$A$2:$J$4985,BO$2,FALSE),0)</f>
        <v>0</v>
      </c>
      <c r="BP223" s="427">
        <f>IFERROR(VLOOKUP($BI223,flows!$A$2:$J$4985,BP$2,FALSE),0)</f>
        <v>0</v>
      </c>
      <c r="BQ223" s="427">
        <f>IFERROR(VLOOKUP($BI223,flows!$A$2:$J$4985,BQ$2,FALSE),0)</f>
        <v>0</v>
      </c>
      <c r="BR223" s="449">
        <f>IFERROR(VLOOKUP($BI223,flows!$A$2:$J$4985,BR$2,FALSE),0)</f>
        <v>0</v>
      </c>
      <c r="BS223" s="365"/>
    </row>
    <row r="224" spans="59:71" ht="14.5" x14ac:dyDescent="0.35">
      <c r="BG224" s="365"/>
      <c r="BH224" s="448" t="s">
        <v>460</v>
      </c>
      <c r="BI224" s="427" t="s">
        <v>2775</v>
      </c>
      <c r="BJ224" s="427"/>
      <c r="BK224" s="427">
        <f>IFERROR(VLOOKUP($BI224,flows!$A$2:$J$4985,BK$2,FALSE),0)</f>
        <v>0</v>
      </c>
      <c r="BL224" s="427">
        <f>IFERROR(VLOOKUP($BI224,flows!$A$2:$J$4985,BL$2,FALSE),0)</f>
        <v>0</v>
      </c>
      <c r="BM224" s="427">
        <f>IFERROR(VLOOKUP($BI224,flows!$A$2:$J$4985,BM$2,FALSE),0)</f>
        <v>0</v>
      </c>
      <c r="BN224" s="427">
        <f>IFERROR(VLOOKUP($BI224,flows!$A$2:$J$4985,BN$2,FALSE),0)</f>
        <v>0</v>
      </c>
      <c r="BO224" s="427">
        <f>IFERROR(VLOOKUP($BI224,flows!$A$2:$J$4985,BO$2,FALSE),0)</f>
        <v>0</v>
      </c>
      <c r="BP224" s="427">
        <f>IFERROR(VLOOKUP($BI224,flows!$A$2:$J$4985,BP$2,FALSE),0)</f>
        <v>0</v>
      </c>
      <c r="BQ224" s="427">
        <f>IFERROR(VLOOKUP($BI224,flows!$A$2:$J$4985,BQ$2,FALSE),0)</f>
        <v>0</v>
      </c>
      <c r="BR224" s="449">
        <f>IFERROR(VLOOKUP($BI224,flows!$A$2:$J$4985,BR$2,FALSE),0)</f>
        <v>0</v>
      </c>
      <c r="BS224" s="365"/>
    </row>
    <row r="225" spans="59:71" ht="14.5" x14ac:dyDescent="0.35">
      <c r="BG225" s="365"/>
      <c r="BH225" s="448" t="s">
        <v>461</v>
      </c>
      <c r="BI225" s="427" t="s">
        <v>2776</v>
      </c>
      <c r="BJ225" s="427"/>
      <c r="BK225" s="427">
        <f>IFERROR(VLOOKUP($BI225,flows!$A$2:$J$4985,BK$2,FALSE),0)</f>
        <v>0</v>
      </c>
      <c r="BL225" s="427">
        <f>IFERROR(VLOOKUP($BI225,flows!$A$2:$J$4985,BL$2,FALSE),0)</f>
        <v>0</v>
      </c>
      <c r="BM225" s="427">
        <f>IFERROR(VLOOKUP($BI225,flows!$A$2:$J$4985,BM$2,FALSE),0)</f>
        <v>0</v>
      </c>
      <c r="BN225" s="427">
        <f>IFERROR(VLOOKUP($BI225,flows!$A$2:$J$4985,BN$2,FALSE),0)</f>
        <v>0</v>
      </c>
      <c r="BO225" s="427">
        <f>IFERROR(VLOOKUP($BI225,flows!$A$2:$J$4985,BO$2,FALSE),0)</f>
        <v>0</v>
      </c>
      <c r="BP225" s="427">
        <f>IFERROR(VLOOKUP($BI225,flows!$A$2:$J$4985,BP$2,FALSE),0)</f>
        <v>0</v>
      </c>
      <c r="BQ225" s="427">
        <f>IFERROR(VLOOKUP($BI225,flows!$A$2:$J$4985,BQ$2,FALSE),0)</f>
        <v>0</v>
      </c>
      <c r="BR225" s="449">
        <f>IFERROR(VLOOKUP($BI225,flows!$A$2:$J$4985,BR$2,FALSE),0)</f>
        <v>0</v>
      </c>
      <c r="BS225" s="365"/>
    </row>
    <row r="226" spans="59:71" ht="14.5" x14ac:dyDescent="0.35">
      <c r="BG226" s="365"/>
      <c r="BH226" s="450" t="s">
        <v>21</v>
      </c>
      <c r="BI226" s="451" t="s">
        <v>2601</v>
      </c>
      <c r="BJ226" s="451"/>
      <c r="BK226" s="451">
        <f>IFERROR(VLOOKUP($BI226,flows!$A$2:$J$4985,BK$2,FALSE),0)</f>
        <v>0</v>
      </c>
      <c r="BL226" s="451">
        <f>IFERROR(VLOOKUP($BI226,flows!$A$2:$J$4985,BL$2,FALSE),0)</f>
        <v>0</v>
      </c>
      <c r="BM226" s="451">
        <f>IFERROR(VLOOKUP($BI226,flows!$A$2:$J$4985,BM$2,FALSE),0)</f>
        <v>0</v>
      </c>
      <c r="BN226" s="451">
        <f>IFERROR(VLOOKUP($BI226,flows!$A$2:$J$4985,BN$2,FALSE),0)</f>
        <v>0</v>
      </c>
      <c r="BO226" s="451">
        <f>IFERROR(VLOOKUP($BI226,flows!$A$2:$J$4985,BO$2,FALSE),0)</f>
        <v>0</v>
      </c>
      <c r="BP226" s="451">
        <f>IFERROR(VLOOKUP($BI226,flows!$A$2:$J$4985,BP$2,FALSE),0)</f>
        <v>0</v>
      </c>
      <c r="BQ226" s="451">
        <f>IFERROR(VLOOKUP($BI226,flows!$A$2:$J$4985,BQ$2,FALSE),0)</f>
        <v>0</v>
      </c>
      <c r="BR226" s="452">
        <f>IFERROR(VLOOKUP($BI226,flows!$A$2:$J$4985,BR$2,FALSE),0)</f>
        <v>0</v>
      </c>
      <c r="BS226" s="365"/>
    </row>
    <row r="227" spans="59:71" ht="14.5" x14ac:dyDescent="0.35">
      <c r="BG227" s="365"/>
      <c r="BS227" s="365"/>
    </row>
    <row r="228" spans="59:71" ht="15" thickBot="1" x14ac:dyDescent="0.4">
      <c r="BG228" s="365"/>
      <c r="BI228" s="344"/>
      <c r="BJ228" s="365" t="s">
        <v>4047</v>
      </c>
      <c r="BK228" s="365"/>
      <c r="BL228" s="365"/>
      <c r="BM228" s="365"/>
      <c r="BN228" s="365"/>
      <c r="BO228" s="365"/>
      <c r="BP228" s="365"/>
      <c r="BQ228" s="365"/>
      <c r="BR228" s="365"/>
      <c r="BS228" s="365"/>
    </row>
    <row r="229" spans="59:71" ht="14.5" x14ac:dyDescent="0.35">
      <c r="BG229" s="365"/>
      <c r="BI229" s="344"/>
      <c r="BJ229" s="46"/>
      <c r="BK229" s="88" t="s">
        <v>1417</v>
      </c>
      <c r="BL229" s="88">
        <v>2020</v>
      </c>
      <c r="BM229" s="88">
        <v>2025</v>
      </c>
      <c r="BN229" s="88">
        <v>2030</v>
      </c>
      <c r="BO229" s="88">
        <v>2035</v>
      </c>
      <c r="BP229" s="88">
        <v>2040</v>
      </c>
      <c r="BQ229" s="88">
        <v>2045</v>
      </c>
      <c r="BR229" s="391">
        <v>2050</v>
      </c>
      <c r="BS229" s="365"/>
    </row>
    <row r="230" spans="59:71" ht="14.5" x14ac:dyDescent="0.35">
      <c r="BG230" s="365"/>
      <c r="BI230" s="344"/>
      <c r="BJ230" s="343" t="s">
        <v>2811</v>
      </c>
      <c r="BK230" s="344">
        <f t="shared" ref="BK230:BR230" si="65">BK192+BK141</f>
        <v>0</v>
      </c>
      <c r="BL230" s="344">
        <f t="shared" si="65"/>
        <v>0</v>
      </c>
      <c r="BM230" s="344">
        <f t="shared" si="65"/>
        <v>0</v>
      </c>
      <c r="BN230" s="344">
        <f t="shared" si="65"/>
        <v>0</v>
      </c>
      <c r="BO230" s="344">
        <f t="shared" si="65"/>
        <v>0</v>
      </c>
      <c r="BP230" s="344">
        <f t="shared" si="65"/>
        <v>0</v>
      </c>
      <c r="BQ230" s="344">
        <f t="shared" si="65"/>
        <v>0</v>
      </c>
      <c r="BR230" s="344">
        <f t="shared" si="65"/>
        <v>0</v>
      </c>
      <c r="BS230" s="365"/>
    </row>
    <row r="231" spans="59:71" ht="14.5" x14ac:dyDescent="0.35">
      <c r="BG231" s="365"/>
      <c r="BI231" s="344"/>
      <c r="BJ231" s="343" t="s">
        <v>1409</v>
      </c>
      <c r="BK231" s="204" t="e">
        <f>(BK106+BK111+SUM(BK54:BK63))*(1-Erdgas!F16)</f>
        <v>#N/A</v>
      </c>
      <c r="BL231" s="204" t="e">
        <f>(BL106+BL111+SUM(BL54:BL63))*(1-Erdgas!G16)</f>
        <v>#N/A</v>
      </c>
      <c r="BM231" s="204" t="e">
        <f>(BM106+BM111+SUM(BM54:BM63))*(1-Erdgas!H16)</f>
        <v>#N/A</v>
      </c>
      <c r="BN231" s="204" t="e">
        <f>(BN106+BN111+SUM(BN54:BN63))*(1-Erdgas!I16)</f>
        <v>#N/A</v>
      </c>
      <c r="BO231" s="204" t="e">
        <f>(BO106+BO111+SUM(BO54:BO63))*(1-Erdgas!J16)</f>
        <v>#N/A</v>
      </c>
      <c r="BP231" s="204" t="e">
        <f>(BP106+BP111+SUM(BP54:BP63))*(1-Erdgas!K16)</f>
        <v>#N/A</v>
      </c>
      <c r="BQ231" s="204" t="e">
        <f>(BQ106+BQ111+SUM(BQ54:BQ63))*(1-Erdgas!L16)</f>
        <v>#N/A</v>
      </c>
      <c r="BR231" s="204" t="e">
        <f>(BR106+BR111+SUM(BR54:BR63))*(1-Erdgas!M16)</f>
        <v>#N/A</v>
      </c>
      <c r="BS231" s="365"/>
    </row>
    <row r="232" spans="59:71" ht="14.5" x14ac:dyDescent="0.35">
      <c r="BG232" s="365"/>
      <c r="BJ232" s="343" t="s">
        <v>2705</v>
      </c>
      <c r="BK232" s="204">
        <f t="shared" ref="BK232:BR232" si="66">BK110+BK104+SUM(BK82:BK85)+SUM(BK77:BK80)</f>
        <v>1004.9160805443551</v>
      </c>
      <c r="BL232" s="204">
        <f t="shared" si="66"/>
        <v>3007.4203665236382</v>
      </c>
      <c r="BM232" s="204">
        <f t="shared" si="66"/>
        <v>1194.8893285331555</v>
      </c>
      <c r="BN232" s="204">
        <f t="shared" si="66"/>
        <v>751.75098633603966</v>
      </c>
      <c r="BO232" s="204">
        <f t="shared" si="66"/>
        <v>781.89597262337293</v>
      </c>
      <c r="BP232" s="204">
        <f t="shared" si="66"/>
        <v>842.15399965733775</v>
      </c>
      <c r="BQ232" s="204">
        <f t="shared" si="66"/>
        <v>1004.9200025542893</v>
      </c>
      <c r="BR232" s="204">
        <f t="shared" si="66"/>
        <v>0</v>
      </c>
      <c r="BS232" s="365"/>
    </row>
    <row r="233" spans="59:71" ht="14.5" x14ac:dyDescent="0.35">
      <c r="BG233" s="365"/>
      <c r="BJ233" s="343" t="s">
        <v>1502</v>
      </c>
      <c r="BK233" s="204">
        <f>BK107+SUM(BK68:BK71)+BK65</f>
        <v>8001.1875992981868</v>
      </c>
      <c r="BL233" s="204">
        <f t="shared" ref="BL233:BR233" si="67">BL107+SUM(BL68:BL71)+BL65</f>
        <v>0</v>
      </c>
      <c r="BM233" s="204">
        <f t="shared" si="67"/>
        <v>67.099699233844461</v>
      </c>
      <c r="BN233" s="204">
        <f t="shared" si="67"/>
        <v>156.97179700755223</v>
      </c>
      <c r="BO233" s="204">
        <f t="shared" si="67"/>
        <v>5913.0711423766397</v>
      </c>
      <c r="BP233" s="204">
        <f t="shared" si="67"/>
        <v>4088.270380143003</v>
      </c>
      <c r="BQ233" s="204">
        <f t="shared" si="67"/>
        <v>9488.3689969400712</v>
      </c>
      <c r="BR233" s="204">
        <f t="shared" si="67"/>
        <v>0</v>
      </c>
      <c r="BS233" s="365"/>
    </row>
    <row r="234" spans="59:71" ht="14.5" x14ac:dyDescent="0.35">
      <c r="BG234" s="365"/>
      <c r="BJ234" s="343" t="s">
        <v>4052</v>
      </c>
      <c r="BK234" s="314" t="e">
        <f t="shared" ref="BK234:BR234" si="68">SUM(BK66:BK67,BK72)</f>
        <v>#DIV/0!</v>
      </c>
      <c r="BL234" s="314">
        <f t="shared" si="68"/>
        <v>0</v>
      </c>
      <c r="BM234" s="314" t="e">
        <f t="shared" si="68"/>
        <v>#DIV/0!</v>
      </c>
      <c r="BN234" s="314" t="e">
        <f t="shared" si="68"/>
        <v>#DIV/0!</v>
      </c>
      <c r="BO234" s="314" t="e">
        <f t="shared" si="68"/>
        <v>#DIV/0!</v>
      </c>
      <c r="BP234" s="314" t="e">
        <f t="shared" si="68"/>
        <v>#DIV/0!</v>
      </c>
      <c r="BQ234" s="314" t="e">
        <f t="shared" si="68"/>
        <v>#DIV/0!</v>
      </c>
      <c r="BR234" s="314" t="e">
        <f t="shared" si="68"/>
        <v>#DIV/0!</v>
      </c>
      <c r="BS234" s="365"/>
    </row>
    <row r="235" spans="59:71" ht="14.5" x14ac:dyDescent="0.35">
      <c r="BG235" s="365"/>
      <c r="BJ235" s="206" t="s">
        <v>1160</v>
      </c>
      <c r="BK235" s="204">
        <f t="shared" ref="BK235:BR235" si="69">BK115+BK105+SUM(BK5:BK50)</f>
        <v>121433.81017681166</v>
      </c>
      <c r="BL235" s="204">
        <f t="shared" si="69"/>
        <v>27982.603426618065</v>
      </c>
      <c r="BM235" s="204">
        <f t="shared" si="69"/>
        <v>28499.82659498994</v>
      </c>
      <c r="BN235" s="204">
        <f t="shared" si="69"/>
        <v>27008.812676348269</v>
      </c>
      <c r="BO235" s="204">
        <f t="shared" si="69"/>
        <v>38079.553455787398</v>
      </c>
      <c r="BP235" s="204">
        <f t="shared" si="69"/>
        <v>49052.813769170119</v>
      </c>
      <c r="BQ235" s="204">
        <f t="shared" si="69"/>
        <v>119885.19117213918</v>
      </c>
      <c r="BR235" s="204">
        <f t="shared" si="69"/>
        <v>0</v>
      </c>
      <c r="BS235" s="365"/>
    </row>
    <row r="236" spans="59:71" ht="14.5" x14ac:dyDescent="0.35">
      <c r="BG236" s="365"/>
      <c r="BJ236" s="343" t="s">
        <v>2813</v>
      </c>
      <c r="BK236" s="344">
        <f t="shared" ref="BK236:BR236" si="70">BK108+BK112+SUM(BK87:BK91)</f>
        <v>9.3143944734311308</v>
      </c>
      <c r="BL236" s="344">
        <f t="shared" si="70"/>
        <v>1340.0509136971159</v>
      </c>
      <c r="BM236" s="344">
        <f t="shared" si="70"/>
        <v>592.77346204711</v>
      </c>
      <c r="BN236" s="344">
        <f t="shared" si="70"/>
        <v>248.02805905966926</v>
      </c>
      <c r="BO236" s="344">
        <f t="shared" si="70"/>
        <v>216.98308407897272</v>
      </c>
      <c r="BP236" s="344">
        <f t="shared" si="70"/>
        <v>157.04934144740906</v>
      </c>
      <c r="BQ236" s="344">
        <f t="shared" si="70"/>
        <v>9.2402833331500371</v>
      </c>
      <c r="BR236" s="344">
        <f t="shared" si="70"/>
        <v>0</v>
      </c>
      <c r="BS236" s="365"/>
    </row>
    <row r="237" spans="59:71" ht="14.5" x14ac:dyDescent="0.35">
      <c r="BG237" s="365"/>
      <c r="BJ237" s="343" t="s">
        <v>1310</v>
      </c>
      <c r="BK237" s="344">
        <f t="shared" ref="BK237:BR237" si="71">SUM(BK74:BK75)</f>
        <v>0</v>
      </c>
      <c r="BL237" s="344">
        <f t="shared" si="71"/>
        <v>1908.2551995205649</v>
      </c>
      <c r="BM237" s="344">
        <f t="shared" si="71"/>
        <v>1414.225381069318</v>
      </c>
      <c r="BN237" s="344">
        <f t="shared" si="71"/>
        <v>7.4150700442521334E-3</v>
      </c>
      <c r="BO237" s="344">
        <f t="shared" si="71"/>
        <v>1.524383841507091E-3</v>
      </c>
      <c r="BP237" s="344">
        <f t="shared" si="71"/>
        <v>0</v>
      </c>
      <c r="BQ237" s="344">
        <f t="shared" si="71"/>
        <v>0</v>
      </c>
      <c r="BR237" s="344">
        <f t="shared" si="71"/>
        <v>0</v>
      </c>
      <c r="BS237" s="365"/>
    </row>
    <row r="238" spans="59:71" ht="14.5" x14ac:dyDescent="0.35">
      <c r="BG238" s="365"/>
      <c r="BJ238" s="343" t="s">
        <v>1208</v>
      </c>
      <c r="BK238" s="344">
        <f t="shared" ref="BK238:BR238" si="72">BK114+BK96+BK97</f>
        <v>9665.1778147093883</v>
      </c>
      <c r="BL238" s="344">
        <f t="shared" si="72"/>
        <v>0</v>
      </c>
      <c r="BM238" s="344">
        <f t="shared" si="72"/>
        <v>2.7725225165216309E-3</v>
      </c>
      <c r="BN238" s="344">
        <f t="shared" si="72"/>
        <v>7.599008122856956E-6</v>
      </c>
      <c r="BO238" s="344">
        <f t="shared" si="72"/>
        <v>4.4270631102238443E-6</v>
      </c>
      <c r="BP238" s="344">
        <f t="shared" si="72"/>
        <v>8777.6678379653113</v>
      </c>
      <c r="BQ238" s="344">
        <f t="shared" si="72"/>
        <v>9427.550548007921</v>
      </c>
      <c r="BR238" s="344">
        <f t="shared" si="72"/>
        <v>0</v>
      </c>
      <c r="BS238" s="365"/>
    </row>
    <row r="239" spans="59:71" ht="14.5" x14ac:dyDescent="0.35">
      <c r="BG239" s="365"/>
      <c r="BJ239" s="343" t="s">
        <v>4051</v>
      </c>
      <c r="BK239" s="344">
        <f>SUM(BK52:BK53)</f>
        <v>17214.198660314811</v>
      </c>
      <c r="BL239" s="344">
        <f t="shared" ref="BL239:BR239" si="73">SUM(BL52:BL53)</f>
        <v>19605.631090273793</v>
      </c>
      <c r="BM239" s="344">
        <f t="shared" si="73"/>
        <v>21353.03909938287</v>
      </c>
      <c r="BN239" s="344">
        <f t="shared" si="73"/>
        <v>41417.295195019949</v>
      </c>
      <c r="BO239" s="344">
        <f t="shared" si="73"/>
        <v>74570.743320142297</v>
      </c>
      <c r="BP239" s="344">
        <f t="shared" si="73"/>
        <v>127265.77168313506</v>
      </c>
      <c r="BQ239" s="344">
        <f t="shared" si="73"/>
        <v>16988.665586837102</v>
      </c>
      <c r="BR239" s="344">
        <f t="shared" si="73"/>
        <v>0</v>
      </c>
      <c r="BS239" s="365"/>
    </row>
    <row r="240" spans="59:71" ht="14.5" x14ac:dyDescent="0.35">
      <c r="BG240" s="365"/>
      <c r="BJ240" s="343" t="s">
        <v>2681</v>
      </c>
      <c r="BK240" s="344">
        <f>0</f>
        <v>0</v>
      </c>
      <c r="BL240" s="344">
        <f>0</f>
        <v>0</v>
      </c>
      <c r="BM240" s="344">
        <f>0</f>
        <v>0</v>
      </c>
      <c r="BN240" s="344">
        <f>0</f>
        <v>0</v>
      </c>
      <c r="BO240" s="344">
        <f>0</f>
        <v>0</v>
      </c>
      <c r="BP240" s="344">
        <f>0</f>
        <v>0</v>
      </c>
      <c r="BQ240" s="344">
        <f>0</f>
        <v>0</v>
      </c>
      <c r="BR240" s="344">
        <f>0</f>
        <v>0</v>
      </c>
      <c r="BS240" s="365"/>
    </row>
    <row r="241" spans="59:71" ht="14.5" x14ac:dyDescent="0.35">
      <c r="BG241" s="365"/>
      <c r="BJ241" s="343" t="s">
        <v>4053</v>
      </c>
      <c r="BK241" s="313">
        <f t="shared" ref="BK241:BR241" si="74">BK94+BK93</f>
        <v>0.15452616961618831</v>
      </c>
      <c r="BL241" s="313">
        <f t="shared" si="74"/>
        <v>96979.813257444417</v>
      </c>
      <c r="BM241" s="313">
        <f t="shared" si="74"/>
        <v>106775.5944363048</v>
      </c>
      <c r="BN241" s="313">
        <f t="shared" si="74"/>
        <v>102124.94348134314</v>
      </c>
      <c r="BO241" s="313">
        <f t="shared" si="74"/>
        <v>89928.532407881445</v>
      </c>
      <c r="BP241" s="313">
        <f t="shared" si="74"/>
        <v>29875.565885802032</v>
      </c>
      <c r="BQ241" s="313">
        <f t="shared" si="74"/>
        <v>7.1142786453392561E-4</v>
      </c>
      <c r="BR241" s="313">
        <f t="shared" si="74"/>
        <v>0</v>
      </c>
      <c r="BS241" s="365"/>
    </row>
    <row r="242" spans="59:71" ht="14.5" x14ac:dyDescent="0.35">
      <c r="BG242" s="365"/>
      <c r="BI242" s="344"/>
      <c r="BJ242" s="343" t="s">
        <v>4049</v>
      </c>
      <c r="BK242" s="344">
        <v>0</v>
      </c>
      <c r="BL242" s="344">
        <v>0</v>
      </c>
      <c r="BM242" s="344">
        <v>0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365"/>
    </row>
    <row r="243" spans="59:71" ht="14.5" x14ac:dyDescent="0.35">
      <c r="BG243" s="365"/>
      <c r="BH243" s="365"/>
      <c r="BI243" s="344"/>
      <c r="BJ243" s="343" t="s">
        <v>4072</v>
      </c>
      <c r="BK243" s="344">
        <f t="shared" ref="BK243:BR243" si="75">BK100</f>
        <v>0.15232338561629921</v>
      </c>
      <c r="BL243" s="344">
        <f t="shared" si="75"/>
        <v>0</v>
      </c>
      <c r="BM243" s="344">
        <f t="shared" si="75"/>
        <v>17.082474788445118</v>
      </c>
      <c r="BN243" s="344">
        <f t="shared" si="75"/>
        <v>6.1168813937558728E-3</v>
      </c>
      <c r="BO243" s="344">
        <f t="shared" si="75"/>
        <v>1.708588817119109E-3</v>
      </c>
      <c r="BP243" s="344">
        <f t="shared" si="75"/>
        <v>2.4136784454422571E-4</v>
      </c>
      <c r="BQ243" s="344">
        <f t="shared" si="75"/>
        <v>2.8213120300483291E-4</v>
      </c>
      <c r="BR243" s="344">
        <f t="shared" si="75"/>
        <v>0</v>
      </c>
      <c r="BS243" s="365"/>
    </row>
    <row r="244" spans="59:71" ht="14.5" x14ac:dyDescent="0.35">
      <c r="BG244" s="365"/>
      <c r="BH244" s="365"/>
      <c r="BI244" s="344"/>
      <c r="BJ244" s="343" t="s">
        <v>1209</v>
      </c>
      <c r="BK244" s="344" t="e">
        <f>SUM(BK245:BK247)+SUM(BK99:BK100)+((BK106+BK111+SUM(BK54:BK63))*Erdgas!F16)</f>
        <v>#N/A</v>
      </c>
      <c r="BL244" s="344" t="e">
        <f>SUM(BL245:BL247)+SUM(BL99:BL100)+((BL106+BL111+SUM(BL54:BL63))*Erdgas!G16)</f>
        <v>#N/A</v>
      </c>
      <c r="BM244" s="344" t="e">
        <f>SUM(BM245:BM247)+SUM(BM99:BM100)+((BM106+BM111+SUM(BM54:BM63))*Erdgas!H16)</f>
        <v>#N/A</v>
      </c>
      <c r="BN244" s="344" t="e">
        <f>SUM(BN245:BN247)+SUM(BN99:BN100)+((BN106+BN111+SUM(BN54:BN63))*Erdgas!I16)</f>
        <v>#N/A</v>
      </c>
      <c r="BO244" s="344" t="e">
        <f>SUM(BO245:BO247)+SUM(BO99:BO100)+((BO106+BO111+SUM(BO54:BO63))*Erdgas!J16)</f>
        <v>#N/A</v>
      </c>
      <c r="BP244" s="344" t="e">
        <f>SUM(BP245:BP247)+SUM(BP99:BP100)+((BP106+BP111+SUM(BP54:BP63))*Erdgas!K16)</f>
        <v>#N/A</v>
      </c>
      <c r="BQ244" s="344" t="e">
        <f>SUM(BQ245:BQ247)+SUM(BQ99:BQ100)+((BQ106+BQ111+SUM(BQ54:BQ63))*Erdgas!L16)</f>
        <v>#N/A</v>
      </c>
      <c r="BR244" s="344" t="e">
        <f>SUM(BR245:BR247)+SUM(BR99:BR100)+((BR106+BR111+SUM(BR54:BR63))*Erdgas!M16)</f>
        <v>#N/A</v>
      </c>
    </row>
    <row r="245" spans="59:71" ht="14.5" x14ac:dyDescent="0.35">
      <c r="BG245" s="365"/>
      <c r="BH245" s="365"/>
      <c r="BI245" s="344"/>
      <c r="BJ245" s="343" t="s">
        <v>2729</v>
      </c>
      <c r="BK245" s="344">
        <f t="shared" ref="BK245:BR245" si="76">BK113</f>
        <v>0</v>
      </c>
      <c r="BL245" s="344">
        <f t="shared" si="76"/>
        <v>0</v>
      </c>
      <c r="BM245" s="344">
        <f t="shared" si="76"/>
        <v>0</v>
      </c>
      <c r="BN245" s="344">
        <f t="shared" si="76"/>
        <v>0</v>
      </c>
      <c r="BO245" s="344">
        <f t="shared" si="76"/>
        <v>0</v>
      </c>
      <c r="BP245" s="344">
        <f t="shared" si="76"/>
        <v>0</v>
      </c>
      <c r="BQ245" s="344">
        <f t="shared" si="76"/>
        <v>0</v>
      </c>
      <c r="BR245" s="344">
        <f t="shared" si="76"/>
        <v>0</v>
      </c>
    </row>
    <row r="246" spans="59:71" ht="14.5" x14ac:dyDescent="0.35">
      <c r="BG246" s="365"/>
      <c r="BH246" s="365"/>
      <c r="BI246" s="344"/>
      <c r="BJ246" s="343" t="s">
        <v>2812</v>
      </c>
      <c r="BK246" s="344">
        <f t="shared" ref="BK246:BR247" si="77">BK102</f>
        <v>0</v>
      </c>
      <c r="BL246" s="344">
        <f t="shared" si="77"/>
        <v>0</v>
      </c>
      <c r="BM246" s="344">
        <f t="shared" si="77"/>
        <v>0</v>
      </c>
      <c r="BN246" s="344">
        <f t="shared" si="77"/>
        <v>0</v>
      </c>
      <c r="BO246" s="344">
        <f t="shared" si="77"/>
        <v>0</v>
      </c>
      <c r="BP246" s="344">
        <f t="shared" si="77"/>
        <v>0</v>
      </c>
      <c r="BQ246" s="344">
        <f t="shared" si="77"/>
        <v>0</v>
      </c>
      <c r="BR246" s="344">
        <f t="shared" si="77"/>
        <v>0</v>
      </c>
    </row>
    <row r="247" spans="59:71" ht="15" thickBot="1" x14ac:dyDescent="0.4">
      <c r="BG247" s="365"/>
      <c r="BH247" s="365"/>
      <c r="BI247" s="344"/>
      <c r="BJ247" s="201" t="s">
        <v>2714</v>
      </c>
      <c r="BK247" s="347">
        <f t="shared" si="77"/>
        <v>0</v>
      </c>
      <c r="BL247" s="347">
        <f t="shared" si="77"/>
        <v>0</v>
      </c>
      <c r="BM247" s="347">
        <f t="shared" si="77"/>
        <v>0</v>
      </c>
      <c r="BN247" s="347">
        <f t="shared" si="77"/>
        <v>0</v>
      </c>
      <c r="BO247" s="347">
        <f t="shared" si="77"/>
        <v>0</v>
      </c>
      <c r="BP247" s="347">
        <f t="shared" si="77"/>
        <v>0</v>
      </c>
      <c r="BQ247" s="347">
        <f t="shared" si="77"/>
        <v>0</v>
      </c>
      <c r="BR247" s="347">
        <f t="shared" si="77"/>
        <v>0</v>
      </c>
    </row>
    <row r="248" spans="59:71" ht="14.5" x14ac:dyDescent="0.35">
      <c r="BG248" s="365"/>
      <c r="BH248" s="365"/>
      <c r="BI248" s="344"/>
      <c r="BJ248" s="191" t="s">
        <v>2825</v>
      </c>
      <c r="BK248" s="365" t="e">
        <f t="shared" ref="BK248:BR248" si="78">SUM(BK230:BK244)</f>
        <v>#N/A</v>
      </c>
      <c r="BL248" s="365" t="e">
        <f t="shared" si="78"/>
        <v>#N/A</v>
      </c>
      <c r="BM248" s="365" t="e">
        <f t="shared" si="78"/>
        <v>#N/A</v>
      </c>
      <c r="BN248" s="365" t="e">
        <f t="shared" si="78"/>
        <v>#N/A</v>
      </c>
      <c r="BO248" s="365" t="e">
        <f t="shared" si="78"/>
        <v>#N/A</v>
      </c>
      <c r="BP248" s="365" t="e">
        <f t="shared" si="78"/>
        <v>#N/A</v>
      </c>
      <c r="BQ248" s="365" t="e">
        <f t="shared" si="78"/>
        <v>#N/A</v>
      </c>
      <c r="BR248" s="365" t="e">
        <f t="shared" si="78"/>
        <v>#N/A</v>
      </c>
    </row>
    <row r="249" spans="59:71" ht="14.5" x14ac:dyDescent="0.35">
      <c r="BG249" s="365"/>
      <c r="BH249" s="365"/>
      <c r="BI249" s="365"/>
      <c r="BJ249" s="342" t="s">
        <v>4333</v>
      </c>
      <c r="BK249" s="856" t="e">
        <f>SUM(BK234+BK239+BK241+BK243)</f>
        <v>#DIV/0!</v>
      </c>
      <c r="BL249" s="856">
        <f t="shared" ref="BL249:BR249" si="79">SUM(BL234+BL239+BL241+BL243)</f>
        <v>116585.44434771821</v>
      </c>
      <c r="BM249" s="856" t="e">
        <f t="shared" si="79"/>
        <v>#DIV/0!</v>
      </c>
      <c r="BN249" s="856" t="e">
        <f t="shared" si="79"/>
        <v>#DIV/0!</v>
      </c>
      <c r="BO249" s="856" t="e">
        <f t="shared" si="79"/>
        <v>#DIV/0!</v>
      </c>
      <c r="BP249" s="856" t="e">
        <f t="shared" si="79"/>
        <v>#DIV/0!</v>
      </c>
      <c r="BQ249" s="856" t="e">
        <f t="shared" si="79"/>
        <v>#DIV/0!</v>
      </c>
      <c r="BR249" s="856" t="e">
        <f t="shared" si="79"/>
        <v>#DIV/0!</v>
      </c>
    </row>
    <row r="250" spans="59:71" ht="14.5" x14ac:dyDescent="0.35">
      <c r="BG250" s="365"/>
      <c r="BH250" s="365"/>
      <c r="BI250" s="365"/>
      <c r="BJ250" s="342" t="s">
        <v>4334</v>
      </c>
      <c r="BK250" s="856" t="e">
        <f>BK248-BK249</f>
        <v>#N/A</v>
      </c>
      <c r="BL250" s="856" t="e">
        <f t="shared" ref="BL250:BR250" si="80">BL248-BL249</f>
        <v>#N/A</v>
      </c>
      <c r="BM250" s="856" t="e">
        <f t="shared" si="80"/>
        <v>#N/A</v>
      </c>
      <c r="BN250" s="856" t="e">
        <f t="shared" si="80"/>
        <v>#N/A</v>
      </c>
      <c r="BO250" s="856" t="e">
        <f t="shared" si="80"/>
        <v>#N/A</v>
      </c>
      <c r="BP250" s="856" t="e">
        <f t="shared" si="80"/>
        <v>#N/A</v>
      </c>
      <c r="BQ250" s="856" t="e">
        <f t="shared" si="80"/>
        <v>#N/A</v>
      </c>
      <c r="BR250" s="856" t="e">
        <f t="shared" si="80"/>
        <v>#N/A</v>
      </c>
    </row>
    <row r="251" spans="59:71" ht="14.5" x14ac:dyDescent="0.35">
      <c r="BG251" s="365"/>
      <c r="BH251" s="365"/>
      <c r="BI251" s="365"/>
      <c r="BJ251" s="342" t="s">
        <v>4335</v>
      </c>
      <c r="BK251" s="348" t="e">
        <f>SUM(BK234,BK243)/(SUM(BK234,BK239,BK241,BK243))</f>
        <v>#DIV/0!</v>
      </c>
      <c r="BL251" s="348">
        <f t="shared" ref="BL251:BR251" si="81">SUM(BL234,BL243)/(SUM(BL234,BL239,BL241,BL243))</f>
        <v>0</v>
      </c>
      <c r="BM251" s="348" t="e">
        <f t="shared" si="81"/>
        <v>#DIV/0!</v>
      </c>
      <c r="BN251" s="348" t="e">
        <f t="shared" si="81"/>
        <v>#DIV/0!</v>
      </c>
      <c r="BO251" s="348" t="e">
        <f t="shared" si="81"/>
        <v>#DIV/0!</v>
      </c>
      <c r="BP251" s="348" t="e">
        <f t="shared" si="81"/>
        <v>#DIV/0!</v>
      </c>
      <c r="BQ251" s="348" t="e">
        <f t="shared" si="81"/>
        <v>#DIV/0!</v>
      </c>
      <c r="BR251" s="348" t="e">
        <f t="shared" si="81"/>
        <v>#DIV/0!</v>
      </c>
    </row>
    <row r="252" spans="59:71" ht="14.5" x14ac:dyDescent="0.35">
      <c r="BG252" s="365"/>
      <c r="BH252" s="365"/>
      <c r="BI252" s="365"/>
      <c r="BJ252" s="342" t="s">
        <v>4336</v>
      </c>
      <c r="BK252" s="348" t="e">
        <f>(BK233*'Wasserstoff - Produktion'!E20+'Endenergiebedarf nach Sektor'!BK244+'Endenergiebedarf nach Sektor'!BK230*'Wärme - Erzeugung'!D13+'Endenergiebedarf nach Sektor'!BK235*'Strom - Flows'!C20)/'Endenergiebedarf nach Sektor'!BK250</f>
        <v>#N/A</v>
      </c>
      <c r="BL252" s="348" t="e">
        <f>(BL233*'Wasserstoff - Produktion'!F20+'Endenergiebedarf nach Sektor'!BL244+'Endenergiebedarf nach Sektor'!BL230*'Wärme - Erzeugung'!E13+'Endenergiebedarf nach Sektor'!BL235*'Strom - Flows'!D20)/'Endenergiebedarf nach Sektor'!BL250</f>
        <v>#N/A</v>
      </c>
      <c r="BM252" s="348" t="e">
        <f>(BM233*'Wasserstoff - Produktion'!G20+'Endenergiebedarf nach Sektor'!BM244+'Endenergiebedarf nach Sektor'!BM230*'Wärme - Erzeugung'!F13+'Endenergiebedarf nach Sektor'!BM235*'Strom - Flows'!E20)/'Endenergiebedarf nach Sektor'!BM250</f>
        <v>#N/A</v>
      </c>
      <c r="BN252" s="348" t="e">
        <f>(BN233*'Wasserstoff - Produktion'!H20+'Endenergiebedarf nach Sektor'!BN244+'Endenergiebedarf nach Sektor'!BN230*'Wärme - Erzeugung'!G13+'Endenergiebedarf nach Sektor'!BN235*'Strom - Flows'!F20)/'Endenergiebedarf nach Sektor'!BN250</f>
        <v>#N/A</v>
      </c>
      <c r="BO252" s="348" t="e">
        <f>(BO233*'Wasserstoff - Produktion'!I20+'Endenergiebedarf nach Sektor'!BO244+'Endenergiebedarf nach Sektor'!BO230*'Wärme - Erzeugung'!H13+'Endenergiebedarf nach Sektor'!BO235*'Strom - Flows'!G20)/'Endenergiebedarf nach Sektor'!BO250</f>
        <v>#N/A</v>
      </c>
      <c r="BP252" s="348" t="e">
        <f>(BP233*'Wasserstoff - Produktion'!J20+'Endenergiebedarf nach Sektor'!BP244+'Endenergiebedarf nach Sektor'!BP230*'Wärme - Erzeugung'!I13+'Endenergiebedarf nach Sektor'!BP235*'Strom - Flows'!H20)/'Endenergiebedarf nach Sektor'!BP250</f>
        <v>#N/A</v>
      </c>
      <c r="BQ252" s="348" t="e">
        <f>(BQ233*'Wasserstoff - Produktion'!K20+'Endenergiebedarf nach Sektor'!BQ244+'Endenergiebedarf nach Sektor'!BQ230*'Wärme - Erzeugung'!J13+'Endenergiebedarf nach Sektor'!BQ235*'Strom - Flows'!I20)/'Endenergiebedarf nach Sektor'!BQ250</f>
        <v>#N/A</v>
      </c>
      <c r="BR252" s="348" t="e">
        <f>(BR233*'Wasserstoff - Produktion'!L20+'Endenergiebedarf nach Sektor'!BR244+'Endenergiebedarf nach Sektor'!BR230*'Wärme - Erzeugung'!K13+'Endenergiebedarf nach Sektor'!BR235*'Strom - Flows'!J20)/'Endenergiebedarf nach Sektor'!BR250</f>
        <v>#N/A</v>
      </c>
    </row>
    <row r="253" spans="59:71" ht="14.5" x14ac:dyDescent="0.35">
      <c r="BH253" s="365"/>
      <c r="BI253" s="365"/>
      <c r="BJ253" s="365"/>
      <c r="BK253" s="365"/>
      <c r="BL253" s="365"/>
      <c r="BM253" s="365"/>
      <c r="BN253" s="365"/>
      <c r="BO253" s="365"/>
      <c r="BP253" s="365"/>
      <c r="BQ253" s="365"/>
      <c r="BR253" s="365"/>
    </row>
    <row r="254" spans="59:71" ht="14.5" x14ac:dyDescent="0.35">
      <c r="BH254" s="365"/>
      <c r="BI254" s="365"/>
      <c r="BJ254" s="365"/>
      <c r="BK254" s="365"/>
      <c r="BL254" s="365"/>
      <c r="BM254" s="365"/>
      <c r="BN254" s="365"/>
      <c r="BO254" s="365"/>
      <c r="BP254" s="365"/>
      <c r="BQ254" s="365"/>
      <c r="BR254" s="365"/>
    </row>
    <row r="255" spans="59:71" ht="14.5" x14ac:dyDescent="0.35">
      <c r="BH255" s="365"/>
      <c r="BI255" s="365"/>
      <c r="BJ255" s="365"/>
      <c r="BK255" s="365"/>
      <c r="BL255" s="365"/>
      <c r="BM255" s="365"/>
      <c r="BN255" s="365"/>
      <c r="BO255" s="365"/>
      <c r="BP255" s="365"/>
      <c r="BQ255" s="365"/>
      <c r="BR255" s="365"/>
    </row>
    <row r="256" spans="59:71" ht="14.5" x14ac:dyDescent="0.35">
      <c r="BH256" s="365"/>
      <c r="BI256" s="365"/>
      <c r="BJ256" s="365"/>
      <c r="BK256" s="365"/>
      <c r="BL256" s="365"/>
      <c r="BM256" s="365"/>
      <c r="BN256" s="365"/>
      <c r="BO256" s="365"/>
      <c r="BP256" s="365"/>
      <c r="BQ256" s="365"/>
      <c r="BR256" s="365"/>
    </row>
    <row r="257" spans="60:70" ht="14.5" x14ac:dyDescent="0.35">
      <c r="BH257" s="365"/>
      <c r="BI257" s="365"/>
      <c r="BJ257" s="342"/>
      <c r="BK257" s="163"/>
      <c r="BL257" s="163"/>
      <c r="BM257" s="163"/>
      <c r="BN257" s="163"/>
      <c r="BO257" s="163"/>
      <c r="BP257" s="163"/>
      <c r="BQ257" s="163"/>
      <c r="BR257" s="163"/>
    </row>
    <row r="258" spans="60:70" ht="14.5" x14ac:dyDescent="0.35">
      <c r="BH258" s="365"/>
      <c r="BI258" s="365"/>
      <c r="BJ258" s="342"/>
      <c r="BK258" s="163"/>
      <c r="BL258" s="163"/>
      <c r="BM258" s="163"/>
      <c r="BN258" s="163"/>
      <c r="BO258" s="163"/>
      <c r="BP258" s="163"/>
      <c r="BQ258" s="163"/>
      <c r="BR258" s="163"/>
    </row>
    <row r="259" spans="60:70" ht="14.5" x14ac:dyDescent="0.35">
      <c r="BH259" s="365"/>
      <c r="BI259" s="365"/>
      <c r="BJ259" s="342"/>
      <c r="BK259" s="163"/>
      <c r="BL259" s="163"/>
      <c r="BM259" s="163"/>
      <c r="BN259" s="163"/>
      <c r="BO259" s="163"/>
      <c r="BP259" s="163"/>
      <c r="BQ259" s="163"/>
      <c r="BR259" s="163"/>
    </row>
    <row r="260" spans="60:70" ht="14.5" x14ac:dyDescent="0.35">
      <c r="BH260" s="365"/>
      <c r="BI260" s="365"/>
      <c r="BJ260" s="342"/>
      <c r="BK260" s="163"/>
      <c r="BL260" s="163"/>
      <c r="BM260" s="163"/>
      <c r="BN260" s="163"/>
      <c r="BO260" s="163"/>
      <c r="BP260" s="163"/>
      <c r="BQ260" s="163"/>
      <c r="BR260" s="163"/>
    </row>
    <row r="261" spans="60:70" ht="14.5" x14ac:dyDescent="0.35">
      <c r="BH261" s="365"/>
      <c r="BI261" s="365"/>
      <c r="BJ261" s="342"/>
      <c r="BK261" s="163"/>
      <c r="BL261" s="163"/>
      <c r="BM261" s="163"/>
      <c r="BN261" s="163"/>
      <c r="BO261" s="163"/>
      <c r="BP261" s="163"/>
      <c r="BQ261" s="163"/>
      <c r="BR261" s="163"/>
    </row>
    <row r="262" spans="60:70" ht="14.5" x14ac:dyDescent="0.35">
      <c r="BH262" s="365"/>
      <c r="BI262" s="365"/>
      <c r="BJ262" s="342"/>
      <c r="BK262" s="163"/>
      <c r="BL262" s="163"/>
      <c r="BM262" s="163"/>
      <c r="BN262" s="163"/>
      <c r="BO262" s="163"/>
      <c r="BP262" s="163"/>
      <c r="BQ262" s="163"/>
      <c r="BR262" s="163"/>
    </row>
    <row r="263" spans="60:70" ht="14.5" x14ac:dyDescent="0.35">
      <c r="BH263" s="365"/>
      <c r="BI263" s="365"/>
      <c r="BJ263" s="342"/>
      <c r="BK263" s="163"/>
      <c r="BL263" s="163"/>
      <c r="BM263" s="163"/>
      <c r="BN263" s="163"/>
      <c r="BO263" s="163"/>
      <c r="BP263" s="163"/>
      <c r="BQ263" s="163"/>
      <c r="BR263" s="163"/>
    </row>
    <row r="264" spans="60:70" ht="14.5" x14ac:dyDescent="0.35">
      <c r="BH264" s="365"/>
      <c r="BI264" s="365"/>
      <c r="BJ264" s="342"/>
      <c r="BK264" s="163"/>
      <c r="BL264" s="163"/>
      <c r="BM264" s="163"/>
      <c r="BN264" s="163"/>
      <c r="BO264" s="163"/>
      <c r="BP264" s="163"/>
      <c r="BQ264" s="163"/>
      <c r="BR264" s="163"/>
    </row>
    <row r="265" spans="60:70" ht="14.5" x14ac:dyDescent="0.35">
      <c r="BH265" s="365"/>
      <c r="BI265" s="365"/>
      <c r="BJ265" s="342"/>
      <c r="BK265" s="163"/>
      <c r="BL265" s="163"/>
      <c r="BM265" s="163"/>
      <c r="BN265" s="163"/>
      <c r="BO265" s="163"/>
      <c r="BP265" s="163"/>
      <c r="BQ265" s="163"/>
      <c r="BR265" s="163"/>
    </row>
    <row r="266" spans="60:70" ht="14.5" x14ac:dyDescent="0.35">
      <c r="BH266" s="365"/>
      <c r="BI266" s="365"/>
      <c r="BJ266" s="195"/>
      <c r="BK266" s="163"/>
      <c r="BL266" s="163"/>
      <c r="BM266" s="163"/>
      <c r="BN266" s="163"/>
      <c r="BO266" s="163"/>
      <c r="BP266" s="163"/>
      <c r="BQ266" s="163"/>
      <c r="BR266" s="163"/>
    </row>
    <row r="267" spans="60:70" ht="14.5" x14ac:dyDescent="0.35">
      <c r="BH267" s="365"/>
      <c r="BI267" s="365"/>
      <c r="BJ267" s="194"/>
      <c r="BK267" s="163"/>
      <c r="BL267" s="163"/>
      <c r="BM267" s="163"/>
      <c r="BN267" s="163"/>
      <c r="BO267" s="163"/>
      <c r="BP267" s="163"/>
      <c r="BQ267" s="163"/>
      <c r="BR267" s="163"/>
    </row>
    <row r="268" spans="60:70" ht="14.5" x14ac:dyDescent="0.35">
      <c r="BH268" s="365"/>
      <c r="BI268" s="365"/>
      <c r="BJ268" s="199"/>
      <c r="BK268" s="163"/>
      <c r="BL268" s="163"/>
      <c r="BM268" s="163"/>
      <c r="BN268" s="163"/>
      <c r="BO268" s="163"/>
      <c r="BP268" s="163"/>
      <c r="BQ268" s="163"/>
      <c r="BR268" s="163"/>
    </row>
    <row r="269" spans="60:70" ht="14.5" x14ac:dyDescent="0.35">
      <c r="BH269" s="365"/>
      <c r="BI269" s="365"/>
      <c r="BJ269" s="199"/>
      <c r="BK269" s="163"/>
      <c r="BL269" s="163"/>
      <c r="BM269" s="163"/>
      <c r="BN269" s="163"/>
      <c r="BO269" s="163"/>
      <c r="BP269" s="163"/>
      <c r="BQ269" s="163"/>
      <c r="BR269" s="163"/>
    </row>
    <row r="270" spans="60:70" ht="14.5" x14ac:dyDescent="0.35">
      <c r="BH270" s="365"/>
      <c r="BI270" s="365"/>
      <c r="BJ270" s="199"/>
      <c r="BK270" s="163"/>
      <c r="BL270" s="163"/>
      <c r="BM270" s="163"/>
      <c r="BN270" s="163"/>
      <c r="BO270" s="163"/>
      <c r="BP270" s="163"/>
      <c r="BQ270" s="163"/>
      <c r="BR270" s="163"/>
    </row>
    <row r="271" spans="60:70" ht="14.5" x14ac:dyDescent="0.35">
      <c r="BH271" s="365"/>
      <c r="BI271" s="365"/>
      <c r="BJ271" s="199"/>
      <c r="BK271" s="163"/>
      <c r="BL271" s="163"/>
      <c r="BM271" s="163"/>
      <c r="BN271" s="163"/>
      <c r="BO271" s="163"/>
      <c r="BP271" s="163"/>
      <c r="BQ271" s="163"/>
      <c r="BR271" s="163"/>
    </row>
    <row r="272" spans="60:70" ht="14.5" x14ac:dyDescent="0.35">
      <c r="BH272" s="365"/>
      <c r="BI272" s="365"/>
      <c r="BJ272" s="199"/>
      <c r="BK272" s="163"/>
      <c r="BL272" s="163"/>
      <c r="BM272" s="163"/>
      <c r="BN272" s="163"/>
      <c r="BO272" s="163"/>
      <c r="BP272" s="163"/>
      <c r="BQ272" s="163"/>
      <c r="BR272" s="163"/>
    </row>
    <row r="273" spans="60:72" ht="14.5" x14ac:dyDescent="0.35">
      <c r="BH273" s="365"/>
      <c r="BI273" s="365"/>
      <c r="BJ273" s="199" t="s">
        <v>4058</v>
      </c>
      <c r="BK273" s="163"/>
      <c r="BL273" s="163"/>
      <c r="BM273" s="163"/>
      <c r="BN273" s="163"/>
      <c r="BO273" s="163"/>
      <c r="BP273" s="163"/>
      <c r="BQ273" s="163"/>
      <c r="BR273" s="163"/>
    </row>
    <row r="274" spans="60:72" ht="14.5" x14ac:dyDescent="0.35">
      <c r="BH274" s="365"/>
      <c r="BI274" s="365"/>
      <c r="BJ274" s="199" t="s">
        <v>2716</v>
      </c>
      <c r="BK274" s="163">
        <f t="shared" ref="BK274:BR274" si="82">SUM(BK9,BK11:BK13,BK15:BK17,BK19)</f>
        <v>0</v>
      </c>
      <c r="BL274" s="163">
        <f t="shared" si="82"/>
        <v>0</v>
      </c>
      <c r="BM274" s="163">
        <f t="shared" si="82"/>
        <v>0</v>
      </c>
      <c r="BN274" s="163">
        <f t="shared" si="82"/>
        <v>0</v>
      </c>
      <c r="BO274" s="163">
        <f t="shared" si="82"/>
        <v>0</v>
      </c>
      <c r="BP274" s="163">
        <f t="shared" si="82"/>
        <v>0</v>
      </c>
      <c r="BQ274" s="163">
        <f t="shared" si="82"/>
        <v>0</v>
      </c>
      <c r="BR274" s="163">
        <f t="shared" si="82"/>
        <v>0</v>
      </c>
    </row>
    <row r="275" spans="60:72" ht="14.5" x14ac:dyDescent="0.35">
      <c r="BH275" s="365"/>
      <c r="BI275" s="365"/>
      <c r="BJ275" s="199" t="s">
        <v>4060</v>
      </c>
      <c r="BK275" s="163" t="e">
        <f>'Prozesswärme - Energieträger'!D12*'Prozesswärme - Bedarf'!D8</f>
        <v>#N/A</v>
      </c>
      <c r="BL275" s="163" t="e">
        <f>'Prozesswärme - Energieträger'!E12*'Prozesswärme - Bedarf'!E8</f>
        <v>#N/A</v>
      </c>
      <c r="BM275" s="163" t="e">
        <f>'Prozesswärme - Energieträger'!F12*'Prozesswärme - Bedarf'!F8</f>
        <v>#N/A</v>
      </c>
      <c r="BN275" s="163" t="e">
        <f>'Prozesswärme - Energieträger'!G12*'Prozesswärme - Bedarf'!G8</f>
        <v>#N/A</v>
      </c>
      <c r="BO275" s="163" t="e">
        <f>'Prozesswärme - Energieträger'!H12*'Prozesswärme - Bedarf'!H8</f>
        <v>#N/A</v>
      </c>
      <c r="BP275" s="163" t="e">
        <f>'Prozesswärme - Energieträger'!I12*'Prozesswärme - Bedarf'!I8</f>
        <v>#N/A</v>
      </c>
      <c r="BQ275" s="163" t="e">
        <f>'Prozesswärme - Energieträger'!J12*'Prozesswärme - Bedarf'!J8</f>
        <v>#N/A</v>
      </c>
      <c r="BR275" s="163" t="e">
        <f>'Prozesswärme - Energieträger'!K12*'Prozesswärme - Bedarf'!K8</f>
        <v>#N/A</v>
      </c>
    </row>
    <row r="276" spans="60:72" ht="14.5" x14ac:dyDescent="0.35">
      <c r="BH276" s="365"/>
      <c r="BI276" s="365"/>
      <c r="BJ276" s="199" t="s">
        <v>4061</v>
      </c>
      <c r="BK276" s="163" t="e">
        <f>1-(SUM(BK274:BK275)/BK248)</f>
        <v>#N/A</v>
      </c>
      <c r="BL276" s="163" t="e">
        <f t="shared" ref="BL276:BR276" si="83">1-(SUM(BL274:BL275)/BL248)</f>
        <v>#N/A</v>
      </c>
      <c r="BM276" s="163" t="e">
        <f t="shared" si="83"/>
        <v>#N/A</v>
      </c>
      <c r="BN276" s="163" t="e">
        <f t="shared" si="83"/>
        <v>#N/A</v>
      </c>
      <c r="BO276" s="163" t="e">
        <f t="shared" si="83"/>
        <v>#N/A</v>
      </c>
      <c r="BP276" s="163" t="e">
        <f t="shared" si="83"/>
        <v>#N/A</v>
      </c>
      <c r="BQ276" s="163" t="e">
        <f t="shared" si="83"/>
        <v>#N/A</v>
      </c>
      <c r="BR276" s="163" t="e">
        <f t="shared" si="83"/>
        <v>#N/A</v>
      </c>
    </row>
    <row r="277" spans="60:72" ht="14.5" x14ac:dyDescent="0.35">
      <c r="BH277" s="365"/>
      <c r="BI277" s="365"/>
      <c r="BK277" s="163"/>
      <c r="BL277" s="163"/>
      <c r="BM277" s="163"/>
      <c r="BN277" s="163"/>
      <c r="BO277" s="163"/>
      <c r="BP277" s="163"/>
      <c r="BQ277" s="163"/>
      <c r="BR277" s="163"/>
    </row>
    <row r="278" spans="60:72" ht="14.5" x14ac:dyDescent="0.35">
      <c r="BH278" s="365"/>
      <c r="BI278" s="365"/>
      <c r="BJ278" s="345" t="s">
        <v>4063</v>
      </c>
      <c r="BK278" s="267" t="e">
        <f>SUM(BK276:BR276)/8</f>
        <v>#N/A</v>
      </c>
      <c r="BL278" s="163"/>
      <c r="BM278" s="163"/>
      <c r="BN278" s="163"/>
      <c r="BO278" s="163"/>
      <c r="BP278" s="163"/>
      <c r="BQ278" s="163"/>
      <c r="BR278" s="163"/>
    </row>
    <row r="279" spans="60:72" ht="14.5" x14ac:dyDescent="0.35">
      <c r="BI279" s="365"/>
      <c r="BJ279" s="199"/>
      <c r="BK279" s="163"/>
      <c r="BL279" s="163"/>
      <c r="BM279" s="163"/>
      <c r="BN279" s="163"/>
      <c r="BO279" s="163"/>
      <c r="BP279" s="163"/>
      <c r="BQ279" s="163"/>
      <c r="BR279" s="163"/>
    </row>
    <row r="280" spans="60:72" ht="14.5" x14ac:dyDescent="0.35">
      <c r="BI280" s="365"/>
      <c r="BJ280" s="199"/>
      <c r="BK280" s="163"/>
      <c r="BL280" s="163"/>
      <c r="BM280" s="163"/>
      <c r="BN280" s="163"/>
      <c r="BO280" s="163"/>
      <c r="BP280" s="163"/>
      <c r="BQ280" s="163"/>
      <c r="BR280" s="163"/>
    </row>
    <row r="281" spans="60:72" ht="14.5" x14ac:dyDescent="0.35">
      <c r="BI281" s="365"/>
      <c r="BJ281" s="199"/>
      <c r="BK281" s="163"/>
      <c r="BL281" s="163"/>
      <c r="BM281" s="163"/>
      <c r="BN281" s="163"/>
      <c r="BO281" s="163"/>
      <c r="BP281" s="163"/>
      <c r="BQ281" s="163"/>
      <c r="BR281" s="163"/>
    </row>
    <row r="282" spans="60:72" ht="14.5" x14ac:dyDescent="0.35">
      <c r="BI282" s="365"/>
      <c r="BJ282" s="199"/>
      <c r="BK282" s="163"/>
      <c r="BL282" s="163"/>
      <c r="BM282" s="163"/>
      <c r="BN282" s="163"/>
      <c r="BO282" s="163"/>
      <c r="BP282" s="163"/>
      <c r="BQ282" s="163"/>
      <c r="BR282" s="163"/>
    </row>
    <row r="283" spans="60:72" ht="14.5" x14ac:dyDescent="0.35">
      <c r="BI283" s="365"/>
      <c r="BJ283" s="199"/>
      <c r="BK283" s="163"/>
      <c r="BL283" s="163"/>
      <c r="BM283" s="163"/>
      <c r="BN283" s="163"/>
      <c r="BO283" s="163"/>
      <c r="BP283" s="163"/>
      <c r="BQ283" s="163"/>
      <c r="BR283" s="163"/>
    </row>
    <row r="284" spans="60:72" ht="14.5" x14ac:dyDescent="0.35">
      <c r="BI284" s="365"/>
      <c r="BJ284" s="199"/>
      <c r="BK284" s="862"/>
      <c r="BL284" s="862"/>
      <c r="BM284" s="862"/>
      <c r="BN284" s="862"/>
      <c r="BO284" s="862"/>
      <c r="BP284" s="862"/>
      <c r="BQ284" s="163"/>
      <c r="BR284" s="163"/>
    </row>
    <row r="285" spans="60:72" ht="14.5" x14ac:dyDescent="0.35">
      <c r="BI285" s="365"/>
      <c r="BJ285" s="199"/>
      <c r="BK285" s="342"/>
      <c r="BL285" s="889" t="s">
        <v>4324</v>
      </c>
      <c r="BM285" s="342"/>
      <c r="BN285" s="890" t="s">
        <v>4331</v>
      </c>
      <c r="BO285" s="342"/>
      <c r="BP285" s="342"/>
      <c r="BQ285" s="163"/>
      <c r="BR285" s="163"/>
    </row>
    <row r="286" spans="60:72" ht="14.5" x14ac:dyDescent="0.35">
      <c r="BI286" s="365"/>
      <c r="BJ286" s="199"/>
      <c r="BK286" s="342"/>
      <c r="BL286" s="342" t="s">
        <v>1468</v>
      </c>
      <c r="BM286" s="342" t="s">
        <v>2210</v>
      </c>
      <c r="BN286" s="342" t="s">
        <v>3210</v>
      </c>
      <c r="BO286" s="342" t="s">
        <v>2210</v>
      </c>
      <c r="BP286" s="321" t="s">
        <v>4332</v>
      </c>
      <c r="BQ286" s="163"/>
      <c r="BR286" s="163"/>
    </row>
    <row r="287" spans="60:72" ht="14.5" x14ac:dyDescent="0.35">
      <c r="BI287" s="365"/>
      <c r="BJ287" s="199"/>
      <c r="BK287" s="342" t="s">
        <v>1342</v>
      </c>
      <c r="BL287" s="342">
        <v>331.84300000000002</v>
      </c>
      <c r="BM287" s="342">
        <f>BL287/3.6</f>
        <v>92.17861111111111</v>
      </c>
      <c r="BN287" s="342">
        <f>BL232</f>
        <v>3007.4203665236382</v>
      </c>
      <c r="BO287" s="342">
        <f>BN287/1000</f>
        <v>3.0074203665236383</v>
      </c>
      <c r="BP287" s="862">
        <f t="shared" ref="BP287:BP295" si="84">ROUND(BN287/1000-BM287,0)</f>
        <v>-89</v>
      </c>
      <c r="BQ287" s="163"/>
      <c r="BR287" s="163"/>
    </row>
    <row r="288" spans="60:72" ht="14.5" x14ac:dyDescent="0.35">
      <c r="BI288" s="365"/>
      <c r="BJ288" s="365"/>
      <c r="BK288" s="342" t="s">
        <v>1343</v>
      </c>
      <c r="BL288" s="342">
        <v>71.722999999999999</v>
      </c>
      <c r="BM288" s="342">
        <f t="shared" ref="BM288:BM294" si="85">BL288/3.6</f>
        <v>19.923055555555553</v>
      </c>
      <c r="BN288" s="342">
        <f>BL237</f>
        <v>1908.2551995205649</v>
      </c>
      <c r="BO288" s="342">
        <f t="shared" ref="BO288:BO295" si="86">BN288/1000</f>
        <v>1.908255199520565</v>
      </c>
      <c r="BP288" s="862">
        <f t="shared" si="84"/>
        <v>-18</v>
      </c>
      <c r="BQ288" s="365"/>
      <c r="BR288" s="365"/>
      <c r="BT288" s="365"/>
    </row>
    <row r="289" spans="61:72" ht="14.5" x14ac:dyDescent="0.35">
      <c r="BI289" s="365"/>
      <c r="BJ289" s="365"/>
      <c r="BK289" s="342" t="s">
        <v>4326</v>
      </c>
      <c r="BL289" s="342">
        <v>59</v>
      </c>
      <c r="BM289" s="342">
        <f t="shared" si="85"/>
        <v>16.388888888888889</v>
      </c>
      <c r="BN289" s="342">
        <f>BL236</f>
        <v>1340.0509136971159</v>
      </c>
      <c r="BO289" s="342">
        <f t="shared" si="86"/>
        <v>1.3400509136971159</v>
      </c>
      <c r="BP289" s="862">
        <f t="shared" si="84"/>
        <v>-15</v>
      </c>
      <c r="BQ289" s="365"/>
      <c r="BR289" s="365"/>
      <c r="BT289" s="365"/>
    </row>
    <row r="290" spans="61:72" ht="14.5" x14ac:dyDescent="0.35">
      <c r="BI290" s="365"/>
      <c r="BJ290" s="365"/>
      <c r="BK290" s="342" t="s">
        <v>4327</v>
      </c>
      <c r="BL290" s="342">
        <v>922.1</v>
      </c>
      <c r="BM290" s="342">
        <f t="shared" si="85"/>
        <v>256.13888888888891</v>
      </c>
      <c r="BN290" s="342" t="e">
        <f>BL231</f>
        <v>#N/A</v>
      </c>
      <c r="BO290" s="342" t="e">
        <f t="shared" si="86"/>
        <v>#N/A</v>
      </c>
      <c r="BP290" s="862" t="e">
        <f t="shared" si="84"/>
        <v>#N/A</v>
      </c>
      <c r="BQ290" s="365"/>
      <c r="BR290" s="365"/>
      <c r="BT290" s="365"/>
    </row>
    <row r="291" spans="61:72" ht="14.5" x14ac:dyDescent="0.35">
      <c r="BI291" s="365"/>
      <c r="BJ291" s="365"/>
      <c r="BK291" s="342" t="s">
        <v>4328</v>
      </c>
      <c r="BL291" s="342">
        <v>111.437</v>
      </c>
      <c r="BM291" s="342">
        <f t="shared" si="85"/>
        <v>30.95472222222222</v>
      </c>
      <c r="BN291" s="342" t="e">
        <f>BL244</f>
        <v>#N/A</v>
      </c>
      <c r="BO291" s="342" t="e">
        <f t="shared" si="86"/>
        <v>#N/A</v>
      </c>
      <c r="BP291" s="862" t="e">
        <f t="shared" si="84"/>
        <v>#N/A</v>
      </c>
      <c r="BQ291" s="365"/>
      <c r="BR291" s="365"/>
      <c r="BT291" s="365"/>
    </row>
    <row r="292" spans="61:72" ht="14.5" x14ac:dyDescent="0.35">
      <c r="BI292" s="365"/>
      <c r="BJ292" s="365"/>
      <c r="BK292" s="342" t="s">
        <v>4329</v>
      </c>
      <c r="BL292" s="342">
        <v>73.472999999999999</v>
      </c>
      <c r="BM292" s="342">
        <f t="shared" si="85"/>
        <v>20.409166666666668</v>
      </c>
      <c r="BN292" s="342">
        <f>BL238</f>
        <v>0</v>
      </c>
      <c r="BO292" s="342">
        <f t="shared" si="86"/>
        <v>0</v>
      </c>
      <c r="BP292" s="862">
        <f t="shared" si="84"/>
        <v>-20</v>
      </c>
      <c r="BQ292" s="365"/>
      <c r="BR292" s="365"/>
      <c r="BT292" s="365"/>
    </row>
    <row r="293" spans="61:72" ht="14.5" x14ac:dyDescent="0.35">
      <c r="BI293" s="365"/>
      <c r="BJ293" s="365"/>
      <c r="BK293" s="342" t="s">
        <v>1344</v>
      </c>
      <c r="BL293" s="342">
        <v>784.73500000000001</v>
      </c>
      <c r="BM293" s="342">
        <f t="shared" si="85"/>
        <v>217.98194444444445</v>
      </c>
      <c r="BN293" s="342">
        <f>BL235</f>
        <v>27982.603426618065</v>
      </c>
      <c r="BO293" s="342">
        <f t="shared" si="86"/>
        <v>27.982603426618066</v>
      </c>
      <c r="BP293" s="862">
        <f t="shared" si="84"/>
        <v>-190</v>
      </c>
      <c r="BQ293" s="365"/>
      <c r="BR293" s="365"/>
      <c r="BT293" s="365"/>
    </row>
    <row r="294" spans="61:72" ht="14.5" x14ac:dyDescent="0.35">
      <c r="BI294" s="365"/>
      <c r="BJ294" s="365"/>
      <c r="BK294" s="342" t="s">
        <v>1345</v>
      </c>
      <c r="BL294" s="342">
        <v>181.595</v>
      </c>
      <c r="BM294" s="342">
        <f t="shared" si="85"/>
        <v>50.443055555555553</v>
      </c>
      <c r="BN294" s="342">
        <f>BL230</f>
        <v>0</v>
      </c>
      <c r="BO294" s="342">
        <f t="shared" si="86"/>
        <v>0</v>
      </c>
      <c r="BP294" s="862">
        <f t="shared" si="84"/>
        <v>-50</v>
      </c>
      <c r="BQ294" s="365"/>
      <c r="BR294" s="365"/>
      <c r="BT294" s="365"/>
    </row>
    <row r="295" spans="61:72" ht="14.5" x14ac:dyDescent="0.35">
      <c r="BI295" s="365"/>
      <c r="BJ295" s="365"/>
      <c r="BK295" s="342" t="s">
        <v>1339</v>
      </c>
      <c r="BL295" s="862">
        <f>SUM(BL287:BL294)</f>
        <v>2535.9059999999999</v>
      </c>
      <c r="BM295" s="342">
        <f>BL295/3.6</f>
        <v>704.41833333333329</v>
      </c>
      <c r="BN295" s="342" t="e">
        <f>SUM(BN287:BN294)</f>
        <v>#N/A</v>
      </c>
      <c r="BO295" s="342" t="e">
        <f t="shared" si="86"/>
        <v>#N/A</v>
      </c>
      <c r="BP295" s="862" t="e">
        <f t="shared" si="84"/>
        <v>#N/A</v>
      </c>
      <c r="BQ295" s="365"/>
      <c r="BR295" s="365"/>
      <c r="BT295" s="365"/>
    </row>
    <row r="296" spans="61:72" ht="14.5" x14ac:dyDescent="0.35">
      <c r="BI296" s="365"/>
      <c r="BJ296" s="365"/>
      <c r="BK296" s="365"/>
      <c r="BL296" s="365"/>
      <c r="BM296" s="365"/>
      <c r="BN296" s="365"/>
      <c r="BO296" s="365"/>
      <c r="BP296" s="365"/>
      <c r="BQ296" s="365"/>
      <c r="BR296" s="365"/>
      <c r="BT296" s="365"/>
    </row>
    <row r="297" spans="61:72" ht="14.5" x14ac:dyDescent="0.35">
      <c r="BI297" s="365"/>
      <c r="BJ297" s="365"/>
      <c r="BK297" s="365"/>
      <c r="BL297" s="365"/>
      <c r="BM297" s="365"/>
      <c r="BN297" s="365"/>
      <c r="BO297" s="365"/>
      <c r="BP297" s="365"/>
      <c r="BQ297" s="365"/>
      <c r="BR297" s="365"/>
      <c r="BT297" s="365"/>
    </row>
    <row r="298" spans="61:72" ht="14.5" x14ac:dyDescent="0.35">
      <c r="BI298" s="365"/>
      <c r="BJ298" s="365"/>
      <c r="BK298" s="365"/>
      <c r="BL298" s="365"/>
      <c r="BM298" s="365"/>
      <c r="BN298" s="365"/>
      <c r="BO298" s="365"/>
      <c r="BP298" s="365"/>
      <c r="BQ298" s="365"/>
      <c r="BR298" s="365"/>
      <c r="BT298" s="365"/>
    </row>
    <row r="299" spans="61:72" ht="14.5" x14ac:dyDescent="0.35">
      <c r="BI299" s="365"/>
      <c r="BJ299" s="365"/>
      <c r="BK299" s="365"/>
      <c r="BL299" s="365"/>
      <c r="BM299" s="365"/>
      <c r="BN299" s="365"/>
      <c r="BO299" s="365"/>
      <c r="BP299" s="365"/>
      <c r="BQ299" s="365"/>
      <c r="BR299" s="365"/>
      <c r="BT299" s="365"/>
    </row>
    <row r="300" spans="61:72" ht="14.5" x14ac:dyDescent="0.35">
      <c r="BI300" s="365"/>
      <c r="BJ300" s="365"/>
      <c r="BK300" s="365"/>
      <c r="BL300" s="365"/>
      <c r="BM300" s="365"/>
      <c r="BN300" s="365"/>
      <c r="BO300" s="365"/>
      <c r="BP300" s="365"/>
      <c r="BQ300" s="365"/>
      <c r="BR300" s="365"/>
      <c r="BT300" s="365"/>
    </row>
    <row r="301" spans="61:72" ht="14.5" x14ac:dyDescent="0.35">
      <c r="BI301" s="365"/>
      <c r="BJ301" s="365"/>
      <c r="BK301" s="365"/>
      <c r="BL301" s="365"/>
      <c r="BM301" s="365"/>
      <c r="BN301" s="365"/>
      <c r="BO301" s="365"/>
      <c r="BP301" s="365"/>
      <c r="BQ301" s="365"/>
      <c r="BR301" s="365"/>
      <c r="BT301" s="365"/>
    </row>
    <row r="302" spans="61:72" ht="14.5" x14ac:dyDescent="0.35">
      <c r="BI302" s="365"/>
      <c r="BJ302" s="365"/>
      <c r="BK302" s="365"/>
      <c r="BL302" s="365"/>
      <c r="BM302" s="365"/>
      <c r="BN302" s="365"/>
      <c r="BO302" s="365"/>
      <c r="BP302" s="365"/>
      <c r="BQ302" s="365"/>
      <c r="BR302" s="365"/>
      <c r="BT302" s="365"/>
    </row>
    <row r="303" spans="61:72" ht="14.5" x14ac:dyDescent="0.35">
      <c r="BI303" s="365"/>
      <c r="BJ303" s="365"/>
      <c r="BK303" s="365"/>
      <c r="BL303" s="365"/>
      <c r="BM303" s="365"/>
      <c r="BN303" s="365"/>
      <c r="BO303" s="365"/>
      <c r="BP303" s="365"/>
      <c r="BQ303" s="365"/>
      <c r="BR303" s="365"/>
      <c r="BT303" s="365"/>
    </row>
    <row r="304" spans="61:72" ht="14.5" x14ac:dyDescent="0.35">
      <c r="BI304" s="365"/>
      <c r="BJ304" s="365"/>
      <c r="BK304" s="365"/>
      <c r="BL304" s="365"/>
      <c r="BM304" s="365"/>
      <c r="BN304" s="365"/>
      <c r="BO304" s="365"/>
      <c r="BP304" s="365"/>
      <c r="BQ304" s="365"/>
      <c r="BR304" s="365"/>
      <c r="BT304" s="365"/>
    </row>
    <row r="305" spans="61:72" ht="14.5" x14ac:dyDescent="0.35">
      <c r="BI305" s="365"/>
      <c r="BJ305" s="365"/>
      <c r="BK305" s="365"/>
      <c r="BL305" s="365"/>
      <c r="BM305" s="365"/>
      <c r="BN305" s="365"/>
      <c r="BO305" s="365"/>
      <c r="BP305" s="365"/>
      <c r="BQ305" s="365"/>
      <c r="BR305" s="365"/>
      <c r="BT305" s="365"/>
    </row>
    <row r="306" spans="61:72" ht="14.5" x14ac:dyDescent="0.35">
      <c r="BI306" s="365"/>
      <c r="BJ306" s="365"/>
      <c r="BK306" s="365"/>
      <c r="BL306" s="365"/>
      <c r="BM306" s="365"/>
      <c r="BN306" s="365"/>
      <c r="BO306" s="365"/>
      <c r="BP306" s="365"/>
      <c r="BQ306" s="365"/>
      <c r="BR306" s="365"/>
      <c r="BT306" s="365"/>
    </row>
    <row r="307" spans="61:72" ht="14.5" x14ac:dyDescent="0.35">
      <c r="BI307" s="365"/>
      <c r="BJ307" s="365"/>
      <c r="BK307" s="365"/>
      <c r="BL307" s="365"/>
      <c r="BM307" s="365"/>
      <c r="BN307" s="365"/>
      <c r="BO307" s="365"/>
      <c r="BP307" s="365"/>
      <c r="BQ307" s="365"/>
      <c r="BR307" s="365"/>
      <c r="BT307" s="365"/>
    </row>
    <row r="308" spans="61:72" ht="14.5" x14ac:dyDescent="0.35">
      <c r="BI308" s="365"/>
      <c r="BJ308" s="365"/>
      <c r="BK308" s="365"/>
      <c r="BL308" s="365"/>
      <c r="BM308" s="365"/>
      <c r="BN308" s="365"/>
      <c r="BO308" s="365"/>
      <c r="BP308" s="365"/>
      <c r="BQ308" s="365"/>
      <c r="BR308" s="365"/>
      <c r="BT308" s="365"/>
    </row>
    <row r="309" spans="61:72" ht="14.5" x14ac:dyDescent="0.35">
      <c r="BI309" s="365"/>
      <c r="BJ309" s="365"/>
      <c r="BK309" s="365"/>
      <c r="BL309" s="365"/>
      <c r="BM309" s="365"/>
      <c r="BN309" s="365"/>
      <c r="BO309" s="365"/>
      <c r="BP309" s="365"/>
      <c r="BQ309" s="365"/>
      <c r="BR309" s="365"/>
    </row>
    <row r="310" spans="61:72" ht="14.5" x14ac:dyDescent="0.35">
      <c r="BI310" s="365"/>
      <c r="BJ310" s="365"/>
      <c r="BK310" s="365"/>
      <c r="BL310" s="365"/>
      <c r="BM310" s="365"/>
      <c r="BN310" s="365"/>
      <c r="BO310" s="365"/>
      <c r="BP310" s="365"/>
      <c r="BQ310" s="365"/>
      <c r="BR310" s="365"/>
    </row>
    <row r="311" spans="61:72" ht="14.5" x14ac:dyDescent="0.35">
      <c r="BI311" s="365"/>
      <c r="BJ311" s="365"/>
      <c r="BK311" s="365"/>
      <c r="BL311" s="365"/>
      <c r="BM311" s="365"/>
      <c r="BN311" s="365"/>
      <c r="BO311" s="365"/>
      <c r="BP311" s="365"/>
      <c r="BQ311" s="365"/>
      <c r="BR311" s="365"/>
    </row>
    <row r="312" spans="61:72" ht="14.5" x14ac:dyDescent="0.35">
      <c r="BI312" s="365"/>
      <c r="BJ312" s="365"/>
      <c r="BK312" s="365"/>
      <c r="BL312" s="365"/>
      <c r="BM312" s="365"/>
      <c r="BN312" s="365"/>
      <c r="BO312" s="365"/>
      <c r="BP312" s="365"/>
      <c r="BQ312" s="365"/>
      <c r="BR312" s="365"/>
    </row>
    <row r="313" spans="61:72" ht="14.5" x14ac:dyDescent="0.35">
      <c r="BI313" s="365"/>
      <c r="BJ313" s="365"/>
      <c r="BK313" s="365"/>
      <c r="BL313" s="365"/>
      <c r="BM313" s="365"/>
      <c r="BN313" s="365"/>
      <c r="BO313" s="365"/>
      <c r="BP313" s="365"/>
      <c r="BQ313" s="365"/>
      <c r="BR313" s="365"/>
    </row>
    <row r="314" spans="61:72" ht="14.5" x14ac:dyDescent="0.35">
      <c r="BI314" s="365"/>
      <c r="BJ314" s="365"/>
      <c r="BK314" s="365"/>
      <c r="BL314" s="365"/>
      <c r="BM314" s="365"/>
      <c r="BN314" s="365"/>
      <c r="BO314" s="365"/>
      <c r="BP314" s="365"/>
      <c r="BQ314" s="365"/>
      <c r="BR314" s="365"/>
    </row>
    <row r="315" spans="61:72" ht="14.5" x14ac:dyDescent="0.35">
      <c r="BI315" s="365"/>
      <c r="BJ315" s="365"/>
      <c r="BK315" s="365"/>
      <c r="BL315" s="365"/>
      <c r="BM315" s="365"/>
      <c r="BN315" s="365"/>
      <c r="BO315" s="365"/>
      <c r="BP315" s="365"/>
      <c r="BQ315" s="365"/>
      <c r="BR315" s="365"/>
    </row>
    <row r="316" spans="61:72" ht="14.5" x14ac:dyDescent="0.35">
      <c r="BI316" s="365"/>
      <c r="BJ316" s="365"/>
      <c r="BK316" s="365"/>
      <c r="BL316" s="365"/>
      <c r="BM316" s="365"/>
      <c r="BN316" s="365"/>
      <c r="BO316" s="365"/>
      <c r="BP316" s="365"/>
      <c r="BQ316" s="365"/>
      <c r="BR316" s="365"/>
    </row>
    <row r="317" spans="61:72" ht="14.5" x14ac:dyDescent="0.35">
      <c r="BI317" s="365"/>
      <c r="BJ317" s="365"/>
      <c r="BK317" s="365"/>
      <c r="BL317" s="365"/>
      <c r="BM317" s="365"/>
      <c r="BN317" s="365"/>
      <c r="BO317" s="365"/>
      <c r="BP317" s="365"/>
      <c r="BQ317" s="365"/>
      <c r="BR317" s="365"/>
    </row>
    <row r="318" spans="61:72" ht="14.5" x14ac:dyDescent="0.35">
      <c r="BI318" s="365"/>
      <c r="BJ318" s="365"/>
      <c r="BK318" s="365"/>
      <c r="BL318" s="365"/>
      <c r="BM318" s="365"/>
      <c r="BN318" s="365"/>
      <c r="BO318" s="365"/>
      <c r="BP318" s="365"/>
      <c r="BQ318" s="365"/>
      <c r="BR318" s="365"/>
    </row>
    <row r="319" spans="61:72" ht="14.5" x14ac:dyDescent="0.35">
      <c r="BI319" s="365"/>
      <c r="BJ319" s="365"/>
      <c r="BK319" s="365"/>
      <c r="BL319" s="365"/>
      <c r="BM319" s="365"/>
      <c r="BN319" s="365"/>
      <c r="BO319" s="365"/>
      <c r="BP319" s="365"/>
      <c r="BQ319" s="365"/>
      <c r="BR319" s="365"/>
    </row>
    <row r="320" spans="61:72" ht="14.5" x14ac:dyDescent="0.35">
      <c r="BI320" s="365"/>
      <c r="BJ320" s="365"/>
      <c r="BK320" s="365"/>
      <c r="BL320" s="365"/>
      <c r="BM320" s="365"/>
      <c r="BN320" s="365"/>
      <c r="BO320" s="365"/>
      <c r="BP320" s="365"/>
      <c r="BQ320" s="365"/>
      <c r="BR320" s="365"/>
    </row>
    <row r="321" spans="61:70" ht="14.5" x14ac:dyDescent="0.35">
      <c r="BI321" s="365"/>
      <c r="BJ321" s="365"/>
      <c r="BK321" s="365"/>
      <c r="BL321" s="365"/>
      <c r="BM321" s="365"/>
      <c r="BN321" s="365"/>
      <c r="BO321" s="365"/>
      <c r="BP321" s="365"/>
      <c r="BQ321" s="365"/>
      <c r="BR321" s="365"/>
    </row>
    <row r="322" spans="61:70" ht="14.5" x14ac:dyDescent="0.35">
      <c r="BI322" s="365"/>
      <c r="BJ322" s="365"/>
      <c r="BK322" s="365"/>
      <c r="BL322" s="365"/>
      <c r="BM322" s="365"/>
      <c r="BN322" s="365"/>
      <c r="BO322" s="365"/>
      <c r="BP322" s="365"/>
      <c r="BQ322" s="365"/>
      <c r="BR322" s="365"/>
    </row>
    <row r="323" spans="61:70" ht="14.5" x14ac:dyDescent="0.35">
      <c r="BJ323" s="365"/>
      <c r="BK323" s="365"/>
      <c r="BL323" s="365"/>
      <c r="BM323" s="365"/>
      <c r="BN323" s="365"/>
      <c r="BO323" s="365"/>
      <c r="BP323" s="365"/>
      <c r="BQ323" s="365"/>
      <c r="BR323" s="365"/>
    </row>
    <row r="324" spans="61:70" ht="14.5" x14ac:dyDescent="0.35">
      <c r="BJ324" s="365"/>
      <c r="BK324" s="365"/>
      <c r="BL324" s="365"/>
      <c r="BM324" s="365"/>
      <c r="BN324" s="365"/>
      <c r="BO324" s="365"/>
      <c r="BP324" s="365"/>
      <c r="BQ324" s="365"/>
      <c r="BR324" s="365"/>
    </row>
    <row r="325" spans="61:70" ht="14.5" x14ac:dyDescent="0.35">
      <c r="BJ325" s="365"/>
      <c r="BK325" s="365"/>
      <c r="BL325" s="365"/>
      <c r="BM325" s="365"/>
      <c r="BN325" s="365"/>
      <c r="BO325" s="365"/>
      <c r="BP325" s="365"/>
      <c r="BQ325" s="365"/>
      <c r="BR325" s="365"/>
    </row>
    <row r="326" spans="61:70" ht="14.5" x14ac:dyDescent="0.35">
      <c r="BJ326" s="365"/>
      <c r="BK326" s="365"/>
      <c r="BL326" s="365"/>
      <c r="BM326" s="365"/>
      <c r="BN326" s="365"/>
      <c r="BO326" s="365"/>
      <c r="BP326" s="365"/>
      <c r="BQ326" s="365"/>
      <c r="BR326" s="365"/>
    </row>
    <row r="327" spans="61:70" ht="14.5" x14ac:dyDescent="0.35">
      <c r="BJ327" s="365"/>
      <c r="BK327" s="365"/>
      <c r="BL327" s="365"/>
      <c r="BM327" s="365"/>
      <c r="BN327" s="365"/>
      <c r="BO327" s="365"/>
      <c r="BP327" s="365"/>
      <c r="BQ327" s="365"/>
      <c r="BR327" s="365"/>
    </row>
    <row r="328" spans="61:70" ht="14.5" x14ac:dyDescent="0.35">
      <c r="BJ328" s="365"/>
      <c r="BK328" s="365"/>
      <c r="BL328" s="365"/>
      <c r="BM328" s="365"/>
      <c r="BN328" s="365"/>
      <c r="BO328" s="365"/>
      <c r="BP328" s="365"/>
      <c r="BQ328" s="365"/>
      <c r="BR328" s="365"/>
    </row>
    <row r="376" spans="61:70" x14ac:dyDescent="0.35">
      <c r="BI376" s="344"/>
    </row>
    <row r="377" spans="61:70" ht="14.5" x14ac:dyDescent="0.35">
      <c r="BI377" s="92"/>
    </row>
    <row r="378" spans="61:70" ht="14.5" x14ac:dyDescent="0.35">
      <c r="BI378" s="92"/>
    </row>
    <row r="379" spans="61:70" ht="14.5" x14ac:dyDescent="0.35">
      <c r="BI379" s="92"/>
    </row>
    <row r="380" spans="61:70" ht="14.5" x14ac:dyDescent="0.35">
      <c r="BI380" s="92"/>
    </row>
    <row r="381" spans="61:70" ht="14.5" x14ac:dyDescent="0.35">
      <c r="BI381" s="92"/>
    </row>
    <row r="382" spans="61:70" ht="14.5" x14ac:dyDescent="0.35">
      <c r="BI382" s="344"/>
      <c r="BJ382" s="365"/>
      <c r="BK382" s="365"/>
      <c r="BL382" s="365"/>
      <c r="BM382" s="365"/>
      <c r="BN382" s="365"/>
      <c r="BO382" s="365"/>
      <c r="BP382" s="365"/>
      <c r="BQ382" s="365"/>
      <c r="BR382" s="365"/>
    </row>
    <row r="383" spans="61:70" ht="14.5" x14ac:dyDescent="0.35">
      <c r="BI383" s="344"/>
      <c r="BJ383" s="365"/>
      <c r="BK383" s="365"/>
      <c r="BL383" s="365"/>
      <c r="BM383" s="365"/>
      <c r="BN383" s="365"/>
      <c r="BO383" s="365"/>
      <c r="BP383" s="365"/>
      <c r="BQ383" s="365"/>
      <c r="BR383" s="365"/>
    </row>
    <row r="384" spans="61:70" ht="14.5" x14ac:dyDescent="0.35">
      <c r="BI384" s="92"/>
      <c r="BJ384" s="365"/>
      <c r="BK384" s="365"/>
      <c r="BL384" s="365"/>
      <c r="BM384" s="365"/>
      <c r="BN384" s="365"/>
      <c r="BO384" s="365"/>
      <c r="BP384" s="365"/>
      <c r="BQ384" s="365"/>
      <c r="BR384" s="365"/>
    </row>
    <row r="385" spans="61:70" ht="14.5" x14ac:dyDescent="0.35">
      <c r="BI385" s="92"/>
      <c r="BJ385" s="365"/>
      <c r="BK385" s="365"/>
      <c r="BL385" s="365"/>
      <c r="BM385" s="365"/>
      <c r="BN385" s="365"/>
      <c r="BO385" s="365"/>
      <c r="BP385" s="365"/>
      <c r="BQ385" s="365"/>
      <c r="BR385" s="365"/>
    </row>
    <row r="386" spans="61:70" ht="14.5" x14ac:dyDescent="0.35">
      <c r="BI386" s="92"/>
      <c r="BJ386" s="365"/>
      <c r="BK386" s="365"/>
      <c r="BL386" s="365"/>
      <c r="BM386" s="365"/>
      <c r="BN386" s="365"/>
      <c r="BO386" s="365"/>
      <c r="BP386" s="365"/>
      <c r="BQ386" s="365"/>
      <c r="BR386" s="365"/>
    </row>
    <row r="387" spans="61:70" ht="14.5" x14ac:dyDescent="0.35">
      <c r="BI387" s="92"/>
      <c r="BJ387" s="365"/>
      <c r="BK387" s="365"/>
      <c r="BL387" s="365"/>
      <c r="BM387" s="365"/>
      <c r="BN387" s="365"/>
      <c r="BO387" s="365"/>
      <c r="BP387" s="365"/>
      <c r="BQ387" s="365"/>
      <c r="BR387" s="365"/>
    </row>
    <row r="388" spans="61:70" ht="14.5" x14ac:dyDescent="0.35">
      <c r="BI388" s="344"/>
      <c r="BJ388" s="365"/>
      <c r="BK388" s="365"/>
      <c r="BL388" s="365"/>
      <c r="BM388" s="365"/>
      <c r="BN388" s="365"/>
      <c r="BO388" s="365"/>
      <c r="BP388" s="365"/>
      <c r="BQ388" s="365"/>
      <c r="BR388" s="365"/>
    </row>
    <row r="389" spans="61:70" ht="14.5" x14ac:dyDescent="0.35">
      <c r="BI389" s="344"/>
      <c r="BJ389" s="365"/>
      <c r="BK389" s="365"/>
      <c r="BL389" s="365"/>
      <c r="BM389" s="365"/>
      <c r="BN389" s="365"/>
      <c r="BO389" s="365"/>
      <c r="BP389" s="365"/>
      <c r="BQ389" s="365"/>
      <c r="BR389" s="365"/>
    </row>
    <row r="390" spans="61:70" ht="14.5" x14ac:dyDescent="0.35">
      <c r="BI390" s="92"/>
      <c r="BJ390" s="365"/>
      <c r="BK390" s="365"/>
      <c r="BL390" s="365"/>
      <c r="BM390" s="365"/>
      <c r="BN390" s="365"/>
      <c r="BO390" s="365"/>
      <c r="BP390" s="365"/>
      <c r="BQ390" s="365"/>
      <c r="BR390" s="365"/>
    </row>
    <row r="391" spans="61:70" ht="14.5" x14ac:dyDescent="0.35">
      <c r="BI391" s="92"/>
      <c r="BJ391" s="365"/>
      <c r="BK391" s="365"/>
      <c r="BL391" s="365"/>
      <c r="BM391" s="365"/>
      <c r="BN391" s="365"/>
      <c r="BO391" s="365"/>
      <c r="BP391" s="365"/>
      <c r="BQ391" s="365"/>
      <c r="BR391" s="365"/>
    </row>
    <row r="392" spans="61:70" ht="14.5" x14ac:dyDescent="0.35">
      <c r="BI392" s="92"/>
      <c r="BJ392" s="365"/>
      <c r="BK392" s="365"/>
      <c r="BL392" s="365"/>
      <c r="BM392" s="365"/>
      <c r="BN392" s="365"/>
      <c r="BO392" s="365"/>
      <c r="BP392" s="365"/>
      <c r="BQ392" s="365"/>
      <c r="BR392" s="365"/>
    </row>
    <row r="393" spans="61:70" ht="14.5" x14ac:dyDescent="0.35">
      <c r="BI393" s="344"/>
      <c r="BJ393" s="365"/>
      <c r="BK393" s="365"/>
      <c r="BL393" s="365"/>
      <c r="BM393" s="365"/>
      <c r="BN393" s="365"/>
      <c r="BO393" s="365"/>
      <c r="BP393" s="365"/>
      <c r="BQ393" s="365"/>
      <c r="BR393" s="365"/>
    </row>
    <row r="394" spans="61:70" ht="14.5" x14ac:dyDescent="0.35">
      <c r="BJ394" s="365"/>
      <c r="BK394" s="365"/>
      <c r="BL394" s="365"/>
      <c r="BM394" s="365"/>
      <c r="BN394" s="365"/>
      <c r="BO394" s="365"/>
      <c r="BP394" s="365"/>
      <c r="BQ394" s="365"/>
      <c r="BR394" s="365"/>
    </row>
    <row r="395" spans="61:70" ht="14.5" x14ac:dyDescent="0.35">
      <c r="BJ395" s="365"/>
      <c r="BK395" s="365"/>
      <c r="BL395" s="365"/>
      <c r="BM395" s="365"/>
      <c r="BN395" s="365"/>
      <c r="BO395" s="365"/>
      <c r="BP395" s="365"/>
      <c r="BQ395" s="365"/>
      <c r="BR395" s="365"/>
    </row>
    <row r="396" spans="61:70" ht="14.5" x14ac:dyDescent="0.35">
      <c r="BJ396" s="365"/>
      <c r="BK396" s="365"/>
      <c r="BL396" s="365"/>
      <c r="BM396" s="365"/>
      <c r="BN396" s="365"/>
      <c r="BO396" s="365"/>
      <c r="BP396" s="365"/>
      <c r="BQ396" s="365"/>
      <c r="BR396" s="365"/>
    </row>
    <row r="397" spans="61:70" ht="14.5" x14ac:dyDescent="0.35">
      <c r="BJ397" s="365"/>
      <c r="BK397" s="365"/>
      <c r="BL397" s="365"/>
      <c r="BM397" s="365"/>
      <c r="BN397" s="365"/>
      <c r="BO397" s="365"/>
      <c r="BP397" s="365"/>
      <c r="BQ397" s="365"/>
      <c r="BR397" s="365"/>
    </row>
    <row r="398" spans="61:70" ht="14.5" x14ac:dyDescent="0.35">
      <c r="BJ398" s="365"/>
      <c r="BK398" s="365"/>
      <c r="BL398" s="365"/>
      <c r="BM398" s="365"/>
      <c r="BN398" s="365"/>
      <c r="BO398" s="365"/>
      <c r="BP398" s="365"/>
      <c r="BQ398" s="365"/>
      <c r="BR398" s="365"/>
    </row>
    <row r="399" spans="61:70" ht="14.5" x14ac:dyDescent="0.35">
      <c r="BJ399" s="365"/>
      <c r="BK399" s="365"/>
      <c r="BL399" s="365"/>
      <c r="BM399" s="365"/>
      <c r="BN399" s="365"/>
      <c r="BO399" s="365"/>
      <c r="BP399" s="365"/>
      <c r="BQ399" s="365"/>
      <c r="BR399" s="365"/>
    </row>
    <row r="400" spans="61:70" ht="14.5" x14ac:dyDescent="0.35">
      <c r="BJ400" s="365"/>
      <c r="BK400" s="365"/>
      <c r="BL400" s="365"/>
      <c r="BM400" s="365"/>
      <c r="BN400" s="365"/>
      <c r="BO400" s="365"/>
      <c r="BP400" s="365"/>
      <c r="BQ400" s="365"/>
      <c r="BR400" s="365"/>
    </row>
    <row r="401" spans="62:70" ht="14.5" x14ac:dyDescent="0.35">
      <c r="BJ401" s="365"/>
      <c r="BK401" s="365"/>
      <c r="BL401" s="365"/>
      <c r="BM401" s="365"/>
      <c r="BN401" s="365"/>
      <c r="BO401" s="365"/>
      <c r="BP401" s="365"/>
      <c r="BQ401" s="365"/>
      <c r="BR401" s="365"/>
    </row>
    <row r="402" spans="62:70" ht="14.5" x14ac:dyDescent="0.35">
      <c r="BJ402" s="365"/>
      <c r="BK402" s="365"/>
      <c r="BL402" s="365"/>
      <c r="BM402" s="365"/>
      <c r="BN402" s="365"/>
      <c r="BO402" s="365"/>
      <c r="BP402" s="365"/>
      <c r="BQ402" s="365"/>
      <c r="BR402" s="365"/>
    </row>
  </sheetData>
  <dataConsolidate/>
  <mergeCells count="2">
    <mergeCell ref="BH102:BH108"/>
    <mergeCell ref="BH110:BH115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1"/>
  </sheetPr>
  <dimension ref="A1:BG271"/>
  <sheetViews>
    <sheetView topLeftCell="AS1" zoomScale="85" zoomScaleNormal="85" workbookViewId="0">
      <selection activeCell="AY7" sqref="AY7"/>
    </sheetView>
  </sheetViews>
  <sheetFormatPr baseColWidth="10" defaultColWidth="11.453125" defaultRowHeight="14.5" x14ac:dyDescent="0.35"/>
  <cols>
    <col min="1" max="1" width="17.54296875" bestFit="1" customWidth="1"/>
    <col min="2" max="2" width="23.453125" bestFit="1" customWidth="1"/>
    <col min="11" max="11" width="22.81640625" bestFit="1" customWidth="1"/>
    <col min="12" max="12" width="12.453125" bestFit="1" customWidth="1"/>
    <col min="21" max="21" width="27.81640625" customWidth="1"/>
    <col min="22" max="22" width="12.453125" bestFit="1" customWidth="1"/>
    <col min="31" max="31" width="32.81640625" bestFit="1" customWidth="1"/>
    <col min="32" max="32" width="12.453125" bestFit="1" customWidth="1"/>
    <col min="41" max="41" width="28.54296875" bestFit="1" customWidth="1"/>
    <col min="42" max="42" width="12.453125" bestFit="1" customWidth="1"/>
    <col min="51" max="51" width="28.81640625" bestFit="1" customWidth="1"/>
    <col min="52" max="52" width="12.453125" bestFit="1" customWidth="1"/>
  </cols>
  <sheetData>
    <row r="1" spans="1:59" ht="15" thickBot="1" x14ac:dyDescent="0.4"/>
    <row r="2" spans="1:59" x14ac:dyDescent="0.35">
      <c r="A2" s="133" t="s">
        <v>2555</v>
      </c>
      <c r="B2" s="89">
        <v>2</v>
      </c>
      <c r="C2" s="89">
        <v>3</v>
      </c>
      <c r="D2" s="89">
        <v>4</v>
      </c>
      <c r="E2" s="89">
        <v>5</v>
      </c>
      <c r="F2" s="89">
        <v>6</v>
      </c>
      <c r="G2" s="89">
        <v>7</v>
      </c>
      <c r="H2" s="89">
        <v>8</v>
      </c>
      <c r="I2" s="89">
        <v>9</v>
      </c>
      <c r="K2" s="91" t="s">
        <v>1313</v>
      </c>
      <c r="L2" s="89">
        <v>2</v>
      </c>
      <c r="M2" s="89">
        <v>3</v>
      </c>
      <c r="N2" s="89">
        <v>4</v>
      </c>
      <c r="O2" s="89">
        <v>5</v>
      </c>
      <c r="P2" s="89">
        <v>6</v>
      </c>
      <c r="Q2" s="89">
        <v>7</v>
      </c>
      <c r="R2" s="89">
        <v>8</v>
      </c>
      <c r="S2" s="89">
        <v>9</v>
      </c>
      <c r="U2" s="91" t="s">
        <v>2029</v>
      </c>
      <c r="V2" s="89">
        <v>2</v>
      </c>
      <c r="W2" s="89">
        <v>3</v>
      </c>
      <c r="X2" s="89">
        <v>4</v>
      </c>
      <c r="Y2" s="89">
        <v>5</v>
      </c>
      <c r="Z2" s="89">
        <v>6</v>
      </c>
      <c r="AA2" s="89">
        <v>7</v>
      </c>
      <c r="AB2" s="89">
        <v>8</v>
      </c>
      <c r="AC2" s="89">
        <v>9</v>
      </c>
      <c r="AE2" s="91" t="s">
        <v>1314</v>
      </c>
      <c r="AF2" s="89">
        <v>2</v>
      </c>
      <c r="AG2" s="89">
        <v>3</v>
      </c>
      <c r="AH2" s="89">
        <v>4</v>
      </c>
      <c r="AI2" s="89">
        <v>5</v>
      </c>
      <c r="AJ2" s="89">
        <v>6</v>
      </c>
      <c r="AK2" s="89">
        <v>7</v>
      </c>
      <c r="AL2" s="89">
        <v>8</v>
      </c>
      <c r="AM2" s="89">
        <v>9</v>
      </c>
      <c r="AO2" s="91" t="s">
        <v>2028</v>
      </c>
      <c r="AP2" s="89">
        <v>2</v>
      </c>
      <c r="AQ2" s="89">
        <v>3</v>
      </c>
      <c r="AR2" s="89">
        <v>4</v>
      </c>
      <c r="AS2" s="89">
        <v>5</v>
      </c>
      <c r="AT2" s="89">
        <v>6</v>
      </c>
      <c r="AU2" s="89">
        <v>7</v>
      </c>
      <c r="AV2" s="89">
        <v>8</v>
      </c>
      <c r="AW2" s="89">
        <v>9</v>
      </c>
      <c r="AY2" s="91" t="s">
        <v>2030</v>
      </c>
      <c r="AZ2" s="89">
        <v>2</v>
      </c>
      <c r="BA2" s="89">
        <v>3</v>
      </c>
      <c r="BB2" s="89">
        <v>4</v>
      </c>
      <c r="BC2" s="89">
        <v>5</v>
      </c>
      <c r="BD2" s="89">
        <v>6</v>
      </c>
      <c r="BE2" s="89">
        <v>7</v>
      </c>
      <c r="BF2" s="89">
        <v>8</v>
      </c>
      <c r="BG2" s="89">
        <v>9</v>
      </c>
    </row>
    <row r="3" spans="1:59" x14ac:dyDescent="0.35">
      <c r="B3" s="133" t="s">
        <v>1417</v>
      </c>
      <c r="C3" s="133">
        <v>2020</v>
      </c>
      <c r="D3" s="133">
        <v>2025</v>
      </c>
      <c r="E3" s="133">
        <v>2030</v>
      </c>
      <c r="F3" s="133">
        <v>2035</v>
      </c>
      <c r="G3" s="133">
        <v>2040</v>
      </c>
      <c r="H3" s="133">
        <v>2045</v>
      </c>
      <c r="I3" s="954" t="s">
        <v>4475</v>
      </c>
      <c r="J3" t="s">
        <v>4412</v>
      </c>
      <c r="K3" s="40"/>
      <c r="L3" s="133" t="s">
        <v>1417</v>
      </c>
      <c r="M3" s="133">
        <v>2020</v>
      </c>
      <c r="N3" s="133">
        <v>2025</v>
      </c>
      <c r="O3" s="133">
        <v>2030</v>
      </c>
      <c r="P3" s="133">
        <v>2035</v>
      </c>
      <c r="Q3" s="133">
        <v>2040</v>
      </c>
      <c r="R3" s="133">
        <v>2045</v>
      </c>
      <c r="S3" s="133">
        <v>2050</v>
      </c>
      <c r="U3" s="40"/>
      <c r="V3" s="133" t="s">
        <v>1417</v>
      </c>
      <c r="W3" s="133">
        <v>2020</v>
      </c>
      <c r="X3" s="133">
        <v>2025</v>
      </c>
      <c r="Y3" s="133">
        <v>2030</v>
      </c>
      <c r="Z3" s="133">
        <v>2035</v>
      </c>
      <c r="AA3" s="133">
        <v>2040</v>
      </c>
      <c r="AB3" s="133">
        <v>2045</v>
      </c>
      <c r="AC3" s="133">
        <v>2050</v>
      </c>
      <c r="AE3" s="40"/>
      <c r="AF3" s="133" t="s">
        <v>1417</v>
      </c>
      <c r="AG3" s="133">
        <v>2020</v>
      </c>
      <c r="AH3" s="133">
        <v>2025</v>
      </c>
      <c r="AI3" s="133">
        <v>2030</v>
      </c>
      <c r="AJ3" s="133">
        <v>2035</v>
      </c>
      <c r="AK3" s="133">
        <v>2040</v>
      </c>
      <c r="AL3" s="133">
        <v>2045</v>
      </c>
      <c r="AM3" s="133">
        <v>2050</v>
      </c>
      <c r="AO3" s="99" t="s">
        <v>2179</v>
      </c>
      <c r="AP3" s="133" t="s">
        <v>1417</v>
      </c>
      <c r="AQ3" s="133">
        <v>2020</v>
      </c>
      <c r="AR3" s="133">
        <v>2025</v>
      </c>
      <c r="AS3" s="133">
        <v>2030</v>
      </c>
      <c r="AT3" s="133">
        <v>2035</v>
      </c>
      <c r="AU3" s="133">
        <v>2040</v>
      </c>
      <c r="AV3" s="133">
        <v>2045</v>
      </c>
      <c r="AW3" s="133">
        <v>2050</v>
      </c>
      <c r="AY3" s="40"/>
      <c r="AZ3" s="133" t="s">
        <v>1417</v>
      </c>
      <c r="BA3" s="133">
        <v>2020</v>
      </c>
      <c r="BB3" s="133">
        <v>2025</v>
      </c>
      <c r="BC3" s="133">
        <v>2030</v>
      </c>
      <c r="BD3" s="133">
        <v>2035</v>
      </c>
      <c r="BE3" s="133">
        <v>2040</v>
      </c>
      <c r="BF3" s="133">
        <v>2045</v>
      </c>
      <c r="BG3" s="133">
        <v>2050</v>
      </c>
    </row>
    <row r="4" spans="1:59" x14ac:dyDescent="0.35">
      <c r="A4" t="s">
        <v>1313</v>
      </c>
      <c r="B4" s="352">
        <f>L36</f>
        <v>0</v>
      </c>
      <c r="C4" s="365">
        <f>M36</f>
        <v>0</v>
      </c>
      <c r="D4" s="365">
        <f t="shared" ref="D4:H4" si="0">N36</f>
        <v>0</v>
      </c>
      <c r="E4" s="365">
        <f t="shared" si="0"/>
        <v>0</v>
      </c>
      <c r="F4" s="365">
        <f t="shared" si="0"/>
        <v>0</v>
      </c>
      <c r="G4" s="365">
        <f t="shared" si="0"/>
        <v>0</v>
      </c>
      <c r="H4" s="365">
        <f t="shared" si="0"/>
        <v>0</v>
      </c>
      <c r="I4" s="958">
        <v>175692.89018479298</v>
      </c>
      <c r="K4" s="268" t="s">
        <v>176</v>
      </c>
      <c r="L4" s="16">
        <f>IFERROR(VLOOKUP($K4,costs!$A$2:$I$2905,L$2,FALSE),0)</f>
        <v>0</v>
      </c>
      <c r="M4" s="16">
        <f>IFERROR(VLOOKUP($K4,costs!$A$2:$I$2905,M$2,FALSE),0)</f>
        <v>0</v>
      </c>
      <c r="N4" s="16">
        <f>IFERROR(VLOOKUP($K4,costs!$A$2:$I$2905,N$2,FALSE),0)</f>
        <v>0</v>
      </c>
      <c r="O4" s="16">
        <f>IFERROR(VLOOKUP($K4,costs!$A$2:$I$2905,O$2,FALSE),0)</f>
        <v>0</v>
      </c>
      <c r="P4" s="16">
        <f>IFERROR(VLOOKUP($K4,costs!$A$2:$I$2905,P$2,FALSE),0)</f>
        <v>0</v>
      </c>
      <c r="Q4" s="16">
        <f>IFERROR(VLOOKUP($K4,costs!$A$2:$I$2905,Q$2,FALSE),0)</f>
        <v>0</v>
      </c>
      <c r="R4" s="16">
        <f>IFERROR(VLOOKUP($K4,costs!$A$2:$I$2905,R$2,FALSE),0)</f>
        <v>0</v>
      </c>
      <c r="S4" s="16">
        <f>IFERROR(VLOOKUP($K4,costs!$A$2:$I$2905,S$2,FALSE),0)</f>
        <v>0</v>
      </c>
      <c r="U4" s="272" t="s">
        <v>2032</v>
      </c>
      <c r="V4" s="16">
        <f>IFERROR(VLOOKUP($U4,costs!$A$2:$I$2905,V$2,FALSE),0)</f>
        <v>0</v>
      </c>
      <c r="W4" s="16">
        <f>IFERROR(VLOOKUP($U4,costs!$A$2:$I$2905,W$2,FALSE),0)</f>
        <v>0</v>
      </c>
      <c r="X4" s="16">
        <f>IFERROR(VLOOKUP($U4,costs!$A$2:$I$2905,X$2,FALSE),0)</f>
        <v>0</v>
      </c>
      <c r="Y4" s="16">
        <f>IFERROR(VLOOKUP($U4,costs!$A$2:$I$2905,Y$2,FALSE),0)</f>
        <v>0</v>
      </c>
      <c r="Z4" s="16">
        <f>IFERROR(VLOOKUP($U4,costs!$A$2:$I$2905,Z$2,FALSE),0)</f>
        <v>0</v>
      </c>
      <c r="AA4" s="16">
        <f>IFERROR(VLOOKUP($U4,costs!$A$2:$I$2905,AA$2,FALSE),0)</f>
        <v>0</v>
      </c>
      <c r="AB4" s="16">
        <f>IFERROR(VLOOKUP($U4,costs!$A$2:$I$2905,AB$2,FALSE),0)</f>
        <v>0</v>
      </c>
      <c r="AC4" s="16">
        <f>IFERROR(VLOOKUP($U4,costs!$A$2:$I$2905,AC$2,FALSE),0)</f>
        <v>0</v>
      </c>
      <c r="AE4" s="40" t="s">
        <v>265</v>
      </c>
      <c r="AF4" s="16">
        <f>IFERROR(VLOOKUP($AE4,costs!$A$2:$I$2905,AF$2,FALSE),0)</f>
        <v>0</v>
      </c>
      <c r="AG4" s="346">
        <f>IFERROR(VLOOKUP($AE4,costs!$A$2:$I$2905,AG$2,FALSE),0)</f>
        <v>0</v>
      </c>
      <c r="AH4" s="346">
        <f>IFERROR(VLOOKUP($AE4,costs!$A$2:$I$2905,AH$2,FALSE),0)</f>
        <v>0</v>
      </c>
      <c r="AI4" s="346">
        <f>IFERROR(VLOOKUP($AE4,costs!$A$2:$I$2905,AI$2,FALSE),0)</f>
        <v>0</v>
      </c>
      <c r="AJ4" s="346">
        <f>IFERROR(VLOOKUP($AE4,costs!$A$2:$I$2905,AJ$2,FALSE),0)</f>
        <v>0</v>
      </c>
      <c r="AK4" s="346">
        <f>IFERROR(VLOOKUP($AE4,costs!$A$2:$I$2905,AK$2,FALSE),0)</f>
        <v>0</v>
      </c>
      <c r="AL4" s="346">
        <f>IFERROR(VLOOKUP($AE4,costs!$A$2:$I$2905,AL$2,FALSE),0)</f>
        <v>0</v>
      </c>
      <c r="AM4" s="346">
        <f>IFERROR(VLOOKUP($AE4,costs!$A$2:$I$2905,AM$2,FALSE),0)</f>
        <v>0</v>
      </c>
      <c r="AO4" s="272" t="s">
        <v>194</v>
      </c>
      <c r="AP4" s="16">
        <f>IFERROR(VLOOKUP($AO4,costs!$A$2:$I$2905,AP$2,FALSE),0)</f>
        <v>0</v>
      </c>
      <c r="AQ4" s="16">
        <f>IFERROR(VLOOKUP($AO4,costs!$A$2:$I$2905,AQ$2,FALSE),0)</f>
        <v>0</v>
      </c>
      <c r="AR4" s="16">
        <f>IFERROR(VLOOKUP($AO4,costs!$A$2:$I$2905,AR$2,FALSE),0)</f>
        <v>0</v>
      </c>
      <c r="AS4" s="16">
        <f>IFERROR(VLOOKUP($AO4,costs!$A$2:$I$2905,AS$2,FALSE),0)</f>
        <v>0</v>
      </c>
      <c r="AT4" s="16">
        <f>IFERROR(VLOOKUP($AO4,costs!$A$2:$I$2905,AT$2,FALSE),0)</f>
        <v>0</v>
      </c>
      <c r="AU4" s="16">
        <f>IFERROR(VLOOKUP($AO4,costs!$A$2:$I$2905,AU$2,FALSE),0)</f>
        <v>0</v>
      </c>
      <c r="AV4" s="16">
        <f>IFERROR(VLOOKUP($AO4,costs!$A$2:$I$2905,AV$2,FALSE),0)</f>
        <v>0</v>
      </c>
      <c r="AW4" s="16">
        <f>IFERROR(VLOOKUP($AO4,costs!$A$2:$I$2905,AW$2,FALSE),0)</f>
        <v>0</v>
      </c>
      <c r="AY4" s="272" t="s">
        <v>301</v>
      </c>
      <c r="AZ4" s="16">
        <f>IFERROR(VLOOKUP($AY4,costs!$A$2:$I$2905,AZ$2,FALSE),0)</f>
        <v>0</v>
      </c>
      <c r="BA4" s="16">
        <f>IFERROR(VLOOKUP($AY4,costs!$A$2:$I$2905,BA$2,FALSE),0)</f>
        <v>0</v>
      </c>
      <c r="BB4" s="16">
        <f>IFERROR(VLOOKUP($AY4,costs!$A$2:$I$2905,BB$2,FALSE),0)</f>
        <v>0</v>
      </c>
      <c r="BC4" s="16">
        <f>IFERROR(VLOOKUP($AY4,costs!$A$2:$I$2905,BC$2,FALSE),0)</f>
        <v>0</v>
      </c>
      <c r="BD4" s="16">
        <f>IFERROR(VLOOKUP($AY4,costs!$A$2:$I$2905,BD$2,FALSE),0)</f>
        <v>0</v>
      </c>
      <c r="BE4" s="16">
        <f>IFERROR(VLOOKUP($AY4,costs!$A$2:$I$2905,BE$2,FALSE),0)</f>
        <v>0</v>
      </c>
      <c r="BF4" s="16">
        <f>IFERROR(VLOOKUP($AY4,costs!$A$2:$I$2905,BF$2,FALSE),0)</f>
        <v>0</v>
      </c>
      <c r="BG4" s="16">
        <f>IFERROR(VLOOKUP($AY4,costs!$A$2:$I$2905,BG$2,FALSE),0)</f>
        <v>0</v>
      </c>
    </row>
    <row r="5" spans="1:59" x14ac:dyDescent="0.35">
      <c r="A5" t="s">
        <v>2029</v>
      </c>
      <c r="B5" s="352" t="e">
        <f>V169</f>
        <v>#N/A</v>
      </c>
      <c r="C5" s="365" t="e">
        <f t="shared" ref="C5:H5" si="1">W169</f>
        <v>#N/A</v>
      </c>
      <c r="D5" s="365" t="e">
        <f t="shared" si="1"/>
        <v>#N/A</v>
      </c>
      <c r="E5" s="365" t="e">
        <f t="shared" si="1"/>
        <v>#N/A</v>
      </c>
      <c r="F5" s="365" t="e">
        <f t="shared" si="1"/>
        <v>#N/A</v>
      </c>
      <c r="G5" s="365" t="e">
        <f t="shared" si="1"/>
        <v>#N/A</v>
      </c>
      <c r="H5" s="365" t="e">
        <f t="shared" si="1"/>
        <v>#N/A</v>
      </c>
      <c r="I5" s="958">
        <v>136070.93479936768</v>
      </c>
      <c r="K5" s="269" t="s">
        <v>227</v>
      </c>
      <c r="L5" s="16">
        <f>IFERROR(VLOOKUP($K5,costs!$A$2:$I$2905,L$2,FALSE),0)</f>
        <v>0</v>
      </c>
      <c r="M5" s="16">
        <f>IFERROR(VLOOKUP($K5,costs!$A$2:$I$2905,M$2,FALSE),0)</f>
        <v>0</v>
      </c>
      <c r="N5" s="16">
        <f>IFERROR(VLOOKUP($K5,costs!$A$2:$I$2905,N$2,FALSE),0)</f>
        <v>0</v>
      </c>
      <c r="O5" s="16">
        <f>IFERROR(VLOOKUP($K5,costs!$A$2:$I$2905,O$2,FALSE),0)</f>
        <v>0</v>
      </c>
      <c r="P5" s="16">
        <f>IFERROR(VLOOKUP($K5,costs!$A$2:$I$2905,P$2,FALSE),0)</f>
        <v>0</v>
      </c>
      <c r="Q5" s="16">
        <f>IFERROR(VLOOKUP($K5,costs!$A$2:$I$2905,Q$2,FALSE),0)</f>
        <v>0</v>
      </c>
      <c r="R5" s="16">
        <f>IFERROR(VLOOKUP($K5,costs!$A$2:$I$2905,R$2,FALSE),0)</f>
        <v>0</v>
      </c>
      <c r="S5" s="16">
        <f>IFERROR(VLOOKUP($K5,costs!$A$2:$I$2905,S$2,FALSE),0)</f>
        <v>0</v>
      </c>
      <c r="U5" s="273" t="s">
        <v>200</v>
      </c>
      <c r="V5" s="16">
        <f>IFERROR(VLOOKUP($U5,costs!$A$2:$I$2905,V$2,FALSE),0)</f>
        <v>0</v>
      </c>
      <c r="W5" s="16">
        <f>IFERROR(VLOOKUP($U5,costs!$A$2:$I$2905,W$2,FALSE),0)</f>
        <v>0</v>
      </c>
      <c r="X5" s="16">
        <f>IFERROR(VLOOKUP($U5,costs!$A$2:$I$2905,X$2,FALSE),0)</f>
        <v>0</v>
      </c>
      <c r="Y5" s="16">
        <f>IFERROR(VLOOKUP($U5,costs!$A$2:$I$2905,Y$2,FALSE),0)</f>
        <v>0</v>
      </c>
      <c r="Z5" s="16">
        <f>IFERROR(VLOOKUP($U5,costs!$A$2:$I$2905,Z$2,FALSE),0)</f>
        <v>0</v>
      </c>
      <c r="AA5" s="16">
        <f>IFERROR(VLOOKUP($U5,costs!$A$2:$I$2905,AA$2,FALSE),0)</f>
        <v>0</v>
      </c>
      <c r="AB5" s="16">
        <f>IFERROR(VLOOKUP($U5,costs!$A$2:$I$2905,AB$2,FALSE),0)</f>
        <v>0</v>
      </c>
      <c r="AC5" s="16">
        <f>IFERROR(VLOOKUP($U5,costs!$A$2:$I$2905,AC$2,FALSE),0)</f>
        <v>0</v>
      </c>
      <c r="AE5" s="899" t="s">
        <v>3887</v>
      </c>
      <c r="AF5" s="346">
        <f>IFERROR(VLOOKUP($AE5,costs!$A$2:$I$2905,AF$2,FALSE),0)</f>
        <v>0</v>
      </c>
      <c r="AG5" s="346">
        <f>IFERROR(VLOOKUP($AE5,costs!$A$2:$I$2905,AG$2,FALSE),0)</f>
        <v>0</v>
      </c>
      <c r="AH5" s="346">
        <f>IFERROR(VLOOKUP($AE5,costs!$A$2:$I$2905,AH$2,FALSE),0)</f>
        <v>0</v>
      </c>
      <c r="AI5" s="346">
        <f>IFERROR(VLOOKUP($AE5,costs!$A$2:$I$2905,AI$2,FALSE),0)</f>
        <v>0</v>
      </c>
      <c r="AJ5" s="346">
        <f>IFERROR(VLOOKUP($AE5,costs!$A$2:$I$2905,AJ$2,FALSE),0)</f>
        <v>0</v>
      </c>
      <c r="AK5" s="346">
        <f>IFERROR(VLOOKUP($AE5,costs!$A$2:$I$2905,AK$2,FALSE),0)</f>
        <v>0</v>
      </c>
      <c r="AL5" s="346">
        <f>IFERROR(VLOOKUP($AE5,costs!$A$2:$I$2905,AL$2,FALSE),0)</f>
        <v>0</v>
      </c>
      <c r="AM5" s="346">
        <f>IFERROR(VLOOKUP($AE5,costs!$A$2:$I$2905,AM$2,FALSE),0)</f>
        <v>0</v>
      </c>
      <c r="AO5" s="273" t="s">
        <v>195</v>
      </c>
      <c r="AP5" s="16">
        <f>IFERROR(VLOOKUP($AO5,costs!$A$2:$I$2905,AP$2,FALSE),0)</f>
        <v>0</v>
      </c>
      <c r="AQ5" s="16">
        <f>IFERROR(VLOOKUP($AO5,costs!$A$2:$I$2905,AQ$2,FALSE),0)</f>
        <v>0</v>
      </c>
      <c r="AR5" s="16">
        <f>IFERROR(VLOOKUP($AO5,costs!$A$2:$I$2905,AR$2,FALSE),0)</f>
        <v>0</v>
      </c>
      <c r="AS5" s="16">
        <f>IFERROR(VLOOKUP($AO5,costs!$A$2:$I$2905,AS$2,FALSE),0)</f>
        <v>0</v>
      </c>
      <c r="AT5" s="16">
        <f>IFERROR(VLOOKUP($AO5,costs!$A$2:$I$2905,AT$2,FALSE),0)</f>
        <v>0</v>
      </c>
      <c r="AU5" s="16">
        <f>IFERROR(VLOOKUP($AO5,costs!$A$2:$I$2905,AU$2,FALSE),0)</f>
        <v>0</v>
      </c>
      <c r="AV5" s="16">
        <f>IFERROR(VLOOKUP($AO5,costs!$A$2:$I$2905,AV$2,FALSE),0)</f>
        <v>0</v>
      </c>
      <c r="AW5" s="16">
        <f>IFERROR(VLOOKUP($AO5,costs!$A$2:$I$2905,AW$2,FALSE),0)</f>
        <v>0</v>
      </c>
      <c r="AY5" s="273" t="s">
        <v>297</v>
      </c>
      <c r="AZ5" s="16">
        <f>IFERROR(VLOOKUP($AY5,costs!$A$2:$I$2905,AZ$2,FALSE),0)</f>
        <v>0</v>
      </c>
      <c r="BA5" s="16">
        <f>IFERROR(VLOOKUP($AY5,costs!$A$2:$I$2905,BA$2,FALSE),0)</f>
        <v>0</v>
      </c>
      <c r="BB5" s="16">
        <f>IFERROR(VLOOKUP($AY5,costs!$A$2:$I$2905,BB$2,FALSE),0)</f>
        <v>0</v>
      </c>
      <c r="BC5" s="16">
        <f>IFERROR(VLOOKUP($AY5,costs!$A$2:$I$2905,BC$2,FALSE),0)</f>
        <v>0</v>
      </c>
      <c r="BD5" s="16">
        <f>IFERROR(VLOOKUP($AY5,costs!$A$2:$I$2905,BD$2,FALSE),0)</f>
        <v>0</v>
      </c>
      <c r="BE5" s="16">
        <f>IFERROR(VLOOKUP($AY5,costs!$A$2:$I$2905,BE$2,FALSE),0)</f>
        <v>0</v>
      </c>
      <c r="BF5" s="16">
        <f>IFERROR(VLOOKUP($AY5,costs!$A$2:$I$2905,BF$2,FALSE),0)</f>
        <v>0</v>
      </c>
      <c r="BG5" s="16">
        <f>IFERROR(VLOOKUP($AY5,costs!$A$2:$I$2905,BG$2,FALSE),0)</f>
        <v>0</v>
      </c>
    </row>
    <row r="6" spans="1:59" x14ac:dyDescent="0.35">
      <c r="A6" t="s">
        <v>1314</v>
      </c>
      <c r="B6" s="352" t="e">
        <f t="shared" ref="B6:H6" si="2">AF121</f>
        <v>#N/A</v>
      </c>
      <c r="C6" s="365" t="e">
        <f t="shared" si="2"/>
        <v>#N/A</v>
      </c>
      <c r="D6" s="365" t="e">
        <f t="shared" si="2"/>
        <v>#N/A</v>
      </c>
      <c r="E6" s="365" t="e">
        <f t="shared" si="2"/>
        <v>#N/A</v>
      </c>
      <c r="F6" s="365" t="e">
        <f t="shared" si="2"/>
        <v>#N/A</v>
      </c>
      <c r="G6" s="365" t="e">
        <f t="shared" si="2"/>
        <v>#N/A</v>
      </c>
      <c r="H6" s="365" t="e">
        <f t="shared" si="2"/>
        <v>#N/A</v>
      </c>
      <c r="I6" s="958">
        <v>44813.307169298147</v>
      </c>
      <c r="K6" s="268" t="s">
        <v>268</v>
      </c>
      <c r="L6" s="16">
        <f>IFERROR(VLOOKUP($K6,costs!$A$2:$I$2905,L$2,FALSE),0)</f>
        <v>0</v>
      </c>
      <c r="M6" s="16">
        <f>IFERROR(VLOOKUP($K6,costs!$A$2:$I$2905,M$2,FALSE),0)</f>
        <v>0</v>
      </c>
      <c r="N6" s="16">
        <f>IFERROR(VLOOKUP($K6,costs!$A$2:$I$2905,N$2,FALSE),0)</f>
        <v>0</v>
      </c>
      <c r="O6" s="16">
        <f>IFERROR(VLOOKUP($K6,costs!$A$2:$I$2905,O$2,FALSE),0)</f>
        <v>0</v>
      </c>
      <c r="P6" s="16">
        <f>IFERROR(VLOOKUP($K6,costs!$A$2:$I$2905,P$2,FALSE),0)</f>
        <v>0</v>
      </c>
      <c r="Q6" s="16">
        <f>IFERROR(VLOOKUP($K6,costs!$A$2:$I$2905,Q$2,FALSE),0)</f>
        <v>0</v>
      </c>
      <c r="R6" s="16">
        <f>IFERROR(VLOOKUP($K6,costs!$A$2:$I$2905,R$2,FALSE),0)</f>
        <v>0</v>
      </c>
      <c r="S6" s="16">
        <f>IFERROR(VLOOKUP($K6,costs!$A$2:$I$2905,S$2,FALSE),0)</f>
        <v>0</v>
      </c>
      <c r="U6" s="272" t="s">
        <v>201</v>
      </c>
      <c r="V6" s="16">
        <f>IFERROR(VLOOKUP($U6,costs!$A$2:$I$2905,V$2,FALSE),0)</f>
        <v>0</v>
      </c>
      <c r="W6" s="16">
        <f>IFERROR(VLOOKUP($U6,costs!$A$2:$I$2905,W$2,FALSE),0)</f>
        <v>0</v>
      </c>
      <c r="X6" s="16">
        <f>IFERROR(VLOOKUP($U6,costs!$A$2:$I$2905,X$2,FALSE),0)</f>
        <v>0</v>
      </c>
      <c r="Y6" s="16">
        <f>IFERROR(VLOOKUP($U6,costs!$A$2:$I$2905,Y$2,FALSE),0)</f>
        <v>0</v>
      </c>
      <c r="Z6" s="16">
        <f>IFERROR(VLOOKUP($U6,costs!$A$2:$I$2905,Z$2,FALSE),0)</f>
        <v>0</v>
      </c>
      <c r="AA6" s="16">
        <f>IFERROR(VLOOKUP($U6,costs!$A$2:$I$2905,AA$2,FALSE),0)</f>
        <v>0</v>
      </c>
      <c r="AB6" s="16">
        <f>IFERROR(VLOOKUP($U6,costs!$A$2:$I$2905,AB$2,FALSE),0)</f>
        <v>0</v>
      </c>
      <c r="AC6" s="16">
        <f>IFERROR(VLOOKUP($U6,costs!$A$2:$I$2905,AC$2,FALSE),0)</f>
        <v>0</v>
      </c>
      <c r="AE6" s="40" t="s">
        <v>2859</v>
      </c>
      <c r="AF6" s="16">
        <f>IFERROR(VLOOKUP($AE6,costs!$A$2:$I$2905,AF$2,FALSE),0)</f>
        <v>0</v>
      </c>
      <c r="AG6" s="16">
        <f>IFERROR(VLOOKUP($AE6,costs!$A$2:$I$2905,AG$2,FALSE),0)</f>
        <v>0</v>
      </c>
      <c r="AH6" s="16">
        <f>IFERROR(VLOOKUP($AE6,costs!$A$2:$I$2905,AH$2,FALSE),0)</f>
        <v>0</v>
      </c>
      <c r="AI6" s="16">
        <f>IFERROR(VLOOKUP($AE6,costs!$A$2:$I$2905,AI$2,FALSE),0)</f>
        <v>0</v>
      </c>
      <c r="AJ6" s="16">
        <f>IFERROR(VLOOKUP($AE6,costs!$A$2:$I$2905,AJ$2,FALSE),0)</f>
        <v>0</v>
      </c>
      <c r="AK6" s="16">
        <f>IFERROR(VLOOKUP($AE6,costs!$A$2:$I$2905,AK$2,FALSE),0)</f>
        <v>0</v>
      </c>
      <c r="AL6" s="16">
        <f>IFERROR(VLOOKUP($AE6,costs!$A$2:$I$2905,AL$2,FALSE),0)</f>
        <v>0</v>
      </c>
      <c r="AM6" s="16">
        <f>IFERROR(VLOOKUP($AE6,costs!$A$2:$I$2905,AM$2,FALSE),0)</f>
        <v>0</v>
      </c>
      <c r="AO6" s="272" t="s">
        <v>172</v>
      </c>
      <c r="AP6" s="16">
        <f>IFERROR(VLOOKUP($AO6,costs!$A$2:$I$2905,AP$2,FALSE),0)</f>
        <v>0</v>
      </c>
      <c r="AQ6" s="16">
        <f>IFERROR(VLOOKUP($AO6,costs!$A$2:$I$2905,AQ$2,FALSE),0)</f>
        <v>0</v>
      </c>
      <c r="AR6" s="16">
        <f>IFERROR(VLOOKUP($AO6,costs!$A$2:$I$2905,AR$2,FALSE),0)</f>
        <v>0</v>
      </c>
      <c r="AS6" s="16">
        <f>IFERROR(VLOOKUP($AO6,costs!$A$2:$I$2905,AS$2,FALSE),0)</f>
        <v>0</v>
      </c>
      <c r="AT6" s="16">
        <f>IFERROR(VLOOKUP($AO6,costs!$A$2:$I$2905,AT$2,FALSE),0)</f>
        <v>0</v>
      </c>
      <c r="AU6" s="16">
        <f>IFERROR(VLOOKUP($AO6,costs!$A$2:$I$2905,AU$2,FALSE),0)</f>
        <v>0</v>
      </c>
      <c r="AV6" s="16">
        <f>IFERROR(VLOOKUP($AO6,costs!$A$2:$I$2905,AV$2,FALSE),0)</f>
        <v>0</v>
      </c>
      <c r="AW6" s="16">
        <f>IFERROR(VLOOKUP($AO6,costs!$A$2:$I$2905,AW$2,FALSE),0)</f>
        <v>0</v>
      </c>
      <c r="AY6" s="272" t="s">
        <v>298</v>
      </c>
      <c r="AZ6" s="16">
        <f>IFERROR(VLOOKUP($AY6,costs!$A$2:$I$2905,AZ$2,FALSE),0)</f>
        <v>0</v>
      </c>
      <c r="BA6" s="346">
        <f>IFERROR(VLOOKUP($AY6,costs!$A$2:$I$2905,BA$2,FALSE),0)</f>
        <v>0</v>
      </c>
      <c r="BB6" s="346">
        <f>IFERROR(VLOOKUP($AY6,costs!$A$2:$I$2905,BB$2,FALSE),0)</f>
        <v>0</v>
      </c>
      <c r="BC6" s="346">
        <f>IFERROR(VLOOKUP($AY6,costs!$A$2:$I$2905,BC$2,FALSE),0)</f>
        <v>0</v>
      </c>
      <c r="BD6" s="346">
        <f>IFERROR(VLOOKUP($AY6,costs!$A$2:$I$2905,BD$2,FALSE),0)</f>
        <v>0</v>
      </c>
      <c r="BE6" s="346">
        <f>IFERROR(VLOOKUP($AY6,costs!$A$2:$I$2905,BE$2,FALSE),0)</f>
        <v>0</v>
      </c>
      <c r="BF6" s="346">
        <f>IFERROR(VLOOKUP($AY6,costs!$A$2:$I$2905,BF$2,FALSE),0)</f>
        <v>0</v>
      </c>
      <c r="BG6" s="346">
        <f>IFERROR(VLOOKUP($AY6,costs!$A$2:$I$2905,BG$2,FALSE),0)</f>
        <v>0</v>
      </c>
    </row>
    <row r="7" spans="1:59" x14ac:dyDescent="0.35">
      <c r="A7" t="s">
        <v>2028</v>
      </c>
      <c r="B7" s="352">
        <f t="shared" ref="B7:H7" si="3">AP209-B9</f>
        <v>0</v>
      </c>
      <c r="C7" s="365">
        <f t="shared" si="3"/>
        <v>0</v>
      </c>
      <c r="D7" s="365">
        <f t="shared" si="3"/>
        <v>0</v>
      </c>
      <c r="E7" s="365">
        <f t="shared" si="3"/>
        <v>0</v>
      </c>
      <c r="F7" s="365">
        <f t="shared" si="3"/>
        <v>0</v>
      </c>
      <c r="G7" s="365">
        <f t="shared" si="3"/>
        <v>0</v>
      </c>
      <c r="H7" s="365">
        <f t="shared" si="3"/>
        <v>0</v>
      </c>
      <c r="I7" s="958">
        <v>83174.148161641409</v>
      </c>
      <c r="K7" s="269" t="s">
        <v>291</v>
      </c>
      <c r="L7" s="16">
        <f>IFERROR(VLOOKUP($K7,costs!$A$2:$I$2905,L$2,FALSE),0)</f>
        <v>0</v>
      </c>
      <c r="M7" s="16">
        <f>IFERROR(VLOOKUP($K7,costs!$A$2:$I$2905,M$2,FALSE),0)</f>
        <v>0</v>
      </c>
      <c r="N7" s="16">
        <f>IFERROR(VLOOKUP($K7,costs!$A$2:$I$2905,N$2,FALSE),0)</f>
        <v>0</v>
      </c>
      <c r="O7" s="16">
        <f>IFERROR(VLOOKUP($K7,costs!$A$2:$I$2905,O$2,FALSE),0)</f>
        <v>0</v>
      </c>
      <c r="P7" s="16">
        <f>IFERROR(VLOOKUP($K7,costs!$A$2:$I$2905,P$2,FALSE),0)</f>
        <v>0</v>
      </c>
      <c r="Q7" s="16">
        <f>IFERROR(VLOOKUP($K7,costs!$A$2:$I$2905,Q$2,FALSE),0)</f>
        <v>0</v>
      </c>
      <c r="R7" s="16">
        <f>IFERROR(VLOOKUP($K7,costs!$A$2:$I$2905,R$2,FALSE),0)</f>
        <v>0</v>
      </c>
      <c r="S7" s="16">
        <f>IFERROR(VLOOKUP($K7,costs!$A$2:$I$2905,S$2,FALSE),0)</f>
        <v>0</v>
      </c>
      <c r="U7" s="273" t="s">
        <v>2033</v>
      </c>
      <c r="V7" s="16">
        <f>IFERROR(VLOOKUP($U7,costs!$A$2:$I$2905,V$2,FALSE),0)</f>
        <v>0</v>
      </c>
      <c r="W7" s="16">
        <f>IFERROR(VLOOKUP($U7,costs!$A$2:$I$2905,W$2,FALSE),0)</f>
        <v>0</v>
      </c>
      <c r="X7" s="16">
        <f>IFERROR(VLOOKUP($U7,costs!$A$2:$I$2905,X$2,FALSE),0)</f>
        <v>0</v>
      </c>
      <c r="Y7" s="16">
        <f>IFERROR(VLOOKUP($U7,costs!$A$2:$I$2905,Y$2,FALSE),0)</f>
        <v>0</v>
      </c>
      <c r="Z7" s="16">
        <f>IFERROR(VLOOKUP($U7,costs!$A$2:$I$2905,Z$2,FALSE),0)</f>
        <v>0</v>
      </c>
      <c r="AA7" s="16">
        <f>IFERROR(VLOOKUP($U7,costs!$A$2:$I$2905,AA$2,FALSE),0)</f>
        <v>0</v>
      </c>
      <c r="AB7" s="16">
        <f>IFERROR(VLOOKUP($U7,costs!$A$2:$I$2905,AB$2,FALSE),0)</f>
        <v>0</v>
      </c>
      <c r="AC7" s="16">
        <f>IFERROR(VLOOKUP($U7,costs!$A$2:$I$2905,AC$2,FALSE),0)</f>
        <v>0</v>
      </c>
      <c r="AE7" s="40" t="s">
        <v>2455</v>
      </c>
      <c r="AF7" s="16">
        <f>IFERROR(VLOOKUP($AE7,costs!$A$2:$I$2905,AF$2,FALSE),0)</f>
        <v>0</v>
      </c>
      <c r="AG7" s="16">
        <f>IFERROR(VLOOKUP($AE7,costs!$A$2:$I$2905,AG$2,FALSE),0)</f>
        <v>0</v>
      </c>
      <c r="AH7" s="16">
        <f>IFERROR(VLOOKUP($AE7,costs!$A$2:$I$2905,AH$2,FALSE),0)</f>
        <v>0</v>
      </c>
      <c r="AI7" s="16">
        <f>IFERROR(VLOOKUP($AE7,costs!$A$2:$I$2905,AI$2,FALSE),0)</f>
        <v>0</v>
      </c>
      <c r="AJ7" s="16">
        <f>IFERROR(VLOOKUP($AE7,costs!$A$2:$I$2905,AJ$2,FALSE),0)</f>
        <v>0</v>
      </c>
      <c r="AK7" s="16">
        <f>IFERROR(VLOOKUP($AE7,costs!$A$2:$I$2905,AK$2,FALSE),0)</f>
        <v>0</v>
      </c>
      <c r="AL7" s="16">
        <f>IFERROR(VLOOKUP($AE7,costs!$A$2:$I$2905,AL$2,FALSE),0)</f>
        <v>0</v>
      </c>
      <c r="AM7" s="16">
        <f>IFERROR(VLOOKUP($AE7,costs!$A$2:$I$2905,AM$2,FALSE),0)</f>
        <v>0</v>
      </c>
      <c r="AO7" s="273" t="s">
        <v>173</v>
      </c>
      <c r="AP7" s="16">
        <f>IFERROR(VLOOKUP($AO7,costs!$A$2:$I$2905,AP$2,FALSE),0)</f>
        <v>0</v>
      </c>
      <c r="AQ7" s="16">
        <f>IFERROR(VLOOKUP($AO7,costs!$A$2:$I$2905,AQ$2,FALSE),0)</f>
        <v>0</v>
      </c>
      <c r="AR7" s="16">
        <f>IFERROR(VLOOKUP($AO7,costs!$A$2:$I$2905,AR$2,FALSE),0)</f>
        <v>0</v>
      </c>
      <c r="AS7" s="16">
        <f>IFERROR(VLOOKUP($AO7,costs!$A$2:$I$2905,AS$2,FALSE),0)</f>
        <v>0</v>
      </c>
      <c r="AT7" s="16">
        <f>IFERROR(VLOOKUP($AO7,costs!$A$2:$I$2905,AT$2,FALSE),0)</f>
        <v>0</v>
      </c>
      <c r="AU7" s="16">
        <f>IFERROR(VLOOKUP($AO7,costs!$A$2:$I$2905,AU$2,FALSE),0)</f>
        <v>0</v>
      </c>
      <c r="AV7" s="16">
        <f>IFERROR(VLOOKUP($AO7,costs!$A$2:$I$2905,AV$2,FALSE),0)</f>
        <v>0</v>
      </c>
      <c r="AW7" s="16">
        <f>IFERROR(VLOOKUP($AO7,costs!$A$2:$I$2905,AW$2,FALSE),0)</f>
        <v>0</v>
      </c>
      <c r="AY7" s="900" t="s">
        <v>5037</v>
      </c>
      <c r="AZ7" s="346">
        <f>IFERROR(VLOOKUP($AY7,costs!$A$2:$I$2905,AZ$2,FALSE),0)</f>
        <v>0</v>
      </c>
      <c r="BA7" s="346">
        <f>IFERROR(VLOOKUP($AY7,costs!$A$2:$I$2905,BA$2,FALSE),0)</f>
        <v>0</v>
      </c>
      <c r="BB7" s="346">
        <f>IFERROR(VLOOKUP($AY7,costs!$A$2:$I$2905,BB$2,FALSE),0)</f>
        <v>0</v>
      </c>
      <c r="BC7" s="346">
        <f>IFERROR(VLOOKUP($AY7,costs!$A$2:$I$2905,BC$2,FALSE),0)</f>
        <v>0</v>
      </c>
      <c r="BD7" s="346">
        <f>IFERROR(VLOOKUP($AY7,costs!$A$2:$I$2905,BD$2,FALSE),0)</f>
        <v>0</v>
      </c>
      <c r="BE7" s="346">
        <f>IFERROR(VLOOKUP($AY7,costs!$A$2:$I$2905,BE$2,FALSE),0)</f>
        <v>0</v>
      </c>
      <c r="BF7" s="346">
        <f>IFERROR(VLOOKUP($AY7,costs!$A$2:$I$2905,BF$2,FALSE),0)</f>
        <v>0</v>
      </c>
      <c r="BG7" s="346">
        <f>IFERROR(VLOOKUP($AY7,costs!$A$2:$I$2905,BG$2,FALSE),0)</f>
        <v>0</v>
      </c>
    </row>
    <row r="8" spans="1:59" x14ac:dyDescent="0.35">
      <c r="A8" t="s">
        <v>2030</v>
      </c>
      <c r="B8" s="352">
        <f>AZ145</f>
        <v>0</v>
      </c>
      <c r="C8" s="365">
        <f t="shared" ref="C8:H8" si="4">BA145</f>
        <v>0</v>
      </c>
      <c r="D8" s="365">
        <f t="shared" si="4"/>
        <v>0</v>
      </c>
      <c r="E8" s="365">
        <f t="shared" si="4"/>
        <v>0</v>
      </c>
      <c r="F8" s="365">
        <f t="shared" si="4"/>
        <v>0</v>
      </c>
      <c r="G8" s="365">
        <f t="shared" si="4"/>
        <v>0</v>
      </c>
      <c r="H8" s="365">
        <f t="shared" si="4"/>
        <v>0</v>
      </c>
      <c r="I8" s="958">
        <v>62784.179205977576</v>
      </c>
      <c r="K8" s="268" t="s">
        <v>321</v>
      </c>
      <c r="L8" s="16">
        <f>IFERROR(VLOOKUP($K8,costs!$A$2:$I$2905,L$2,FALSE),0)</f>
        <v>0</v>
      </c>
      <c r="M8" s="16">
        <f>IFERROR(VLOOKUP($K8,costs!$A$2:$I$2905,M$2,FALSE),0)</f>
        <v>0</v>
      </c>
      <c r="N8" s="16">
        <f>IFERROR(VLOOKUP($K8,costs!$A$2:$I$2905,N$2,FALSE),0)</f>
        <v>0</v>
      </c>
      <c r="O8" s="16">
        <f>IFERROR(VLOOKUP($K8,costs!$A$2:$I$2905,O$2,FALSE),0)</f>
        <v>0</v>
      </c>
      <c r="P8" s="16">
        <f>IFERROR(VLOOKUP($K8,costs!$A$2:$I$2905,P$2,FALSE),0)</f>
        <v>0</v>
      </c>
      <c r="Q8" s="16">
        <f>IFERROR(VLOOKUP($K8,costs!$A$2:$I$2905,Q$2,FALSE),0)</f>
        <v>0</v>
      </c>
      <c r="R8" s="16">
        <f>IFERROR(VLOOKUP($K8,costs!$A$2:$I$2905,R$2,FALSE),0)</f>
        <v>0</v>
      </c>
      <c r="S8" s="16">
        <f>IFERROR(VLOOKUP($K8,costs!$A$2:$I$2905,S$2,FALSE),0)</f>
        <v>0</v>
      </c>
      <c r="U8" s="272" t="s">
        <v>276</v>
      </c>
      <c r="V8" s="16">
        <f>IFERROR(VLOOKUP($U8,costs!$A$2:$I$2905,V$2,FALSE),0)</f>
        <v>0</v>
      </c>
      <c r="W8" s="16">
        <f>IFERROR(VLOOKUP($U8,costs!$A$2:$I$2905,W$2,FALSE),0)</f>
        <v>0</v>
      </c>
      <c r="X8" s="16">
        <f>IFERROR(VLOOKUP($U8,costs!$A$2:$I$2905,X$2,FALSE),0)</f>
        <v>0</v>
      </c>
      <c r="Y8" s="16">
        <f>IFERROR(VLOOKUP($U8,costs!$A$2:$I$2905,Y$2,FALSE),0)</f>
        <v>0</v>
      </c>
      <c r="Z8" s="16">
        <f>IFERROR(VLOOKUP($U8,costs!$A$2:$I$2905,Z$2,FALSE),0)</f>
        <v>0</v>
      </c>
      <c r="AA8" s="16">
        <f>IFERROR(VLOOKUP($U8,costs!$A$2:$I$2905,AA$2,FALSE),0)</f>
        <v>0</v>
      </c>
      <c r="AB8" s="16">
        <f>IFERROR(VLOOKUP($U8,costs!$A$2:$I$2905,AB$2,FALSE),0)</f>
        <v>0</v>
      </c>
      <c r="AC8" s="16">
        <f>IFERROR(VLOOKUP($U8,costs!$A$2:$I$2905,AC$2,FALSE),0)</f>
        <v>0</v>
      </c>
      <c r="AE8" s="40" t="s">
        <v>4138</v>
      </c>
      <c r="AF8" s="346">
        <f>IFERROR(VLOOKUP($AE8,costs!$A$2:$I$2905,AF$2,FALSE),0)</f>
        <v>0</v>
      </c>
      <c r="AG8" s="346">
        <f>IFERROR(VLOOKUP($AE8,costs!$A$2:$I$2905,AG$2,FALSE),0)</f>
        <v>0</v>
      </c>
      <c r="AH8" s="346">
        <f>IFERROR(VLOOKUP($AE8,costs!$A$2:$I$2905,AH$2,FALSE),0)</f>
        <v>0</v>
      </c>
      <c r="AI8" s="346">
        <f>IFERROR(VLOOKUP($AE8,costs!$A$2:$I$2905,AI$2,FALSE),0)</f>
        <v>0</v>
      </c>
      <c r="AJ8" s="346">
        <f>IFERROR(VLOOKUP($AE8,costs!$A$2:$I$2905,AJ$2,FALSE),0)</f>
        <v>0</v>
      </c>
      <c r="AK8" s="346">
        <f>IFERROR(VLOOKUP($AE8,costs!$A$2:$I$2905,AK$2,FALSE),0)</f>
        <v>0</v>
      </c>
      <c r="AL8" s="346">
        <f>IFERROR(VLOOKUP($AE8,costs!$A$2:$I$2905,AL$2,FALSE),0)</f>
        <v>0</v>
      </c>
      <c r="AM8" s="346">
        <f>IFERROR(VLOOKUP($AE8,costs!$A$2:$I$2905,AM$2,FALSE),0)</f>
        <v>0</v>
      </c>
      <c r="AO8" s="273" t="s">
        <v>353</v>
      </c>
      <c r="AP8" s="16">
        <f>IFERROR(VLOOKUP($AO8,costs!$A$2:$I$2905,AP$2,FALSE),0)</f>
        <v>0</v>
      </c>
      <c r="AQ8" s="16">
        <f>IFERROR(VLOOKUP($AO8,costs!$A$2:$I$2905,AQ$2,FALSE),0)</f>
        <v>0</v>
      </c>
      <c r="AR8" s="16">
        <f>IFERROR(VLOOKUP($AO8,costs!$A$2:$I$2905,AR$2,FALSE),0)</f>
        <v>0</v>
      </c>
      <c r="AS8" s="16">
        <f>IFERROR(VLOOKUP($AO8,costs!$A$2:$I$2905,AS$2,FALSE),0)</f>
        <v>0</v>
      </c>
      <c r="AT8" s="16">
        <f>IFERROR(VLOOKUP($AO8,costs!$A$2:$I$2905,AT$2,FALSE),0)</f>
        <v>0</v>
      </c>
      <c r="AU8" s="16">
        <f>IFERROR(VLOOKUP($AO8,costs!$A$2:$I$2905,AU$2,FALSE),0)</f>
        <v>0</v>
      </c>
      <c r="AV8" s="16">
        <f>IFERROR(VLOOKUP($AO8,costs!$A$2:$I$2905,AV$2,FALSE),0)</f>
        <v>0</v>
      </c>
      <c r="AW8" s="16">
        <f>IFERROR(VLOOKUP($AO8,costs!$A$2:$I$2905,AW$2,FALSE),0)</f>
        <v>0</v>
      </c>
      <c r="AY8" s="900" t="s">
        <v>5038</v>
      </c>
      <c r="AZ8" s="346">
        <f>IFERROR(VLOOKUP($AY8,costs!$A$2:$I$2905,AZ$2,FALSE),0)</f>
        <v>0</v>
      </c>
      <c r="BA8" s="346">
        <f>IFERROR(VLOOKUP($AY8,costs!$A$2:$I$2905,BA$2,FALSE),0)</f>
        <v>0</v>
      </c>
      <c r="BB8" s="346">
        <f>IFERROR(VLOOKUP($AY8,costs!$A$2:$I$2905,BB$2,FALSE),0)</f>
        <v>0</v>
      </c>
      <c r="BC8" s="346">
        <f>IFERROR(VLOOKUP($AY8,costs!$A$2:$I$2905,BC$2,FALSE),0)</f>
        <v>0</v>
      </c>
      <c r="BD8" s="346">
        <f>IFERROR(VLOOKUP($AY8,costs!$A$2:$I$2905,BD$2,FALSE),0)</f>
        <v>0</v>
      </c>
      <c r="BE8" s="346">
        <f>IFERROR(VLOOKUP($AY8,costs!$A$2:$I$2905,BE$2,FALSE),0)</f>
        <v>0</v>
      </c>
      <c r="BF8" s="346">
        <f>IFERROR(VLOOKUP($AY8,costs!$A$2:$I$2905,BF$2,FALSE),0)</f>
        <v>0</v>
      </c>
      <c r="BG8" s="346">
        <f>IFERROR(VLOOKUP($AY8,costs!$A$2:$I$2905,BG$2,FALSE),0)</f>
        <v>0</v>
      </c>
    </row>
    <row r="9" spans="1:59" x14ac:dyDescent="0.35">
      <c r="A9" t="s">
        <v>2179</v>
      </c>
      <c r="B9" s="352">
        <f t="shared" ref="B9:H9" si="5">AP35</f>
        <v>0</v>
      </c>
      <c r="C9" s="365">
        <f t="shared" si="5"/>
        <v>0</v>
      </c>
      <c r="D9" s="365">
        <f t="shared" si="5"/>
        <v>0</v>
      </c>
      <c r="E9" s="365">
        <f t="shared" si="5"/>
        <v>0</v>
      </c>
      <c r="F9" s="365">
        <f t="shared" si="5"/>
        <v>0</v>
      </c>
      <c r="G9" s="365">
        <f t="shared" si="5"/>
        <v>0</v>
      </c>
      <c r="H9" s="365">
        <f t="shared" si="5"/>
        <v>0</v>
      </c>
      <c r="I9" s="958">
        <v>10598.787226875094</v>
      </c>
      <c r="K9" s="269" t="s">
        <v>322</v>
      </c>
      <c r="L9" s="16">
        <f>IFERROR(VLOOKUP($K9,costs!$A$2:$I$2905,L$2,FALSE),0)</f>
        <v>0</v>
      </c>
      <c r="M9" s="16">
        <f>IFERROR(VLOOKUP($K9,costs!$A$2:$I$2905,M$2,FALSE),0)</f>
        <v>0</v>
      </c>
      <c r="N9" s="16">
        <f>IFERROR(VLOOKUP($K9,costs!$A$2:$I$2905,N$2,FALSE),0)</f>
        <v>0</v>
      </c>
      <c r="O9" s="16">
        <f>IFERROR(VLOOKUP($K9,costs!$A$2:$I$2905,O$2,FALSE),0)</f>
        <v>0</v>
      </c>
      <c r="P9" s="16">
        <f>IFERROR(VLOOKUP($K9,costs!$A$2:$I$2905,P$2,FALSE),0)</f>
        <v>0</v>
      </c>
      <c r="Q9" s="16">
        <f>IFERROR(VLOOKUP($K9,costs!$A$2:$I$2905,Q$2,FALSE),0)</f>
        <v>0</v>
      </c>
      <c r="R9" s="16">
        <f>IFERROR(VLOOKUP($K9,costs!$A$2:$I$2905,R$2,FALSE),0)</f>
        <v>0</v>
      </c>
      <c r="S9" s="16">
        <f>IFERROR(VLOOKUP($K9,costs!$A$2:$I$2905,S$2,FALSE),0)</f>
        <v>0</v>
      </c>
      <c r="U9" s="273" t="s">
        <v>277</v>
      </c>
      <c r="V9" s="16">
        <f>IFERROR(VLOOKUP($U9,costs!$A$2:$I$2905,V$2,FALSE),0)</f>
        <v>0</v>
      </c>
      <c r="W9" s="16">
        <f>IFERROR(VLOOKUP($U9,costs!$A$2:$I$2905,W$2,FALSE),0)</f>
        <v>0</v>
      </c>
      <c r="X9" s="16">
        <f>IFERROR(VLOOKUP($U9,costs!$A$2:$I$2905,X$2,FALSE),0)</f>
        <v>0</v>
      </c>
      <c r="Y9" s="16">
        <f>IFERROR(VLOOKUP($U9,costs!$A$2:$I$2905,Y$2,FALSE),0)</f>
        <v>0</v>
      </c>
      <c r="Z9" s="16">
        <f>IFERROR(VLOOKUP($U9,costs!$A$2:$I$2905,Z$2,FALSE),0)</f>
        <v>0</v>
      </c>
      <c r="AA9" s="16">
        <f>IFERROR(VLOOKUP($U9,costs!$A$2:$I$2905,AA$2,FALSE),0)</f>
        <v>0</v>
      </c>
      <c r="AB9" s="16">
        <f>IFERROR(VLOOKUP($U9,costs!$A$2:$I$2905,AB$2,FALSE),0)</f>
        <v>0</v>
      </c>
      <c r="AC9" s="16">
        <f>IFERROR(VLOOKUP($U9,costs!$A$2:$I$2905,AC$2,FALSE),0)</f>
        <v>0</v>
      </c>
      <c r="AE9" s="40" t="s">
        <v>2452</v>
      </c>
      <c r="AF9" s="16">
        <f>IFERROR(VLOOKUP($AE9,costs!$A$2:$I$2905,AF$2,FALSE),0)</f>
        <v>0</v>
      </c>
      <c r="AG9" s="16">
        <f>IFERROR(VLOOKUP($AE9,costs!$A$2:$I$2905,AG$2,FALSE),0)</f>
        <v>0</v>
      </c>
      <c r="AH9" s="16">
        <f>IFERROR(VLOOKUP($AE9,costs!$A$2:$I$2905,AH$2,FALSE),0)</f>
        <v>0</v>
      </c>
      <c r="AI9" s="16">
        <f>IFERROR(VLOOKUP($AE9,costs!$A$2:$I$2905,AI$2,FALSE),0)</f>
        <v>0</v>
      </c>
      <c r="AJ9" s="16">
        <f>IFERROR(VLOOKUP($AE9,costs!$A$2:$I$2905,AJ$2,FALSE),0)</f>
        <v>0</v>
      </c>
      <c r="AK9" s="16">
        <f>IFERROR(VLOOKUP($AE9,costs!$A$2:$I$2905,AK$2,FALSE),0)</f>
        <v>0</v>
      </c>
      <c r="AL9" s="16">
        <f>IFERROR(VLOOKUP($AE9,costs!$A$2:$I$2905,AL$2,FALSE),0)</f>
        <v>0</v>
      </c>
      <c r="AM9" s="16">
        <f>IFERROR(VLOOKUP($AE9,costs!$A$2:$I$2905,AM$2,FALSE),0)</f>
        <v>0</v>
      </c>
      <c r="AO9" s="272" t="s">
        <v>354</v>
      </c>
      <c r="AP9" s="16">
        <f>IFERROR(VLOOKUP($AO9,costs!$A$2:$I$2905,AP$2,FALSE),0)</f>
        <v>0</v>
      </c>
      <c r="AQ9" s="16">
        <f>IFERROR(VLOOKUP($AO9,costs!$A$2:$I$2905,AQ$2,FALSE),0)</f>
        <v>0</v>
      </c>
      <c r="AR9" s="16">
        <f>IFERROR(VLOOKUP($AO9,costs!$A$2:$I$2905,AR$2,FALSE),0)</f>
        <v>0</v>
      </c>
      <c r="AS9" s="16">
        <f>IFERROR(VLOOKUP($AO9,costs!$A$2:$I$2905,AS$2,FALSE),0)</f>
        <v>0</v>
      </c>
      <c r="AT9" s="16">
        <f>IFERROR(VLOOKUP($AO9,costs!$A$2:$I$2905,AT$2,FALSE),0)</f>
        <v>0</v>
      </c>
      <c r="AU9" s="16">
        <f>IFERROR(VLOOKUP($AO9,costs!$A$2:$I$2905,AU$2,FALSE),0)</f>
        <v>0</v>
      </c>
      <c r="AV9" s="16">
        <f>IFERROR(VLOOKUP($AO9,costs!$A$2:$I$2905,AV$2,FALSE),0)</f>
        <v>0</v>
      </c>
      <c r="AW9" s="16">
        <f>IFERROR(VLOOKUP($AO9,costs!$A$2:$I$2905,AW$2,FALSE),0)</f>
        <v>0</v>
      </c>
      <c r="AY9" s="272" t="s">
        <v>198</v>
      </c>
      <c r="AZ9" s="16">
        <f>IFERROR(VLOOKUP($AY9,costs!$A$2:$I$2905,AZ$2,FALSE),0)</f>
        <v>0</v>
      </c>
      <c r="BA9" s="16">
        <f>IFERROR(VLOOKUP($AY9,costs!$A$2:$I$2905,BA$2,FALSE),0)</f>
        <v>0</v>
      </c>
      <c r="BB9" s="16">
        <f>IFERROR(VLOOKUP($AY9,costs!$A$2:$I$2905,BB$2,FALSE),0)</f>
        <v>0</v>
      </c>
      <c r="BC9" s="16">
        <f>IFERROR(VLOOKUP($AY9,costs!$A$2:$I$2905,BC$2,FALSE),0)</f>
        <v>0</v>
      </c>
      <c r="BD9" s="16">
        <f>IFERROR(VLOOKUP($AY9,costs!$A$2:$I$2905,BD$2,FALSE),0)</f>
        <v>0</v>
      </c>
      <c r="BE9" s="16">
        <f>IFERROR(VLOOKUP($AY9,costs!$A$2:$I$2905,BE$2,FALSE),0)</f>
        <v>0</v>
      </c>
      <c r="BF9" s="16">
        <f>IFERROR(VLOOKUP($AY9,costs!$A$2:$I$2905,BF$2,FALSE),0)</f>
        <v>0</v>
      </c>
      <c r="BG9" s="16">
        <f>IFERROR(VLOOKUP($AY9,costs!$A$2:$I$2905,BG$2,FALSE),0)</f>
        <v>0</v>
      </c>
    </row>
    <row r="10" spans="1:59" x14ac:dyDescent="0.35">
      <c r="A10" s="341" t="s">
        <v>2288</v>
      </c>
      <c r="B10" s="900">
        <f t="shared" ref="B10:H10" si="6">AP220+AP221+AP222+AP223+AP224+AP225+AP226+AP227+AP228+AP229+AP230+AP219</f>
        <v>0</v>
      </c>
      <c r="C10" s="900">
        <f t="shared" si="6"/>
        <v>0</v>
      </c>
      <c r="D10" s="900">
        <f t="shared" si="6"/>
        <v>0</v>
      </c>
      <c r="E10" s="900">
        <f t="shared" si="6"/>
        <v>0</v>
      </c>
      <c r="F10" s="900">
        <f t="shared" si="6"/>
        <v>0</v>
      </c>
      <c r="G10" s="900">
        <f t="shared" si="6"/>
        <v>0</v>
      </c>
      <c r="H10" s="365">
        <f t="shared" si="6"/>
        <v>0</v>
      </c>
      <c r="I10" s="958">
        <v>47290.217946797675</v>
      </c>
      <c r="K10" s="268" t="s">
        <v>323</v>
      </c>
      <c r="L10" s="16">
        <f>IFERROR(VLOOKUP($K10,costs!$A$2:$I$2905,L$2,FALSE),0)</f>
        <v>0</v>
      </c>
      <c r="M10" s="16">
        <f>IFERROR(VLOOKUP($K10,costs!$A$2:$I$2905,M$2,FALSE),0)</f>
        <v>0</v>
      </c>
      <c r="N10" s="16">
        <f>IFERROR(VLOOKUP($K10,costs!$A$2:$I$2905,N$2,FALSE),0)</f>
        <v>0</v>
      </c>
      <c r="O10" s="16">
        <f>IFERROR(VLOOKUP($K10,costs!$A$2:$I$2905,O$2,FALSE),0)</f>
        <v>0</v>
      </c>
      <c r="P10" s="16">
        <f>IFERROR(VLOOKUP($K10,costs!$A$2:$I$2905,P$2,FALSE),0)</f>
        <v>0</v>
      </c>
      <c r="Q10" s="16">
        <f>IFERROR(VLOOKUP($K10,costs!$A$2:$I$2905,Q$2,FALSE),0)</f>
        <v>0</v>
      </c>
      <c r="R10" s="16">
        <f>IFERROR(VLOOKUP($K10,costs!$A$2:$I$2905,R$2,FALSE),0)</f>
        <v>0</v>
      </c>
      <c r="S10" s="16">
        <f>IFERROR(VLOOKUP($K10,costs!$A$2:$I$2905,S$2,FALSE),0)</f>
        <v>0</v>
      </c>
      <c r="U10" s="272" t="s">
        <v>2034</v>
      </c>
      <c r="V10" s="16">
        <f>IFERROR(VLOOKUP($U10,costs!$A$2:$I$2905,V$2,FALSE),0)</f>
        <v>0</v>
      </c>
      <c r="W10" s="16">
        <f>IFERROR(VLOOKUP($U10,costs!$A$2:$I$2905,W$2,FALSE),0)</f>
        <v>0</v>
      </c>
      <c r="X10" s="16">
        <f>IFERROR(VLOOKUP($U10,costs!$A$2:$I$2905,X$2,FALSE),0)</f>
        <v>0</v>
      </c>
      <c r="Y10" s="16">
        <f>IFERROR(VLOOKUP($U10,costs!$A$2:$I$2905,Y$2,FALSE),0)</f>
        <v>0</v>
      </c>
      <c r="Z10" s="16">
        <f>IFERROR(VLOOKUP($U10,costs!$A$2:$I$2905,Z$2,FALSE),0)</f>
        <v>0</v>
      </c>
      <c r="AA10" s="16">
        <f>IFERROR(VLOOKUP($U10,costs!$A$2:$I$2905,AA$2,FALSE),0)</f>
        <v>0</v>
      </c>
      <c r="AB10" s="16">
        <f>IFERROR(VLOOKUP($U10,costs!$A$2:$I$2905,AB$2,FALSE),0)</f>
        <v>0</v>
      </c>
      <c r="AC10" s="16">
        <f>IFERROR(VLOOKUP($U10,costs!$A$2:$I$2905,AC$2,FALSE),0)</f>
        <v>0</v>
      </c>
      <c r="AE10" s="40" t="s">
        <v>341</v>
      </c>
      <c r="AF10" s="16">
        <f>IFERROR(VLOOKUP($AE10,costs!$A$2:$I$2905,AF$2,FALSE),0)</f>
        <v>0</v>
      </c>
      <c r="AG10" s="16">
        <f>IFERROR(VLOOKUP($AE10,costs!$A$2:$I$2905,AG$2,FALSE),0)</f>
        <v>0</v>
      </c>
      <c r="AH10" s="16">
        <f>IFERROR(VLOOKUP($AE10,costs!$A$2:$I$2905,AH$2,FALSE),0)</f>
        <v>0</v>
      </c>
      <c r="AI10" s="16">
        <f>IFERROR(VLOOKUP($AE10,costs!$A$2:$I$2905,AI$2,FALSE),0)</f>
        <v>0</v>
      </c>
      <c r="AJ10" s="16">
        <f>IFERROR(VLOOKUP($AE10,costs!$A$2:$I$2905,AJ$2,FALSE),0)</f>
        <v>0</v>
      </c>
      <c r="AK10" s="16">
        <f>IFERROR(VLOOKUP($AE10,costs!$A$2:$I$2905,AK$2,FALSE),0)</f>
        <v>0</v>
      </c>
      <c r="AL10" s="16">
        <f>IFERROR(VLOOKUP($AE10,costs!$A$2:$I$2905,AL$2,FALSE),0)</f>
        <v>0</v>
      </c>
      <c r="AM10" s="16">
        <f>IFERROR(VLOOKUP($AE10,costs!$A$2:$I$2905,AM$2,FALSE),0)</f>
        <v>0</v>
      </c>
      <c r="AO10" s="273" t="s">
        <v>438</v>
      </c>
      <c r="AP10" s="16">
        <f>IFERROR(VLOOKUP($AO10,costs!$A$2:$I$2905,AP$2,FALSE),0)</f>
        <v>0</v>
      </c>
      <c r="AQ10" s="16">
        <f>IFERROR(VLOOKUP($AO10,costs!$A$2:$I$2905,AQ$2,FALSE),0)</f>
        <v>0</v>
      </c>
      <c r="AR10" s="16">
        <f>IFERROR(VLOOKUP($AO10,costs!$A$2:$I$2905,AR$2,FALSE),0)</f>
        <v>0</v>
      </c>
      <c r="AS10" s="16">
        <f>IFERROR(VLOOKUP($AO10,costs!$A$2:$I$2905,AS$2,FALSE),0)</f>
        <v>0</v>
      </c>
      <c r="AT10" s="16">
        <f>IFERROR(VLOOKUP($AO10,costs!$A$2:$I$2905,AT$2,FALSE),0)</f>
        <v>0</v>
      </c>
      <c r="AU10" s="16">
        <f>IFERROR(VLOOKUP($AO10,costs!$A$2:$I$2905,AU$2,FALSE),0)</f>
        <v>0</v>
      </c>
      <c r="AV10" s="16">
        <f>IFERROR(VLOOKUP($AO10,costs!$A$2:$I$2905,AV$2,FALSE),0)</f>
        <v>0</v>
      </c>
      <c r="AW10" s="16">
        <f>IFERROR(VLOOKUP($AO10,costs!$A$2:$I$2905,AW$2,FALSE),0)</f>
        <v>0</v>
      </c>
      <c r="AY10" s="899" t="s">
        <v>4287</v>
      </c>
      <c r="AZ10" s="346">
        <f>IFERROR(VLOOKUP($AY10,costs!$A$2:$I$2905,AZ$2,FALSE),0)</f>
        <v>0</v>
      </c>
      <c r="BA10" s="346">
        <f>IFERROR(VLOOKUP($AY10,costs!$A$2:$I$2905,BA$2,FALSE),0)</f>
        <v>0</v>
      </c>
      <c r="BB10" s="346">
        <f>IFERROR(VLOOKUP($AY10,costs!$A$2:$I$2905,BB$2,FALSE),0)</f>
        <v>0</v>
      </c>
      <c r="BC10" s="346">
        <f>IFERROR(VLOOKUP($AY10,costs!$A$2:$I$2905,BC$2,FALSE),0)</f>
        <v>0</v>
      </c>
      <c r="BD10" s="346">
        <f>IFERROR(VLOOKUP($AY10,costs!$A$2:$I$2905,BD$2,FALSE),0)</f>
        <v>0</v>
      </c>
      <c r="BE10" s="346">
        <f>IFERROR(VLOOKUP($AY10,costs!$A$2:$I$2905,BE$2,FALSE),0)</f>
        <v>0</v>
      </c>
      <c r="BF10" s="346">
        <f>IFERROR(VLOOKUP($AY10,costs!$A$2:$I$2905,BF$2,FALSE),0)</f>
        <v>0</v>
      </c>
      <c r="BG10" s="346">
        <f>IFERROR(VLOOKUP($AY10,costs!$A$2:$I$2905,BG$2,FALSE),0)</f>
        <v>0</v>
      </c>
    </row>
    <row r="11" spans="1:59" x14ac:dyDescent="0.35">
      <c r="A11" s="341" t="s">
        <v>2287</v>
      </c>
      <c r="B11" s="352">
        <f t="shared" ref="B11:H11" si="7">AP212+AP213+AP214+AP215+AP216+AP217</f>
        <v>0</v>
      </c>
      <c r="C11" s="365">
        <f t="shared" si="7"/>
        <v>0</v>
      </c>
      <c r="D11" s="365">
        <f t="shared" si="7"/>
        <v>0</v>
      </c>
      <c r="E11" s="365">
        <f t="shared" si="7"/>
        <v>0</v>
      </c>
      <c r="F11" s="365">
        <f t="shared" si="7"/>
        <v>0</v>
      </c>
      <c r="G11" s="365">
        <f t="shared" si="7"/>
        <v>0</v>
      </c>
      <c r="H11" s="365">
        <f t="shared" si="7"/>
        <v>0</v>
      </c>
      <c r="I11" s="958">
        <v>260.02153520781218</v>
      </c>
      <c r="K11" s="268" t="s">
        <v>231</v>
      </c>
      <c r="L11" s="16">
        <f>IFERROR(VLOOKUP($K11,costs!$A$2:$I$2905,L$2,FALSE),0)</f>
        <v>0</v>
      </c>
      <c r="M11" s="16">
        <f>IFERROR(VLOOKUP($K11,costs!$A$2:$I$2905,M$2,FALSE),0)</f>
        <v>0</v>
      </c>
      <c r="N11" s="16">
        <f>IFERROR(VLOOKUP($K11,costs!$A$2:$I$2905,N$2,FALSE),0)</f>
        <v>0</v>
      </c>
      <c r="O11" s="16">
        <f>IFERROR(VLOOKUP($K11,costs!$A$2:$I$2905,O$2,FALSE),0)</f>
        <v>0</v>
      </c>
      <c r="P11" s="16">
        <f>IFERROR(VLOOKUP($K11,costs!$A$2:$I$2905,P$2,FALSE),0)</f>
        <v>0</v>
      </c>
      <c r="Q11" s="16">
        <f>IFERROR(VLOOKUP($K11,costs!$A$2:$I$2905,Q$2,FALSE),0)</f>
        <v>0</v>
      </c>
      <c r="R11" s="16">
        <f>IFERROR(VLOOKUP($K11,costs!$A$2:$I$2905,R$2,FALSE),0)</f>
        <v>0</v>
      </c>
      <c r="S11" s="16">
        <f>IFERROR(VLOOKUP($K11,costs!$A$2:$I$2905,S$2,FALSE),0)</f>
        <v>0</v>
      </c>
      <c r="U11" s="273" t="s">
        <v>274</v>
      </c>
      <c r="V11" s="16">
        <f>IFERROR(VLOOKUP($U11,costs!$A$2:$I$2905,V$2,FALSE),0)</f>
        <v>0</v>
      </c>
      <c r="W11" s="16">
        <f>IFERROR(VLOOKUP($U11,costs!$A$2:$I$2905,W$2,FALSE),0)</f>
        <v>0</v>
      </c>
      <c r="X11" s="16">
        <f>IFERROR(VLOOKUP($U11,costs!$A$2:$I$2905,X$2,FALSE),0)</f>
        <v>0</v>
      </c>
      <c r="Y11" s="16">
        <f>IFERROR(VLOOKUP($U11,costs!$A$2:$I$2905,Y$2,FALSE),0)</f>
        <v>0</v>
      </c>
      <c r="Z11" s="16">
        <f>IFERROR(VLOOKUP($U11,costs!$A$2:$I$2905,Z$2,FALSE),0)</f>
        <v>0</v>
      </c>
      <c r="AA11" s="16">
        <f>IFERROR(VLOOKUP($U11,costs!$A$2:$I$2905,AA$2,FALSE),0)</f>
        <v>0</v>
      </c>
      <c r="AB11" s="16">
        <f>IFERROR(VLOOKUP($U11,costs!$A$2:$I$2905,AB$2,FALSE),0)</f>
        <v>0</v>
      </c>
      <c r="AC11" s="16">
        <f>IFERROR(VLOOKUP($U11,costs!$A$2:$I$2905,AC$2,FALSE),0)</f>
        <v>0</v>
      </c>
      <c r="AE11" s="40" t="s">
        <v>2457</v>
      </c>
      <c r="AF11" s="16">
        <f>IFERROR(VLOOKUP($AE11,costs!$A$2:$I$2905,AF$2,FALSE),0)</f>
        <v>0</v>
      </c>
      <c r="AG11" s="16">
        <f>IFERROR(VLOOKUP($AE11,costs!$A$2:$I$2905,AG$2,FALSE),0)</f>
        <v>0</v>
      </c>
      <c r="AH11" s="16">
        <f>IFERROR(VLOOKUP($AE11,costs!$A$2:$I$2905,AH$2,FALSE),0)</f>
        <v>0</v>
      </c>
      <c r="AI11" s="16">
        <f>IFERROR(VLOOKUP($AE11,costs!$A$2:$I$2905,AI$2,FALSE),0)</f>
        <v>0</v>
      </c>
      <c r="AJ11" s="16">
        <f>IFERROR(VLOOKUP($AE11,costs!$A$2:$I$2905,AJ$2,FALSE),0)</f>
        <v>0</v>
      </c>
      <c r="AK11" s="16">
        <f>IFERROR(VLOOKUP($AE11,costs!$A$2:$I$2905,AK$2,FALSE),0)</f>
        <v>0</v>
      </c>
      <c r="AL11" s="16">
        <f>IFERROR(VLOOKUP($AE11,costs!$A$2:$I$2905,AL$2,FALSE),0)</f>
        <v>0</v>
      </c>
      <c r="AM11" s="16">
        <f>IFERROR(VLOOKUP($AE11,costs!$A$2:$I$2905,AM$2,FALSE),0)</f>
        <v>0</v>
      </c>
      <c r="AO11" s="272" t="s">
        <v>439</v>
      </c>
      <c r="AP11" s="16">
        <f>IFERROR(VLOOKUP($AO11,costs!$A$2:$I$2905,AP$2,FALSE),0)</f>
        <v>0</v>
      </c>
      <c r="AQ11" s="16">
        <f>IFERROR(VLOOKUP($AO11,costs!$A$2:$I$2905,AQ$2,FALSE),0)</f>
        <v>0</v>
      </c>
      <c r="AR11" s="16">
        <f>IFERROR(VLOOKUP($AO11,costs!$A$2:$I$2905,AR$2,FALSE),0)</f>
        <v>0</v>
      </c>
      <c r="AS11" s="16">
        <f>IFERROR(VLOOKUP($AO11,costs!$A$2:$I$2905,AS$2,FALSE),0)</f>
        <v>0</v>
      </c>
      <c r="AT11" s="16">
        <f>IFERROR(VLOOKUP($AO11,costs!$A$2:$I$2905,AT$2,FALSE),0)</f>
        <v>0</v>
      </c>
      <c r="AU11" s="16">
        <f>IFERROR(VLOOKUP($AO11,costs!$A$2:$I$2905,AU$2,FALSE),0)</f>
        <v>0</v>
      </c>
      <c r="AV11" s="16">
        <f>IFERROR(VLOOKUP($AO11,costs!$A$2:$I$2905,AV$2,FALSE),0)</f>
        <v>0</v>
      </c>
      <c r="AW11" s="16">
        <f>IFERROR(VLOOKUP($AO11,costs!$A$2:$I$2905,AW$2,FALSE),0)</f>
        <v>0</v>
      </c>
      <c r="AY11" s="273" t="s">
        <v>237</v>
      </c>
      <c r="AZ11" s="16">
        <f>IFERROR(VLOOKUP($AY11,costs!$A$2:$I$2905,AZ$2,FALSE),0)</f>
        <v>0</v>
      </c>
      <c r="BA11" s="16">
        <f>IFERROR(VLOOKUP($AY11,costs!$A$2:$I$2905,BA$2,FALSE),0)</f>
        <v>0</v>
      </c>
      <c r="BB11" s="16">
        <f>IFERROR(VLOOKUP($AY11,costs!$A$2:$I$2905,BB$2,FALSE),0)</f>
        <v>0</v>
      </c>
      <c r="BC11" s="16">
        <f>IFERROR(VLOOKUP($AY11,costs!$A$2:$I$2905,BC$2,FALSE),0)</f>
        <v>0</v>
      </c>
      <c r="BD11" s="16">
        <f>IFERROR(VLOOKUP($AY11,costs!$A$2:$I$2905,BD$2,FALSE),0)</f>
        <v>0</v>
      </c>
      <c r="BE11" s="16">
        <f>IFERROR(VLOOKUP($AY11,costs!$A$2:$I$2905,BE$2,FALSE),0)</f>
        <v>0</v>
      </c>
      <c r="BF11" s="16">
        <f>IFERROR(VLOOKUP($AY11,costs!$A$2:$I$2905,BF$2,FALSE),0)</f>
        <v>0</v>
      </c>
      <c r="BG11" s="16">
        <f>IFERROR(VLOOKUP($AY11,costs!$A$2:$I$2905,BG$2,FALSE),0)</f>
        <v>0</v>
      </c>
    </row>
    <row r="12" spans="1:59" x14ac:dyDescent="0.35">
      <c r="A12" s="133" t="s">
        <v>2027</v>
      </c>
      <c r="B12" s="350" t="e">
        <f>SUM(B4:B11)</f>
        <v>#N/A</v>
      </c>
      <c r="C12" s="350" t="e">
        <f t="shared" ref="C12:H12" si="8">SUM(C4:C11)</f>
        <v>#N/A</v>
      </c>
      <c r="D12" s="350" t="e">
        <f t="shared" si="8"/>
        <v>#N/A</v>
      </c>
      <c r="E12" s="350" t="e">
        <f t="shared" si="8"/>
        <v>#N/A</v>
      </c>
      <c r="F12" s="350" t="e">
        <f t="shared" si="8"/>
        <v>#N/A</v>
      </c>
      <c r="G12" s="350" t="e">
        <f t="shared" si="8"/>
        <v>#N/A</v>
      </c>
      <c r="H12" s="350" t="e">
        <f t="shared" si="8"/>
        <v>#N/A</v>
      </c>
      <c r="I12" s="961">
        <v>560684.48622995848</v>
      </c>
      <c r="K12" s="269" t="s">
        <v>232</v>
      </c>
      <c r="L12" s="16">
        <f>IFERROR(VLOOKUP($K12,costs!$A$2:$I$2905,L$2,FALSE),0)</f>
        <v>0</v>
      </c>
      <c r="M12" s="16">
        <f>IFERROR(VLOOKUP($K12,costs!$A$2:$I$2905,M$2,FALSE),0)</f>
        <v>0</v>
      </c>
      <c r="N12" s="16">
        <f>IFERROR(VLOOKUP($K12,costs!$A$2:$I$2905,N$2,FALSE),0)</f>
        <v>0</v>
      </c>
      <c r="O12" s="16">
        <f>IFERROR(VLOOKUP($K12,costs!$A$2:$I$2905,O$2,FALSE),0)</f>
        <v>0</v>
      </c>
      <c r="P12" s="16">
        <f>IFERROR(VLOOKUP($K12,costs!$A$2:$I$2905,P$2,FALSE),0)</f>
        <v>0</v>
      </c>
      <c r="Q12" s="16">
        <f>IFERROR(VLOOKUP($K12,costs!$A$2:$I$2905,Q$2,FALSE),0)</f>
        <v>0</v>
      </c>
      <c r="R12" s="16">
        <f>IFERROR(VLOOKUP($K12,costs!$A$2:$I$2905,R$2,FALSE),0)</f>
        <v>0</v>
      </c>
      <c r="S12" s="16">
        <f>IFERROR(VLOOKUP($K12,costs!$A$2:$I$2905,S$2,FALSE),0)</f>
        <v>0</v>
      </c>
      <c r="U12" s="272" t="s">
        <v>275</v>
      </c>
      <c r="V12" s="16">
        <f>IFERROR(VLOOKUP($U12,costs!$A$2:$I$2905,V$2,FALSE),0)</f>
        <v>0</v>
      </c>
      <c r="W12" s="16">
        <f>IFERROR(VLOOKUP($U12,costs!$A$2:$I$2905,W$2,FALSE),0)</f>
        <v>0</v>
      </c>
      <c r="X12" s="16">
        <f>IFERROR(VLOOKUP($U12,costs!$A$2:$I$2905,X$2,FALSE),0)</f>
        <v>0</v>
      </c>
      <c r="Y12" s="16">
        <f>IFERROR(VLOOKUP($U12,costs!$A$2:$I$2905,Y$2,FALSE),0)</f>
        <v>0</v>
      </c>
      <c r="Z12" s="16">
        <f>IFERROR(VLOOKUP($U12,costs!$A$2:$I$2905,Z$2,FALSE),0)</f>
        <v>0</v>
      </c>
      <c r="AA12" s="16">
        <f>IFERROR(VLOOKUP($U12,costs!$A$2:$I$2905,AA$2,FALSE),0)</f>
        <v>0</v>
      </c>
      <c r="AB12" s="16">
        <f>IFERROR(VLOOKUP($U12,costs!$A$2:$I$2905,AB$2,FALSE),0)</f>
        <v>0</v>
      </c>
      <c r="AC12" s="16">
        <f>IFERROR(VLOOKUP($U12,costs!$A$2:$I$2905,AC$2,FALSE),0)</f>
        <v>0</v>
      </c>
      <c r="AE12" s="40" t="s">
        <v>2465</v>
      </c>
      <c r="AF12" s="16">
        <f>IFERROR(VLOOKUP($AE12,costs!$A$2:$I$2905,AF$2,FALSE),0)</f>
        <v>0</v>
      </c>
      <c r="AG12" s="16">
        <f>IFERROR(VLOOKUP($AE12,costs!$A$2:$I$2905,AG$2,FALSE),0)</f>
        <v>0</v>
      </c>
      <c r="AH12" s="16">
        <f>IFERROR(VLOOKUP($AE12,costs!$A$2:$I$2905,AH$2,FALSE),0)</f>
        <v>0</v>
      </c>
      <c r="AI12" s="16">
        <f>IFERROR(VLOOKUP($AE12,costs!$A$2:$I$2905,AI$2,FALSE),0)</f>
        <v>0</v>
      </c>
      <c r="AJ12" s="16">
        <f>IFERROR(VLOOKUP($AE12,costs!$A$2:$I$2905,AJ$2,FALSE),0)</f>
        <v>0</v>
      </c>
      <c r="AK12" s="16">
        <f>IFERROR(VLOOKUP($AE12,costs!$A$2:$I$2905,AK$2,FALSE),0)</f>
        <v>0</v>
      </c>
      <c r="AL12" s="16">
        <f>IFERROR(VLOOKUP($AE12,costs!$A$2:$I$2905,AL$2,FALSE),0)</f>
        <v>0</v>
      </c>
      <c r="AM12" s="16">
        <f>IFERROR(VLOOKUP($AE12,costs!$A$2:$I$2905,AM$2,FALSE),0)</f>
        <v>0</v>
      </c>
      <c r="AO12" s="40" t="s">
        <v>112</v>
      </c>
      <c r="AP12" s="16">
        <f>IFERROR(VLOOKUP($AO12,costs!$A$2:$I$2905,AP$2,FALSE),0)</f>
        <v>0</v>
      </c>
      <c r="AQ12" s="16">
        <f>IFERROR(VLOOKUP($AO12,costs!$A$2:$I$2905,AQ$2,FALSE),0)</f>
        <v>0</v>
      </c>
      <c r="AR12" s="16">
        <f>IFERROR(VLOOKUP($AO12,costs!$A$2:$I$2905,AR$2,FALSE),0)</f>
        <v>0</v>
      </c>
      <c r="AS12" s="16">
        <f>IFERROR(VLOOKUP($AO12,costs!$A$2:$I$2905,AS$2,FALSE),0)</f>
        <v>0</v>
      </c>
      <c r="AT12" s="16">
        <f>IFERROR(VLOOKUP($AO12,costs!$A$2:$I$2905,AT$2,FALSE),0)</f>
        <v>0</v>
      </c>
      <c r="AU12" s="16">
        <f>IFERROR(VLOOKUP($AO12,costs!$A$2:$I$2905,AU$2,FALSE),0)</f>
        <v>0</v>
      </c>
      <c r="AV12" s="16">
        <f>IFERROR(VLOOKUP($AO12,costs!$A$2:$I$2905,AV$2,FALSE),0)</f>
        <v>0</v>
      </c>
      <c r="AW12" s="16">
        <f>IFERROR(VLOOKUP($AO12,costs!$A$2:$I$2905,AW$2,FALSE),0)</f>
        <v>0</v>
      </c>
      <c r="AY12" s="370" t="s">
        <v>3130</v>
      </c>
      <c r="AZ12" s="16">
        <f>IFERROR(VLOOKUP($AY12,costs!$A$2:$I$2905,AZ$2,FALSE),0)</f>
        <v>0</v>
      </c>
      <c r="BA12" s="16">
        <f>IFERROR(VLOOKUP($AY12,costs!$A$2:$I$2905,BA$2,FALSE),0)</f>
        <v>0</v>
      </c>
      <c r="BB12" s="16">
        <f>IFERROR(VLOOKUP($AY12,costs!$A$2:$I$2905,BB$2,FALSE),0)</f>
        <v>0</v>
      </c>
      <c r="BC12" s="16">
        <f>IFERROR(VLOOKUP($AY12,costs!$A$2:$I$2905,BC$2,FALSE),0)</f>
        <v>0</v>
      </c>
      <c r="BD12" s="16">
        <f>IFERROR(VLOOKUP($AY12,costs!$A$2:$I$2905,BD$2,FALSE),0)</f>
        <v>0</v>
      </c>
      <c r="BE12" s="16">
        <f>IFERROR(VLOOKUP($AY12,costs!$A$2:$I$2905,BE$2,FALSE),0)</f>
        <v>0</v>
      </c>
      <c r="BF12" s="16">
        <f>IFERROR(VLOOKUP($AY12,costs!$A$2:$I$2905,BF$2,FALSE),0)</f>
        <v>0</v>
      </c>
      <c r="BG12" s="16">
        <f>IFERROR(VLOOKUP($AY12,costs!$A$2:$I$2905,BG$2,FALSE),0)</f>
        <v>0</v>
      </c>
    </row>
    <row r="13" spans="1:59" x14ac:dyDescent="0.35">
      <c r="A13" t="s">
        <v>4476</v>
      </c>
      <c r="B13" s="960">
        <v>485495.79375364783</v>
      </c>
      <c r="C13" s="958">
        <v>461088.08498807327</v>
      </c>
      <c r="D13" s="958">
        <v>443180.6230266405</v>
      </c>
      <c r="E13" s="958">
        <v>469305.17189595592</v>
      </c>
      <c r="F13" s="958">
        <v>518411.34403812175</v>
      </c>
      <c r="G13" s="958">
        <v>515944.89659431123</v>
      </c>
      <c r="H13" s="958">
        <v>560684.48622995848</v>
      </c>
      <c r="I13" s="958"/>
      <c r="K13" s="268" t="s">
        <v>262</v>
      </c>
      <c r="L13" s="16">
        <f>IFERROR(VLOOKUP($K13,costs!$A$2:$I$2905,L$2,FALSE),0)</f>
        <v>0</v>
      </c>
      <c r="M13" s="16">
        <f>IFERROR(VLOOKUP($K13,costs!$A$2:$I$2905,M$2,FALSE),0)</f>
        <v>0</v>
      </c>
      <c r="N13" s="16">
        <f>IFERROR(VLOOKUP($K13,costs!$A$2:$I$2905,N$2,FALSE),0)</f>
        <v>0</v>
      </c>
      <c r="O13" s="16">
        <f>IFERROR(VLOOKUP($K13,costs!$A$2:$I$2905,O$2,FALSE),0)</f>
        <v>0</v>
      </c>
      <c r="P13" s="16">
        <f>IFERROR(VLOOKUP($K13,costs!$A$2:$I$2905,P$2,FALSE),0)</f>
        <v>0</v>
      </c>
      <c r="Q13" s="16">
        <f>IFERROR(VLOOKUP($K13,costs!$A$2:$I$2905,Q$2,FALSE),0)</f>
        <v>0</v>
      </c>
      <c r="R13" s="16">
        <f>IFERROR(VLOOKUP($K13,costs!$A$2:$I$2905,R$2,FALSE),0)</f>
        <v>0</v>
      </c>
      <c r="S13" s="16">
        <f>IFERROR(VLOOKUP($K13,costs!$A$2:$I$2905,S$2,FALSE),0)</f>
        <v>0</v>
      </c>
      <c r="U13" s="273" t="s">
        <v>2035</v>
      </c>
      <c r="V13" s="16">
        <f>IFERROR(VLOOKUP($U13,costs!$A$2:$I$2905,V$2,FALSE),0)</f>
        <v>0</v>
      </c>
      <c r="W13" s="16">
        <f>IFERROR(VLOOKUP($U13,costs!$A$2:$I$2905,W$2,FALSE),0)</f>
        <v>0</v>
      </c>
      <c r="X13" s="16">
        <f>IFERROR(VLOOKUP($U13,costs!$A$2:$I$2905,X$2,FALSE),0)</f>
        <v>0</v>
      </c>
      <c r="Y13" s="16">
        <f>IFERROR(VLOOKUP($U13,costs!$A$2:$I$2905,Y$2,FALSE),0)</f>
        <v>0</v>
      </c>
      <c r="Z13" s="16">
        <f>IFERROR(VLOOKUP($U13,costs!$A$2:$I$2905,Z$2,FALSE),0)</f>
        <v>0</v>
      </c>
      <c r="AA13" s="16">
        <f>IFERROR(VLOOKUP($U13,costs!$A$2:$I$2905,AA$2,FALSE),0)</f>
        <v>0</v>
      </c>
      <c r="AB13" s="16">
        <f>IFERROR(VLOOKUP($U13,costs!$A$2:$I$2905,AB$2,FALSE),0)</f>
        <v>0</v>
      </c>
      <c r="AC13" s="16">
        <f>IFERROR(VLOOKUP($U13,costs!$A$2:$I$2905,AC$2,FALSE),0)</f>
        <v>0</v>
      </c>
      <c r="AE13" s="899" t="s">
        <v>2458</v>
      </c>
      <c r="AF13" s="346">
        <f>IFERROR(VLOOKUP($AE13,costs!$A$2:$I$2905,AF$2,FALSE),0)</f>
        <v>0</v>
      </c>
      <c r="AG13" s="346">
        <f>IFERROR(VLOOKUP($AE13,costs!$A$2:$I$2905,AG$2,FALSE),0)</f>
        <v>0</v>
      </c>
      <c r="AH13" s="346">
        <f>IFERROR(VLOOKUP($AE13,costs!$A$2:$I$2905,AH$2,FALSE),0)</f>
        <v>0</v>
      </c>
      <c r="AI13" s="346">
        <f>IFERROR(VLOOKUP($AE13,costs!$A$2:$I$2905,AI$2,FALSE),0)</f>
        <v>0</v>
      </c>
      <c r="AJ13" s="346">
        <f>IFERROR(VLOOKUP($AE13,costs!$A$2:$I$2905,AJ$2,FALSE),0)</f>
        <v>0</v>
      </c>
      <c r="AK13" s="346">
        <f>IFERROR(VLOOKUP($AE13,costs!$A$2:$I$2905,AK$2,FALSE),0)</f>
        <v>0</v>
      </c>
      <c r="AL13" s="346">
        <f>IFERROR(VLOOKUP($AE13,costs!$A$2:$I$2905,AL$2,FALSE),0)</f>
        <v>0</v>
      </c>
      <c r="AM13" s="346">
        <f>IFERROR(VLOOKUP($AE13,costs!$A$2:$I$2905,AM$2,FALSE),0)</f>
        <v>0</v>
      </c>
      <c r="AO13" s="40" t="s">
        <v>2148</v>
      </c>
      <c r="AP13" s="16">
        <f>IFERROR(VLOOKUP($AO13,costs!$A$2:$I$2905,AP$2,FALSE),0)</f>
        <v>0</v>
      </c>
      <c r="AQ13" s="16">
        <f>IFERROR(VLOOKUP($AO13,costs!$A$2:$I$2905,AQ$2,FALSE),0)</f>
        <v>0</v>
      </c>
      <c r="AR13" s="16">
        <f>IFERROR(VLOOKUP($AO13,costs!$A$2:$I$2905,AR$2,FALSE),0)</f>
        <v>0</v>
      </c>
      <c r="AS13" s="16">
        <f>IFERROR(VLOOKUP($AO13,costs!$A$2:$I$2905,AS$2,FALSE),0)</f>
        <v>0</v>
      </c>
      <c r="AT13" s="16">
        <f>IFERROR(VLOOKUP($AO13,costs!$A$2:$I$2905,AT$2,FALSE),0)</f>
        <v>0</v>
      </c>
      <c r="AU13" s="16">
        <f>IFERROR(VLOOKUP($AO13,costs!$A$2:$I$2905,AU$2,FALSE),0)</f>
        <v>0</v>
      </c>
      <c r="AV13" s="16">
        <f>IFERROR(VLOOKUP($AO13,costs!$A$2:$I$2905,AV$2,FALSE),0)</f>
        <v>0</v>
      </c>
      <c r="AW13" s="16">
        <f>IFERROR(VLOOKUP($AO13,costs!$A$2:$I$2905,AW$2,FALSE),0)</f>
        <v>0</v>
      </c>
      <c r="AY13" s="368" t="s">
        <v>3131</v>
      </c>
      <c r="AZ13" s="16">
        <f>IFERROR(VLOOKUP($AY13,costs!$A$2:$I$2905,AZ$2,FALSE),0)</f>
        <v>0</v>
      </c>
      <c r="BA13" s="16">
        <f>IFERROR(VLOOKUP($AY13,costs!$A$2:$I$2905,BA$2,FALSE),0)</f>
        <v>0</v>
      </c>
      <c r="BB13" s="16">
        <f>IFERROR(VLOOKUP($AY13,costs!$A$2:$I$2905,BB$2,FALSE),0)</f>
        <v>0</v>
      </c>
      <c r="BC13" s="16">
        <f>IFERROR(VLOOKUP($AY13,costs!$A$2:$I$2905,BC$2,FALSE),0)</f>
        <v>0</v>
      </c>
      <c r="BD13" s="16">
        <f>IFERROR(VLOOKUP($AY13,costs!$A$2:$I$2905,BD$2,FALSE),0)</f>
        <v>0</v>
      </c>
      <c r="BE13" s="16">
        <f>IFERROR(VLOOKUP($AY13,costs!$A$2:$I$2905,BE$2,FALSE),0)</f>
        <v>0</v>
      </c>
      <c r="BF13" s="16">
        <f>IFERROR(VLOOKUP($AY13,costs!$A$2:$I$2905,BF$2,FALSE),0)</f>
        <v>0</v>
      </c>
      <c r="BG13" s="16">
        <f>IFERROR(VLOOKUP($AY13,costs!$A$2:$I$2905,BG$2,FALSE),0)</f>
        <v>0</v>
      </c>
    </row>
    <row r="14" spans="1:59" x14ac:dyDescent="0.35">
      <c r="B14" s="133" t="s">
        <v>2185</v>
      </c>
      <c r="C14" s="133">
        <v>2020</v>
      </c>
      <c r="D14" s="133">
        <v>2025</v>
      </c>
      <c r="E14" s="133">
        <v>2030</v>
      </c>
      <c r="F14" s="133">
        <v>2035</v>
      </c>
      <c r="G14" s="133">
        <v>2040</v>
      </c>
      <c r="H14" s="133">
        <v>2045</v>
      </c>
      <c r="I14" s="133">
        <v>2050</v>
      </c>
      <c r="K14" s="269" t="s">
        <v>263</v>
      </c>
      <c r="L14" s="16">
        <f>IFERROR(VLOOKUP($K14,costs!$A$2:$I$2905,L$2,FALSE),0)</f>
        <v>0</v>
      </c>
      <c r="M14" s="16">
        <f>IFERROR(VLOOKUP($K14,costs!$A$2:$I$2905,M$2,FALSE),0)</f>
        <v>0</v>
      </c>
      <c r="N14" s="16">
        <f>IFERROR(VLOOKUP($K14,costs!$A$2:$I$2905,N$2,FALSE),0)</f>
        <v>0</v>
      </c>
      <c r="O14" s="16">
        <f>IFERROR(VLOOKUP($K14,costs!$A$2:$I$2905,O$2,FALSE),0)</f>
        <v>0</v>
      </c>
      <c r="P14" s="16">
        <f>IFERROR(VLOOKUP($K14,costs!$A$2:$I$2905,P$2,FALSE),0)</f>
        <v>0</v>
      </c>
      <c r="Q14" s="16">
        <f>IFERROR(VLOOKUP($K14,costs!$A$2:$I$2905,Q$2,FALSE),0)</f>
        <v>0</v>
      </c>
      <c r="R14" s="16">
        <f>IFERROR(VLOOKUP($K14,costs!$A$2:$I$2905,R$2,FALSE),0)</f>
        <v>0</v>
      </c>
      <c r="S14" s="16">
        <f>IFERROR(VLOOKUP($K14,costs!$A$2:$I$2905,S$2,FALSE),0)</f>
        <v>0</v>
      </c>
      <c r="U14" s="272" t="s">
        <v>497</v>
      </c>
      <c r="V14" s="16">
        <f>IFERROR(VLOOKUP($U14,costs!$A$2:$I$2905,V$2,FALSE),0)</f>
        <v>0</v>
      </c>
      <c r="W14" s="16">
        <f>IFERROR(VLOOKUP($U14,costs!$A$2:$I$2905,W$2,FALSE),0)</f>
        <v>0</v>
      </c>
      <c r="X14" s="16">
        <f>IFERROR(VLOOKUP($U14,costs!$A$2:$I$2905,X$2,FALSE),0)</f>
        <v>0</v>
      </c>
      <c r="Y14" s="16">
        <f>IFERROR(VLOOKUP($U14,costs!$A$2:$I$2905,Y$2,FALSE),0)</f>
        <v>0</v>
      </c>
      <c r="Z14" s="16">
        <f>IFERROR(VLOOKUP($U14,costs!$A$2:$I$2905,Z$2,FALSE),0)</f>
        <v>0</v>
      </c>
      <c r="AA14" s="16">
        <f>IFERROR(VLOOKUP($U14,costs!$A$2:$I$2905,AA$2,FALSE),0)</f>
        <v>0</v>
      </c>
      <c r="AB14" s="16">
        <f>IFERROR(VLOOKUP($U14,costs!$A$2:$I$2905,AB$2,FALSE),0)</f>
        <v>0</v>
      </c>
      <c r="AC14" s="16">
        <f>IFERROR(VLOOKUP($U14,costs!$A$2:$I$2905,AC$2,FALSE),0)</f>
        <v>0</v>
      </c>
      <c r="AE14" s="899" t="s">
        <v>2451</v>
      </c>
      <c r="AF14" s="346">
        <f>IFERROR(VLOOKUP($AE14,costs!$A$2:$I$2905,AF$2,FALSE),0)</f>
        <v>0</v>
      </c>
      <c r="AG14" s="346">
        <f>IFERROR(VLOOKUP($AE14,costs!$A$2:$I$2905,AG$2,FALSE),0)</f>
        <v>0</v>
      </c>
      <c r="AH14" s="346">
        <f>IFERROR(VLOOKUP($AE14,costs!$A$2:$I$2905,AH$2,FALSE),0)</f>
        <v>0</v>
      </c>
      <c r="AI14" s="346">
        <f>IFERROR(VLOOKUP($AE14,costs!$A$2:$I$2905,AI$2,FALSE),0)</f>
        <v>0</v>
      </c>
      <c r="AJ14" s="346">
        <f>IFERROR(VLOOKUP($AE14,costs!$A$2:$I$2905,AJ$2,FALSE),0)</f>
        <v>0</v>
      </c>
      <c r="AK14" s="346">
        <f>IFERROR(VLOOKUP($AE14,costs!$A$2:$I$2905,AK$2,FALSE),0)</f>
        <v>0</v>
      </c>
      <c r="AL14" s="346">
        <f>IFERROR(VLOOKUP($AE14,costs!$A$2:$I$2905,AL$2,FALSE),0)</f>
        <v>0</v>
      </c>
      <c r="AM14" s="346">
        <f>IFERROR(VLOOKUP($AE14,costs!$A$2:$I$2905,AM$2,FALSE),0)</f>
        <v>0</v>
      </c>
      <c r="AO14" s="40" t="s">
        <v>113</v>
      </c>
      <c r="AP14" s="16">
        <f>IFERROR(VLOOKUP($AO14,costs!$A$2:$I$2905,AP$2,FALSE),0)</f>
        <v>0</v>
      </c>
      <c r="AQ14" s="16">
        <f>IFERROR(VLOOKUP($AO14,costs!$A$2:$I$2905,AQ$2,FALSE),0)</f>
        <v>0</v>
      </c>
      <c r="AR14" s="16">
        <f>IFERROR(VLOOKUP($AO14,costs!$A$2:$I$2905,AR$2,FALSE),0)</f>
        <v>0</v>
      </c>
      <c r="AS14" s="16">
        <f>IFERROR(VLOOKUP($AO14,costs!$A$2:$I$2905,AS$2,FALSE),0)</f>
        <v>0</v>
      </c>
      <c r="AT14" s="16">
        <f>IFERROR(VLOOKUP($AO14,costs!$A$2:$I$2905,AT$2,FALSE),0)</f>
        <v>0</v>
      </c>
      <c r="AU14" s="16">
        <f>IFERROR(VLOOKUP($AO14,costs!$A$2:$I$2905,AU$2,FALSE),0)</f>
        <v>0</v>
      </c>
      <c r="AV14" s="16">
        <f>IFERROR(VLOOKUP($AO14,costs!$A$2:$I$2905,AV$2,FALSE),0)</f>
        <v>0</v>
      </c>
      <c r="AW14" s="16">
        <f>IFERROR(VLOOKUP($AO14,costs!$A$2:$I$2905,AW$2,FALSE),0)</f>
        <v>0</v>
      </c>
      <c r="AY14" s="272" t="s">
        <v>186</v>
      </c>
      <c r="AZ14" s="16">
        <f>IFERROR(VLOOKUP($AY14,costs!$A$2:$I$2905,AZ$2,FALSE),0)</f>
        <v>0</v>
      </c>
      <c r="BA14" s="16">
        <f>IFERROR(VLOOKUP($AY14,costs!$A$2:$I$2905,BA$2,FALSE),0)</f>
        <v>0</v>
      </c>
      <c r="BB14" s="16">
        <f>IFERROR(VLOOKUP($AY14,costs!$A$2:$I$2905,BB$2,FALSE),0)</f>
        <v>0</v>
      </c>
      <c r="BC14" s="16">
        <f>IFERROR(VLOOKUP($AY14,costs!$A$2:$I$2905,BC$2,FALSE),0)</f>
        <v>0</v>
      </c>
      <c r="BD14" s="16">
        <f>IFERROR(VLOOKUP($AY14,costs!$A$2:$I$2905,BD$2,FALSE),0)</f>
        <v>0</v>
      </c>
      <c r="BE14" s="16">
        <f>IFERROR(VLOOKUP($AY14,costs!$A$2:$I$2905,BE$2,FALSE),0)</f>
        <v>0</v>
      </c>
      <c r="BF14" s="16">
        <f>IFERROR(VLOOKUP($AY14,costs!$A$2:$I$2905,BF$2,FALSE),0)</f>
        <v>0</v>
      </c>
      <c r="BG14" s="16">
        <f>IFERROR(VLOOKUP($AY14,costs!$A$2:$I$2905,BG$2,FALSE),0)</f>
        <v>0</v>
      </c>
    </row>
    <row r="15" spans="1:59" x14ac:dyDescent="0.35">
      <c r="B15" s="190" t="s">
        <v>1313</v>
      </c>
      <c r="C15">
        <v>0</v>
      </c>
      <c r="D15">
        <f>D4-$C4</f>
        <v>0</v>
      </c>
      <c r="E15" s="190">
        <f t="shared" ref="D15:I23" si="9">E4-$C4</f>
        <v>0</v>
      </c>
      <c r="F15" s="190">
        <f t="shared" si="9"/>
        <v>0</v>
      </c>
      <c r="G15" s="190">
        <f t="shared" si="9"/>
        <v>0</v>
      </c>
      <c r="H15" s="190">
        <f>H4-$C4</f>
        <v>0</v>
      </c>
      <c r="I15" s="190">
        <f>I4-$C4</f>
        <v>175692.89018479298</v>
      </c>
      <c r="K15" s="268" t="s">
        <v>264</v>
      </c>
      <c r="L15" s="16">
        <f>IFERROR(VLOOKUP($K15,costs!$A$2:$I$2905,L$2,FALSE),0)</f>
        <v>0</v>
      </c>
      <c r="M15" s="16">
        <f>IFERROR(VLOOKUP($K15,costs!$A$2:$I$2905,M$2,FALSE),0)</f>
        <v>0</v>
      </c>
      <c r="N15" s="16">
        <f>IFERROR(VLOOKUP($K15,costs!$A$2:$I$2905,N$2,FALSE),0)</f>
        <v>0</v>
      </c>
      <c r="O15" s="16">
        <f>IFERROR(VLOOKUP($K15,costs!$A$2:$I$2905,O$2,FALSE),0)</f>
        <v>0</v>
      </c>
      <c r="P15" s="16">
        <f>IFERROR(VLOOKUP($K15,costs!$A$2:$I$2905,P$2,FALSE),0)</f>
        <v>0</v>
      </c>
      <c r="Q15" s="16">
        <f>IFERROR(VLOOKUP($K15,costs!$A$2:$I$2905,Q$2,FALSE),0)</f>
        <v>0</v>
      </c>
      <c r="R15" s="16">
        <f>IFERROR(VLOOKUP($K15,costs!$A$2:$I$2905,R$2,FALSE),0)</f>
        <v>0</v>
      </c>
      <c r="S15" s="16">
        <f>IFERROR(VLOOKUP($K15,costs!$A$2:$I$2905,S$2,FALSE),0)</f>
        <v>0</v>
      </c>
      <c r="U15" s="273" t="s">
        <v>498</v>
      </c>
      <c r="V15" s="16">
        <f>IFERROR(VLOOKUP($U15,costs!$A$2:$I$2905,V$2,FALSE),0)</f>
        <v>0</v>
      </c>
      <c r="W15" s="16">
        <f>IFERROR(VLOOKUP($U15,costs!$A$2:$I$2905,W$2,FALSE),0)</f>
        <v>0</v>
      </c>
      <c r="X15" s="16">
        <f>IFERROR(VLOOKUP($U15,costs!$A$2:$I$2905,X$2,FALSE),0)</f>
        <v>0</v>
      </c>
      <c r="Y15" s="16">
        <f>IFERROR(VLOOKUP($U15,costs!$A$2:$I$2905,Y$2,FALSE),0)</f>
        <v>0</v>
      </c>
      <c r="Z15" s="16">
        <f>IFERROR(VLOOKUP($U15,costs!$A$2:$I$2905,Z$2,FALSE),0)</f>
        <v>0</v>
      </c>
      <c r="AA15" s="16">
        <f>IFERROR(VLOOKUP($U15,costs!$A$2:$I$2905,AA$2,FALSE),0)</f>
        <v>0</v>
      </c>
      <c r="AB15" s="16">
        <f>IFERROR(VLOOKUP($U15,costs!$A$2:$I$2905,AB$2,FALSE),0)</f>
        <v>0</v>
      </c>
      <c r="AC15" s="16">
        <f>IFERROR(VLOOKUP($U15,costs!$A$2:$I$2905,AC$2,FALSE),0)</f>
        <v>0</v>
      </c>
      <c r="AE15" s="899" t="s">
        <v>2466</v>
      </c>
      <c r="AF15" s="346">
        <f>IFERROR(VLOOKUP($AE15,costs!$A$2:$I$2905,AF$2,FALSE),0)</f>
        <v>0</v>
      </c>
      <c r="AG15" s="346">
        <f>IFERROR(VLOOKUP($AE15,costs!$A$2:$I$2905,AG$2,FALSE),0)</f>
        <v>0</v>
      </c>
      <c r="AH15" s="346">
        <f>IFERROR(VLOOKUP($AE15,costs!$A$2:$I$2905,AH$2,FALSE),0)</f>
        <v>0</v>
      </c>
      <c r="AI15" s="346">
        <f>IFERROR(VLOOKUP($AE15,costs!$A$2:$I$2905,AI$2,FALSE),0)</f>
        <v>0</v>
      </c>
      <c r="AJ15" s="346">
        <f>IFERROR(VLOOKUP($AE15,costs!$A$2:$I$2905,AJ$2,FALSE),0)</f>
        <v>0</v>
      </c>
      <c r="AK15" s="346">
        <f>IFERROR(VLOOKUP($AE15,costs!$A$2:$I$2905,AK$2,FALSE),0)</f>
        <v>0</v>
      </c>
      <c r="AL15" s="346">
        <f>IFERROR(VLOOKUP($AE15,costs!$A$2:$I$2905,AL$2,FALSE),0)</f>
        <v>0</v>
      </c>
      <c r="AM15" s="346">
        <f>IFERROR(VLOOKUP($AE15,costs!$A$2:$I$2905,AM$2,FALSE),0)</f>
        <v>0</v>
      </c>
      <c r="AO15" s="40" t="s">
        <v>109</v>
      </c>
      <c r="AP15" s="16">
        <f>IFERROR(VLOOKUP($AO15,costs!$A$2:$I$2905,AP$2,FALSE),0)</f>
        <v>0</v>
      </c>
      <c r="AQ15" s="16">
        <f>IFERROR(VLOOKUP($AO15,costs!$A$2:$I$2905,AQ$2,FALSE),0)</f>
        <v>0</v>
      </c>
      <c r="AR15" s="16">
        <f>IFERROR(VLOOKUP($AO15,costs!$A$2:$I$2905,AR$2,FALSE),0)</f>
        <v>0</v>
      </c>
      <c r="AS15" s="16">
        <f>IFERROR(VLOOKUP($AO15,costs!$A$2:$I$2905,AS$2,FALSE),0)</f>
        <v>0</v>
      </c>
      <c r="AT15" s="16">
        <f>IFERROR(VLOOKUP($AO15,costs!$A$2:$I$2905,AT$2,FALSE),0)</f>
        <v>0</v>
      </c>
      <c r="AU15" s="16">
        <f>IFERROR(VLOOKUP($AO15,costs!$A$2:$I$2905,AU$2,FALSE),0)</f>
        <v>0</v>
      </c>
      <c r="AV15" s="16">
        <f>IFERROR(VLOOKUP($AO15,costs!$A$2:$I$2905,AV$2,FALSE),0)</f>
        <v>0</v>
      </c>
      <c r="AW15" s="16">
        <f>IFERROR(VLOOKUP($AO15,costs!$A$2:$I$2905,AW$2,FALSE),0)</f>
        <v>0</v>
      </c>
      <c r="AY15" s="273" t="s">
        <v>495</v>
      </c>
      <c r="AZ15" s="16">
        <f>IFERROR(VLOOKUP($AY15,costs!$A$2:$I$2905,AZ$2,FALSE),0)</f>
        <v>0</v>
      </c>
      <c r="BA15" s="16">
        <f>IFERROR(VLOOKUP($AY15,costs!$A$2:$I$2905,BA$2,FALSE),0)</f>
        <v>0</v>
      </c>
      <c r="BB15" s="16">
        <f>IFERROR(VLOOKUP($AY15,costs!$A$2:$I$2905,BB$2,FALSE),0)</f>
        <v>0</v>
      </c>
      <c r="BC15" s="16">
        <f>IFERROR(VLOOKUP($AY15,costs!$A$2:$I$2905,BC$2,FALSE),0)</f>
        <v>0</v>
      </c>
      <c r="BD15" s="16">
        <f>IFERROR(VLOOKUP($AY15,costs!$A$2:$I$2905,BD$2,FALSE),0)</f>
        <v>0</v>
      </c>
      <c r="BE15" s="16">
        <f>IFERROR(VLOOKUP($AY15,costs!$A$2:$I$2905,BE$2,FALSE),0)</f>
        <v>0</v>
      </c>
      <c r="BF15" s="16">
        <f>IFERROR(VLOOKUP($AY15,costs!$A$2:$I$2905,BF$2,FALSE),0)</f>
        <v>0</v>
      </c>
      <c r="BG15" s="16">
        <f>IFERROR(VLOOKUP($AY15,costs!$A$2:$I$2905,BG$2,FALSE),0)</f>
        <v>0</v>
      </c>
    </row>
    <row r="16" spans="1:59" x14ac:dyDescent="0.35">
      <c r="B16" s="190" t="s">
        <v>2029</v>
      </c>
      <c r="C16">
        <v>0</v>
      </c>
      <c r="D16" s="190" t="e">
        <f>D5-$C5</f>
        <v>#N/A</v>
      </c>
      <c r="E16" s="190" t="e">
        <f t="shared" si="9"/>
        <v>#N/A</v>
      </c>
      <c r="F16" s="190" t="e">
        <f t="shared" si="9"/>
        <v>#N/A</v>
      </c>
      <c r="G16" s="190" t="e">
        <f t="shared" si="9"/>
        <v>#N/A</v>
      </c>
      <c r="H16" s="190" t="e">
        <f t="shared" si="9"/>
        <v>#N/A</v>
      </c>
      <c r="I16" s="190" t="e">
        <f t="shared" si="9"/>
        <v>#N/A</v>
      </c>
      <c r="K16" s="269" t="s">
        <v>272</v>
      </c>
      <c r="L16" s="16">
        <f>IFERROR(VLOOKUP($K16,costs!$A$2:$I$2905,L$2,FALSE),0)</f>
        <v>0</v>
      </c>
      <c r="M16" s="16">
        <f>IFERROR(VLOOKUP($K16,costs!$A$2:$I$2905,M$2,FALSE),0)</f>
        <v>0</v>
      </c>
      <c r="N16" s="16">
        <f>IFERROR(VLOOKUP($K16,costs!$A$2:$I$2905,N$2,FALSE),0)</f>
        <v>0</v>
      </c>
      <c r="O16" s="16">
        <f>IFERROR(VLOOKUP($K16,costs!$A$2:$I$2905,O$2,FALSE),0)</f>
        <v>0</v>
      </c>
      <c r="P16" s="16">
        <f>IFERROR(VLOOKUP($K16,costs!$A$2:$I$2905,P$2,FALSE),0)</f>
        <v>0</v>
      </c>
      <c r="Q16" s="16">
        <f>IFERROR(VLOOKUP($K16,costs!$A$2:$I$2905,Q$2,FALSE),0)</f>
        <v>0</v>
      </c>
      <c r="R16" s="16">
        <f>IFERROR(VLOOKUP($K16,costs!$A$2:$I$2905,R$2,FALSE),0)</f>
        <v>0</v>
      </c>
      <c r="S16" s="16">
        <f>IFERROR(VLOOKUP($K16,costs!$A$2:$I$2905,S$2,FALSE),0)</f>
        <v>0</v>
      </c>
      <c r="U16" s="272" t="s">
        <v>2036</v>
      </c>
      <c r="V16" s="16">
        <f>IFERROR(VLOOKUP($U16,costs!$A$2:$I$2905,V$2,FALSE),0)</f>
        <v>0</v>
      </c>
      <c r="W16" s="16">
        <f>IFERROR(VLOOKUP($U16,costs!$A$2:$I$2905,W$2,FALSE),0)</f>
        <v>0</v>
      </c>
      <c r="X16" s="16">
        <f>IFERROR(VLOOKUP($U16,costs!$A$2:$I$2905,X$2,FALSE),0)</f>
        <v>0</v>
      </c>
      <c r="Y16" s="16">
        <f>IFERROR(VLOOKUP($U16,costs!$A$2:$I$2905,Y$2,FALSE),0)</f>
        <v>0</v>
      </c>
      <c r="Z16" s="16">
        <f>IFERROR(VLOOKUP($U16,costs!$A$2:$I$2905,Z$2,FALSE),0)</f>
        <v>0</v>
      </c>
      <c r="AA16" s="16">
        <f>IFERROR(VLOOKUP($U16,costs!$A$2:$I$2905,AA$2,FALSE),0)</f>
        <v>0</v>
      </c>
      <c r="AB16" s="16">
        <f>IFERROR(VLOOKUP($U16,costs!$A$2:$I$2905,AB$2,FALSE),0)</f>
        <v>0</v>
      </c>
      <c r="AC16" s="16">
        <f>IFERROR(VLOOKUP($U16,costs!$A$2:$I$2905,AC$2,FALSE),0)</f>
        <v>0</v>
      </c>
      <c r="AE16" s="899" t="s">
        <v>2461</v>
      </c>
      <c r="AF16" s="346">
        <f>IFERROR(VLOOKUP($AE16,costs!$A$2:$I$2905,AF$2,FALSE),0)</f>
        <v>0</v>
      </c>
      <c r="AG16" s="346">
        <f>IFERROR(VLOOKUP($AE16,costs!$A$2:$I$2905,AG$2,FALSE),0)</f>
        <v>0</v>
      </c>
      <c r="AH16" s="346">
        <f>IFERROR(VLOOKUP($AE16,costs!$A$2:$I$2905,AH$2,FALSE),0)</f>
        <v>0</v>
      </c>
      <c r="AI16" s="346">
        <f>IFERROR(VLOOKUP($AE16,costs!$A$2:$I$2905,AI$2,FALSE),0)</f>
        <v>0</v>
      </c>
      <c r="AJ16" s="346">
        <f>IFERROR(VLOOKUP($AE16,costs!$A$2:$I$2905,AJ$2,FALSE),0)</f>
        <v>0</v>
      </c>
      <c r="AK16" s="346">
        <f>IFERROR(VLOOKUP($AE16,costs!$A$2:$I$2905,AK$2,FALSE),0)</f>
        <v>0</v>
      </c>
      <c r="AL16" s="346">
        <f>IFERROR(VLOOKUP($AE16,costs!$A$2:$I$2905,AL$2,FALSE),0)</f>
        <v>0</v>
      </c>
      <c r="AM16" s="346">
        <f>IFERROR(VLOOKUP($AE16,costs!$A$2:$I$2905,AM$2,FALSE),0)</f>
        <v>0</v>
      </c>
      <c r="AO16" s="40" t="s">
        <v>114</v>
      </c>
      <c r="AP16" s="16">
        <f>IFERROR(VLOOKUP($AO16,costs!$A$2:$I$2905,AP$2,FALSE),0)</f>
        <v>0</v>
      </c>
      <c r="AQ16" s="16">
        <f>IFERROR(VLOOKUP($AO16,costs!$A$2:$I$2905,AQ$2,FALSE),0)</f>
        <v>0</v>
      </c>
      <c r="AR16" s="16">
        <f>IFERROR(VLOOKUP($AO16,costs!$A$2:$I$2905,AR$2,FALSE),0)</f>
        <v>0</v>
      </c>
      <c r="AS16" s="16">
        <f>IFERROR(VLOOKUP($AO16,costs!$A$2:$I$2905,AS$2,FALSE),0)</f>
        <v>0</v>
      </c>
      <c r="AT16" s="16">
        <f>IFERROR(VLOOKUP($AO16,costs!$A$2:$I$2905,AT$2,FALSE),0)</f>
        <v>0</v>
      </c>
      <c r="AU16" s="16">
        <f>IFERROR(VLOOKUP($AO16,costs!$A$2:$I$2905,AU$2,FALSE),0)</f>
        <v>0</v>
      </c>
      <c r="AV16" s="16">
        <f>IFERROR(VLOOKUP($AO16,costs!$A$2:$I$2905,AV$2,FALSE),0)</f>
        <v>0</v>
      </c>
      <c r="AW16" s="16">
        <f>IFERROR(VLOOKUP($AO16,costs!$A$2:$I$2905,AW$2,FALSE),0)</f>
        <v>0</v>
      </c>
      <c r="AY16" s="272" t="s">
        <v>490</v>
      </c>
      <c r="AZ16" s="16">
        <f>IFERROR(VLOOKUP($AY16,costs!$A$2:$I$2905,AZ$2,FALSE),0)</f>
        <v>0</v>
      </c>
      <c r="BA16" s="16">
        <f>IFERROR(VLOOKUP($AY16,costs!$A$2:$I$2905,BA$2,FALSE),0)</f>
        <v>0</v>
      </c>
      <c r="BB16" s="16">
        <f>IFERROR(VLOOKUP($AY16,costs!$A$2:$I$2905,BB$2,FALSE),0)</f>
        <v>0</v>
      </c>
      <c r="BC16" s="16">
        <f>IFERROR(VLOOKUP($AY16,costs!$A$2:$I$2905,BC$2,FALSE),0)</f>
        <v>0</v>
      </c>
      <c r="BD16" s="16">
        <f>IFERROR(VLOOKUP($AY16,costs!$A$2:$I$2905,BD$2,FALSE),0)</f>
        <v>0</v>
      </c>
      <c r="BE16" s="16">
        <f>IFERROR(VLOOKUP($AY16,costs!$A$2:$I$2905,BE$2,FALSE),0)</f>
        <v>0</v>
      </c>
      <c r="BF16" s="16">
        <f>IFERROR(VLOOKUP($AY16,costs!$A$2:$I$2905,BF$2,FALSE),0)</f>
        <v>0</v>
      </c>
      <c r="BG16" s="16">
        <f>IFERROR(VLOOKUP($AY16,costs!$A$2:$I$2905,BG$2,FALSE),0)</f>
        <v>0</v>
      </c>
    </row>
    <row r="17" spans="2:59" x14ac:dyDescent="0.35">
      <c r="B17" s="190" t="s">
        <v>1314</v>
      </c>
      <c r="C17">
        <v>0</v>
      </c>
      <c r="D17" s="190" t="e">
        <f t="shared" si="9"/>
        <v>#N/A</v>
      </c>
      <c r="E17" s="190" t="e">
        <f t="shared" si="9"/>
        <v>#N/A</v>
      </c>
      <c r="F17" s="190" t="e">
        <f t="shared" si="9"/>
        <v>#N/A</v>
      </c>
      <c r="G17" s="190" t="e">
        <f t="shared" si="9"/>
        <v>#N/A</v>
      </c>
      <c r="H17" s="190" t="e">
        <f t="shared" si="9"/>
        <v>#N/A</v>
      </c>
      <c r="I17" s="190" t="e">
        <f t="shared" si="9"/>
        <v>#N/A</v>
      </c>
      <c r="K17" s="268" t="s">
        <v>273</v>
      </c>
      <c r="L17" s="16">
        <f>IFERROR(VLOOKUP($K17,costs!$A$2:$I$2905,L$2,FALSE),0)</f>
        <v>0</v>
      </c>
      <c r="M17" s="16">
        <f>IFERROR(VLOOKUP($K17,costs!$A$2:$I$2905,M$2,FALSE),0)</f>
        <v>0</v>
      </c>
      <c r="N17" s="16">
        <f>IFERROR(VLOOKUP($K17,costs!$A$2:$I$2905,N$2,FALSE),0)</f>
        <v>0</v>
      </c>
      <c r="O17" s="16">
        <f>IFERROR(VLOOKUP($K17,costs!$A$2:$I$2905,O$2,FALSE),0)</f>
        <v>0</v>
      </c>
      <c r="P17" s="16">
        <f>IFERROR(VLOOKUP($K17,costs!$A$2:$I$2905,P$2,FALSE),0)</f>
        <v>0</v>
      </c>
      <c r="Q17" s="16">
        <f>IFERROR(VLOOKUP($K17,costs!$A$2:$I$2905,Q$2,FALSE),0)</f>
        <v>0</v>
      </c>
      <c r="R17" s="16">
        <f>IFERROR(VLOOKUP($K17,costs!$A$2:$I$2905,R$2,FALSE),0)</f>
        <v>0</v>
      </c>
      <c r="S17" s="16">
        <f>IFERROR(VLOOKUP($K17,costs!$A$2:$I$2905,S$2,FALSE),0)</f>
        <v>0</v>
      </c>
      <c r="U17" s="273" t="s">
        <v>174</v>
      </c>
      <c r="V17" s="16">
        <f>IFERROR(VLOOKUP($U17,costs!$A$2:$I$2905,V$2,FALSE),0)</f>
        <v>0</v>
      </c>
      <c r="W17" s="16">
        <f>IFERROR(VLOOKUP($U17,costs!$A$2:$I$2905,W$2,FALSE),0)</f>
        <v>0</v>
      </c>
      <c r="X17" s="16">
        <f>IFERROR(VLOOKUP($U17,costs!$A$2:$I$2905,X$2,FALSE),0)</f>
        <v>0</v>
      </c>
      <c r="Y17" s="16">
        <f>IFERROR(VLOOKUP($U17,costs!$A$2:$I$2905,Y$2,FALSE),0)</f>
        <v>0</v>
      </c>
      <c r="Z17" s="16">
        <f>IFERROR(VLOOKUP($U17,costs!$A$2:$I$2905,Z$2,FALSE),0)</f>
        <v>0</v>
      </c>
      <c r="AA17" s="16">
        <f>IFERROR(VLOOKUP($U17,costs!$A$2:$I$2905,AA$2,FALSE),0)</f>
        <v>0</v>
      </c>
      <c r="AB17" s="16">
        <f>IFERROR(VLOOKUP($U17,costs!$A$2:$I$2905,AB$2,FALSE),0)</f>
        <v>0</v>
      </c>
      <c r="AC17" s="16">
        <f>IFERROR(VLOOKUP($U17,costs!$A$2:$I$2905,AC$2,FALSE),0)</f>
        <v>0</v>
      </c>
      <c r="AE17" s="899" t="s">
        <v>3329</v>
      </c>
      <c r="AF17" s="346">
        <f>IFERROR(VLOOKUP($AE17,costs!$A$2:$I$2905,AF$2,FALSE),0)</f>
        <v>0</v>
      </c>
      <c r="AG17" s="346">
        <f>IFERROR(VLOOKUP($AE17,costs!$A$2:$I$2905,AG$2,FALSE),0)</f>
        <v>0</v>
      </c>
      <c r="AH17" s="346">
        <f>IFERROR(VLOOKUP($AE17,costs!$A$2:$I$2905,AH$2,FALSE),0)</f>
        <v>0</v>
      </c>
      <c r="AI17" s="346">
        <f>IFERROR(VLOOKUP($AE17,costs!$A$2:$I$2905,AI$2,FALSE),0)</f>
        <v>0</v>
      </c>
      <c r="AJ17" s="346">
        <f>IFERROR(VLOOKUP($AE17,costs!$A$2:$I$2905,AJ$2,FALSE),0)</f>
        <v>0</v>
      </c>
      <c r="AK17" s="346">
        <f>IFERROR(VLOOKUP($AE17,costs!$A$2:$I$2905,AK$2,FALSE),0)</f>
        <v>0</v>
      </c>
      <c r="AL17" s="346">
        <f>IFERROR(VLOOKUP($AE17,costs!$A$2:$I$2905,AL$2,FALSE),0)</f>
        <v>0</v>
      </c>
      <c r="AM17" s="346">
        <f>IFERROR(VLOOKUP($AE17,costs!$A$2:$I$2905,AM$2,FALSE),0)</f>
        <v>0</v>
      </c>
      <c r="AO17" s="40" t="s">
        <v>110</v>
      </c>
      <c r="AP17" s="16">
        <f>IFERROR(VLOOKUP($AO17,costs!$A$2:$I$2905,AP$2,FALSE),0)</f>
        <v>0</v>
      </c>
      <c r="AQ17" s="16">
        <f>IFERROR(VLOOKUP($AO17,costs!$A$2:$I$2905,AQ$2,FALSE),0)</f>
        <v>0</v>
      </c>
      <c r="AR17" s="16">
        <f>IFERROR(VLOOKUP($AO17,costs!$A$2:$I$2905,AR$2,FALSE),0)</f>
        <v>0</v>
      </c>
      <c r="AS17" s="16">
        <f>IFERROR(VLOOKUP($AO17,costs!$A$2:$I$2905,AS$2,FALSE),0)</f>
        <v>0</v>
      </c>
      <c r="AT17" s="16">
        <f>IFERROR(VLOOKUP($AO17,costs!$A$2:$I$2905,AT$2,FALSE),0)</f>
        <v>0</v>
      </c>
      <c r="AU17" s="16">
        <f>IFERROR(VLOOKUP($AO17,costs!$A$2:$I$2905,AU$2,FALSE),0)</f>
        <v>0</v>
      </c>
      <c r="AV17" s="16">
        <f>IFERROR(VLOOKUP($AO17,costs!$A$2:$I$2905,AV$2,FALSE),0)</f>
        <v>0</v>
      </c>
      <c r="AW17" s="16">
        <f>IFERROR(VLOOKUP($AO17,costs!$A$2:$I$2905,AW$2,FALSE),0)</f>
        <v>0</v>
      </c>
      <c r="AY17" s="273" t="s">
        <v>2078</v>
      </c>
      <c r="AZ17" s="16">
        <f>IFERROR(VLOOKUP($AY17,costs!$A$2:$I$2905,AZ$2,FALSE),0)</f>
        <v>0</v>
      </c>
      <c r="BA17" s="16">
        <f>IFERROR(VLOOKUP($AY17,costs!$A$2:$I$2905,BA$2,FALSE),0)</f>
        <v>0</v>
      </c>
      <c r="BB17" s="16">
        <f>IFERROR(VLOOKUP($AY17,costs!$A$2:$I$2905,BB$2,FALSE),0)</f>
        <v>0</v>
      </c>
      <c r="BC17" s="16">
        <f>IFERROR(VLOOKUP($AY17,costs!$A$2:$I$2905,BC$2,FALSE),0)</f>
        <v>0</v>
      </c>
      <c r="BD17" s="16">
        <f>IFERROR(VLOOKUP($AY17,costs!$A$2:$I$2905,BD$2,FALSE),0)</f>
        <v>0</v>
      </c>
      <c r="BE17" s="16">
        <f>IFERROR(VLOOKUP($AY17,costs!$A$2:$I$2905,BE$2,FALSE),0)</f>
        <v>0</v>
      </c>
      <c r="BF17" s="16">
        <f>IFERROR(VLOOKUP($AY17,costs!$A$2:$I$2905,BF$2,FALSE),0)</f>
        <v>0</v>
      </c>
      <c r="BG17" s="16">
        <f>IFERROR(VLOOKUP($AY17,costs!$A$2:$I$2905,BG$2,FALSE),0)</f>
        <v>0</v>
      </c>
    </row>
    <row r="18" spans="2:59" x14ac:dyDescent="0.35">
      <c r="B18" s="190" t="s">
        <v>2028</v>
      </c>
      <c r="C18">
        <v>0</v>
      </c>
      <c r="D18" s="190">
        <f t="shared" si="9"/>
        <v>0</v>
      </c>
      <c r="E18" s="190">
        <f>E7-$C7</f>
        <v>0</v>
      </c>
      <c r="F18" s="190">
        <f t="shared" si="9"/>
        <v>0</v>
      </c>
      <c r="G18" s="190">
        <f t="shared" si="9"/>
        <v>0</v>
      </c>
      <c r="H18" s="190">
        <f t="shared" si="9"/>
        <v>0</v>
      </c>
      <c r="I18" s="190">
        <f t="shared" si="9"/>
        <v>83174.148161641409</v>
      </c>
      <c r="K18" s="269" t="s">
        <v>293</v>
      </c>
      <c r="L18" s="16">
        <f>IFERROR(VLOOKUP($K18,costs!$A$2:$I$2905,L$2,FALSE),0)</f>
        <v>0</v>
      </c>
      <c r="M18" s="16">
        <f>IFERROR(VLOOKUP($K18,costs!$A$2:$I$2905,M$2,FALSE),0)</f>
        <v>0</v>
      </c>
      <c r="N18" s="16">
        <f>IFERROR(VLOOKUP($K18,costs!$A$2:$I$2905,N$2,FALSE),0)</f>
        <v>0</v>
      </c>
      <c r="O18" s="16">
        <f>IFERROR(VLOOKUP($K18,costs!$A$2:$I$2905,O$2,FALSE),0)</f>
        <v>0</v>
      </c>
      <c r="P18" s="16">
        <f>IFERROR(VLOOKUP($K18,costs!$A$2:$I$2905,P$2,FALSE),0)</f>
        <v>0</v>
      </c>
      <c r="Q18" s="16">
        <f>IFERROR(VLOOKUP($K18,costs!$A$2:$I$2905,Q$2,FALSE),0)</f>
        <v>0</v>
      </c>
      <c r="R18" s="16">
        <f>IFERROR(VLOOKUP($K18,costs!$A$2:$I$2905,R$2,FALSE),0)</f>
        <v>0</v>
      </c>
      <c r="S18" s="16">
        <f>IFERROR(VLOOKUP($K18,costs!$A$2:$I$2905,S$2,FALSE),0)</f>
        <v>0</v>
      </c>
      <c r="U18" s="272" t="s">
        <v>175</v>
      </c>
      <c r="V18" s="16">
        <f>IFERROR(VLOOKUP($U18,costs!$A$2:$I$2905,V$2,FALSE),0)</f>
        <v>0</v>
      </c>
      <c r="W18" s="16">
        <f>IFERROR(VLOOKUP($U18,costs!$A$2:$I$2905,W$2,FALSE),0)</f>
        <v>0</v>
      </c>
      <c r="X18" s="16">
        <f>IFERROR(VLOOKUP($U18,costs!$A$2:$I$2905,X$2,FALSE),0)</f>
        <v>0</v>
      </c>
      <c r="Y18" s="16">
        <f>IFERROR(VLOOKUP($U18,costs!$A$2:$I$2905,Y$2,FALSE),0)</f>
        <v>0</v>
      </c>
      <c r="Z18" s="16">
        <f>IFERROR(VLOOKUP($U18,costs!$A$2:$I$2905,Z$2,FALSE),0)</f>
        <v>0</v>
      </c>
      <c r="AA18" s="16">
        <f>IFERROR(VLOOKUP($U18,costs!$A$2:$I$2905,AA$2,FALSE),0)</f>
        <v>0</v>
      </c>
      <c r="AB18" s="16">
        <f>IFERROR(VLOOKUP($U18,costs!$A$2:$I$2905,AB$2,FALSE),0)</f>
        <v>0</v>
      </c>
      <c r="AC18" s="16">
        <f>IFERROR(VLOOKUP($U18,costs!$A$2:$I$2905,AC$2,FALSE),0)</f>
        <v>0</v>
      </c>
      <c r="AE18" s="40" t="s">
        <v>205</v>
      </c>
      <c r="AF18" s="16">
        <f>IFERROR(VLOOKUP($AE18,costs!$A$2:$I$2905,AF$2,FALSE),0)</f>
        <v>0</v>
      </c>
      <c r="AG18" s="16">
        <f>IFERROR(VLOOKUP($AE18,costs!$A$2:$I$2905,AG$2,FALSE),0)</f>
        <v>0</v>
      </c>
      <c r="AH18" s="16">
        <f>IFERROR(VLOOKUP($AE18,costs!$A$2:$I$2905,AH$2,FALSE),0)</f>
        <v>0</v>
      </c>
      <c r="AI18" s="16">
        <f>IFERROR(VLOOKUP($AE18,costs!$A$2:$I$2905,AI$2,FALSE),0)</f>
        <v>0</v>
      </c>
      <c r="AJ18" s="16">
        <f>IFERROR(VLOOKUP($AE18,costs!$A$2:$I$2905,AJ$2,FALSE),0)</f>
        <v>0</v>
      </c>
      <c r="AK18" s="16">
        <f>IFERROR(VLOOKUP($AE18,costs!$A$2:$I$2905,AK$2,FALSE),0)</f>
        <v>0</v>
      </c>
      <c r="AL18" s="16">
        <f>IFERROR(VLOOKUP($AE18,costs!$A$2:$I$2905,AL$2,FALSE),0)</f>
        <v>0</v>
      </c>
      <c r="AM18" s="16">
        <f>IFERROR(VLOOKUP($AE18,costs!$A$2:$I$2905,AM$2,FALSE),0)</f>
        <v>0</v>
      </c>
      <c r="AO18" s="899" t="s">
        <v>4406</v>
      </c>
      <c r="AP18" s="346">
        <f>IFERROR(VLOOKUP($AO18,costs!$A$2:$I$2905,AP$2,FALSE),0)</f>
        <v>0</v>
      </c>
      <c r="AQ18" s="346">
        <f>IFERROR(VLOOKUP($AO18,costs!$A$2:$I$2905,AQ$2,FALSE),0)</f>
        <v>0</v>
      </c>
      <c r="AR18" s="346">
        <f>IFERROR(VLOOKUP($AO18,costs!$A$2:$I$2905,AR$2,FALSE),0)</f>
        <v>0</v>
      </c>
      <c r="AS18" s="346">
        <f>IFERROR(VLOOKUP($AO18,costs!$A$2:$I$2905,AS$2,FALSE),0)</f>
        <v>0</v>
      </c>
      <c r="AT18" s="346">
        <f>IFERROR(VLOOKUP($AO18,costs!$A$2:$I$2905,AT$2,FALSE),0)</f>
        <v>0</v>
      </c>
      <c r="AU18" s="346">
        <f>IFERROR(VLOOKUP($AO18,costs!$A$2:$I$2905,AU$2,FALSE),0)</f>
        <v>0</v>
      </c>
      <c r="AV18" s="346">
        <f>IFERROR(VLOOKUP($AO18,costs!$A$2:$I$2905,AV$2,FALSE),0)</f>
        <v>0</v>
      </c>
      <c r="AW18" s="346">
        <f>IFERROR(VLOOKUP($AO18,costs!$A$2:$I$2905,AW$2,FALSE),0)</f>
        <v>0</v>
      </c>
      <c r="AY18" s="272" t="s">
        <v>409</v>
      </c>
      <c r="AZ18" s="16">
        <f>IFERROR(VLOOKUP($AY18,costs!$A$2:$I$2905,AZ$2,FALSE),0)</f>
        <v>0</v>
      </c>
      <c r="BA18" s="16">
        <f>IFERROR(VLOOKUP($AY18,costs!$A$2:$I$2905,BA$2,FALSE),0)</f>
        <v>0</v>
      </c>
      <c r="BB18" s="16">
        <f>IFERROR(VLOOKUP($AY18,costs!$A$2:$I$2905,BB$2,FALSE),0)</f>
        <v>0</v>
      </c>
      <c r="BC18" s="16">
        <f>IFERROR(VLOOKUP($AY18,costs!$A$2:$I$2905,BC$2,FALSE),0)</f>
        <v>0</v>
      </c>
      <c r="BD18" s="16">
        <f>IFERROR(VLOOKUP($AY18,costs!$A$2:$I$2905,BD$2,FALSE),0)</f>
        <v>0</v>
      </c>
      <c r="BE18" s="16">
        <f>IFERROR(VLOOKUP($AY18,costs!$A$2:$I$2905,BE$2,FALSE),0)</f>
        <v>0</v>
      </c>
      <c r="BF18" s="16">
        <f>IFERROR(VLOOKUP($AY18,costs!$A$2:$I$2905,BF$2,FALSE),0)</f>
        <v>0</v>
      </c>
      <c r="BG18" s="16">
        <f>IFERROR(VLOOKUP($AY18,costs!$A$2:$I$2905,BG$2,FALSE),0)</f>
        <v>0</v>
      </c>
    </row>
    <row r="19" spans="2:59" x14ac:dyDescent="0.35">
      <c r="B19" s="190" t="s">
        <v>2030</v>
      </c>
      <c r="C19">
        <v>0</v>
      </c>
      <c r="D19" s="190">
        <f t="shared" si="9"/>
        <v>0</v>
      </c>
      <c r="E19" s="190">
        <f t="shared" si="9"/>
        <v>0</v>
      </c>
      <c r="F19" s="190">
        <f t="shared" si="9"/>
        <v>0</v>
      </c>
      <c r="G19" s="190">
        <f t="shared" si="9"/>
        <v>0</v>
      </c>
      <c r="H19" s="190">
        <f t="shared" si="9"/>
        <v>0</v>
      </c>
      <c r="I19" s="190">
        <f t="shared" si="9"/>
        <v>62784.179205977576</v>
      </c>
      <c r="K19" s="268" t="s">
        <v>294</v>
      </c>
      <c r="L19" s="16">
        <f>IFERROR(VLOOKUP($K19,costs!$A$2:$I$2905,L$2,FALSE),0)</f>
        <v>0</v>
      </c>
      <c r="M19" s="16">
        <f>IFERROR(VLOOKUP($K19,costs!$A$2:$I$2905,M$2,FALSE),0)</f>
        <v>0</v>
      </c>
      <c r="N19" s="16">
        <f>IFERROR(VLOOKUP($K19,costs!$A$2:$I$2905,N$2,FALSE),0)</f>
        <v>0</v>
      </c>
      <c r="O19" s="16">
        <f>IFERROR(VLOOKUP($K19,costs!$A$2:$I$2905,O$2,FALSE),0)</f>
        <v>0</v>
      </c>
      <c r="P19" s="16">
        <f>IFERROR(VLOOKUP($K19,costs!$A$2:$I$2905,P$2,FALSE),0)</f>
        <v>0</v>
      </c>
      <c r="Q19" s="16">
        <f>IFERROR(VLOOKUP($K19,costs!$A$2:$I$2905,Q$2,FALSE),0)</f>
        <v>0</v>
      </c>
      <c r="R19" s="16">
        <f>IFERROR(VLOOKUP($K19,costs!$A$2:$I$2905,R$2,FALSE),0)</f>
        <v>0</v>
      </c>
      <c r="S19" s="16">
        <f>IFERROR(VLOOKUP($K19,costs!$A$2:$I$2905,S$2,FALSE),0)</f>
        <v>0</v>
      </c>
      <c r="U19" s="273" t="s">
        <v>2037</v>
      </c>
      <c r="V19" s="16">
        <f>IFERROR(VLOOKUP($U19,costs!$A$2:$I$2905,V$2,FALSE),0)</f>
        <v>0</v>
      </c>
      <c r="W19" s="16">
        <f>IFERROR(VLOOKUP($U19,costs!$A$2:$I$2905,W$2,FALSE),0)</f>
        <v>0</v>
      </c>
      <c r="X19" s="16">
        <f>IFERROR(VLOOKUP($U19,costs!$A$2:$I$2905,X$2,FALSE),0)</f>
        <v>0</v>
      </c>
      <c r="Y19" s="16">
        <f>IFERROR(VLOOKUP($U19,costs!$A$2:$I$2905,Y$2,FALSE),0)</f>
        <v>0</v>
      </c>
      <c r="Z19" s="16">
        <f>IFERROR(VLOOKUP($U19,costs!$A$2:$I$2905,Z$2,FALSE),0)</f>
        <v>0</v>
      </c>
      <c r="AA19" s="16">
        <f>IFERROR(VLOOKUP($U19,costs!$A$2:$I$2905,AA$2,FALSE),0)</f>
        <v>0</v>
      </c>
      <c r="AB19" s="16">
        <f>IFERROR(VLOOKUP($U19,costs!$A$2:$I$2905,AB$2,FALSE),0)</f>
        <v>0</v>
      </c>
      <c r="AC19" s="16">
        <f>IFERROR(VLOOKUP($U19,costs!$A$2:$I$2905,AC$2,FALSE),0)</f>
        <v>0</v>
      </c>
      <c r="AE19" s="40" t="s">
        <v>4133</v>
      </c>
      <c r="AF19" s="16">
        <f>IFERROR(VLOOKUP($AE19,costs!$A$2:$I$2905,AF$2,FALSE),0)</f>
        <v>0</v>
      </c>
      <c r="AG19" s="16">
        <f>IFERROR(VLOOKUP($AE19,costs!$A$2:$I$2905,AG$2,FALSE),0)</f>
        <v>0</v>
      </c>
      <c r="AH19" s="16">
        <f>IFERROR(VLOOKUP($AE19,costs!$A$2:$I$2905,AH$2,FALSE),0)</f>
        <v>0</v>
      </c>
      <c r="AI19" s="16">
        <f>IFERROR(VLOOKUP($AE19,costs!$A$2:$I$2905,AI$2,FALSE),0)</f>
        <v>0</v>
      </c>
      <c r="AJ19" s="16">
        <f>IFERROR(VLOOKUP($AE19,costs!$A$2:$I$2905,AJ$2,FALSE),0)</f>
        <v>0</v>
      </c>
      <c r="AK19" s="16">
        <f>IFERROR(VLOOKUP($AE19,costs!$A$2:$I$2905,AK$2,FALSE),0)</f>
        <v>0</v>
      </c>
      <c r="AL19" s="16">
        <f>IFERROR(VLOOKUP($AE19,costs!$A$2:$I$2905,AL$2,FALSE),0)</f>
        <v>0</v>
      </c>
      <c r="AM19" s="16">
        <f>IFERROR(VLOOKUP($AE19,costs!$A$2:$I$2905,AM$2,FALSE),0)</f>
        <v>0</v>
      </c>
      <c r="AO19" s="40" t="s">
        <v>22</v>
      </c>
      <c r="AP19" s="16">
        <f>IFERROR(VLOOKUP($AO19,costs!$A$2:$I$2905,AP$2,FALSE),0)</f>
        <v>0</v>
      </c>
      <c r="AQ19" s="16">
        <f>IFERROR(VLOOKUP($AO19,costs!$A$2:$I$2905,AQ$2,FALSE),0)</f>
        <v>0</v>
      </c>
      <c r="AR19" s="16">
        <f>IFERROR(VLOOKUP($AO19,costs!$A$2:$I$2905,AR$2,FALSE),0)</f>
        <v>0</v>
      </c>
      <c r="AS19" s="16">
        <f>IFERROR(VLOOKUP($AO19,costs!$A$2:$I$2905,AS$2,FALSE),0)</f>
        <v>0</v>
      </c>
      <c r="AT19" s="16">
        <f>IFERROR(VLOOKUP($AO19,costs!$A$2:$I$2905,AT$2,FALSE),0)</f>
        <v>0</v>
      </c>
      <c r="AU19" s="16">
        <f>IFERROR(VLOOKUP($AO19,costs!$A$2:$I$2905,AU$2,FALSE),0)</f>
        <v>0</v>
      </c>
      <c r="AV19" s="16">
        <f>IFERROR(VLOOKUP($AO19,costs!$A$2:$I$2905,AV$2,FALSE),0)</f>
        <v>0</v>
      </c>
      <c r="AW19" s="16">
        <f>IFERROR(VLOOKUP($AO19,costs!$A$2:$I$2905,AW$2,FALSE),0)</f>
        <v>0</v>
      </c>
      <c r="AY19" s="273" t="s">
        <v>187</v>
      </c>
      <c r="AZ19" s="16">
        <f>IFERROR(VLOOKUP($AY19,costs!$A$2:$I$2905,AZ$2,FALSE),0)</f>
        <v>0</v>
      </c>
      <c r="BA19" s="16">
        <f>IFERROR(VLOOKUP($AY19,costs!$A$2:$I$2905,BA$2,FALSE),0)</f>
        <v>0</v>
      </c>
      <c r="BB19" s="16">
        <f>IFERROR(VLOOKUP($AY19,costs!$A$2:$I$2905,BB$2,FALSE),0)</f>
        <v>0</v>
      </c>
      <c r="BC19" s="16">
        <f>IFERROR(VLOOKUP($AY19,costs!$A$2:$I$2905,BC$2,FALSE),0)</f>
        <v>0</v>
      </c>
      <c r="BD19" s="16">
        <f>IFERROR(VLOOKUP($AY19,costs!$A$2:$I$2905,BD$2,FALSE),0)</f>
        <v>0</v>
      </c>
      <c r="BE19" s="16">
        <f>IFERROR(VLOOKUP($AY19,costs!$A$2:$I$2905,BE$2,FALSE),0)</f>
        <v>0</v>
      </c>
      <c r="BF19" s="16">
        <f>IFERROR(VLOOKUP($AY19,costs!$A$2:$I$2905,BF$2,FALSE),0)</f>
        <v>0</v>
      </c>
      <c r="BG19" s="16">
        <f>IFERROR(VLOOKUP($AY19,costs!$A$2:$I$2905,BG$2,FALSE),0)</f>
        <v>0</v>
      </c>
    </row>
    <row r="20" spans="2:59" x14ac:dyDescent="0.35">
      <c r="B20" s="190" t="s">
        <v>2179</v>
      </c>
      <c r="C20" s="190">
        <v>0</v>
      </c>
      <c r="D20" s="190">
        <f t="shared" si="9"/>
        <v>0</v>
      </c>
      <c r="E20" s="190">
        <f t="shared" si="9"/>
        <v>0</v>
      </c>
      <c r="F20" s="190">
        <f t="shared" si="9"/>
        <v>0</v>
      </c>
      <c r="G20" s="190">
        <f t="shared" si="9"/>
        <v>0</v>
      </c>
      <c r="H20" s="190">
        <f>H9-$C9</f>
        <v>0</v>
      </c>
      <c r="I20" s="190">
        <f t="shared" si="9"/>
        <v>10598.787226875094</v>
      </c>
      <c r="K20" s="268" t="s">
        <v>226</v>
      </c>
      <c r="L20" s="16">
        <f>IFERROR(VLOOKUP($K20,costs!$A$2:$I$2905,L$2,FALSE),0)</f>
        <v>0</v>
      </c>
      <c r="M20" s="16">
        <f>IFERROR(VLOOKUP($K20,costs!$A$2:$I$2905,M$2,FALSE),0)</f>
        <v>0</v>
      </c>
      <c r="N20" s="16">
        <f>IFERROR(VLOOKUP($K20,costs!$A$2:$I$2905,N$2,FALSE),0)</f>
        <v>0</v>
      </c>
      <c r="O20" s="16">
        <f>IFERROR(VLOOKUP($K20,costs!$A$2:$I$2905,O$2,FALSE),0)</f>
        <v>0</v>
      </c>
      <c r="P20" s="16">
        <f>IFERROR(VLOOKUP($K20,costs!$A$2:$I$2905,P$2,FALSE),0)</f>
        <v>0</v>
      </c>
      <c r="Q20" s="16">
        <f>IFERROR(VLOOKUP($K20,costs!$A$2:$I$2905,Q$2,FALSE),0)</f>
        <v>0</v>
      </c>
      <c r="R20" s="16">
        <f>IFERROR(VLOOKUP($K20,costs!$A$2:$I$2905,R$2,FALSE),0)</f>
        <v>0</v>
      </c>
      <c r="S20" s="16">
        <f>IFERROR(VLOOKUP($K20,costs!$A$2:$I$2905,S$2,FALSE),0)</f>
        <v>0</v>
      </c>
      <c r="U20" s="272" t="s">
        <v>197</v>
      </c>
      <c r="V20" s="16">
        <f>IFERROR(VLOOKUP($U20,costs!$A$2:$I$2905,V$2,FALSE),0)</f>
        <v>0</v>
      </c>
      <c r="W20" s="16">
        <f>IFERROR(VLOOKUP($U20,costs!$A$2:$I$2905,W$2,FALSE),0)</f>
        <v>0</v>
      </c>
      <c r="X20" s="16">
        <f>IFERROR(VLOOKUP($U20,costs!$A$2:$I$2905,X$2,FALSE),0)</f>
        <v>0</v>
      </c>
      <c r="Y20" s="16">
        <f>IFERROR(VLOOKUP($U20,costs!$A$2:$I$2905,Y$2,FALSE),0)</f>
        <v>0</v>
      </c>
      <c r="Z20" s="16">
        <f>IFERROR(VLOOKUP($U20,costs!$A$2:$I$2905,Z$2,FALSE),0)</f>
        <v>0</v>
      </c>
      <c r="AA20" s="16">
        <f>IFERROR(VLOOKUP($U20,costs!$A$2:$I$2905,AA$2,FALSE),0)</f>
        <v>0</v>
      </c>
      <c r="AB20" s="16">
        <f>IFERROR(VLOOKUP($U20,costs!$A$2:$I$2905,AB$2,FALSE),0)</f>
        <v>0</v>
      </c>
      <c r="AC20" s="16">
        <f>IFERROR(VLOOKUP($U20,costs!$A$2:$I$2905,AC$2,FALSE),0)</f>
        <v>0</v>
      </c>
      <c r="AE20" s="40" t="s">
        <v>191</v>
      </c>
      <c r="AF20" s="16">
        <f>IFERROR(VLOOKUP($AE20,costs!$A$2:$I$2905,AF$2,FALSE),0)</f>
        <v>0</v>
      </c>
      <c r="AG20" s="16">
        <f>IFERROR(VLOOKUP($AE20,costs!$A$2:$I$2905,AG$2,FALSE),0)</f>
        <v>0</v>
      </c>
      <c r="AH20" s="16">
        <f>IFERROR(VLOOKUP($AE20,costs!$A$2:$I$2905,AH$2,FALSE),0)</f>
        <v>0</v>
      </c>
      <c r="AI20" s="16">
        <f>IFERROR(VLOOKUP($AE20,costs!$A$2:$I$2905,AI$2,FALSE),0)</f>
        <v>0</v>
      </c>
      <c r="AJ20" s="16">
        <f>IFERROR(VLOOKUP($AE20,costs!$A$2:$I$2905,AJ$2,FALSE),0)</f>
        <v>0</v>
      </c>
      <c r="AK20" s="16">
        <f>IFERROR(VLOOKUP($AE20,costs!$A$2:$I$2905,AK$2,FALSE),0)</f>
        <v>0</v>
      </c>
      <c r="AL20" s="16">
        <f>IFERROR(VLOOKUP($AE20,costs!$A$2:$I$2905,AL$2,FALSE),0)</f>
        <v>0</v>
      </c>
      <c r="AM20" s="16">
        <f>IFERROR(VLOOKUP($AE20,costs!$A$2:$I$2905,AM$2,FALSE),0)</f>
        <v>0</v>
      </c>
      <c r="AO20" s="40" t="s">
        <v>111</v>
      </c>
      <c r="AP20" s="16">
        <f>IFERROR(VLOOKUP($AO20,costs!$A$2:$I$2905,AP$2,FALSE),0)</f>
        <v>0</v>
      </c>
      <c r="AQ20" s="16">
        <f>IFERROR(VLOOKUP($AO20,costs!$A$2:$I$2905,AQ$2,FALSE),0)</f>
        <v>0</v>
      </c>
      <c r="AR20" s="16">
        <f>IFERROR(VLOOKUP($AO20,costs!$A$2:$I$2905,AR$2,FALSE),0)</f>
        <v>0</v>
      </c>
      <c r="AS20" s="16">
        <f>IFERROR(VLOOKUP($AO20,costs!$A$2:$I$2905,AS$2,FALSE),0)</f>
        <v>0</v>
      </c>
      <c r="AT20" s="16">
        <f>IFERROR(VLOOKUP($AO20,costs!$A$2:$I$2905,AT$2,FALSE),0)</f>
        <v>0</v>
      </c>
      <c r="AU20" s="16">
        <f>IFERROR(VLOOKUP($AO20,costs!$A$2:$I$2905,AU$2,FALSE),0)</f>
        <v>0</v>
      </c>
      <c r="AV20" s="16">
        <f>IFERROR(VLOOKUP($AO20,costs!$A$2:$I$2905,AV$2,FALSE),0)</f>
        <v>0</v>
      </c>
      <c r="AW20" s="16">
        <f>IFERROR(VLOOKUP($AO20,costs!$A$2:$I$2905,AW$2,FALSE),0)</f>
        <v>0</v>
      </c>
      <c r="AY20" s="272" t="s">
        <v>496</v>
      </c>
      <c r="AZ20" s="16">
        <f>IFERROR(VLOOKUP($AY20,costs!$A$2:$I$2905,AZ$2,FALSE),0)</f>
        <v>0</v>
      </c>
      <c r="BA20" s="16">
        <f>IFERROR(VLOOKUP($AY20,costs!$A$2:$I$2905,BA$2,FALSE),0)</f>
        <v>0</v>
      </c>
      <c r="BB20" s="16">
        <f>IFERROR(VLOOKUP($AY20,costs!$A$2:$I$2905,BB$2,FALSE),0)</f>
        <v>0</v>
      </c>
      <c r="BC20" s="16">
        <f>IFERROR(VLOOKUP($AY20,costs!$A$2:$I$2905,BC$2,FALSE),0)</f>
        <v>0</v>
      </c>
      <c r="BD20" s="16">
        <f>IFERROR(VLOOKUP($AY20,costs!$A$2:$I$2905,BD$2,FALSE),0)</f>
        <v>0</v>
      </c>
      <c r="BE20" s="16">
        <f>IFERROR(VLOOKUP($AY20,costs!$A$2:$I$2905,BE$2,FALSE),0)</f>
        <v>0</v>
      </c>
      <c r="BF20" s="16">
        <f>IFERROR(VLOOKUP($AY20,costs!$A$2:$I$2905,BF$2,FALSE),0)</f>
        <v>0</v>
      </c>
      <c r="BG20" s="16">
        <f>IFERROR(VLOOKUP($AY20,costs!$A$2:$I$2905,BG$2,FALSE),0)</f>
        <v>0</v>
      </c>
    </row>
    <row r="21" spans="2:59" x14ac:dyDescent="0.35">
      <c r="B21" s="341" t="s">
        <v>2288</v>
      </c>
      <c r="C21">
        <v>0</v>
      </c>
      <c r="D21" s="190">
        <f t="shared" si="9"/>
        <v>0</v>
      </c>
      <c r="E21" s="190">
        <f t="shared" si="9"/>
        <v>0</v>
      </c>
      <c r="F21" s="190">
        <f t="shared" si="9"/>
        <v>0</v>
      </c>
      <c r="G21" s="190">
        <f t="shared" si="9"/>
        <v>0</v>
      </c>
      <c r="H21" s="190">
        <f t="shared" si="9"/>
        <v>0</v>
      </c>
      <c r="I21" s="190">
        <f t="shared" si="9"/>
        <v>47290.217946797675</v>
      </c>
      <c r="K21" s="269" t="s">
        <v>235</v>
      </c>
      <c r="L21" s="16">
        <f>IFERROR(VLOOKUP($K21,costs!$A$2:$I$2905,L$2,FALSE),0)</f>
        <v>0</v>
      </c>
      <c r="M21" s="16">
        <f>IFERROR(VLOOKUP($K21,costs!$A$2:$I$2905,M$2,FALSE),0)</f>
        <v>0</v>
      </c>
      <c r="N21" s="16">
        <f>IFERROR(VLOOKUP($K21,costs!$A$2:$I$2905,N$2,FALSE),0)</f>
        <v>0</v>
      </c>
      <c r="O21" s="16">
        <f>IFERROR(VLOOKUP($K21,costs!$A$2:$I$2905,O$2,FALSE),0)</f>
        <v>0</v>
      </c>
      <c r="P21" s="16">
        <f>IFERROR(VLOOKUP($K21,costs!$A$2:$I$2905,P$2,FALSE),0)</f>
        <v>0</v>
      </c>
      <c r="Q21" s="16">
        <f>IFERROR(VLOOKUP($K21,costs!$A$2:$I$2905,Q$2,FALSE),0)</f>
        <v>0</v>
      </c>
      <c r="R21" s="16">
        <f>IFERROR(VLOOKUP($K21,costs!$A$2:$I$2905,R$2,FALSE),0)</f>
        <v>0</v>
      </c>
      <c r="S21" s="16">
        <f>IFERROR(VLOOKUP($K21,costs!$A$2:$I$2905,S$2,FALSE),0)</f>
        <v>0</v>
      </c>
      <c r="U21" s="273" t="s">
        <v>2038</v>
      </c>
      <c r="V21" s="16">
        <f>IFERROR(VLOOKUP($U21,costs!$A$2:$I$2905,V$2,FALSE),0)</f>
        <v>0</v>
      </c>
      <c r="W21" s="16">
        <f>IFERROR(VLOOKUP($U21,costs!$A$2:$I$2905,W$2,FALSE),0)</f>
        <v>0</v>
      </c>
      <c r="X21" s="16">
        <f>IFERROR(VLOOKUP($U21,costs!$A$2:$I$2905,X$2,FALSE),0)</f>
        <v>0</v>
      </c>
      <c r="Y21" s="16">
        <f>IFERROR(VLOOKUP($U21,costs!$A$2:$I$2905,Y$2,FALSE),0)</f>
        <v>0</v>
      </c>
      <c r="Z21" s="16">
        <f>IFERROR(VLOOKUP($U21,costs!$A$2:$I$2905,Z$2,FALSE),0)</f>
        <v>0</v>
      </c>
      <c r="AA21" s="16">
        <f>IFERROR(VLOOKUP($U21,costs!$A$2:$I$2905,AA$2,FALSE),0)</f>
        <v>0</v>
      </c>
      <c r="AB21" s="16">
        <f>IFERROR(VLOOKUP($U21,costs!$A$2:$I$2905,AB$2,FALSE),0)</f>
        <v>0</v>
      </c>
      <c r="AC21" s="16">
        <f>IFERROR(VLOOKUP($U21,costs!$A$2:$I$2905,AC$2,FALSE),0)</f>
        <v>0</v>
      </c>
      <c r="AE21" s="40" t="s">
        <v>189</v>
      </c>
      <c r="AF21" s="16">
        <f>IFERROR(VLOOKUP($AE21,costs!$A$2:$I$2905,AF$2,FALSE),0)</f>
        <v>0</v>
      </c>
      <c r="AG21" s="16">
        <f>IFERROR(VLOOKUP($AE21,costs!$A$2:$I$2905,AG$2,FALSE),0)</f>
        <v>0</v>
      </c>
      <c r="AH21" s="16">
        <f>IFERROR(VLOOKUP($AE21,costs!$A$2:$I$2905,AH$2,FALSE),0)</f>
        <v>0</v>
      </c>
      <c r="AI21" s="16">
        <f>IFERROR(VLOOKUP($AE21,costs!$A$2:$I$2905,AI$2,FALSE),0)</f>
        <v>0</v>
      </c>
      <c r="AJ21" s="16">
        <f>IFERROR(VLOOKUP($AE21,costs!$A$2:$I$2905,AJ$2,FALSE),0)</f>
        <v>0</v>
      </c>
      <c r="AK21" s="16">
        <f>IFERROR(VLOOKUP($AE21,costs!$A$2:$I$2905,AK$2,FALSE),0)</f>
        <v>0</v>
      </c>
      <c r="AL21" s="16">
        <f>IFERROR(VLOOKUP($AE21,costs!$A$2:$I$2905,AL$2,FALSE),0)</f>
        <v>0</v>
      </c>
      <c r="AM21" s="16">
        <f>IFERROR(VLOOKUP($AE21,costs!$A$2:$I$2905,AM$2,FALSE),0)</f>
        <v>0</v>
      </c>
      <c r="AO21" s="40" t="s">
        <v>115</v>
      </c>
      <c r="AP21" s="16">
        <f>IFERROR(VLOOKUP($AO21,costs!$A$2:$I$2905,AP$2,FALSE),0)</f>
        <v>0</v>
      </c>
      <c r="AQ21" s="16">
        <f>IFERROR(VLOOKUP($AO21,costs!$A$2:$I$2905,AQ$2,FALSE),0)</f>
        <v>0</v>
      </c>
      <c r="AR21" s="16">
        <f>IFERROR(VLOOKUP($AO21,costs!$A$2:$I$2905,AR$2,FALSE),0)</f>
        <v>0</v>
      </c>
      <c r="AS21" s="16">
        <f>IFERROR(VLOOKUP($AO21,costs!$A$2:$I$2905,AS$2,FALSE),0)</f>
        <v>0</v>
      </c>
      <c r="AT21" s="16">
        <f>IFERROR(VLOOKUP($AO21,costs!$A$2:$I$2905,AT$2,FALSE),0)</f>
        <v>0</v>
      </c>
      <c r="AU21" s="16">
        <f>IFERROR(VLOOKUP($AO21,costs!$A$2:$I$2905,AU$2,FALSE),0)</f>
        <v>0</v>
      </c>
      <c r="AV21" s="16">
        <f>IFERROR(VLOOKUP($AO21,costs!$A$2:$I$2905,AV$2,FALSE),0)</f>
        <v>0</v>
      </c>
      <c r="AW21" s="16">
        <f>IFERROR(VLOOKUP($AO21,costs!$A$2:$I$2905,AW$2,FALSE),0)</f>
        <v>0</v>
      </c>
      <c r="AY21" s="273" t="s">
        <v>491</v>
      </c>
      <c r="AZ21" s="16">
        <f>IFERROR(VLOOKUP($AY21,costs!$A$2:$I$2905,AZ$2,FALSE),0)</f>
        <v>0</v>
      </c>
      <c r="BA21" s="16">
        <f>IFERROR(VLOOKUP($AY21,costs!$A$2:$I$2905,BA$2,FALSE),0)</f>
        <v>0</v>
      </c>
      <c r="BB21" s="16">
        <f>IFERROR(VLOOKUP($AY21,costs!$A$2:$I$2905,BB$2,FALSE),0)</f>
        <v>0</v>
      </c>
      <c r="BC21" s="16">
        <f>IFERROR(VLOOKUP($AY21,costs!$A$2:$I$2905,BC$2,FALSE),0)</f>
        <v>0</v>
      </c>
      <c r="BD21" s="16">
        <f>IFERROR(VLOOKUP($AY21,costs!$A$2:$I$2905,BD$2,FALSE),0)</f>
        <v>0</v>
      </c>
      <c r="BE21" s="16">
        <f>IFERROR(VLOOKUP($AY21,costs!$A$2:$I$2905,BE$2,FALSE),0)</f>
        <v>0</v>
      </c>
      <c r="BF21" s="16">
        <f>IFERROR(VLOOKUP($AY21,costs!$A$2:$I$2905,BF$2,FALSE),0)</f>
        <v>0</v>
      </c>
      <c r="BG21" s="16">
        <f>IFERROR(VLOOKUP($AY21,costs!$A$2:$I$2905,BG$2,FALSE),0)</f>
        <v>0</v>
      </c>
    </row>
    <row r="22" spans="2:59" x14ac:dyDescent="0.35">
      <c r="B22" s="341" t="s">
        <v>2287</v>
      </c>
      <c r="C22" s="341">
        <v>0</v>
      </c>
      <c r="D22" s="341">
        <f t="shared" si="9"/>
        <v>0</v>
      </c>
      <c r="E22" s="341">
        <f t="shared" si="9"/>
        <v>0</v>
      </c>
      <c r="F22" s="341">
        <f t="shared" si="9"/>
        <v>0</v>
      </c>
      <c r="G22" s="341">
        <f t="shared" si="9"/>
        <v>0</v>
      </c>
      <c r="H22" s="341">
        <f t="shared" si="9"/>
        <v>0</v>
      </c>
      <c r="I22" s="341">
        <f>I11-$C11</f>
        <v>260.02153520781218</v>
      </c>
      <c r="K22" s="268" t="s">
        <v>236</v>
      </c>
      <c r="L22" s="16">
        <f>IFERROR(VLOOKUP($K22,costs!$A$2:$I$2905,L$2,FALSE),0)</f>
        <v>0</v>
      </c>
      <c r="M22" s="16">
        <f>IFERROR(VLOOKUP($K22,costs!$A$2:$I$2905,M$2,FALSE),0)</f>
        <v>0</v>
      </c>
      <c r="N22" s="16">
        <f>IFERROR(VLOOKUP($K22,costs!$A$2:$I$2905,N$2,FALSE),0)</f>
        <v>0</v>
      </c>
      <c r="O22" s="16">
        <f>IFERROR(VLOOKUP($K22,costs!$A$2:$I$2905,O$2,FALSE),0)</f>
        <v>0</v>
      </c>
      <c r="P22" s="16">
        <f>IFERROR(VLOOKUP($K22,costs!$A$2:$I$2905,P$2,FALSE),0)</f>
        <v>0</v>
      </c>
      <c r="Q22" s="16">
        <f>IFERROR(VLOOKUP($K22,costs!$A$2:$I$2905,Q$2,FALSE),0)</f>
        <v>0</v>
      </c>
      <c r="R22" s="16">
        <f>IFERROR(VLOOKUP($K22,costs!$A$2:$I$2905,R$2,FALSE),0)</f>
        <v>0</v>
      </c>
      <c r="S22" s="16">
        <f>IFERROR(VLOOKUP($K22,costs!$A$2:$I$2905,S$2,FALSE),0)</f>
        <v>0</v>
      </c>
      <c r="U22" s="272" t="s">
        <v>202</v>
      </c>
      <c r="V22" s="16">
        <f>IFERROR(VLOOKUP($U22,costs!$A$2:$I$2905,V$2,FALSE),0)</f>
        <v>0</v>
      </c>
      <c r="W22" s="16">
        <f>IFERROR(VLOOKUP($U22,costs!$A$2:$I$2905,W$2,FALSE),0)</f>
        <v>0</v>
      </c>
      <c r="X22" s="16">
        <f>IFERROR(VLOOKUP($U22,costs!$A$2:$I$2905,X$2,FALSE),0)</f>
        <v>0</v>
      </c>
      <c r="Y22" s="16">
        <f>IFERROR(VLOOKUP($U22,costs!$A$2:$I$2905,Y$2,FALSE),0)</f>
        <v>0</v>
      </c>
      <c r="Z22" s="16">
        <f>IFERROR(VLOOKUP($U22,costs!$A$2:$I$2905,Z$2,FALSE),0)</f>
        <v>0</v>
      </c>
      <c r="AA22" s="16">
        <f>IFERROR(VLOOKUP($U22,costs!$A$2:$I$2905,AA$2,FALSE),0)</f>
        <v>0</v>
      </c>
      <c r="AB22" s="16">
        <f>IFERROR(VLOOKUP($U22,costs!$A$2:$I$2905,AB$2,FALSE),0)</f>
        <v>0</v>
      </c>
      <c r="AC22" s="16">
        <f>IFERROR(VLOOKUP($U22,costs!$A$2:$I$2905,AC$2,FALSE),0)</f>
        <v>0</v>
      </c>
      <c r="AE22" s="40" t="s">
        <v>188</v>
      </c>
      <c r="AF22" s="16">
        <f>IFERROR(VLOOKUP($AE22,costs!$A$2:$I$2905,AF$2,FALSE),0)</f>
        <v>0</v>
      </c>
      <c r="AG22" s="16">
        <f>IFERROR(VLOOKUP($AE22,costs!$A$2:$I$2905,AG$2,FALSE),0)</f>
        <v>0</v>
      </c>
      <c r="AH22" s="16">
        <f>IFERROR(VLOOKUP($AE22,costs!$A$2:$I$2905,AH$2,FALSE),0)</f>
        <v>0</v>
      </c>
      <c r="AI22" s="16">
        <f>IFERROR(VLOOKUP($AE22,costs!$A$2:$I$2905,AI$2,FALSE),0)</f>
        <v>0</v>
      </c>
      <c r="AJ22" s="16">
        <f>IFERROR(VLOOKUP($AE22,costs!$A$2:$I$2905,AJ$2,FALSE),0)</f>
        <v>0</v>
      </c>
      <c r="AK22" s="16">
        <f>IFERROR(VLOOKUP($AE22,costs!$A$2:$I$2905,AK$2,FALSE),0)</f>
        <v>0</v>
      </c>
      <c r="AL22" s="16">
        <f>IFERROR(VLOOKUP($AE22,costs!$A$2:$I$2905,AL$2,FALSE),0)</f>
        <v>0</v>
      </c>
      <c r="AM22" s="16">
        <f>IFERROR(VLOOKUP($AE22,costs!$A$2:$I$2905,AM$2,FALSE),0)</f>
        <v>0</v>
      </c>
      <c r="AO22" s="40" t="s">
        <v>108</v>
      </c>
      <c r="AP22" s="16">
        <f>IFERROR(VLOOKUP($AO22,costs!$A$2:$I$2905,AP$2,FALSE),0)</f>
        <v>0</v>
      </c>
      <c r="AQ22" s="346">
        <f>IFERROR(VLOOKUP($AO22,costs!$A$2:$I$2905,AQ$2,FALSE),0)</f>
        <v>0</v>
      </c>
      <c r="AR22" s="346">
        <f>IFERROR(VLOOKUP($AO22,costs!$A$2:$I$2905,AR$2,FALSE),0)</f>
        <v>0</v>
      </c>
      <c r="AS22" s="346">
        <f>IFERROR(VLOOKUP($AO22,costs!$A$2:$I$2905,AS$2,FALSE),0)</f>
        <v>0</v>
      </c>
      <c r="AT22" s="346">
        <f>IFERROR(VLOOKUP($AO22,costs!$A$2:$I$2905,AT$2,FALSE),0)</f>
        <v>0</v>
      </c>
      <c r="AU22" s="346">
        <f>IFERROR(VLOOKUP($AO22,costs!$A$2:$I$2905,AU$2,FALSE),0)</f>
        <v>0</v>
      </c>
      <c r="AV22" s="346">
        <f>IFERROR(VLOOKUP($AO22,costs!$A$2:$I$2905,AV$2,FALSE),0)</f>
        <v>0</v>
      </c>
      <c r="AW22" s="346">
        <f>IFERROR(VLOOKUP($AO22,costs!$A$2:$I$2905,AW$2,FALSE),0)</f>
        <v>0</v>
      </c>
      <c r="AY22" s="272" t="s">
        <v>213</v>
      </c>
      <c r="AZ22" s="16">
        <f>IFERROR(VLOOKUP($AY22,costs!$A$2:$I$2905,AZ$2,FALSE),0)</f>
        <v>0</v>
      </c>
      <c r="BA22" s="16">
        <f>IFERROR(VLOOKUP($AY22,costs!$A$2:$I$2905,BA$2,FALSE),0)</f>
        <v>0</v>
      </c>
      <c r="BB22" s="16">
        <f>IFERROR(VLOOKUP($AY22,costs!$A$2:$I$2905,BB$2,FALSE),0)</f>
        <v>0</v>
      </c>
      <c r="BC22" s="16">
        <f>IFERROR(VLOOKUP($AY22,costs!$A$2:$I$2905,BC$2,FALSE),0)</f>
        <v>0</v>
      </c>
      <c r="BD22" s="16">
        <f>IFERROR(VLOOKUP($AY22,costs!$A$2:$I$2905,BD$2,FALSE),0)</f>
        <v>0</v>
      </c>
      <c r="BE22" s="16">
        <f>IFERROR(VLOOKUP($AY22,costs!$A$2:$I$2905,BE$2,FALSE),0)</f>
        <v>0</v>
      </c>
      <c r="BF22" s="16">
        <f>IFERROR(VLOOKUP($AY22,costs!$A$2:$I$2905,BF$2,FALSE),0)</f>
        <v>0</v>
      </c>
      <c r="BG22" s="16">
        <f>IFERROR(VLOOKUP($AY22,costs!$A$2:$I$2905,BG$2,FALSE),0)</f>
        <v>0</v>
      </c>
    </row>
    <row r="23" spans="2:59" x14ac:dyDescent="0.35">
      <c r="B23" s="133" t="s">
        <v>2027</v>
      </c>
      <c r="C23" s="133">
        <v>0</v>
      </c>
      <c r="D23" s="350" t="e">
        <f t="shared" si="9"/>
        <v>#N/A</v>
      </c>
      <c r="E23" s="350" t="e">
        <f t="shared" si="9"/>
        <v>#N/A</v>
      </c>
      <c r="F23" s="133" t="e">
        <f t="shared" si="9"/>
        <v>#N/A</v>
      </c>
      <c r="G23" s="133" t="e">
        <f t="shared" si="9"/>
        <v>#N/A</v>
      </c>
      <c r="H23" s="133" t="e">
        <f t="shared" si="9"/>
        <v>#N/A</v>
      </c>
      <c r="I23" s="133" t="e">
        <f t="shared" si="9"/>
        <v>#N/A</v>
      </c>
      <c r="K23" s="269" t="s">
        <v>269</v>
      </c>
      <c r="L23" s="16">
        <f>IFERROR(VLOOKUP($K23,costs!$A$2:$I$2905,L$2,FALSE),0)</f>
        <v>0</v>
      </c>
      <c r="M23" s="16">
        <f>IFERROR(VLOOKUP($K23,costs!$A$2:$I$2905,M$2,FALSE),0)</f>
        <v>0</v>
      </c>
      <c r="N23" s="16">
        <f>IFERROR(VLOOKUP($K23,costs!$A$2:$I$2905,N$2,FALSE),0)</f>
        <v>0</v>
      </c>
      <c r="O23" s="16">
        <f>IFERROR(VLOOKUP($K23,costs!$A$2:$I$2905,O$2,FALSE),0)</f>
        <v>0</v>
      </c>
      <c r="P23" s="16">
        <f>IFERROR(VLOOKUP($K23,costs!$A$2:$I$2905,P$2,FALSE),0)</f>
        <v>0</v>
      </c>
      <c r="Q23" s="16">
        <f>IFERROR(VLOOKUP($K23,costs!$A$2:$I$2905,Q$2,FALSE),0)</f>
        <v>0</v>
      </c>
      <c r="R23" s="16">
        <f>IFERROR(VLOOKUP($K23,costs!$A$2:$I$2905,R$2,FALSE),0)</f>
        <v>0</v>
      </c>
      <c r="S23" s="16">
        <f>IFERROR(VLOOKUP($K23,costs!$A$2:$I$2905,S$2,FALSE),0)</f>
        <v>0</v>
      </c>
      <c r="U23" s="273" t="s">
        <v>2039</v>
      </c>
      <c r="V23" s="16">
        <f>IFERROR(VLOOKUP($U23,costs!$A$2:$I$2905,V$2,FALSE),0)</f>
        <v>0</v>
      </c>
      <c r="W23" s="16">
        <f>IFERROR(VLOOKUP($U23,costs!$A$2:$I$2905,W$2,FALSE),0)</f>
        <v>0</v>
      </c>
      <c r="X23" s="16">
        <f>IFERROR(VLOOKUP($U23,costs!$A$2:$I$2905,X$2,FALSE),0)</f>
        <v>0</v>
      </c>
      <c r="Y23" s="16">
        <f>IFERROR(VLOOKUP($U23,costs!$A$2:$I$2905,Y$2,FALSE),0)</f>
        <v>0</v>
      </c>
      <c r="Z23" s="16">
        <f>IFERROR(VLOOKUP($U23,costs!$A$2:$I$2905,Z$2,FALSE),0)</f>
        <v>0</v>
      </c>
      <c r="AA23" s="16">
        <f>IFERROR(VLOOKUP($U23,costs!$A$2:$I$2905,AA$2,FALSE),0)</f>
        <v>0</v>
      </c>
      <c r="AB23" s="16">
        <f>IFERROR(VLOOKUP($U23,costs!$A$2:$I$2905,AB$2,FALSE),0)</f>
        <v>0</v>
      </c>
      <c r="AC23" s="16">
        <f>IFERROR(VLOOKUP($U23,costs!$A$2:$I$2905,AC$2,FALSE),0)</f>
        <v>0</v>
      </c>
      <c r="AE23" s="40" t="s">
        <v>192</v>
      </c>
      <c r="AF23" s="16">
        <f>IFERROR(VLOOKUP($AE23,costs!$A$2:$I$2905,AF$2,FALSE),0)</f>
        <v>0</v>
      </c>
      <c r="AG23" s="16">
        <f>IFERROR(VLOOKUP($AE23,costs!$A$2:$I$2905,AG$2,FALSE),0)</f>
        <v>0</v>
      </c>
      <c r="AH23" s="16">
        <f>IFERROR(VLOOKUP($AE23,costs!$A$2:$I$2905,AH$2,FALSE),0)</f>
        <v>0</v>
      </c>
      <c r="AI23" s="16">
        <f>IFERROR(VLOOKUP($AE23,costs!$A$2:$I$2905,AI$2,FALSE),0)</f>
        <v>0</v>
      </c>
      <c r="AJ23" s="16">
        <f>IFERROR(VLOOKUP($AE23,costs!$A$2:$I$2905,AJ$2,FALSE),0)</f>
        <v>0</v>
      </c>
      <c r="AK23" s="16">
        <f>IFERROR(VLOOKUP($AE23,costs!$A$2:$I$2905,AK$2,FALSE),0)</f>
        <v>0</v>
      </c>
      <c r="AL23" s="16">
        <f>IFERROR(VLOOKUP($AE23,costs!$A$2:$I$2905,AL$2,FALSE),0)</f>
        <v>0</v>
      </c>
      <c r="AM23" s="16">
        <f>IFERROR(VLOOKUP($AE23,costs!$A$2:$I$2905,AM$2,FALSE),0)</f>
        <v>0</v>
      </c>
      <c r="AO23" s="40" t="s">
        <v>4106</v>
      </c>
      <c r="AP23" s="346">
        <f>IFERROR(VLOOKUP($AO23,costs!$A$2:$I$2905,AP$2,FALSE),0)</f>
        <v>0</v>
      </c>
      <c r="AQ23" s="346">
        <f>IFERROR(VLOOKUP($AO23,costs!$A$2:$I$2905,AQ$2,FALSE),0)</f>
        <v>0</v>
      </c>
      <c r="AR23" s="346">
        <f>IFERROR(VLOOKUP($AO23,costs!$A$2:$I$2905,AR$2,FALSE),0)</f>
        <v>0</v>
      </c>
      <c r="AS23" s="346">
        <f>IFERROR(VLOOKUP($AO23,costs!$A$2:$I$2905,AS$2,FALSE),0)</f>
        <v>0</v>
      </c>
      <c r="AT23" s="346">
        <f>IFERROR(VLOOKUP($AO23,costs!$A$2:$I$2905,AT$2,FALSE),0)</f>
        <v>0</v>
      </c>
      <c r="AU23" s="346">
        <f>IFERROR(VLOOKUP($AO23,costs!$A$2:$I$2905,AU$2,FALSE),0)</f>
        <v>0</v>
      </c>
      <c r="AV23" s="346">
        <f>IFERROR(VLOOKUP($AO23,costs!$A$2:$I$2905,AV$2,FALSE),0)</f>
        <v>0</v>
      </c>
      <c r="AW23" s="346">
        <f>IFERROR(VLOOKUP($AO23,costs!$A$2:$I$2905,AW$2,FALSE),0)</f>
        <v>0</v>
      </c>
      <c r="AY23" s="273" t="s">
        <v>2083</v>
      </c>
      <c r="AZ23" s="16">
        <f>IFERROR(VLOOKUP($AY23,costs!$A$2:$I$2905,AZ$2,FALSE),0)</f>
        <v>0</v>
      </c>
      <c r="BA23" s="16">
        <f>IFERROR(VLOOKUP($AY23,costs!$A$2:$I$2905,BA$2,FALSE),0)</f>
        <v>0</v>
      </c>
      <c r="BB23" s="16">
        <f>IFERROR(VLOOKUP($AY23,costs!$A$2:$I$2905,BB$2,FALSE),0)</f>
        <v>0</v>
      </c>
      <c r="BC23" s="16">
        <f>IFERROR(VLOOKUP($AY23,costs!$A$2:$I$2905,BC$2,FALSE),0)</f>
        <v>0</v>
      </c>
      <c r="BD23" s="16">
        <f>IFERROR(VLOOKUP($AY23,costs!$A$2:$I$2905,BD$2,FALSE),0)</f>
        <v>0</v>
      </c>
      <c r="BE23" s="16">
        <f>IFERROR(VLOOKUP($AY23,costs!$A$2:$I$2905,BE$2,FALSE),0)</f>
        <v>0</v>
      </c>
      <c r="BF23" s="16">
        <f>IFERROR(VLOOKUP($AY23,costs!$A$2:$I$2905,BF$2,FALSE),0)</f>
        <v>0</v>
      </c>
      <c r="BG23" s="16">
        <f>IFERROR(VLOOKUP($AY23,costs!$A$2:$I$2905,BG$2,FALSE),0)</f>
        <v>0</v>
      </c>
    </row>
    <row r="24" spans="2:59" x14ac:dyDescent="0.35">
      <c r="K24" s="268" t="s">
        <v>290</v>
      </c>
      <c r="L24" s="16">
        <f>IFERROR(VLOOKUP($K24,costs!$A$2:$I$2905,L$2,FALSE),0)</f>
        <v>0</v>
      </c>
      <c r="M24" s="16">
        <f>IFERROR(VLOOKUP($K24,costs!$A$2:$I$2905,M$2,FALSE),0)</f>
        <v>0</v>
      </c>
      <c r="N24" s="16">
        <f>IFERROR(VLOOKUP($K24,costs!$A$2:$I$2905,N$2,FALSE),0)</f>
        <v>0</v>
      </c>
      <c r="O24" s="16">
        <f>IFERROR(VLOOKUP($K24,costs!$A$2:$I$2905,O$2,FALSE),0)</f>
        <v>0</v>
      </c>
      <c r="P24" s="16">
        <f>IFERROR(VLOOKUP($K24,costs!$A$2:$I$2905,P$2,FALSE),0)</f>
        <v>0</v>
      </c>
      <c r="Q24" s="16">
        <f>IFERROR(VLOOKUP($K24,costs!$A$2:$I$2905,Q$2,FALSE),0)</f>
        <v>0</v>
      </c>
      <c r="R24" s="16">
        <f>IFERROR(VLOOKUP($K24,costs!$A$2:$I$2905,R$2,FALSE),0)</f>
        <v>0</v>
      </c>
      <c r="S24" s="16">
        <f>IFERROR(VLOOKUP($K24,costs!$A$2:$I$2905,S$2,FALSE),0)</f>
        <v>0</v>
      </c>
      <c r="U24" s="272" t="s">
        <v>410</v>
      </c>
      <c r="V24" s="16">
        <f>IFERROR(VLOOKUP($U24,costs!$A$2:$I$2905,V$2,FALSE),0)</f>
        <v>0</v>
      </c>
      <c r="W24" s="16">
        <f>IFERROR(VLOOKUP($U24,costs!$A$2:$I$2905,W$2,FALSE),0)</f>
        <v>0</v>
      </c>
      <c r="X24" s="16">
        <f>IFERROR(VLOOKUP($U24,costs!$A$2:$I$2905,X$2,FALSE),0)</f>
        <v>0</v>
      </c>
      <c r="Y24" s="16">
        <f>IFERROR(VLOOKUP($U24,costs!$A$2:$I$2905,Y$2,FALSE),0)</f>
        <v>0</v>
      </c>
      <c r="Z24" s="16">
        <f>IFERROR(VLOOKUP($U24,costs!$A$2:$I$2905,Z$2,FALSE),0)</f>
        <v>0</v>
      </c>
      <c r="AA24" s="16">
        <f>IFERROR(VLOOKUP($U24,costs!$A$2:$I$2905,AA$2,FALSE),0)</f>
        <v>0</v>
      </c>
      <c r="AB24" s="16">
        <f>IFERROR(VLOOKUP($U24,costs!$A$2:$I$2905,AB$2,FALSE),0)</f>
        <v>0</v>
      </c>
      <c r="AC24" s="16">
        <f>IFERROR(VLOOKUP($U24,costs!$A$2:$I$2905,AC$2,FALSE),0)</f>
        <v>0</v>
      </c>
      <c r="AE24" s="40" t="s">
        <v>190</v>
      </c>
      <c r="AF24" s="16">
        <f>IFERROR(VLOOKUP($AE24,costs!$A$2:$I$2905,AF$2,FALSE),0)</f>
        <v>0</v>
      </c>
      <c r="AG24" s="16">
        <f>IFERROR(VLOOKUP($AE24,costs!$A$2:$I$2905,AG$2,FALSE),0)</f>
        <v>0</v>
      </c>
      <c r="AH24" s="16">
        <f>IFERROR(VLOOKUP($AE24,costs!$A$2:$I$2905,AH$2,FALSE),0)</f>
        <v>0</v>
      </c>
      <c r="AI24" s="16">
        <f>IFERROR(VLOOKUP($AE24,costs!$A$2:$I$2905,AI$2,FALSE),0)</f>
        <v>0</v>
      </c>
      <c r="AJ24" s="16">
        <f>IFERROR(VLOOKUP($AE24,costs!$A$2:$I$2905,AJ$2,FALSE),0)</f>
        <v>0</v>
      </c>
      <c r="AK24" s="16">
        <f>IFERROR(VLOOKUP($AE24,costs!$A$2:$I$2905,AK$2,FALSE),0)</f>
        <v>0</v>
      </c>
      <c r="AL24" s="16">
        <f>IFERROR(VLOOKUP($AE24,costs!$A$2:$I$2905,AL$2,FALSE),0)</f>
        <v>0</v>
      </c>
      <c r="AM24" s="16">
        <f>IFERROR(VLOOKUP($AE24,costs!$A$2:$I$2905,AM$2,FALSE),0)</f>
        <v>0</v>
      </c>
      <c r="AO24" s="40" t="s">
        <v>4107</v>
      </c>
      <c r="AP24" s="346">
        <f>IFERROR(VLOOKUP($AO24,costs!$A$2:$I$2905,AP$2,FALSE),0)</f>
        <v>0</v>
      </c>
      <c r="AQ24" s="346">
        <f>IFERROR(VLOOKUP($AO24,costs!$A$2:$I$2905,AQ$2,FALSE),0)</f>
        <v>0</v>
      </c>
      <c r="AR24" s="346">
        <f>IFERROR(VLOOKUP($AO24,costs!$A$2:$I$2905,AR$2,FALSE),0)</f>
        <v>0</v>
      </c>
      <c r="AS24" s="346">
        <f>IFERROR(VLOOKUP($AO24,costs!$A$2:$I$2905,AS$2,FALSE),0)</f>
        <v>0</v>
      </c>
      <c r="AT24" s="346">
        <f>IFERROR(VLOOKUP($AO24,costs!$A$2:$I$2905,AT$2,FALSE),0)</f>
        <v>0</v>
      </c>
      <c r="AU24" s="346">
        <f>IFERROR(VLOOKUP($AO24,costs!$A$2:$I$2905,AU$2,FALSE),0)</f>
        <v>0</v>
      </c>
      <c r="AV24" s="346">
        <f>IFERROR(VLOOKUP($AO24,costs!$A$2:$I$2905,AV$2,FALSE),0)</f>
        <v>0</v>
      </c>
      <c r="AW24" s="346">
        <f>IFERROR(VLOOKUP($AO24,costs!$A$2:$I$2905,AW$2,FALSE),0)</f>
        <v>0</v>
      </c>
      <c r="AY24" s="272" t="s">
        <v>214</v>
      </c>
      <c r="AZ24" s="16">
        <f>IFERROR(VLOOKUP($AY24,costs!$A$2:$I$2905,AZ$2,FALSE),0)</f>
        <v>0</v>
      </c>
      <c r="BA24" s="16">
        <f>IFERROR(VLOOKUP($AY24,costs!$A$2:$I$2905,BA$2,FALSE),0)</f>
        <v>0</v>
      </c>
      <c r="BB24" s="16">
        <f>IFERROR(VLOOKUP($AY24,costs!$A$2:$I$2905,BB$2,FALSE),0)</f>
        <v>0</v>
      </c>
      <c r="BC24" s="16">
        <f>IFERROR(VLOOKUP($AY24,costs!$A$2:$I$2905,BC$2,FALSE),0)</f>
        <v>0</v>
      </c>
      <c r="BD24" s="16">
        <f>IFERROR(VLOOKUP($AY24,costs!$A$2:$I$2905,BD$2,FALSE),0)</f>
        <v>0</v>
      </c>
      <c r="BE24" s="16">
        <f>IFERROR(VLOOKUP($AY24,costs!$A$2:$I$2905,BE$2,FALSE),0)</f>
        <v>0</v>
      </c>
      <c r="BF24" s="16">
        <f>IFERROR(VLOOKUP($AY24,costs!$A$2:$I$2905,BF$2,FALSE),0)</f>
        <v>0</v>
      </c>
      <c r="BG24" s="16">
        <f>IFERROR(VLOOKUP($AY24,costs!$A$2:$I$2905,BG$2,FALSE),0)</f>
        <v>0</v>
      </c>
    </row>
    <row r="25" spans="2:59" x14ac:dyDescent="0.35">
      <c r="B25" s="133" t="s">
        <v>2186</v>
      </c>
      <c r="C25" s="133">
        <v>2020</v>
      </c>
      <c r="D25" s="133">
        <v>2025</v>
      </c>
      <c r="E25" s="133">
        <v>2030</v>
      </c>
      <c r="F25" s="133">
        <v>2035</v>
      </c>
      <c r="G25" s="133">
        <v>2040</v>
      </c>
      <c r="H25" s="133">
        <v>2045</v>
      </c>
      <c r="I25" s="133">
        <v>2050</v>
      </c>
      <c r="K25" s="269" t="s">
        <v>229</v>
      </c>
      <c r="L25" s="16">
        <f>IFERROR(VLOOKUP($K25,costs!$A$2:$I$2905,L$2,FALSE),0)</f>
        <v>0</v>
      </c>
      <c r="M25" s="16">
        <f>IFERROR(VLOOKUP($K25,costs!$A$2:$I$2905,M$2,FALSE),0)</f>
        <v>0</v>
      </c>
      <c r="N25" s="16">
        <f>IFERROR(VLOOKUP($K25,costs!$A$2:$I$2905,N$2,FALSE),0)</f>
        <v>0</v>
      </c>
      <c r="O25" s="16">
        <f>IFERROR(VLOOKUP($K25,costs!$A$2:$I$2905,O$2,FALSE),0)</f>
        <v>0</v>
      </c>
      <c r="P25" s="16">
        <f>IFERROR(VLOOKUP($K25,costs!$A$2:$I$2905,P$2,FALSE),0)</f>
        <v>0</v>
      </c>
      <c r="Q25" s="16">
        <f>IFERROR(VLOOKUP($K25,costs!$A$2:$I$2905,Q$2,FALSE),0)</f>
        <v>0</v>
      </c>
      <c r="R25" s="16">
        <f>IFERROR(VLOOKUP($K25,costs!$A$2:$I$2905,R$2,FALSE),0)</f>
        <v>0</v>
      </c>
      <c r="S25" s="16">
        <f>IFERROR(VLOOKUP($K25,costs!$A$2:$I$2905,S$2,FALSE),0)</f>
        <v>0</v>
      </c>
      <c r="U25" s="273" t="s">
        <v>2040</v>
      </c>
      <c r="V25" s="16">
        <f>IFERROR(VLOOKUP($U25,costs!$A$2:$I$2905,V$2,FALSE),0)</f>
        <v>0</v>
      </c>
      <c r="W25" s="16">
        <f>IFERROR(VLOOKUP($U25,costs!$A$2:$I$2905,W$2,FALSE),0)</f>
        <v>0</v>
      </c>
      <c r="X25" s="16">
        <f>IFERROR(VLOOKUP($U25,costs!$A$2:$I$2905,X$2,FALSE),0)</f>
        <v>0</v>
      </c>
      <c r="Y25" s="16">
        <f>IFERROR(VLOOKUP($U25,costs!$A$2:$I$2905,Y$2,FALSE),0)</f>
        <v>0</v>
      </c>
      <c r="Z25" s="16">
        <f>IFERROR(VLOOKUP($U25,costs!$A$2:$I$2905,Z$2,FALSE),0)</f>
        <v>0</v>
      </c>
      <c r="AA25" s="16">
        <f>IFERROR(VLOOKUP($U25,costs!$A$2:$I$2905,AA$2,FALSE),0)</f>
        <v>0</v>
      </c>
      <c r="AB25" s="16">
        <f>IFERROR(VLOOKUP($U25,costs!$A$2:$I$2905,AB$2,FALSE),0)</f>
        <v>0</v>
      </c>
      <c r="AC25" s="16">
        <f>IFERROR(VLOOKUP($U25,costs!$A$2:$I$2905,AC$2,FALSE),0)</f>
        <v>0</v>
      </c>
      <c r="AE25" s="40" t="s">
        <v>193</v>
      </c>
      <c r="AF25" s="16">
        <f>IFERROR(VLOOKUP($AE25,costs!$A$2:$I$2905,AF$2,FALSE),0)</f>
        <v>0</v>
      </c>
      <c r="AG25" s="16">
        <f>IFERROR(VLOOKUP($AE25,costs!$A$2:$I$2905,AG$2,FALSE),0)</f>
        <v>0</v>
      </c>
      <c r="AH25" s="16">
        <f>IFERROR(VLOOKUP($AE25,costs!$A$2:$I$2905,AH$2,FALSE),0)</f>
        <v>0</v>
      </c>
      <c r="AI25" s="16">
        <f>IFERROR(VLOOKUP($AE25,costs!$A$2:$I$2905,AI$2,FALSE),0)</f>
        <v>0</v>
      </c>
      <c r="AJ25" s="16">
        <f>IFERROR(VLOOKUP($AE25,costs!$A$2:$I$2905,AJ$2,FALSE),0)</f>
        <v>0</v>
      </c>
      <c r="AK25" s="16">
        <f>IFERROR(VLOOKUP($AE25,costs!$A$2:$I$2905,AK$2,FALSE),0)</f>
        <v>0</v>
      </c>
      <c r="AL25" s="16">
        <f>IFERROR(VLOOKUP($AE25,costs!$A$2:$I$2905,AL$2,FALSE),0)</f>
        <v>0</v>
      </c>
      <c r="AM25" s="16">
        <f>IFERROR(VLOOKUP($AE25,costs!$A$2:$I$2905,AM$2,FALSE),0)</f>
        <v>0</v>
      </c>
      <c r="AO25" s="40" t="s">
        <v>107</v>
      </c>
      <c r="AP25" s="16">
        <f>IFERROR(VLOOKUP($AO25,costs!$A$2:$I$2905,AP$2,FALSE),0)</f>
        <v>0</v>
      </c>
      <c r="AQ25" s="16">
        <f>IFERROR(VLOOKUP($AO25,costs!$A$2:$I$2905,AQ$2,FALSE),0)</f>
        <v>0</v>
      </c>
      <c r="AR25" s="16">
        <f>IFERROR(VLOOKUP($AO25,costs!$A$2:$I$2905,AR$2,FALSE),0)</f>
        <v>0</v>
      </c>
      <c r="AS25" s="16">
        <f>IFERROR(VLOOKUP($AO25,costs!$A$2:$I$2905,AS$2,FALSE),0)</f>
        <v>0</v>
      </c>
      <c r="AT25" s="16">
        <f>IFERROR(VLOOKUP($AO25,costs!$A$2:$I$2905,AT$2,FALSE),0)</f>
        <v>0</v>
      </c>
      <c r="AU25" s="16">
        <f>IFERROR(VLOOKUP($AO25,costs!$A$2:$I$2905,AU$2,FALSE),0)</f>
        <v>0</v>
      </c>
      <c r="AV25" s="16">
        <f>IFERROR(VLOOKUP($AO25,costs!$A$2:$I$2905,AV$2,FALSE),0)</f>
        <v>0</v>
      </c>
      <c r="AW25" s="16">
        <f>IFERROR(VLOOKUP($AO25,costs!$A$2:$I$2905,AW$2,FALSE),0)</f>
        <v>0</v>
      </c>
      <c r="AY25" s="273" t="s">
        <v>345</v>
      </c>
      <c r="AZ25" s="16">
        <f>IFERROR(VLOOKUP($AY25,costs!$A$2:$I$2905,AZ$2,FALSE),0)</f>
        <v>0</v>
      </c>
      <c r="BA25" s="16">
        <f>IFERROR(VLOOKUP($AY25,costs!$A$2:$I$2905,BA$2,FALSE),0)</f>
        <v>0</v>
      </c>
      <c r="BB25" s="16">
        <f>IFERROR(VLOOKUP($AY25,costs!$A$2:$I$2905,BB$2,FALSE),0)</f>
        <v>0</v>
      </c>
      <c r="BC25" s="16">
        <f>IFERROR(VLOOKUP($AY25,costs!$A$2:$I$2905,BC$2,FALSE),0)</f>
        <v>0</v>
      </c>
      <c r="BD25" s="16">
        <f>IFERROR(VLOOKUP($AY25,costs!$A$2:$I$2905,BD$2,FALSE),0)</f>
        <v>0</v>
      </c>
      <c r="BE25" s="16">
        <f>IFERROR(VLOOKUP($AY25,costs!$A$2:$I$2905,BE$2,FALSE),0)</f>
        <v>0</v>
      </c>
      <c r="BF25" s="16">
        <f>IFERROR(VLOOKUP($AY25,costs!$A$2:$I$2905,BF$2,FALSE),0)</f>
        <v>0</v>
      </c>
      <c r="BG25" s="16">
        <f>IFERROR(VLOOKUP($AY25,costs!$A$2:$I$2905,BG$2,FALSE),0)</f>
        <v>0</v>
      </c>
    </row>
    <row r="26" spans="2:59" x14ac:dyDescent="0.35">
      <c r="B26" s="190" t="s">
        <v>1313</v>
      </c>
      <c r="C26" s="85">
        <v>1</v>
      </c>
      <c r="D26" s="85" t="e">
        <f>D4/$C4</f>
        <v>#DIV/0!</v>
      </c>
      <c r="E26" s="85" t="e">
        <f t="shared" ref="D26:I30" si="10">E4/$C4</f>
        <v>#DIV/0!</v>
      </c>
      <c r="F26" s="85" t="e">
        <f t="shared" si="10"/>
        <v>#DIV/0!</v>
      </c>
      <c r="G26" s="85" t="e">
        <f t="shared" si="10"/>
        <v>#DIV/0!</v>
      </c>
      <c r="H26" s="85" t="e">
        <f t="shared" si="10"/>
        <v>#DIV/0!</v>
      </c>
      <c r="I26" s="85" t="e">
        <f t="shared" si="10"/>
        <v>#DIV/0!</v>
      </c>
      <c r="K26" s="268" t="s">
        <v>230</v>
      </c>
      <c r="L26" s="16">
        <f>IFERROR(VLOOKUP($K26,costs!$A$2:$I$2905,L$2,FALSE),0)</f>
        <v>0</v>
      </c>
      <c r="M26" s="16">
        <f>IFERROR(VLOOKUP($K26,costs!$A$2:$I$2905,M$2,FALSE),0)</f>
        <v>0</v>
      </c>
      <c r="N26" s="16">
        <f>IFERROR(VLOOKUP($K26,costs!$A$2:$I$2905,N$2,FALSE),0)</f>
        <v>0</v>
      </c>
      <c r="O26" s="16">
        <f>IFERROR(VLOOKUP($K26,costs!$A$2:$I$2905,O$2,FALSE),0)</f>
        <v>0</v>
      </c>
      <c r="P26" s="16">
        <f>IFERROR(VLOOKUP($K26,costs!$A$2:$I$2905,P$2,FALSE),0)</f>
        <v>0</v>
      </c>
      <c r="Q26" s="16">
        <f>IFERROR(VLOOKUP($K26,costs!$A$2:$I$2905,Q$2,FALSE),0)</f>
        <v>0</v>
      </c>
      <c r="R26" s="16">
        <f>IFERROR(VLOOKUP($K26,costs!$A$2:$I$2905,R$2,FALSE),0)</f>
        <v>0</v>
      </c>
      <c r="S26" s="16">
        <f>IFERROR(VLOOKUP($K26,costs!$A$2:$I$2905,S$2,FALSE),0)</f>
        <v>0</v>
      </c>
      <c r="U26" s="272" t="s">
        <v>317</v>
      </c>
      <c r="V26" s="16">
        <f>IFERROR(VLOOKUP($U26,costs!$A$2:$I$2905,V$2,FALSE),0)</f>
        <v>0</v>
      </c>
      <c r="W26" s="16">
        <f>IFERROR(VLOOKUP($U26,costs!$A$2:$I$2905,W$2,FALSE),0)</f>
        <v>0</v>
      </c>
      <c r="X26" s="16">
        <f>IFERROR(VLOOKUP($U26,costs!$A$2:$I$2905,X$2,FALSE),0)</f>
        <v>0</v>
      </c>
      <c r="Y26" s="16">
        <f>IFERROR(VLOOKUP($U26,costs!$A$2:$I$2905,Y$2,FALSE),0)</f>
        <v>0</v>
      </c>
      <c r="Z26" s="16">
        <f>IFERROR(VLOOKUP($U26,costs!$A$2:$I$2905,Z$2,FALSE),0)</f>
        <v>0</v>
      </c>
      <c r="AA26" s="16">
        <f>IFERROR(VLOOKUP($U26,costs!$A$2:$I$2905,AA$2,FALSE),0)</f>
        <v>0</v>
      </c>
      <c r="AB26" s="16">
        <f>IFERROR(VLOOKUP($U26,costs!$A$2:$I$2905,AB$2,FALSE),0)</f>
        <v>0</v>
      </c>
      <c r="AC26" s="16">
        <f>IFERROR(VLOOKUP($U26,costs!$A$2:$I$2905,AC$2,FALSE),0)</f>
        <v>0</v>
      </c>
      <c r="AE26" s="40" t="s">
        <v>332</v>
      </c>
      <c r="AF26" s="16">
        <f>IFERROR(VLOOKUP($AE26,costs!$A$2:$I$2905,AF$2,FALSE),0)</f>
        <v>0</v>
      </c>
      <c r="AG26" s="16">
        <f>IFERROR(VLOOKUP($AE26,costs!$A$2:$I$2905,AG$2,FALSE),0)</f>
        <v>0</v>
      </c>
      <c r="AH26" s="16">
        <f>IFERROR(VLOOKUP($AE26,costs!$A$2:$I$2905,AH$2,FALSE),0)</f>
        <v>0</v>
      </c>
      <c r="AI26" s="16">
        <f>IFERROR(VLOOKUP($AE26,costs!$A$2:$I$2905,AI$2,FALSE),0)</f>
        <v>0</v>
      </c>
      <c r="AJ26" s="16">
        <f>IFERROR(VLOOKUP($AE26,costs!$A$2:$I$2905,AJ$2,FALSE),0)</f>
        <v>0</v>
      </c>
      <c r="AK26" s="16">
        <f>IFERROR(VLOOKUP($AE26,costs!$A$2:$I$2905,AK$2,FALSE),0)</f>
        <v>0</v>
      </c>
      <c r="AL26" s="16">
        <f>IFERROR(VLOOKUP($AE26,costs!$A$2:$I$2905,AL$2,FALSE),0)</f>
        <v>0</v>
      </c>
      <c r="AM26" s="16">
        <f>IFERROR(VLOOKUP($AE26,costs!$A$2:$I$2905,AM$2,FALSE),0)</f>
        <v>0</v>
      </c>
      <c r="AO26" s="40" t="s">
        <v>2149</v>
      </c>
      <c r="AP26" s="16">
        <f>IFERROR(VLOOKUP($AO26,costs!$A$2:$I$2905,AP$2,FALSE),0)</f>
        <v>0</v>
      </c>
      <c r="AQ26" s="16">
        <f>IFERROR(VLOOKUP($AO26,costs!$A$2:$I$2905,AQ$2,FALSE),0)</f>
        <v>0</v>
      </c>
      <c r="AR26" s="16">
        <f>IFERROR(VLOOKUP($AO26,costs!$A$2:$I$2905,AR$2,FALSE),0)</f>
        <v>0</v>
      </c>
      <c r="AS26" s="16">
        <f>IFERROR(VLOOKUP($AO26,costs!$A$2:$I$2905,AS$2,FALSE),0)</f>
        <v>0</v>
      </c>
      <c r="AT26" s="16">
        <f>IFERROR(VLOOKUP($AO26,costs!$A$2:$I$2905,AT$2,FALSE),0)</f>
        <v>0</v>
      </c>
      <c r="AU26" s="16">
        <f>IFERROR(VLOOKUP($AO26,costs!$A$2:$I$2905,AU$2,FALSE),0)</f>
        <v>0</v>
      </c>
      <c r="AV26" s="16">
        <f>IFERROR(VLOOKUP($AO26,costs!$A$2:$I$2905,AV$2,FALSE),0)</f>
        <v>0</v>
      </c>
      <c r="AW26" s="16">
        <f>IFERROR(VLOOKUP($AO26,costs!$A$2:$I$2905,AW$2,FALSE),0)</f>
        <v>0</v>
      </c>
      <c r="AY26" s="272" t="s">
        <v>346</v>
      </c>
      <c r="AZ26" s="16">
        <f>IFERROR(VLOOKUP($AY26,costs!$A$2:$I$2905,AZ$2,FALSE),0)</f>
        <v>0</v>
      </c>
      <c r="BA26" s="16">
        <f>IFERROR(VLOOKUP($AY26,costs!$A$2:$I$2905,BA$2,FALSE),0)</f>
        <v>0</v>
      </c>
      <c r="BB26" s="16">
        <f>IFERROR(VLOOKUP($AY26,costs!$A$2:$I$2905,BB$2,FALSE),0)</f>
        <v>0</v>
      </c>
      <c r="BC26" s="16">
        <f>IFERROR(VLOOKUP($AY26,costs!$A$2:$I$2905,BC$2,FALSE),0)</f>
        <v>0</v>
      </c>
      <c r="BD26" s="16">
        <f>IFERROR(VLOOKUP($AY26,costs!$A$2:$I$2905,BD$2,FALSE),0)</f>
        <v>0</v>
      </c>
      <c r="BE26" s="16">
        <f>IFERROR(VLOOKUP($AY26,costs!$A$2:$I$2905,BE$2,FALSE),0)</f>
        <v>0</v>
      </c>
      <c r="BF26" s="16">
        <f>IFERROR(VLOOKUP($AY26,costs!$A$2:$I$2905,BF$2,FALSE),0)</f>
        <v>0</v>
      </c>
      <c r="BG26" s="16">
        <f>IFERROR(VLOOKUP($AY26,costs!$A$2:$I$2905,BG$2,FALSE),0)</f>
        <v>0</v>
      </c>
    </row>
    <row r="27" spans="2:59" x14ac:dyDescent="0.35">
      <c r="B27" s="190" t="s">
        <v>2029</v>
      </c>
      <c r="C27" s="85">
        <v>1</v>
      </c>
      <c r="D27" s="85" t="e">
        <f t="shared" si="10"/>
        <v>#N/A</v>
      </c>
      <c r="E27" s="85" t="e">
        <f t="shared" si="10"/>
        <v>#N/A</v>
      </c>
      <c r="F27" s="85" t="e">
        <f t="shared" si="10"/>
        <v>#N/A</v>
      </c>
      <c r="G27" s="85" t="e">
        <f t="shared" si="10"/>
        <v>#N/A</v>
      </c>
      <c r="H27" s="85" t="e">
        <f t="shared" si="10"/>
        <v>#N/A</v>
      </c>
      <c r="I27" s="85" t="e">
        <f t="shared" si="10"/>
        <v>#N/A</v>
      </c>
      <c r="K27" s="269" t="s">
        <v>260</v>
      </c>
      <c r="L27" s="16">
        <f>IFERROR(VLOOKUP($K27,costs!$A$2:$I$2905,L$2,FALSE),0)</f>
        <v>0</v>
      </c>
      <c r="M27" s="16">
        <f>IFERROR(VLOOKUP($K27,costs!$A$2:$I$2905,M$2,FALSE),0)</f>
        <v>0</v>
      </c>
      <c r="N27" s="16">
        <f>IFERROR(VLOOKUP($K27,costs!$A$2:$I$2905,N$2,FALSE),0)</f>
        <v>0</v>
      </c>
      <c r="O27" s="16">
        <f>IFERROR(VLOOKUP($K27,costs!$A$2:$I$2905,O$2,FALSE),0)</f>
        <v>0</v>
      </c>
      <c r="P27" s="16">
        <f>IFERROR(VLOOKUP($K27,costs!$A$2:$I$2905,P$2,FALSE),0)</f>
        <v>0</v>
      </c>
      <c r="Q27" s="16">
        <f>IFERROR(VLOOKUP($K27,costs!$A$2:$I$2905,Q$2,FALSE),0)</f>
        <v>0</v>
      </c>
      <c r="R27" s="16">
        <f>IFERROR(VLOOKUP($K27,costs!$A$2:$I$2905,R$2,FALSE),0)</f>
        <v>0</v>
      </c>
      <c r="S27" s="16">
        <f>IFERROR(VLOOKUP($K27,costs!$A$2:$I$2905,S$2,FALSE),0)</f>
        <v>0</v>
      </c>
      <c r="U27" s="273" t="s">
        <v>2041</v>
      </c>
      <c r="V27" s="16">
        <f>IFERROR(VLOOKUP($U27,costs!$A$2:$I$2905,V$2,FALSE),0)</f>
        <v>0</v>
      </c>
      <c r="W27" s="16">
        <f>IFERROR(VLOOKUP($U27,costs!$A$2:$I$2905,W$2,FALSE),0)</f>
        <v>0</v>
      </c>
      <c r="X27" s="16">
        <f>IFERROR(VLOOKUP($U27,costs!$A$2:$I$2905,X$2,FALSE),0)</f>
        <v>0</v>
      </c>
      <c r="Y27" s="16">
        <f>IFERROR(VLOOKUP($U27,costs!$A$2:$I$2905,Y$2,FALSE),0)</f>
        <v>0</v>
      </c>
      <c r="Z27" s="16">
        <f>IFERROR(VLOOKUP($U27,costs!$A$2:$I$2905,Z$2,FALSE),0)</f>
        <v>0</v>
      </c>
      <c r="AA27" s="16">
        <f>IFERROR(VLOOKUP($U27,costs!$A$2:$I$2905,AA$2,FALSE),0)</f>
        <v>0</v>
      </c>
      <c r="AB27" s="16">
        <f>IFERROR(VLOOKUP($U27,costs!$A$2:$I$2905,AB$2,FALSE),0)</f>
        <v>0</v>
      </c>
      <c r="AC27" s="16">
        <f>IFERROR(VLOOKUP($U27,costs!$A$2:$I$2905,AC$2,FALSE),0)</f>
        <v>0</v>
      </c>
      <c r="AE27" s="40" t="s">
        <v>336</v>
      </c>
      <c r="AF27" s="16">
        <f>IFERROR(VLOOKUP($AE27,costs!$A$2:$I$2905,AF$2,FALSE),0)</f>
        <v>0</v>
      </c>
      <c r="AG27" s="16">
        <f>IFERROR(VLOOKUP($AE27,costs!$A$2:$I$2905,AG$2,FALSE),0)</f>
        <v>0</v>
      </c>
      <c r="AH27" s="16">
        <f>IFERROR(VLOOKUP($AE27,costs!$A$2:$I$2905,AH$2,FALSE),0)</f>
        <v>0</v>
      </c>
      <c r="AI27" s="16">
        <f>IFERROR(VLOOKUP($AE27,costs!$A$2:$I$2905,AI$2,FALSE),0)</f>
        <v>0</v>
      </c>
      <c r="AJ27" s="16">
        <f>IFERROR(VLOOKUP($AE27,costs!$A$2:$I$2905,AJ$2,FALSE),0)</f>
        <v>0</v>
      </c>
      <c r="AK27" s="16">
        <f>IFERROR(VLOOKUP($AE27,costs!$A$2:$I$2905,AK$2,FALSE),0)</f>
        <v>0</v>
      </c>
      <c r="AL27" s="16">
        <f>IFERROR(VLOOKUP($AE27,costs!$A$2:$I$2905,AL$2,FALSE),0)</f>
        <v>0</v>
      </c>
      <c r="AM27" s="16">
        <f>IFERROR(VLOOKUP($AE27,costs!$A$2:$I$2905,AM$2,FALSE),0)</f>
        <v>0</v>
      </c>
      <c r="AO27" s="40" t="s">
        <v>116</v>
      </c>
      <c r="AP27" s="16">
        <f>IFERROR(VLOOKUP($AO27,costs!$A$2:$I$2905,AP$2,FALSE),0)</f>
        <v>0</v>
      </c>
      <c r="AQ27" s="16">
        <f>IFERROR(VLOOKUP($AO27,costs!$A$2:$I$2905,AQ$2,FALSE),0)</f>
        <v>0</v>
      </c>
      <c r="AR27" s="16">
        <f>IFERROR(VLOOKUP($AO27,costs!$A$2:$I$2905,AR$2,FALSE),0)</f>
        <v>0</v>
      </c>
      <c r="AS27" s="16">
        <f>IFERROR(VLOOKUP($AO27,costs!$A$2:$I$2905,AS$2,FALSE),0)</f>
        <v>0</v>
      </c>
      <c r="AT27" s="16">
        <f>IFERROR(VLOOKUP($AO27,costs!$A$2:$I$2905,AT$2,FALSE),0)</f>
        <v>0</v>
      </c>
      <c r="AU27" s="16">
        <f>IFERROR(VLOOKUP($AO27,costs!$A$2:$I$2905,AU$2,FALSE),0)</f>
        <v>0</v>
      </c>
      <c r="AV27" s="16">
        <f>IFERROR(VLOOKUP($AO27,costs!$A$2:$I$2905,AV$2,FALSE),0)</f>
        <v>0</v>
      </c>
      <c r="AW27" s="16">
        <f>IFERROR(VLOOKUP($AO27,costs!$A$2:$I$2905,AW$2,FALSE),0)</f>
        <v>0</v>
      </c>
      <c r="AY27" s="273" t="s">
        <v>310</v>
      </c>
      <c r="AZ27" s="16">
        <f>IFERROR(VLOOKUP($AY27,costs!$A$2:$I$2905,AZ$2,FALSE),0)</f>
        <v>0</v>
      </c>
      <c r="BA27" s="16">
        <f>IFERROR(VLOOKUP($AY27,costs!$A$2:$I$2905,BA$2,FALSE),0)</f>
        <v>0</v>
      </c>
      <c r="BB27" s="16">
        <f>IFERROR(VLOOKUP($AY27,costs!$A$2:$I$2905,BB$2,FALSE),0)</f>
        <v>0</v>
      </c>
      <c r="BC27" s="16">
        <f>IFERROR(VLOOKUP($AY27,costs!$A$2:$I$2905,BC$2,FALSE),0)</f>
        <v>0</v>
      </c>
      <c r="BD27" s="16">
        <f>IFERROR(VLOOKUP($AY27,costs!$A$2:$I$2905,BD$2,FALSE),0)</f>
        <v>0</v>
      </c>
      <c r="BE27" s="16">
        <f>IFERROR(VLOOKUP($AY27,costs!$A$2:$I$2905,BE$2,FALSE),0)</f>
        <v>0</v>
      </c>
      <c r="BF27" s="16">
        <f>IFERROR(VLOOKUP($AY27,costs!$A$2:$I$2905,BF$2,FALSE),0)</f>
        <v>0</v>
      </c>
      <c r="BG27" s="16">
        <f>IFERROR(VLOOKUP($AY27,costs!$A$2:$I$2905,BG$2,FALSE),0)</f>
        <v>0</v>
      </c>
    </row>
    <row r="28" spans="2:59" x14ac:dyDescent="0.35">
      <c r="B28" s="190" t="s">
        <v>1314</v>
      </c>
      <c r="C28" s="85">
        <v>1</v>
      </c>
      <c r="D28" s="85" t="e">
        <f t="shared" si="10"/>
        <v>#N/A</v>
      </c>
      <c r="E28" s="85" t="e">
        <f t="shared" si="10"/>
        <v>#N/A</v>
      </c>
      <c r="F28" s="85" t="e">
        <f t="shared" si="10"/>
        <v>#N/A</v>
      </c>
      <c r="G28" s="85" t="e">
        <f t="shared" si="10"/>
        <v>#N/A</v>
      </c>
      <c r="H28" s="85" t="e">
        <f t="shared" si="10"/>
        <v>#N/A</v>
      </c>
      <c r="I28" s="85" t="e">
        <f t="shared" si="10"/>
        <v>#N/A</v>
      </c>
      <c r="K28" s="268" t="s">
        <v>261</v>
      </c>
      <c r="L28" s="16">
        <f>IFERROR(VLOOKUP($K28,costs!$A$2:$I$2905,L$2,FALSE),0)</f>
        <v>0</v>
      </c>
      <c r="M28" s="16">
        <f>IFERROR(VLOOKUP($K28,costs!$A$2:$I$2905,M$2,FALSE),0)</f>
        <v>0</v>
      </c>
      <c r="N28" s="16">
        <f>IFERROR(VLOOKUP($K28,costs!$A$2:$I$2905,N$2,FALSE),0)</f>
        <v>0</v>
      </c>
      <c r="O28" s="16">
        <f>IFERROR(VLOOKUP($K28,costs!$A$2:$I$2905,O$2,FALSE),0)</f>
        <v>0</v>
      </c>
      <c r="P28" s="16">
        <f>IFERROR(VLOOKUP($K28,costs!$A$2:$I$2905,P$2,FALSE),0)</f>
        <v>0</v>
      </c>
      <c r="Q28" s="16">
        <f>IFERROR(VLOOKUP($K28,costs!$A$2:$I$2905,Q$2,FALSE),0)</f>
        <v>0</v>
      </c>
      <c r="R28" s="16">
        <f>IFERROR(VLOOKUP($K28,costs!$A$2:$I$2905,R$2,FALSE),0)</f>
        <v>0</v>
      </c>
      <c r="S28" s="16">
        <f>IFERROR(VLOOKUP($K28,costs!$A$2:$I$2905,S$2,FALSE),0)</f>
        <v>0</v>
      </c>
      <c r="U28" s="272" t="s">
        <v>339</v>
      </c>
      <c r="V28" s="16">
        <f>IFERROR(VLOOKUP($U28,costs!$A$2:$I$2905,V$2,FALSE),0)</f>
        <v>0</v>
      </c>
      <c r="W28" s="16">
        <f>IFERROR(VLOOKUP($U28,costs!$A$2:$I$2905,W$2,FALSE),0)</f>
        <v>0</v>
      </c>
      <c r="X28" s="16">
        <f>IFERROR(VLOOKUP($U28,costs!$A$2:$I$2905,X$2,FALSE),0)</f>
        <v>0</v>
      </c>
      <c r="Y28" s="16">
        <f>IFERROR(VLOOKUP($U28,costs!$A$2:$I$2905,Y$2,FALSE),0)</f>
        <v>0</v>
      </c>
      <c r="Z28" s="16">
        <f>IFERROR(VLOOKUP($U28,costs!$A$2:$I$2905,Z$2,FALSE),0)</f>
        <v>0</v>
      </c>
      <c r="AA28" s="16">
        <f>IFERROR(VLOOKUP($U28,costs!$A$2:$I$2905,AA$2,FALSE),0)</f>
        <v>0</v>
      </c>
      <c r="AB28" s="16">
        <f>IFERROR(VLOOKUP($U28,costs!$A$2:$I$2905,AB$2,FALSE),0)</f>
        <v>0</v>
      </c>
      <c r="AC28" s="16">
        <f>IFERROR(VLOOKUP($U28,costs!$A$2:$I$2905,AC$2,FALSE),0)</f>
        <v>0</v>
      </c>
      <c r="AE28" s="40" t="s">
        <v>328</v>
      </c>
      <c r="AF28" s="16">
        <f>IFERROR(VLOOKUP($AE28,costs!$A$2:$I$2905,AF$2,FALSE),0)</f>
        <v>0</v>
      </c>
      <c r="AG28" s="16">
        <f>IFERROR(VLOOKUP($AE28,costs!$A$2:$I$2905,AG$2,FALSE),0)</f>
        <v>0</v>
      </c>
      <c r="AH28" s="16">
        <f>IFERROR(VLOOKUP($AE28,costs!$A$2:$I$2905,AH$2,FALSE),0)</f>
        <v>0</v>
      </c>
      <c r="AI28" s="16">
        <f>IFERROR(VLOOKUP($AE28,costs!$A$2:$I$2905,AI$2,FALSE),0)</f>
        <v>0</v>
      </c>
      <c r="AJ28" s="16">
        <f>IFERROR(VLOOKUP($AE28,costs!$A$2:$I$2905,AJ$2,FALSE),0)</f>
        <v>0</v>
      </c>
      <c r="AK28" s="16">
        <f>IFERROR(VLOOKUP($AE28,costs!$A$2:$I$2905,AK$2,FALSE),0)</f>
        <v>0</v>
      </c>
      <c r="AL28" s="16">
        <f>IFERROR(VLOOKUP($AE28,costs!$A$2:$I$2905,AL$2,FALSE),0)</f>
        <v>0</v>
      </c>
      <c r="AM28" s="16">
        <f>IFERROR(VLOOKUP($AE28,costs!$A$2:$I$2905,AM$2,FALSE),0)</f>
        <v>0</v>
      </c>
      <c r="AO28" s="40" t="s">
        <v>206</v>
      </c>
      <c r="AP28" s="16">
        <f>IFERROR(VLOOKUP($AO28,costs!$A$2:$I$2905,AP$2,FALSE),0)</f>
        <v>0</v>
      </c>
      <c r="AQ28" s="16">
        <f>IFERROR(VLOOKUP($AO28,costs!$A$2:$I$2905,AQ$2,FALSE),0)</f>
        <v>0</v>
      </c>
      <c r="AR28" s="16">
        <f>IFERROR(VLOOKUP($AO28,costs!$A$2:$I$2905,AR$2,FALSE),0)</f>
        <v>0</v>
      </c>
      <c r="AS28" s="16">
        <f>IFERROR(VLOOKUP($AO28,costs!$A$2:$I$2905,AS$2,FALSE),0)</f>
        <v>0</v>
      </c>
      <c r="AT28" s="16">
        <f>IFERROR(VLOOKUP($AO28,costs!$A$2:$I$2905,AT$2,FALSE),0)</f>
        <v>0</v>
      </c>
      <c r="AU28" s="16">
        <f>IFERROR(VLOOKUP($AO28,costs!$A$2:$I$2905,AU$2,FALSE),0)</f>
        <v>0</v>
      </c>
      <c r="AV28" s="16">
        <f>IFERROR(VLOOKUP($AO28,costs!$A$2:$I$2905,AV$2,FALSE),0)</f>
        <v>0</v>
      </c>
      <c r="AW28" s="16">
        <f>IFERROR(VLOOKUP($AO28,costs!$A$2:$I$2905,AW$2,FALSE),0)</f>
        <v>0</v>
      </c>
      <c r="AY28" s="272" t="s">
        <v>311</v>
      </c>
      <c r="AZ28" s="16">
        <f>IFERROR(VLOOKUP($AY28,costs!$A$2:$I$2905,AZ$2,FALSE),0)</f>
        <v>0</v>
      </c>
      <c r="BA28" s="16">
        <f>IFERROR(VLOOKUP($AY28,costs!$A$2:$I$2905,BA$2,FALSE),0)</f>
        <v>0</v>
      </c>
      <c r="BB28" s="16">
        <f>IFERROR(VLOOKUP($AY28,costs!$A$2:$I$2905,BB$2,FALSE),0)</f>
        <v>0</v>
      </c>
      <c r="BC28" s="16">
        <f>IFERROR(VLOOKUP($AY28,costs!$A$2:$I$2905,BC$2,FALSE),0)</f>
        <v>0</v>
      </c>
      <c r="BD28" s="16">
        <f>IFERROR(VLOOKUP($AY28,costs!$A$2:$I$2905,BD$2,FALSE),0)</f>
        <v>0</v>
      </c>
      <c r="BE28" s="16">
        <f>IFERROR(VLOOKUP($AY28,costs!$A$2:$I$2905,BE$2,FALSE),0)</f>
        <v>0</v>
      </c>
      <c r="BF28" s="16">
        <f>IFERROR(VLOOKUP($AY28,costs!$A$2:$I$2905,BF$2,FALSE),0)</f>
        <v>0</v>
      </c>
      <c r="BG28" s="16">
        <f>IFERROR(VLOOKUP($AY28,costs!$A$2:$I$2905,BG$2,FALSE),0)</f>
        <v>0</v>
      </c>
    </row>
    <row r="29" spans="2:59" x14ac:dyDescent="0.35">
      <c r="B29" s="190" t="s">
        <v>2028</v>
      </c>
      <c r="C29" s="85">
        <v>1</v>
      </c>
      <c r="D29" s="85" t="e">
        <f t="shared" si="10"/>
        <v>#DIV/0!</v>
      </c>
      <c r="E29" s="85" t="e">
        <f t="shared" si="10"/>
        <v>#DIV/0!</v>
      </c>
      <c r="F29" s="85" t="e">
        <f t="shared" si="10"/>
        <v>#DIV/0!</v>
      </c>
      <c r="G29" s="85" t="e">
        <f t="shared" si="10"/>
        <v>#DIV/0!</v>
      </c>
      <c r="H29" s="85" t="e">
        <f t="shared" si="10"/>
        <v>#DIV/0!</v>
      </c>
      <c r="I29" s="85" t="e">
        <f t="shared" si="10"/>
        <v>#DIV/0!</v>
      </c>
      <c r="K29" s="269" t="s">
        <v>270</v>
      </c>
      <c r="L29" s="16">
        <f>IFERROR(VLOOKUP($K29,costs!$A$2:$I$2905,L$2,FALSE),0)</f>
        <v>0</v>
      </c>
      <c r="M29" s="16">
        <f>IFERROR(VLOOKUP($K29,costs!$A$2:$I$2905,M$2,FALSE),0)</f>
        <v>0</v>
      </c>
      <c r="N29" s="16">
        <f>IFERROR(VLOOKUP($K29,costs!$A$2:$I$2905,N$2,FALSE),0)</f>
        <v>0</v>
      </c>
      <c r="O29" s="16">
        <f>IFERROR(VLOOKUP($K29,costs!$A$2:$I$2905,O$2,FALSE),0)</f>
        <v>0</v>
      </c>
      <c r="P29" s="16">
        <f>IFERROR(VLOOKUP($K29,costs!$A$2:$I$2905,P$2,FALSE),0)</f>
        <v>0</v>
      </c>
      <c r="Q29" s="16">
        <f>IFERROR(VLOOKUP($K29,costs!$A$2:$I$2905,Q$2,FALSE),0)</f>
        <v>0</v>
      </c>
      <c r="R29" s="16">
        <f>IFERROR(VLOOKUP($K29,costs!$A$2:$I$2905,R$2,FALSE),0)</f>
        <v>0</v>
      </c>
      <c r="S29" s="16">
        <f>IFERROR(VLOOKUP($K29,costs!$A$2:$I$2905,S$2,FALSE),0)</f>
        <v>0</v>
      </c>
      <c r="U29" s="273" t="s">
        <v>2042</v>
      </c>
      <c r="V29" s="16">
        <f>IFERROR(VLOOKUP($U29,costs!$A$2:$I$2905,V$2,FALSE),0)</f>
        <v>0</v>
      </c>
      <c r="W29" s="16">
        <f>IFERROR(VLOOKUP($U29,costs!$A$2:$I$2905,W$2,FALSE),0)</f>
        <v>0</v>
      </c>
      <c r="X29" s="16">
        <f>IFERROR(VLOOKUP($U29,costs!$A$2:$I$2905,X$2,FALSE),0)</f>
        <v>0</v>
      </c>
      <c r="Y29" s="16">
        <f>IFERROR(VLOOKUP($U29,costs!$A$2:$I$2905,Y$2,FALSE),0)</f>
        <v>0</v>
      </c>
      <c r="Z29" s="16">
        <f>IFERROR(VLOOKUP($U29,costs!$A$2:$I$2905,Z$2,FALSE),0)</f>
        <v>0</v>
      </c>
      <c r="AA29" s="16">
        <f>IFERROR(VLOOKUP($U29,costs!$A$2:$I$2905,AA$2,FALSE),0)</f>
        <v>0</v>
      </c>
      <c r="AB29" s="16">
        <f>IFERROR(VLOOKUP($U29,costs!$A$2:$I$2905,AB$2,FALSE),0)</f>
        <v>0</v>
      </c>
      <c r="AC29" s="16">
        <f>IFERROR(VLOOKUP($U29,costs!$A$2:$I$2905,AC$2,FALSE),0)</f>
        <v>0</v>
      </c>
      <c r="AE29" s="40" t="s">
        <v>327</v>
      </c>
      <c r="AF29" s="16">
        <f>IFERROR(VLOOKUP($AE29,costs!$A$2:$I$2905,AF$2,FALSE),0)</f>
        <v>0</v>
      </c>
      <c r="AG29" s="16">
        <f>IFERROR(VLOOKUP($AE29,costs!$A$2:$I$2905,AG$2,FALSE),0)</f>
        <v>0</v>
      </c>
      <c r="AH29" s="16">
        <f>IFERROR(VLOOKUP($AE29,costs!$A$2:$I$2905,AH$2,FALSE),0)</f>
        <v>0</v>
      </c>
      <c r="AI29" s="16">
        <f>IFERROR(VLOOKUP($AE29,costs!$A$2:$I$2905,AI$2,FALSE),0)</f>
        <v>0</v>
      </c>
      <c r="AJ29" s="16">
        <f>IFERROR(VLOOKUP($AE29,costs!$A$2:$I$2905,AJ$2,FALSE),0)</f>
        <v>0</v>
      </c>
      <c r="AK29" s="16">
        <f>IFERROR(VLOOKUP($AE29,costs!$A$2:$I$2905,AK$2,FALSE),0)</f>
        <v>0</v>
      </c>
      <c r="AL29" s="16">
        <f>IFERROR(VLOOKUP($AE29,costs!$A$2:$I$2905,AL$2,FALSE),0)</f>
        <v>0</v>
      </c>
      <c r="AM29" s="16">
        <f>IFERROR(VLOOKUP($AE29,costs!$A$2:$I$2905,AM$2,FALSE),0)</f>
        <v>0</v>
      </c>
      <c r="AO29" s="40" t="s">
        <v>223</v>
      </c>
      <c r="AP29" s="16">
        <f>IFERROR(VLOOKUP($AO29,costs!$A$2:$I$2905,AP$2,FALSE),0)</f>
        <v>0</v>
      </c>
      <c r="AQ29" s="16">
        <f>IFERROR(VLOOKUP($AO29,costs!$A$2:$I$2905,AQ$2,FALSE),0)</f>
        <v>0</v>
      </c>
      <c r="AR29" s="16">
        <f>IFERROR(VLOOKUP($AO29,costs!$A$2:$I$2905,AR$2,FALSE),0)</f>
        <v>0</v>
      </c>
      <c r="AS29" s="16">
        <f>IFERROR(VLOOKUP($AO29,costs!$A$2:$I$2905,AS$2,FALSE),0)</f>
        <v>0</v>
      </c>
      <c r="AT29" s="16">
        <f>IFERROR(VLOOKUP($AO29,costs!$A$2:$I$2905,AT$2,FALSE),0)</f>
        <v>0</v>
      </c>
      <c r="AU29" s="16">
        <f>IFERROR(VLOOKUP($AO29,costs!$A$2:$I$2905,AU$2,FALSE),0)</f>
        <v>0</v>
      </c>
      <c r="AV29" s="16">
        <f>IFERROR(VLOOKUP($AO29,costs!$A$2:$I$2905,AV$2,FALSE),0)</f>
        <v>0</v>
      </c>
      <c r="AW29" s="16">
        <f>IFERROR(VLOOKUP($AO29,costs!$A$2:$I$2905,AW$2,FALSE),0)</f>
        <v>0</v>
      </c>
      <c r="AY29" s="273" t="s">
        <v>302</v>
      </c>
      <c r="AZ29" s="16">
        <f>IFERROR(VLOOKUP($AY29,costs!$A$2:$I$2905,AZ$2,FALSE),0)</f>
        <v>0</v>
      </c>
      <c r="BA29" s="16">
        <f>IFERROR(VLOOKUP($AY29,costs!$A$2:$I$2905,BA$2,FALSE),0)</f>
        <v>0</v>
      </c>
      <c r="BB29" s="16">
        <f>IFERROR(VLOOKUP($AY29,costs!$A$2:$I$2905,BB$2,FALSE),0)</f>
        <v>0</v>
      </c>
      <c r="BC29" s="16">
        <f>IFERROR(VLOOKUP($AY29,costs!$A$2:$I$2905,BC$2,FALSE),0)</f>
        <v>0</v>
      </c>
      <c r="BD29" s="16">
        <f>IFERROR(VLOOKUP($AY29,costs!$A$2:$I$2905,BD$2,FALSE),0)</f>
        <v>0</v>
      </c>
      <c r="BE29" s="16">
        <f>IFERROR(VLOOKUP($AY29,costs!$A$2:$I$2905,BE$2,FALSE),0)</f>
        <v>0</v>
      </c>
      <c r="BF29" s="16">
        <f>IFERROR(VLOOKUP($AY29,costs!$A$2:$I$2905,BF$2,FALSE),0)</f>
        <v>0</v>
      </c>
      <c r="BG29" s="16">
        <f>IFERROR(VLOOKUP($AY29,costs!$A$2:$I$2905,BG$2,FALSE),0)</f>
        <v>0</v>
      </c>
    </row>
    <row r="30" spans="2:59" x14ac:dyDescent="0.35">
      <c r="B30" s="190" t="s">
        <v>2030</v>
      </c>
      <c r="C30" s="85">
        <v>1</v>
      </c>
      <c r="D30" s="85" t="e">
        <f t="shared" si="10"/>
        <v>#DIV/0!</v>
      </c>
      <c r="E30" s="85" t="e">
        <f t="shared" si="10"/>
        <v>#DIV/0!</v>
      </c>
      <c r="F30" s="85" t="e">
        <f t="shared" si="10"/>
        <v>#DIV/0!</v>
      </c>
      <c r="G30" s="85" t="e">
        <f t="shared" si="10"/>
        <v>#DIV/0!</v>
      </c>
      <c r="H30" s="85" t="e">
        <f t="shared" si="10"/>
        <v>#DIV/0!</v>
      </c>
      <c r="I30" s="85" t="e">
        <f t="shared" si="10"/>
        <v>#DIV/0!</v>
      </c>
      <c r="K30" s="268" t="s">
        <v>271</v>
      </c>
      <c r="L30" s="16">
        <f>IFERROR(VLOOKUP($K30,costs!$A$2:$I$2905,L$2,FALSE),0)</f>
        <v>0</v>
      </c>
      <c r="M30" s="16">
        <f>IFERROR(VLOOKUP($K30,costs!$A$2:$I$2905,M$2,FALSE),0)</f>
        <v>0</v>
      </c>
      <c r="N30" s="16">
        <f>IFERROR(VLOOKUP($K30,costs!$A$2:$I$2905,N$2,FALSE),0)</f>
        <v>0</v>
      </c>
      <c r="O30" s="16">
        <f>IFERROR(VLOOKUP($K30,costs!$A$2:$I$2905,O$2,FALSE),0)</f>
        <v>0</v>
      </c>
      <c r="P30" s="16">
        <f>IFERROR(VLOOKUP($K30,costs!$A$2:$I$2905,P$2,FALSE),0)</f>
        <v>0</v>
      </c>
      <c r="Q30" s="16">
        <f>IFERROR(VLOOKUP($K30,costs!$A$2:$I$2905,Q$2,FALSE),0)</f>
        <v>0</v>
      </c>
      <c r="R30" s="16">
        <f>IFERROR(VLOOKUP($K30,costs!$A$2:$I$2905,R$2,FALSE),0)</f>
        <v>0</v>
      </c>
      <c r="S30" s="16">
        <f>IFERROR(VLOOKUP($K30,costs!$A$2:$I$2905,S$2,FALSE),0)</f>
        <v>0</v>
      </c>
      <c r="U30" s="272" t="s">
        <v>500</v>
      </c>
      <c r="V30" s="16">
        <f>IFERROR(VLOOKUP($U30,costs!$A$2:$I$2905,V$2,FALSE),0)</f>
        <v>0</v>
      </c>
      <c r="W30" s="16">
        <f>IFERROR(VLOOKUP($U30,costs!$A$2:$I$2905,W$2,FALSE),0)</f>
        <v>0</v>
      </c>
      <c r="X30" s="16">
        <f>IFERROR(VLOOKUP($U30,costs!$A$2:$I$2905,X$2,FALSE),0)</f>
        <v>0</v>
      </c>
      <c r="Y30" s="16">
        <f>IFERROR(VLOOKUP($U30,costs!$A$2:$I$2905,Y$2,FALSE),0)</f>
        <v>0</v>
      </c>
      <c r="Z30" s="16">
        <f>IFERROR(VLOOKUP($U30,costs!$A$2:$I$2905,Z$2,FALSE),0)</f>
        <v>0</v>
      </c>
      <c r="AA30" s="16">
        <f>IFERROR(VLOOKUP($U30,costs!$A$2:$I$2905,AA$2,FALSE),0)</f>
        <v>0</v>
      </c>
      <c r="AB30" s="16">
        <f>IFERROR(VLOOKUP($U30,costs!$A$2:$I$2905,AB$2,FALSE),0)</f>
        <v>0</v>
      </c>
      <c r="AC30" s="16">
        <f>IFERROR(VLOOKUP($U30,costs!$A$2:$I$2905,AC$2,FALSE),0)</f>
        <v>0</v>
      </c>
      <c r="AE30" s="40" t="s">
        <v>334</v>
      </c>
      <c r="AF30" s="16">
        <f>IFERROR(VLOOKUP($AE30,costs!$A$2:$I$2905,AF$2,FALSE),0)</f>
        <v>0</v>
      </c>
      <c r="AG30" s="16">
        <f>IFERROR(VLOOKUP($AE30,costs!$A$2:$I$2905,AG$2,FALSE),0)</f>
        <v>0</v>
      </c>
      <c r="AH30" s="16">
        <f>IFERROR(VLOOKUP($AE30,costs!$A$2:$I$2905,AH$2,FALSE),0)</f>
        <v>0</v>
      </c>
      <c r="AI30" s="16">
        <f>IFERROR(VLOOKUP($AE30,costs!$A$2:$I$2905,AI$2,FALSE),0)</f>
        <v>0</v>
      </c>
      <c r="AJ30" s="16">
        <f>IFERROR(VLOOKUP($AE30,costs!$A$2:$I$2905,AJ$2,FALSE),0)</f>
        <v>0</v>
      </c>
      <c r="AK30" s="16">
        <f>IFERROR(VLOOKUP($AE30,costs!$A$2:$I$2905,AK$2,FALSE),0)</f>
        <v>0</v>
      </c>
      <c r="AL30" s="16">
        <f>IFERROR(VLOOKUP($AE30,costs!$A$2:$I$2905,AL$2,FALSE),0)</f>
        <v>0</v>
      </c>
      <c r="AM30" s="16">
        <f>IFERROR(VLOOKUP($AE30,costs!$A$2:$I$2905,AM$2,FALSE),0)</f>
        <v>0</v>
      </c>
      <c r="AO30" s="40" t="s">
        <v>518</v>
      </c>
      <c r="AP30" s="16">
        <f>IFERROR(VLOOKUP($AO30,costs!$A$2:$I$2905,AP$2,FALSE),0)</f>
        <v>0</v>
      </c>
      <c r="AQ30" s="16">
        <f>IFERROR(VLOOKUP($AO30,costs!$A$2:$I$2905,AQ$2,FALSE),0)</f>
        <v>0</v>
      </c>
      <c r="AR30" s="16">
        <f>IFERROR(VLOOKUP($AO30,costs!$A$2:$I$2905,AR$2,FALSE),0)</f>
        <v>0</v>
      </c>
      <c r="AS30" s="16">
        <f>IFERROR(VLOOKUP($AO30,costs!$A$2:$I$2905,AS$2,FALSE),0)</f>
        <v>0</v>
      </c>
      <c r="AT30" s="16">
        <f>IFERROR(VLOOKUP($AO30,costs!$A$2:$I$2905,AT$2,FALSE),0)</f>
        <v>0</v>
      </c>
      <c r="AU30" s="16">
        <f>IFERROR(VLOOKUP($AO30,costs!$A$2:$I$2905,AU$2,FALSE),0)</f>
        <v>0</v>
      </c>
      <c r="AV30" s="16">
        <f>IFERROR(VLOOKUP($AO30,costs!$A$2:$I$2905,AV$2,FALSE),0)</f>
        <v>0</v>
      </c>
      <c r="AW30" s="16">
        <f>IFERROR(VLOOKUP($AO30,costs!$A$2:$I$2905,AW$2,FALSE),0)</f>
        <v>0</v>
      </c>
      <c r="AY30" s="272" t="s">
        <v>2084</v>
      </c>
      <c r="AZ30" s="16">
        <f>IFERROR(VLOOKUP($AY30,costs!$A$2:$I$2905,AZ$2,FALSE),0)</f>
        <v>0</v>
      </c>
      <c r="BA30" s="16">
        <f>IFERROR(VLOOKUP($AY30,costs!$A$2:$I$2905,BA$2,FALSE),0)</f>
        <v>0</v>
      </c>
      <c r="BB30" s="16">
        <f>IFERROR(VLOOKUP($AY30,costs!$A$2:$I$2905,BB$2,FALSE),0)</f>
        <v>0</v>
      </c>
      <c r="BC30" s="16">
        <f>IFERROR(VLOOKUP($AY30,costs!$A$2:$I$2905,BC$2,FALSE),0)</f>
        <v>0</v>
      </c>
      <c r="BD30" s="16">
        <f>IFERROR(VLOOKUP($AY30,costs!$A$2:$I$2905,BD$2,FALSE),0)</f>
        <v>0</v>
      </c>
      <c r="BE30" s="16">
        <f>IFERROR(VLOOKUP($AY30,costs!$A$2:$I$2905,BE$2,FALSE),0)</f>
        <v>0</v>
      </c>
      <c r="BF30" s="16">
        <f>IFERROR(VLOOKUP($AY30,costs!$A$2:$I$2905,BF$2,FALSE),0)</f>
        <v>0</v>
      </c>
      <c r="BG30" s="16">
        <f>IFERROR(VLOOKUP($AY30,costs!$A$2:$I$2905,BG$2,FALSE),0)</f>
        <v>0</v>
      </c>
    </row>
    <row r="31" spans="2:59" x14ac:dyDescent="0.35">
      <c r="B31" s="341" t="s">
        <v>2288</v>
      </c>
      <c r="C31" s="85">
        <v>1</v>
      </c>
      <c r="D31" s="85" t="e">
        <f t="shared" ref="D31:I32" si="11">D10/$C10</f>
        <v>#DIV/0!</v>
      </c>
      <c r="E31" s="85" t="e">
        <f t="shared" si="11"/>
        <v>#DIV/0!</v>
      </c>
      <c r="F31" s="85" t="e">
        <f t="shared" si="11"/>
        <v>#DIV/0!</v>
      </c>
      <c r="G31" s="85" t="e">
        <f t="shared" si="11"/>
        <v>#DIV/0!</v>
      </c>
      <c r="H31" s="85" t="e">
        <f t="shared" si="11"/>
        <v>#DIV/0!</v>
      </c>
      <c r="I31" s="85" t="e">
        <f t="shared" si="11"/>
        <v>#DIV/0!</v>
      </c>
      <c r="K31" s="268" t="s">
        <v>442</v>
      </c>
      <c r="L31" s="16">
        <f>IFERROR(VLOOKUP($K31,costs!$A$2:$I$2905,L$2,FALSE),0)</f>
        <v>0</v>
      </c>
      <c r="M31" s="16">
        <f>IFERROR(VLOOKUP($K31,costs!$A$2:$I$2905,M$2,FALSE),0)</f>
        <v>0</v>
      </c>
      <c r="N31" s="16">
        <f>IFERROR(VLOOKUP($K31,costs!$A$2:$I$2905,N$2,FALSE),0)</f>
        <v>0</v>
      </c>
      <c r="O31" s="16">
        <f>IFERROR(VLOOKUP($K31,costs!$A$2:$I$2905,O$2,FALSE),0)</f>
        <v>0</v>
      </c>
      <c r="P31" s="16">
        <f>IFERROR(VLOOKUP($K31,costs!$A$2:$I$2905,P$2,FALSE),0)</f>
        <v>0</v>
      </c>
      <c r="Q31" s="16">
        <f>IFERROR(VLOOKUP($K31,costs!$A$2:$I$2905,Q$2,FALSE),0)</f>
        <v>0</v>
      </c>
      <c r="R31" s="16">
        <f>IFERROR(VLOOKUP($K31,costs!$A$2:$I$2905,R$2,FALSE),0)</f>
        <v>0</v>
      </c>
      <c r="S31" s="16">
        <f>IFERROR(VLOOKUP($K31,costs!$A$2:$I$2905,S$2,FALSE),0)</f>
        <v>0</v>
      </c>
      <c r="U31" s="273" t="s">
        <v>501</v>
      </c>
      <c r="V31" s="16">
        <f>IFERROR(VLOOKUP($U31,costs!$A$2:$I$2905,V$2,FALSE),0)</f>
        <v>0</v>
      </c>
      <c r="W31" s="16">
        <f>IFERROR(VLOOKUP($U31,costs!$A$2:$I$2905,W$2,FALSE),0)</f>
        <v>0</v>
      </c>
      <c r="X31" s="16">
        <f>IFERROR(VLOOKUP($U31,costs!$A$2:$I$2905,X$2,FALSE),0)</f>
        <v>0</v>
      </c>
      <c r="Y31" s="16">
        <f>IFERROR(VLOOKUP($U31,costs!$A$2:$I$2905,Y$2,FALSE),0)</f>
        <v>0</v>
      </c>
      <c r="Z31" s="16">
        <f>IFERROR(VLOOKUP($U31,costs!$A$2:$I$2905,Z$2,FALSE),0)</f>
        <v>0</v>
      </c>
      <c r="AA31" s="16">
        <f>IFERROR(VLOOKUP($U31,costs!$A$2:$I$2905,AA$2,FALSE),0)</f>
        <v>0</v>
      </c>
      <c r="AB31" s="16">
        <f>IFERROR(VLOOKUP($U31,costs!$A$2:$I$2905,AB$2,FALSE),0)</f>
        <v>0</v>
      </c>
      <c r="AC31" s="16">
        <f>IFERROR(VLOOKUP($U31,costs!$A$2:$I$2905,AC$2,FALSE),0)</f>
        <v>0</v>
      </c>
      <c r="AE31" s="40" t="s">
        <v>337</v>
      </c>
      <c r="AF31" s="16">
        <f>IFERROR(VLOOKUP($AE31,costs!$A$2:$I$2905,AF$2,FALSE),0)</f>
        <v>0</v>
      </c>
      <c r="AG31" s="16">
        <f>IFERROR(VLOOKUP($AE31,costs!$A$2:$I$2905,AG$2,FALSE),0)</f>
        <v>0</v>
      </c>
      <c r="AH31" s="16">
        <f>IFERROR(VLOOKUP($AE31,costs!$A$2:$I$2905,AH$2,FALSE),0)</f>
        <v>0</v>
      </c>
      <c r="AI31" s="16">
        <f>IFERROR(VLOOKUP($AE31,costs!$A$2:$I$2905,AI$2,FALSE),0)</f>
        <v>0</v>
      </c>
      <c r="AJ31" s="16">
        <f>IFERROR(VLOOKUP($AE31,costs!$A$2:$I$2905,AJ$2,FALSE),0)</f>
        <v>0</v>
      </c>
      <c r="AK31" s="16">
        <f>IFERROR(VLOOKUP($AE31,costs!$A$2:$I$2905,AK$2,FALSE),0)</f>
        <v>0</v>
      </c>
      <c r="AL31" s="16">
        <f>IFERROR(VLOOKUP($AE31,costs!$A$2:$I$2905,AL$2,FALSE),0)</f>
        <v>0</v>
      </c>
      <c r="AM31" s="16">
        <f>IFERROR(VLOOKUP($AE31,costs!$A$2:$I$2905,AM$2,FALSE),0)</f>
        <v>0</v>
      </c>
      <c r="AO31" s="40" t="s">
        <v>466</v>
      </c>
      <c r="AP31" s="16">
        <f>IFERROR(VLOOKUP($AO31,costs!$A$2:$I$2905,AP$2,FALSE),0)</f>
        <v>0</v>
      </c>
      <c r="AQ31" s="16">
        <f>IFERROR(VLOOKUP($AO31,costs!$A$2:$I$2905,AQ$2,FALSE),0)</f>
        <v>0</v>
      </c>
      <c r="AR31" s="16">
        <f>IFERROR(VLOOKUP($AO31,costs!$A$2:$I$2905,AR$2,FALSE),0)</f>
        <v>0</v>
      </c>
      <c r="AS31" s="16">
        <f>IFERROR(VLOOKUP($AO31,costs!$A$2:$I$2905,AS$2,FALSE),0)</f>
        <v>0</v>
      </c>
      <c r="AT31" s="16">
        <f>IFERROR(VLOOKUP($AO31,costs!$A$2:$I$2905,AT$2,FALSE),0)</f>
        <v>0</v>
      </c>
      <c r="AU31" s="16">
        <f>IFERROR(VLOOKUP($AO31,costs!$A$2:$I$2905,AU$2,FALSE),0)</f>
        <v>0</v>
      </c>
      <c r="AV31" s="16">
        <f>IFERROR(VLOOKUP($AO31,costs!$A$2:$I$2905,AV$2,FALSE),0)</f>
        <v>0</v>
      </c>
      <c r="AW31" s="16">
        <f>IFERROR(VLOOKUP($AO31,costs!$A$2:$I$2905,AW$2,FALSE),0)</f>
        <v>0</v>
      </c>
      <c r="AY31" s="273" t="s">
        <v>303</v>
      </c>
      <c r="AZ31" s="16">
        <f>IFERROR(VLOOKUP($AY31,costs!$A$2:$I$2905,AZ$2,FALSE),0)</f>
        <v>0</v>
      </c>
      <c r="BA31" s="16">
        <f>IFERROR(VLOOKUP($AY31,costs!$A$2:$I$2905,BA$2,FALSE),0)</f>
        <v>0</v>
      </c>
      <c r="BB31" s="16">
        <f>IFERROR(VLOOKUP($AY31,costs!$A$2:$I$2905,BB$2,FALSE),0)</f>
        <v>0</v>
      </c>
      <c r="BC31" s="16">
        <f>IFERROR(VLOOKUP($AY31,costs!$A$2:$I$2905,BC$2,FALSE),0)</f>
        <v>0</v>
      </c>
      <c r="BD31" s="16">
        <f>IFERROR(VLOOKUP($AY31,costs!$A$2:$I$2905,BD$2,FALSE),0)</f>
        <v>0</v>
      </c>
      <c r="BE31" s="16">
        <f>IFERROR(VLOOKUP($AY31,costs!$A$2:$I$2905,BE$2,FALSE),0)</f>
        <v>0</v>
      </c>
      <c r="BF31" s="16">
        <f>IFERROR(VLOOKUP($AY31,costs!$A$2:$I$2905,BF$2,FALSE),0)</f>
        <v>0</v>
      </c>
      <c r="BG31" s="16">
        <f>IFERROR(VLOOKUP($AY31,costs!$A$2:$I$2905,BG$2,FALSE),0)</f>
        <v>0</v>
      </c>
    </row>
    <row r="32" spans="2:59" x14ac:dyDescent="0.35">
      <c r="B32" s="341" t="s">
        <v>2287</v>
      </c>
      <c r="C32" s="348">
        <v>1</v>
      </c>
      <c r="D32" s="348" t="e">
        <f t="shared" si="11"/>
        <v>#DIV/0!</v>
      </c>
      <c r="E32" s="348" t="e">
        <f t="shared" si="11"/>
        <v>#DIV/0!</v>
      </c>
      <c r="F32" s="348" t="e">
        <f t="shared" si="11"/>
        <v>#DIV/0!</v>
      </c>
      <c r="G32" s="348" t="e">
        <f t="shared" si="11"/>
        <v>#DIV/0!</v>
      </c>
      <c r="H32" s="348" t="e">
        <f t="shared" si="11"/>
        <v>#DIV/0!</v>
      </c>
      <c r="I32" s="348" t="e">
        <f t="shared" si="11"/>
        <v>#DIV/0!</v>
      </c>
      <c r="K32" s="268" t="s">
        <v>417</v>
      </c>
      <c r="L32" s="16">
        <f>IFERROR(VLOOKUP($K32,costs!$A$2:$I$2905,L$2,FALSE),0)</f>
        <v>0</v>
      </c>
      <c r="M32" s="16">
        <f>IFERROR(VLOOKUP($K32,costs!$A$2:$I$2905,M$2,FALSE),0)</f>
        <v>0</v>
      </c>
      <c r="N32" s="16">
        <f>IFERROR(VLOOKUP($K32,costs!$A$2:$I$2905,N$2,FALSE),0)</f>
        <v>0</v>
      </c>
      <c r="O32" s="16">
        <f>IFERROR(VLOOKUP($K32,costs!$A$2:$I$2905,O$2,FALSE),0)</f>
        <v>0</v>
      </c>
      <c r="P32" s="16">
        <f>IFERROR(VLOOKUP($K32,costs!$A$2:$I$2905,P$2,FALSE),0)</f>
        <v>0</v>
      </c>
      <c r="Q32" s="16">
        <f>IFERROR(VLOOKUP($K32,costs!$A$2:$I$2905,Q$2,FALSE),0)</f>
        <v>0</v>
      </c>
      <c r="R32" s="16">
        <f>IFERROR(VLOOKUP($K32,costs!$A$2:$I$2905,R$2,FALSE),0)</f>
        <v>0</v>
      </c>
      <c r="S32" s="16">
        <f>IFERROR(VLOOKUP($K32,costs!$A$2:$I$2905,S$2,FALSE),0)</f>
        <v>0</v>
      </c>
      <c r="U32" s="272" t="s">
        <v>2043</v>
      </c>
      <c r="V32" s="16">
        <f>IFERROR(VLOOKUP($U32,costs!$A$2:$I$2905,V$2,FALSE),0)</f>
        <v>0</v>
      </c>
      <c r="W32" s="16">
        <f>IFERROR(VLOOKUP($U32,costs!$A$2:$I$2905,W$2,FALSE),0)</f>
        <v>0</v>
      </c>
      <c r="X32" s="16">
        <f>IFERROR(VLOOKUP($U32,costs!$A$2:$I$2905,X$2,FALSE),0)</f>
        <v>0</v>
      </c>
      <c r="Y32" s="16">
        <f>IFERROR(VLOOKUP($U32,costs!$A$2:$I$2905,Y$2,FALSE),0)</f>
        <v>0</v>
      </c>
      <c r="Z32" s="16">
        <f>IFERROR(VLOOKUP($U32,costs!$A$2:$I$2905,Z$2,FALSE),0)</f>
        <v>0</v>
      </c>
      <c r="AA32" s="16">
        <f>IFERROR(VLOOKUP($U32,costs!$A$2:$I$2905,AA$2,FALSE),0)</f>
        <v>0</v>
      </c>
      <c r="AB32" s="16">
        <f>IFERROR(VLOOKUP($U32,costs!$A$2:$I$2905,AB$2,FALSE),0)</f>
        <v>0</v>
      </c>
      <c r="AC32" s="16">
        <f>IFERROR(VLOOKUP($U32,costs!$A$2:$I$2905,AC$2,FALSE),0)</f>
        <v>0</v>
      </c>
      <c r="AE32" s="40" t="s">
        <v>329</v>
      </c>
      <c r="AF32" s="16">
        <f>IFERROR(VLOOKUP($AE32,costs!$A$2:$I$2905,AF$2,FALSE),0)</f>
        <v>0</v>
      </c>
      <c r="AG32" s="16">
        <f>IFERROR(VLOOKUP($AE32,costs!$A$2:$I$2905,AG$2,FALSE),0)</f>
        <v>0</v>
      </c>
      <c r="AH32" s="16">
        <f>IFERROR(VLOOKUP($AE32,costs!$A$2:$I$2905,AH$2,FALSE),0)</f>
        <v>0</v>
      </c>
      <c r="AI32" s="16">
        <f>IFERROR(VLOOKUP($AE32,costs!$A$2:$I$2905,AI$2,FALSE),0)</f>
        <v>0</v>
      </c>
      <c r="AJ32" s="16">
        <f>IFERROR(VLOOKUP($AE32,costs!$A$2:$I$2905,AJ$2,FALSE),0)</f>
        <v>0</v>
      </c>
      <c r="AK32" s="16">
        <f>IFERROR(VLOOKUP($AE32,costs!$A$2:$I$2905,AK$2,FALSE),0)</f>
        <v>0</v>
      </c>
      <c r="AL32" s="16">
        <f>IFERROR(VLOOKUP($AE32,costs!$A$2:$I$2905,AL$2,FALSE),0)</f>
        <v>0</v>
      </c>
      <c r="AM32" s="16">
        <f>IFERROR(VLOOKUP($AE32,costs!$A$2:$I$2905,AM$2,FALSE),0)</f>
        <v>0</v>
      </c>
      <c r="AO32" s="40" t="s">
        <v>183</v>
      </c>
      <c r="AP32" s="16">
        <f>IFERROR(VLOOKUP($AO32,costs!$A$2:$I$2905,AP$2,FALSE),0)</f>
        <v>0</v>
      </c>
      <c r="AQ32" s="16">
        <f>IFERROR(VLOOKUP($AO32,costs!$A$2:$I$2905,AQ$2,FALSE),0)</f>
        <v>0</v>
      </c>
      <c r="AR32" s="16">
        <f>IFERROR(VLOOKUP($AO32,costs!$A$2:$I$2905,AR$2,FALSE),0)</f>
        <v>0</v>
      </c>
      <c r="AS32" s="16">
        <f>IFERROR(VLOOKUP($AO32,costs!$A$2:$I$2905,AS$2,FALSE),0)</f>
        <v>0</v>
      </c>
      <c r="AT32" s="16">
        <f>IFERROR(VLOOKUP($AO32,costs!$A$2:$I$2905,AT$2,FALSE),0)</f>
        <v>0</v>
      </c>
      <c r="AU32" s="16">
        <f>IFERROR(VLOOKUP($AO32,costs!$A$2:$I$2905,AU$2,FALSE),0)</f>
        <v>0</v>
      </c>
      <c r="AV32" s="16">
        <f>IFERROR(VLOOKUP($AO32,costs!$A$2:$I$2905,AV$2,FALSE),0)</f>
        <v>0</v>
      </c>
      <c r="AW32" s="16">
        <f>IFERROR(VLOOKUP($AO32,costs!$A$2:$I$2905,AW$2,FALSE),0)</f>
        <v>0</v>
      </c>
      <c r="AY32" s="272" t="s">
        <v>217</v>
      </c>
      <c r="AZ32" s="16">
        <f>IFERROR(VLOOKUP($AY32,costs!$A$2:$I$2905,AZ$2,FALSE),0)</f>
        <v>0</v>
      </c>
      <c r="BA32" s="16">
        <f>IFERROR(VLOOKUP($AY32,costs!$A$2:$I$2905,BA$2,FALSE),0)</f>
        <v>0</v>
      </c>
      <c r="BB32" s="16">
        <f>IFERROR(VLOOKUP($AY32,costs!$A$2:$I$2905,BB$2,FALSE),0)</f>
        <v>0</v>
      </c>
      <c r="BC32" s="16">
        <f>IFERROR(VLOOKUP($AY32,costs!$A$2:$I$2905,BC$2,FALSE),0)</f>
        <v>0</v>
      </c>
      <c r="BD32" s="16">
        <f>IFERROR(VLOOKUP($AY32,costs!$A$2:$I$2905,BD$2,FALSE),0)</f>
        <v>0</v>
      </c>
      <c r="BE32" s="16">
        <f>IFERROR(VLOOKUP($AY32,costs!$A$2:$I$2905,BE$2,FALSE),0)</f>
        <v>0</v>
      </c>
      <c r="BF32" s="16">
        <f>IFERROR(VLOOKUP($AY32,costs!$A$2:$I$2905,BF$2,FALSE),0)</f>
        <v>0</v>
      </c>
      <c r="BG32" s="16">
        <f>IFERROR(VLOOKUP($AY32,costs!$A$2:$I$2905,BG$2,FALSE),0)</f>
        <v>0</v>
      </c>
    </row>
    <row r="33" spans="2:59" x14ac:dyDescent="0.35">
      <c r="B33" s="190" t="s">
        <v>2179</v>
      </c>
      <c r="C33" s="85">
        <v>1</v>
      </c>
      <c r="D33" s="85" t="e">
        <f t="shared" ref="D33:I33" si="12">D9/$C9</f>
        <v>#DIV/0!</v>
      </c>
      <c r="E33" s="85" t="e">
        <f t="shared" si="12"/>
        <v>#DIV/0!</v>
      </c>
      <c r="F33" s="85" t="e">
        <f t="shared" si="12"/>
        <v>#DIV/0!</v>
      </c>
      <c r="G33" s="85" t="e">
        <f t="shared" si="12"/>
        <v>#DIV/0!</v>
      </c>
      <c r="H33" s="85" t="e">
        <f t="shared" si="12"/>
        <v>#DIV/0!</v>
      </c>
      <c r="I33" s="85" t="e">
        <f t="shared" si="12"/>
        <v>#DIV/0!</v>
      </c>
      <c r="K33" s="269" t="s">
        <v>418</v>
      </c>
      <c r="L33" s="16">
        <f>IFERROR(VLOOKUP($K33,costs!$A$2:$I$2905,L$2,FALSE),0)</f>
        <v>0</v>
      </c>
      <c r="M33" s="16">
        <f>IFERROR(VLOOKUP($K33,costs!$A$2:$I$2905,M$2,FALSE),0)</f>
        <v>0</v>
      </c>
      <c r="N33" s="16">
        <f>IFERROR(VLOOKUP($K33,costs!$A$2:$I$2905,N$2,FALSE),0)</f>
        <v>0</v>
      </c>
      <c r="O33" s="16">
        <f>IFERROR(VLOOKUP($K33,costs!$A$2:$I$2905,O$2,FALSE),0)</f>
        <v>0</v>
      </c>
      <c r="P33" s="16">
        <f>IFERROR(VLOOKUP($K33,costs!$A$2:$I$2905,P$2,FALSE),0)</f>
        <v>0</v>
      </c>
      <c r="Q33" s="16">
        <f>IFERROR(VLOOKUP($K33,costs!$A$2:$I$2905,Q$2,FALSE),0)</f>
        <v>0</v>
      </c>
      <c r="R33" s="16">
        <f>IFERROR(VLOOKUP($K33,costs!$A$2:$I$2905,R$2,FALSE),0)</f>
        <v>0</v>
      </c>
      <c r="S33" s="16">
        <f>IFERROR(VLOOKUP($K33,costs!$A$2:$I$2905,S$2,FALSE),0)</f>
        <v>0</v>
      </c>
      <c r="U33" s="273" t="s">
        <v>267</v>
      </c>
      <c r="V33" s="16">
        <f>IFERROR(VLOOKUP($U33,costs!$A$2:$I$2905,V$2,FALSE),0)</f>
        <v>0</v>
      </c>
      <c r="W33" s="16">
        <f>IFERROR(VLOOKUP($U33,costs!$A$2:$I$2905,W$2,FALSE),0)</f>
        <v>0</v>
      </c>
      <c r="X33" s="16">
        <f>IFERROR(VLOOKUP($U33,costs!$A$2:$I$2905,X$2,FALSE),0)</f>
        <v>0</v>
      </c>
      <c r="Y33" s="16">
        <f>IFERROR(VLOOKUP($U33,costs!$A$2:$I$2905,Y$2,FALSE),0)</f>
        <v>0</v>
      </c>
      <c r="Z33" s="16">
        <f>IFERROR(VLOOKUP($U33,costs!$A$2:$I$2905,Z$2,FALSE),0)</f>
        <v>0</v>
      </c>
      <c r="AA33" s="16">
        <f>IFERROR(VLOOKUP($U33,costs!$A$2:$I$2905,AA$2,FALSE),0)</f>
        <v>0</v>
      </c>
      <c r="AB33" s="16">
        <f>IFERROR(VLOOKUP($U33,costs!$A$2:$I$2905,AB$2,FALSE),0)</f>
        <v>0</v>
      </c>
      <c r="AC33" s="16">
        <f>IFERROR(VLOOKUP($U33,costs!$A$2:$I$2905,AC$2,FALSE),0)</f>
        <v>0</v>
      </c>
      <c r="AE33" s="40" t="s">
        <v>333</v>
      </c>
      <c r="AF33" s="16">
        <f>IFERROR(VLOOKUP($AE33,costs!$A$2:$I$2905,AF$2,FALSE),0)</f>
        <v>0</v>
      </c>
      <c r="AG33" s="16">
        <f>IFERROR(VLOOKUP($AE33,costs!$A$2:$I$2905,AG$2,FALSE),0)</f>
        <v>0</v>
      </c>
      <c r="AH33" s="16">
        <f>IFERROR(VLOOKUP($AE33,costs!$A$2:$I$2905,AH$2,FALSE),0)</f>
        <v>0</v>
      </c>
      <c r="AI33" s="16">
        <f>IFERROR(VLOOKUP($AE33,costs!$A$2:$I$2905,AI$2,FALSE),0)</f>
        <v>0</v>
      </c>
      <c r="AJ33" s="16">
        <f>IFERROR(VLOOKUP($AE33,costs!$A$2:$I$2905,AJ$2,FALSE),0)</f>
        <v>0</v>
      </c>
      <c r="AK33" s="16">
        <f>IFERROR(VLOOKUP($AE33,costs!$A$2:$I$2905,AK$2,FALSE),0)</f>
        <v>0</v>
      </c>
      <c r="AL33" s="16">
        <f>IFERROR(VLOOKUP($AE33,costs!$A$2:$I$2905,AL$2,FALSE),0)</f>
        <v>0</v>
      </c>
      <c r="AM33" s="16">
        <f>IFERROR(VLOOKUP($AE33,costs!$A$2:$I$2905,AM$2,FALSE),0)</f>
        <v>0</v>
      </c>
      <c r="AO33" s="40" t="s">
        <v>106</v>
      </c>
      <c r="AP33" s="16">
        <f>IFERROR(VLOOKUP($AO33,costs!$A$2:$I$2905,AP$2,FALSE),0)</f>
        <v>0</v>
      </c>
      <c r="AQ33" s="16">
        <f>IFERROR(VLOOKUP($AO33,costs!$A$2:$I$2905,AQ$2,FALSE),0)</f>
        <v>0</v>
      </c>
      <c r="AR33" s="16">
        <f>IFERROR(VLOOKUP($AO33,costs!$A$2:$I$2905,AR$2,FALSE),0)</f>
        <v>0</v>
      </c>
      <c r="AS33" s="16">
        <f>IFERROR(VLOOKUP($AO33,costs!$A$2:$I$2905,AS$2,FALSE),0)</f>
        <v>0</v>
      </c>
      <c r="AT33" s="16">
        <f>IFERROR(VLOOKUP($AO33,costs!$A$2:$I$2905,AT$2,FALSE),0)</f>
        <v>0</v>
      </c>
      <c r="AU33" s="16">
        <f>IFERROR(VLOOKUP($AO33,costs!$A$2:$I$2905,AU$2,FALSE),0)</f>
        <v>0</v>
      </c>
      <c r="AV33" s="16">
        <f>IFERROR(VLOOKUP($AO33,costs!$A$2:$I$2905,AV$2,FALSE),0)</f>
        <v>0</v>
      </c>
      <c r="AW33" s="16">
        <f>IFERROR(VLOOKUP($AO33,costs!$A$2:$I$2905,AW$2,FALSE),0)</f>
        <v>0</v>
      </c>
      <c r="AY33" s="273" t="s">
        <v>2085</v>
      </c>
      <c r="AZ33" s="16">
        <f>IFERROR(VLOOKUP($AY33,costs!$A$2:$I$2905,AZ$2,FALSE),0)</f>
        <v>0</v>
      </c>
      <c r="BA33" s="16">
        <f>IFERROR(VLOOKUP($AY33,costs!$A$2:$I$2905,BA$2,FALSE),0)</f>
        <v>0</v>
      </c>
      <c r="BB33" s="16">
        <f>IFERROR(VLOOKUP($AY33,costs!$A$2:$I$2905,BB$2,FALSE),0)</f>
        <v>0</v>
      </c>
      <c r="BC33" s="16">
        <f>IFERROR(VLOOKUP($AY33,costs!$A$2:$I$2905,BC$2,FALSE),0)</f>
        <v>0</v>
      </c>
      <c r="BD33" s="16">
        <f>IFERROR(VLOOKUP($AY33,costs!$A$2:$I$2905,BD$2,FALSE),0)</f>
        <v>0</v>
      </c>
      <c r="BE33" s="16">
        <f>IFERROR(VLOOKUP($AY33,costs!$A$2:$I$2905,BE$2,FALSE),0)</f>
        <v>0</v>
      </c>
      <c r="BF33" s="16">
        <f>IFERROR(VLOOKUP($AY33,costs!$A$2:$I$2905,BF$2,FALSE),0)</f>
        <v>0</v>
      </c>
      <c r="BG33" s="16">
        <f>IFERROR(VLOOKUP($AY33,costs!$A$2:$I$2905,BG$2,FALSE),0)</f>
        <v>0</v>
      </c>
    </row>
    <row r="34" spans="2:59" x14ac:dyDescent="0.35">
      <c r="B34" s="133" t="s">
        <v>2027</v>
      </c>
      <c r="C34" s="267">
        <v>1</v>
      </c>
      <c r="D34" s="267" t="e">
        <f t="shared" ref="D34:I34" si="13">D12/$C12</f>
        <v>#N/A</v>
      </c>
      <c r="E34" s="267" t="e">
        <f t="shared" si="13"/>
        <v>#N/A</v>
      </c>
      <c r="F34" s="267" t="e">
        <f t="shared" si="13"/>
        <v>#N/A</v>
      </c>
      <c r="G34" s="267" t="e">
        <f t="shared" si="13"/>
        <v>#N/A</v>
      </c>
      <c r="H34" s="267" t="e">
        <f t="shared" si="13"/>
        <v>#N/A</v>
      </c>
      <c r="I34" s="267" t="e">
        <f t="shared" si="13"/>
        <v>#N/A</v>
      </c>
      <c r="K34" s="268" t="s">
        <v>473</v>
      </c>
      <c r="L34" s="16">
        <f>IFERROR(VLOOKUP($K34,costs!$A$2:$I$2905,L$2,FALSE),0)</f>
        <v>0</v>
      </c>
      <c r="M34" s="16">
        <f>IFERROR(VLOOKUP($K34,costs!$A$2:$I$2905,M$2,FALSE),0)</f>
        <v>0</v>
      </c>
      <c r="N34" s="16">
        <f>IFERROR(VLOOKUP($K34,costs!$A$2:$I$2905,N$2,FALSE),0)</f>
        <v>0</v>
      </c>
      <c r="O34" s="16">
        <f>IFERROR(VLOOKUP($K34,costs!$A$2:$I$2905,O$2,FALSE),0)</f>
        <v>0</v>
      </c>
      <c r="P34" s="16">
        <f>IFERROR(VLOOKUP($K34,costs!$A$2:$I$2905,P$2,FALSE),0)</f>
        <v>0</v>
      </c>
      <c r="Q34" s="16">
        <f>IFERROR(VLOOKUP($K34,costs!$A$2:$I$2905,Q$2,FALSE),0)</f>
        <v>0</v>
      </c>
      <c r="R34" s="16">
        <f>IFERROR(VLOOKUP($K34,costs!$A$2:$I$2905,R$2,FALSE),0)</f>
        <v>0</v>
      </c>
      <c r="S34" s="16">
        <f>IFERROR(VLOOKUP($K34,costs!$A$2:$I$2905,S$2,FALSE),0)</f>
        <v>0</v>
      </c>
      <c r="U34" s="272" t="s">
        <v>2044</v>
      </c>
      <c r="V34" s="16">
        <f>IFERROR(VLOOKUP($U34,costs!$A$2:$I$2905,V$2,FALSE),0)</f>
        <v>0</v>
      </c>
      <c r="W34" s="16">
        <f>IFERROR(VLOOKUP($U34,costs!$A$2:$I$2905,W$2,FALSE),0)</f>
        <v>0</v>
      </c>
      <c r="X34" s="16">
        <f>IFERROR(VLOOKUP($U34,costs!$A$2:$I$2905,X$2,FALSE),0)</f>
        <v>0</v>
      </c>
      <c r="Y34" s="16">
        <f>IFERROR(VLOOKUP($U34,costs!$A$2:$I$2905,Y$2,FALSE),0)</f>
        <v>0</v>
      </c>
      <c r="Z34" s="16">
        <f>IFERROR(VLOOKUP($U34,costs!$A$2:$I$2905,Z$2,FALSE),0)</f>
        <v>0</v>
      </c>
      <c r="AA34" s="16">
        <f>IFERROR(VLOOKUP($U34,costs!$A$2:$I$2905,AA$2,FALSE),0)</f>
        <v>0</v>
      </c>
      <c r="AB34" s="16">
        <f>IFERROR(VLOOKUP($U34,costs!$A$2:$I$2905,AB$2,FALSE),0)</f>
        <v>0</v>
      </c>
      <c r="AC34" s="16">
        <f>IFERROR(VLOOKUP($U34,costs!$A$2:$I$2905,AC$2,FALSE),0)</f>
        <v>0</v>
      </c>
      <c r="AE34" s="40" t="s">
        <v>331</v>
      </c>
      <c r="AF34" s="16">
        <f>IFERROR(VLOOKUP($AE34,costs!$A$2:$I$2905,AF$2,FALSE),0)</f>
        <v>0</v>
      </c>
      <c r="AG34" s="16">
        <f>IFERROR(VLOOKUP($AE34,costs!$A$2:$I$2905,AG$2,FALSE),0)</f>
        <v>0</v>
      </c>
      <c r="AH34" s="16">
        <f>IFERROR(VLOOKUP($AE34,costs!$A$2:$I$2905,AH$2,FALSE),0)</f>
        <v>0</v>
      </c>
      <c r="AI34" s="16">
        <f>IFERROR(VLOOKUP($AE34,costs!$A$2:$I$2905,AI$2,FALSE),0)</f>
        <v>0</v>
      </c>
      <c r="AJ34" s="16">
        <f>IFERROR(VLOOKUP($AE34,costs!$A$2:$I$2905,AJ$2,FALSE),0)</f>
        <v>0</v>
      </c>
      <c r="AK34" s="16">
        <f>IFERROR(VLOOKUP($AE34,costs!$A$2:$I$2905,AK$2,FALSE),0)</f>
        <v>0</v>
      </c>
      <c r="AL34" s="16">
        <f>IFERROR(VLOOKUP($AE34,costs!$A$2:$I$2905,AL$2,FALSE),0)</f>
        <v>0</v>
      </c>
      <c r="AM34" s="16">
        <f>IFERROR(VLOOKUP($AE34,costs!$A$2:$I$2905,AM$2,FALSE),0)</f>
        <v>0</v>
      </c>
      <c r="AO34" s="40" t="s">
        <v>2220</v>
      </c>
      <c r="AP34" s="16">
        <f>IFERROR(VLOOKUP($AO34,costs!$A$2:$I$2905,AP$2,FALSE),0)</f>
        <v>0</v>
      </c>
      <c r="AQ34" s="16">
        <f>IFERROR(VLOOKUP($AO34,costs!$A$2:$I$2905,AQ$2,FALSE),0)</f>
        <v>0</v>
      </c>
      <c r="AR34" s="16">
        <f>IFERROR(VLOOKUP($AO34,costs!$A$2:$I$2905,AR$2,FALSE),0)</f>
        <v>0</v>
      </c>
      <c r="AS34" s="16">
        <f>IFERROR(VLOOKUP($AO34,costs!$A$2:$I$2905,AS$2,FALSE),0)</f>
        <v>0</v>
      </c>
      <c r="AT34" s="16">
        <f>IFERROR(VLOOKUP($AO34,costs!$A$2:$I$2905,AT$2,FALSE),0)</f>
        <v>0</v>
      </c>
      <c r="AU34" s="16">
        <f>IFERROR(VLOOKUP($AO34,costs!$A$2:$I$2905,AU$2,FALSE),0)</f>
        <v>0</v>
      </c>
      <c r="AV34" s="16">
        <f>IFERROR(VLOOKUP($AO34,costs!$A$2:$I$2905,AV$2,FALSE),0)</f>
        <v>0</v>
      </c>
      <c r="AW34" s="16">
        <f>IFERROR(VLOOKUP($AO34,costs!$A$2:$I$2905,AW$2,FALSE),0)</f>
        <v>0</v>
      </c>
      <c r="AY34" s="272" t="s">
        <v>218</v>
      </c>
      <c r="AZ34" s="16">
        <f>IFERROR(VLOOKUP($AY34,costs!$A$2:$I$2905,AZ$2,FALSE),0)</f>
        <v>0</v>
      </c>
      <c r="BA34" s="16">
        <f>IFERROR(VLOOKUP($AY34,costs!$A$2:$I$2905,BA$2,FALSE),0)</f>
        <v>0</v>
      </c>
      <c r="BB34" s="16">
        <f>IFERROR(VLOOKUP($AY34,costs!$A$2:$I$2905,BB$2,FALSE),0)</f>
        <v>0</v>
      </c>
      <c r="BC34" s="16">
        <f>IFERROR(VLOOKUP($AY34,costs!$A$2:$I$2905,BC$2,FALSE),0)</f>
        <v>0</v>
      </c>
      <c r="BD34" s="16">
        <f>IFERROR(VLOOKUP($AY34,costs!$A$2:$I$2905,BD$2,FALSE),0)</f>
        <v>0</v>
      </c>
      <c r="BE34" s="16">
        <f>IFERROR(VLOOKUP($AY34,costs!$A$2:$I$2905,BE$2,FALSE),0)</f>
        <v>0</v>
      </c>
      <c r="BF34" s="16">
        <f>IFERROR(VLOOKUP($AY34,costs!$A$2:$I$2905,BF$2,FALSE),0)</f>
        <v>0</v>
      </c>
      <c r="BG34" s="16">
        <f>IFERROR(VLOOKUP($AY34,costs!$A$2:$I$2905,BG$2,FALSE),0)</f>
        <v>0</v>
      </c>
    </row>
    <row r="35" spans="2:59" x14ac:dyDescent="0.35">
      <c r="K35" s="269" t="s">
        <v>477</v>
      </c>
      <c r="L35" s="16">
        <f>IFERROR(VLOOKUP($K35,costs!$A$2:$I$2905,L$2,FALSE),0)</f>
        <v>0</v>
      </c>
      <c r="M35" s="16">
        <f>IFERROR(VLOOKUP($K35,costs!$A$2:$I$2905,M$2,FALSE),0)</f>
        <v>0</v>
      </c>
      <c r="N35" s="16">
        <f>IFERROR(VLOOKUP($K35,costs!$A$2:$I$2905,N$2,FALSE),0)</f>
        <v>0</v>
      </c>
      <c r="O35" s="16">
        <f>IFERROR(VLOOKUP($K35,costs!$A$2:$I$2905,O$2,FALSE),0)</f>
        <v>0</v>
      </c>
      <c r="P35" s="16">
        <f>IFERROR(VLOOKUP($K35,costs!$A$2:$I$2905,P$2,FALSE),0)</f>
        <v>0</v>
      </c>
      <c r="Q35" s="16">
        <f>IFERROR(VLOOKUP($K35,costs!$A$2:$I$2905,Q$2,FALSE),0)</f>
        <v>0</v>
      </c>
      <c r="R35" s="16">
        <f>IFERROR(VLOOKUP($K35,costs!$A$2:$I$2905,R$2,FALSE),0)</f>
        <v>0</v>
      </c>
      <c r="S35" s="16">
        <f>IFERROR(VLOOKUP($K35,costs!$A$2:$I$2905,S$2,FALSE),0)</f>
        <v>0</v>
      </c>
      <c r="U35" s="273" t="s">
        <v>408</v>
      </c>
      <c r="V35" s="16">
        <f>IFERROR(VLOOKUP($U35,costs!$A$2:$I$2905,V$2,FALSE),0)</f>
        <v>0</v>
      </c>
      <c r="W35" s="16">
        <f>IFERROR(VLOOKUP($U35,costs!$A$2:$I$2905,W$2,FALSE),0)</f>
        <v>0</v>
      </c>
      <c r="X35" s="16">
        <f>IFERROR(VLOOKUP($U35,costs!$A$2:$I$2905,X$2,FALSE),0)</f>
        <v>0</v>
      </c>
      <c r="Y35" s="16">
        <f>IFERROR(VLOOKUP($U35,costs!$A$2:$I$2905,Y$2,FALSE),0)</f>
        <v>0</v>
      </c>
      <c r="Z35" s="16">
        <f>IFERROR(VLOOKUP($U35,costs!$A$2:$I$2905,Z$2,FALSE),0)</f>
        <v>0</v>
      </c>
      <c r="AA35" s="16">
        <f>IFERROR(VLOOKUP($U35,costs!$A$2:$I$2905,AA$2,FALSE),0)</f>
        <v>0</v>
      </c>
      <c r="AB35" s="16">
        <f>IFERROR(VLOOKUP($U35,costs!$A$2:$I$2905,AB$2,FALSE),0)</f>
        <v>0</v>
      </c>
      <c r="AC35" s="16">
        <f>IFERROR(VLOOKUP($U35,costs!$A$2:$I$2905,AC$2,FALSE),0)</f>
        <v>0</v>
      </c>
      <c r="AE35" s="40" t="s">
        <v>330</v>
      </c>
      <c r="AF35" s="16">
        <f>IFERROR(VLOOKUP($AE35,costs!$A$2:$I$2905,AF$2,FALSE),0)</f>
        <v>0</v>
      </c>
      <c r="AG35" s="16">
        <f>IFERROR(VLOOKUP($AE35,costs!$A$2:$I$2905,AG$2,FALSE),0)</f>
        <v>0</v>
      </c>
      <c r="AH35" s="16">
        <f>IFERROR(VLOOKUP($AE35,costs!$A$2:$I$2905,AH$2,FALSE),0)</f>
        <v>0</v>
      </c>
      <c r="AI35" s="16">
        <f>IFERROR(VLOOKUP($AE35,costs!$A$2:$I$2905,AI$2,FALSE),0)</f>
        <v>0</v>
      </c>
      <c r="AJ35" s="16">
        <f>IFERROR(VLOOKUP($AE35,costs!$A$2:$I$2905,AJ$2,FALSE),0)</f>
        <v>0</v>
      </c>
      <c r="AK35" s="16">
        <f>IFERROR(VLOOKUP($AE35,costs!$A$2:$I$2905,AK$2,FALSE),0)</f>
        <v>0</v>
      </c>
      <c r="AL35" s="16">
        <f>IFERROR(VLOOKUP($AE35,costs!$A$2:$I$2905,AL$2,FALSE),0)</f>
        <v>0</v>
      </c>
      <c r="AM35" s="16">
        <f>IFERROR(VLOOKUP($AE35,costs!$A$2:$I$2905,AM$2,FALSE),0)</f>
        <v>0</v>
      </c>
      <c r="AO35" s="278" t="s">
        <v>2182</v>
      </c>
      <c r="AP35" s="168">
        <f t="shared" ref="AP35:AW35" si="14">SUM(AP4:AP34)</f>
        <v>0</v>
      </c>
      <c r="AQ35" s="168">
        <f t="shared" si="14"/>
        <v>0</v>
      </c>
      <c r="AR35" s="168">
        <f t="shared" si="14"/>
        <v>0</v>
      </c>
      <c r="AS35" s="168">
        <f t="shared" si="14"/>
        <v>0</v>
      </c>
      <c r="AT35" s="168">
        <f t="shared" si="14"/>
        <v>0</v>
      </c>
      <c r="AU35" s="168">
        <f t="shared" si="14"/>
        <v>0</v>
      </c>
      <c r="AV35" s="168">
        <f t="shared" si="14"/>
        <v>0</v>
      </c>
      <c r="AW35" s="168">
        <f t="shared" si="14"/>
        <v>0</v>
      </c>
      <c r="AY35" s="273" t="s">
        <v>349</v>
      </c>
      <c r="AZ35" s="16">
        <f>IFERROR(VLOOKUP($AY35,costs!$A$2:$I$2905,AZ$2,FALSE),0)</f>
        <v>0</v>
      </c>
      <c r="BA35" s="16">
        <f>IFERROR(VLOOKUP($AY35,costs!$A$2:$I$2905,BA$2,FALSE),0)</f>
        <v>0</v>
      </c>
      <c r="BB35" s="16">
        <f>IFERROR(VLOOKUP($AY35,costs!$A$2:$I$2905,BB$2,FALSE),0)</f>
        <v>0</v>
      </c>
      <c r="BC35" s="16">
        <f>IFERROR(VLOOKUP($AY35,costs!$A$2:$I$2905,BC$2,FALSE),0)</f>
        <v>0</v>
      </c>
      <c r="BD35" s="16">
        <f>IFERROR(VLOOKUP($AY35,costs!$A$2:$I$2905,BD$2,FALSE),0)</f>
        <v>0</v>
      </c>
      <c r="BE35" s="16">
        <f>IFERROR(VLOOKUP($AY35,costs!$A$2:$I$2905,BE$2,FALSE),0)</f>
        <v>0</v>
      </c>
      <c r="BF35" s="16">
        <f>IFERROR(VLOOKUP($AY35,costs!$A$2:$I$2905,BF$2,FALSE),0)</f>
        <v>0</v>
      </c>
      <c r="BG35" s="16">
        <f>IFERROR(VLOOKUP($AY35,costs!$A$2:$I$2905,BG$2,FALSE),0)</f>
        <v>0</v>
      </c>
    </row>
    <row r="36" spans="2:59" ht="15" thickBot="1" x14ac:dyDescent="0.4">
      <c r="K36" s="270" t="s">
        <v>2031</v>
      </c>
      <c r="L36" s="103">
        <f>SUM(L4:L35)</f>
        <v>0</v>
      </c>
      <c r="M36" s="103">
        <f t="shared" ref="M36:S36" si="15">SUM(M4:M35)</f>
        <v>0</v>
      </c>
      <c r="N36" s="103">
        <f t="shared" si="15"/>
        <v>0</v>
      </c>
      <c r="O36" s="103">
        <f t="shared" si="15"/>
        <v>0</v>
      </c>
      <c r="P36" s="103">
        <f t="shared" si="15"/>
        <v>0</v>
      </c>
      <c r="Q36" s="103">
        <f t="shared" si="15"/>
        <v>0</v>
      </c>
      <c r="R36" s="103">
        <f t="shared" si="15"/>
        <v>0</v>
      </c>
      <c r="S36" s="103">
        <f t="shared" si="15"/>
        <v>0</v>
      </c>
      <c r="U36" s="272" t="s">
        <v>2045</v>
      </c>
      <c r="V36" s="16">
        <f>IFERROR(VLOOKUP($U36,costs!$A$2:$I$2905,V$2,FALSE),0)</f>
        <v>0</v>
      </c>
      <c r="W36" s="16">
        <f>IFERROR(VLOOKUP($U36,costs!$A$2:$I$2905,W$2,FALSE),0)</f>
        <v>0</v>
      </c>
      <c r="X36" s="16">
        <f>IFERROR(VLOOKUP($U36,costs!$A$2:$I$2905,X$2,FALSE),0)</f>
        <v>0</v>
      </c>
      <c r="Y36" s="16">
        <f>IFERROR(VLOOKUP($U36,costs!$A$2:$I$2905,Y$2,FALSE),0)</f>
        <v>0</v>
      </c>
      <c r="Z36" s="16">
        <f>IFERROR(VLOOKUP($U36,costs!$A$2:$I$2905,Z$2,FALSE),0)</f>
        <v>0</v>
      </c>
      <c r="AA36" s="16">
        <f>IFERROR(VLOOKUP($U36,costs!$A$2:$I$2905,AA$2,FALSE),0)</f>
        <v>0</v>
      </c>
      <c r="AB36" s="16">
        <f>IFERROR(VLOOKUP($U36,costs!$A$2:$I$2905,AB$2,FALSE),0)</f>
        <v>0</v>
      </c>
      <c r="AC36" s="16">
        <f>IFERROR(VLOOKUP($U36,costs!$A$2:$I$2905,AC$2,FALSE),0)</f>
        <v>0</v>
      </c>
      <c r="AE36" s="40" t="s">
        <v>338</v>
      </c>
      <c r="AF36" s="16">
        <f>IFERROR(VLOOKUP($AE36,costs!$A$2:$I$2905,AF$2,FALSE),0)</f>
        <v>0</v>
      </c>
      <c r="AG36" s="16">
        <f>IFERROR(VLOOKUP($AE36,costs!$A$2:$I$2905,AG$2,FALSE),0)</f>
        <v>0</v>
      </c>
      <c r="AH36" s="16">
        <f>IFERROR(VLOOKUP($AE36,costs!$A$2:$I$2905,AH$2,FALSE),0)</f>
        <v>0</v>
      </c>
      <c r="AI36" s="16">
        <f>IFERROR(VLOOKUP($AE36,costs!$A$2:$I$2905,AI$2,FALSE),0)</f>
        <v>0</v>
      </c>
      <c r="AJ36" s="16">
        <f>IFERROR(VLOOKUP($AE36,costs!$A$2:$I$2905,AJ$2,FALSE),0)</f>
        <v>0</v>
      </c>
      <c r="AK36" s="16">
        <f>IFERROR(VLOOKUP($AE36,costs!$A$2:$I$2905,AK$2,FALSE),0)</f>
        <v>0</v>
      </c>
      <c r="AL36" s="16">
        <f>IFERROR(VLOOKUP($AE36,costs!$A$2:$I$2905,AL$2,FALSE),0)</f>
        <v>0</v>
      </c>
      <c r="AM36" s="16">
        <f>IFERROR(VLOOKUP($AE36,costs!$A$2:$I$2905,AM$2,FALSE),0)</f>
        <v>0</v>
      </c>
      <c r="AO36" s="99" t="s">
        <v>2180</v>
      </c>
      <c r="AP36" s="16"/>
      <c r="AQ36" s="16"/>
      <c r="AR36" s="16"/>
      <c r="AS36" s="16"/>
      <c r="AT36" s="16"/>
      <c r="AU36" s="16"/>
      <c r="AV36" s="16"/>
      <c r="AW36" s="16"/>
      <c r="AY36" s="272" t="s">
        <v>350</v>
      </c>
      <c r="AZ36" s="16">
        <f>IFERROR(VLOOKUP($AY36,costs!$A$2:$I$2905,AZ$2,FALSE),0)</f>
        <v>0</v>
      </c>
      <c r="BA36" s="16">
        <f>IFERROR(VLOOKUP($AY36,costs!$A$2:$I$2905,BA$2,FALSE),0)</f>
        <v>0</v>
      </c>
      <c r="BB36" s="16">
        <f>IFERROR(VLOOKUP($AY36,costs!$A$2:$I$2905,BB$2,FALSE),0)</f>
        <v>0</v>
      </c>
      <c r="BC36" s="16">
        <f>IFERROR(VLOOKUP($AY36,costs!$A$2:$I$2905,BC$2,FALSE),0)</f>
        <v>0</v>
      </c>
      <c r="BD36" s="16">
        <f>IFERROR(VLOOKUP($AY36,costs!$A$2:$I$2905,BD$2,FALSE),0)</f>
        <v>0</v>
      </c>
      <c r="BE36" s="16">
        <f>IFERROR(VLOOKUP($AY36,costs!$A$2:$I$2905,BE$2,FALSE),0)</f>
        <v>0</v>
      </c>
      <c r="BF36" s="16">
        <f>IFERROR(VLOOKUP($AY36,costs!$A$2:$I$2905,BF$2,FALSE),0)</f>
        <v>0</v>
      </c>
      <c r="BG36" s="16">
        <f>IFERROR(VLOOKUP($AY36,costs!$A$2:$I$2905,BG$2,FALSE),0)</f>
        <v>0</v>
      </c>
    </row>
    <row r="37" spans="2:59" x14ac:dyDescent="0.35">
      <c r="U37" s="273" t="s">
        <v>411</v>
      </c>
      <c r="V37" s="16">
        <f>IFERROR(VLOOKUP($U37,costs!$A$2:$I$2905,V$2,FALSE),0)</f>
        <v>0</v>
      </c>
      <c r="W37" s="16">
        <f>IFERROR(VLOOKUP($U37,costs!$A$2:$I$2905,W$2,FALSE),0)</f>
        <v>0</v>
      </c>
      <c r="X37" s="16">
        <f>IFERROR(VLOOKUP($U37,costs!$A$2:$I$2905,X$2,FALSE),0)</f>
        <v>0</v>
      </c>
      <c r="Y37" s="16">
        <f>IFERROR(VLOOKUP($U37,costs!$A$2:$I$2905,Y$2,FALSE),0)</f>
        <v>0</v>
      </c>
      <c r="Z37" s="16">
        <f>IFERROR(VLOOKUP($U37,costs!$A$2:$I$2905,Z$2,FALSE),0)</f>
        <v>0</v>
      </c>
      <c r="AA37" s="16">
        <f>IFERROR(VLOOKUP($U37,costs!$A$2:$I$2905,AA$2,FALSE),0)</f>
        <v>0</v>
      </c>
      <c r="AB37" s="16">
        <f>IFERROR(VLOOKUP($U37,costs!$A$2:$I$2905,AB$2,FALSE),0)</f>
        <v>0</v>
      </c>
      <c r="AC37" s="16">
        <f>IFERROR(VLOOKUP($U37,costs!$A$2:$I$2905,AC$2,FALSE),0)</f>
        <v>0</v>
      </c>
      <c r="AE37" s="40" t="s">
        <v>335</v>
      </c>
      <c r="AF37" s="16">
        <f>IFERROR(VLOOKUP($AE37,costs!$A$2:$I$2905,AF$2,FALSE),0)</f>
        <v>0</v>
      </c>
      <c r="AG37" s="16">
        <f>IFERROR(VLOOKUP($AE37,costs!$A$2:$I$2905,AG$2,FALSE),0)</f>
        <v>0</v>
      </c>
      <c r="AH37" s="16">
        <f>IFERROR(VLOOKUP($AE37,costs!$A$2:$I$2905,AH$2,FALSE),0)</f>
        <v>0</v>
      </c>
      <c r="AI37" s="16">
        <f>IFERROR(VLOOKUP($AE37,costs!$A$2:$I$2905,AI$2,FALSE),0)</f>
        <v>0</v>
      </c>
      <c r="AJ37" s="16">
        <f>IFERROR(VLOOKUP($AE37,costs!$A$2:$I$2905,AJ$2,FALSE),0)</f>
        <v>0</v>
      </c>
      <c r="AK37" s="16">
        <f>IFERROR(VLOOKUP($AE37,costs!$A$2:$I$2905,AK$2,FALSE),0)</f>
        <v>0</v>
      </c>
      <c r="AL37" s="16">
        <f>IFERROR(VLOOKUP($AE37,costs!$A$2:$I$2905,AL$2,FALSE),0)</f>
        <v>0</v>
      </c>
      <c r="AM37" s="16">
        <f>IFERROR(VLOOKUP($AE37,costs!$A$2:$I$2905,AM$2,FALSE),0)</f>
        <v>0</v>
      </c>
      <c r="AO37" s="977" t="s">
        <v>440</v>
      </c>
      <c r="AP37" s="346">
        <f>IFERROR(VLOOKUP($AO37,costs!$A$2:$I$2905,AP$2,FALSE),0)</f>
        <v>0</v>
      </c>
      <c r="AQ37" s="346">
        <f>IFERROR(VLOOKUP($AO37,costs!$A$2:$I$2905,AQ$2,FALSE),0)</f>
        <v>0</v>
      </c>
      <c r="AR37" s="346">
        <f>IFERROR(VLOOKUP($AO37,costs!$A$2:$I$2905,AR$2,FALSE),0)</f>
        <v>0</v>
      </c>
      <c r="AS37" s="346">
        <f>IFERROR(VLOOKUP($AO37,costs!$A$2:$I$2905,AS$2,FALSE),0)</f>
        <v>0</v>
      </c>
      <c r="AT37" s="346">
        <f>IFERROR(VLOOKUP($AO37,costs!$A$2:$I$2905,AT$2,FALSE),0)</f>
        <v>0</v>
      </c>
      <c r="AU37" s="346">
        <f>IFERROR(VLOOKUP($AO37,costs!$A$2:$I$2905,AU$2,FALSE),0)</f>
        <v>0</v>
      </c>
      <c r="AV37" s="346">
        <f>IFERROR(VLOOKUP($AO37,costs!$A$2:$I$2905,AV$2,FALSE),0)</f>
        <v>0</v>
      </c>
      <c r="AW37" s="346">
        <f>IFERROR(VLOOKUP($AO37,costs!$A$2:$I$2905,AW$2,FALSE),0)</f>
        <v>0</v>
      </c>
      <c r="AY37" s="273" t="s">
        <v>313</v>
      </c>
      <c r="AZ37" s="16">
        <f>IFERROR(VLOOKUP($AY37,costs!$A$2:$I$2905,AZ$2,FALSE),0)</f>
        <v>0</v>
      </c>
      <c r="BA37" s="16">
        <f>IFERROR(VLOOKUP($AY37,costs!$A$2:$I$2905,BA$2,FALSE),0)</f>
        <v>0</v>
      </c>
      <c r="BB37" s="16">
        <f>IFERROR(VLOOKUP($AY37,costs!$A$2:$I$2905,BB$2,FALSE),0)</f>
        <v>0</v>
      </c>
      <c r="BC37" s="16">
        <f>IFERROR(VLOOKUP($AY37,costs!$A$2:$I$2905,BC$2,FALSE),0)</f>
        <v>0</v>
      </c>
      <c r="BD37" s="16">
        <f>IFERROR(VLOOKUP($AY37,costs!$A$2:$I$2905,BD$2,FALSE),0)</f>
        <v>0</v>
      </c>
      <c r="BE37" s="16">
        <f>IFERROR(VLOOKUP($AY37,costs!$A$2:$I$2905,BE$2,FALSE),0)</f>
        <v>0</v>
      </c>
      <c r="BF37" s="16">
        <f>IFERROR(VLOOKUP($AY37,costs!$A$2:$I$2905,BF$2,FALSE),0)</f>
        <v>0</v>
      </c>
      <c r="BG37" s="16">
        <f>IFERROR(VLOOKUP($AY37,costs!$A$2:$I$2905,BG$2,FALSE),0)</f>
        <v>0</v>
      </c>
    </row>
    <row r="38" spans="2:59" x14ac:dyDescent="0.35">
      <c r="U38" s="272" t="s">
        <v>412</v>
      </c>
      <c r="V38" s="16">
        <f>IFERROR(VLOOKUP($U38,costs!$A$2:$I$2905,V$2,FALSE),0)</f>
        <v>0</v>
      </c>
      <c r="W38" s="16">
        <f>IFERROR(VLOOKUP($U38,costs!$A$2:$I$2905,W$2,FALSE),0)</f>
        <v>0</v>
      </c>
      <c r="X38" s="16">
        <f>IFERROR(VLOOKUP($U38,costs!$A$2:$I$2905,X$2,FALSE),0)</f>
        <v>0</v>
      </c>
      <c r="Y38" s="16">
        <f>IFERROR(VLOOKUP($U38,costs!$A$2:$I$2905,Y$2,FALSE),0)</f>
        <v>0</v>
      </c>
      <c r="Z38" s="16">
        <f>IFERROR(VLOOKUP($U38,costs!$A$2:$I$2905,Z$2,FALSE),0)</f>
        <v>0</v>
      </c>
      <c r="AA38" s="16">
        <f>IFERROR(VLOOKUP($U38,costs!$A$2:$I$2905,AA$2,FALSE),0)</f>
        <v>0</v>
      </c>
      <c r="AB38" s="16">
        <f>IFERROR(VLOOKUP($U38,costs!$A$2:$I$2905,AB$2,FALSE),0)</f>
        <v>0</v>
      </c>
      <c r="AC38" s="16">
        <f>IFERROR(VLOOKUP($U38,costs!$A$2:$I$2905,AC$2,FALSE),0)</f>
        <v>0</v>
      </c>
      <c r="AE38" s="40" t="s">
        <v>475</v>
      </c>
      <c r="AF38" s="16">
        <f>IFERROR(VLOOKUP($AE38,costs!$A$2:$I$2905,AF$2,FALSE),0)</f>
        <v>0</v>
      </c>
      <c r="AG38" s="16">
        <f>IFERROR(VLOOKUP($AE38,costs!$A$2:$I$2905,AG$2,FALSE),0)</f>
        <v>0</v>
      </c>
      <c r="AH38" s="16">
        <f>IFERROR(VLOOKUP($AE38,costs!$A$2:$I$2905,AH$2,FALSE),0)</f>
        <v>0</v>
      </c>
      <c r="AI38" s="16">
        <f>IFERROR(VLOOKUP($AE38,costs!$A$2:$I$2905,AI$2,FALSE),0)</f>
        <v>0</v>
      </c>
      <c r="AJ38" s="16">
        <f>IFERROR(VLOOKUP($AE38,costs!$A$2:$I$2905,AJ$2,FALSE),0)</f>
        <v>0</v>
      </c>
      <c r="AK38" s="16">
        <f>IFERROR(VLOOKUP($AE38,costs!$A$2:$I$2905,AK$2,FALSE),0)</f>
        <v>0</v>
      </c>
      <c r="AL38" s="16">
        <f>IFERROR(VLOOKUP($AE38,costs!$A$2:$I$2905,AL$2,FALSE),0)</f>
        <v>0</v>
      </c>
      <c r="AM38" s="16">
        <f>IFERROR(VLOOKUP($AE38,costs!$A$2:$I$2905,AM$2,FALSE),0)</f>
        <v>0</v>
      </c>
      <c r="AO38" s="978" t="s">
        <v>356</v>
      </c>
      <c r="AP38" s="346">
        <f>IFERROR(VLOOKUP($AO38,costs!$A$2:$I$2905,AP$2,FALSE),0)</f>
        <v>0</v>
      </c>
      <c r="AQ38" s="346">
        <f>IFERROR(VLOOKUP($AO38,costs!$A$2:$I$2905,AQ$2,FALSE),0)</f>
        <v>0</v>
      </c>
      <c r="AR38" s="346">
        <f>IFERROR(VLOOKUP($AO38,costs!$A$2:$I$2905,AR$2,FALSE),0)</f>
        <v>0</v>
      </c>
      <c r="AS38" s="346">
        <f>IFERROR(VLOOKUP($AO38,costs!$A$2:$I$2905,AS$2,FALSE),0)</f>
        <v>0</v>
      </c>
      <c r="AT38" s="346">
        <f>IFERROR(VLOOKUP($AO38,costs!$A$2:$I$2905,AT$2,FALSE),0)</f>
        <v>0</v>
      </c>
      <c r="AU38" s="346">
        <f>IFERROR(VLOOKUP($AO38,costs!$A$2:$I$2905,AU$2,FALSE),0)</f>
        <v>0</v>
      </c>
      <c r="AV38" s="346">
        <f>IFERROR(VLOOKUP($AO38,costs!$A$2:$I$2905,AV$2,FALSE),0)</f>
        <v>0</v>
      </c>
      <c r="AW38" s="346">
        <f>IFERROR(VLOOKUP($AO38,costs!$A$2:$I$2905,AW$2,FALSE),0)</f>
        <v>0</v>
      </c>
      <c r="AY38" s="272" t="s">
        <v>314</v>
      </c>
      <c r="AZ38" s="16">
        <f>IFERROR(VLOOKUP($AY38,costs!$A$2:$I$2905,AZ$2,FALSE),0)</f>
        <v>0</v>
      </c>
      <c r="BA38" s="16">
        <f>IFERROR(VLOOKUP($AY38,costs!$A$2:$I$2905,BA$2,FALSE),0)</f>
        <v>0</v>
      </c>
      <c r="BB38" s="16">
        <f>IFERROR(VLOOKUP($AY38,costs!$A$2:$I$2905,BB$2,FALSE),0)</f>
        <v>0</v>
      </c>
      <c r="BC38" s="16">
        <f>IFERROR(VLOOKUP($AY38,costs!$A$2:$I$2905,BC$2,FALSE),0)</f>
        <v>0</v>
      </c>
      <c r="BD38" s="16">
        <f>IFERROR(VLOOKUP($AY38,costs!$A$2:$I$2905,BD$2,FALSE),0)</f>
        <v>0</v>
      </c>
      <c r="BE38" s="16">
        <f>IFERROR(VLOOKUP($AY38,costs!$A$2:$I$2905,BE$2,FALSE),0)</f>
        <v>0</v>
      </c>
      <c r="BF38" s="16">
        <f>IFERROR(VLOOKUP($AY38,costs!$A$2:$I$2905,BF$2,FALSE),0)</f>
        <v>0</v>
      </c>
      <c r="BG38" s="16">
        <f>IFERROR(VLOOKUP($AY38,costs!$A$2:$I$2905,BG$2,FALSE),0)</f>
        <v>0</v>
      </c>
    </row>
    <row r="39" spans="2:59" x14ac:dyDescent="0.35">
      <c r="U39" s="273" t="s">
        <v>2046</v>
      </c>
      <c r="V39" s="16">
        <f>IFERROR(VLOOKUP($U39,costs!$A$2:$I$2905,V$2,FALSE),0)</f>
        <v>0</v>
      </c>
      <c r="W39" s="16">
        <f>IFERROR(VLOOKUP($U39,costs!$A$2:$I$2905,W$2,FALSE),0)</f>
        <v>0</v>
      </c>
      <c r="X39" s="16">
        <f>IFERROR(VLOOKUP($U39,costs!$A$2:$I$2905,X$2,FALSE),0)</f>
        <v>0</v>
      </c>
      <c r="Y39" s="16">
        <f>IFERROR(VLOOKUP($U39,costs!$A$2:$I$2905,Y$2,FALSE),0)</f>
        <v>0</v>
      </c>
      <c r="Z39" s="16">
        <f>IFERROR(VLOOKUP($U39,costs!$A$2:$I$2905,Z$2,FALSE),0)</f>
        <v>0</v>
      </c>
      <c r="AA39" s="16">
        <f>IFERROR(VLOOKUP($U39,costs!$A$2:$I$2905,AA$2,FALSE),0)</f>
        <v>0</v>
      </c>
      <c r="AB39" s="16">
        <f>IFERROR(VLOOKUP($U39,costs!$A$2:$I$2905,AB$2,FALSE),0)</f>
        <v>0</v>
      </c>
      <c r="AC39" s="16">
        <f>IFERROR(VLOOKUP($U39,costs!$A$2:$I$2905,AC$2,FALSE),0)</f>
        <v>0</v>
      </c>
      <c r="AE39" s="40" t="s">
        <v>476</v>
      </c>
      <c r="AF39" s="16">
        <f>IFERROR(VLOOKUP($AE39,costs!$A$2:$I$2905,AF$2,FALSE),0)</f>
        <v>0</v>
      </c>
      <c r="AG39" s="16">
        <f>IFERROR(VLOOKUP($AE39,costs!$A$2:$I$2905,AG$2,FALSE),0)</f>
        <v>0</v>
      </c>
      <c r="AH39" s="16">
        <f>IFERROR(VLOOKUP($AE39,costs!$A$2:$I$2905,AH$2,FALSE),0)</f>
        <v>0</v>
      </c>
      <c r="AI39" s="16">
        <f>IFERROR(VLOOKUP($AE39,costs!$A$2:$I$2905,AI$2,FALSE),0)</f>
        <v>0</v>
      </c>
      <c r="AJ39" s="16">
        <f>IFERROR(VLOOKUP($AE39,costs!$A$2:$I$2905,AJ$2,FALSE),0)</f>
        <v>0</v>
      </c>
      <c r="AK39" s="16">
        <f>IFERROR(VLOOKUP($AE39,costs!$A$2:$I$2905,AK$2,FALSE),0)</f>
        <v>0</v>
      </c>
      <c r="AL39" s="16">
        <f>IFERROR(VLOOKUP($AE39,costs!$A$2:$I$2905,AL$2,FALSE),0)</f>
        <v>0</v>
      </c>
      <c r="AM39" s="16">
        <f>IFERROR(VLOOKUP($AE39,costs!$A$2:$I$2905,AM$2,FALSE),0)</f>
        <v>0</v>
      </c>
      <c r="AO39" s="978" t="s">
        <v>17</v>
      </c>
      <c r="AP39" s="346">
        <f>IFERROR(VLOOKUP($AO39,costs!$A$2:$I$2905,AP$2,FALSE),0)</f>
        <v>0</v>
      </c>
      <c r="AQ39" s="346">
        <f>IFERROR(VLOOKUP($AO39,costs!$A$2:$I$2905,AQ$2,FALSE),0)</f>
        <v>0</v>
      </c>
      <c r="AR39" s="346">
        <f>IFERROR(VLOOKUP($AO39,costs!$A$2:$I$2905,AR$2,FALSE),0)</f>
        <v>0</v>
      </c>
      <c r="AS39" s="346">
        <f>IFERROR(VLOOKUP($AO39,costs!$A$2:$I$2905,AS$2,FALSE),0)</f>
        <v>0</v>
      </c>
      <c r="AT39" s="346">
        <f>IFERROR(VLOOKUP($AO39,costs!$A$2:$I$2905,AT$2,FALSE),0)</f>
        <v>0</v>
      </c>
      <c r="AU39" s="346">
        <f>IFERROR(VLOOKUP($AO39,costs!$A$2:$I$2905,AU$2,FALSE),0)</f>
        <v>0</v>
      </c>
      <c r="AV39" s="346">
        <f>IFERROR(VLOOKUP($AO39,costs!$A$2:$I$2905,AV$2,FALSE),0)</f>
        <v>0</v>
      </c>
      <c r="AW39" s="346">
        <f>IFERROR(VLOOKUP($AO39,costs!$A$2:$I$2905,AW$2,FALSE),0)</f>
        <v>0</v>
      </c>
      <c r="AY39" s="273" t="s">
        <v>305</v>
      </c>
      <c r="AZ39" s="16">
        <f>IFERROR(VLOOKUP($AY39,costs!$A$2:$I$2905,AZ$2,FALSE),0)</f>
        <v>0</v>
      </c>
      <c r="BA39" s="16">
        <f>IFERROR(VLOOKUP($AY39,costs!$A$2:$I$2905,BA$2,FALSE),0)</f>
        <v>0</v>
      </c>
      <c r="BB39" s="16">
        <f>IFERROR(VLOOKUP($AY39,costs!$A$2:$I$2905,BB$2,FALSE),0)</f>
        <v>0</v>
      </c>
      <c r="BC39" s="16">
        <f>IFERROR(VLOOKUP($AY39,costs!$A$2:$I$2905,BC$2,FALSE),0)</f>
        <v>0</v>
      </c>
      <c r="BD39" s="16">
        <f>IFERROR(VLOOKUP($AY39,costs!$A$2:$I$2905,BD$2,FALSE),0)</f>
        <v>0</v>
      </c>
      <c r="BE39" s="16">
        <f>IFERROR(VLOOKUP($AY39,costs!$A$2:$I$2905,BE$2,FALSE),0)</f>
        <v>0</v>
      </c>
      <c r="BF39" s="16">
        <f>IFERROR(VLOOKUP($AY39,costs!$A$2:$I$2905,BF$2,FALSE),0)</f>
        <v>0</v>
      </c>
      <c r="BG39" s="16">
        <f>IFERROR(VLOOKUP($AY39,costs!$A$2:$I$2905,BG$2,FALSE),0)</f>
        <v>0</v>
      </c>
    </row>
    <row r="40" spans="2:59" x14ac:dyDescent="0.35">
      <c r="U40" s="272" t="s">
        <v>482</v>
      </c>
      <c r="V40" s="16">
        <f>IFERROR(VLOOKUP($U40,costs!$A$2:$I$2905,V$2,FALSE),0)</f>
        <v>0</v>
      </c>
      <c r="W40" s="16">
        <f>IFERROR(VLOOKUP($U40,costs!$A$2:$I$2905,W$2,FALSE),0)</f>
        <v>0</v>
      </c>
      <c r="X40" s="16">
        <f>IFERROR(VLOOKUP($U40,costs!$A$2:$I$2905,X$2,FALSE),0)</f>
        <v>0</v>
      </c>
      <c r="Y40" s="16">
        <f>IFERROR(VLOOKUP($U40,costs!$A$2:$I$2905,Y$2,FALSE),0)</f>
        <v>0</v>
      </c>
      <c r="Z40" s="16">
        <f>IFERROR(VLOOKUP($U40,costs!$A$2:$I$2905,Z$2,FALSE),0)</f>
        <v>0</v>
      </c>
      <c r="AA40" s="16">
        <f>IFERROR(VLOOKUP($U40,costs!$A$2:$I$2905,AA$2,FALSE),0)</f>
        <v>0</v>
      </c>
      <c r="AB40" s="16">
        <f>IFERROR(VLOOKUP($U40,costs!$A$2:$I$2905,AB$2,FALSE),0)</f>
        <v>0</v>
      </c>
      <c r="AC40" s="16">
        <f>IFERROR(VLOOKUP($U40,costs!$A$2:$I$2905,AC$2,FALSE),0)</f>
        <v>0</v>
      </c>
      <c r="AE40" s="40" t="s">
        <v>474</v>
      </c>
      <c r="AF40" s="16">
        <f>IFERROR(VLOOKUP($AE40,costs!$A$2:$I$2905,AF$2,FALSE),0)</f>
        <v>0</v>
      </c>
      <c r="AG40" s="16">
        <f>IFERROR(VLOOKUP($AE40,costs!$A$2:$I$2905,AG$2,FALSE),0)</f>
        <v>0</v>
      </c>
      <c r="AH40" s="16">
        <f>IFERROR(VLOOKUP($AE40,costs!$A$2:$I$2905,AH$2,FALSE),0)</f>
        <v>0</v>
      </c>
      <c r="AI40" s="16">
        <f>IFERROR(VLOOKUP($AE40,costs!$A$2:$I$2905,AI$2,FALSE),0)</f>
        <v>0</v>
      </c>
      <c r="AJ40" s="16">
        <f>IFERROR(VLOOKUP($AE40,costs!$A$2:$I$2905,AJ$2,FALSE),0)</f>
        <v>0</v>
      </c>
      <c r="AK40" s="16">
        <f>IFERROR(VLOOKUP($AE40,costs!$A$2:$I$2905,AK$2,FALSE),0)</f>
        <v>0</v>
      </c>
      <c r="AL40" s="16">
        <f>IFERROR(VLOOKUP($AE40,costs!$A$2:$I$2905,AL$2,FALSE),0)</f>
        <v>0</v>
      </c>
      <c r="AM40" s="16">
        <f>IFERROR(VLOOKUP($AE40,costs!$A$2:$I$2905,AM$2,FALSE),0)</f>
        <v>0</v>
      </c>
      <c r="AO40" s="977" t="s">
        <v>16</v>
      </c>
      <c r="AP40" s="346">
        <f>IFERROR(VLOOKUP($AO40,costs!$A$2:$I$2905,AP$2,FALSE),0)</f>
        <v>0</v>
      </c>
      <c r="AQ40" s="346">
        <f>IFERROR(VLOOKUP($AO40,costs!$A$2:$I$2905,AQ$2,FALSE),0)</f>
        <v>0</v>
      </c>
      <c r="AR40" s="346">
        <f>IFERROR(VLOOKUP($AO40,costs!$A$2:$I$2905,AR$2,FALSE),0)</f>
        <v>0</v>
      </c>
      <c r="AS40" s="346">
        <f>IFERROR(VLOOKUP($AO40,costs!$A$2:$I$2905,AS$2,FALSE),0)</f>
        <v>0</v>
      </c>
      <c r="AT40" s="346">
        <f>IFERROR(VLOOKUP($AO40,costs!$A$2:$I$2905,AT$2,FALSE),0)</f>
        <v>0</v>
      </c>
      <c r="AU40" s="346">
        <f>IFERROR(VLOOKUP($AO40,costs!$A$2:$I$2905,AU$2,FALSE),0)</f>
        <v>0</v>
      </c>
      <c r="AV40" s="346">
        <f>IFERROR(VLOOKUP($AO40,costs!$A$2:$I$2905,AV$2,FALSE),0)</f>
        <v>0</v>
      </c>
      <c r="AW40" s="346">
        <f>IFERROR(VLOOKUP($AO40,costs!$A$2:$I$2905,AW$2,FALSE),0)</f>
        <v>0</v>
      </c>
      <c r="AY40" s="272" t="s">
        <v>2086</v>
      </c>
      <c r="AZ40" s="16">
        <f>IFERROR(VLOOKUP($AY40,costs!$A$2:$I$2905,AZ$2,FALSE),0)</f>
        <v>0</v>
      </c>
      <c r="BA40" s="16">
        <f>IFERROR(VLOOKUP($AY40,costs!$A$2:$I$2905,BA$2,FALSE),0)</f>
        <v>0</v>
      </c>
      <c r="BB40" s="16">
        <f>IFERROR(VLOOKUP($AY40,costs!$A$2:$I$2905,BB$2,FALSE),0)</f>
        <v>0</v>
      </c>
      <c r="BC40" s="16">
        <f>IFERROR(VLOOKUP($AY40,costs!$A$2:$I$2905,BC$2,FALSE),0)</f>
        <v>0</v>
      </c>
      <c r="BD40" s="16">
        <f>IFERROR(VLOOKUP($AY40,costs!$A$2:$I$2905,BD$2,FALSE),0)</f>
        <v>0</v>
      </c>
      <c r="BE40" s="16">
        <f>IFERROR(VLOOKUP($AY40,costs!$A$2:$I$2905,BE$2,FALSE),0)</f>
        <v>0</v>
      </c>
      <c r="BF40" s="16">
        <f>IFERROR(VLOOKUP($AY40,costs!$A$2:$I$2905,BF$2,FALSE),0)</f>
        <v>0</v>
      </c>
      <c r="BG40" s="16">
        <f>IFERROR(VLOOKUP($AY40,costs!$A$2:$I$2905,BG$2,FALSE),0)</f>
        <v>0</v>
      </c>
    </row>
    <row r="41" spans="2:59" x14ac:dyDescent="0.35">
      <c r="U41" s="273" t="s">
        <v>483</v>
      </c>
      <c r="V41" s="16">
        <f>IFERROR(VLOOKUP($U41,costs!$A$2:$I$2905,V$2,FALSE),0)</f>
        <v>0</v>
      </c>
      <c r="W41" s="16">
        <f>IFERROR(VLOOKUP($U41,costs!$A$2:$I$2905,W$2,FALSE),0)</f>
        <v>0</v>
      </c>
      <c r="X41" s="16">
        <f>IFERROR(VLOOKUP($U41,costs!$A$2:$I$2905,X$2,FALSE),0)</f>
        <v>0</v>
      </c>
      <c r="Y41" s="16">
        <f>IFERROR(VLOOKUP($U41,costs!$A$2:$I$2905,Y$2,FALSE),0)</f>
        <v>0</v>
      </c>
      <c r="Z41" s="16">
        <f>IFERROR(VLOOKUP($U41,costs!$A$2:$I$2905,Z$2,FALSE),0)</f>
        <v>0</v>
      </c>
      <c r="AA41" s="16">
        <f>IFERROR(VLOOKUP($U41,costs!$A$2:$I$2905,AA$2,FALSE),0)</f>
        <v>0</v>
      </c>
      <c r="AB41" s="16">
        <f>IFERROR(VLOOKUP($U41,costs!$A$2:$I$2905,AB$2,FALSE),0)</f>
        <v>0</v>
      </c>
      <c r="AC41" s="16">
        <f>IFERROR(VLOOKUP($U41,costs!$A$2:$I$2905,AC$2,FALSE),0)</f>
        <v>0</v>
      </c>
      <c r="AE41" s="40" t="s">
        <v>4036</v>
      </c>
      <c r="AF41" s="16">
        <f>Glasindustrie!E540</f>
        <v>0</v>
      </c>
      <c r="AG41" s="346">
        <f>Glasindustrie!F540</f>
        <v>0</v>
      </c>
      <c r="AH41" s="346">
        <f>Glasindustrie!G540</f>
        <v>0</v>
      </c>
      <c r="AI41" s="346">
        <f>Glasindustrie!H540</f>
        <v>0</v>
      </c>
      <c r="AJ41" s="346">
        <f>Glasindustrie!I540</f>
        <v>0</v>
      </c>
      <c r="AK41" s="346">
        <f>Glasindustrie!J540</f>
        <v>0</v>
      </c>
      <c r="AL41" s="346">
        <f>Glasindustrie!K540</f>
        <v>0</v>
      </c>
      <c r="AM41" s="346">
        <f>Glasindustrie!L540</f>
        <v>0</v>
      </c>
      <c r="AO41" s="272" t="s">
        <v>278</v>
      </c>
      <c r="AP41" s="16">
        <f>IFERROR(VLOOKUP($AO41,costs!$A$2:$I$2905,AP$2,FALSE),0)</f>
        <v>0</v>
      </c>
      <c r="AQ41" s="16">
        <f>IFERROR(VLOOKUP($AO41,costs!$A$2:$I$2905,AQ$2,FALSE),0)</f>
        <v>0</v>
      </c>
      <c r="AR41" s="16">
        <f>IFERROR(VLOOKUP($AO41,costs!$A$2:$I$2905,AR$2,FALSE),0)</f>
        <v>0</v>
      </c>
      <c r="AS41" s="16">
        <f>IFERROR(VLOOKUP($AO41,costs!$A$2:$I$2905,AS$2,FALSE),0)</f>
        <v>0</v>
      </c>
      <c r="AT41" s="16">
        <f>IFERROR(VLOOKUP($AO41,costs!$A$2:$I$2905,AT$2,FALSE),0)</f>
        <v>0</v>
      </c>
      <c r="AU41" s="16">
        <f>IFERROR(VLOOKUP($AO41,costs!$A$2:$I$2905,AU$2,FALSE),0)</f>
        <v>0</v>
      </c>
      <c r="AV41" s="16">
        <f>IFERROR(VLOOKUP($AO41,costs!$A$2:$I$2905,AV$2,FALSE),0)</f>
        <v>0</v>
      </c>
      <c r="AW41" s="16">
        <f>IFERROR(VLOOKUP($AO41,costs!$A$2:$I$2905,AW$2,FALSE),0)</f>
        <v>0</v>
      </c>
      <c r="AY41" s="273" t="s">
        <v>306</v>
      </c>
      <c r="AZ41" s="16">
        <f>IFERROR(VLOOKUP($AY41,costs!$A$2:$I$2905,AZ$2,FALSE),0)</f>
        <v>0</v>
      </c>
      <c r="BA41" s="16">
        <f>IFERROR(VLOOKUP($AY41,costs!$A$2:$I$2905,BA$2,FALSE),0)</f>
        <v>0</v>
      </c>
      <c r="BB41" s="16">
        <f>IFERROR(VLOOKUP($AY41,costs!$A$2:$I$2905,BB$2,FALSE),0)</f>
        <v>0</v>
      </c>
      <c r="BC41" s="16">
        <f>IFERROR(VLOOKUP($AY41,costs!$A$2:$I$2905,BC$2,FALSE),0)</f>
        <v>0</v>
      </c>
      <c r="BD41" s="16">
        <f>IFERROR(VLOOKUP($AY41,costs!$A$2:$I$2905,BD$2,FALSE),0)</f>
        <v>0</v>
      </c>
      <c r="BE41" s="16">
        <f>IFERROR(VLOOKUP($AY41,costs!$A$2:$I$2905,BE$2,FALSE),0)</f>
        <v>0</v>
      </c>
      <c r="BF41" s="16">
        <f>IFERROR(VLOOKUP($AY41,costs!$A$2:$I$2905,BF$2,FALSE),0)</f>
        <v>0</v>
      </c>
      <c r="BG41" s="16">
        <f>IFERROR(VLOOKUP($AY41,costs!$A$2:$I$2905,BG$2,FALSE),0)</f>
        <v>0</v>
      </c>
    </row>
    <row r="42" spans="2:59" x14ac:dyDescent="0.35">
      <c r="U42" s="272" t="s">
        <v>2047</v>
      </c>
      <c r="V42" s="16">
        <f>IFERROR(VLOOKUP($U42,costs!$A$2:$I$2905,V$2,FALSE),0)</f>
        <v>0</v>
      </c>
      <c r="W42" s="16">
        <f>IFERROR(VLOOKUP($U42,costs!$A$2:$I$2905,W$2,FALSE),0)</f>
        <v>0</v>
      </c>
      <c r="X42" s="16">
        <f>IFERROR(VLOOKUP($U42,costs!$A$2:$I$2905,X$2,FALSE),0)</f>
        <v>0</v>
      </c>
      <c r="Y42" s="16">
        <f>IFERROR(VLOOKUP($U42,costs!$A$2:$I$2905,Y$2,FALSE),0)</f>
        <v>0</v>
      </c>
      <c r="Z42" s="16">
        <f>IFERROR(VLOOKUP($U42,costs!$A$2:$I$2905,Z$2,FALSE),0)</f>
        <v>0</v>
      </c>
      <c r="AA42" s="16">
        <f>IFERROR(VLOOKUP($U42,costs!$A$2:$I$2905,AA$2,FALSE),0)</f>
        <v>0</v>
      </c>
      <c r="AB42" s="16">
        <f>IFERROR(VLOOKUP($U42,costs!$A$2:$I$2905,AB$2,FALSE),0)</f>
        <v>0</v>
      </c>
      <c r="AC42" s="16">
        <f>IFERROR(VLOOKUP($U42,costs!$A$2:$I$2905,AC$2,FALSE),0)</f>
        <v>0</v>
      </c>
      <c r="AE42" s="40" t="s">
        <v>3784</v>
      </c>
      <c r="AF42" s="16">
        <f>IFERROR(VLOOKUP($AE42,costs!$A$2:$I$2905,AF$2,FALSE),0)</f>
        <v>0</v>
      </c>
      <c r="AG42" s="16">
        <f>IFERROR(VLOOKUP($AE42,costs!$A$2:$I$2905,AG$2,FALSE),0)</f>
        <v>0</v>
      </c>
      <c r="AH42" s="16">
        <f>IFERROR(VLOOKUP($AE42,costs!$A$2:$I$2905,AH$2,FALSE),0)</f>
        <v>0</v>
      </c>
      <c r="AI42" s="16">
        <f>IFERROR(VLOOKUP($AE42,costs!$A$2:$I$2905,AI$2,FALSE),0)</f>
        <v>0</v>
      </c>
      <c r="AJ42" s="16">
        <f>IFERROR(VLOOKUP($AE42,costs!$A$2:$I$2905,AJ$2,FALSE),0)</f>
        <v>0</v>
      </c>
      <c r="AK42" s="16">
        <f>IFERROR(VLOOKUP($AE42,costs!$A$2:$I$2905,AK$2,FALSE),0)</f>
        <v>0</v>
      </c>
      <c r="AL42" s="16">
        <f>IFERROR(VLOOKUP($AE42,costs!$A$2:$I$2905,AL$2,FALSE),0)</f>
        <v>0</v>
      </c>
      <c r="AM42" s="16">
        <f>IFERROR(VLOOKUP($AE42,costs!$A$2:$I$2905,AM$2,FALSE),0)</f>
        <v>0</v>
      </c>
      <c r="AO42" s="273" t="s">
        <v>279</v>
      </c>
      <c r="AP42" s="16">
        <f>IFERROR(VLOOKUP($AO42,costs!$A$2:$I$2905,AP$2,FALSE),0)</f>
        <v>0</v>
      </c>
      <c r="AQ42" s="16">
        <f>IFERROR(VLOOKUP($AO42,costs!$A$2:$I$2905,AQ$2,FALSE),0)</f>
        <v>0</v>
      </c>
      <c r="AR42" s="16">
        <f>IFERROR(VLOOKUP($AO42,costs!$A$2:$I$2905,AR$2,FALSE),0)</f>
        <v>0</v>
      </c>
      <c r="AS42" s="16">
        <f>IFERROR(VLOOKUP($AO42,costs!$A$2:$I$2905,AS$2,FALSE),0)</f>
        <v>0</v>
      </c>
      <c r="AT42" s="16">
        <f>IFERROR(VLOOKUP($AO42,costs!$A$2:$I$2905,AT$2,FALSE),0)</f>
        <v>0</v>
      </c>
      <c r="AU42" s="16">
        <f>IFERROR(VLOOKUP($AO42,costs!$A$2:$I$2905,AU$2,FALSE),0)</f>
        <v>0</v>
      </c>
      <c r="AV42" s="16">
        <f>IFERROR(VLOOKUP($AO42,costs!$A$2:$I$2905,AV$2,FALSE),0)</f>
        <v>0</v>
      </c>
      <c r="AW42" s="16">
        <f>IFERROR(VLOOKUP($AO42,costs!$A$2:$I$2905,AW$2,FALSE),0)</f>
        <v>0</v>
      </c>
      <c r="AY42" s="272" t="s">
        <v>215</v>
      </c>
      <c r="AZ42" s="16">
        <f>IFERROR(VLOOKUP($AY42,costs!$A$2:$I$2905,AZ$2,FALSE),0)</f>
        <v>0</v>
      </c>
      <c r="BA42" s="16">
        <f>IFERROR(VLOOKUP($AY42,costs!$A$2:$I$2905,BA$2,FALSE),0)</f>
        <v>0</v>
      </c>
      <c r="BB42" s="16">
        <f>IFERROR(VLOOKUP($AY42,costs!$A$2:$I$2905,BB$2,FALSE),0)</f>
        <v>0</v>
      </c>
      <c r="BC42" s="16">
        <f>IFERROR(VLOOKUP($AY42,costs!$A$2:$I$2905,BC$2,FALSE),0)</f>
        <v>0</v>
      </c>
      <c r="BD42" s="16">
        <f>IFERROR(VLOOKUP($AY42,costs!$A$2:$I$2905,BD$2,FALSE),0)</f>
        <v>0</v>
      </c>
      <c r="BE42" s="16">
        <f>IFERROR(VLOOKUP($AY42,costs!$A$2:$I$2905,BE$2,FALSE),0)</f>
        <v>0</v>
      </c>
      <c r="BF42" s="16">
        <f>IFERROR(VLOOKUP($AY42,costs!$A$2:$I$2905,BF$2,FALSE),0)</f>
        <v>0</v>
      </c>
      <c r="BG42" s="16">
        <f>IFERROR(VLOOKUP($AY42,costs!$A$2:$I$2905,BG$2,FALSE),0)</f>
        <v>0</v>
      </c>
    </row>
    <row r="43" spans="2:59" x14ac:dyDescent="0.35">
      <c r="U43" s="273" t="s">
        <v>484</v>
      </c>
      <c r="V43" s="16">
        <f>IFERROR(VLOOKUP($U43,costs!$A$2:$I$2905,V$2,FALSE),0)</f>
        <v>0</v>
      </c>
      <c r="W43" s="16">
        <f>IFERROR(VLOOKUP($U43,costs!$A$2:$I$2905,W$2,FALSE),0)</f>
        <v>0</v>
      </c>
      <c r="X43" s="16">
        <f>IFERROR(VLOOKUP($U43,costs!$A$2:$I$2905,X$2,FALSE),0)</f>
        <v>0</v>
      </c>
      <c r="Y43" s="16">
        <f>IFERROR(VLOOKUP($U43,costs!$A$2:$I$2905,Y$2,FALSE),0)</f>
        <v>0</v>
      </c>
      <c r="Z43" s="16">
        <f>IFERROR(VLOOKUP($U43,costs!$A$2:$I$2905,Z$2,FALSE),0)</f>
        <v>0</v>
      </c>
      <c r="AA43" s="16">
        <f>IFERROR(VLOOKUP($U43,costs!$A$2:$I$2905,AA$2,FALSE),0)</f>
        <v>0</v>
      </c>
      <c r="AB43" s="16">
        <f>IFERROR(VLOOKUP($U43,costs!$A$2:$I$2905,AB$2,FALSE),0)</f>
        <v>0</v>
      </c>
      <c r="AC43" s="16">
        <f>IFERROR(VLOOKUP($U43,costs!$A$2:$I$2905,AC$2,FALSE),0)</f>
        <v>0</v>
      </c>
      <c r="AE43" s="899" t="s">
        <v>3886</v>
      </c>
      <c r="AF43" s="346">
        <f>IFERROR(VLOOKUP($AE43,costs!$A$2:$I$2905,AF$2,FALSE),0)</f>
        <v>0</v>
      </c>
      <c r="AG43" s="346">
        <f>IFERROR(VLOOKUP($AE43,costs!$A$2:$I$2905,AG$2,FALSE),0)</f>
        <v>0</v>
      </c>
      <c r="AH43" s="346">
        <f>IFERROR(VLOOKUP($AE43,costs!$A$2:$I$2905,AH$2,FALSE),0)</f>
        <v>0</v>
      </c>
      <c r="AI43" s="346">
        <f>IFERROR(VLOOKUP($AE43,costs!$A$2:$I$2905,AI$2,FALSE),0)</f>
        <v>0</v>
      </c>
      <c r="AJ43" s="346">
        <f>IFERROR(VLOOKUP($AE43,costs!$A$2:$I$2905,AJ$2,FALSE),0)</f>
        <v>0</v>
      </c>
      <c r="AK43" s="346">
        <f>IFERROR(VLOOKUP($AE43,costs!$A$2:$I$2905,AK$2,FALSE),0)</f>
        <v>0</v>
      </c>
      <c r="AL43" s="346">
        <f>IFERROR(VLOOKUP($AE43,costs!$A$2:$I$2905,AL$2,FALSE),0)</f>
        <v>0</v>
      </c>
      <c r="AM43" s="346">
        <f>IFERROR(VLOOKUP($AE43,costs!$A$2:$I$2905,AM$2,FALSE),0)</f>
        <v>0</v>
      </c>
      <c r="AO43" s="273" t="s">
        <v>3971</v>
      </c>
      <c r="AP43" s="16">
        <f>IFERROR(VLOOKUP($AO43,costs!$A$2:$I$2905,AP$2,FALSE),0)</f>
        <v>0</v>
      </c>
      <c r="AQ43" s="16">
        <f>IFERROR(VLOOKUP($AO43,costs!$A$2:$I$2905,AQ$2,FALSE),0)</f>
        <v>0</v>
      </c>
      <c r="AR43" s="16">
        <f>IFERROR(VLOOKUP($AO43,costs!$A$2:$I$2905,AR$2,FALSE),0)</f>
        <v>0</v>
      </c>
      <c r="AS43" s="16">
        <f>IFERROR(VLOOKUP($AO43,costs!$A$2:$I$2905,AS$2,FALSE),0)</f>
        <v>0</v>
      </c>
      <c r="AT43" s="16">
        <f>IFERROR(VLOOKUP($AO43,costs!$A$2:$I$2905,AT$2,FALSE),0)</f>
        <v>0</v>
      </c>
      <c r="AU43" s="16">
        <f>IFERROR(VLOOKUP($AO43,costs!$A$2:$I$2905,AU$2,FALSE),0)</f>
        <v>0</v>
      </c>
      <c r="AV43" s="16">
        <f>IFERROR(VLOOKUP($AO43,costs!$A$2:$I$2905,AV$2,FALSE),0)</f>
        <v>0</v>
      </c>
      <c r="AW43" s="16">
        <f>IFERROR(VLOOKUP($AO43,costs!$A$2:$I$2905,AW$2,FALSE),0)</f>
        <v>0</v>
      </c>
      <c r="AY43" s="273" t="s">
        <v>2087</v>
      </c>
      <c r="AZ43" s="16">
        <f>IFERROR(VLOOKUP($AY43,costs!$A$2:$I$2905,AZ$2,FALSE),0)</f>
        <v>0</v>
      </c>
      <c r="BA43" s="16">
        <f>IFERROR(VLOOKUP($AY43,costs!$A$2:$I$2905,BA$2,FALSE),0)</f>
        <v>0</v>
      </c>
      <c r="BB43" s="16">
        <f>IFERROR(VLOOKUP($AY43,costs!$A$2:$I$2905,BB$2,FALSE),0)</f>
        <v>0</v>
      </c>
      <c r="BC43" s="16">
        <f>IFERROR(VLOOKUP($AY43,costs!$A$2:$I$2905,BC$2,FALSE),0)</f>
        <v>0</v>
      </c>
      <c r="BD43" s="16">
        <f>IFERROR(VLOOKUP($AY43,costs!$A$2:$I$2905,BD$2,FALSE),0)</f>
        <v>0</v>
      </c>
      <c r="BE43" s="16">
        <f>IFERROR(VLOOKUP($AY43,costs!$A$2:$I$2905,BE$2,FALSE),0)</f>
        <v>0</v>
      </c>
      <c r="BF43" s="16">
        <f>IFERROR(VLOOKUP($AY43,costs!$A$2:$I$2905,BF$2,FALSE),0)</f>
        <v>0</v>
      </c>
      <c r="BG43" s="16">
        <f>IFERROR(VLOOKUP($AY43,costs!$A$2:$I$2905,BG$2,FALSE),0)</f>
        <v>0</v>
      </c>
    </row>
    <row r="44" spans="2:59" x14ac:dyDescent="0.35">
      <c r="U44" s="272" t="s">
        <v>485</v>
      </c>
      <c r="V44" s="16">
        <f>IFERROR(VLOOKUP($U44,costs!$A$2:$I$2905,V$2,FALSE),0)</f>
        <v>0</v>
      </c>
      <c r="W44" s="16">
        <f>IFERROR(VLOOKUP($U44,costs!$A$2:$I$2905,W$2,FALSE),0)</f>
        <v>0</v>
      </c>
      <c r="X44" s="16">
        <f>IFERROR(VLOOKUP($U44,costs!$A$2:$I$2905,X$2,FALSE),0)</f>
        <v>0</v>
      </c>
      <c r="Y44" s="16">
        <f>IFERROR(VLOOKUP($U44,costs!$A$2:$I$2905,Y$2,FALSE),0)</f>
        <v>0</v>
      </c>
      <c r="Z44" s="16">
        <f>IFERROR(VLOOKUP($U44,costs!$A$2:$I$2905,Z$2,FALSE),0)</f>
        <v>0</v>
      </c>
      <c r="AA44" s="16">
        <f>IFERROR(VLOOKUP($U44,costs!$A$2:$I$2905,AA$2,FALSE),0)</f>
        <v>0</v>
      </c>
      <c r="AB44" s="16">
        <f>IFERROR(VLOOKUP($U44,costs!$A$2:$I$2905,AB$2,FALSE),0)</f>
        <v>0</v>
      </c>
      <c r="AC44" s="16">
        <f>IFERROR(VLOOKUP($U44,costs!$A$2:$I$2905,AC$2,FALSE),0)</f>
        <v>0</v>
      </c>
      <c r="AE44" s="40" t="s">
        <v>3884</v>
      </c>
      <c r="AF44" s="16">
        <f>IFERROR(VLOOKUP($AE44,costs!$A$2:$I$2905,AF$2,FALSE),0)</f>
        <v>0</v>
      </c>
      <c r="AG44" s="16">
        <f>IFERROR(VLOOKUP($AE44,costs!$A$2:$I$2905,AG$2,FALSE),0)</f>
        <v>0</v>
      </c>
      <c r="AH44" s="16">
        <f>IFERROR(VLOOKUP($AE44,costs!$A$2:$I$2905,AH$2,FALSE),0)</f>
        <v>0</v>
      </c>
      <c r="AI44" s="16">
        <f>IFERROR(VLOOKUP($AE44,costs!$A$2:$I$2905,AI$2,FALSE),0)</f>
        <v>0</v>
      </c>
      <c r="AJ44" s="16">
        <f>IFERROR(VLOOKUP($AE44,costs!$A$2:$I$2905,AJ$2,FALSE),0)</f>
        <v>0</v>
      </c>
      <c r="AK44" s="16">
        <f>IFERROR(VLOOKUP($AE44,costs!$A$2:$I$2905,AK$2,FALSE),0)</f>
        <v>0</v>
      </c>
      <c r="AL44" s="16">
        <f>IFERROR(VLOOKUP($AE44,costs!$A$2:$I$2905,AL$2,FALSE),0)</f>
        <v>0</v>
      </c>
      <c r="AM44" s="16">
        <f>IFERROR(VLOOKUP($AE44,costs!$A$2:$I$2905,AM$2,FALSE),0)</f>
        <v>0</v>
      </c>
      <c r="AO44" s="40" t="s">
        <v>435</v>
      </c>
      <c r="AP44" s="346">
        <f>IFERROR(VLOOKUP($AO44,costs!$A$2:$I$2905,AP$2,FALSE),0)</f>
        <v>0</v>
      </c>
      <c r="AQ44" s="346">
        <f>IFERROR(VLOOKUP($AO44,costs!$A$2:$I$2905,AQ$2,FALSE),0)</f>
        <v>0</v>
      </c>
      <c r="AR44" s="346">
        <f>IFERROR(VLOOKUP($AO44,costs!$A$2:$I$2905,AR$2,FALSE),0)</f>
        <v>0</v>
      </c>
      <c r="AS44" s="346">
        <f>IFERROR(VLOOKUP($AO44,costs!$A$2:$I$2905,AS$2,FALSE),0)</f>
        <v>0</v>
      </c>
      <c r="AT44" s="346">
        <f>IFERROR(VLOOKUP($AO44,costs!$A$2:$I$2905,AT$2,FALSE),0)</f>
        <v>0</v>
      </c>
      <c r="AU44" s="346">
        <f>IFERROR(VLOOKUP($AO44,costs!$A$2:$I$2905,AU$2,FALSE),0)</f>
        <v>0</v>
      </c>
      <c r="AV44" s="346">
        <f>IFERROR(VLOOKUP($AO44,costs!$A$2:$I$2905,AV$2,FALSE),0)</f>
        <v>0</v>
      </c>
      <c r="AW44" s="346">
        <f>IFERROR(VLOOKUP($AO44,costs!$A$2:$I$2905,AW$2,FALSE),0)</f>
        <v>0</v>
      </c>
      <c r="AY44" s="272" t="s">
        <v>347</v>
      </c>
      <c r="AZ44" s="16">
        <f>IFERROR(VLOOKUP($AY44,costs!$A$2:$I$2905,AZ$2,FALSE),0)</f>
        <v>0</v>
      </c>
      <c r="BA44" s="16">
        <f>IFERROR(VLOOKUP($AY44,costs!$A$2:$I$2905,BA$2,FALSE),0)</f>
        <v>0</v>
      </c>
      <c r="BB44" s="16">
        <f>IFERROR(VLOOKUP($AY44,costs!$A$2:$I$2905,BB$2,FALSE),0)</f>
        <v>0</v>
      </c>
      <c r="BC44" s="16">
        <f>IFERROR(VLOOKUP($AY44,costs!$A$2:$I$2905,BC$2,FALSE),0)</f>
        <v>0</v>
      </c>
      <c r="BD44" s="16">
        <f>IFERROR(VLOOKUP($AY44,costs!$A$2:$I$2905,BD$2,FALSE),0)</f>
        <v>0</v>
      </c>
      <c r="BE44" s="16">
        <f>IFERROR(VLOOKUP($AY44,costs!$A$2:$I$2905,BE$2,FALSE),0)</f>
        <v>0</v>
      </c>
      <c r="BF44" s="16">
        <f>IFERROR(VLOOKUP($AY44,costs!$A$2:$I$2905,BF$2,FALSE),0)</f>
        <v>0</v>
      </c>
      <c r="BG44" s="16">
        <f>IFERROR(VLOOKUP($AY44,costs!$A$2:$I$2905,BG$2,FALSE),0)</f>
        <v>0</v>
      </c>
    </row>
    <row r="45" spans="2:59" x14ac:dyDescent="0.35">
      <c r="U45" s="273" t="s">
        <v>2048</v>
      </c>
      <c r="V45" s="16">
        <f>IFERROR(VLOOKUP($U45,costs!$A$2:$I$2905,V$2,FALSE),0)</f>
        <v>0</v>
      </c>
      <c r="W45" s="16">
        <f>IFERROR(VLOOKUP($U45,costs!$A$2:$I$2905,W$2,FALSE),0)</f>
        <v>0</v>
      </c>
      <c r="X45" s="16">
        <f>IFERROR(VLOOKUP($U45,costs!$A$2:$I$2905,X$2,FALSE),0)</f>
        <v>0</v>
      </c>
      <c r="Y45" s="16">
        <f>IFERROR(VLOOKUP($U45,costs!$A$2:$I$2905,Y$2,FALSE),0)</f>
        <v>0</v>
      </c>
      <c r="Z45" s="16">
        <f>IFERROR(VLOOKUP($U45,costs!$A$2:$I$2905,Z$2,FALSE),0)</f>
        <v>0</v>
      </c>
      <c r="AA45" s="16">
        <f>IFERROR(VLOOKUP($U45,costs!$A$2:$I$2905,AA$2,FALSE),0)</f>
        <v>0</v>
      </c>
      <c r="AB45" s="16">
        <f>IFERROR(VLOOKUP($U45,costs!$A$2:$I$2905,AB$2,FALSE),0)</f>
        <v>0</v>
      </c>
      <c r="AC45" s="16">
        <f>IFERROR(VLOOKUP($U45,costs!$A$2:$I$2905,AC$2,FALSE),0)</f>
        <v>0</v>
      </c>
      <c r="AE45" s="40" t="s">
        <v>3889</v>
      </c>
      <c r="AF45" s="346">
        <f>IFERROR(VLOOKUP($AE45,costs!$A$2:$I$2905,AF$2,FALSE),0)</f>
        <v>0</v>
      </c>
      <c r="AG45" s="346">
        <f>IFERROR(VLOOKUP($AE45,costs!$A$2:$I$2905,AG$2,FALSE),0)</f>
        <v>0</v>
      </c>
      <c r="AH45" s="346">
        <f>IFERROR(VLOOKUP($AE45,costs!$A$2:$I$2905,AH$2,FALSE),0)</f>
        <v>0</v>
      </c>
      <c r="AI45" s="346">
        <f>IFERROR(VLOOKUP($AE45,costs!$A$2:$I$2905,AI$2,FALSE),0)</f>
        <v>0</v>
      </c>
      <c r="AJ45" s="346">
        <f>IFERROR(VLOOKUP($AE45,costs!$A$2:$I$2905,AJ$2,FALSE),0)</f>
        <v>0</v>
      </c>
      <c r="AK45" s="346">
        <f>IFERROR(VLOOKUP($AE45,costs!$A$2:$I$2905,AK$2,FALSE),0)</f>
        <v>0</v>
      </c>
      <c r="AL45" s="346">
        <f>IFERROR(VLOOKUP($AE45,costs!$A$2:$I$2905,AL$2,FALSE),0)</f>
        <v>0</v>
      </c>
      <c r="AM45" s="346">
        <f>IFERROR(VLOOKUP($AE45,costs!$A$2:$I$2905,AM$2,FALSE),0)</f>
        <v>0</v>
      </c>
      <c r="AO45" s="40" t="s">
        <v>436</v>
      </c>
      <c r="AP45" s="346">
        <f>IFERROR(VLOOKUP($AO45,costs!$A$2:$I$2905,AP$2,FALSE),0)</f>
        <v>0</v>
      </c>
      <c r="AQ45" s="346">
        <f>IFERROR(VLOOKUP($AO45,costs!$A$2:$I$2905,AQ$2,FALSE),0)</f>
        <v>0</v>
      </c>
      <c r="AR45" s="346">
        <f>IFERROR(VLOOKUP($AO45,costs!$A$2:$I$2905,AR$2,FALSE),0)</f>
        <v>0</v>
      </c>
      <c r="AS45" s="346">
        <f>IFERROR(VLOOKUP($AO45,costs!$A$2:$I$2905,AS$2,FALSE),0)</f>
        <v>0</v>
      </c>
      <c r="AT45" s="346">
        <f>IFERROR(VLOOKUP($AO45,costs!$A$2:$I$2905,AT$2,FALSE),0)</f>
        <v>0</v>
      </c>
      <c r="AU45" s="346">
        <f>IFERROR(VLOOKUP($AO45,costs!$A$2:$I$2905,AU$2,FALSE),0)</f>
        <v>0</v>
      </c>
      <c r="AV45" s="346">
        <f>IFERROR(VLOOKUP($AO45,costs!$A$2:$I$2905,AV$2,FALSE),0)</f>
        <v>0</v>
      </c>
      <c r="AW45" s="346">
        <f>IFERROR(VLOOKUP($AO45,costs!$A$2:$I$2905,AW$2,FALSE),0)</f>
        <v>0</v>
      </c>
      <c r="AY45" s="273" t="s">
        <v>312</v>
      </c>
      <c r="AZ45" s="16">
        <f>IFERROR(VLOOKUP($AY45,costs!$A$2:$I$2905,AZ$2,FALSE),0)</f>
        <v>0</v>
      </c>
      <c r="BA45" s="16">
        <f>IFERROR(VLOOKUP($AY45,costs!$A$2:$I$2905,BA$2,FALSE),0)</f>
        <v>0</v>
      </c>
      <c r="BB45" s="16">
        <f>IFERROR(VLOOKUP($AY45,costs!$A$2:$I$2905,BB$2,FALSE),0)</f>
        <v>0</v>
      </c>
      <c r="BC45" s="16">
        <f>IFERROR(VLOOKUP($AY45,costs!$A$2:$I$2905,BC$2,FALSE),0)</f>
        <v>0</v>
      </c>
      <c r="BD45" s="16">
        <f>IFERROR(VLOOKUP($AY45,costs!$A$2:$I$2905,BD$2,FALSE),0)</f>
        <v>0</v>
      </c>
      <c r="BE45" s="16">
        <f>IFERROR(VLOOKUP($AY45,costs!$A$2:$I$2905,BE$2,FALSE),0)</f>
        <v>0</v>
      </c>
      <c r="BF45" s="16">
        <f>IFERROR(VLOOKUP($AY45,costs!$A$2:$I$2905,BF$2,FALSE),0)</f>
        <v>0</v>
      </c>
      <c r="BG45" s="16">
        <f>IFERROR(VLOOKUP($AY45,costs!$A$2:$I$2905,BG$2,FALSE),0)</f>
        <v>0</v>
      </c>
    </row>
    <row r="46" spans="2:59" x14ac:dyDescent="0.35">
      <c r="U46" s="272" t="s">
        <v>486</v>
      </c>
      <c r="V46" s="16">
        <f>IFERROR(VLOOKUP($U46,costs!$A$2:$I$2905,V$2,FALSE),0)</f>
        <v>0</v>
      </c>
      <c r="W46" s="16">
        <f>IFERROR(VLOOKUP($U46,costs!$A$2:$I$2905,W$2,FALSE),0)</f>
        <v>0</v>
      </c>
      <c r="X46" s="16">
        <f>IFERROR(VLOOKUP($U46,costs!$A$2:$I$2905,X$2,FALSE),0)</f>
        <v>0</v>
      </c>
      <c r="Y46" s="16">
        <f>IFERROR(VLOOKUP($U46,costs!$A$2:$I$2905,Y$2,FALSE),0)</f>
        <v>0</v>
      </c>
      <c r="Z46" s="16">
        <f>IFERROR(VLOOKUP($U46,costs!$A$2:$I$2905,Z$2,FALSE),0)</f>
        <v>0</v>
      </c>
      <c r="AA46" s="16">
        <f>IFERROR(VLOOKUP($U46,costs!$A$2:$I$2905,AA$2,FALSE),0)</f>
        <v>0</v>
      </c>
      <c r="AB46" s="16">
        <f>IFERROR(VLOOKUP($U46,costs!$A$2:$I$2905,AB$2,FALSE),0)</f>
        <v>0</v>
      </c>
      <c r="AC46" s="16">
        <f>IFERROR(VLOOKUP($U46,costs!$A$2:$I$2905,AC$2,FALSE),0)</f>
        <v>0</v>
      </c>
      <c r="AE46" s="899" t="s">
        <v>3888</v>
      </c>
      <c r="AF46" s="346">
        <f>IFERROR(VLOOKUP($AE46,costs!$A$2:$I$2905,AF$2,FALSE),0)</f>
        <v>0</v>
      </c>
      <c r="AG46" s="346">
        <f>IFERROR(VLOOKUP($AE46,costs!$A$2:$I$2905,AG$2,FALSE),0)</f>
        <v>0</v>
      </c>
      <c r="AH46" s="346">
        <f>IFERROR(VLOOKUP($AE46,costs!$A$2:$I$2905,AH$2,FALSE),0)</f>
        <v>0</v>
      </c>
      <c r="AI46" s="346">
        <f>IFERROR(VLOOKUP($AE46,costs!$A$2:$I$2905,AI$2,FALSE),0)</f>
        <v>0</v>
      </c>
      <c r="AJ46" s="346">
        <f>IFERROR(VLOOKUP($AE46,costs!$A$2:$I$2905,AJ$2,FALSE),0)</f>
        <v>0</v>
      </c>
      <c r="AK46" s="346">
        <f>IFERROR(VLOOKUP($AE46,costs!$A$2:$I$2905,AK$2,FALSE),0)</f>
        <v>0</v>
      </c>
      <c r="AL46" s="346">
        <f>IFERROR(VLOOKUP($AE46,costs!$A$2:$I$2905,AL$2,FALSE),0)</f>
        <v>0</v>
      </c>
      <c r="AM46" s="346">
        <f>IFERROR(VLOOKUP($AE46,costs!$A$2:$I$2905,AM$2,FALSE),0)</f>
        <v>0</v>
      </c>
      <c r="AO46" s="40" t="s">
        <v>434</v>
      </c>
      <c r="AP46" s="346">
        <f>IFERROR(VLOOKUP($AO46,costs!$A$2:$I$2905,AP$2,FALSE),0)</f>
        <v>0</v>
      </c>
      <c r="AQ46" s="346">
        <f>IFERROR(VLOOKUP($AO46,costs!$A$2:$I$2905,AQ$2,FALSE),0)</f>
        <v>0</v>
      </c>
      <c r="AR46" s="346">
        <f>IFERROR(VLOOKUP($AO46,costs!$A$2:$I$2905,AR$2,FALSE),0)</f>
        <v>0</v>
      </c>
      <c r="AS46" s="346">
        <f>IFERROR(VLOOKUP($AO46,costs!$A$2:$I$2905,AS$2,FALSE),0)</f>
        <v>0</v>
      </c>
      <c r="AT46" s="346">
        <f>IFERROR(VLOOKUP($AO46,costs!$A$2:$I$2905,AT$2,FALSE),0)</f>
        <v>0</v>
      </c>
      <c r="AU46" s="346">
        <f>IFERROR(VLOOKUP($AO46,costs!$A$2:$I$2905,AU$2,FALSE),0)</f>
        <v>0</v>
      </c>
      <c r="AV46" s="346">
        <f>IFERROR(VLOOKUP($AO46,costs!$A$2:$I$2905,AV$2,FALSE),0)</f>
        <v>0</v>
      </c>
      <c r="AW46" s="346">
        <f>IFERROR(VLOOKUP($AO46,costs!$A$2:$I$2905,AW$2,FALSE),0)</f>
        <v>0</v>
      </c>
      <c r="AY46" s="272" t="s">
        <v>304</v>
      </c>
      <c r="AZ46" s="16">
        <f>IFERROR(VLOOKUP($AY46,costs!$A$2:$I$2905,AZ$2,FALSE),0)</f>
        <v>0</v>
      </c>
      <c r="BA46" s="16">
        <f>IFERROR(VLOOKUP($AY46,costs!$A$2:$I$2905,BA$2,FALSE),0)</f>
        <v>0</v>
      </c>
      <c r="BB46" s="16">
        <f>IFERROR(VLOOKUP($AY46,costs!$A$2:$I$2905,BB$2,FALSE),0)</f>
        <v>0</v>
      </c>
      <c r="BC46" s="16">
        <f>IFERROR(VLOOKUP($AY46,costs!$A$2:$I$2905,BC$2,FALSE),0)</f>
        <v>0</v>
      </c>
      <c r="BD46" s="16">
        <f>IFERROR(VLOOKUP($AY46,costs!$A$2:$I$2905,BD$2,FALSE),0)</f>
        <v>0</v>
      </c>
      <c r="BE46" s="16">
        <f>IFERROR(VLOOKUP($AY46,costs!$A$2:$I$2905,BE$2,FALSE),0)</f>
        <v>0</v>
      </c>
      <c r="BF46" s="16">
        <f>IFERROR(VLOOKUP($AY46,costs!$A$2:$I$2905,BF$2,FALSE),0)</f>
        <v>0</v>
      </c>
      <c r="BG46" s="16">
        <f>IFERROR(VLOOKUP($AY46,costs!$A$2:$I$2905,BG$2,FALSE),0)</f>
        <v>0</v>
      </c>
    </row>
    <row r="47" spans="2:59" x14ac:dyDescent="0.35">
      <c r="U47" s="273" t="s">
        <v>487</v>
      </c>
      <c r="V47" s="16">
        <f>IFERROR(VLOOKUP($U47,costs!$A$2:$I$2905,V$2,FALSE),0)</f>
        <v>0</v>
      </c>
      <c r="W47" s="16">
        <f>IFERROR(VLOOKUP($U47,costs!$A$2:$I$2905,W$2,FALSE),0)</f>
        <v>0</v>
      </c>
      <c r="X47" s="16">
        <f>IFERROR(VLOOKUP($U47,costs!$A$2:$I$2905,X$2,FALSE),0)</f>
        <v>0</v>
      </c>
      <c r="Y47" s="16">
        <f>IFERROR(VLOOKUP($U47,costs!$A$2:$I$2905,Y$2,FALSE),0)</f>
        <v>0</v>
      </c>
      <c r="Z47" s="16">
        <f>IFERROR(VLOOKUP($U47,costs!$A$2:$I$2905,Z$2,FALSE),0)</f>
        <v>0</v>
      </c>
      <c r="AA47" s="16">
        <f>IFERROR(VLOOKUP($U47,costs!$A$2:$I$2905,AA$2,FALSE),0)</f>
        <v>0</v>
      </c>
      <c r="AB47" s="16">
        <f>IFERROR(VLOOKUP($U47,costs!$A$2:$I$2905,AB$2,FALSE),0)</f>
        <v>0</v>
      </c>
      <c r="AC47" s="16">
        <f>IFERROR(VLOOKUP($U47,costs!$A$2:$I$2905,AC$2,FALSE),0)</f>
        <v>0</v>
      </c>
      <c r="AE47" s="40" t="s">
        <v>355</v>
      </c>
      <c r="AF47" s="16">
        <f>IFERROR(VLOOKUP($AE47,costs!$A$2:$I$2905,AF$2,FALSE),0)</f>
        <v>0</v>
      </c>
      <c r="AG47" s="16">
        <f>IFERROR(VLOOKUP($AE47,costs!$A$2:$I$2905,AG$2,FALSE),0)</f>
        <v>0</v>
      </c>
      <c r="AH47" s="16">
        <f>IFERROR(VLOOKUP($AE47,costs!$A$2:$I$2905,AH$2,FALSE),0)</f>
        <v>0</v>
      </c>
      <c r="AI47" s="16">
        <f>IFERROR(VLOOKUP($AE47,costs!$A$2:$I$2905,AI$2,FALSE),0)</f>
        <v>0</v>
      </c>
      <c r="AJ47" s="16">
        <f>IFERROR(VLOOKUP($AE47,costs!$A$2:$I$2905,AJ$2,FALSE),0)</f>
        <v>0</v>
      </c>
      <c r="AK47" s="16">
        <f>IFERROR(VLOOKUP($AE47,costs!$A$2:$I$2905,AK$2,FALSE),0)</f>
        <v>0</v>
      </c>
      <c r="AL47" s="16">
        <f>IFERROR(VLOOKUP($AE47,costs!$A$2:$I$2905,AL$2,FALSE),0)</f>
        <v>0</v>
      </c>
      <c r="AM47" s="16">
        <f>IFERROR(VLOOKUP($AE47,costs!$A$2:$I$2905,AM$2,FALSE),0)</f>
        <v>0</v>
      </c>
      <c r="AO47" s="899" t="s">
        <v>4288</v>
      </c>
      <c r="AP47" s="16">
        <f>IFERROR(VLOOKUP($AO47,costs!$A$2:$I$2905,AP$2,FALSE),0)</f>
        <v>0</v>
      </c>
      <c r="AQ47" s="346">
        <f>IFERROR(VLOOKUP($AO47,costs!$A$2:$I$2905,AQ$2,FALSE),0)</f>
        <v>0</v>
      </c>
      <c r="AR47" s="346">
        <f>IFERROR(VLOOKUP($AO47,costs!$A$2:$I$2905,AR$2,FALSE),0)</f>
        <v>0</v>
      </c>
      <c r="AS47" s="346">
        <f>IFERROR(VLOOKUP($AO47,costs!$A$2:$I$2905,AS$2,FALSE),0)</f>
        <v>0</v>
      </c>
      <c r="AT47" s="346">
        <f>IFERROR(VLOOKUP($AO47,costs!$A$2:$I$2905,AT$2,FALSE),0)</f>
        <v>0</v>
      </c>
      <c r="AU47" s="346">
        <f>IFERROR(VLOOKUP($AO47,costs!$A$2:$I$2905,AU$2,FALSE),0)</f>
        <v>0</v>
      </c>
      <c r="AV47" s="346">
        <f>IFERROR(VLOOKUP($AO47,costs!$A$2:$I$2905,AV$2,FALSE),0)</f>
        <v>0</v>
      </c>
      <c r="AW47" s="346">
        <f>IFERROR(VLOOKUP($AO47,costs!$A$2:$I$2905,AW$2,FALSE),0)</f>
        <v>0</v>
      </c>
      <c r="AY47" s="273" t="s">
        <v>2088</v>
      </c>
      <c r="AZ47" s="16">
        <f>IFERROR(VLOOKUP($AY47,costs!$A$2:$I$2905,AZ$2,FALSE),0)</f>
        <v>0</v>
      </c>
      <c r="BA47" s="16">
        <f>IFERROR(VLOOKUP($AY47,costs!$A$2:$I$2905,BA$2,FALSE),0)</f>
        <v>0</v>
      </c>
      <c r="BB47" s="16">
        <f>IFERROR(VLOOKUP($AY47,costs!$A$2:$I$2905,BB$2,FALSE),0)</f>
        <v>0</v>
      </c>
      <c r="BC47" s="16">
        <f>IFERROR(VLOOKUP($AY47,costs!$A$2:$I$2905,BC$2,FALSE),0)</f>
        <v>0</v>
      </c>
      <c r="BD47" s="16">
        <f>IFERROR(VLOOKUP($AY47,costs!$A$2:$I$2905,BD$2,FALSE),0)</f>
        <v>0</v>
      </c>
      <c r="BE47" s="16">
        <f>IFERROR(VLOOKUP($AY47,costs!$A$2:$I$2905,BE$2,FALSE),0)</f>
        <v>0</v>
      </c>
      <c r="BF47" s="16">
        <f>IFERROR(VLOOKUP($AY47,costs!$A$2:$I$2905,BF$2,FALSE),0)</f>
        <v>0</v>
      </c>
      <c r="BG47" s="16">
        <f>IFERROR(VLOOKUP($AY47,costs!$A$2:$I$2905,BG$2,FALSE),0)</f>
        <v>0</v>
      </c>
    </row>
    <row r="48" spans="2:59" x14ac:dyDescent="0.35">
      <c r="U48" s="272" t="s">
        <v>2049</v>
      </c>
      <c r="V48" s="16">
        <f>IFERROR(VLOOKUP($U48,costs!$A$2:$I$2905,V$2,FALSE),0)</f>
        <v>0</v>
      </c>
      <c r="W48" s="16">
        <f>IFERROR(VLOOKUP($U48,costs!$A$2:$I$2905,W$2,FALSE),0)</f>
        <v>0</v>
      </c>
      <c r="X48" s="16">
        <f>IFERROR(VLOOKUP($U48,costs!$A$2:$I$2905,X$2,FALSE),0)</f>
        <v>0</v>
      </c>
      <c r="Y48" s="16">
        <f>IFERROR(VLOOKUP($U48,costs!$A$2:$I$2905,Y$2,FALSE),0)</f>
        <v>0</v>
      </c>
      <c r="Z48" s="16">
        <f>IFERROR(VLOOKUP($U48,costs!$A$2:$I$2905,Z$2,FALSE),0)</f>
        <v>0</v>
      </c>
      <c r="AA48" s="16">
        <f>IFERROR(VLOOKUP($U48,costs!$A$2:$I$2905,AA$2,FALSE),0)</f>
        <v>0</v>
      </c>
      <c r="AB48" s="16">
        <f>IFERROR(VLOOKUP($U48,costs!$A$2:$I$2905,AB$2,FALSE),0)</f>
        <v>0</v>
      </c>
      <c r="AC48" s="16">
        <f>IFERROR(VLOOKUP($U48,costs!$A$2:$I$2905,AC$2,FALSE),0)</f>
        <v>0</v>
      </c>
      <c r="AE48" s="40" t="s">
        <v>1147</v>
      </c>
      <c r="AF48" s="16">
        <f>IFERROR(VLOOKUP($AE48,costs!$A$2:$I$2905,AF$2,FALSE),0)</f>
        <v>0</v>
      </c>
      <c r="AG48" s="16">
        <f>IFERROR(VLOOKUP($AE48,costs!$A$2:$I$2905,AG$2,FALSE),0)</f>
        <v>0</v>
      </c>
      <c r="AH48" s="16">
        <f>IFERROR(VLOOKUP($AE48,costs!$A$2:$I$2905,AH$2,FALSE),0)</f>
        <v>0</v>
      </c>
      <c r="AI48" s="16">
        <f>IFERROR(VLOOKUP($AE48,costs!$A$2:$I$2905,AI$2,FALSE),0)</f>
        <v>0</v>
      </c>
      <c r="AJ48" s="16">
        <f>IFERROR(VLOOKUP($AE48,costs!$A$2:$I$2905,AJ$2,FALSE),0)</f>
        <v>0</v>
      </c>
      <c r="AK48" s="16">
        <f>IFERROR(VLOOKUP($AE48,costs!$A$2:$I$2905,AK$2,FALSE),0)</f>
        <v>0</v>
      </c>
      <c r="AL48" s="16">
        <f>IFERROR(VLOOKUP($AE48,costs!$A$2:$I$2905,AL$2,FALSE),0)</f>
        <v>0</v>
      </c>
      <c r="AM48" s="16">
        <f>IFERROR(VLOOKUP($AE48,costs!$A$2:$I$2905,AM$2,FALSE),0)</f>
        <v>0</v>
      </c>
      <c r="AO48" s="40" t="s">
        <v>4104</v>
      </c>
      <c r="AP48" s="346">
        <f>IFERROR(VLOOKUP($AO48,costs!$A$2:$I$2905,AP$2,FALSE),0)</f>
        <v>0</v>
      </c>
      <c r="AQ48" s="346">
        <f>IFERROR(VLOOKUP($AO48,costs!$A$2:$I$2905,AQ$2,FALSE),0)</f>
        <v>0</v>
      </c>
      <c r="AR48" s="346">
        <f>IFERROR(VLOOKUP($AO48,costs!$A$2:$I$2905,AR$2,FALSE),0)</f>
        <v>0</v>
      </c>
      <c r="AS48" s="346">
        <f>IFERROR(VLOOKUP($AO48,costs!$A$2:$I$2905,AS$2,FALSE),0)</f>
        <v>0</v>
      </c>
      <c r="AT48" s="346">
        <f>IFERROR(VLOOKUP($AO48,costs!$A$2:$I$2905,AT$2,FALSE),0)</f>
        <v>0</v>
      </c>
      <c r="AU48" s="346">
        <f>IFERROR(VLOOKUP($AO48,costs!$A$2:$I$2905,AU$2,FALSE),0)</f>
        <v>0</v>
      </c>
      <c r="AV48" s="346">
        <f>IFERROR(VLOOKUP($AO48,costs!$A$2:$I$2905,AV$2,FALSE),0)</f>
        <v>0</v>
      </c>
      <c r="AW48" s="346">
        <f>IFERROR(VLOOKUP($AO48,costs!$A$2:$I$2905,AW$2,FALSE),0)</f>
        <v>0</v>
      </c>
      <c r="AY48" s="272" t="s">
        <v>219</v>
      </c>
      <c r="AZ48" s="16">
        <f>IFERROR(VLOOKUP($AY48,costs!$A$2:$I$2905,AZ$2,FALSE),0)</f>
        <v>0</v>
      </c>
      <c r="BA48" s="16">
        <f>IFERROR(VLOOKUP($AY48,costs!$A$2:$I$2905,BA$2,FALSE),0)</f>
        <v>0</v>
      </c>
      <c r="BB48" s="16">
        <f>IFERROR(VLOOKUP($AY48,costs!$A$2:$I$2905,BB$2,FALSE),0)</f>
        <v>0</v>
      </c>
      <c r="BC48" s="16">
        <f>IFERROR(VLOOKUP($AY48,costs!$A$2:$I$2905,BC$2,FALSE),0)</f>
        <v>0</v>
      </c>
      <c r="BD48" s="16">
        <f>IFERROR(VLOOKUP($AY48,costs!$A$2:$I$2905,BD$2,FALSE),0)</f>
        <v>0</v>
      </c>
      <c r="BE48" s="16">
        <f>IFERROR(VLOOKUP($AY48,costs!$A$2:$I$2905,BE$2,FALSE),0)</f>
        <v>0</v>
      </c>
      <c r="BF48" s="16">
        <f>IFERROR(VLOOKUP($AY48,costs!$A$2:$I$2905,BF$2,FALSE),0)</f>
        <v>0</v>
      </c>
      <c r="BG48" s="16">
        <f>IFERROR(VLOOKUP($AY48,costs!$A$2:$I$2905,BG$2,FALSE),0)</f>
        <v>0</v>
      </c>
    </row>
    <row r="49" spans="21:59" x14ac:dyDescent="0.35">
      <c r="U49" s="273" t="s">
        <v>502</v>
      </c>
      <c r="V49" s="16">
        <f>IFERROR(VLOOKUP($U49,costs!$A$2:$I$2905,V$2,FALSE),0)</f>
        <v>0</v>
      </c>
      <c r="W49" s="16">
        <f>IFERROR(VLOOKUP($U49,costs!$A$2:$I$2905,W$2,FALSE),0)</f>
        <v>0</v>
      </c>
      <c r="X49" s="16">
        <f>IFERROR(VLOOKUP($U49,costs!$A$2:$I$2905,X$2,FALSE),0)</f>
        <v>0</v>
      </c>
      <c r="Y49" s="16">
        <f>IFERROR(VLOOKUP($U49,costs!$A$2:$I$2905,Y$2,FALSE),0)</f>
        <v>0</v>
      </c>
      <c r="Z49" s="16">
        <f>IFERROR(VLOOKUP($U49,costs!$A$2:$I$2905,Z$2,FALSE),0)</f>
        <v>0</v>
      </c>
      <c r="AA49" s="16">
        <f>IFERROR(VLOOKUP($U49,costs!$A$2:$I$2905,AA$2,FALSE),0)</f>
        <v>0</v>
      </c>
      <c r="AB49" s="16">
        <f>IFERROR(VLOOKUP($U49,costs!$A$2:$I$2905,AB$2,FALSE),0)</f>
        <v>0</v>
      </c>
      <c r="AC49" s="16">
        <f>IFERROR(VLOOKUP($U49,costs!$A$2:$I$2905,AC$2,FALSE),0)</f>
        <v>0</v>
      </c>
      <c r="AE49" s="40" t="s">
        <v>478</v>
      </c>
      <c r="AF49" s="16">
        <f>IFERROR(VLOOKUP($AE49,costs!$A$2:$I$2905,AF$2,FALSE),0)</f>
        <v>0</v>
      </c>
      <c r="AG49" s="16">
        <f>IFERROR(VLOOKUP($AE49,costs!$A$2:$I$2905,AG$2,FALSE),0)</f>
        <v>0</v>
      </c>
      <c r="AH49" s="16">
        <f>IFERROR(VLOOKUP($AE49,costs!$A$2:$I$2905,AH$2,FALSE),0)</f>
        <v>0</v>
      </c>
      <c r="AI49" s="16">
        <f>IFERROR(VLOOKUP($AE49,costs!$A$2:$I$2905,AI$2,FALSE),0)</f>
        <v>0</v>
      </c>
      <c r="AJ49" s="16">
        <f>IFERROR(VLOOKUP($AE49,costs!$A$2:$I$2905,AJ$2,FALSE),0)</f>
        <v>0</v>
      </c>
      <c r="AK49" s="16">
        <f>IFERROR(VLOOKUP($AE49,costs!$A$2:$I$2905,AK$2,FALSE),0)</f>
        <v>0</v>
      </c>
      <c r="AL49" s="16">
        <f>IFERROR(VLOOKUP($AE49,costs!$A$2:$I$2905,AL$2,FALSE),0)</f>
        <v>0</v>
      </c>
      <c r="AM49" s="16">
        <f>IFERROR(VLOOKUP($AE49,costs!$A$2:$I$2905,AM$2,FALSE),0)</f>
        <v>0</v>
      </c>
      <c r="AO49" s="40" t="s">
        <v>4105</v>
      </c>
      <c r="AP49" s="346">
        <f>IFERROR(VLOOKUP($AO49,costs!$A$2:$I$2905,AP$2,FALSE),0)</f>
        <v>0</v>
      </c>
      <c r="AQ49" s="346">
        <f>IFERROR(VLOOKUP($AO49,costs!$A$2:$I$2905,AQ$2,FALSE),0)</f>
        <v>0</v>
      </c>
      <c r="AR49" s="346">
        <f>IFERROR(VLOOKUP($AO49,costs!$A$2:$I$2905,AR$2,FALSE),0)</f>
        <v>0</v>
      </c>
      <c r="AS49" s="346">
        <f>IFERROR(VLOOKUP($AO49,costs!$A$2:$I$2905,AS$2,FALSE),0)</f>
        <v>0</v>
      </c>
      <c r="AT49" s="346">
        <f>IFERROR(VLOOKUP($AO49,costs!$A$2:$I$2905,AT$2,FALSE),0)</f>
        <v>0</v>
      </c>
      <c r="AU49" s="346">
        <f>IFERROR(VLOOKUP($AO49,costs!$A$2:$I$2905,AU$2,FALSE),0)</f>
        <v>0</v>
      </c>
      <c r="AV49" s="346">
        <f>IFERROR(VLOOKUP($AO49,costs!$A$2:$I$2905,AV$2,FALSE),0)</f>
        <v>0</v>
      </c>
      <c r="AW49" s="346">
        <f>IFERROR(VLOOKUP($AO49,costs!$A$2:$I$2905,AW$2,FALSE),0)</f>
        <v>0</v>
      </c>
      <c r="AY49" s="273" t="s">
        <v>2089</v>
      </c>
      <c r="AZ49" s="16">
        <f>IFERROR(VLOOKUP($AY49,costs!$A$2:$I$2905,AZ$2,FALSE),0)</f>
        <v>0</v>
      </c>
      <c r="BA49" s="16">
        <f>IFERROR(VLOOKUP($AY49,costs!$A$2:$I$2905,BA$2,FALSE),0)</f>
        <v>0</v>
      </c>
      <c r="BB49" s="16">
        <f>IFERROR(VLOOKUP($AY49,costs!$A$2:$I$2905,BB$2,FALSE),0)</f>
        <v>0</v>
      </c>
      <c r="BC49" s="16">
        <f>IFERROR(VLOOKUP($AY49,costs!$A$2:$I$2905,BC$2,FALSE),0)</f>
        <v>0</v>
      </c>
      <c r="BD49" s="16">
        <f>IFERROR(VLOOKUP($AY49,costs!$A$2:$I$2905,BD$2,FALSE),0)</f>
        <v>0</v>
      </c>
      <c r="BE49" s="16">
        <f>IFERROR(VLOOKUP($AY49,costs!$A$2:$I$2905,BE$2,FALSE),0)</f>
        <v>0</v>
      </c>
      <c r="BF49" s="16">
        <f>IFERROR(VLOOKUP($AY49,costs!$A$2:$I$2905,BF$2,FALSE),0)</f>
        <v>0</v>
      </c>
      <c r="BG49" s="16">
        <f>IFERROR(VLOOKUP($AY49,costs!$A$2:$I$2905,BG$2,FALSE),0)</f>
        <v>0</v>
      </c>
    </row>
    <row r="50" spans="21:59" x14ac:dyDescent="0.35">
      <c r="U50" s="272" t="s">
        <v>2050</v>
      </c>
      <c r="V50" s="16">
        <f>IFERROR(VLOOKUP($U50,costs!$A$2:$I$2905,V$2,FALSE),0)</f>
        <v>0</v>
      </c>
      <c r="W50" s="16">
        <f>IFERROR(VLOOKUP($U50,costs!$A$2:$I$2905,W$2,FALSE),0)</f>
        <v>0</v>
      </c>
      <c r="X50" s="16">
        <f>IFERROR(VLOOKUP($U50,costs!$A$2:$I$2905,X$2,FALSE),0)</f>
        <v>0</v>
      </c>
      <c r="Y50" s="16">
        <f>IFERROR(VLOOKUP($U50,costs!$A$2:$I$2905,Y$2,FALSE),0)</f>
        <v>0</v>
      </c>
      <c r="Z50" s="16">
        <f>IFERROR(VLOOKUP($U50,costs!$A$2:$I$2905,Z$2,FALSE),0)</f>
        <v>0</v>
      </c>
      <c r="AA50" s="16">
        <f>IFERROR(VLOOKUP($U50,costs!$A$2:$I$2905,AA$2,FALSE),0)</f>
        <v>0</v>
      </c>
      <c r="AB50" s="16">
        <f>IFERROR(VLOOKUP($U50,costs!$A$2:$I$2905,AB$2,FALSE),0)</f>
        <v>0</v>
      </c>
      <c r="AC50" s="16">
        <f>IFERROR(VLOOKUP($U50,costs!$A$2:$I$2905,AC$2,FALSE),0)</f>
        <v>0</v>
      </c>
      <c r="AE50" s="40" t="s">
        <v>1679</v>
      </c>
      <c r="AF50" s="16">
        <f>IFERROR(VLOOKUP($AE50,costs!$A$2:$I$2905,AF$2,FALSE),0)</f>
        <v>0</v>
      </c>
      <c r="AG50" s="16">
        <f>IFERROR(VLOOKUP($AE50,costs!$A$2:$I$2905,AG$2,FALSE),0)</f>
        <v>0</v>
      </c>
      <c r="AH50" s="16">
        <f>IFERROR(VLOOKUP($AE50,costs!$A$2:$I$2905,AH$2,FALSE),0)</f>
        <v>0</v>
      </c>
      <c r="AI50" s="16">
        <f>IFERROR(VLOOKUP($AE50,costs!$A$2:$I$2905,AI$2,FALSE),0)</f>
        <v>0</v>
      </c>
      <c r="AJ50" s="16">
        <f>IFERROR(VLOOKUP($AE50,costs!$A$2:$I$2905,AJ$2,FALSE),0)</f>
        <v>0</v>
      </c>
      <c r="AK50" s="16">
        <f>IFERROR(VLOOKUP($AE50,costs!$A$2:$I$2905,AK$2,FALSE),0)</f>
        <v>0</v>
      </c>
      <c r="AL50" s="16">
        <f>IFERROR(VLOOKUP($AE50,costs!$A$2:$I$2905,AL$2,FALSE),0)</f>
        <v>0</v>
      </c>
      <c r="AM50" s="16">
        <f>IFERROR(VLOOKUP($AE50,costs!$A$2:$I$2905,AM$2,FALSE),0)</f>
        <v>0</v>
      </c>
      <c r="AO50" s="272" t="s">
        <v>1146</v>
      </c>
      <c r="AP50" s="16">
        <f>IFERROR(VLOOKUP($AO50,costs!$A$2:$I$2905,AP$2,FALSE),0)</f>
        <v>0</v>
      </c>
      <c r="AQ50" s="16">
        <f>IFERROR(VLOOKUP($AO50,costs!$A$2:$I$2905,AQ$2,FALSE),0)</f>
        <v>0</v>
      </c>
      <c r="AR50" s="16">
        <f>IFERROR(VLOOKUP($AO50,costs!$A$2:$I$2905,AR$2,FALSE),0)</f>
        <v>0</v>
      </c>
      <c r="AS50" s="16">
        <f>IFERROR(VLOOKUP($AO50,costs!$A$2:$I$2905,AS$2,FALSE),0)</f>
        <v>0</v>
      </c>
      <c r="AT50" s="16">
        <f>IFERROR(VLOOKUP($AO50,costs!$A$2:$I$2905,AT$2,FALSE),0)</f>
        <v>0</v>
      </c>
      <c r="AU50" s="16">
        <f>IFERROR(VLOOKUP($AO50,costs!$A$2:$I$2905,AU$2,FALSE),0)</f>
        <v>0</v>
      </c>
      <c r="AV50" s="16">
        <f>IFERROR(VLOOKUP($AO50,costs!$A$2:$I$2905,AV$2,FALSE),0)</f>
        <v>0</v>
      </c>
      <c r="AW50" s="16">
        <f>IFERROR(VLOOKUP($AO50,costs!$A$2:$I$2905,AW$2,FALSE),0)</f>
        <v>0</v>
      </c>
      <c r="AY50" s="272" t="s">
        <v>220</v>
      </c>
      <c r="AZ50" s="16">
        <f>IFERROR(VLOOKUP($AY50,costs!$A$2:$I$2905,AZ$2,FALSE),0)</f>
        <v>0</v>
      </c>
      <c r="BA50" s="16">
        <f>IFERROR(VLOOKUP($AY50,costs!$A$2:$I$2905,BA$2,FALSE),0)</f>
        <v>0</v>
      </c>
      <c r="BB50" s="16">
        <f>IFERROR(VLOOKUP($AY50,costs!$A$2:$I$2905,BB$2,FALSE),0)</f>
        <v>0</v>
      </c>
      <c r="BC50" s="16">
        <f>IFERROR(VLOOKUP($AY50,costs!$A$2:$I$2905,BC$2,FALSE),0)</f>
        <v>0</v>
      </c>
      <c r="BD50" s="16">
        <f>IFERROR(VLOOKUP($AY50,costs!$A$2:$I$2905,BD$2,FALSE),0)</f>
        <v>0</v>
      </c>
      <c r="BE50" s="16">
        <f>IFERROR(VLOOKUP($AY50,costs!$A$2:$I$2905,BE$2,FALSE),0)</f>
        <v>0</v>
      </c>
      <c r="BF50" s="16">
        <f>IFERROR(VLOOKUP($AY50,costs!$A$2:$I$2905,BF$2,FALSE),0)</f>
        <v>0</v>
      </c>
      <c r="BG50" s="16">
        <f>IFERROR(VLOOKUP($AY50,costs!$A$2:$I$2905,BG$2,FALSE),0)</f>
        <v>0</v>
      </c>
    </row>
    <row r="51" spans="21:59" x14ac:dyDescent="0.35">
      <c r="U51" s="273" t="s">
        <v>419</v>
      </c>
      <c r="V51" s="16">
        <f>IFERROR(VLOOKUP($U51,costs!$A$2:$I$2905,V$2,FALSE),0)</f>
        <v>0</v>
      </c>
      <c r="W51" s="16">
        <f>IFERROR(VLOOKUP($U51,costs!$A$2:$I$2905,W$2,FALSE),0)</f>
        <v>0</v>
      </c>
      <c r="X51" s="16">
        <f>IFERROR(VLOOKUP($U51,costs!$A$2:$I$2905,X$2,FALSE),0)</f>
        <v>0</v>
      </c>
      <c r="Y51" s="16">
        <f>IFERROR(VLOOKUP($U51,costs!$A$2:$I$2905,Y$2,FALSE),0)</f>
        <v>0</v>
      </c>
      <c r="Z51" s="16">
        <f>IFERROR(VLOOKUP($U51,costs!$A$2:$I$2905,Z$2,FALSE),0)</f>
        <v>0</v>
      </c>
      <c r="AA51" s="16">
        <f>IFERROR(VLOOKUP($U51,costs!$A$2:$I$2905,AA$2,FALSE),0)</f>
        <v>0</v>
      </c>
      <c r="AB51" s="16">
        <f>IFERROR(VLOOKUP($U51,costs!$A$2:$I$2905,AB$2,FALSE),0)</f>
        <v>0</v>
      </c>
      <c r="AC51" s="16">
        <f>IFERROR(VLOOKUP($U51,costs!$A$2:$I$2905,AC$2,FALSE),0)</f>
        <v>0</v>
      </c>
      <c r="AE51" s="40" t="s">
        <v>2077</v>
      </c>
      <c r="AF51" s="16">
        <f>IFERROR(VLOOKUP($AE51,costs!$A$2:$I$2905,AF$2,FALSE),0)</f>
        <v>0</v>
      </c>
      <c r="AG51" s="16">
        <f>IFERROR(VLOOKUP($AE51,costs!$A$2:$I$2905,AG$2,FALSE),0)</f>
        <v>0</v>
      </c>
      <c r="AH51" s="16">
        <f>IFERROR(VLOOKUP($AE51,costs!$A$2:$I$2905,AH$2,FALSE),0)</f>
        <v>0</v>
      </c>
      <c r="AI51" s="16">
        <f>IFERROR(VLOOKUP($AE51,costs!$A$2:$I$2905,AI$2,FALSE),0)</f>
        <v>0</v>
      </c>
      <c r="AJ51" s="16">
        <f>IFERROR(VLOOKUP($AE51,costs!$A$2:$I$2905,AJ$2,FALSE),0)</f>
        <v>0</v>
      </c>
      <c r="AK51" s="16">
        <f>IFERROR(VLOOKUP($AE51,costs!$A$2:$I$2905,AK$2,FALSE),0)</f>
        <v>0</v>
      </c>
      <c r="AL51" s="16">
        <f>IFERROR(VLOOKUP($AE51,costs!$A$2:$I$2905,AL$2,FALSE),0)</f>
        <v>0</v>
      </c>
      <c r="AM51" s="16">
        <f>IFERROR(VLOOKUP($AE51,costs!$A$2:$I$2905,AM$2,FALSE),0)</f>
        <v>0</v>
      </c>
      <c r="AO51" s="272" t="s">
        <v>441</v>
      </c>
      <c r="AP51" s="16">
        <f>IFERROR(VLOOKUP($AO51,costs!$A$2:$I$2905,AP$2,FALSE),0)</f>
        <v>0</v>
      </c>
      <c r="AQ51" s="16">
        <f>IFERROR(VLOOKUP($AO51,costs!$A$2:$I$2905,AQ$2,FALSE),0)</f>
        <v>0</v>
      </c>
      <c r="AR51" s="16">
        <f>IFERROR(VLOOKUP($AO51,costs!$A$2:$I$2905,AR$2,FALSE),0)</f>
        <v>0</v>
      </c>
      <c r="AS51" s="16">
        <f>IFERROR(VLOOKUP($AO51,costs!$A$2:$I$2905,AS$2,FALSE),0)</f>
        <v>0</v>
      </c>
      <c r="AT51" s="16">
        <f>IFERROR(VLOOKUP($AO51,costs!$A$2:$I$2905,AT$2,FALSE),0)</f>
        <v>0</v>
      </c>
      <c r="AU51" s="16">
        <f>IFERROR(VLOOKUP($AO51,costs!$A$2:$I$2905,AU$2,FALSE),0)</f>
        <v>0</v>
      </c>
      <c r="AV51" s="16">
        <f>IFERROR(VLOOKUP($AO51,costs!$A$2:$I$2905,AV$2,FALSE),0)</f>
        <v>0</v>
      </c>
      <c r="AW51" s="16">
        <f>IFERROR(VLOOKUP($AO51,costs!$A$2:$I$2905,AW$2,FALSE),0)</f>
        <v>0</v>
      </c>
      <c r="AY51" s="273" t="s">
        <v>351</v>
      </c>
      <c r="AZ51" s="16">
        <f>IFERROR(VLOOKUP($AY51,costs!$A$2:$I$2905,AZ$2,FALSE),0)</f>
        <v>0</v>
      </c>
      <c r="BA51" s="16">
        <f>IFERROR(VLOOKUP($AY51,costs!$A$2:$I$2905,BA$2,FALSE),0)</f>
        <v>0</v>
      </c>
      <c r="BB51" s="16">
        <f>IFERROR(VLOOKUP($AY51,costs!$A$2:$I$2905,BB$2,FALSE),0)</f>
        <v>0</v>
      </c>
      <c r="BC51" s="16">
        <f>IFERROR(VLOOKUP($AY51,costs!$A$2:$I$2905,BC$2,FALSE),0)</f>
        <v>0</v>
      </c>
      <c r="BD51" s="16">
        <f>IFERROR(VLOOKUP($AY51,costs!$A$2:$I$2905,BD$2,FALSE),0)</f>
        <v>0</v>
      </c>
      <c r="BE51" s="16">
        <f>IFERROR(VLOOKUP($AY51,costs!$A$2:$I$2905,BE$2,FALSE),0)</f>
        <v>0</v>
      </c>
      <c r="BF51" s="16">
        <f>IFERROR(VLOOKUP($AY51,costs!$A$2:$I$2905,BF$2,FALSE),0)</f>
        <v>0</v>
      </c>
      <c r="BG51" s="16">
        <f>IFERROR(VLOOKUP($AY51,costs!$A$2:$I$2905,BG$2,FALSE),0)</f>
        <v>0</v>
      </c>
    </row>
    <row r="52" spans="21:59" x14ac:dyDescent="0.35">
      <c r="U52" s="272" t="s">
        <v>2051</v>
      </c>
      <c r="V52" s="16">
        <f>IFERROR(VLOOKUP($U52,costs!$A$2:$I$2905,V$2,FALSE),0)</f>
        <v>0</v>
      </c>
      <c r="W52" s="16">
        <f>IFERROR(VLOOKUP($U52,costs!$A$2:$I$2905,W$2,FALSE),0)</f>
        <v>0</v>
      </c>
      <c r="X52" s="16">
        <f>IFERROR(VLOOKUP($U52,costs!$A$2:$I$2905,X$2,FALSE),0)</f>
        <v>0</v>
      </c>
      <c r="Y52" s="16">
        <f>IFERROR(VLOOKUP($U52,costs!$A$2:$I$2905,Y$2,FALSE),0)</f>
        <v>0</v>
      </c>
      <c r="Z52" s="16">
        <f>IFERROR(VLOOKUP($U52,costs!$A$2:$I$2905,Z$2,FALSE),0)</f>
        <v>0</v>
      </c>
      <c r="AA52" s="16">
        <f>IFERROR(VLOOKUP($U52,costs!$A$2:$I$2905,AA$2,FALSE),0)</f>
        <v>0</v>
      </c>
      <c r="AB52" s="16">
        <f>IFERROR(VLOOKUP($U52,costs!$A$2:$I$2905,AB$2,FALSE),0)</f>
        <v>0</v>
      </c>
      <c r="AC52" s="16">
        <f>IFERROR(VLOOKUP($U52,costs!$A$2:$I$2905,AC$2,FALSE),0)</f>
        <v>0</v>
      </c>
      <c r="AE52" s="273" t="s">
        <v>209</v>
      </c>
      <c r="AF52" s="16">
        <f>IFERROR(VLOOKUP($AE52,costs!$A$2:$I$2905,AF$2,FALSE),0)</f>
        <v>0</v>
      </c>
      <c r="AG52" s="16">
        <f>IFERROR(VLOOKUP($AE52,costs!$A$2:$I$2905,AG$2,FALSE),0)</f>
        <v>0</v>
      </c>
      <c r="AH52" s="16">
        <f>IFERROR(VLOOKUP($AE52,costs!$A$2:$I$2905,AH$2,FALSE),0)</f>
        <v>0</v>
      </c>
      <c r="AI52" s="16">
        <f>IFERROR(VLOOKUP($AE52,costs!$A$2:$I$2905,AI$2,FALSE),0)</f>
        <v>0</v>
      </c>
      <c r="AJ52" s="16">
        <f>IFERROR(VLOOKUP($AE52,costs!$A$2:$I$2905,AJ$2,FALSE),0)</f>
        <v>0</v>
      </c>
      <c r="AK52" s="16">
        <f>IFERROR(VLOOKUP($AE52,costs!$A$2:$I$2905,AK$2,FALSE),0)</f>
        <v>0</v>
      </c>
      <c r="AL52" s="16">
        <f>IFERROR(VLOOKUP($AE52,costs!$A$2:$I$2905,AL$2,FALSE),0)</f>
        <v>0</v>
      </c>
      <c r="AM52" s="16">
        <f>IFERROR(VLOOKUP($AE52,costs!$A$2:$I$2905,AM$2,FALSE),0)</f>
        <v>0</v>
      </c>
      <c r="AO52" s="273" t="s">
        <v>13</v>
      </c>
      <c r="AP52" s="16">
        <f>IFERROR(VLOOKUP($AO52,costs!$A$2:$I$2905,AP$2,FALSE),0)</f>
        <v>0</v>
      </c>
      <c r="AQ52" s="16">
        <f>IFERROR(VLOOKUP($AO52,costs!$A$2:$I$2905,AQ$2,FALSE),0)</f>
        <v>0</v>
      </c>
      <c r="AR52" s="16">
        <f>IFERROR(VLOOKUP($AO52,costs!$A$2:$I$2905,AR$2,FALSE),0)</f>
        <v>0</v>
      </c>
      <c r="AS52" s="16">
        <f>IFERROR(VLOOKUP($AO52,costs!$A$2:$I$2905,AS$2,FALSE),0)</f>
        <v>0</v>
      </c>
      <c r="AT52" s="16">
        <f>IFERROR(VLOOKUP($AO52,costs!$A$2:$I$2905,AT$2,FALSE),0)</f>
        <v>0</v>
      </c>
      <c r="AU52" s="16">
        <f>IFERROR(VLOOKUP($AO52,costs!$A$2:$I$2905,AU$2,FALSE),0)</f>
        <v>0</v>
      </c>
      <c r="AV52" s="16">
        <f>IFERROR(VLOOKUP($AO52,costs!$A$2:$I$2905,AV$2,FALSE),0)</f>
        <v>0</v>
      </c>
      <c r="AW52" s="16">
        <f>IFERROR(VLOOKUP($AO52,costs!$A$2:$I$2905,AW$2,FALSE),0)</f>
        <v>0</v>
      </c>
      <c r="AY52" s="272" t="s">
        <v>352</v>
      </c>
      <c r="AZ52" s="16">
        <f>IFERROR(VLOOKUP($AY52,costs!$A$2:$I$2905,AZ$2,FALSE),0)</f>
        <v>0</v>
      </c>
      <c r="BA52" s="16">
        <f>IFERROR(VLOOKUP($AY52,costs!$A$2:$I$2905,BA$2,FALSE),0)</f>
        <v>0</v>
      </c>
      <c r="BB52" s="16">
        <f>IFERROR(VLOOKUP($AY52,costs!$A$2:$I$2905,BB$2,FALSE),0)</f>
        <v>0</v>
      </c>
      <c r="BC52" s="16">
        <f>IFERROR(VLOOKUP($AY52,costs!$A$2:$I$2905,BC$2,FALSE),0)</f>
        <v>0</v>
      </c>
      <c r="BD52" s="16">
        <f>IFERROR(VLOOKUP($AY52,costs!$A$2:$I$2905,BD$2,FALSE),0)</f>
        <v>0</v>
      </c>
      <c r="BE52" s="16">
        <f>IFERROR(VLOOKUP($AY52,costs!$A$2:$I$2905,BE$2,FALSE),0)</f>
        <v>0</v>
      </c>
      <c r="BF52" s="16">
        <f>IFERROR(VLOOKUP($AY52,costs!$A$2:$I$2905,BF$2,FALSE),0)</f>
        <v>0</v>
      </c>
      <c r="BG52" s="16">
        <f>IFERROR(VLOOKUP($AY52,costs!$A$2:$I$2905,BG$2,FALSE),0)</f>
        <v>0</v>
      </c>
    </row>
    <row r="53" spans="21:59" x14ac:dyDescent="0.35">
      <c r="U53" s="273" t="s">
        <v>318</v>
      </c>
      <c r="V53" s="16">
        <f>IFERROR(VLOOKUP($U53,costs!$A$2:$I$2905,V$2,FALSE),0)</f>
        <v>0</v>
      </c>
      <c r="W53" s="16">
        <f>IFERROR(VLOOKUP($U53,costs!$A$2:$I$2905,W$2,FALSE),0)</f>
        <v>0</v>
      </c>
      <c r="X53" s="16">
        <f>IFERROR(VLOOKUP($U53,costs!$A$2:$I$2905,X$2,FALSE),0)</f>
        <v>0</v>
      </c>
      <c r="Y53" s="16">
        <f>IFERROR(VLOOKUP($U53,costs!$A$2:$I$2905,Y$2,FALSE),0)</f>
        <v>0</v>
      </c>
      <c r="Z53" s="16">
        <f>IFERROR(VLOOKUP($U53,costs!$A$2:$I$2905,Z$2,FALSE),0)</f>
        <v>0</v>
      </c>
      <c r="AA53" s="16">
        <f>IFERROR(VLOOKUP($U53,costs!$A$2:$I$2905,AA$2,FALSE),0)</f>
        <v>0</v>
      </c>
      <c r="AB53" s="16">
        <f>IFERROR(VLOOKUP($U53,costs!$A$2:$I$2905,AB$2,FALSE),0)</f>
        <v>0</v>
      </c>
      <c r="AC53" s="16">
        <f>IFERROR(VLOOKUP($U53,costs!$A$2:$I$2905,AC$2,FALSE),0)</f>
        <v>0</v>
      </c>
      <c r="AE53" s="273" t="s">
        <v>288</v>
      </c>
      <c r="AF53" s="16">
        <f>IFERROR(VLOOKUP($AE53,costs!$A$2:$I$2905,AF$2,FALSE),0)</f>
        <v>0</v>
      </c>
      <c r="AG53" s="16">
        <f>IFERROR(VLOOKUP($AE53,costs!$A$2:$I$2905,AG$2,FALSE),0)</f>
        <v>0</v>
      </c>
      <c r="AH53" s="16">
        <f>IFERROR(VLOOKUP($AE53,costs!$A$2:$I$2905,AH$2,FALSE),0)</f>
        <v>0</v>
      </c>
      <c r="AI53" s="16">
        <f>IFERROR(VLOOKUP($AE53,costs!$A$2:$I$2905,AI$2,FALSE),0)</f>
        <v>0</v>
      </c>
      <c r="AJ53" s="16">
        <f>IFERROR(VLOOKUP($AE53,costs!$A$2:$I$2905,AJ$2,FALSE),0)</f>
        <v>0</v>
      </c>
      <c r="AK53" s="16">
        <f>IFERROR(VLOOKUP($AE53,costs!$A$2:$I$2905,AK$2,FALSE),0)</f>
        <v>0</v>
      </c>
      <c r="AL53" s="16">
        <f>IFERROR(VLOOKUP($AE53,costs!$A$2:$I$2905,AL$2,FALSE),0)</f>
        <v>0</v>
      </c>
      <c r="AM53" s="16">
        <f>IFERROR(VLOOKUP($AE53,costs!$A$2:$I$2905,AM$2,FALSE),0)</f>
        <v>0</v>
      </c>
      <c r="AO53" s="273" t="s">
        <v>4245</v>
      </c>
      <c r="AP53" s="346">
        <f>IFERROR(VLOOKUP($AO53,costs!$A$2:$I$2905,AP$2,FALSE),0)</f>
        <v>0</v>
      </c>
      <c r="AQ53" s="346">
        <f>IFERROR(VLOOKUP($AO53,costs!$A$2:$I$2905,AQ$2,FALSE),0)</f>
        <v>0</v>
      </c>
      <c r="AR53" s="346">
        <f>IFERROR(VLOOKUP($AO53,costs!$A$2:$I$2905,AR$2,FALSE),0)</f>
        <v>0</v>
      </c>
      <c r="AS53" s="346">
        <f>IFERROR(VLOOKUP($AO53,costs!$A$2:$I$2905,AS$2,FALSE),0)</f>
        <v>0</v>
      </c>
      <c r="AT53" s="346">
        <f>IFERROR(VLOOKUP($AO53,costs!$A$2:$I$2905,AT$2,FALSE),0)</f>
        <v>0</v>
      </c>
      <c r="AU53" s="346">
        <f>IFERROR(VLOOKUP($AO53,costs!$A$2:$I$2905,AU$2,FALSE),0)</f>
        <v>0</v>
      </c>
      <c r="AV53" s="346">
        <f>IFERROR(VLOOKUP($AO53,costs!$A$2:$I$2905,AV$2,FALSE),0)</f>
        <v>0</v>
      </c>
      <c r="AW53" s="346">
        <f>IFERROR(VLOOKUP($AO53,costs!$A$2:$I$2905,AW$2,FALSE),0)</f>
        <v>0</v>
      </c>
      <c r="AY53" s="273" t="s">
        <v>315</v>
      </c>
      <c r="AZ53" s="16">
        <f>IFERROR(VLOOKUP($AY53,costs!$A$2:$I$2905,AZ$2,FALSE),0)</f>
        <v>0</v>
      </c>
      <c r="BA53" s="16">
        <f>IFERROR(VLOOKUP($AY53,costs!$A$2:$I$2905,BA$2,FALSE),0)</f>
        <v>0</v>
      </c>
      <c r="BB53" s="16">
        <f>IFERROR(VLOOKUP($AY53,costs!$A$2:$I$2905,BB$2,FALSE),0)</f>
        <v>0</v>
      </c>
      <c r="BC53" s="16">
        <f>IFERROR(VLOOKUP($AY53,costs!$A$2:$I$2905,BC$2,FALSE),0)</f>
        <v>0</v>
      </c>
      <c r="BD53" s="16">
        <f>IFERROR(VLOOKUP($AY53,costs!$A$2:$I$2905,BD$2,FALSE),0)</f>
        <v>0</v>
      </c>
      <c r="BE53" s="16">
        <f>IFERROR(VLOOKUP($AY53,costs!$A$2:$I$2905,BE$2,FALSE),0)</f>
        <v>0</v>
      </c>
      <c r="BF53" s="16">
        <f>IFERROR(VLOOKUP($AY53,costs!$A$2:$I$2905,BF$2,FALSE),0)</f>
        <v>0</v>
      </c>
      <c r="BG53" s="16">
        <f>IFERROR(VLOOKUP($AY53,costs!$A$2:$I$2905,BG$2,FALSE),0)</f>
        <v>0</v>
      </c>
    </row>
    <row r="54" spans="21:59" x14ac:dyDescent="0.35">
      <c r="U54" s="272" t="s">
        <v>319</v>
      </c>
      <c r="V54" s="16">
        <f>IFERROR(VLOOKUP($U54,costs!$A$2:$I$2905,V$2,FALSE),0)</f>
        <v>0</v>
      </c>
      <c r="W54" s="16">
        <f>IFERROR(VLOOKUP($U54,costs!$A$2:$I$2905,W$2,FALSE),0)</f>
        <v>0</v>
      </c>
      <c r="X54" s="16">
        <f>IFERROR(VLOOKUP($U54,costs!$A$2:$I$2905,X$2,FALSE),0)</f>
        <v>0</v>
      </c>
      <c r="Y54" s="16">
        <f>IFERROR(VLOOKUP($U54,costs!$A$2:$I$2905,Y$2,FALSE),0)</f>
        <v>0</v>
      </c>
      <c r="Z54" s="16">
        <f>IFERROR(VLOOKUP($U54,costs!$A$2:$I$2905,Z$2,FALSE),0)</f>
        <v>0</v>
      </c>
      <c r="AA54" s="16">
        <f>IFERROR(VLOOKUP($U54,costs!$A$2:$I$2905,AA$2,FALSE),0)</f>
        <v>0</v>
      </c>
      <c r="AB54" s="16">
        <f>IFERROR(VLOOKUP($U54,costs!$A$2:$I$2905,AB$2,FALSE),0)</f>
        <v>0</v>
      </c>
      <c r="AC54" s="16">
        <f>IFERROR(VLOOKUP($U54,costs!$A$2:$I$2905,AC$2,FALSE),0)</f>
        <v>0</v>
      </c>
      <c r="AE54" s="273" t="s">
        <v>300</v>
      </c>
      <c r="AF54" s="16">
        <f>IFERROR(VLOOKUP($AE54,costs!$A$2:$I$2905,AF$2,FALSE),0)</f>
        <v>0</v>
      </c>
      <c r="AG54" s="16">
        <f>IFERROR(VLOOKUP($AE54,costs!$A$2:$I$2905,AG$2,FALSE),0)</f>
        <v>0</v>
      </c>
      <c r="AH54" s="16">
        <f>IFERROR(VLOOKUP($AE54,costs!$A$2:$I$2905,AH$2,FALSE),0)</f>
        <v>0</v>
      </c>
      <c r="AI54" s="16">
        <f>IFERROR(VLOOKUP($AE54,costs!$A$2:$I$2905,AI$2,FALSE),0)</f>
        <v>0</v>
      </c>
      <c r="AJ54" s="16">
        <f>IFERROR(VLOOKUP($AE54,costs!$A$2:$I$2905,AJ$2,FALSE),0)</f>
        <v>0</v>
      </c>
      <c r="AK54" s="16">
        <f>IFERROR(VLOOKUP($AE54,costs!$A$2:$I$2905,AK$2,FALSE),0)</f>
        <v>0</v>
      </c>
      <c r="AL54" s="16">
        <f>IFERROR(VLOOKUP($AE54,costs!$A$2:$I$2905,AL$2,FALSE),0)</f>
        <v>0</v>
      </c>
      <c r="AM54" s="16">
        <f>IFERROR(VLOOKUP($AE54,costs!$A$2:$I$2905,AM$2,FALSE),0)</f>
        <v>0</v>
      </c>
      <c r="AO54" s="273" t="s">
        <v>4244</v>
      </c>
      <c r="AP54" s="346">
        <f>IFERROR(VLOOKUP($AO54,costs!$A$2:$I$2905,AP$2,FALSE),0)</f>
        <v>0</v>
      </c>
      <c r="AQ54" s="346">
        <f>IFERROR(VLOOKUP($AO54,costs!$A$2:$I$2905,AQ$2,FALSE),0)</f>
        <v>0</v>
      </c>
      <c r="AR54" s="346">
        <f>IFERROR(VLOOKUP($AO54,costs!$A$2:$I$2905,AR$2,FALSE),0)</f>
        <v>0</v>
      </c>
      <c r="AS54" s="346">
        <f>IFERROR(VLOOKUP($AO54,costs!$A$2:$I$2905,AS$2,FALSE),0)</f>
        <v>0</v>
      </c>
      <c r="AT54" s="346">
        <f>IFERROR(VLOOKUP($AO54,costs!$A$2:$I$2905,AT$2,FALSE),0)</f>
        <v>0</v>
      </c>
      <c r="AU54" s="346">
        <f>IFERROR(VLOOKUP($AO54,costs!$A$2:$I$2905,AU$2,FALSE),0)</f>
        <v>0</v>
      </c>
      <c r="AV54" s="346">
        <f>IFERROR(VLOOKUP($AO54,costs!$A$2:$I$2905,AV$2,FALSE),0)</f>
        <v>0</v>
      </c>
      <c r="AW54" s="346">
        <f>IFERROR(VLOOKUP($AO54,costs!$A$2:$I$2905,AW$2,FALSE),0)</f>
        <v>0</v>
      </c>
      <c r="AY54" s="272" t="s">
        <v>316</v>
      </c>
      <c r="AZ54" s="16">
        <f>IFERROR(VLOOKUP($AY54,costs!$A$2:$I$2905,AZ$2,FALSE),0)</f>
        <v>0</v>
      </c>
      <c r="BA54" s="16">
        <f>IFERROR(VLOOKUP($AY54,costs!$A$2:$I$2905,BA$2,FALSE),0)</f>
        <v>0</v>
      </c>
      <c r="BB54" s="16">
        <f>IFERROR(VLOOKUP($AY54,costs!$A$2:$I$2905,BB$2,FALSE),0)</f>
        <v>0</v>
      </c>
      <c r="BC54" s="16">
        <f>IFERROR(VLOOKUP($AY54,costs!$A$2:$I$2905,BC$2,FALSE),0)</f>
        <v>0</v>
      </c>
      <c r="BD54" s="16">
        <f>IFERROR(VLOOKUP($AY54,costs!$A$2:$I$2905,BD$2,FALSE),0)</f>
        <v>0</v>
      </c>
      <c r="BE54" s="16">
        <f>IFERROR(VLOOKUP($AY54,costs!$A$2:$I$2905,BE$2,FALSE),0)</f>
        <v>0</v>
      </c>
      <c r="BF54" s="16">
        <f>IFERROR(VLOOKUP($AY54,costs!$A$2:$I$2905,BF$2,FALSE),0)</f>
        <v>0</v>
      </c>
      <c r="BG54" s="16">
        <f>IFERROR(VLOOKUP($AY54,costs!$A$2:$I$2905,BG$2,FALSE),0)</f>
        <v>0</v>
      </c>
    </row>
    <row r="55" spans="21:59" x14ac:dyDescent="0.35">
      <c r="U55" s="273" t="s">
        <v>2052</v>
      </c>
      <c r="V55" s="16">
        <f>IFERROR(VLOOKUP($U55,costs!$A$2:$I$2905,V$2,FALSE),0)</f>
        <v>0</v>
      </c>
      <c r="W55" s="16">
        <f>IFERROR(VLOOKUP($U55,costs!$A$2:$I$2905,W$2,FALSE),0)</f>
        <v>0</v>
      </c>
      <c r="X55" s="16">
        <f>IFERROR(VLOOKUP($U55,costs!$A$2:$I$2905,X$2,FALSE),0)</f>
        <v>0</v>
      </c>
      <c r="Y55" s="16">
        <f>IFERROR(VLOOKUP($U55,costs!$A$2:$I$2905,Y$2,FALSE),0)</f>
        <v>0</v>
      </c>
      <c r="Z55" s="16">
        <f>IFERROR(VLOOKUP($U55,costs!$A$2:$I$2905,Z$2,FALSE),0)</f>
        <v>0</v>
      </c>
      <c r="AA55" s="16">
        <f>IFERROR(VLOOKUP($U55,costs!$A$2:$I$2905,AA$2,FALSE),0)</f>
        <v>0</v>
      </c>
      <c r="AB55" s="16">
        <f>IFERROR(VLOOKUP($U55,costs!$A$2:$I$2905,AB$2,FALSE),0)</f>
        <v>0</v>
      </c>
      <c r="AC55" s="16">
        <f>IFERROR(VLOOKUP($U55,costs!$A$2:$I$2905,AC$2,FALSE),0)</f>
        <v>0</v>
      </c>
      <c r="AE55" s="272" t="s">
        <v>386</v>
      </c>
      <c r="AF55" s="16">
        <f>IFERROR(VLOOKUP($AE55,costs!$A$2:$I$2905,AF$2,FALSE),0)</f>
        <v>0</v>
      </c>
      <c r="AG55" s="16">
        <f>IFERROR(VLOOKUP($AE55,costs!$A$2:$I$2905,AG$2,FALSE),0)</f>
        <v>0</v>
      </c>
      <c r="AH55" s="16">
        <f>IFERROR(VLOOKUP($AE55,costs!$A$2:$I$2905,AH$2,FALSE),0)</f>
        <v>0</v>
      </c>
      <c r="AI55" s="16">
        <f>IFERROR(VLOOKUP($AE55,costs!$A$2:$I$2905,AI$2,FALSE),0)</f>
        <v>0</v>
      </c>
      <c r="AJ55" s="16">
        <f>IFERROR(VLOOKUP($AE55,costs!$A$2:$I$2905,AJ$2,FALSE),0)</f>
        <v>0</v>
      </c>
      <c r="AK55" s="16">
        <f>IFERROR(VLOOKUP($AE55,costs!$A$2:$I$2905,AK$2,FALSE),0)</f>
        <v>0</v>
      </c>
      <c r="AL55" s="16">
        <f>IFERROR(VLOOKUP($AE55,costs!$A$2:$I$2905,AL$2,FALSE),0)</f>
        <v>0</v>
      </c>
      <c r="AM55" s="16">
        <f>IFERROR(VLOOKUP($AE55,costs!$A$2:$I$2905,AM$2,FALSE),0)</f>
        <v>0</v>
      </c>
      <c r="AO55" s="272" t="s">
        <v>14</v>
      </c>
      <c r="AP55" s="16">
        <f>IFERROR(VLOOKUP($AO55,costs!$A$2:$I$2905,AP$2,FALSE),0)</f>
        <v>0</v>
      </c>
      <c r="AQ55" s="16">
        <f>IFERROR(VLOOKUP($AO55,costs!$A$2:$I$2905,AQ$2,FALSE),0)</f>
        <v>0</v>
      </c>
      <c r="AR55" s="16">
        <f>IFERROR(VLOOKUP($AO55,costs!$A$2:$I$2905,AR$2,FALSE),0)</f>
        <v>0</v>
      </c>
      <c r="AS55" s="16">
        <f>IFERROR(VLOOKUP($AO55,costs!$A$2:$I$2905,AS$2,FALSE),0)</f>
        <v>0</v>
      </c>
      <c r="AT55" s="16">
        <f>IFERROR(VLOOKUP($AO55,costs!$A$2:$I$2905,AT$2,FALSE),0)</f>
        <v>0</v>
      </c>
      <c r="AU55" s="16">
        <f>IFERROR(VLOOKUP($AO55,costs!$A$2:$I$2905,AU$2,FALSE),0)</f>
        <v>0</v>
      </c>
      <c r="AV55" s="16">
        <f>IFERROR(VLOOKUP($AO55,costs!$A$2:$I$2905,AV$2,FALSE),0)</f>
        <v>0</v>
      </c>
      <c r="AW55" s="16">
        <f>IFERROR(VLOOKUP($AO55,costs!$A$2:$I$2905,AW$2,FALSE),0)</f>
        <v>0</v>
      </c>
      <c r="AY55" s="273" t="s">
        <v>307</v>
      </c>
      <c r="AZ55" s="16">
        <f>IFERROR(VLOOKUP($AY55,costs!$A$2:$I$2905,AZ$2,FALSE),0)</f>
        <v>0</v>
      </c>
      <c r="BA55" s="16">
        <f>IFERROR(VLOOKUP($AY55,costs!$A$2:$I$2905,BA$2,FALSE),0)</f>
        <v>0</v>
      </c>
      <c r="BB55" s="16">
        <f>IFERROR(VLOOKUP($AY55,costs!$A$2:$I$2905,BB$2,FALSE),0)</f>
        <v>0</v>
      </c>
      <c r="BC55" s="16">
        <f>IFERROR(VLOOKUP($AY55,costs!$A$2:$I$2905,BC$2,FALSE),0)</f>
        <v>0</v>
      </c>
      <c r="BD55" s="16">
        <f>IFERROR(VLOOKUP($AY55,costs!$A$2:$I$2905,BD$2,FALSE),0)</f>
        <v>0</v>
      </c>
      <c r="BE55" s="16">
        <f>IFERROR(VLOOKUP($AY55,costs!$A$2:$I$2905,BE$2,FALSE),0)</f>
        <v>0</v>
      </c>
      <c r="BF55" s="16">
        <f>IFERROR(VLOOKUP($AY55,costs!$A$2:$I$2905,BF$2,FALSE),0)</f>
        <v>0</v>
      </c>
      <c r="BG55" s="16">
        <f>IFERROR(VLOOKUP($AY55,costs!$A$2:$I$2905,BG$2,FALSE),0)</f>
        <v>0</v>
      </c>
    </row>
    <row r="56" spans="21:59" x14ac:dyDescent="0.35">
      <c r="U56" s="272" t="s">
        <v>375</v>
      </c>
      <c r="V56" s="16">
        <f>IFERROR(VLOOKUP($U56,costs!$A$2:$I$2905,V$2,FALSE),0)</f>
        <v>0</v>
      </c>
      <c r="W56" s="16">
        <f>IFERROR(VLOOKUP($U56,costs!$A$2:$I$2905,W$2,FALSE),0)</f>
        <v>0</v>
      </c>
      <c r="X56" s="16">
        <f>IFERROR(VLOOKUP($U56,costs!$A$2:$I$2905,X$2,FALSE),0)</f>
        <v>0</v>
      </c>
      <c r="Y56" s="16">
        <f>IFERROR(VLOOKUP($U56,costs!$A$2:$I$2905,Y$2,FALSE),0)</f>
        <v>0</v>
      </c>
      <c r="Z56" s="16">
        <f>IFERROR(VLOOKUP($U56,costs!$A$2:$I$2905,Z$2,FALSE),0)</f>
        <v>0</v>
      </c>
      <c r="AA56" s="16">
        <f>IFERROR(VLOOKUP($U56,costs!$A$2:$I$2905,AA$2,FALSE),0)</f>
        <v>0</v>
      </c>
      <c r="AB56" s="16">
        <f>IFERROR(VLOOKUP($U56,costs!$A$2:$I$2905,AB$2,FALSE),0)</f>
        <v>0</v>
      </c>
      <c r="AC56" s="16">
        <f>IFERROR(VLOOKUP($U56,costs!$A$2:$I$2905,AC$2,FALSE),0)</f>
        <v>0</v>
      </c>
      <c r="AE56" s="272" t="s">
        <v>178</v>
      </c>
      <c r="AF56" s="16">
        <f>IFERROR(VLOOKUP($AE56,costs!$A$2:$I$2905,AF$2,FALSE),0)</f>
        <v>0</v>
      </c>
      <c r="AG56" s="16">
        <f>IFERROR(VLOOKUP($AE56,costs!$A$2:$I$2905,AG$2,FALSE),0)</f>
        <v>0</v>
      </c>
      <c r="AH56" s="16">
        <f>IFERROR(VLOOKUP($AE56,costs!$A$2:$I$2905,AH$2,FALSE),0)</f>
        <v>0</v>
      </c>
      <c r="AI56" s="16">
        <f>IFERROR(VLOOKUP($AE56,costs!$A$2:$I$2905,AI$2,FALSE),0)</f>
        <v>0</v>
      </c>
      <c r="AJ56" s="16">
        <f>IFERROR(VLOOKUP($AE56,costs!$A$2:$I$2905,AJ$2,FALSE),0)</f>
        <v>0</v>
      </c>
      <c r="AK56" s="16">
        <f>IFERROR(VLOOKUP($AE56,costs!$A$2:$I$2905,AK$2,FALSE),0)</f>
        <v>0</v>
      </c>
      <c r="AL56" s="16">
        <f>IFERROR(VLOOKUP($AE56,costs!$A$2:$I$2905,AL$2,FALSE),0)</f>
        <v>0</v>
      </c>
      <c r="AM56" s="16">
        <f>IFERROR(VLOOKUP($AE56,costs!$A$2:$I$2905,AM$2,FALSE),0)</f>
        <v>0</v>
      </c>
      <c r="AO56" s="273" t="s">
        <v>464</v>
      </c>
      <c r="AP56" s="16">
        <f>IFERROR(VLOOKUP($AO56,costs!$A$2:$I$2905,AP$2,FALSE),0)</f>
        <v>0</v>
      </c>
      <c r="AQ56" s="16">
        <f>IFERROR(VLOOKUP($AO56,costs!$A$2:$I$2905,AQ$2,FALSE),0)</f>
        <v>0</v>
      </c>
      <c r="AR56" s="16">
        <f>IFERROR(VLOOKUP($AO56,costs!$A$2:$I$2905,AR$2,FALSE),0)</f>
        <v>0</v>
      </c>
      <c r="AS56" s="16">
        <f>IFERROR(VLOOKUP($AO56,costs!$A$2:$I$2905,AS$2,FALSE),0)</f>
        <v>0</v>
      </c>
      <c r="AT56" s="16">
        <f>IFERROR(VLOOKUP($AO56,costs!$A$2:$I$2905,AT$2,FALSE),0)</f>
        <v>0</v>
      </c>
      <c r="AU56" s="16">
        <f>IFERROR(VLOOKUP($AO56,costs!$A$2:$I$2905,AU$2,FALSE),0)</f>
        <v>0</v>
      </c>
      <c r="AV56" s="16">
        <f>IFERROR(VLOOKUP($AO56,costs!$A$2:$I$2905,AV$2,FALSE),0)</f>
        <v>0</v>
      </c>
      <c r="AW56" s="16">
        <f>IFERROR(VLOOKUP($AO56,costs!$A$2:$I$2905,AW$2,FALSE),0)</f>
        <v>0</v>
      </c>
      <c r="AY56" s="272" t="s">
        <v>2090</v>
      </c>
      <c r="AZ56" s="16">
        <f>IFERROR(VLOOKUP($AY56,costs!$A$2:$I$2905,AZ$2,FALSE),0)</f>
        <v>0</v>
      </c>
      <c r="BA56" s="16">
        <f>IFERROR(VLOOKUP($AY56,costs!$A$2:$I$2905,BA$2,FALSE),0)</f>
        <v>0</v>
      </c>
      <c r="BB56" s="16">
        <f>IFERROR(VLOOKUP($AY56,costs!$A$2:$I$2905,BB$2,FALSE),0)</f>
        <v>0</v>
      </c>
      <c r="BC56" s="16">
        <f>IFERROR(VLOOKUP($AY56,costs!$A$2:$I$2905,BC$2,FALSE),0)</f>
        <v>0</v>
      </c>
      <c r="BD56" s="16">
        <f>IFERROR(VLOOKUP($AY56,costs!$A$2:$I$2905,BD$2,FALSE),0)</f>
        <v>0</v>
      </c>
      <c r="BE56" s="16">
        <f>IFERROR(VLOOKUP($AY56,costs!$A$2:$I$2905,BE$2,FALSE),0)</f>
        <v>0</v>
      </c>
      <c r="BF56" s="16">
        <f>IFERROR(VLOOKUP($AY56,costs!$A$2:$I$2905,BF$2,FALSE),0)</f>
        <v>0</v>
      </c>
      <c r="BG56" s="16">
        <f>IFERROR(VLOOKUP($AY56,costs!$A$2:$I$2905,BG$2,FALSE),0)</f>
        <v>0</v>
      </c>
    </row>
    <row r="57" spans="21:59" x14ac:dyDescent="0.35">
      <c r="U57" s="273" t="s">
        <v>376</v>
      </c>
      <c r="V57" s="16">
        <f>IFERROR(VLOOKUP($U57,costs!$A$2:$I$2905,V$2,FALSE),0)</f>
        <v>0</v>
      </c>
      <c r="W57" s="16">
        <f>IFERROR(VLOOKUP($U57,costs!$A$2:$I$2905,W$2,FALSE),0)</f>
        <v>0</v>
      </c>
      <c r="X57" s="16">
        <f>IFERROR(VLOOKUP($U57,costs!$A$2:$I$2905,X$2,FALSE),0)</f>
        <v>0</v>
      </c>
      <c r="Y57" s="16">
        <f>IFERROR(VLOOKUP($U57,costs!$A$2:$I$2905,Y$2,FALSE),0)</f>
        <v>0</v>
      </c>
      <c r="Z57" s="16">
        <f>IFERROR(VLOOKUP($U57,costs!$A$2:$I$2905,Z$2,FALSE),0)</f>
        <v>0</v>
      </c>
      <c r="AA57" s="16">
        <f>IFERROR(VLOOKUP($U57,costs!$A$2:$I$2905,AA$2,FALSE),0)</f>
        <v>0</v>
      </c>
      <c r="AB57" s="16">
        <f>IFERROR(VLOOKUP($U57,costs!$A$2:$I$2905,AB$2,FALSE),0)</f>
        <v>0</v>
      </c>
      <c r="AC57" s="16">
        <f>IFERROR(VLOOKUP($U57,costs!$A$2:$I$2905,AC$2,FALSE),0)</f>
        <v>0</v>
      </c>
      <c r="AE57" s="272" t="s">
        <v>208</v>
      </c>
      <c r="AF57" s="16">
        <f>IFERROR(VLOOKUP($AE57,costs!$A$2:$I$2905,AF$2,FALSE),0)</f>
        <v>0</v>
      </c>
      <c r="AG57" s="16">
        <f>IFERROR(VLOOKUP($AE57,costs!$A$2:$I$2905,AG$2,FALSE),0)</f>
        <v>0</v>
      </c>
      <c r="AH57" s="16">
        <f>IFERROR(VLOOKUP($AE57,costs!$A$2:$I$2905,AH$2,FALSE),0)</f>
        <v>0</v>
      </c>
      <c r="AI57" s="16">
        <f>IFERROR(VLOOKUP($AE57,costs!$A$2:$I$2905,AI$2,FALSE),0)</f>
        <v>0</v>
      </c>
      <c r="AJ57" s="16">
        <f>IFERROR(VLOOKUP($AE57,costs!$A$2:$I$2905,AJ$2,FALSE),0)</f>
        <v>0</v>
      </c>
      <c r="AK57" s="16">
        <f>IFERROR(VLOOKUP($AE57,costs!$A$2:$I$2905,AK$2,FALSE),0)</f>
        <v>0</v>
      </c>
      <c r="AL57" s="16">
        <f>IFERROR(VLOOKUP($AE57,costs!$A$2:$I$2905,AL$2,FALSE),0)</f>
        <v>0</v>
      </c>
      <c r="AM57" s="16">
        <f>IFERROR(VLOOKUP($AE57,costs!$A$2:$I$2905,AM$2,FALSE),0)</f>
        <v>0</v>
      </c>
      <c r="AO57" s="272" t="s">
        <v>462</v>
      </c>
      <c r="AP57" s="16">
        <f>IFERROR(VLOOKUP($AO57,costs!$A$2:$I$2905,AP$2,FALSE),0)</f>
        <v>0</v>
      </c>
      <c r="AQ57" s="16">
        <f>IFERROR(VLOOKUP($AO57,costs!$A$2:$I$2905,AQ$2,FALSE),0)</f>
        <v>0</v>
      </c>
      <c r="AR57" s="16">
        <f>IFERROR(VLOOKUP($AO57,costs!$A$2:$I$2905,AR$2,FALSE),0)</f>
        <v>0</v>
      </c>
      <c r="AS57" s="16">
        <f>IFERROR(VLOOKUP($AO57,costs!$A$2:$I$2905,AS$2,FALSE),0)</f>
        <v>0</v>
      </c>
      <c r="AT57" s="16">
        <f>IFERROR(VLOOKUP($AO57,costs!$A$2:$I$2905,AT$2,FALSE),0)</f>
        <v>0</v>
      </c>
      <c r="AU57" s="16">
        <f>IFERROR(VLOOKUP($AO57,costs!$A$2:$I$2905,AU$2,FALSE),0)</f>
        <v>0</v>
      </c>
      <c r="AV57" s="16">
        <f>IFERROR(VLOOKUP($AO57,costs!$A$2:$I$2905,AV$2,FALSE),0)</f>
        <v>0</v>
      </c>
      <c r="AW57" s="16">
        <f>IFERROR(VLOOKUP($AO57,costs!$A$2:$I$2905,AW$2,FALSE),0)</f>
        <v>0</v>
      </c>
      <c r="AY57" s="273" t="s">
        <v>308</v>
      </c>
      <c r="AZ57" s="16">
        <f>IFERROR(VLOOKUP($AY57,costs!$A$2:$I$2905,AZ$2,FALSE),0)</f>
        <v>0</v>
      </c>
      <c r="BA57" s="16">
        <f>IFERROR(VLOOKUP($AY57,costs!$A$2:$I$2905,BA$2,FALSE),0)</f>
        <v>0</v>
      </c>
      <c r="BB57" s="16">
        <f>IFERROR(VLOOKUP($AY57,costs!$A$2:$I$2905,BB$2,FALSE),0)</f>
        <v>0</v>
      </c>
      <c r="BC57" s="16">
        <f>IFERROR(VLOOKUP($AY57,costs!$A$2:$I$2905,BC$2,FALSE),0)</f>
        <v>0</v>
      </c>
      <c r="BD57" s="16">
        <f>IFERROR(VLOOKUP($AY57,costs!$A$2:$I$2905,BD$2,FALSE),0)</f>
        <v>0</v>
      </c>
      <c r="BE57" s="16">
        <f>IFERROR(VLOOKUP($AY57,costs!$A$2:$I$2905,BE$2,FALSE),0)</f>
        <v>0</v>
      </c>
      <c r="BF57" s="16">
        <f>IFERROR(VLOOKUP($AY57,costs!$A$2:$I$2905,BF$2,FALSE),0)</f>
        <v>0</v>
      </c>
      <c r="BG57" s="16">
        <f>IFERROR(VLOOKUP($AY57,costs!$A$2:$I$2905,BG$2,FALSE),0)</f>
        <v>0</v>
      </c>
    </row>
    <row r="58" spans="21:59" x14ac:dyDescent="0.35">
      <c r="U58" s="272" t="s">
        <v>2053</v>
      </c>
      <c r="V58" s="16">
        <f>IFERROR(VLOOKUP($U58,costs!$A$2:$I$2905,V$2,FALSE),0)</f>
        <v>0</v>
      </c>
      <c r="W58" s="16">
        <f>IFERROR(VLOOKUP($U58,costs!$A$2:$I$2905,W$2,FALSE),0)</f>
        <v>0</v>
      </c>
      <c r="X58" s="16">
        <f>IFERROR(VLOOKUP($U58,costs!$A$2:$I$2905,X$2,FALSE),0)</f>
        <v>0</v>
      </c>
      <c r="Y58" s="16">
        <f>IFERROR(VLOOKUP($U58,costs!$A$2:$I$2905,Y$2,FALSE),0)</f>
        <v>0</v>
      </c>
      <c r="Z58" s="16">
        <f>IFERROR(VLOOKUP($U58,costs!$A$2:$I$2905,Z$2,FALSE),0)</f>
        <v>0</v>
      </c>
      <c r="AA58" s="16">
        <f>IFERROR(VLOOKUP($U58,costs!$A$2:$I$2905,AA$2,FALSE),0)</f>
        <v>0</v>
      </c>
      <c r="AB58" s="16">
        <f>IFERROR(VLOOKUP($U58,costs!$A$2:$I$2905,AB$2,FALSE),0)</f>
        <v>0</v>
      </c>
      <c r="AC58" s="16">
        <f>IFERROR(VLOOKUP($U58,costs!$A$2:$I$2905,AC$2,FALSE),0)</f>
        <v>0</v>
      </c>
      <c r="AE58" s="272" t="s">
        <v>287</v>
      </c>
      <c r="AF58" s="16">
        <f>IFERROR(VLOOKUP($AE58,costs!$A$2:$I$2905,AF$2,FALSE),0)</f>
        <v>0</v>
      </c>
      <c r="AG58" s="16">
        <f>IFERROR(VLOOKUP($AE58,costs!$A$2:$I$2905,AG$2,FALSE),0)</f>
        <v>0</v>
      </c>
      <c r="AH58" s="16">
        <f>IFERROR(VLOOKUP($AE58,costs!$A$2:$I$2905,AH$2,FALSE),0)</f>
        <v>0</v>
      </c>
      <c r="AI58" s="16">
        <f>IFERROR(VLOOKUP($AE58,costs!$A$2:$I$2905,AI$2,FALSE),0)</f>
        <v>0</v>
      </c>
      <c r="AJ58" s="16">
        <f>IFERROR(VLOOKUP($AE58,costs!$A$2:$I$2905,AJ$2,FALSE),0)</f>
        <v>0</v>
      </c>
      <c r="AK58" s="16">
        <f>IFERROR(VLOOKUP($AE58,costs!$A$2:$I$2905,AK$2,FALSE),0)</f>
        <v>0</v>
      </c>
      <c r="AL58" s="16">
        <f>IFERROR(VLOOKUP($AE58,costs!$A$2:$I$2905,AL$2,FALSE),0)</f>
        <v>0</v>
      </c>
      <c r="AM58" s="16">
        <f>IFERROR(VLOOKUP($AE58,costs!$A$2:$I$2905,AM$2,FALSE),0)</f>
        <v>0</v>
      </c>
      <c r="AO58" s="273" t="s">
        <v>467</v>
      </c>
      <c r="AP58" s="16">
        <f>IFERROR(VLOOKUP($AO58,costs!$A$2:$I$2905,AP$2,FALSE),0)</f>
        <v>0</v>
      </c>
      <c r="AQ58" s="16">
        <f>IFERROR(VLOOKUP($AO58,costs!$A$2:$I$2905,AQ$2,FALSE),0)</f>
        <v>0</v>
      </c>
      <c r="AR58" s="16">
        <f>IFERROR(VLOOKUP($AO58,costs!$A$2:$I$2905,AR$2,FALSE),0)</f>
        <v>0</v>
      </c>
      <c r="AS58" s="16">
        <f>IFERROR(VLOOKUP($AO58,costs!$A$2:$I$2905,AS$2,FALSE),0)</f>
        <v>0</v>
      </c>
      <c r="AT58" s="16">
        <f>IFERROR(VLOOKUP($AO58,costs!$A$2:$I$2905,AT$2,FALSE),0)</f>
        <v>0</v>
      </c>
      <c r="AU58" s="16">
        <f>IFERROR(VLOOKUP($AO58,costs!$A$2:$I$2905,AU$2,FALSE),0)</f>
        <v>0</v>
      </c>
      <c r="AV58" s="16">
        <f>IFERROR(VLOOKUP($AO58,costs!$A$2:$I$2905,AV$2,FALSE),0)</f>
        <v>0</v>
      </c>
      <c r="AW58" s="16">
        <f>IFERROR(VLOOKUP($AO58,costs!$A$2:$I$2905,AW$2,FALSE),0)</f>
        <v>0</v>
      </c>
      <c r="AY58" s="272" t="s">
        <v>216</v>
      </c>
      <c r="AZ58" s="16">
        <f>IFERROR(VLOOKUP($AY58,costs!$A$2:$I$2905,AZ$2,FALSE),0)</f>
        <v>0</v>
      </c>
      <c r="BA58" s="16">
        <f>IFERROR(VLOOKUP($AY58,costs!$A$2:$I$2905,BA$2,FALSE),0)</f>
        <v>0</v>
      </c>
      <c r="BB58" s="16">
        <f>IFERROR(VLOOKUP($AY58,costs!$A$2:$I$2905,BB$2,FALSE),0)</f>
        <v>0</v>
      </c>
      <c r="BC58" s="16">
        <f>IFERROR(VLOOKUP($AY58,costs!$A$2:$I$2905,BC$2,FALSE),0)</f>
        <v>0</v>
      </c>
      <c r="BD58" s="16">
        <f>IFERROR(VLOOKUP($AY58,costs!$A$2:$I$2905,BD$2,FALSE),0)</f>
        <v>0</v>
      </c>
      <c r="BE58" s="16">
        <f>IFERROR(VLOOKUP($AY58,costs!$A$2:$I$2905,BE$2,FALSE),0)</f>
        <v>0</v>
      </c>
      <c r="BF58" s="16">
        <f>IFERROR(VLOOKUP($AY58,costs!$A$2:$I$2905,BF$2,FALSE),0)</f>
        <v>0</v>
      </c>
      <c r="BG58" s="16">
        <f>IFERROR(VLOOKUP($AY58,costs!$A$2:$I$2905,BG$2,FALSE),0)</f>
        <v>0</v>
      </c>
    </row>
    <row r="59" spans="21:59" x14ac:dyDescent="0.35">
      <c r="U59" s="273" t="s">
        <v>364</v>
      </c>
      <c r="V59" s="16">
        <f>IFERROR(VLOOKUP($U59,costs!$A$2:$I$2905,V$2,FALSE),0)</f>
        <v>0</v>
      </c>
      <c r="W59" s="16">
        <f>IFERROR(VLOOKUP($U59,costs!$A$2:$I$2905,W$2,FALSE),0)</f>
        <v>0</v>
      </c>
      <c r="X59" s="16">
        <f>IFERROR(VLOOKUP($U59,costs!$A$2:$I$2905,X$2,FALSE),0)</f>
        <v>0</v>
      </c>
      <c r="Y59" s="16">
        <f>IFERROR(VLOOKUP($U59,costs!$A$2:$I$2905,Y$2,FALSE),0)</f>
        <v>0</v>
      </c>
      <c r="Z59" s="16">
        <f>IFERROR(VLOOKUP($U59,costs!$A$2:$I$2905,Z$2,FALSE),0)</f>
        <v>0</v>
      </c>
      <c r="AA59" s="16">
        <f>IFERROR(VLOOKUP($U59,costs!$A$2:$I$2905,AA$2,FALSE),0)</f>
        <v>0</v>
      </c>
      <c r="AB59" s="16">
        <f>IFERROR(VLOOKUP($U59,costs!$A$2:$I$2905,AB$2,FALSE),0)</f>
        <v>0</v>
      </c>
      <c r="AC59" s="16">
        <f>IFERROR(VLOOKUP($U59,costs!$A$2:$I$2905,AC$2,FALSE),0)</f>
        <v>0</v>
      </c>
      <c r="AE59" s="273" t="s">
        <v>53</v>
      </c>
      <c r="AF59" s="16">
        <f>IFERROR(VLOOKUP($AE59,costs!$A$2:$I$2905,AF$2,FALSE),0)</f>
        <v>0</v>
      </c>
      <c r="AG59" s="16">
        <f>IFERROR(VLOOKUP($AE59,costs!$A$2:$I$2905,AG$2,FALSE),0)</f>
        <v>0</v>
      </c>
      <c r="AH59" s="16">
        <f>IFERROR(VLOOKUP($AE59,costs!$A$2:$I$2905,AH$2,FALSE),0)</f>
        <v>0</v>
      </c>
      <c r="AI59" s="16">
        <f>IFERROR(VLOOKUP($AE59,costs!$A$2:$I$2905,AI$2,FALSE),0)</f>
        <v>0</v>
      </c>
      <c r="AJ59" s="16">
        <f>IFERROR(VLOOKUP($AE59,costs!$A$2:$I$2905,AJ$2,FALSE),0)</f>
        <v>0</v>
      </c>
      <c r="AK59" s="16">
        <f>IFERROR(VLOOKUP($AE59,costs!$A$2:$I$2905,AK$2,FALSE),0)</f>
        <v>0</v>
      </c>
      <c r="AL59" s="16">
        <f>IFERROR(VLOOKUP($AE59,costs!$A$2:$I$2905,AL$2,FALSE),0)</f>
        <v>0</v>
      </c>
      <c r="AM59" s="16">
        <f>IFERROR(VLOOKUP($AE59,costs!$A$2:$I$2905,AM$2,FALSE),0)</f>
        <v>0</v>
      </c>
      <c r="AO59" s="272" t="s">
        <v>468</v>
      </c>
      <c r="AP59" s="16">
        <f>IFERROR(VLOOKUP($AO59,costs!$A$2:$I$2905,AP$2,FALSE),0)</f>
        <v>0</v>
      </c>
      <c r="AQ59" s="16">
        <f>IFERROR(VLOOKUP($AO59,costs!$A$2:$I$2905,AQ$2,FALSE),0)</f>
        <v>0</v>
      </c>
      <c r="AR59" s="16">
        <f>IFERROR(VLOOKUP($AO59,costs!$A$2:$I$2905,AR$2,FALSE),0)</f>
        <v>0</v>
      </c>
      <c r="AS59" s="16">
        <f>IFERROR(VLOOKUP($AO59,costs!$A$2:$I$2905,AS$2,FALSE),0)</f>
        <v>0</v>
      </c>
      <c r="AT59" s="16">
        <f>IFERROR(VLOOKUP($AO59,costs!$A$2:$I$2905,AT$2,FALSE),0)</f>
        <v>0</v>
      </c>
      <c r="AU59" s="16">
        <f>IFERROR(VLOOKUP($AO59,costs!$A$2:$I$2905,AU$2,FALSE),0)</f>
        <v>0</v>
      </c>
      <c r="AV59" s="16">
        <f>IFERROR(VLOOKUP($AO59,costs!$A$2:$I$2905,AV$2,FALSE),0)</f>
        <v>0</v>
      </c>
      <c r="AW59" s="16">
        <f>IFERROR(VLOOKUP($AO59,costs!$A$2:$I$2905,AW$2,FALSE),0)</f>
        <v>0</v>
      </c>
      <c r="AY59" s="273" t="s">
        <v>348</v>
      </c>
      <c r="AZ59" s="16">
        <f>IFERROR(VLOOKUP($AY59,costs!$A$2:$I$2905,AZ$2,FALSE),0)</f>
        <v>0</v>
      </c>
      <c r="BA59" s="16">
        <f>IFERROR(VLOOKUP($AY59,costs!$A$2:$I$2905,BA$2,FALSE),0)</f>
        <v>0</v>
      </c>
      <c r="BB59" s="16">
        <f>IFERROR(VLOOKUP($AY59,costs!$A$2:$I$2905,BB$2,FALSE),0)</f>
        <v>0</v>
      </c>
      <c r="BC59" s="16">
        <f>IFERROR(VLOOKUP($AY59,costs!$A$2:$I$2905,BC$2,FALSE),0)</f>
        <v>0</v>
      </c>
      <c r="BD59" s="16">
        <f>IFERROR(VLOOKUP($AY59,costs!$A$2:$I$2905,BD$2,FALSE),0)</f>
        <v>0</v>
      </c>
      <c r="BE59" s="16">
        <f>IFERROR(VLOOKUP($AY59,costs!$A$2:$I$2905,BE$2,FALSE),0)</f>
        <v>0</v>
      </c>
      <c r="BF59" s="16">
        <f>IFERROR(VLOOKUP($AY59,costs!$A$2:$I$2905,BF$2,FALSE),0)</f>
        <v>0</v>
      </c>
      <c r="BG59" s="16">
        <f>IFERROR(VLOOKUP($AY59,costs!$A$2:$I$2905,BG$2,FALSE),0)</f>
        <v>0</v>
      </c>
    </row>
    <row r="60" spans="21:59" x14ac:dyDescent="0.35">
      <c r="U60" s="272" t="s">
        <v>2054</v>
      </c>
      <c r="V60" s="16">
        <f>IFERROR(VLOOKUP($U60,costs!$A$2:$I$2905,V$2,FALSE),0)</f>
        <v>0</v>
      </c>
      <c r="W60" s="16">
        <f>IFERROR(VLOOKUP($U60,costs!$A$2:$I$2905,W$2,FALSE),0)</f>
        <v>0</v>
      </c>
      <c r="X60" s="16">
        <f>IFERROR(VLOOKUP($U60,costs!$A$2:$I$2905,X$2,FALSE),0)</f>
        <v>0</v>
      </c>
      <c r="Y60" s="16">
        <f>IFERROR(VLOOKUP($U60,costs!$A$2:$I$2905,Y$2,FALSE),0)</f>
        <v>0</v>
      </c>
      <c r="Z60" s="16">
        <f>IFERROR(VLOOKUP($U60,costs!$A$2:$I$2905,Z$2,FALSE),0)</f>
        <v>0</v>
      </c>
      <c r="AA60" s="16">
        <f>IFERROR(VLOOKUP($U60,costs!$A$2:$I$2905,AA$2,FALSE),0)</f>
        <v>0</v>
      </c>
      <c r="AB60" s="16">
        <f>IFERROR(VLOOKUP($U60,costs!$A$2:$I$2905,AB$2,FALSE),0)</f>
        <v>0</v>
      </c>
      <c r="AC60" s="16">
        <f>IFERROR(VLOOKUP($U60,costs!$A$2:$I$2905,AC$2,FALSE),0)</f>
        <v>0</v>
      </c>
      <c r="AE60" s="273" t="s">
        <v>385</v>
      </c>
      <c r="AF60" s="16">
        <f>IFERROR(VLOOKUP($AE60,costs!$A$2:$I$2905,AF$2,FALSE),0)</f>
        <v>0</v>
      </c>
      <c r="AG60" s="16">
        <f>IFERROR(VLOOKUP($AE60,costs!$A$2:$I$2905,AG$2,FALSE),0)</f>
        <v>0</v>
      </c>
      <c r="AH60" s="16">
        <f>IFERROR(VLOOKUP($AE60,costs!$A$2:$I$2905,AH$2,FALSE),0)</f>
        <v>0</v>
      </c>
      <c r="AI60" s="16">
        <f>IFERROR(VLOOKUP($AE60,costs!$A$2:$I$2905,AI$2,FALSE),0)</f>
        <v>0</v>
      </c>
      <c r="AJ60" s="16">
        <f>IFERROR(VLOOKUP($AE60,costs!$A$2:$I$2905,AJ$2,FALSE),0)</f>
        <v>0</v>
      </c>
      <c r="AK60" s="16">
        <f>IFERROR(VLOOKUP($AE60,costs!$A$2:$I$2905,AK$2,FALSE),0)</f>
        <v>0</v>
      </c>
      <c r="AL60" s="16">
        <f>IFERROR(VLOOKUP($AE60,costs!$A$2:$I$2905,AL$2,FALSE),0)</f>
        <v>0</v>
      </c>
      <c r="AM60" s="16">
        <f>IFERROR(VLOOKUP($AE60,costs!$A$2:$I$2905,AM$2,FALSE),0)</f>
        <v>0</v>
      </c>
      <c r="AO60" s="273" t="s">
        <v>184</v>
      </c>
      <c r="AP60" s="16">
        <f>IFERROR(VLOOKUP($AO60,costs!$A$2:$I$2905,AP$2,FALSE),0)</f>
        <v>0</v>
      </c>
      <c r="AQ60" s="16">
        <f>IFERROR(VLOOKUP($AO60,costs!$A$2:$I$2905,AQ$2,FALSE),0)</f>
        <v>0</v>
      </c>
      <c r="AR60" s="16">
        <f>IFERROR(VLOOKUP($AO60,costs!$A$2:$I$2905,AR$2,FALSE),0)</f>
        <v>0</v>
      </c>
      <c r="AS60" s="16">
        <f>IFERROR(VLOOKUP($AO60,costs!$A$2:$I$2905,AS$2,FALSE),0)</f>
        <v>0</v>
      </c>
      <c r="AT60" s="16">
        <f>IFERROR(VLOOKUP($AO60,costs!$A$2:$I$2905,AT$2,FALSE),0)</f>
        <v>0</v>
      </c>
      <c r="AU60" s="16">
        <f>IFERROR(VLOOKUP($AO60,costs!$A$2:$I$2905,AU$2,FALSE),0)</f>
        <v>0</v>
      </c>
      <c r="AV60" s="16">
        <f>IFERROR(VLOOKUP($AO60,costs!$A$2:$I$2905,AV$2,FALSE),0)</f>
        <v>0</v>
      </c>
      <c r="AW60" s="16">
        <f>IFERROR(VLOOKUP($AO60,costs!$A$2:$I$2905,AW$2,FALSE),0)</f>
        <v>0</v>
      </c>
      <c r="AY60" s="273" t="s">
        <v>320</v>
      </c>
      <c r="AZ60" s="16">
        <f>IFERROR(VLOOKUP($AY60,costs!$A$2:$I$2905,AZ$2,FALSE),0)</f>
        <v>0</v>
      </c>
      <c r="BA60" s="16">
        <f>IFERROR(VLOOKUP($AY60,costs!$A$2:$I$2905,BA$2,FALSE),0)</f>
        <v>0</v>
      </c>
      <c r="BB60" s="16">
        <f>IFERROR(VLOOKUP($AY60,costs!$A$2:$I$2905,BB$2,FALSE),0)</f>
        <v>0</v>
      </c>
      <c r="BC60" s="16">
        <f>IFERROR(VLOOKUP($AY60,costs!$A$2:$I$2905,BC$2,FALSE),0)</f>
        <v>0</v>
      </c>
      <c r="BD60" s="16">
        <f>IFERROR(VLOOKUP($AY60,costs!$A$2:$I$2905,BD$2,FALSE),0)</f>
        <v>0</v>
      </c>
      <c r="BE60" s="16">
        <f>IFERROR(VLOOKUP($AY60,costs!$A$2:$I$2905,BE$2,FALSE),0)</f>
        <v>0</v>
      </c>
      <c r="BF60" s="16">
        <f>IFERROR(VLOOKUP($AY60,costs!$A$2:$I$2905,BF$2,FALSE),0)</f>
        <v>0</v>
      </c>
      <c r="BG60" s="16">
        <f>IFERROR(VLOOKUP($AY60,costs!$A$2:$I$2905,BG$2,FALSE),0)</f>
        <v>0</v>
      </c>
    </row>
    <row r="61" spans="21:59" x14ac:dyDescent="0.35">
      <c r="U61" s="273" t="s">
        <v>342</v>
      </c>
      <c r="V61" s="16">
        <f>IFERROR(VLOOKUP($U61,costs!$A$2:$I$2905,V$2,FALSE),0)</f>
        <v>0</v>
      </c>
      <c r="W61" s="16">
        <f>IFERROR(VLOOKUP($U61,costs!$A$2:$I$2905,W$2,FALSE),0)</f>
        <v>0</v>
      </c>
      <c r="X61" s="16">
        <f>IFERROR(VLOOKUP($U61,costs!$A$2:$I$2905,X$2,FALSE),0)</f>
        <v>0</v>
      </c>
      <c r="Y61" s="16">
        <f>IFERROR(VLOOKUP($U61,costs!$A$2:$I$2905,Y$2,FALSE),0)</f>
        <v>0</v>
      </c>
      <c r="Z61" s="16">
        <f>IFERROR(VLOOKUP($U61,costs!$A$2:$I$2905,Z$2,FALSE),0)</f>
        <v>0</v>
      </c>
      <c r="AA61" s="16">
        <f>IFERROR(VLOOKUP($U61,costs!$A$2:$I$2905,AA$2,FALSE),0)</f>
        <v>0</v>
      </c>
      <c r="AB61" s="16">
        <f>IFERROR(VLOOKUP($U61,costs!$A$2:$I$2905,AB$2,FALSE),0)</f>
        <v>0</v>
      </c>
      <c r="AC61" s="16">
        <f>IFERROR(VLOOKUP($U61,costs!$A$2:$I$2905,AC$2,FALSE),0)</f>
        <v>0</v>
      </c>
      <c r="AE61" s="273" t="s">
        <v>463</v>
      </c>
      <c r="AF61" s="16">
        <f>IFERROR(VLOOKUP($AE61,costs!$A$2:$I$2905,AF$2,FALSE),0)</f>
        <v>0</v>
      </c>
      <c r="AG61" s="16">
        <f>IFERROR(VLOOKUP($AE61,costs!$A$2:$I$2905,AG$2,FALSE),0)</f>
        <v>0</v>
      </c>
      <c r="AH61" s="16">
        <f>IFERROR(VLOOKUP($AE61,costs!$A$2:$I$2905,AH$2,FALSE),0)</f>
        <v>0</v>
      </c>
      <c r="AI61" s="16">
        <f>IFERROR(VLOOKUP($AE61,costs!$A$2:$I$2905,AI$2,FALSE),0)</f>
        <v>0</v>
      </c>
      <c r="AJ61" s="16">
        <f>IFERROR(VLOOKUP($AE61,costs!$A$2:$I$2905,AJ$2,FALSE),0)</f>
        <v>0</v>
      </c>
      <c r="AK61" s="16">
        <f>IFERROR(VLOOKUP($AE61,costs!$A$2:$I$2905,AK$2,FALSE),0)</f>
        <v>0</v>
      </c>
      <c r="AL61" s="16">
        <f>IFERROR(VLOOKUP($AE61,costs!$A$2:$I$2905,AL$2,FALSE),0)</f>
        <v>0</v>
      </c>
      <c r="AM61" s="16">
        <f>IFERROR(VLOOKUP($AE61,costs!$A$2:$I$2905,AM$2,FALSE),0)</f>
        <v>0</v>
      </c>
      <c r="AO61" s="272" t="s">
        <v>2102</v>
      </c>
      <c r="AP61" s="16">
        <f>IFERROR(VLOOKUP($AO61,costs!$A$2:$I$2905,AP$2,FALSE),0)</f>
        <v>0</v>
      </c>
      <c r="AQ61" s="16">
        <f>IFERROR(VLOOKUP($AO61,costs!$A$2:$I$2905,AQ$2,FALSE),0)</f>
        <v>0</v>
      </c>
      <c r="AR61" s="16">
        <f>IFERROR(VLOOKUP($AO61,costs!$A$2:$I$2905,AR$2,FALSE),0)</f>
        <v>0</v>
      </c>
      <c r="AS61" s="16">
        <f>IFERROR(VLOOKUP($AO61,costs!$A$2:$I$2905,AS$2,FALSE),0)</f>
        <v>0</v>
      </c>
      <c r="AT61" s="16">
        <f>IFERROR(VLOOKUP($AO61,costs!$A$2:$I$2905,AT$2,FALSE),0)</f>
        <v>0</v>
      </c>
      <c r="AU61" s="16">
        <f>IFERROR(VLOOKUP($AO61,costs!$A$2:$I$2905,AU$2,FALSE),0)</f>
        <v>0</v>
      </c>
      <c r="AV61" s="16">
        <f>IFERROR(VLOOKUP($AO61,costs!$A$2:$I$2905,AV$2,FALSE),0)</f>
        <v>0</v>
      </c>
      <c r="AW61" s="16">
        <f>IFERROR(VLOOKUP($AO61,costs!$A$2:$I$2905,AW$2,FALSE),0)</f>
        <v>0</v>
      </c>
      <c r="AY61" s="273" t="s">
        <v>224</v>
      </c>
      <c r="AZ61" s="16">
        <f>IFERROR(VLOOKUP($AY61,costs!$A$2:$I$2905,AZ$2,FALSE),0)</f>
        <v>0</v>
      </c>
      <c r="BA61" s="16">
        <f>IFERROR(VLOOKUP($AY61,costs!$A$2:$I$2905,BA$2,FALSE),0)</f>
        <v>0</v>
      </c>
      <c r="BB61" s="16">
        <f>IFERROR(VLOOKUP($AY61,costs!$A$2:$I$2905,BB$2,FALSE),0)</f>
        <v>0</v>
      </c>
      <c r="BC61" s="16">
        <f>IFERROR(VLOOKUP($AY61,costs!$A$2:$I$2905,BC$2,FALSE),0)</f>
        <v>0</v>
      </c>
      <c r="BD61" s="16">
        <f>IFERROR(VLOOKUP($AY61,costs!$A$2:$I$2905,BD$2,FALSE),0)</f>
        <v>0</v>
      </c>
      <c r="BE61" s="16">
        <f>IFERROR(VLOOKUP($AY61,costs!$A$2:$I$2905,BE$2,FALSE),0)</f>
        <v>0</v>
      </c>
      <c r="BF61" s="16">
        <f>IFERROR(VLOOKUP($AY61,costs!$A$2:$I$2905,BF$2,FALSE),0)</f>
        <v>0</v>
      </c>
      <c r="BG61" s="16">
        <f>IFERROR(VLOOKUP($AY61,costs!$A$2:$I$2905,BG$2,FALSE),0)</f>
        <v>0</v>
      </c>
    </row>
    <row r="62" spans="21:59" x14ac:dyDescent="0.35">
      <c r="U62" s="272" t="s">
        <v>2055</v>
      </c>
      <c r="V62" s="16">
        <f>IFERROR(VLOOKUP($U62,costs!$A$2:$I$2905,V$2,FALSE),0)</f>
        <v>0</v>
      </c>
      <c r="W62" s="16">
        <f>IFERROR(VLOOKUP($U62,costs!$A$2:$I$2905,W$2,FALSE),0)</f>
        <v>0</v>
      </c>
      <c r="X62" s="16">
        <f>IFERROR(VLOOKUP($U62,costs!$A$2:$I$2905,X$2,FALSE),0)</f>
        <v>0</v>
      </c>
      <c r="Y62" s="16">
        <f>IFERROR(VLOOKUP($U62,costs!$A$2:$I$2905,Y$2,FALSE),0)</f>
        <v>0</v>
      </c>
      <c r="Z62" s="16">
        <f>IFERROR(VLOOKUP($U62,costs!$A$2:$I$2905,Z$2,FALSE),0)</f>
        <v>0</v>
      </c>
      <c r="AA62" s="16">
        <f>IFERROR(VLOOKUP($U62,costs!$A$2:$I$2905,AA$2,FALSE),0)</f>
        <v>0</v>
      </c>
      <c r="AB62" s="16">
        <f>IFERROR(VLOOKUP($U62,costs!$A$2:$I$2905,AB$2,FALSE),0)</f>
        <v>0</v>
      </c>
      <c r="AC62" s="16">
        <f>IFERROR(VLOOKUP($U62,costs!$A$2:$I$2905,AC$2,FALSE),0)</f>
        <v>0</v>
      </c>
      <c r="AE62" s="272" t="s">
        <v>469</v>
      </c>
      <c r="AF62" s="16">
        <f>IFERROR(VLOOKUP($AE62,costs!$A$2:$I$2905,AF$2,FALSE),0)</f>
        <v>0</v>
      </c>
      <c r="AG62" s="16">
        <f>IFERROR(VLOOKUP($AE62,costs!$A$2:$I$2905,AG$2,FALSE),0)</f>
        <v>0</v>
      </c>
      <c r="AH62" s="16">
        <f>IFERROR(VLOOKUP($AE62,costs!$A$2:$I$2905,AH$2,FALSE),0)</f>
        <v>0</v>
      </c>
      <c r="AI62" s="16">
        <f>IFERROR(VLOOKUP($AE62,costs!$A$2:$I$2905,AI$2,FALSE),0)</f>
        <v>0</v>
      </c>
      <c r="AJ62" s="16">
        <f>IFERROR(VLOOKUP($AE62,costs!$A$2:$I$2905,AJ$2,FALSE),0)</f>
        <v>0</v>
      </c>
      <c r="AK62" s="16">
        <f>IFERROR(VLOOKUP($AE62,costs!$A$2:$I$2905,AK$2,FALSE),0)</f>
        <v>0</v>
      </c>
      <c r="AL62" s="16">
        <f>IFERROR(VLOOKUP($AE62,costs!$A$2:$I$2905,AL$2,FALSE),0)</f>
        <v>0</v>
      </c>
      <c r="AM62" s="16">
        <f>IFERROR(VLOOKUP($AE62,costs!$A$2:$I$2905,AM$2,FALSE),0)</f>
        <v>0</v>
      </c>
      <c r="AO62" s="273" t="s">
        <v>1681</v>
      </c>
      <c r="AP62" s="16">
        <f>IFERROR(VLOOKUP($AO62,costs!$A$2:$I$2905,AP$2,FALSE),0)</f>
        <v>0</v>
      </c>
      <c r="AQ62" s="16">
        <f>IFERROR(VLOOKUP($AO62,costs!$A$2:$I$2905,AQ$2,FALSE),0)</f>
        <v>0</v>
      </c>
      <c r="AR62" s="16">
        <f>IFERROR(VLOOKUP($AO62,costs!$A$2:$I$2905,AR$2,FALSE),0)</f>
        <v>0</v>
      </c>
      <c r="AS62" s="16">
        <f>IFERROR(VLOOKUP($AO62,costs!$A$2:$I$2905,AS$2,FALSE),0)</f>
        <v>0</v>
      </c>
      <c r="AT62" s="16">
        <f>IFERROR(VLOOKUP($AO62,costs!$A$2:$I$2905,AT$2,FALSE),0)</f>
        <v>0</v>
      </c>
      <c r="AU62" s="16">
        <f>IFERROR(VLOOKUP($AO62,costs!$A$2:$I$2905,AU$2,FALSE),0)</f>
        <v>0</v>
      </c>
      <c r="AV62" s="16">
        <f>IFERROR(VLOOKUP($AO62,costs!$A$2:$I$2905,AV$2,FALSE),0)</f>
        <v>0</v>
      </c>
      <c r="AW62" s="16">
        <f>IFERROR(VLOOKUP($AO62,costs!$A$2:$I$2905,AW$2,FALSE),0)</f>
        <v>0</v>
      </c>
      <c r="AY62" s="272" t="s">
        <v>309</v>
      </c>
      <c r="AZ62" s="16">
        <f>IFERROR(VLOOKUP($AY62,costs!$A$2:$I$2905,AZ$2,FALSE),0)</f>
        <v>0</v>
      </c>
      <c r="BA62" s="16">
        <f>IFERROR(VLOOKUP($AY62,costs!$A$2:$I$2905,BA$2,FALSE),0)</f>
        <v>0</v>
      </c>
      <c r="BB62" s="16">
        <f>IFERROR(VLOOKUP($AY62,costs!$A$2:$I$2905,BB$2,FALSE),0)</f>
        <v>0</v>
      </c>
      <c r="BC62" s="16">
        <f>IFERROR(VLOOKUP($AY62,costs!$A$2:$I$2905,BC$2,FALSE),0)</f>
        <v>0</v>
      </c>
      <c r="BD62" s="16">
        <f>IFERROR(VLOOKUP($AY62,costs!$A$2:$I$2905,BD$2,FALSE),0)</f>
        <v>0</v>
      </c>
      <c r="BE62" s="16">
        <f>IFERROR(VLOOKUP($AY62,costs!$A$2:$I$2905,BE$2,FALSE),0)</f>
        <v>0</v>
      </c>
      <c r="BF62" s="16">
        <f>IFERROR(VLOOKUP($AY62,costs!$A$2:$I$2905,BF$2,FALSE),0)</f>
        <v>0</v>
      </c>
      <c r="BG62" s="16">
        <f>IFERROR(VLOOKUP($AY62,costs!$A$2:$I$2905,BG$2,FALSE),0)</f>
        <v>0</v>
      </c>
    </row>
    <row r="63" spans="21:59" x14ac:dyDescent="0.35">
      <c r="U63" s="273" t="s">
        <v>437</v>
      </c>
      <c r="V63" s="16">
        <f>IFERROR(VLOOKUP($U63,costs!$A$2:$I$2905,V$2,FALSE),0)</f>
        <v>0</v>
      </c>
      <c r="W63" s="16">
        <f>IFERROR(VLOOKUP($U63,costs!$A$2:$I$2905,W$2,FALSE),0)</f>
        <v>0</v>
      </c>
      <c r="X63" s="16">
        <f>IFERROR(VLOOKUP($U63,costs!$A$2:$I$2905,X$2,FALSE),0)</f>
        <v>0</v>
      </c>
      <c r="Y63" s="16">
        <f>IFERROR(VLOOKUP($U63,costs!$A$2:$I$2905,Y$2,FALSE),0)</f>
        <v>0</v>
      </c>
      <c r="Z63" s="16">
        <f>IFERROR(VLOOKUP($U63,costs!$A$2:$I$2905,Z$2,FALSE),0)</f>
        <v>0</v>
      </c>
      <c r="AA63" s="16">
        <f>IFERROR(VLOOKUP($U63,costs!$A$2:$I$2905,AA$2,FALSE),0)</f>
        <v>0</v>
      </c>
      <c r="AB63" s="16">
        <f>IFERROR(VLOOKUP($U63,costs!$A$2:$I$2905,AB$2,FALSE),0)</f>
        <v>0</v>
      </c>
      <c r="AC63" s="16">
        <f>IFERROR(VLOOKUP($U63,costs!$A$2:$I$2905,AC$2,FALSE),0)</f>
        <v>0</v>
      </c>
      <c r="AE63" s="272" t="s">
        <v>516</v>
      </c>
      <c r="AF63" s="16">
        <f>IFERROR(VLOOKUP($AE63,costs!$A$2:$I$2905,AF$2,FALSE),0)</f>
        <v>0</v>
      </c>
      <c r="AG63" s="16">
        <f>IFERROR(VLOOKUP($AE63,costs!$A$2:$I$2905,AG$2,FALSE),0)</f>
        <v>0</v>
      </c>
      <c r="AH63" s="16">
        <f>IFERROR(VLOOKUP($AE63,costs!$A$2:$I$2905,AH$2,FALSE),0)</f>
        <v>0</v>
      </c>
      <c r="AI63" s="16">
        <f>IFERROR(VLOOKUP($AE63,costs!$A$2:$I$2905,AI$2,FALSE),0)</f>
        <v>0</v>
      </c>
      <c r="AJ63" s="16">
        <f>IFERROR(VLOOKUP($AE63,costs!$A$2:$I$2905,AJ$2,FALSE),0)</f>
        <v>0</v>
      </c>
      <c r="AK63" s="16">
        <f>IFERROR(VLOOKUP($AE63,costs!$A$2:$I$2905,AK$2,FALSE),0)</f>
        <v>0</v>
      </c>
      <c r="AL63" s="16">
        <f>IFERROR(VLOOKUP($AE63,costs!$A$2:$I$2905,AL$2,FALSE),0)</f>
        <v>0</v>
      </c>
      <c r="AM63" s="16">
        <f>IFERROR(VLOOKUP($AE63,costs!$A$2:$I$2905,AM$2,FALSE),0)</f>
        <v>0</v>
      </c>
      <c r="AO63" s="272" t="s">
        <v>1678</v>
      </c>
      <c r="AP63" s="16">
        <f>IFERROR(VLOOKUP($AO63,costs!$A$2:$I$2905,AP$2,FALSE),0)</f>
        <v>0</v>
      </c>
      <c r="AQ63" s="16">
        <f>IFERROR(VLOOKUP($AO63,costs!$A$2:$I$2905,AQ$2,FALSE),0)</f>
        <v>0</v>
      </c>
      <c r="AR63" s="16">
        <f>IFERROR(VLOOKUP($AO63,costs!$A$2:$I$2905,AR$2,FALSE),0)</f>
        <v>0</v>
      </c>
      <c r="AS63" s="16">
        <f>IFERROR(VLOOKUP($AO63,costs!$A$2:$I$2905,AS$2,FALSE),0)</f>
        <v>0</v>
      </c>
      <c r="AT63" s="16">
        <f>IFERROR(VLOOKUP($AO63,costs!$A$2:$I$2905,AT$2,FALSE),0)</f>
        <v>0</v>
      </c>
      <c r="AU63" s="16">
        <f>IFERROR(VLOOKUP($AO63,costs!$A$2:$I$2905,AU$2,FALSE),0)</f>
        <v>0</v>
      </c>
      <c r="AV63" s="16">
        <f>IFERROR(VLOOKUP($AO63,costs!$A$2:$I$2905,AV$2,FALSE),0)</f>
        <v>0</v>
      </c>
      <c r="AW63" s="16">
        <f>IFERROR(VLOOKUP($AO63,costs!$A$2:$I$2905,AW$2,FALSE),0)</f>
        <v>0</v>
      </c>
      <c r="AY63" s="273" t="s">
        <v>489</v>
      </c>
      <c r="AZ63" s="16">
        <f>IFERROR(VLOOKUP($AY63,costs!$A$2:$I$2905,AZ$2,FALSE),0)</f>
        <v>0</v>
      </c>
      <c r="BA63" s="16">
        <f>IFERROR(VLOOKUP($AY63,costs!$A$2:$I$2905,BA$2,FALSE),0)</f>
        <v>0</v>
      </c>
      <c r="BB63" s="16">
        <f>IFERROR(VLOOKUP($AY63,costs!$A$2:$I$2905,BB$2,FALSE),0)</f>
        <v>0</v>
      </c>
      <c r="BC63" s="16">
        <f>IFERROR(VLOOKUP($AY63,costs!$A$2:$I$2905,BC$2,FALSE),0)</f>
        <v>0</v>
      </c>
      <c r="BD63" s="16">
        <f>IFERROR(VLOOKUP($AY63,costs!$A$2:$I$2905,BD$2,FALSE),0)</f>
        <v>0</v>
      </c>
      <c r="BE63" s="16">
        <f>IFERROR(VLOOKUP($AY63,costs!$A$2:$I$2905,BE$2,FALSE),0)</f>
        <v>0</v>
      </c>
      <c r="BF63" s="16">
        <f>IFERROR(VLOOKUP($AY63,costs!$A$2:$I$2905,BF$2,FALSE),0)</f>
        <v>0</v>
      </c>
      <c r="BG63" s="16">
        <f>IFERROR(VLOOKUP($AY63,costs!$A$2:$I$2905,BG$2,FALSE),0)</f>
        <v>0</v>
      </c>
    </row>
    <row r="64" spans="21:59" x14ac:dyDescent="0.35">
      <c r="U64" s="272" t="s">
        <v>2056</v>
      </c>
      <c r="V64" s="16">
        <f>IFERROR(VLOOKUP($U64,costs!$A$2:$I$2905,V$2,FALSE),0)</f>
        <v>0</v>
      </c>
      <c r="W64" s="16">
        <f>IFERROR(VLOOKUP($U64,costs!$A$2:$I$2905,W$2,FALSE),0)</f>
        <v>0</v>
      </c>
      <c r="X64" s="16">
        <f>IFERROR(VLOOKUP($U64,costs!$A$2:$I$2905,X$2,FALSE),0)</f>
        <v>0</v>
      </c>
      <c r="Y64" s="16">
        <f>IFERROR(VLOOKUP($U64,costs!$A$2:$I$2905,Y$2,FALSE),0)</f>
        <v>0</v>
      </c>
      <c r="Z64" s="16">
        <f>IFERROR(VLOOKUP($U64,costs!$A$2:$I$2905,Z$2,FALSE),0)</f>
        <v>0</v>
      </c>
      <c r="AA64" s="16">
        <f>IFERROR(VLOOKUP($U64,costs!$A$2:$I$2905,AA$2,FALSE),0)</f>
        <v>0</v>
      </c>
      <c r="AB64" s="16">
        <f>IFERROR(VLOOKUP($U64,costs!$A$2:$I$2905,AB$2,FALSE),0)</f>
        <v>0</v>
      </c>
      <c r="AC64" s="16">
        <f>IFERROR(VLOOKUP($U64,costs!$A$2:$I$2905,AC$2,FALSE),0)</f>
        <v>0</v>
      </c>
      <c r="AE64" s="273" t="s">
        <v>415</v>
      </c>
      <c r="AF64" s="16">
        <f>IFERROR(VLOOKUP($AE64,costs!$A$2:$I$2905,AF$2,FALSE),0)</f>
        <v>0</v>
      </c>
      <c r="AG64" s="16">
        <f>IFERROR(VLOOKUP($AE64,costs!$A$2:$I$2905,AG$2,FALSE),0)</f>
        <v>0</v>
      </c>
      <c r="AH64" s="16">
        <f>IFERROR(VLOOKUP($AE64,costs!$A$2:$I$2905,AH$2,FALSE),0)</f>
        <v>0</v>
      </c>
      <c r="AI64" s="16">
        <f>IFERROR(VLOOKUP($AE64,costs!$A$2:$I$2905,AI$2,FALSE),0)</f>
        <v>0</v>
      </c>
      <c r="AJ64" s="16">
        <f>IFERROR(VLOOKUP($AE64,costs!$A$2:$I$2905,AJ$2,FALSE),0)</f>
        <v>0</v>
      </c>
      <c r="AK64" s="16">
        <f>IFERROR(VLOOKUP($AE64,costs!$A$2:$I$2905,AK$2,FALSE),0)</f>
        <v>0</v>
      </c>
      <c r="AL64" s="16">
        <f>IFERROR(VLOOKUP($AE64,costs!$A$2:$I$2905,AL$2,FALSE),0)</f>
        <v>0</v>
      </c>
      <c r="AM64" s="16">
        <f>IFERROR(VLOOKUP($AE64,costs!$A$2:$I$2905,AM$2,FALSE),0)</f>
        <v>0</v>
      </c>
      <c r="AO64" s="273" t="s">
        <v>1683</v>
      </c>
      <c r="AP64" s="16">
        <f>IFERROR(VLOOKUP($AO64,costs!$A$2:$I$2905,AP$2,FALSE),0)</f>
        <v>0</v>
      </c>
      <c r="AQ64" s="16">
        <f>IFERROR(VLOOKUP($AO64,costs!$A$2:$I$2905,AQ$2,FALSE),0)</f>
        <v>0</v>
      </c>
      <c r="AR64" s="16">
        <f>IFERROR(VLOOKUP($AO64,costs!$A$2:$I$2905,AR$2,FALSE),0)</f>
        <v>0</v>
      </c>
      <c r="AS64" s="16">
        <f>IFERROR(VLOOKUP($AO64,costs!$A$2:$I$2905,AS$2,FALSE),0)</f>
        <v>0</v>
      </c>
      <c r="AT64" s="16">
        <f>IFERROR(VLOOKUP($AO64,costs!$A$2:$I$2905,AT$2,FALSE),0)</f>
        <v>0</v>
      </c>
      <c r="AU64" s="16">
        <f>IFERROR(VLOOKUP($AO64,costs!$A$2:$I$2905,AU$2,FALSE),0)</f>
        <v>0</v>
      </c>
      <c r="AV64" s="16">
        <f>IFERROR(VLOOKUP($AO64,costs!$A$2:$I$2905,AV$2,FALSE),0)</f>
        <v>0</v>
      </c>
      <c r="AW64" s="16">
        <f>IFERROR(VLOOKUP($AO64,costs!$A$2:$I$2905,AW$2,FALSE),0)</f>
        <v>0</v>
      </c>
      <c r="AY64" s="272" t="s">
        <v>488</v>
      </c>
      <c r="AZ64" s="16">
        <f>IFERROR(VLOOKUP($AY64,costs!$A$2:$I$2905,AZ$2,FALSE),0)</f>
        <v>0</v>
      </c>
      <c r="BA64" s="16">
        <f>IFERROR(VLOOKUP($AY64,costs!$A$2:$I$2905,BA$2,FALSE),0)</f>
        <v>0</v>
      </c>
      <c r="BB64" s="16">
        <f>IFERROR(VLOOKUP($AY64,costs!$A$2:$I$2905,BB$2,FALSE),0)</f>
        <v>0</v>
      </c>
      <c r="BC64" s="16">
        <f>IFERROR(VLOOKUP($AY64,costs!$A$2:$I$2905,BC$2,FALSE),0)</f>
        <v>0</v>
      </c>
      <c r="BD64" s="16">
        <f>IFERROR(VLOOKUP($AY64,costs!$A$2:$I$2905,BD$2,FALSE),0)</f>
        <v>0</v>
      </c>
      <c r="BE64" s="16">
        <f>IFERROR(VLOOKUP($AY64,costs!$A$2:$I$2905,BE$2,FALSE),0)</f>
        <v>0</v>
      </c>
      <c r="BF64" s="16">
        <f>IFERROR(VLOOKUP($AY64,costs!$A$2:$I$2905,BF$2,FALSE),0)</f>
        <v>0</v>
      </c>
      <c r="BG64" s="16">
        <f>IFERROR(VLOOKUP($AY64,costs!$A$2:$I$2905,BG$2,FALSE),0)</f>
        <v>0</v>
      </c>
    </row>
    <row r="65" spans="2:59" x14ac:dyDescent="0.35">
      <c r="U65" s="273" t="s">
        <v>221</v>
      </c>
      <c r="V65" s="16">
        <f>IFERROR(VLOOKUP($U65,costs!$A$2:$I$2905,V$2,FALSE),0)</f>
        <v>0</v>
      </c>
      <c r="W65" s="16">
        <f>IFERROR(VLOOKUP($U65,costs!$A$2:$I$2905,W$2,FALSE),0)</f>
        <v>0</v>
      </c>
      <c r="X65" s="16">
        <f>IFERROR(VLOOKUP($U65,costs!$A$2:$I$2905,X$2,FALSE),0)</f>
        <v>0</v>
      </c>
      <c r="Y65" s="16">
        <f>IFERROR(VLOOKUP($U65,costs!$A$2:$I$2905,Y$2,FALSE),0)</f>
        <v>0</v>
      </c>
      <c r="Z65" s="16">
        <f>IFERROR(VLOOKUP($U65,costs!$A$2:$I$2905,Z$2,FALSE),0)</f>
        <v>0</v>
      </c>
      <c r="AA65" s="16">
        <f>IFERROR(VLOOKUP($U65,costs!$A$2:$I$2905,AA$2,FALSE),0)</f>
        <v>0</v>
      </c>
      <c r="AB65" s="16">
        <f>IFERROR(VLOOKUP($U65,costs!$A$2:$I$2905,AB$2,FALSE),0)</f>
        <v>0</v>
      </c>
      <c r="AC65" s="16">
        <f>IFERROR(VLOOKUP($U65,costs!$A$2:$I$2905,AC$2,FALSE),0)</f>
        <v>0</v>
      </c>
      <c r="AE65" s="273" t="s">
        <v>524</v>
      </c>
      <c r="AF65" s="16">
        <f>IFERROR(VLOOKUP($AE65,costs!$A$2:$I$2905,AF$2,FALSE),0)</f>
        <v>0</v>
      </c>
      <c r="AG65" s="16">
        <f>IFERROR(VLOOKUP($AE65,costs!$A$2:$I$2905,AG$2,FALSE),0)</f>
        <v>0</v>
      </c>
      <c r="AH65" s="16">
        <f>IFERROR(VLOOKUP($AE65,costs!$A$2:$I$2905,AH$2,FALSE),0)</f>
        <v>0</v>
      </c>
      <c r="AI65" s="16">
        <f>IFERROR(VLOOKUP($AE65,costs!$A$2:$I$2905,AI$2,FALSE),0)</f>
        <v>0</v>
      </c>
      <c r="AJ65" s="16">
        <f>IFERROR(VLOOKUP($AE65,costs!$A$2:$I$2905,AJ$2,FALSE),0)</f>
        <v>0</v>
      </c>
      <c r="AK65" s="16">
        <f>IFERROR(VLOOKUP($AE65,costs!$A$2:$I$2905,AK$2,FALSE),0)</f>
        <v>0</v>
      </c>
      <c r="AL65" s="16">
        <f>IFERROR(VLOOKUP($AE65,costs!$A$2:$I$2905,AL$2,FALSE),0)</f>
        <v>0</v>
      </c>
      <c r="AM65" s="16">
        <f>IFERROR(VLOOKUP($AE65,costs!$A$2:$I$2905,AM$2,FALSE),0)</f>
        <v>0</v>
      </c>
      <c r="AO65" s="272" t="s">
        <v>2103</v>
      </c>
      <c r="AP65" s="16">
        <f>IFERROR(VLOOKUP($AO65,costs!$A$2:$I$2905,AP$2,FALSE),0)</f>
        <v>0</v>
      </c>
      <c r="AQ65" s="16">
        <f>IFERROR(VLOOKUP($AO65,costs!$A$2:$I$2905,AQ$2,FALSE),0)</f>
        <v>0</v>
      </c>
      <c r="AR65" s="16">
        <f>IFERROR(VLOOKUP($AO65,costs!$A$2:$I$2905,AR$2,FALSE),0)</f>
        <v>0</v>
      </c>
      <c r="AS65" s="16">
        <f>IFERROR(VLOOKUP($AO65,costs!$A$2:$I$2905,AS$2,FALSE),0)</f>
        <v>0</v>
      </c>
      <c r="AT65" s="16">
        <f>IFERROR(VLOOKUP($AO65,costs!$A$2:$I$2905,AT$2,FALSE),0)</f>
        <v>0</v>
      </c>
      <c r="AU65" s="16">
        <f>IFERROR(VLOOKUP($AO65,costs!$A$2:$I$2905,AU$2,FALSE),0)</f>
        <v>0</v>
      </c>
      <c r="AV65" s="16">
        <f>IFERROR(VLOOKUP($AO65,costs!$A$2:$I$2905,AV$2,FALSE),0)</f>
        <v>0</v>
      </c>
      <c r="AW65" s="16">
        <f>IFERROR(VLOOKUP($AO65,costs!$A$2:$I$2905,AW$2,FALSE),0)</f>
        <v>0</v>
      </c>
      <c r="AY65" s="273" t="s">
        <v>528</v>
      </c>
      <c r="AZ65" s="16">
        <f>IFERROR(VLOOKUP($AY65,costs!$A$2:$I$2905,AZ$2,FALSE),0)</f>
        <v>0</v>
      </c>
      <c r="BA65" s="16">
        <f>IFERROR(VLOOKUP($AY65,costs!$A$2:$I$2905,BA$2,FALSE),0)</f>
        <v>0</v>
      </c>
      <c r="BB65" s="16">
        <f>IFERROR(VLOOKUP($AY65,costs!$A$2:$I$2905,BB$2,FALSE),0)</f>
        <v>0</v>
      </c>
      <c r="BC65" s="16">
        <f>IFERROR(VLOOKUP($AY65,costs!$A$2:$I$2905,BC$2,FALSE),0)</f>
        <v>0</v>
      </c>
      <c r="BD65" s="16">
        <f>IFERROR(VLOOKUP($AY65,costs!$A$2:$I$2905,BD$2,FALSE),0)</f>
        <v>0</v>
      </c>
      <c r="BE65" s="16">
        <f>IFERROR(VLOOKUP($AY65,costs!$A$2:$I$2905,BE$2,FALSE),0)</f>
        <v>0</v>
      </c>
      <c r="BF65" s="16">
        <f>IFERROR(VLOOKUP($AY65,costs!$A$2:$I$2905,BF$2,FALSE),0)</f>
        <v>0</v>
      </c>
      <c r="BG65" s="16">
        <f>IFERROR(VLOOKUP($AY65,costs!$A$2:$I$2905,BG$2,FALSE),0)</f>
        <v>0</v>
      </c>
    </row>
    <row r="66" spans="2:59" x14ac:dyDescent="0.35">
      <c r="U66" s="272" t="s">
        <v>222</v>
      </c>
      <c r="V66" s="16">
        <f>IFERROR(VLOOKUP($U66,costs!$A$2:$I$2905,V$2,FALSE),0)</f>
        <v>0</v>
      </c>
      <c r="W66" s="16">
        <f>IFERROR(VLOOKUP($U66,costs!$A$2:$I$2905,W$2,FALSE),0)</f>
        <v>0</v>
      </c>
      <c r="X66" s="16">
        <f>IFERROR(VLOOKUP($U66,costs!$A$2:$I$2905,X$2,FALSE),0)</f>
        <v>0</v>
      </c>
      <c r="Y66" s="16">
        <f>IFERROR(VLOOKUP($U66,costs!$A$2:$I$2905,Y$2,FALSE),0)</f>
        <v>0</v>
      </c>
      <c r="Z66" s="16">
        <f>IFERROR(VLOOKUP($U66,costs!$A$2:$I$2905,Z$2,FALSE),0)</f>
        <v>0</v>
      </c>
      <c r="AA66" s="16">
        <f>IFERROR(VLOOKUP($U66,costs!$A$2:$I$2905,AA$2,FALSE),0)</f>
        <v>0</v>
      </c>
      <c r="AB66" s="16">
        <f>IFERROR(VLOOKUP($U66,costs!$A$2:$I$2905,AB$2,FALSE),0)</f>
        <v>0</v>
      </c>
      <c r="AC66" s="16">
        <f>IFERROR(VLOOKUP($U66,costs!$A$2:$I$2905,AC$2,FALSE),0)</f>
        <v>0</v>
      </c>
      <c r="AE66" s="272" t="s">
        <v>177</v>
      </c>
      <c r="AF66" s="16">
        <f>IFERROR(VLOOKUP($AE66,costs!$A$2:$I$2905,AF$2,FALSE),0)</f>
        <v>0</v>
      </c>
      <c r="AG66" s="346">
        <f>IFERROR(VLOOKUP($AE66,costs!$A$2:$I$2905,AG$2,FALSE),0)</f>
        <v>0</v>
      </c>
      <c r="AH66" s="346">
        <f>IFERROR(VLOOKUP($AE66,costs!$A$2:$I$2905,AH$2,FALSE),0)</f>
        <v>0</v>
      </c>
      <c r="AI66" s="346">
        <f>IFERROR(VLOOKUP($AE66,costs!$A$2:$I$2905,AI$2,FALSE),0)</f>
        <v>0</v>
      </c>
      <c r="AJ66" s="346">
        <f>IFERROR(VLOOKUP($AE66,costs!$A$2:$I$2905,AJ$2,FALSE),0)</f>
        <v>0</v>
      </c>
      <c r="AK66" s="346">
        <f>IFERROR(VLOOKUP($AE66,costs!$A$2:$I$2905,AK$2,FALSE),0)</f>
        <v>0</v>
      </c>
      <c r="AL66" s="346">
        <f>IFERROR(VLOOKUP($AE66,costs!$A$2:$I$2905,AL$2,FALSE),0)</f>
        <v>0</v>
      </c>
      <c r="AM66" s="346">
        <f>IFERROR(VLOOKUP($AE66,costs!$A$2:$I$2905,AM$2,FALSE),0)</f>
        <v>0</v>
      </c>
      <c r="AO66" s="273" t="s">
        <v>1682</v>
      </c>
      <c r="AP66" s="16">
        <f>IFERROR(VLOOKUP($AO66,costs!$A$2:$I$2905,AP$2,FALSE),0)</f>
        <v>0</v>
      </c>
      <c r="AQ66" s="16">
        <f>IFERROR(VLOOKUP($AO66,costs!$A$2:$I$2905,AQ$2,FALSE),0)</f>
        <v>0</v>
      </c>
      <c r="AR66" s="16">
        <f>IFERROR(VLOOKUP($AO66,costs!$A$2:$I$2905,AR$2,FALSE),0)</f>
        <v>0</v>
      </c>
      <c r="AS66" s="16">
        <f>IFERROR(VLOOKUP($AO66,costs!$A$2:$I$2905,AS$2,FALSE),0)</f>
        <v>0</v>
      </c>
      <c r="AT66" s="16">
        <f>IFERROR(VLOOKUP($AO66,costs!$A$2:$I$2905,AT$2,FALSE),0)</f>
        <v>0</v>
      </c>
      <c r="AU66" s="16">
        <f>IFERROR(VLOOKUP($AO66,costs!$A$2:$I$2905,AU$2,FALSE),0)</f>
        <v>0</v>
      </c>
      <c r="AV66" s="16">
        <f>IFERROR(VLOOKUP($AO66,costs!$A$2:$I$2905,AV$2,FALSE),0)</f>
        <v>0</v>
      </c>
      <c r="AW66" s="16">
        <f>IFERROR(VLOOKUP($AO66,costs!$A$2:$I$2905,AW$2,FALSE),0)</f>
        <v>0</v>
      </c>
      <c r="AY66" s="272" t="s">
        <v>2120</v>
      </c>
      <c r="AZ66" s="16">
        <f>IFERROR(VLOOKUP($AY66,costs!$A$2:$I$2905,AZ$2,FALSE),0)</f>
        <v>0</v>
      </c>
      <c r="BA66" s="16">
        <f>IFERROR(VLOOKUP($AY66,costs!$A$2:$I$2905,BA$2,FALSE),0)</f>
        <v>0</v>
      </c>
      <c r="BB66" s="16">
        <f>IFERROR(VLOOKUP($AY66,costs!$A$2:$I$2905,BB$2,FALSE),0)</f>
        <v>0</v>
      </c>
      <c r="BC66" s="16">
        <f>IFERROR(VLOOKUP($AY66,costs!$A$2:$I$2905,BC$2,FALSE),0)</f>
        <v>0</v>
      </c>
      <c r="BD66" s="16">
        <f>IFERROR(VLOOKUP($AY66,costs!$A$2:$I$2905,BD$2,FALSE),0)</f>
        <v>0</v>
      </c>
      <c r="BE66" s="16">
        <f>IFERROR(VLOOKUP($AY66,costs!$A$2:$I$2905,BE$2,FALSE),0)</f>
        <v>0</v>
      </c>
      <c r="BF66" s="16">
        <f>IFERROR(VLOOKUP($AY66,costs!$A$2:$I$2905,BF$2,FALSE),0)</f>
        <v>0</v>
      </c>
      <c r="BG66" s="16">
        <f>IFERROR(VLOOKUP($AY66,costs!$A$2:$I$2905,BG$2,FALSE),0)</f>
        <v>0</v>
      </c>
    </row>
    <row r="67" spans="2:59" x14ac:dyDescent="0.35">
      <c r="U67" s="273" t="s">
        <v>2057</v>
      </c>
      <c r="V67" s="16">
        <f>IFERROR(VLOOKUP($U67,costs!$A$2:$I$2905,V$2,FALSE),0)</f>
        <v>0</v>
      </c>
      <c r="W67" s="16">
        <f>IFERROR(VLOOKUP($U67,costs!$A$2:$I$2905,W$2,FALSE),0)</f>
        <v>0</v>
      </c>
      <c r="X67" s="16">
        <f>IFERROR(VLOOKUP($U67,costs!$A$2:$I$2905,X$2,FALSE),0)</f>
        <v>0</v>
      </c>
      <c r="Y67" s="16">
        <f>IFERROR(VLOOKUP($U67,costs!$A$2:$I$2905,Y$2,FALSE),0)</f>
        <v>0</v>
      </c>
      <c r="Z67" s="16">
        <f>IFERROR(VLOOKUP($U67,costs!$A$2:$I$2905,Z$2,FALSE),0)</f>
        <v>0</v>
      </c>
      <c r="AA67" s="16">
        <f>IFERROR(VLOOKUP($U67,costs!$A$2:$I$2905,AA$2,FALSE),0)</f>
        <v>0</v>
      </c>
      <c r="AB67" s="16">
        <f>IFERROR(VLOOKUP($U67,costs!$A$2:$I$2905,AB$2,FALSE),0)</f>
        <v>0</v>
      </c>
      <c r="AC67" s="16">
        <f>IFERROR(VLOOKUP($U67,costs!$A$2:$I$2905,AC$2,FALSE),0)</f>
        <v>0</v>
      </c>
      <c r="AE67" s="367" t="s">
        <v>2453</v>
      </c>
      <c r="AF67" s="346">
        <f>IFERROR(VLOOKUP($AE67,costs!$A$2:$I$2905,AF$2,FALSE),0)</f>
        <v>0</v>
      </c>
      <c r="AG67" s="346">
        <f>IFERROR(VLOOKUP($AE67,costs!$A$2:$I$2905,AG$2,FALSE),0)</f>
        <v>0</v>
      </c>
      <c r="AH67" s="346">
        <f>IFERROR(VLOOKUP($AE67,costs!$A$2:$I$2905,AH$2,FALSE),0)</f>
        <v>0</v>
      </c>
      <c r="AI67" s="346">
        <f>IFERROR(VLOOKUP($AE67,costs!$A$2:$I$2905,AI$2,FALSE),0)</f>
        <v>0</v>
      </c>
      <c r="AJ67" s="346">
        <f>IFERROR(VLOOKUP($AE67,costs!$A$2:$I$2905,AJ$2,FALSE),0)</f>
        <v>0</v>
      </c>
      <c r="AK67" s="346">
        <f>IFERROR(VLOOKUP($AE67,costs!$A$2:$I$2905,AK$2,FALSE),0)</f>
        <v>0</v>
      </c>
      <c r="AL67" s="346">
        <f>IFERROR(VLOOKUP($AE67,costs!$A$2:$I$2905,AL$2,FALSE),0)</f>
        <v>0</v>
      </c>
      <c r="AM67" s="346">
        <f>IFERROR(VLOOKUP($AE67,costs!$A$2:$I$2905,AM$2,FALSE),0)</f>
        <v>0</v>
      </c>
      <c r="AO67" s="272" t="s">
        <v>2104</v>
      </c>
      <c r="AP67" s="16">
        <f>IFERROR(VLOOKUP($AO67,costs!$A$2:$I$2905,AP$2,FALSE),0)</f>
        <v>0</v>
      </c>
      <c r="AQ67" s="16">
        <f>IFERROR(VLOOKUP($AO67,costs!$A$2:$I$2905,AQ$2,FALSE),0)</f>
        <v>0</v>
      </c>
      <c r="AR67" s="16">
        <f>IFERROR(VLOOKUP($AO67,costs!$A$2:$I$2905,AR$2,FALSE),0)</f>
        <v>0</v>
      </c>
      <c r="AS67" s="16">
        <f>IFERROR(VLOOKUP($AO67,costs!$A$2:$I$2905,AS$2,FALSE),0)</f>
        <v>0</v>
      </c>
      <c r="AT67" s="16">
        <f>IFERROR(VLOOKUP($AO67,costs!$A$2:$I$2905,AT$2,FALSE),0)</f>
        <v>0</v>
      </c>
      <c r="AU67" s="16">
        <f>IFERROR(VLOOKUP($AO67,costs!$A$2:$I$2905,AU$2,FALSE),0)</f>
        <v>0</v>
      </c>
      <c r="AV67" s="16">
        <f>IFERROR(VLOOKUP($AO67,costs!$A$2:$I$2905,AV$2,FALSE),0)</f>
        <v>0</v>
      </c>
      <c r="AW67" s="16">
        <f>IFERROR(VLOOKUP($AO67,costs!$A$2:$I$2905,AW$2,FALSE),0)</f>
        <v>0</v>
      </c>
      <c r="AY67" s="273" t="s">
        <v>1153</v>
      </c>
      <c r="AZ67" s="16">
        <f>IFERROR(VLOOKUP($AY67,costs!$A$2:$I$2905,AZ$2,FALSE),0)</f>
        <v>0</v>
      </c>
      <c r="BA67" s="16">
        <f>IFERROR(VLOOKUP($AY67,costs!$A$2:$I$2905,BA$2,FALSE),0)</f>
        <v>0</v>
      </c>
      <c r="BB67" s="16">
        <f>IFERROR(VLOOKUP($AY67,costs!$A$2:$I$2905,BB$2,FALSE),0)</f>
        <v>0</v>
      </c>
      <c r="BC67" s="16">
        <f>IFERROR(VLOOKUP($AY67,costs!$A$2:$I$2905,BC$2,FALSE),0)</f>
        <v>0</v>
      </c>
      <c r="BD67" s="16">
        <f>IFERROR(VLOOKUP($AY67,costs!$A$2:$I$2905,BD$2,FALSE),0)</f>
        <v>0</v>
      </c>
      <c r="BE67" s="16">
        <f>IFERROR(VLOOKUP($AY67,costs!$A$2:$I$2905,BE$2,FALSE),0)</f>
        <v>0</v>
      </c>
      <c r="BF67" s="16">
        <f>IFERROR(VLOOKUP($AY67,costs!$A$2:$I$2905,BF$2,FALSE),0)</f>
        <v>0</v>
      </c>
      <c r="BG67" s="16">
        <f>IFERROR(VLOOKUP($AY67,costs!$A$2:$I$2905,BG$2,FALSE),0)</f>
        <v>0</v>
      </c>
    </row>
    <row r="68" spans="2:59" x14ac:dyDescent="0.35">
      <c r="U68" s="272" t="s">
        <v>480</v>
      </c>
      <c r="V68" s="16">
        <f>IFERROR(VLOOKUP($U68,costs!$A$2:$I$2905,V$2,FALSE),0)</f>
        <v>0</v>
      </c>
      <c r="W68" s="16">
        <f>IFERROR(VLOOKUP($U68,costs!$A$2:$I$2905,W$2,FALSE),0)</f>
        <v>0</v>
      </c>
      <c r="X68" s="16">
        <f>IFERROR(VLOOKUP($U68,costs!$A$2:$I$2905,X$2,FALSE),0)</f>
        <v>0</v>
      </c>
      <c r="Y68" s="16">
        <f>IFERROR(VLOOKUP($U68,costs!$A$2:$I$2905,Y$2,FALSE),0)</f>
        <v>0</v>
      </c>
      <c r="Z68" s="16">
        <f>IFERROR(VLOOKUP($U68,costs!$A$2:$I$2905,Z$2,FALSE),0)</f>
        <v>0</v>
      </c>
      <c r="AA68" s="16">
        <f>IFERROR(VLOOKUP($U68,costs!$A$2:$I$2905,AA$2,FALSE),0)</f>
        <v>0</v>
      </c>
      <c r="AB68" s="16">
        <f>IFERROR(VLOOKUP($U68,costs!$A$2:$I$2905,AB$2,FALSE),0)</f>
        <v>0</v>
      </c>
      <c r="AC68" s="16">
        <f>IFERROR(VLOOKUP($U68,costs!$A$2:$I$2905,AC$2,FALSE),0)</f>
        <v>0</v>
      </c>
      <c r="AE68" s="367" t="s">
        <v>2556</v>
      </c>
      <c r="AF68" s="346">
        <f>IFERROR(VLOOKUP($AE68,costs!$A$2:$I$2905,AF$2,FALSE),0)</f>
        <v>0</v>
      </c>
      <c r="AG68" s="346">
        <f>IFERROR(VLOOKUP($AE68,costs!$A$2:$I$2905,AG$2,FALSE),0)</f>
        <v>0</v>
      </c>
      <c r="AH68" s="346">
        <f>IFERROR(VLOOKUP($AE68,costs!$A$2:$I$2905,AH$2,FALSE),0)</f>
        <v>0</v>
      </c>
      <c r="AI68" s="346">
        <f>IFERROR(VLOOKUP($AE68,costs!$A$2:$I$2905,AI$2,FALSE),0)</f>
        <v>0</v>
      </c>
      <c r="AJ68" s="346">
        <f>IFERROR(VLOOKUP($AE68,costs!$A$2:$I$2905,AJ$2,FALSE),0)</f>
        <v>0</v>
      </c>
      <c r="AK68" s="346">
        <f>IFERROR(VLOOKUP($AE68,costs!$A$2:$I$2905,AK$2,FALSE),0)</f>
        <v>0</v>
      </c>
      <c r="AL68" s="346">
        <f>IFERROR(VLOOKUP($AE68,costs!$A$2:$I$2905,AL$2,FALSE),0)</f>
        <v>0</v>
      </c>
      <c r="AM68" s="346">
        <f>IFERROR(VLOOKUP($AE68,costs!$A$2:$I$2905,AM$2,FALSE),0)</f>
        <v>0</v>
      </c>
      <c r="AO68" s="273" t="s">
        <v>1680</v>
      </c>
      <c r="AP68" s="16">
        <f>IFERROR(VLOOKUP($AO68,costs!$A$2:$I$2905,AP$2,FALSE),0)</f>
        <v>0</v>
      </c>
      <c r="AQ68" s="16">
        <f>IFERROR(VLOOKUP($AO68,costs!$A$2:$I$2905,AQ$2,FALSE),0)</f>
        <v>0</v>
      </c>
      <c r="AR68" s="16">
        <f>IFERROR(VLOOKUP($AO68,costs!$A$2:$I$2905,AR$2,FALSE),0)</f>
        <v>0</v>
      </c>
      <c r="AS68" s="16">
        <f>IFERROR(VLOOKUP($AO68,costs!$A$2:$I$2905,AS$2,FALSE),0)</f>
        <v>0</v>
      </c>
      <c r="AT68" s="16">
        <f>IFERROR(VLOOKUP($AO68,costs!$A$2:$I$2905,AT$2,FALSE),0)</f>
        <v>0</v>
      </c>
      <c r="AU68" s="16">
        <f>IFERROR(VLOOKUP($AO68,costs!$A$2:$I$2905,AU$2,FALSE),0)</f>
        <v>0</v>
      </c>
      <c r="AV68" s="16">
        <f>IFERROR(VLOOKUP($AO68,costs!$A$2:$I$2905,AV$2,FALSE),0)</f>
        <v>0</v>
      </c>
      <c r="AW68" s="16">
        <f>IFERROR(VLOOKUP($AO68,costs!$A$2:$I$2905,AW$2,FALSE),0)</f>
        <v>0</v>
      </c>
      <c r="AY68" s="272" t="s">
        <v>398</v>
      </c>
      <c r="AZ68" s="16">
        <f>IFERROR(VLOOKUP($AY68,costs!$A$2:$I$2905,AZ$2,FALSE),0)</f>
        <v>0</v>
      </c>
      <c r="BA68" s="16">
        <f>IFERROR(VLOOKUP($AY68,costs!$A$2:$I$2905,BA$2,FALSE),0)</f>
        <v>0</v>
      </c>
      <c r="BB68" s="16">
        <f>IFERROR(VLOOKUP($AY68,costs!$A$2:$I$2905,BB$2,FALSE),0)</f>
        <v>0</v>
      </c>
      <c r="BC68" s="16">
        <f>IFERROR(VLOOKUP($AY68,costs!$A$2:$I$2905,BC$2,FALSE),0)</f>
        <v>0</v>
      </c>
      <c r="BD68" s="16">
        <f>IFERROR(VLOOKUP($AY68,costs!$A$2:$I$2905,BD$2,FALSE),0)</f>
        <v>0</v>
      </c>
      <c r="BE68" s="16">
        <f>IFERROR(VLOOKUP($AY68,costs!$A$2:$I$2905,BE$2,FALSE),0)</f>
        <v>0</v>
      </c>
      <c r="BF68" s="16">
        <f>IFERROR(VLOOKUP($AY68,costs!$A$2:$I$2905,BF$2,FALSE),0)</f>
        <v>0</v>
      </c>
      <c r="BG68" s="16">
        <f>IFERROR(VLOOKUP($AY68,costs!$A$2:$I$2905,BG$2,FALSE),0)</f>
        <v>0</v>
      </c>
    </row>
    <row r="69" spans="2:59" x14ac:dyDescent="0.35">
      <c r="U69" s="273" t="s">
        <v>481</v>
      </c>
      <c r="V69" s="16">
        <f>IFERROR(VLOOKUP($U69,costs!$A$2:$I$2905,V$2,FALSE),0)</f>
        <v>0</v>
      </c>
      <c r="W69" s="16">
        <f>IFERROR(VLOOKUP($U69,costs!$A$2:$I$2905,W$2,FALSE),0)</f>
        <v>0</v>
      </c>
      <c r="X69" s="16">
        <f>IFERROR(VLOOKUP($U69,costs!$A$2:$I$2905,X$2,FALSE),0)</f>
        <v>0</v>
      </c>
      <c r="Y69" s="16">
        <f>IFERROR(VLOOKUP($U69,costs!$A$2:$I$2905,Y$2,FALSE),0)</f>
        <v>0</v>
      </c>
      <c r="Z69" s="16">
        <f>IFERROR(VLOOKUP($U69,costs!$A$2:$I$2905,Z$2,FALSE),0)</f>
        <v>0</v>
      </c>
      <c r="AA69" s="16">
        <f>IFERROR(VLOOKUP($U69,costs!$A$2:$I$2905,AA$2,FALSE),0)</f>
        <v>0</v>
      </c>
      <c r="AB69" s="16">
        <f>IFERROR(VLOOKUP($U69,costs!$A$2:$I$2905,AB$2,FALSE),0)</f>
        <v>0</v>
      </c>
      <c r="AC69" s="16">
        <f>IFERROR(VLOOKUP($U69,costs!$A$2:$I$2905,AC$2,FALSE),0)</f>
        <v>0</v>
      </c>
      <c r="AE69" s="367" t="s">
        <v>2454</v>
      </c>
      <c r="AF69" s="346">
        <f>IFERROR(VLOOKUP($AE69,costs!$A$2:$I$2905,AF$2,FALSE),0)</f>
        <v>0</v>
      </c>
      <c r="AG69" s="346">
        <f>IFERROR(VLOOKUP($AE69,costs!$A$2:$I$2905,AG$2,FALSE),0)</f>
        <v>0</v>
      </c>
      <c r="AH69" s="346">
        <f>IFERROR(VLOOKUP($AE69,costs!$A$2:$I$2905,AH$2,FALSE),0)</f>
        <v>0</v>
      </c>
      <c r="AI69" s="346">
        <f>IFERROR(VLOOKUP($AE69,costs!$A$2:$I$2905,AI$2,FALSE),0)</f>
        <v>0</v>
      </c>
      <c r="AJ69" s="346">
        <f>IFERROR(VLOOKUP($AE69,costs!$A$2:$I$2905,AJ$2,FALSE),0)</f>
        <v>0</v>
      </c>
      <c r="AK69" s="346">
        <f>IFERROR(VLOOKUP($AE69,costs!$A$2:$I$2905,AK$2,FALSE),0)</f>
        <v>0</v>
      </c>
      <c r="AL69" s="346">
        <f>IFERROR(VLOOKUP($AE69,costs!$A$2:$I$2905,AL$2,FALSE),0)</f>
        <v>0</v>
      </c>
      <c r="AM69" s="346">
        <f>IFERROR(VLOOKUP($AE69,costs!$A$2:$I$2905,AM$2,FALSE),0)</f>
        <v>0</v>
      </c>
      <c r="AO69" s="272" t="s">
        <v>1684</v>
      </c>
      <c r="AP69" s="16">
        <f>IFERROR(VLOOKUP($AO69,costs!$A$2:$I$2905,AP$2,FALSE),0)</f>
        <v>0</v>
      </c>
      <c r="AQ69" s="16">
        <f>IFERROR(VLOOKUP($AO69,costs!$A$2:$I$2905,AQ$2,FALSE),0)</f>
        <v>0</v>
      </c>
      <c r="AR69" s="16">
        <f>IFERROR(VLOOKUP($AO69,costs!$A$2:$I$2905,AR$2,FALSE),0)</f>
        <v>0</v>
      </c>
      <c r="AS69" s="16">
        <f>IFERROR(VLOOKUP($AO69,costs!$A$2:$I$2905,AS$2,FALSE),0)</f>
        <v>0</v>
      </c>
      <c r="AT69" s="16">
        <f>IFERROR(VLOOKUP($AO69,costs!$A$2:$I$2905,AT$2,FALSE),0)</f>
        <v>0</v>
      </c>
      <c r="AU69" s="16">
        <f>IFERROR(VLOOKUP($AO69,costs!$A$2:$I$2905,AU$2,FALSE),0)</f>
        <v>0</v>
      </c>
      <c r="AV69" s="16">
        <f>IFERROR(VLOOKUP($AO69,costs!$A$2:$I$2905,AV$2,FALSE),0)</f>
        <v>0</v>
      </c>
      <c r="AW69" s="16">
        <f>IFERROR(VLOOKUP($AO69,costs!$A$2:$I$2905,AW$2,FALSE),0)</f>
        <v>0</v>
      </c>
      <c r="AY69" s="273" t="s">
        <v>2121</v>
      </c>
      <c r="AZ69" s="16">
        <f>IFERROR(VLOOKUP($AY69,costs!$A$2:$I$2905,AZ$2,FALSE),0)</f>
        <v>0</v>
      </c>
      <c r="BA69" s="16">
        <f>IFERROR(VLOOKUP($AY69,costs!$A$2:$I$2905,BA$2,FALSE),0)</f>
        <v>0</v>
      </c>
      <c r="BB69" s="16">
        <f>IFERROR(VLOOKUP($AY69,costs!$A$2:$I$2905,BB$2,FALSE),0)</f>
        <v>0</v>
      </c>
      <c r="BC69" s="16">
        <f>IFERROR(VLOOKUP($AY69,costs!$A$2:$I$2905,BC$2,FALSE),0)</f>
        <v>0</v>
      </c>
      <c r="BD69" s="16">
        <f>IFERROR(VLOOKUP($AY69,costs!$A$2:$I$2905,BD$2,FALSE),0)</f>
        <v>0</v>
      </c>
      <c r="BE69" s="16">
        <f>IFERROR(VLOOKUP($AY69,costs!$A$2:$I$2905,BE$2,FALSE),0)</f>
        <v>0</v>
      </c>
      <c r="BF69" s="16">
        <f>IFERROR(VLOOKUP($AY69,costs!$A$2:$I$2905,BF$2,FALSE),0)</f>
        <v>0</v>
      </c>
      <c r="BG69" s="16">
        <f>IFERROR(VLOOKUP($AY69,costs!$A$2:$I$2905,BG$2,FALSE),0)</f>
        <v>0</v>
      </c>
    </row>
    <row r="70" spans="2:59" x14ac:dyDescent="0.35">
      <c r="U70" s="272" t="s">
        <v>2058</v>
      </c>
      <c r="V70" s="16">
        <f>IFERROR(VLOOKUP($U70,costs!$A$2:$I$2905,V$2,FALSE),0)</f>
        <v>0</v>
      </c>
      <c r="W70" s="16">
        <f>IFERROR(VLOOKUP($U70,costs!$A$2:$I$2905,W$2,FALSE),0)</f>
        <v>0</v>
      </c>
      <c r="X70" s="16">
        <f>IFERROR(VLOOKUP($U70,costs!$A$2:$I$2905,X$2,FALSE),0)</f>
        <v>0</v>
      </c>
      <c r="Y70" s="16">
        <f>IFERROR(VLOOKUP($U70,costs!$A$2:$I$2905,Y$2,FALSE),0)</f>
        <v>0</v>
      </c>
      <c r="Z70" s="16">
        <f>IFERROR(VLOOKUP($U70,costs!$A$2:$I$2905,Z$2,FALSE),0)</f>
        <v>0</v>
      </c>
      <c r="AA70" s="16">
        <f>IFERROR(VLOOKUP($U70,costs!$A$2:$I$2905,AA$2,FALSE),0)</f>
        <v>0</v>
      </c>
      <c r="AB70" s="16">
        <f>IFERROR(VLOOKUP($U70,costs!$A$2:$I$2905,AB$2,FALSE),0)</f>
        <v>0</v>
      </c>
      <c r="AC70" s="16">
        <f>IFERROR(VLOOKUP($U70,costs!$A$2:$I$2905,AC$2,FALSE),0)</f>
        <v>0</v>
      </c>
      <c r="AE70" s="367" t="s">
        <v>2557</v>
      </c>
      <c r="AF70" s="346">
        <f>IFERROR(VLOOKUP($AE70,costs!$A$2:$I$2905,AF$2,FALSE),0)</f>
        <v>0</v>
      </c>
      <c r="AG70" s="346">
        <f>IFERROR(VLOOKUP($AE70,costs!$A$2:$I$2905,AG$2,FALSE),0)</f>
        <v>0</v>
      </c>
      <c r="AH70" s="346">
        <f>IFERROR(VLOOKUP($AE70,costs!$A$2:$I$2905,AH$2,FALSE),0)</f>
        <v>0</v>
      </c>
      <c r="AI70" s="346">
        <f>IFERROR(VLOOKUP($AE70,costs!$A$2:$I$2905,AI$2,FALSE),0)</f>
        <v>0</v>
      </c>
      <c r="AJ70" s="346">
        <f>IFERROR(VLOOKUP($AE70,costs!$A$2:$I$2905,AJ$2,FALSE),0)</f>
        <v>0</v>
      </c>
      <c r="AK70" s="346">
        <f>IFERROR(VLOOKUP($AE70,costs!$A$2:$I$2905,AK$2,FALSE),0)</f>
        <v>0</v>
      </c>
      <c r="AL70" s="346">
        <f>IFERROR(VLOOKUP($AE70,costs!$A$2:$I$2905,AL$2,FALSE),0)</f>
        <v>0</v>
      </c>
      <c r="AM70" s="346">
        <f>IFERROR(VLOOKUP($AE70,costs!$A$2:$I$2905,AM$2,FALSE),0)</f>
        <v>0</v>
      </c>
      <c r="AO70" s="273" t="s">
        <v>2105</v>
      </c>
      <c r="AP70" s="16">
        <f>IFERROR(VLOOKUP($AO70,costs!$A$2:$I$2905,AP$2,FALSE),0)</f>
        <v>0</v>
      </c>
      <c r="AQ70" s="16">
        <f>IFERROR(VLOOKUP($AO70,costs!$A$2:$I$2905,AQ$2,FALSE),0)</f>
        <v>0</v>
      </c>
      <c r="AR70" s="16">
        <f>IFERROR(VLOOKUP($AO70,costs!$A$2:$I$2905,AR$2,FALSE),0)</f>
        <v>0</v>
      </c>
      <c r="AS70" s="16">
        <f>IFERROR(VLOOKUP($AO70,costs!$A$2:$I$2905,AS$2,FALSE),0)</f>
        <v>0</v>
      </c>
      <c r="AT70" s="16">
        <f>IFERROR(VLOOKUP($AO70,costs!$A$2:$I$2905,AT$2,FALSE),0)</f>
        <v>0</v>
      </c>
      <c r="AU70" s="16">
        <f>IFERROR(VLOOKUP($AO70,costs!$A$2:$I$2905,AU$2,FALSE),0)</f>
        <v>0</v>
      </c>
      <c r="AV70" s="16">
        <f>IFERROR(VLOOKUP($AO70,costs!$A$2:$I$2905,AV$2,FALSE),0)</f>
        <v>0</v>
      </c>
      <c r="AW70" s="16">
        <f>IFERROR(VLOOKUP($AO70,costs!$A$2:$I$2905,AW$2,FALSE),0)</f>
        <v>0</v>
      </c>
      <c r="AY70" s="272" t="s">
        <v>399</v>
      </c>
      <c r="AZ70" s="16">
        <f>IFERROR(VLOOKUP($AY70,costs!$A$2:$I$2905,AZ$2,FALSE),0)</f>
        <v>0</v>
      </c>
      <c r="BA70" s="16">
        <f>IFERROR(VLOOKUP($AY70,costs!$A$2:$I$2905,BA$2,FALSE),0)</f>
        <v>0</v>
      </c>
      <c r="BB70" s="16">
        <f>IFERROR(VLOOKUP($AY70,costs!$A$2:$I$2905,BB$2,FALSE),0)</f>
        <v>0</v>
      </c>
      <c r="BC70" s="16">
        <f>IFERROR(VLOOKUP($AY70,costs!$A$2:$I$2905,BC$2,FALSE),0)</f>
        <v>0</v>
      </c>
      <c r="BD70" s="16">
        <f>IFERROR(VLOOKUP($AY70,costs!$A$2:$I$2905,BD$2,FALSE),0)</f>
        <v>0</v>
      </c>
      <c r="BE70" s="16">
        <f>IFERROR(VLOOKUP($AY70,costs!$A$2:$I$2905,BE$2,FALSE),0)</f>
        <v>0</v>
      </c>
      <c r="BF70" s="16">
        <f>IFERROR(VLOOKUP($AY70,costs!$A$2:$I$2905,BF$2,FALSE),0)</f>
        <v>0</v>
      </c>
      <c r="BG70" s="16">
        <f>IFERROR(VLOOKUP($AY70,costs!$A$2:$I$2905,BG$2,FALSE),0)</f>
        <v>0</v>
      </c>
    </row>
    <row r="71" spans="2:59" x14ac:dyDescent="0.35">
      <c r="U71" s="273" t="s">
        <v>505</v>
      </c>
      <c r="V71" s="16">
        <f>IFERROR(VLOOKUP($U71,costs!$A$2:$I$2905,V$2,FALSE),0)</f>
        <v>0</v>
      </c>
      <c r="W71" s="16">
        <f>IFERROR(VLOOKUP($U71,costs!$A$2:$I$2905,W$2,FALSE),0)</f>
        <v>0</v>
      </c>
      <c r="X71" s="16">
        <f>IFERROR(VLOOKUP($U71,costs!$A$2:$I$2905,X$2,FALSE),0)</f>
        <v>0</v>
      </c>
      <c r="Y71" s="16">
        <f>IFERROR(VLOOKUP($U71,costs!$A$2:$I$2905,Y$2,FALSE),0)</f>
        <v>0</v>
      </c>
      <c r="Z71" s="16">
        <f>IFERROR(VLOOKUP($U71,costs!$A$2:$I$2905,Z$2,FALSE),0)</f>
        <v>0</v>
      </c>
      <c r="AA71" s="16">
        <f>IFERROR(VLOOKUP($U71,costs!$A$2:$I$2905,AA$2,FALSE),0)</f>
        <v>0</v>
      </c>
      <c r="AB71" s="16">
        <f>IFERROR(VLOOKUP($U71,costs!$A$2:$I$2905,AB$2,FALSE),0)</f>
        <v>0</v>
      </c>
      <c r="AC71" s="16">
        <f>IFERROR(VLOOKUP($U71,costs!$A$2:$I$2905,AC$2,FALSE),0)</f>
        <v>0</v>
      </c>
      <c r="AE71" s="367" t="s">
        <v>2558</v>
      </c>
      <c r="AF71" s="346">
        <f>IFERROR(VLOOKUP($AE71,costs!$A$2:$I$2905,AF$2,FALSE),0)</f>
        <v>0</v>
      </c>
      <c r="AG71" s="346">
        <f>IFERROR(VLOOKUP($AE71,costs!$A$2:$I$2905,AG$2,FALSE),0)</f>
        <v>0</v>
      </c>
      <c r="AH71" s="346">
        <f>IFERROR(VLOOKUP($AE71,costs!$A$2:$I$2905,AH$2,FALSE),0)</f>
        <v>0</v>
      </c>
      <c r="AI71" s="346">
        <f>IFERROR(VLOOKUP($AE71,costs!$A$2:$I$2905,AI$2,FALSE),0)</f>
        <v>0</v>
      </c>
      <c r="AJ71" s="346">
        <f>IFERROR(VLOOKUP($AE71,costs!$A$2:$I$2905,AJ$2,FALSE),0)</f>
        <v>0</v>
      </c>
      <c r="AK71" s="346">
        <f>IFERROR(VLOOKUP($AE71,costs!$A$2:$I$2905,AK$2,FALSE),0)</f>
        <v>0</v>
      </c>
      <c r="AL71" s="346">
        <f>IFERROR(VLOOKUP($AE71,costs!$A$2:$I$2905,AL$2,FALSE),0)</f>
        <v>0</v>
      </c>
      <c r="AM71" s="346">
        <f>IFERROR(VLOOKUP($AE71,costs!$A$2:$I$2905,AM$2,FALSE),0)</f>
        <v>0</v>
      </c>
      <c r="AO71" s="272" t="s">
        <v>180</v>
      </c>
      <c r="AP71" s="16">
        <f>IFERROR(VLOOKUP($AO71,costs!$A$2:$I$2905,AP$2,FALSE),0)</f>
        <v>0</v>
      </c>
      <c r="AQ71" s="16">
        <f>IFERROR(VLOOKUP($AO71,costs!$A$2:$I$2905,AQ$2,FALSE),0)</f>
        <v>0</v>
      </c>
      <c r="AR71" s="16">
        <f>IFERROR(VLOOKUP($AO71,costs!$A$2:$I$2905,AR$2,FALSE),0)</f>
        <v>0</v>
      </c>
      <c r="AS71" s="16">
        <f>IFERROR(VLOOKUP($AO71,costs!$A$2:$I$2905,AS$2,FALSE),0)</f>
        <v>0</v>
      </c>
      <c r="AT71" s="16">
        <f>IFERROR(VLOOKUP($AO71,costs!$A$2:$I$2905,AT$2,FALSE),0)</f>
        <v>0</v>
      </c>
      <c r="AU71" s="16">
        <f>IFERROR(VLOOKUP($AO71,costs!$A$2:$I$2905,AU$2,FALSE),0)</f>
        <v>0</v>
      </c>
      <c r="AV71" s="16">
        <f>IFERROR(VLOOKUP($AO71,costs!$A$2:$I$2905,AV$2,FALSE),0)</f>
        <v>0</v>
      </c>
      <c r="AW71" s="16">
        <f>IFERROR(VLOOKUP($AO71,costs!$A$2:$I$2905,AW$2,FALSE),0)</f>
        <v>0</v>
      </c>
      <c r="AY71" s="273" t="s">
        <v>400</v>
      </c>
      <c r="AZ71" s="16">
        <f>IFERROR(VLOOKUP($AY71,costs!$A$2:$I$2905,AZ$2,FALSE),0)</f>
        <v>0</v>
      </c>
      <c r="BA71" s="16">
        <f>IFERROR(VLOOKUP($AY71,costs!$A$2:$I$2905,BA$2,FALSE),0)</f>
        <v>0</v>
      </c>
      <c r="BB71" s="16">
        <f>IFERROR(VLOOKUP($AY71,costs!$A$2:$I$2905,BB$2,FALSE),0)</f>
        <v>0</v>
      </c>
      <c r="BC71" s="16">
        <f>IFERROR(VLOOKUP($AY71,costs!$A$2:$I$2905,BC$2,FALSE),0)</f>
        <v>0</v>
      </c>
      <c r="BD71" s="16">
        <f>IFERROR(VLOOKUP($AY71,costs!$A$2:$I$2905,BD$2,FALSE),0)</f>
        <v>0</v>
      </c>
      <c r="BE71" s="16">
        <f>IFERROR(VLOOKUP($AY71,costs!$A$2:$I$2905,BE$2,FALSE),0)</f>
        <v>0</v>
      </c>
      <c r="BF71" s="16">
        <f>IFERROR(VLOOKUP($AY71,costs!$A$2:$I$2905,BF$2,FALSE),0)</f>
        <v>0</v>
      </c>
      <c r="BG71" s="16">
        <f>IFERROR(VLOOKUP($AY71,costs!$A$2:$I$2905,BG$2,FALSE),0)</f>
        <v>0</v>
      </c>
    </row>
    <row r="72" spans="2:59" x14ac:dyDescent="0.35">
      <c r="U72" s="272" t="s">
        <v>506</v>
      </c>
      <c r="V72" s="16">
        <f>IFERROR(VLOOKUP($U72,costs!$A$2:$I$2905,V$2,FALSE),0)</f>
        <v>0</v>
      </c>
      <c r="W72" s="16">
        <f>IFERROR(VLOOKUP($U72,costs!$A$2:$I$2905,W$2,FALSE),0)</f>
        <v>0</v>
      </c>
      <c r="X72" s="16">
        <f>IFERROR(VLOOKUP($U72,costs!$A$2:$I$2905,X$2,FALSE),0)</f>
        <v>0</v>
      </c>
      <c r="Y72" s="16">
        <f>IFERROR(VLOOKUP($U72,costs!$A$2:$I$2905,Y$2,FALSE),0)</f>
        <v>0</v>
      </c>
      <c r="Z72" s="16">
        <f>IFERROR(VLOOKUP($U72,costs!$A$2:$I$2905,Z$2,FALSE),0)</f>
        <v>0</v>
      </c>
      <c r="AA72" s="16">
        <f>IFERROR(VLOOKUP($U72,costs!$A$2:$I$2905,AA$2,FALSE),0)</f>
        <v>0</v>
      </c>
      <c r="AB72" s="16">
        <f>IFERROR(VLOOKUP($U72,costs!$A$2:$I$2905,AB$2,FALSE),0)</f>
        <v>0</v>
      </c>
      <c r="AC72" s="16">
        <f>IFERROR(VLOOKUP($U72,costs!$A$2:$I$2905,AC$2,FALSE),0)</f>
        <v>0</v>
      </c>
      <c r="AE72" s="367" t="s">
        <v>2559</v>
      </c>
      <c r="AF72" s="346">
        <f>IFERROR(VLOOKUP($AE72,costs!$A$2:$I$2905,AF$2,FALSE),0)</f>
        <v>0</v>
      </c>
      <c r="AG72" s="346">
        <f>IFERROR(VLOOKUP($AE72,costs!$A$2:$I$2905,AG$2,FALSE),0)</f>
        <v>0</v>
      </c>
      <c r="AH72" s="346">
        <f>IFERROR(VLOOKUP($AE72,costs!$A$2:$I$2905,AH$2,FALSE),0)</f>
        <v>0</v>
      </c>
      <c r="AI72" s="346">
        <f>IFERROR(VLOOKUP($AE72,costs!$A$2:$I$2905,AI$2,FALSE),0)</f>
        <v>0</v>
      </c>
      <c r="AJ72" s="346">
        <f>IFERROR(VLOOKUP($AE72,costs!$A$2:$I$2905,AJ$2,FALSE),0)</f>
        <v>0</v>
      </c>
      <c r="AK72" s="346">
        <f>IFERROR(VLOOKUP($AE72,costs!$A$2:$I$2905,AK$2,FALSE),0)</f>
        <v>0</v>
      </c>
      <c r="AL72" s="346">
        <f>IFERROR(VLOOKUP($AE72,costs!$A$2:$I$2905,AL$2,FALSE),0)</f>
        <v>0</v>
      </c>
      <c r="AM72" s="346">
        <f>IFERROR(VLOOKUP($AE72,costs!$A$2:$I$2905,AM$2,FALSE),0)</f>
        <v>0</v>
      </c>
      <c r="AO72" s="273" t="s">
        <v>2106</v>
      </c>
      <c r="AP72" s="16">
        <f>IFERROR(VLOOKUP($AO72,costs!$A$2:$I$2905,AP$2,FALSE),0)</f>
        <v>0</v>
      </c>
      <c r="AQ72" s="16">
        <f>IFERROR(VLOOKUP($AO72,costs!$A$2:$I$2905,AQ$2,FALSE),0)</f>
        <v>0</v>
      </c>
      <c r="AR72" s="16">
        <f>IFERROR(VLOOKUP($AO72,costs!$A$2:$I$2905,AR$2,FALSE),0)</f>
        <v>0</v>
      </c>
      <c r="AS72" s="16">
        <f>IFERROR(VLOOKUP($AO72,costs!$A$2:$I$2905,AS$2,FALSE),0)</f>
        <v>0</v>
      </c>
      <c r="AT72" s="16">
        <f>IFERROR(VLOOKUP($AO72,costs!$A$2:$I$2905,AT$2,FALSE),0)</f>
        <v>0</v>
      </c>
      <c r="AU72" s="16">
        <f>IFERROR(VLOOKUP($AO72,costs!$A$2:$I$2905,AU$2,FALSE),0)</f>
        <v>0</v>
      </c>
      <c r="AV72" s="16">
        <f>IFERROR(VLOOKUP($AO72,costs!$A$2:$I$2905,AV$2,FALSE),0)</f>
        <v>0</v>
      </c>
      <c r="AW72" s="16">
        <f>IFERROR(VLOOKUP($AO72,costs!$A$2:$I$2905,AW$2,FALSE),0)</f>
        <v>0</v>
      </c>
      <c r="AY72" s="272" t="s">
        <v>2122</v>
      </c>
      <c r="AZ72" s="16">
        <f>IFERROR(VLOOKUP($AY72,costs!$A$2:$I$2905,AZ$2,FALSE),0)</f>
        <v>0</v>
      </c>
      <c r="BA72" s="16">
        <f>IFERROR(VLOOKUP($AY72,costs!$A$2:$I$2905,BA$2,FALSE),0)</f>
        <v>0</v>
      </c>
      <c r="BB72" s="16">
        <f>IFERROR(VLOOKUP($AY72,costs!$A$2:$I$2905,BB$2,FALSE),0)</f>
        <v>0</v>
      </c>
      <c r="BC72" s="16">
        <f>IFERROR(VLOOKUP($AY72,costs!$A$2:$I$2905,BC$2,FALSE),0)</f>
        <v>0</v>
      </c>
      <c r="BD72" s="16">
        <f>IFERROR(VLOOKUP($AY72,costs!$A$2:$I$2905,BD$2,FALSE),0)</f>
        <v>0</v>
      </c>
      <c r="BE72" s="16">
        <f>IFERROR(VLOOKUP($AY72,costs!$A$2:$I$2905,BE$2,FALSE),0)</f>
        <v>0</v>
      </c>
      <c r="BF72" s="16">
        <f>IFERROR(VLOOKUP($AY72,costs!$A$2:$I$2905,BF$2,FALSE),0)</f>
        <v>0</v>
      </c>
      <c r="BG72" s="16">
        <f>IFERROR(VLOOKUP($AY72,costs!$A$2:$I$2905,BG$2,FALSE),0)</f>
        <v>0</v>
      </c>
    </row>
    <row r="73" spans="2:59" x14ac:dyDescent="0.35">
      <c r="U73" s="273" t="s">
        <v>2059</v>
      </c>
      <c r="V73" s="16">
        <f>IFERROR(VLOOKUP($U73,costs!$A$2:$I$2905,V$2,FALSE),0)</f>
        <v>0</v>
      </c>
      <c r="W73" s="16">
        <f>IFERROR(VLOOKUP($U73,costs!$A$2:$I$2905,W$2,FALSE),0)</f>
        <v>0</v>
      </c>
      <c r="X73" s="16">
        <f>IFERROR(VLOOKUP($U73,costs!$A$2:$I$2905,X$2,FALSE),0)</f>
        <v>0</v>
      </c>
      <c r="Y73" s="16">
        <f>IFERROR(VLOOKUP($U73,costs!$A$2:$I$2905,Y$2,FALSE),0)</f>
        <v>0</v>
      </c>
      <c r="Z73" s="16">
        <f>IFERROR(VLOOKUP($U73,costs!$A$2:$I$2905,Z$2,FALSE),0)</f>
        <v>0</v>
      </c>
      <c r="AA73" s="16">
        <f>IFERROR(VLOOKUP($U73,costs!$A$2:$I$2905,AA$2,FALSE),0)</f>
        <v>0</v>
      </c>
      <c r="AB73" s="16">
        <f>IFERROR(VLOOKUP($U73,costs!$A$2:$I$2905,AB$2,FALSE),0)</f>
        <v>0</v>
      </c>
      <c r="AC73" s="16">
        <f>IFERROR(VLOOKUP($U73,costs!$A$2:$I$2905,AC$2,FALSE),0)</f>
        <v>0</v>
      </c>
      <c r="AE73" s="367" t="s">
        <v>2560</v>
      </c>
      <c r="AF73" s="346">
        <f>IFERROR(VLOOKUP($AE73,costs!$A$2:$I$2905,AF$2,FALSE),0)</f>
        <v>0</v>
      </c>
      <c r="AG73" s="346">
        <f>IFERROR(VLOOKUP($AE73,costs!$A$2:$I$2905,AG$2,FALSE),0)</f>
        <v>0</v>
      </c>
      <c r="AH73" s="346">
        <f>IFERROR(VLOOKUP($AE73,costs!$A$2:$I$2905,AH$2,FALSE),0)</f>
        <v>0</v>
      </c>
      <c r="AI73" s="346">
        <f>IFERROR(VLOOKUP($AE73,costs!$A$2:$I$2905,AI$2,FALSE),0)</f>
        <v>0</v>
      </c>
      <c r="AJ73" s="346">
        <f>IFERROR(VLOOKUP($AE73,costs!$A$2:$I$2905,AJ$2,FALSE),0)</f>
        <v>0</v>
      </c>
      <c r="AK73" s="346">
        <f>IFERROR(VLOOKUP($AE73,costs!$A$2:$I$2905,AK$2,FALSE),0)</f>
        <v>0</v>
      </c>
      <c r="AL73" s="346">
        <f>IFERROR(VLOOKUP($AE73,costs!$A$2:$I$2905,AL$2,FALSE),0)</f>
        <v>0</v>
      </c>
      <c r="AM73" s="346">
        <f>IFERROR(VLOOKUP($AE73,costs!$A$2:$I$2905,AM$2,FALSE),0)</f>
        <v>0</v>
      </c>
      <c r="AO73" s="899" t="s">
        <v>4272</v>
      </c>
      <c r="AP73" s="346">
        <f>IFERROR(VLOOKUP($AO73,costs!$A$2:$I$2905,AP$2,FALSE),0)</f>
        <v>0</v>
      </c>
      <c r="AQ73" s="346">
        <f>IFERROR(VLOOKUP($AO73,costs!$A$2:$I$2905,AQ$2,FALSE),0)</f>
        <v>0</v>
      </c>
      <c r="AR73" s="346">
        <f>IFERROR(VLOOKUP($AO73,costs!$A$2:$I$2905,AR$2,FALSE),0)</f>
        <v>0</v>
      </c>
      <c r="AS73" s="346">
        <f>IFERROR(VLOOKUP($AO73,costs!$A$2:$I$2905,AS$2,FALSE),0)</f>
        <v>0</v>
      </c>
      <c r="AT73" s="346">
        <f>IFERROR(VLOOKUP($AO73,costs!$A$2:$I$2905,AT$2,FALSE),0)</f>
        <v>0</v>
      </c>
      <c r="AU73" s="346">
        <f>IFERROR(VLOOKUP($AO73,costs!$A$2:$I$2905,AU$2,FALSE),0)</f>
        <v>0</v>
      </c>
      <c r="AV73" s="346">
        <f>IFERROR(VLOOKUP($AO73,costs!$A$2:$I$2905,AV$2,FALSE),0)</f>
        <v>0</v>
      </c>
      <c r="AW73" s="346">
        <f>IFERROR(VLOOKUP($AO73,costs!$A$2:$I$2905,AW$2,FALSE),0)</f>
        <v>0</v>
      </c>
      <c r="AY73" s="273" t="s">
        <v>401</v>
      </c>
      <c r="AZ73" s="16">
        <f>IFERROR(VLOOKUP($AY73,costs!$A$2:$I$2905,AZ$2,FALSE),0)</f>
        <v>0</v>
      </c>
      <c r="BA73" s="16">
        <f>IFERROR(VLOOKUP($AY73,costs!$A$2:$I$2905,BA$2,FALSE),0)</f>
        <v>0</v>
      </c>
      <c r="BB73" s="16">
        <f>IFERROR(VLOOKUP($AY73,costs!$A$2:$I$2905,BB$2,FALSE),0)</f>
        <v>0</v>
      </c>
      <c r="BC73" s="16">
        <f>IFERROR(VLOOKUP($AY73,costs!$A$2:$I$2905,BC$2,FALSE),0)</f>
        <v>0</v>
      </c>
      <c r="BD73" s="16">
        <f>IFERROR(VLOOKUP($AY73,costs!$A$2:$I$2905,BD$2,FALSE),0)</f>
        <v>0</v>
      </c>
      <c r="BE73" s="16">
        <f>IFERROR(VLOOKUP($AY73,costs!$A$2:$I$2905,BE$2,FALSE),0)</f>
        <v>0</v>
      </c>
      <c r="BF73" s="16">
        <f>IFERROR(VLOOKUP($AY73,costs!$A$2:$I$2905,BF$2,FALSE),0)</f>
        <v>0</v>
      </c>
      <c r="BG73" s="16">
        <f>IFERROR(VLOOKUP($AY73,costs!$A$2:$I$2905,BG$2,FALSE),0)</f>
        <v>0</v>
      </c>
    </row>
    <row r="74" spans="2:59" x14ac:dyDescent="0.35">
      <c r="U74" s="272" t="s">
        <v>503</v>
      </c>
      <c r="V74" s="16">
        <f>IFERROR(VLOOKUP($U74,costs!$A$2:$I$2905,V$2,FALSE),0)</f>
        <v>0</v>
      </c>
      <c r="W74" s="16">
        <f>IFERROR(VLOOKUP($U74,costs!$A$2:$I$2905,W$2,FALSE),0)</f>
        <v>0</v>
      </c>
      <c r="X74" s="16">
        <f>IFERROR(VLOOKUP($U74,costs!$A$2:$I$2905,X$2,FALSE),0)</f>
        <v>0</v>
      </c>
      <c r="Y74" s="16">
        <f>IFERROR(VLOOKUP($U74,costs!$A$2:$I$2905,Y$2,FALSE),0)</f>
        <v>0</v>
      </c>
      <c r="Z74" s="16">
        <f>IFERROR(VLOOKUP($U74,costs!$A$2:$I$2905,Z$2,FALSE),0)</f>
        <v>0</v>
      </c>
      <c r="AA74" s="16">
        <f>IFERROR(VLOOKUP($U74,costs!$A$2:$I$2905,AA$2,FALSE),0)</f>
        <v>0</v>
      </c>
      <c r="AB74" s="16">
        <f>IFERROR(VLOOKUP($U74,costs!$A$2:$I$2905,AB$2,FALSE),0)</f>
        <v>0</v>
      </c>
      <c r="AC74" s="16">
        <f>IFERROR(VLOOKUP($U74,costs!$A$2:$I$2905,AC$2,FALSE),0)</f>
        <v>0</v>
      </c>
      <c r="AE74" s="367" t="s">
        <v>4136</v>
      </c>
      <c r="AF74" s="346">
        <f>IFERROR(VLOOKUP($AE74,costs!$A$2:$I$2905,AF$2,FALSE),0)</f>
        <v>0</v>
      </c>
      <c r="AG74" s="346">
        <f>IFERROR(VLOOKUP($AE74,costs!$A$2:$I$2905,AG$2,FALSE),0)</f>
        <v>0</v>
      </c>
      <c r="AH74" s="346">
        <f>IFERROR(VLOOKUP($AE74,costs!$A$2:$I$2905,AH$2,FALSE),0)</f>
        <v>0</v>
      </c>
      <c r="AI74" s="346">
        <f>IFERROR(VLOOKUP($AE74,costs!$A$2:$I$2905,AI$2,FALSE),0)</f>
        <v>0</v>
      </c>
      <c r="AJ74" s="346">
        <f>IFERROR(VLOOKUP($AE74,costs!$A$2:$I$2905,AJ$2,FALSE),0)</f>
        <v>0</v>
      </c>
      <c r="AK74" s="346">
        <f>IFERROR(VLOOKUP($AE74,costs!$A$2:$I$2905,AK$2,FALSE),0)</f>
        <v>0</v>
      </c>
      <c r="AL74" s="346">
        <f>IFERROR(VLOOKUP($AE74,costs!$A$2:$I$2905,AL$2,FALSE),0)</f>
        <v>0</v>
      </c>
      <c r="AM74" s="346">
        <f>IFERROR(VLOOKUP($AE74,costs!$A$2:$I$2905,AM$2,FALSE),0)</f>
        <v>0</v>
      </c>
      <c r="AO74" s="272" t="s">
        <v>179</v>
      </c>
      <c r="AP74" s="16">
        <f>IFERROR(VLOOKUP($AO74,costs!$A$2:$I$2905,AP$2,FALSE),0)</f>
        <v>0</v>
      </c>
      <c r="AQ74" s="16">
        <f>IFERROR(VLOOKUP($AO74,costs!$A$2:$I$2905,AQ$2,FALSE),0)</f>
        <v>0</v>
      </c>
      <c r="AR74" s="16">
        <f>IFERROR(VLOOKUP($AO74,costs!$A$2:$I$2905,AR$2,FALSE),0)</f>
        <v>0</v>
      </c>
      <c r="AS74" s="16">
        <f>IFERROR(VLOOKUP($AO74,costs!$A$2:$I$2905,AS$2,FALSE),0)</f>
        <v>0</v>
      </c>
      <c r="AT74" s="16">
        <f>IFERROR(VLOOKUP($AO74,costs!$A$2:$I$2905,AT$2,FALSE),0)</f>
        <v>0</v>
      </c>
      <c r="AU74" s="16">
        <f>IFERROR(VLOOKUP($AO74,costs!$A$2:$I$2905,AU$2,FALSE),0)</f>
        <v>0</v>
      </c>
      <c r="AV74" s="16">
        <f>IFERROR(VLOOKUP($AO74,costs!$A$2:$I$2905,AV$2,FALSE),0)</f>
        <v>0</v>
      </c>
      <c r="AW74" s="16">
        <f>IFERROR(VLOOKUP($AO74,costs!$A$2:$I$2905,AW$2,FALSE),0)</f>
        <v>0</v>
      </c>
      <c r="AY74" s="272" t="s">
        <v>402</v>
      </c>
      <c r="AZ74" s="16">
        <f>IFERROR(VLOOKUP($AY74,costs!$A$2:$I$2905,AZ$2,FALSE),0)</f>
        <v>0</v>
      </c>
      <c r="BA74" s="16">
        <f>IFERROR(VLOOKUP($AY74,costs!$A$2:$I$2905,BA$2,FALSE),0)</f>
        <v>0</v>
      </c>
      <c r="BB74" s="16">
        <f>IFERROR(VLOOKUP($AY74,costs!$A$2:$I$2905,BB$2,FALSE),0)</f>
        <v>0</v>
      </c>
      <c r="BC74" s="16">
        <f>IFERROR(VLOOKUP($AY74,costs!$A$2:$I$2905,BC$2,FALSE),0)</f>
        <v>0</v>
      </c>
      <c r="BD74" s="16">
        <f>IFERROR(VLOOKUP($AY74,costs!$A$2:$I$2905,BD$2,FALSE),0)</f>
        <v>0</v>
      </c>
      <c r="BE74" s="16">
        <f>IFERROR(VLOOKUP($AY74,costs!$A$2:$I$2905,BE$2,FALSE),0)</f>
        <v>0</v>
      </c>
      <c r="BF74" s="16">
        <f>IFERROR(VLOOKUP($AY74,costs!$A$2:$I$2905,BF$2,FALSE),0)</f>
        <v>0</v>
      </c>
      <c r="BG74" s="16">
        <f>IFERROR(VLOOKUP($AY74,costs!$A$2:$I$2905,BG$2,FALSE),0)</f>
        <v>0</v>
      </c>
    </row>
    <row r="75" spans="2:59" x14ac:dyDescent="0.35">
      <c r="U75" s="273" t="s">
        <v>504</v>
      </c>
      <c r="V75" s="16">
        <f>IFERROR(VLOOKUP($U75,costs!$A$2:$I$2905,V$2,FALSE),0)</f>
        <v>0</v>
      </c>
      <c r="W75" s="16">
        <f>IFERROR(VLOOKUP($U75,costs!$A$2:$I$2905,W$2,FALSE),0)</f>
        <v>0</v>
      </c>
      <c r="X75" s="16">
        <f>IFERROR(VLOOKUP($U75,costs!$A$2:$I$2905,X$2,FALSE),0)</f>
        <v>0</v>
      </c>
      <c r="Y75" s="16">
        <f>IFERROR(VLOOKUP($U75,costs!$A$2:$I$2905,Y$2,FALSE),0)</f>
        <v>0</v>
      </c>
      <c r="Z75" s="16">
        <f>IFERROR(VLOOKUP($U75,costs!$A$2:$I$2905,Z$2,FALSE),0)</f>
        <v>0</v>
      </c>
      <c r="AA75" s="16">
        <f>IFERROR(VLOOKUP($U75,costs!$A$2:$I$2905,AA$2,FALSE),0)</f>
        <v>0</v>
      </c>
      <c r="AB75" s="16">
        <f>IFERROR(VLOOKUP($U75,costs!$A$2:$I$2905,AB$2,FALSE),0)</f>
        <v>0</v>
      </c>
      <c r="AC75" s="16">
        <f>IFERROR(VLOOKUP($U75,costs!$A$2:$I$2905,AC$2,FALSE),0)</f>
        <v>0</v>
      </c>
      <c r="AE75" s="367" t="s">
        <v>2561</v>
      </c>
      <c r="AF75" s="346">
        <f>IFERROR(VLOOKUP($AE75,costs!$A$2:$I$2905,AF$2,FALSE),0)</f>
        <v>0</v>
      </c>
      <c r="AG75" s="346">
        <f>IFERROR(VLOOKUP($AE75,costs!$A$2:$I$2905,AG$2,FALSE),0)</f>
        <v>0</v>
      </c>
      <c r="AH75" s="346">
        <f>IFERROR(VLOOKUP($AE75,costs!$A$2:$I$2905,AH$2,FALSE),0)</f>
        <v>0</v>
      </c>
      <c r="AI75" s="346">
        <f>IFERROR(VLOOKUP($AE75,costs!$A$2:$I$2905,AI$2,FALSE),0)</f>
        <v>0</v>
      </c>
      <c r="AJ75" s="346">
        <f>IFERROR(VLOOKUP($AE75,costs!$A$2:$I$2905,AJ$2,FALSE),0)</f>
        <v>0</v>
      </c>
      <c r="AK75" s="346">
        <f>IFERROR(VLOOKUP($AE75,costs!$A$2:$I$2905,AK$2,FALSE),0)</f>
        <v>0</v>
      </c>
      <c r="AL75" s="346">
        <f>IFERROR(VLOOKUP($AE75,costs!$A$2:$I$2905,AL$2,FALSE),0)</f>
        <v>0</v>
      </c>
      <c r="AM75" s="346">
        <f>IFERROR(VLOOKUP($AE75,costs!$A$2:$I$2905,AM$2,FALSE),0)</f>
        <v>0</v>
      </c>
      <c r="AO75" s="273" t="s">
        <v>2107</v>
      </c>
      <c r="AP75" s="16">
        <f>IFERROR(VLOOKUP($AO75,costs!$A$2:$I$2905,AP$2,FALSE),0)</f>
        <v>0</v>
      </c>
      <c r="AQ75" s="16">
        <f>IFERROR(VLOOKUP($AO75,costs!$A$2:$I$2905,AQ$2,FALSE),0)</f>
        <v>0</v>
      </c>
      <c r="AR75" s="16">
        <f>IFERROR(VLOOKUP($AO75,costs!$A$2:$I$2905,AR$2,FALSE),0)</f>
        <v>0</v>
      </c>
      <c r="AS75" s="16">
        <f>IFERROR(VLOOKUP($AO75,costs!$A$2:$I$2905,AS$2,FALSE),0)</f>
        <v>0</v>
      </c>
      <c r="AT75" s="16">
        <f>IFERROR(VLOOKUP($AO75,costs!$A$2:$I$2905,AT$2,FALSE),0)</f>
        <v>0</v>
      </c>
      <c r="AU75" s="16">
        <f>IFERROR(VLOOKUP($AO75,costs!$A$2:$I$2905,AU$2,FALSE),0)</f>
        <v>0</v>
      </c>
      <c r="AV75" s="16">
        <f>IFERROR(VLOOKUP($AO75,costs!$A$2:$I$2905,AV$2,FALSE),0)</f>
        <v>0</v>
      </c>
      <c r="AW75" s="16">
        <f>IFERROR(VLOOKUP($AO75,costs!$A$2:$I$2905,AW$2,FALSE),0)</f>
        <v>0</v>
      </c>
      <c r="AY75" s="273" t="s">
        <v>2123</v>
      </c>
      <c r="AZ75" s="16">
        <f>IFERROR(VLOOKUP($AY75,costs!$A$2:$I$2905,AZ$2,FALSE),0)</f>
        <v>0</v>
      </c>
      <c r="BA75" s="16">
        <f>IFERROR(VLOOKUP($AY75,costs!$A$2:$I$2905,BA$2,FALSE),0)</f>
        <v>0</v>
      </c>
      <c r="BB75" s="16">
        <f>IFERROR(VLOOKUP($AY75,costs!$A$2:$I$2905,BB$2,FALSE),0)</f>
        <v>0</v>
      </c>
      <c r="BC75" s="16">
        <f>IFERROR(VLOOKUP($AY75,costs!$A$2:$I$2905,BC$2,FALSE),0)</f>
        <v>0</v>
      </c>
      <c r="BD75" s="16">
        <f>IFERROR(VLOOKUP($AY75,costs!$A$2:$I$2905,BD$2,FALSE),0)</f>
        <v>0</v>
      </c>
      <c r="BE75" s="16">
        <f>IFERROR(VLOOKUP($AY75,costs!$A$2:$I$2905,BE$2,FALSE),0)</f>
        <v>0</v>
      </c>
      <c r="BF75" s="16">
        <f>IFERROR(VLOOKUP($AY75,costs!$A$2:$I$2905,BF$2,FALSE),0)</f>
        <v>0</v>
      </c>
      <c r="BG75" s="16">
        <f>IFERROR(VLOOKUP($AY75,costs!$A$2:$I$2905,BG$2,FALSE),0)</f>
        <v>0</v>
      </c>
    </row>
    <row r="76" spans="2:59" x14ac:dyDescent="0.35">
      <c r="U76" s="272" t="s">
        <v>2060</v>
      </c>
      <c r="V76" s="16">
        <f>IFERROR(VLOOKUP($U76,costs!$A$2:$I$2905,V$2,FALSE),0)</f>
        <v>0</v>
      </c>
      <c r="W76" s="16">
        <f>IFERROR(VLOOKUP($U76,costs!$A$2:$I$2905,W$2,FALSE),0)</f>
        <v>0</v>
      </c>
      <c r="X76" s="16">
        <f>IFERROR(VLOOKUP($U76,costs!$A$2:$I$2905,X$2,FALSE),0)</f>
        <v>0</v>
      </c>
      <c r="Y76" s="16">
        <f>IFERROR(VLOOKUP($U76,costs!$A$2:$I$2905,Y$2,FALSE),0)</f>
        <v>0</v>
      </c>
      <c r="Z76" s="16">
        <f>IFERROR(VLOOKUP($U76,costs!$A$2:$I$2905,Z$2,FALSE),0)</f>
        <v>0</v>
      </c>
      <c r="AA76" s="16">
        <f>IFERROR(VLOOKUP($U76,costs!$A$2:$I$2905,AA$2,FALSE),0)</f>
        <v>0</v>
      </c>
      <c r="AB76" s="16">
        <f>IFERROR(VLOOKUP($U76,costs!$A$2:$I$2905,AB$2,FALSE),0)</f>
        <v>0</v>
      </c>
      <c r="AC76" s="16">
        <f>IFERROR(VLOOKUP($U76,costs!$A$2:$I$2905,AC$2,FALSE),0)</f>
        <v>0</v>
      </c>
      <c r="AE76" s="367" t="s">
        <v>2562</v>
      </c>
      <c r="AF76" s="346">
        <f>IFERROR(VLOOKUP($AE76,costs!$A$2:$I$2905,AF$2,FALSE),0)</f>
        <v>0</v>
      </c>
      <c r="AG76" s="346">
        <f>IFERROR(VLOOKUP($AE76,costs!$A$2:$I$2905,AG$2,FALSE),0)</f>
        <v>0</v>
      </c>
      <c r="AH76" s="346">
        <f>IFERROR(VLOOKUP($AE76,costs!$A$2:$I$2905,AH$2,FALSE),0)</f>
        <v>0</v>
      </c>
      <c r="AI76" s="346">
        <f>IFERROR(VLOOKUP($AE76,costs!$A$2:$I$2905,AI$2,FALSE),0)</f>
        <v>0</v>
      </c>
      <c r="AJ76" s="346">
        <f>IFERROR(VLOOKUP($AE76,costs!$A$2:$I$2905,AJ$2,FALSE),0)</f>
        <v>0</v>
      </c>
      <c r="AK76" s="346">
        <f>IFERROR(VLOOKUP($AE76,costs!$A$2:$I$2905,AK$2,FALSE),0)</f>
        <v>0</v>
      </c>
      <c r="AL76" s="346">
        <f>IFERROR(VLOOKUP($AE76,costs!$A$2:$I$2905,AL$2,FALSE),0)</f>
        <v>0</v>
      </c>
      <c r="AM76" s="346">
        <f>IFERROR(VLOOKUP($AE76,costs!$A$2:$I$2905,AM$2,FALSE),0)</f>
        <v>0</v>
      </c>
      <c r="AO76" s="951" t="s">
        <v>4289</v>
      </c>
      <c r="AP76" s="346">
        <f>IFERROR(VLOOKUP($AO76,costs!$A$2:$I$2905,AP$2,FALSE),0)</f>
        <v>0</v>
      </c>
      <c r="AQ76" s="346">
        <f>IFERROR(VLOOKUP($AO76,costs!$A$2:$I$2905,AQ$2,FALSE),0)</f>
        <v>0</v>
      </c>
      <c r="AR76" s="346">
        <f>IFERROR(VLOOKUP($AO76,costs!$A$2:$I$2905,AR$2,FALSE),0)</f>
        <v>0</v>
      </c>
      <c r="AS76" s="346">
        <f>IFERROR(VLOOKUP($AO76,costs!$A$2:$I$2905,AS$2,FALSE),0)</f>
        <v>0</v>
      </c>
      <c r="AT76" s="346">
        <f>IFERROR(VLOOKUP($AO76,costs!$A$2:$I$2905,AT$2,FALSE),0)</f>
        <v>0</v>
      </c>
      <c r="AU76" s="346">
        <f>IFERROR(VLOOKUP($AO76,costs!$A$2:$I$2905,AU$2,FALSE),0)</f>
        <v>0</v>
      </c>
      <c r="AV76" s="346">
        <f>IFERROR(VLOOKUP($AO76,costs!$A$2:$I$2905,AV$2,FALSE),0)</f>
        <v>0</v>
      </c>
      <c r="AW76" s="346">
        <f>IFERROR(VLOOKUP($AO76,costs!$A$2:$I$2905,AW$2,FALSE),0)</f>
        <v>0</v>
      </c>
      <c r="AY76" s="272" t="s">
        <v>403</v>
      </c>
      <c r="AZ76" s="16">
        <f>IFERROR(VLOOKUP($AY76,costs!$A$2:$I$2905,AZ$2,FALSE),0)</f>
        <v>0</v>
      </c>
      <c r="BA76" s="16">
        <f>IFERROR(VLOOKUP($AY76,costs!$A$2:$I$2905,BA$2,FALSE),0)</f>
        <v>0</v>
      </c>
      <c r="BB76" s="16">
        <f>IFERROR(VLOOKUP($AY76,costs!$A$2:$I$2905,BB$2,FALSE),0)</f>
        <v>0</v>
      </c>
      <c r="BC76" s="16">
        <f>IFERROR(VLOOKUP($AY76,costs!$A$2:$I$2905,BC$2,FALSE),0)</f>
        <v>0</v>
      </c>
      <c r="BD76" s="16">
        <f>IFERROR(VLOOKUP($AY76,costs!$A$2:$I$2905,BD$2,FALSE),0)</f>
        <v>0</v>
      </c>
      <c r="BE76" s="16">
        <f>IFERROR(VLOOKUP($AY76,costs!$A$2:$I$2905,BE$2,FALSE),0)</f>
        <v>0</v>
      </c>
      <c r="BF76" s="16">
        <f>IFERROR(VLOOKUP($AY76,costs!$A$2:$I$2905,BF$2,FALSE),0)</f>
        <v>0</v>
      </c>
      <c r="BG76" s="16">
        <f>IFERROR(VLOOKUP($AY76,costs!$A$2:$I$2905,BG$2,FALSE),0)</f>
        <v>0</v>
      </c>
    </row>
    <row r="77" spans="2:59" x14ac:dyDescent="0.35">
      <c r="U77" s="273" t="s">
        <v>357</v>
      </c>
      <c r="V77" s="16">
        <f>IFERROR(VLOOKUP($U77,costs!$A$2:$I$2905,V$2,FALSE),0)</f>
        <v>0</v>
      </c>
      <c r="W77" s="16">
        <f>IFERROR(VLOOKUP($U77,costs!$A$2:$I$2905,W$2,FALSE),0)</f>
        <v>0</v>
      </c>
      <c r="X77" s="16">
        <f>IFERROR(VLOOKUP($U77,costs!$A$2:$I$2905,X$2,FALSE),0)</f>
        <v>0</v>
      </c>
      <c r="Y77" s="16">
        <f>IFERROR(VLOOKUP($U77,costs!$A$2:$I$2905,Y$2,FALSE),0)</f>
        <v>0</v>
      </c>
      <c r="Z77" s="16">
        <f>IFERROR(VLOOKUP($U77,costs!$A$2:$I$2905,Z$2,FALSE),0)</f>
        <v>0</v>
      </c>
      <c r="AA77" s="16">
        <f>IFERROR(VLOOKUP($U77,costs!$A$2:$I$2905,AA$2,FALSE),0)</f>
        <v>0</v>
      </c>
      <c r="AB77" s="16">
        <f>IFERROR(VLOOKUP($U77,costs!$A$2:$I$2905,AB$2,FALSE),0)</f>
        <v>0</v>
      </c>
      <c r="AC77" s="16">
        <f>IFERROR(VLOOKUP($U77,costs!$A$2:$I$2905,AC$2,FALSE),0)</f>
        <v>0</v>
      </c>
      <c r="AE77" s="367" t="s">
        <v>2563</v>
      </c>
      <c r="AF77" s="346">
        <f>IFERROR(VLOOKUP($AE77,costs!$A$2:$I$2905,AF$2,FALSE),0)</f>
        <v>0</v>
      </c>
      <c r="AG77" s="346">
        <f>IFERROR(VLOOKUP($AE77,costs!$A$2:$I$2905,AG$2,FALSE),0)</f>
        <v>0</v>
      </c>
      <c r="AH77" s="346">
        <f>IFERROR(VLOOKUP($AE77,costs!$A$2:$I$2905,AH$2,FALSE),0)</f>
        <v>0</v>
      </c>
      <c r="AI77" s="346">
        <f>IFERROR(VLOOKUP($AE77,costs!$A$2:$I$2905,AI$2,FALSE),0)</f>
        <v>0</v>
      </c>
      <c r="AJ77" s="346">
        <f>IFERROR(VLOOKUP($AE77,costs!$A$2:$I$2905,AJ$2,FALSE),0)</f>
        <v>0</v>
      </c>
      <c r="AK77" s="346">
        <f>IFERROR(VLOOKUP($AE77,costs!$A$2:$I$2905,AK$2,FALSE),0)</f>
        <v>0</v>
      </c>
      <c r="AL77" s="346">
        <f>IFERROR(VLOOKUP($AE77,costs!$A$2:$I$2905,AL$2,FALSE),0)</f>
        <v>0</v>
      </c>
      <c r="AM77" s="346">
        <f>IFERROR(VLOOKUP($AE77,costs!$A$2:$I$2905,AM$2,FALSE),0)</f>
        <v>0</v>
      </c>
      <c r="AO77" s="951" t="s">
        <v>4381</v>
      </c>
      <c r="AP77" s="346">
        <f>IFERROR(VLOOKUP($AO77,costs!$A$2:$I$2905,AP$2,FALSE),0)</f>
        <v>0</v>
      </c>
      <c r="AQ77" s="346">
        <f>IFERROR(VLOOKUP($AO77,costs!$A$2:$I$2905,AQ$2,FALSE),0)</f>
        <v>0</v>
      </c>
      <c r="AR77" s="346">
        <f>IFERROR(VLOOKUP($AO77,costs!$A$2:$I$2905,AR$2,FALSE),0)</f>
        <v>0</v>
      </c>
      <c r="AS77" s="346">
        <f>IFERROR(VLOOKUP($AO77,costs!$A$2:$I$2905,AS$2,FALSE),0)</f>
        <v>0</v>
      </c>
      <c r="AT77" s="346">
        <f>IFERROR(VLOOKUP($AO77,costs!$A$2:$I$2905,AT$2,FALSE),0)</f>
        <v>0</v>
      </c>
      <c r="AU77" s="346">
        <f>IFERROR(VLOOKUP($AO77,costs!$A$2:$I$2905,AU$2,FALSE),0)</f>
        <v>0</v>
      </c>
      <c r="AV77" s="346">
        <f>IFERROR(VLOOKUP($AO77,costs!$A$2:$I$2905,AV$2,FALSE),0)</f>
        <v>0</v>
      </c>
      <c r="AW77" s="346">
        <f>IFERROR(VLOOKUP($AO77,costs!$A$2:$I$2905,AW$2,FALSE),0)</f>
        <v>0</v>
      </c>
      <c r="AY77" s="273" t="s">
        <v>2124</v>
      </c>
      <c r="AZ77" s="16">
        <f>IFERROR(VLOOKUP($AY77,costs!$A$2:$I$2905,AZ$2,FALSE),0)</f>
        <v>0</v>
      </c>
      <c r="BA77" s="16">
        <f>IFERROR(VLOOKUP($AY77,costs!$A$2:$I$2905,BA$2,FALSE),0)</f>
        <v>0</v>
      </c>
      <c r="BB77" s="16">
        <f>IFERROR(VLOOKUP($AY77,costs!$A$2:$I$2905,BB$2,FALSE),0)</f>
        <v>0</v>
      </c>
      <c r="BC77" s="16">
        <f>IFERROR(VLOOKUP($AY77,costs!$A$2:$I$2905,BC$2,FALSE),0)</f>
        <v>0</v>
      </c>
      <c r="BD77" s="16">
        <f>IFERROR(VLOOKUP($AY77,costs!$A$2:$I$2905,BD$2,FALSE),0)</f>
        <v>0</v>
      </c>
      <c r="BE77" s="16">
        <f>IFERROR(VLOOKUP($AY77,costs!$A$2:$I$2905,BE$2,FALSE),0)</f>
        <v>0</v>
      </c>
      <c r="BF77" s="16">
        <f>IFERROR(VLOOKUP($AY77,costs!$A$2:$I$2905,BF$2,FALSE),0)</f>
        <v>0</v>
      </c>
      <c r="BG77" s="16">
        <f>IFERROR(VLOOKUP($AY77,costs!$A$2:$I$2905,BG$2,FALSE),0)</f>
        <v>0</v>
      </c>
    </row>
    <row r="78" spans="2:59" x14ac:dyDescent="0.35">
      <c r="B78" t="str">
        <f t="shared" ref="B78:I78" si="16">B3</f>
        <v>TargetYear</v>
      </c>
      <c r="C78">
        <f t="shared" si="16"/>
        <v>2020</v>
      </c>
      <c r="D78">
        <f t="shared" si="16"/>
        <v>2025</v>
      </c>
      <c r="E78">
        <f t="shared" si="16"/>
        <v>2030</v>
      </c>
      <c r="F78">
        <f t="shared" si="16"/>
        <v>2035</v>
      </c>
      <c r="G78">
        <f t="shared" si="16"/>
        <v>2040</v>
      </c>
      <c r="H78">
        <f t="shared" si="16"/>
        <v>2045</v>
      </c>
      <c r="I78" t="str">
        <f t="shared" si="16"/>
        <v>2045 48Typtage</v>
      </c>
      <c r="J78" t="s">
        <v>4411</v>
      </c>
      <c r="U78" s="272" t="s">
        <v>358</v>
      </c>
      <c r="V78" s="16">
        <f>IFERROR(VLOOKUP($U78,costs!$A$2:$I$2905,V$2,FALSE),0)</f>
        <v>0</v>
      </c>
      <c r="W78" s="16">
        <f>IFERROR(VLOOKUP($U78,costs!$A$2:$I$2905,W$2,FALSE),0)</f>
        <v>0</v>
      </c>
      <c r="X78" s="16">
        <f>IFERROR(VLOOKUP($U78,costs!$A$2:$I$2905,X$2,FALSE),0)</f>
        <v>0</v>
      </c>
      <c r="Y78" s="16">
        <f>IFERROR(VLOOKUP($U78,costs!$A$2:$I$2905,Y$2,FALSE),0)</f>
        <v>0</v>
      </c>
      <c r="Z78" s="16">
        <f>IFERROR(VLOOKUP($U78,costs!$A$2:$I$2905,Z$2,FALSE),0)</f>
        <v>0</v>
      </c>
      <c r="AA78" s="16">
        <f>IFERROR(VLOOKUP($U78,costs!$A$2:$I$2905,AA$2,FALSE),0)</f>
        <v>0</v>
      </c>
      <c r="AB78" s="16">
        <f>IFERROR(VLOOKUP($U78,costs!$A$2:$I$2905,AB$2,FALSE),0)</f>
        <v>0</v>
      </c>
      <c r="AC78" s="16">
        <f>IFERROR(VLOOKUP($U78,costs!$A$2:$I$2905,AC$2,FALSE),0)</f>
        <v>0</v>
      </c>
      <c r="AE78" s="367" t="s">
        <v>4134</v>
      </c>
      <c r="AF78" s="346">
        <f>IFERROR(VLOOKUP($AE78,costs!$A$2:$I$2905,AF$2,FALSE),0)</f>
        <v>0</v>
      </c>
      <c r="AG78" s="346">
        <f>IFERROR(VLOOKUP($AE78,costs!$A$2:$I$2905,AG$2,FALSE),0)</f>
        <v>0</v>
      </c>
      <c r="AH78" s="346">
        <f>IFERROR(VLOOKUP($AE78,costs!$A$2:$I$2905,AH$2,FALSE),0)</f>
        <v>0</v>
      </c>
      <c r="AI78" s="346">
        <f>IFERROR(VLOOKUP($AE78,costs!$A$2:$I$2905,AI$2,FALSE),0)</f>
        <v>0</v>
      </c>
      <c r="AJ78" s="346">
        <f>IFERROR(VLOOKUP($AE78,costs!$A$2:$I$2905,AJ$2,FALSE),0)</f>
        <v>0</v>
      </c>
      <c r="AK78" s="346">
        <f>IFERROR(VLOOKUP($AE78,costs!$A$2:$I$2905,AK$2,FALSE),0)</f>
        <v>0</v>
      </c>
      <c r="AL78" s="346">
        <f>IFERROR(VLOOKUP($AE78,costs!$A$2:$I$2905,AL$2,FALSE),0)</f>
        <v>0</v>
      </c>
      <c r="AM78" s="346">
        <f>IFERROR(VLOOKUP($AE78,costs!$A$2:$I$2905,AM$2,FALSE),0)</f>
        <v>0</v>
      </c>
      <c r="AO78" s="272" t="s">
        <v>470</v>
      </c>
      <c r="AP78" s="16">
        <f>IFERROR(VLOOKUP($AO78,costs!$A$2:$I$2905,AP$2,FALSE),0)</f>
        <v>0</v>
      </c>
      <c r="AQ78" s="16">
        <f>IFERROR(VLOOKUP($AO78,costs!$A$2:$I$2905,AQ$2,FALSE),0)</f>
        <v>0</v>
      </c>
      <c r="AR78" s="16">
        <f>IFERROR(VLOOKUP($AO78,costs!$A$2:$I$2905,AR$2,FALSE),0)</f>
        <v>0</v>
      </c>
      <c r="AS78" s="16">
        <f>IFERROR(VLOOKUP($AO78,costs!$A$2:$I$2905,AS$2,FALSE),0)</f>
        <v>0</v>
      </c>
      <c r="AT78" s="16">
        <f>IFERROR(VLOOKUP($AO78,costs!$A$2:$I$2905,AT$2,FALSE),0)</f>
        <v>0</v>
      </c>
      <c r="AU78" s="16">
        <f>IFERROR(VLOOKUP($AO78,costs!$A$2:$I$2905,AU$2,FALSE),0)</f>
        <v>0</v>
      </c>
      <c r="AV78" s="16">
        <f>IFERROR(VLOOKUP($AO78,costs!$A$2:$I$2905,AV$2,FALSE),0)</f>
        <v>0</v>
      </c>
      <c r="AW78" s="16">
        <f>IFERROR(VLOOKUP($AO78,costs!$A$2:$I$2905,AW$2,FALSE),0)</f>
        <v>0</v>
      </c>
      <c r="AY78" s="272" t="s">
        <v>404</v>
      </c>
      <c r="AZ78" s="16">
        <f>IFERROR(VLOOKUP($AY78,costs!$A$2:$I$2905,AZ$2,FALSE),0)</f>
        <v>0</v>
      </c>
      <c r="BA78" s="16">
        <f>IFERROR(VLOOKUP($AY78,costs!$A$2:$I$2905,BA$2,FALSE),0)</f>
        <v>0</v>
      </c>
      <c r="BB78" s="16">
        <f>IFERROR(VLOOKUP($AY78,costs!$A$2:$I$2905,BB$2,FALSE),0)</f>
        <v>0</v>
      </c>
      <c r="BC78" s="16">
        <f>IFERROR(VLOOKUP($AY78,costs!$A$2:$I$2905,BC$2,FALSE),0)</f>
        <v>0</v>
      </c>
      <c r="BD78" s="16">
        <f>IFERROR(VLOOKUP($AY78,costs!$A$2:$I$2905,BD$2,FALSE),0)</f>
        <v>0</v>
      </c>
      <c r="BE78" s="16">
        <f>IFERROR(VLOOKUP($AY78,costs!$A$2:$I$2905,BE$2,FALSE),0)</f>
        <v>0</v>
      </c>
      <c r="BF78" s="16">
        <f>IFERROR(VLOOKUP($AY78,costs!$A$2:$I$2905,BF$2,FALSE),0)</f>
        <v>0</v>
      </c>
      <c r="BG78" s="16">
        <f>IFERROR(VLOOKUP($AY78,costs!$A$2:$I$2905,BG$2,FALSE),0)</f>
        <v>0</v>
      </c>
    </row>
    <row r="79" spans="2:59" x14ac:dyDescent="0.35">
      <c r="B79" t="s">
        <v>1165</v>
      </c>
      <c r="C79">
        <f t="shared" ref="C79:I79" si="17">C4</f>
        <v>0</v>
      </c>
      <c r="D79">
        <f t="shared" si="17"/>
        <v>0</v>
      </c>
      <c r="E79">
        <f t="shared" si="17"/>
        <v>0</v>
      </c>
      <c r="F79">
        <f t="shared" si="17"/>
        <v>0</v>
      </c>
      <c r="G79">
        <f t="shared" si="17"/>
        <v>0</v>
      </c>
      <c r="H79">
        <f t="shared" si="17"/>
        <v>0</v>
      </c>
      <c r="I79">
        <f t="shared" si="17"/>
        <v>175692.89018479298</v>
      </c>
      <c r="J79">
        <v>187241.52377001295</v>
      </c>
      <c r="U79" s="273" t="s">
        <v>2061</v>
      </c>
      <c r="V79" s="16">
        <f>IFERROR(VLOOKUP($U79,costs!$A$2:$I$2905,V$2,FALSE),0)</f>
        <v>0</v>
      </c>
      <c r="W79" s="16">
        <f>IFERROR(VLOOKUP($U79,costs!$A$2:$I$2905,W$2,FALSE),0)</f>
        <v>0</v>
      </c>
      <c r="X79" s="16">
        <f>IFERROR(VLOOKUP($U79,costs!$A$2:$I$2905,X$2,FALSE),0)</f>
        <v>0</v>
      </c>
      <c r="Y79" s="16">
        <f>IFERROR(VLOOKUP($U79,costs!$A$2:$I$2905,Y$2,FALSE),0)</f>
        <v>0</v>
      </c>
      <c r="Z79" s="16">
        <f>IFERROR(VLOOKUP($U79,costs!$A$2:$I$2905,Z$2,FALSE),0)</f>
        <v>0</v>
      </c>
      <c r="AA79" s="16">
        <f>IFERROR(VLOOKUP($U79,costs!$A$2:$I$2905,AA$2,FALSE),0)</f>
        <v>0</v>
      </c>
      <c r="AB79" s="16">
        <f>IFERROR(VLOOKUP($U79,costs!$A$2:$I$2905,AB$2,FALSE),0)</f>
        <v>0</v>
      </c>
      <c r="AC79" s="16">
        <f>IFERROR(VLOOKUP($U79,costs!$A$2:$I$2905,AC$2,FALSE),0)</f>
        <v>0</v>
      </c>
      <c r="AE79" s="367" t="s">
        <v>2564</v>
      </c>
      <c r="AF79" s="346">
        <f>IFERROR(VLOOKUP($AE79,costs!$A$2:$I$2905,AF$2,FALSE),0)</f>
        <v>0</v>
      </c>
      <c r="AG79" s="346">
        <f>IFERROR(VLOOKUP($AE79,costs!$A$2:$I$2905,AG$2,FALSE),0)</f>
        <v>0</v>
      </c>
      <c r="AH79" s="346">
        <f>IFERROR(VLOOKUP($AE79,costs!$A$2:$I$2905,AH$2,FALSE),0)</f>
        <v>0</v>
      </c>
      <c r="AI79" s="346">
        <f>IFERROR(VLOOKUP($AE79,costs!$A$2:$I$2905,AI$2,FALSE),0)</f>
        <v>0</v>
      </c>
      <c r="AJ79" s="346">
        <f>IFERROR(VLOOKUP($AE79,costs!$A$2:$I$2905,AJ$2,FALSE),0)</f>
        <v>0</v>
      </c>
      <c r="AK79" s="346">
        <f>IFERROR(VLOOKUP($AE79,costs!$A$2:$I$2905,AK$2,FALSE),0)</f>
        <v>0</v>
      </c>
      <c r="AL79" s="346">
        <f>IFERROR(VLOOKUP($AE79,costs!$A$2:$I$2905,AL$2,FALSE),0)</f>
        <v>0</v>
      </c>
      <c r="AM79" s="346">
        <f>IFERROR(VLOOKUP($AE79,costs!$A$2:$I$2905,AM$2,FALSE),0)</f>
        <v>0</v>
      </c>
      <c r="AO79" s="272" t="s">
        <v>471</v>
      </c>
      <c r="AP79" s="16">
        <f>IFERROR(VLOOKUP($AO79,costs!$A$2:$I$2905,AP$2,FALSE),0)</f>
        <v>0</v>
      </c>
      <c r="AQ79" s="16">
        <f>IFERROR(VLOOKUP($AO79,costs!$A$2:$I$2905,AQ$2,FALSE),0)</f>
        <v>0</v>
      </c>
      <c r="AR79" s="16">
        <f>IFERROR(VLOOKUP($AO79,costs!$A$2:$I$2905,AR$2,FALSE),0)</f>
        <v>0</v>
      </c>
      <c r="AS79" s="16">
        <f>IFERROR(VLOOKUP($AO79,costs!$A$2:$I$2905,AS$2,FALSE),0)</f>
        <v>0</v>
      </c>
      <c r="AT79" s="16">
        <f>IFERROR(VLOOKUP($AO79,costs!$A$2:$I$2905,AT$2,FALSE),0)</f>
        <v>0</v>
      </c>
      <c r="AU79" s="16">
        <f>IFERROR(VLOOKUP($AO79,costs!$A$2:$I$2905,AU$2,FALSE),0)</f>
        <v>0</v>
      </c>
      <c r="AV79" s="16">
        <f>IFERROR(VLOOKUP($AO79,costs!$A$2:$I$2905,AV$2,FALSE),0)</f>
        <v>0</v>
      </c>
      <c r="AW79" s="16">
        <f>IFERROR(VLOOKUP($AO79,costs!$A$2:$I$2905,AW$2,FALSE),0)</f>
        <v>0</v>
      </c>
      <c r="AY79" s="273" t="s">
        <v>405</v>
      </c>
      <c r="AZ79" s="16">
        <f>IFERROR(VLOOKUP($AY79,costs!$A$2:$I$2905,AZ$2,FALSE),0)</f>
        <v>0</v>
      </c>
      <c r="BA79" s="16">
        <f>IFERROR(VLOOKUP($AY79,costs!$A$2:$I$2905,BA$2,FALSE),0)</f>
        <v>0</v>
      </c>
      <c r="BB79" s="16">
        <f>IFERROR(VLOOKUP($AY79,costs!$A$2:$I$2905,BB$2,FALSE),0)</f>
        <v>0</v>
      </c>
      <c r="BC79" s="16">
        <f>IFERROR(VLOOKUP($AY79,costs!$A$2:$I$2905,BC$2,FALSE),0)</f>
        <v>0</v>
      </c>
      <c r="BD79" s="16">
        <f>IFERROR(VLOOKUP($AY79,costs!$A$2:$I$2905,BD$2,FALSE),0)</f>
        <v>0</v>
      </c>
      <c r="BE79" s="16">
        <f>IFERROR(VLOOKUP($AY79,costs!$A$2:$I$2905,BE$2,FALSE),0)</f>
        <v>0</v>
      </c>
      <c r="BF79" s="16">
        <f>IFERROR(VLOOKUP($AY79,costs!$A$2:$I$2905,BF$2,FALSE),0)</f>
        <v>0</v>
      </c>
      <c r="BG79" s="16">
        <f>IFERROR(VLOOKUP($AY79,costs!$A$2:$I$2905,BG$2,FALSE),0)</f>
        <v>0</v>
      </c>
    </row>
    <row r="80" spans="2:59" x14ac:dyDescent="0.35">
      <c r="B80" t="s">
        <v>1528</v>
      </c>
      <c r="C80" t="e">
        <f>C5</f>
        <v>#N/A</v>
      </c>
      <c r="D80" t="e">
        <f t="shared" ref="D80:I80" si="18">D5</f>
        <v>#N/A</v>
      </c>
      <c r="E80" t="e">
        <f t="shared" si="18"/>
        <v>#N/A</v>
      </c>
      <c r="F80" t="e">
        <f t="shared" si="18"/>
        <v>#N/A</v>
      </c>
      <c r="G80" t="e">
        <f t="shared" si="18"/>
        <v>#N/A</v>
      </c>
      <c r="H80" t="e">
        <f t="shared" si="18"/>
        <v>#N/A</v>
      </c>
      <c r="I80">
        <f t="shared" si="18"/>
        <v>136070.93479936768</v>
      </c>
      <c r="J80">
        <v>204826.03331721658</v>
      </c>
      <c r="U80" s="272" t="s">
        <v>359</v>
      </c>
      <c r="V80" s="16">
        <f>IFERROR(VLOOKUP($U80,costs!$A$2:$I$2905,V$2,FALSE),0)</f>
        <v>0</v>
      </c>
      <c r="W80" s="16">
        <f>IFERROR(VLOOKUP($U80,costs!$A$2:$I$2905,W$2,FALSE),0)</f>
        <v>0</v>
      </c>
      <c r="X80" s="16">
        <f>IFERROR(VLOOKUP($U80,costs!$A$2:$I$2905,X$2,FALSE),0)</f>
        <v>0</v>
      </c>
      <c r="Y80" s="16">
        <f>IFERROR(VLOOKUP($U80,costs!$A$2:$I$2905,Y$2,FALSE),0)</f>
        <v>0</v>
      </c>
      <c r="Z80" s="16">
        <f>IFERROR(VLOOKUP($U80,costs!$A$2:$I$2905,Z$2,FALSE),0)</f>
        <v>0</v>
      </c>
      <c r="AA80" s="16">
        <f>IFERROR(VLOOKUP($U80,costs!$A$2:$I$2905,AA$2,FALSE),0)</f>
        <v>0</v>
      </c>
      <c r="AB80" s="16">
        <f>IFERROR(VLOOKUP($U80,costs!$A$2:$I$2905,AB$2,FALSE),0)</f>
        <v>0</v>
      </c>
      <c r="AC80" s="16">
        <f>IFERROR(VLOOKUP($U80,costs!$A$2:$I$2905,AC$2,FALSE),0)</f>
        <v>0</v>
      </c>
      <c r="AE80" s="367" t="s">
        <v>2565</v>
      </c>
      <c r="AF80" s="346">
        <f>IFERROR(VLOOKUP($AE80,costs!$A$2:$I$2905,AF$2,FALSE),0)</f>
        <v>0</v>
      </c>
      <c r="AG80" s="346">
        <f>IFERROR(VLOOKUP($AE80,costs!$A$2:$I$2905,AG$2,FALSE),0)</f>
        <v>0</v>
      </c>
      <c r="AH80" s="346">
        <f>IFERROR(VLOOKUP($AE80,costs!$A$2:$I$2905,AH$2,FALSE),0)</f>
        <v>0</v>
      </c>
      <c r="AI80" s="346">
        <f>IFERROR(VLOOKUP($AE80,costs!$A$2:$I$2905,AI$2,FALSE),0)</f>
        <v>0</v>
      </c>
      <c r="AJ80" s="346">
        <f>IFERROR(VLOOKUP($AE80,costs!$A$2:$I$2905,AJ$2,FALSE),0)</f>
        <v>0</v>
      </c>
      <c r="AK80" s="346">
        <f>IFERROR(VLOOKUP($AE80,costs!$A$2:$I$2905,AK$2,FALSE),0)</f>
        <v>0</v>
      </c>
      <c r="AL80" s="346">
        <f>IFERROR(VLOOKUP($AE80,costs!$A$2:$I$2905,AL$2,FALSE),0)</f>
        <v>0</v>
      </c>
      <c r="AM80" s="346">
        <f>IFERROR(VLOOKUP($AE80,costs!$A$2:$I$2905,AM$2,FALSE),0)</f>
        <v>0</v>
      </c>
      <c r="AO80" s="273" t="s">
        <v>472</v>
      </c>
      <c r="AP80" s="16">
        <f>IFERROR(VLOOKUP($AO80,costs!$A$2:$I$2905,AP$2,FALSE),0)</f>
        <v>0</v>
      </c>
      <c r="AQ80" s="16">
        <f>IFERROR(VLOOKUP($AO80,costs!$A$2:$I$2905,AQ$2,FALSE),0)</f>
        <v>0</v>
      </c>
      <c r="AR80" s="16">
        <f>IFERROR(VLOOKUP($AO80,costs!$A$2:$I$2905,AR$2,FALSE),0)</f>
        <v>0</v>
      </c>
      <c r="AS80" s="16">
        <f>IFERROR(VLOOKUP($AO80,costs!$A$2:$I$2905,AS$2,FALSE),0)</f>
        <v>0</v>
      </c>
      <c r="AT80" s="16">
        <f>IFERROR(VLOOKUP($AO80,costs!$A$2:$I$2905,AT$2,FALSE),0)</f>
        <v>0</v>
      </c>
      <c r="AU80" s="16">
        <f>IFERROR(VLOOKUP($AO80,costs!$A$2:$I$2905,AU$2,FALSE),0)</f>
        <v>0</v>
      </c>
      <c r="AV80" s="16">
        <f>IFERROR(VLOOKUP($AO80,costs!$A$2:$I$2905,AV$2,FALSE),0)</f>
        <v>0</v>
      </c>
      <c r="AW80" s="16">
        <f>IFERROR(VLOOKUP($AO80,costs!$A$2:$I$2905,AW$2,FALSE),0)</f>
        <v>0</v>
      </c>
      <c r="AY80" s="272" t="s">
        <v>2125</v>
      </c>
      <c r="AZ80" s="16">
        <f>IFERROR(VLOOKUP($AY80,costs!$A$2:$I$2905,AZ$2,FALSE),0)</f>
        <v>0</v>
      </c>
      <c r="BA80" s="16">
        <f>IFERROR(VLOOKUP($AY80,costs!$A$2:$I$2905,BA$2,FALSE),0)</f>
        <v>0</v>
      </c>
      <c r="BB80" s="16">
        <f>IFERROR(VLOOKUP($AY80,costs!$A$2:$I$2905,BB$2,FALSE),0)</f>
        <v>0</v>
      </c>
      <c r="BC80" s="16">
        <f>IFERROR(VLOOKUP($AY80,costs!$A$2:$I$2905,BC$2,FALSE),0)</f>
        <v>0</v>
      </c>
      <c r="BD80" s="16">
        <f>IFERROR(VLOOKUP($AY80,costs!$A$2:$I$2905,BD$2,FALSE),0)</f>
        <v>0</v>
      </c>
      <c r="BE80" s="16">
        <f>IFERROR(VLOOKUP($AY80,costs!$A$2:$I$2905,BE$2,FALSE),0)</f>
        <v>0</v>
      </c>
      <c r="BF80" s="16">
        <f>IFERROR(VLOOKUP($AY80,costs!$A$2:$I$2905,BF$2,FALSE),0)</f>
        <v>0</v>
      </c>
      <c r="BG80" s="16">
        <f>IFERROR(VLOOKUP($AY80,costs!$A$2:$I$2905,BG$2,FALSE),0)</f>
        <v>0</v>
      </c>
    </row>
    <row r="81" spans="2:59" x14ac:dyDescent="0.35">
      <c r="B81" t="s">
        <v>1468</v>
      </c>
      <c r="C81" t="e">
        <f t="shared" ref="C81:I81" si="19">C6</f>
        <v>#N/A</v>
      </c>
      <c r="D81" t="e">
        <f t="shared" si="19"/>
        <v>#N/A</v>
      </c>
      <c r="E81" t="e">
        <f t="shared" si="19"/>
        <v>#N/A</v>
      </c>
      <c r="F81" t="e">
        <f t="shared" si="19"/>
        <v>#N/A</v>
      </c>
      <c r="G81" t="e">
        <f t="shared" si="19"/>
        <v>#N/A</v>
      </c>
      <c r="H81" t="e">
        <f t="shared" si="19"/>
        <v>#N/A</v>
      </c>
      <c r="I81">
        <f t="shared" si="19"/>
        <v>44813.307169298147</v>
      </c>
      <c r="J81">
        <v>48031.628907320104</v>
      </c>
      <c r="U81" s="273" t="s">
        <v>360</v>
      </c>
      <c r="V81" s="16">
        <f>IFERROR(VLOOKUP($U81,costs!$A$2:$I$2905,V$2,FALSE),0)</f>
        <v>0</v>
      </c>
      <c r="W81" s="16">
        <f>IFERROR(VLOOKUP($U81,costs!$A$2:$I$2905,W$2,FALSE),0)</f>
        <v>0</v>
      </c>
      <c r="X81" s="16">
        <f>IFERROR(VLOOKUP($U81,costs!$A$2:$I$2905,X$2,FALSE),0)</f>
        <v>0</v>
      </c>
      <c r="Y81" s="16">
        <f>IFERROR(VLOOKUP($U81,costs!$A$2:$I$2905,Y$2,FALSE),0)</f>
        <v>0</v>
      </c>
      <c r="Z81" s="16">
        <f>IFERROR(VLOOKUP($U81,costs!$A$2:$I$2905,Z$2,FALSE),0)</f>
        <v>0</v>
      </c>
      <c r="AA81" s="16">
        <f>IFERROR(VLOOKUP($U81,costs!$A$2:$I$2905,AA$2,FALSE),0)</f>
        <v>0</v>
      </c>
      <c r="AB81" s="16">
        <f>IFERROR(VLOOKUP($U81,costs!$A$2:$I$2905,AB$2,FALSE),0)</f>
        <v>0</v>
      </c>
      <c r="AC81" s="16">
        <f>IFERROR(VLOOKUP($U81,costs!$A$2:$I$2905,AC$2,FALSE),0)</f>
        <v>0</v>
      </c>
      <c r="AE81" s="40" t="s">
        <v>4341</v>
      </c>
      <c r="AF81" s="346">
        <f>IFERROR(VLOOKUP($AE81,costs!$A$2:$I$2905,AF$2,FALSE),0)</f>
        <v>0</v>
      </c>
      <c r="AG81" s="346">
        <f>IFERROR(VLOOKUP($AE81,costs!$A$2:$I$2905,AG$2,FALSE),0)</f>
        <v>0</v>
      </c>
      <c r="AH81" s="346">
        <f>IFERROR(VLOOKUP($AE81,costs!$A$2:$I$2905,AH$2,FALSE),0)</f>
        <v>0</v>
      </c>
      <c r="AI81" s="346">
        <f>IFERROR(VLOOKUP($AE81,costs!$A$2:$I$2905,AI$2,FALSE),0)</f>
        <v>0</v>
      </c>
      <c r="AJ81" s="346">
        <f>IFERROR(VLOOKUP($AE81,costs!$A$2:$I$2905,AJ$2,FALSE),0)</f>
        <v>0</v>
      </c>
      <c r="AK81" s="346">
        <f>IFERROR(VLOOKUP($AE81,costs!$A$2:$I$2905,AK$2,FALSE),0)</f>
        <v>0</v>
      </c>
      <c r="AL81" s="346">
        <f>IFERROR(VLOOKUP($AE81,costs!$A$2:$I$2905,AL$2,FALSE),0)</f>
        <v>0</v>
      </c>
      <c r="AM81" s="346">
        <f>IFERROR(VLOOKUP($AE81,costs!$A$2:$I$2905,AM$2,FALSE),0)</f>
        <v>0</v>
      </c>
      <c r="AO81" s="273" t="s">
        <v>519</v>
      </c>
      <c r="AP81" s="16">
        <f>IFERROR(VLOOKUP($AO81,costs!$A$2:$I$2905,AP$2,FALSE),0)</f>
        <v>0</v>
      </c>
      <c r="AQ81" s="16">
        <f>IFERROR(VLOOKUP($AO81,costs!$A$2:$I$2905,AQ$2,FALSE),0)</f>
        <v>0</v>
      </c>
      <c r="AR81" s="16">
        <f>IFERROR(VLOOKUP($AO81,costs!$A$2:$I$2905,AR$2,FALSE),0)</f>
        <v>0</v>
      </c>
      <c r="AS81" s="16">
        <f>IFERROR(VLOOKUP($AO81,costs!$A$2:$I$2905,AS$2,FALSE),0)</f>
        <v>0</v>
      </c>
      <c r="AT81" s="16">
        <f>IFERROR(VLOOKUP($AO81,costs!$A$2:$I$2905,AT$2,FALSE),0)</f>
        <v>0</v>
      </c>
      <c r="AU81" s="16">
        <f>IFERROR(VLOOKUP($AO81,costs!$A$2:$I$2905,AU$2,FALSE),0)</f>
        <v>0</v>
      </c>
      <c r="AV81" s="16">
        <f>IFERROR(VLOOKUP($AO81,costs!$A$2:$I$2905,AV$2,FALSE),0)</f>
        <v>0</v>
      </c>
      <c r="AW81" s="16">
        <f>IFERROR(VLOOKUP($AO81,costs!$A$2:$I$2905,AW$2,FALSE),0)</f>
        <v>0</v>
      </c>
      <c r="AY81" s="273" t="s">
        <v>406</v>
      </c>
      <c r="AZ81" s="16">
        <f>IFERROR(VLOOKUP($AY81,costs!$A$2:$I$2905,AZ$2,FALSE),0)</f>
        <v>0</v>
      </c>
      <c r="BA81" s="16">
        <f>IFERROR(VLOOKUP($AY81,costs!$A$2:$I$2905,BA$2,FALSE),0)</f>
        <v>0</v>
      </c>
      <c r="BB81" s="16">
        <f>IFERROR(VLOOKUP($AY81,costs!$A$2:$I$2905,BB$2,FALSE),0)</f>
        <v>0</v>
      </c>
      <c r="BC81" s="16">
        <f>IFERROR(VLOOKUP($AY81,costs!$A$2:$I$2905,BC$2,FALSE),0)</f>
        <v>0</v>
      </c>
      <c r="BD81" s="16">
        <f>IFERROR(VLOOKUP($AY81,costs!$A$2:$I$2905,BD$2,FALSE),0)</f>
        <v>0</v>
      </c>
      <c r="BE81" s="16">
        <f>IFERROR(VLOOKUP($AY81,costs!$A$2:$I$2905,BE$2,FALSE),0)</f>
        <v>0</v>
      </c>
      <c r="BF81" s="16">
        <f>IFERROR(VLOOKUP($AY81,costs!$A$2:$I$2905,BF$2,FALSE),0)</f>
        <v>0</v>
      </c>
      <c r="BG81" s="16">
        <f>IFERROR(VLOOKUP($AY81,costs!$A$2:$I$2905,BG$2,FALSE),0)</f>
        <v>0</v>
      </c>
    </row>
    <row r="82" spans="2:59" x14ac:dyDescent="0.35">
      <c r="B82" t="s">
        <v>2289</v>
      </c>
      <c r="C82">
        <f t="shared" ref="C82:I82" si="20">C7</f>
        <v>0</v>
      </c>
      <c r="D82">
        <f t="shared" si="20"/>
        <v>0</v>
      </c>
      <c r="E82">
        <f t="shared" si="20"/>
        <v>0</v>
      </c>
      <c r="F82">
        <f t="shared" si="20"/>
        <v>0</v>
      </c>
      <c r="G82">
        <f t="shared" si="20"/>
        <v>0</v>
      </c>
      <c r="H82">
        <f t="shared" si="20"/>
        <v>0</v>
      </c>
      <c r="I82">
        <f t="shared" si="20"/>
        <v>83174.148161641409</v>
      </c>
      <c r="J82">
        <v>72783.300564175675</v>
      </c>
      <c r="U82" s="99" t="s">
        <v>2031</v>
      </c>
      <c r="V82" s="102">
        <f>SUM(V4:V81)</f>
        <v>0</v>
      </c>
      <c r="W82" s="102">
        <f t="shared" ref="W82:AC82" si="21">SUM(W4:W81)</f>
        <v>0</v>
      </c>
      <c r="X82" s="102">
        <f t="shared" si="21"/>
        <v>0</v>
      </c>
      <c r="Y82" s="102">
        <f t="shared" si="21"/>
        <v>0</v>
      </c>
      <c r="Z82" s="102">
        <f t="shared" si="21"/>
        <v>0</v>
      </c>
      <c r="AA82" s="102">
        <f t="shared" si="21"/>
        <v>0</v>
      </c>
      <c r="AB82" s="102">
        <f t="shared" si="21"/>
        <v>0</v>
      </c>
      <c r="AC82" s="102">
        <f t="shared" si="21"/>
        <v>0</v>
      </c>
      <c r="AE82" s="367" t="s">
        <v>2566</v>
      </c>
      <c r="AF82" s="346">
        <f>IFERROR(VLOOKUP($AE82,costs!$A$2:$I$2905,AF$2,FALSE),0)</f>
        <v>0</v>
      </c>
      <c r="AG82" s="346">
        <f>IFERROR(VLOOKUP($AE82,costs!$A$2:$I$2905,AG$2,FALSE),0)</f>
        <v>0</v>
      </c>
      <c r="AH82" s="346">
        <f>IFERROR(VLOOKUP($AE82,costs!$A$2:$I$2905,AH$2,FALSE),0)</f>
        <v>0</v>
      </c>
      <c r="AI82" s="346">
        <f>IFERROR(VLOOKUP($AE82,costs!$A$2:$I$2905,AI$2,FALSE),0)</f>
        <v>0</v>
      </c>
      <c r="AJ82" s="346">
        <f>IFERROR(VLOOKUP($AE82,costs!$A$2:$I$2905,AJ$2,FALSE),0)</f>
        <v>0</v>
      </c>
      <c r="AK82" s="346">
        <f>IFERROR(VLOOKUP($AE82,costs!$A$2:$I$2905,AK$2,FALSE),0)</f>
        <v>0</v>
      </c>
      <c r="AL82" s="346">
        <f>IFERROR(VLOOKUP($AE82,costs!$A$2:$I$2905,AL$2,FALSE),0)</f>
        <v>0</v>
      </c>
      <c r="AM82" s="346">
        <f>IFERROR(VLOOKUP($AE82,costs!$A$2:$I$2905,AM$2,FALSE),0)</f>
        <v>0</v>
      </c>
      <c r="AO82" s="272" t="s">
        <v>2109</v>
      </c>
      <c r="AP82" s="16">
        <f>IFERROR(VLOOKUP($AO82,costs!$A$2:$I$2905,AP$2,FALSE),0)</f>
        <v>0</v>
      </c>
      <c r="AQ82" s="16">
        <f>IFERROR(VLOOKUP($AO82,costs!$A$2:$I$2905,AQ$2,FALSE),0)</f>
        <v>0</v>
      </c>
      <c r="AR82" s="16">
        <f>IFERROR(VLOOKUP($AO82,costs!$A$2:$I$2905,AR$2,FALSE),0)</f>
        <v>0</v>
      </c>
      <c r="AS82" s="16">
        <f>IFERROR(VLOOKUP($AO82,costs!$A$2:$I$2905,AS$2,FALSE),0)</f>
        <v>0</v>
      </c>
      <c r="AT82" s="16">
        <f>IFERROR(VLOOKUP($AO82,costs!$A$2:$I$2905,AT$2,FALSE),0)</f>
        <v>0</v>
      </c>
      <c r="AU82" s="16">
        <f>IFERROR(VLOOKUP($AO82,costs!$A$2:$I$2905,AU$2,FALSE),0)</f>
        <v>0</v>
      </c>
      <c r="AV82" s="16">
        <f>IFERROR(VLOOKUP($AO82,costs!$A$2:$I$2905,AV$2,FALSE),0)</f>
        <v>0</v>
      </c>
      <c r="AW82" s="16">
        <f>IFERROR(VLOOKUP($AO82,costs!$A$2:$I$2905,AW$2,FALSE),0)</f>
        <v>0</v>
      </c>
      <c r="AY82" s="272" t="s">
        <v>2126</v>
      </c>
      <c r="AZ82" s="16">
        <f>IFERROR(VLOOKUP($AY82,costs!$A$2:$I$2905,AZ$2,FALSE),0)</f>
        <v>0</v>
      </c>
      <c r="BA82" s="16">
        <f>IFERROR(VLOOKUP($AY82,costs!$A$2:$I$2905,BA$2,FALSE),0)</f>
        <v>0</v>
      </c>
      <c r="BB82" s="16">
        <f>IFERROR(VLOOKUP($AY82,costs!$A$2:$I$2905,BB$2,FALSE),0)</f>
        <v>0</v>
      </c>
      <c r="BC82" s="16">
        <f>IFERROR(VLOOKUP($AY82,costs!$A$2:$I$2905,BC$2,FALSE),0)</f>
        <v>0</v>
      </c>
      <c r="BD82" s="16">
        <f>IFERROR(VLOOKUP($AY82,costs!$A$2:$I$2905,BD$2,FALSE),0)</f>
        <v>0</v>
      </c>
      <c r="BE82" s="16">
        <f>IFERROR(VLOOKUP($AY82,costs!$A$2:$I$2905,BE$2,FALSE),0)</f>
        <v>0</v>
      </c>
      <c r="BF82" s="16">
        <f>IFERROR(VLOOKUP($AY82,costs!$A$2:$I$2905,BF$2,FALSE),0)</f>
        <v>0</v>
      </c>
      <c r="BG82" s="16">
        <f>IFERROR(VLOOKUP($AY82,costs!$A$2:$I$2905,BG$2,FALSE),0)</f>
        <v>0</v>
      </c>
    </row>
    <row r="83" spans="2:59" x14ac:dyDescent="0.35">
      <c r="B83" t="s">
        <v>2290</v>
      </c>
      <c r="C83">
        <f t="shared" ref="C83:I83" si="22">C8</f>
        <v>0</v>
      </c>
      <c r="D83">
        <f t="shared" si="22"/>
        <v>0</v>
      </c>
      <c r="E83">
        <f t="shared" si="22"/>
        <v>0</v>
      </c>
      <c r="F83">
        <f t="shared" si="22"/>
        <v>0</v>
      </c>
      <c r="G83">
        <f t="shared" si="22"/>
        <v>0</v>
      </c>
      <c r="H83">
        <f t="shared" si="22"/>
        <v>0</v>
      </c>
      <c r="I83">
        <f t="shared" si="22"/>
        <v>62784.179205977576</v>
      </c>
      <c r="J83">
        <v>54708.779771839363</v>
      </c>
      <c r="U83" s="40"/>
      <c r="V83" s="92"/>
      <c r="W83" s="92"/>
      <c r="X83" s="92"/>
      <c r="Y83" s="92"/>
      <c r="Z83" s="92"/>
      <c r="AA83" s="92"/>
      <c r="AB83" s="92"/>
      <c r="AC83" s="92"/>
      <c r="AE83" s="367" t="s">
        <v>2567</v>
      </c>
      <c r="AF83" s="346">
        <f>IFERROR(VLOOKUP($AE83,costs!$A$2:$I$2905,AF$2,FALSE),0)</f>
        <v>0</v>
      </c>
      <c r="AG83" s="346">
        <f>IFERROR(VLOOKUP($AE83,costs!$A$2:$I$2905,AG$2,FALSE),0)</f>
        <v>0</v>
      </c>
      <c r="AH83" s="346">
        <f>IFERROR(VLOOKUP($AE83,costs!$A$2:$I$2905,AH$2,FALSE),0)</f>
        <v>0</v>
      </c>
      <c r="AI83" s="346">
        <f>IFERROR(VLOOKUP($AE83,costs!$A$2:$I$2905,AI$2,FALSE),0)</f>
        <v>0</v>
      </c>
      <c r="AJ83" s="346">
        <f>IFERROR(VLOOKUP($AE83,costs!$A$2:$I$2905,AJ$2,FALSE),0)</f>
        <v>0</v>
      </c>
      <c r="AK83" s="346">
        <f>IFERROR(VLOOKUP($AE83,costs!$A$2:$I$2905,AK$2,FALSE),0)</f>
        <v>0</v>
      </c>
      <c r="AL83" s="346">
        <f>IFERROR(VLOOKUP($AE83,costs!$A$2:$I$2905,AL$2,FALSE),0)</f>
        <v>0</v>
      </c>
      <c r="AM83" s="346">
        <f>IFERROR(VLOOKUP($AE83,costs!$A$2:$I$2905,AM$2,FALSE),0)</f>
        <v>0</v>
      </c>
      <c r="AO83" s="273" t="s">
        <v>520</v>
      </c>
      <c r="AP83" s="16">
        <f>IFERROR(VLOOKUP($AO83,costs!$A$2:$I$2905,AP$2,FALSE),0)</f>
        <v>0</v>
      </c>
      <c r="AQ83" s="16">
        <f>IFERROR(VLOOKUP($AO83,costs!$A$2:$I$2905,AQ$2,FALSE),0)</f>
        <v>0</v>
      </c>
      <c r="AR83" s="16">
        <f>IFERROR(VLOOKUP($AO83,costs!$A$2:$I$2905,AR$2,FALSE),0)</f>
        <v>0</v>
      </c>
      <c r="AS83" s="16">
        <f>IFERROR(VLOOKUP($AO83,costs!$A$2:$I$2905,AS$2,FALSE),0)</f>
        <v>0</v>
      </c>
      <c r="AT83" s="16">
        <f>IFERROR(VLOOKUP($AO83,costs!$A$2:$I$2905,AT$2,FALSE),0)</f>
        <v>0</v>
      </c>
      <c r="AU83" s="16">
        <f>IFERROR(VLOOKUP($AO83,costs!$A$2:$I$2905,AU$2,FALSE),0)</f>
        <v>0</v>
      </c>
      <c r="AV83" s="16">
        <f>IFERROR(VLOOKUP($AO83,costs!$A$2:$I$2905,AV$2,FALSE),0)</f>
        <v>0</v>
      </c>
      <c r="AW83" s="16">
        <f>IFERROR(VLOOKUP($AO83,costs!$A$2:$I$2905,AW$2,FALSE),0)</f>
        <v>0</v>
      </c>
      <c r="AY83" s="273" t="s">
        <v>407</v>
      </c>
      <c r="AZ83" s="16">
        <f>IFERROR(VLOOKUP($AY83,costs!$A$2:$I$2905,AZ$2,FALSE),0)</f>
        <v>0</v>
      </c>
      <c r="BA83" s="16">
        <f>IFERROR(VLOOKUP($AY83,costs!$A$2:$I$2905,BA$2,FALSE),0)</f>
        <v>0</v>
      </c>
      <c r="BB83" s="16">
        <f>IFERROR(VLOOKUP($AY83,costs!$A$2:$I$2905,BB$2,FALSE),0)</f>
        <v>0</v>
      </c>
      <c r="BC83" s="16">
        <f>IFERROR(VLOOKUP($AY83,costs!$A$2:$I$2905,BC$2,FALSE),0)</f>
        <v>0</v>
      </c>
      <c r="BD83" s="16">
        <f>IFERROR(VLOOKUP($AY83,costs!$A$2:$I$2905,BD$2,FALSE),0)</f>
        <v>0</v>
      </c>
      <c r="BE83" s="16">
        <f>IFERROR(VLOOKUP($AY83,costs!$A$2:$I$2905,BE$2,FALSE),0)</f>
        <v>0</v>
      </c>
      <c r="BF83" s="16">
        <f>IFERROR(VLOOKUP($AY83,costs!$A$2:$I$2905,BF$2,FALSE),0)</f>
        <v>0</v>
      </c>
      <c r="BG83" s="16">
        <f>IFERROR(VLOOKUP($AY83,costs!$A$2:$I$2905,BG$2,FALSE),0)</f>
        <v>0</v>
      </c>
    </row>
    <row r="84" spans="2:59" x14ac:dyDescent="0.35">
      <c r="B84" t="s">
        <v>2291</v>
      </c>
      <c r="C84">
        <f t="shared" ref="C84:I84" si="23">C9</f>
        <v>0</v>
      </c>
      <c r="D84">
        <f t="shared" si="23"/>
        <v>0</v>
      </c>
      <c r="E84">
        <f t="shared" si="23"/>
        <v>0</v>
      </c>
      <c r="F84">
        <f t="shared" si="23"/>
        <v>0</v>
      </c>
      <c r="G84">
        <f t="shared" si="23"/>
        <v>0</v>
      </c>
      <c r="H84">
        <f t="shared" si="23"/>
        <v>0</v>
      </c>
      <c r="I84">
        <f t="shared" si="23"/>
        <v>10598.787226875094</v>
      </c>
      <c r="J84">
        <v>10062.408314091364</v>
      </c>
      <c r="U84" s="272" t="s">
        <v>2062</v>
      </c>
      <c r="V84" s="16">
        <f>IFERROR(VLOOKUP($U84,costs!$A$2:$I$2905,V$2,FALSE),0)</f>
        <v>0</v>
      </c>
      <c r="W84" s="16">
        <f>IFERROR(VLOOKUP($U84,costs!$A$2:$I$2905,W$2,FALSE),0)</f>
        <v>0</v>
      </c>
      <c r="X84" s="16">
        <f>IFERROR(VLOOKUP($U84,costs!$A$2:$I$2905,X$2,FALSE),0)</f>
        <v>0</v>
      </c>
      <c r="Y84" s="16">
        <f>IFERROR(VLOOKUP($U84,costs!$A$2:$I$2905,Y$2,FALSE),0)</f>
        <v>0</v>
      </c>
      <c r="Z84" s="16">
        <f>IFERROR(VLOOKUP($U84,costs!$A$2:$I$2905,Z$2,FALSE),0)</f>
        <v>0</v>
      </c>
      <c r="AA84" s="16">
        <f>IFERROR(VLOOKUP($U84,costs!$A$2:$I$2905,AA$2,FALSE),0)</f>
        <v>0</v>
      </c>
      <c r="AB84" s="16">
        <f>IFERROR(VLOOKUP($U84,costs!$A$2:$I$2905,AB$2,FALSE),0)</f>
        <v>0</v>
      </c>
      <c r="AC84" s="16">
        <f>IFERROR(VLOOKUP($U84,costs!$A$2:$I$2905,AC$2,FALSE),0)</f>
        <v>0</v>
      </c>
      <c r="AE84" s="367" t="s">
        <v>2568</v>
      </c>
      <c r="AF84" s="346">
        <f>IFERROR(VLOOKUP($AE84,costs!$A$2:$I$2905,AF$2,FALSE),0)</f>
        <v>0</v>
      </c>
      <c r="AG84" s="346">
        <f>IFERROR(VLOOKUP($AE84,costs!$A$2:$I$2905,AG$2,FALSE),0)</f>
        <v>0</v>
      </c>
      <c r="AH84" s="346">
        <f>IFERROR(VLOOKUP($AE84,costs!$A$2:$I$2905,AH$2,FALSE),0)</f>
        <v>0</v>
      </c>
      <c r="AI84" s="346">
        <f>IFERROR(VLOOKUP($AE84,costs!$A$2:$I$2905,AI$2,FALSE),0)</f>
        <v>0</v>
      </c>
      <c r="AJ84" s="346">
        <f>IFERROR(VLOOKUP($AE84,costs!$A$2:$I$2905,AJ$2,FALSE),0)</f>
        <v>0</v>
      </c>
      <c r="AK84" s="346">
        <f>IFERROR(VLOOKUP($AE84,costs!$A$2:$I$2905,AK$2,FALSE),0)</f>
        <v>0</v>
      </c>
      <c r="AL84" s="346">
        <f>IFERROR(VLOOKUP($AE84,costs!$A$2:$I$2905,AL$2,FALSE),0)</f>
        <v>0</v>
      </c>
      <c r="AM84" s="346">
        <f>IFERROR(VLOOKUP($AE84,costs!$A$2:$I$2905,AM$2,FALSE),0)</f>
        <v>0</v>
      </c>
      <c r="AO84" s="273" t="s">
        <v>522</v>
      </c>
      <c r="AP84" s="16">
        <f>IFERROR(VLOOKUP($AO84,costs!$A$2:$I$2905,AP$2,FALSE),0)</f>
        <v>0</v>
      </c>
      <c r="AQ84" s="16">
        <f>IFERROR(VLOOKUP($AO84,costs!$A$2:$I$2905,AQ$2,FALSE),0)</f>
        <v>0</v>
      </c>
      <c r="AR84" s="16">
        <f>IFERROR(VLOOKUP($AO84,costs!$A$2:$I$2905,AR$2,FALSE),0)</f>
        <v>0</v>
      </c>
      <c r="AS84" s="16">
        <f>IFERROR(VLOOKUP($AO84,costs!$A$2:$I$2905,AS$2,FALSE),0)</f>
        <v>0</v>
      </c>
      <c r="AT84" s="16">
        <f>IFERROR(VLOOKUP($AO84,costs!$A$2:$I$2905,AT$2,FALSE),0)</f>
        <v>0</v>
      </c>
      <c r="AU84" s="16">
        <f>IFERROR(VLOOKUP($AO84,costs!$A$2:$I$2905,AU$2,FALSE),0)</f>
        <v>0</v>
      </c>
      <c r="AV84" s="16">
        <f>IFERROR(VLOOKUP($AO84,costs!$A$2:$I$2905,AV$2,FALSE),0)</f>
        <v>0</v>
      </c>
      <c r="AW84" s="16">
        <f>IFERROR(VLOOKUP($AO84,costs!$A$2:$I$2905,AW$2,FALSE),0)</f>
        <v>0</v>
      </c>
      <c r="AY84" s="272" t="s">
        <v>2127</v>
      </c>
      <c r="AZ84" s="16">
        <f>IFERROR(VLOOKUP($AY84,costs!$A$2:$I$2905,AZ$2,FALSE),0)</f>
        <v>0</v>
      </c>
      <c r="BA84" s="16">
        <f>IFERROR(VLOOKUP($AY84,costs!$A$2:$I$2905,BA$2,FALSE),0)</f>
        <v>0</v>
      </c>
      <c r="BB84" s="16">
        <f>IFERROR(VLOOKUP($AY84,costs!$A$2:$I$2905,BB$2,FALSE),0)</f>
        <v>0</v>
      </c>
      <c r="BC84" s="16">
        <f>IFERROR(VLOOKUP($AY84,costs!$A$2:$I$2905,BC$2,FALSE),0)</f>
        <v>0</v>
      </c>
      <c r="BD84" s="16">
        <f>IFERROR(VLOOKUP($AY84,costs!$A$2:$I$2905,BD$2,FALSE),0)</f>
        <v>0</v>
      </c>
      <c r="BE84" s="16">
        <f>IFERROR(VLOOKUP($AY84,costs!$A$2:$I$2905,BE$2,FALSE),0)</f>
        <v>0</v>
      </c>
      <c r="BF84" s="16">
        <f>IFERROR(VLOOKUP($AY84,costs!$A$2:$I$2905,BF$2,FALSE),0)</f>
        <v>0</v>
      </c>
      <c r="BG84" s="16">
        <f>IFERROR(VLOOKUP($AY84,costs!$A$2:$I$2905,BG$2,FALSE),0)</f>
        <v>0</v>
      </c>
    </row>
    <row r="85" spans="2:59" x14ac:dyDescent="0.35">
      <c r="B85" t="s">
        <v>2292</v>
      </c>
      <c r="C85">
        <f t="shared" ref="C85:I85" si="24">C10</f>
        <v>0</v>
      </c>
      <c r="D85">
        <f t="shared" si="24"/>
        <v>0</v>
      </c>
      <c r="E85">
        <f t="shared" si="24"/>
        <v>0</v>
      </c>
      <c r="F85">
        <f t="shared" si="24"/>
        <v>0</v>
      </c>
      <c r="G85">
        <f t="shared" si="24"/>
        <v>0</v>
      </c>
      <c r="H85">
        <f t="shared" si="24"/>
        <v>0</v>
      </c>
      <c r="I85">
        <f t="shared" si="24"/>
        <v>47290.217946797675</v>
      </c>
      <c r="J85">
        <v>48511.816243608118</v>
      </c>
      <c r="U85" s="273" t="s">
        <v>0</v>
      </c>
      <c r="V85" s="16">
        <f>IFERROR(VLOOKUP($U85,costs!$A$2:$I$2905,V$2,FALSE),0)</f>
        <v>0</v>
      </c>
      <c r="W85" s="16">
        <f>IFERROR(VLOOKUP($U85,costs!$A$2:$I$2905,W$2,FALSE),0)</f>
        <v>0</v>
      </c>
      <c r="X85" s="16">
        <f>IFERROR(VLOOKUP($U85,costs!$A$2:$I$2905,X$2,FALSE),0)</f>
        <v>0</v>
      </c>
      <c r="Y85" s="16">
        <f>IFERROR(VLOOKUP($U85,costs!$A$2:$I$2905,Y$2,FALSE),0)</f>
        <v>0</v>
      </c>
      <c r="Z85" s="16">
        <f>IFERROR(VLOOKUP($U85,costs!$A$2:$I$2905,Z$2,FALSE),0)</f>
        <v>0</v>
      </c>
      <c r="AA85" s="16">
        <f>IFERROR(VLOOKUP($U85,costs!$A$2:$I$2905,AA$2,FALSE),0)</f>
        <v>0</v>
      </c>
      <c r="AB85" s="16">
        <f>IFERROR(VLOOKUP($U85,costs!$A$2:$I$2905,AB$2,FALSE),0)</f>
        <v>0</v>
      </c>
      <c r="AC85" s="16">
        <f>IFERROR(VLOOKUP($U85,costs!$A$2:$I$2905,AC$2,FALSE),0)</f>
        <v>0</v>
      </c>
      <c r="AE85" s="367" t="s">
        <v>2569</v>
      </c>
      <c r="AF85" s="346">
        <f>IFERROR(VLOOKUP($AE85,costs!$A$2:$I$2905,AF$2,FALSE),0)</f>
        <v>0</v>
      </c>
      <c r="AG85" s="346">
        <f>IFERROR(VLOOKUP($AE85,costs!$A$2:$I$2905,AG$2,FALSE),0)</f>
        <v>0</v>
      </c>
      <c r="AH85" s="346">
        <f>IFERROR(VLOOKUP($AE85,costs!$A$2:$I$2905,AH$2,FALSE),0)</f>
        <v>0</v>
      </c>
      <c r="AI85" s="346">
        <f>IFERROR(VLOOKUP($AE85,costs!$A$2:$I$2905,AI$2,FALSE),0)</f>
        <v>0</v>
      </c>
      <c r="AJ85" s="346">
        <f>IFERROR(VLOOKUP($AE85,costs!$A$2:$I$2905,AJ$2,FALSE),0)</f>
        <v>0</v>
      </c>
      <c r="AK85" s="346">
        <f>IFERROR(VLOOKUP($AE85,costs!$A$2:$I$2905,AK$2,FALSE),0)</f>
        <v>0</v>
      </c>
      <c r="AL85" s="346">
        <f>IFERROR(VLOOKUP($AE85,costs!$A$2:$I$2905,AL$2,FALSE),0)</f>
        <v>0</v>
      </c>
      <c r="AM85" s="346">
        <f>IFERROR(VLOOKUP($AE85,costs!$A$2:$I$2905,AM$2,FALSE),0)</f>
        <v>0</v>
      </c>
      <c r="AO85" s="272" t="s">
        <v>523</v>
      </c>
      <c r="AP85" s="16">
        <f>IFERROR(VLOOKUP($AO85,costs!$A$2:$I$2905,AP$2,FALSE),0)</f>
        <v>0</v>
      </c>
      <c r="AQ85" s="16">
        <f>IFERROR(VLOOKUP($AO85,costs!$A$2:$I$2905,AQ$2,FALSE),0)</f>
        <v>0</v>
      </c>
      <c r="AR85" s="16">
        <f>IFERROR(VLOOKUP($AO85,costs!$A$2:$I$2905,AR$2,FALSE),0)</f>
        <v>0</v>
      </c>
      <c r="AS85" s="16">
        <f>IFERROR(VLOOKUP($AO85,costs!$A$2:$I$2905,AS$2,FALSE),0)</f>
        <v>0</v>
      </c>
      <c r="AT85" s="16">
        <f>IFERROR(VLOOKUP($AO85,costs!$A$2:$I$2905,AT$2,FALSE),0)</f>
        <v>0</v>
      </c>
      <c r="AU85" s="16">
        <f>IFERROR(VLOOKUP($AO85,costs!$A$2:$I$2905,AU$2,FALSE),0)</f>
        <v>0</v>
      </c>
      <c r="AV85" s="16">
        <f>IFERROR(VLOOKUP($AO85,costs!$A$2:$I$2905,AV$2,FALSE),0)</f>
        <v>0</v>
      </c>
      <c r="AW85" s="16">
        <f>IFERROR(VLOOKUP($AO85,costs!$A$2:$I$2905,AW$2,FALSE),0)</f>
        <v>0</v>
      </c>
      <c r="AY85" s="273" t="s">
        <v>527</v>
      </c>
      <c r="AZ85" s="16">
        <f>IFERROR(VLOOKUP($AY85,costs!$A$2:$I$2905,AZ$2,FALSE),0)</f>
        <v>0</v>
      </c>
      <c r="BA85" s="16">
        <f>IFERROR(VLOOKUP($AY85,costs!$A$2:$I$2905,BA$2,FALSE),0)</f>
        <v>0</v>
      </c>
      <c r="BB85" s="16">
        <f>IFERROR(VLOOKUP($AY85,costs!$A$2:$I$2905,BB$2,FALSE),0)</f>
        <v>0</v>
      </c>
      <c r="BC85" s="16">
        <f>IFERROR(VLOOKUP($AY85,costs!$A$2:$I$2905,BC$2,FALSE),0)</f>
        <v>0</v>
      </c>
      <c r="BD85" s="16">
        <f>IFERROR(VLOOKUP($AY85,costs!$A$2:$I$2905,BD$2,FALSE),0)</f>
        <v>0</v>
      </c>
      <c r="BE85" s="16">
        <f>IFERROR(VLOOKUP($AY85,costs!$A$2:$I$2905,BE$2,FALSE),0)</f>
        <v>0</v>
      </c>
      <c r="BF85" s="16">
        <f>IFERROR(VLOOKUP($AY85,costs!$A$2:$I$2905,BF$2,FALSE),0)</f>
        <v>0</v>
      </c>
      <c r="BG85" s="16">
        <f>IFERROR(VLOOKUP($AY85,costs!$A$2:$I$2905,BG$2,FALSE),0)</f>
        <v>0</v>
      </c>
    </row>
    <row r="86" spans="2:59" x14ac:dyDescent="0.35">
      <c r="B86" t="s">
        <v>2293</v>
      </c>
      <c r="C86">
        <f t="shared" ref="C86:I86" si="25">C11</f>
        <v>0</v>
      </c>
      <c r="D86">
        <f t="shared" si="25"/>
        <v>0</v>
      </c>
      <c r="E86">
        <f t="shared" si="25"/>
        <v>0</v>
      </c>
      <c r="F86">
        <f t="shared" si="25"/>
        <v>0</v>
      </c>
      <c r="G86">
        <f t="shared" si="25"/>
        <v>0</v>
      </c>
      <c r="H86">
        <f t="shared" si="25"/>
        <v>0</v>
      </c>
      <c r="I86">
        <f t="shared" si="25"/>
        <v>260.02153520781218</v>
      </c>
      <c r="J86">
        <v>1043.5491757337936</v>
      </c>
      <c r="U86" s="272" t="s">
        <v>60</v>
      </c>
      <c r="V86" s="16">
        <f>IFERROR(VLOOKUP($U86,costs!$A$2:$I$2905,V$2,FALSE),0)</f>
        <v>0</v>
      </c>
      <c r="W86" s="16">
        <f>IFERROR(VLOOKUP($U86,costs!$A$2:$I$2905,W$2,FALSE),0)</f>
        <v>0</v>
      </c>
      <c r="X86" s="16">
        <f>IFERROR(VLOOKUP($U86,costs!$A$2:$I$2905,X$2,FALSE),0)</f>
        <v>0</v>
      </c>
      <c r="Y86" s="16">
        <f>IFERROR(VLOOKUP($U86,costs!$A$2:$I$2905,Y$2,FALSE),0)</f>
        <v>0</v>
      </c>
      <c r="Z86" s="16">
        <f>IFERROR(VLOOKUP($U86,costs!$A$2:$I$2905,Z$2,FALSE),0)</f>
        <v>0</v>
      </c>
      <c r="AA86" s="16">
        <f>IFERROR(VLOOKUP($U86,costs!$A$2:$I$2905,AA$2,FALSE),0)</f>
        <v>0</v>
      </c>
      <c r="AB86" s="16">
        <f>IFERROR(VLOOKUP($U86,costs!$A$2:$I$2905,AB$2,FALSE),0)</f>
        <v>0</v>
      </c>
      <c r="AC86" s="16">
        <f>IFERROR(VLOOKUP($U86,costs!$A$2:$I$2905,AC$2,FALSE),0)</f>
        <v>0</v>
      </c>
      <c r="AE86" s="367" t="s">
        <v>4135</v>
      </c>
      <c r="AF86" s="346">
        <f>IFERROR(VLOOKUP($AE86,costs!$A$2:$I$2905,AF$2,FALSE),0)</f>
        <v>0</v>
      </c>
      <c r="AG86" s="346">
        <f>IFERROR(VLOOKUP($AE86,costs!$A$2:$I$2905,AG$2,FALSE),0)</f>
        <v>0</v>
      </c>
      <c r="AH86" s="346">
        <f>IFERROR(VLOOKUP($AE86,costs!$A$2:$I$2905,AH$2,FALSE),0)</f>
        <v>0</v>
      </c>
      <c r="AI86" s="346">
        <f>IFERROR(VLOOKUP($AE86,costs!$A$2:$I$2905,AI$2,FALSE),0)</f>
        <v>0</v>
      </c>
      <c r="AJ86" s="346">
        <f>IFERROR(VLOOKUP($AE86,costs!$A$2:$I$2905,AJ$2,FALSE),0)</f>
        <v>0</v>
      </c>
      <c r="AK86" s="346">
        <f>IFERROR(VLOOKUP($AE86,costs!$A$2:$I$2905,AK$2,FALSE),0)</f>
        <v>0</v>
      </c>
      <c r="AL86" s="346">
        <f>IFERROR(VLOOKUP($AE86,costs!$A$2:$I$2905,AL$2,FALSE),0)</f>
        <v>0</v>
      </c>
      <c r="AM86" s="346">
        <f>IFERROR(VLOOKUP($AE86,costs!$A$2:$I$2905,AM$2,FALSE),0)</f>
        <v>0</v>
      </c>
      <c r="AO86" s="273" t="s">
        <v>515</v>
      </c>
      <c r="AP86" s="16">
        <f>IFERROR(VLOOKUP($AO86,costs!$A$2:$I$2905,AP$2,FALSE),0)</f>
        <v>0</v>
      </c>
      <c r="AQ86" s="16">
        <f>IFERROR(VLOOKUP($AO86,costs!$A$2:$I$2905,AQ$2,FALSE),0)</f>
        <v>0</v>
      </c>
      <c r="AR86" s="16">
        <f>IFERROR(VLOOKUP($AO86,costs!$A$2:$I$2905,AR$2,FALSE),0)</f>
        <v>0</v>
      </c>
      <c r="AS86" s="16">
        <f>IFERROR(VLOOKUP($AO86,costs!$A$2:$I$2905,AS$2,FALSE),0)</f>
        <v>0</v>
      </c>
      <c r="AT86" s="16">
        <f>IFERROR(VLOOKUP($AO86,costs!$A$2:$I$2905,AT$2,FALSE),0)</f>
        <v>0</v>
      </c>
      <c r="AU86" s="16">
        <f>IFERROR(VLOOKUP($AO86,costs!$A$2:$I$2905,AU$2,FALSE),0)</f>
        <v>0</v>
      </c>
      <c r="AV86" s="16">
        <f>IFERROR(VLOOKUP($AO86,costs!$A$2:$I$2905,AV$2,FALSE),0)</f>
        <v>0</v>
      </c>
      <c r="AW86" s="16">
        <f>IFERROR(VLOOKUP($AO86,costs!$A$2:$I$2905,AW$2,FALSE),0)</f>
        <v>0</v>
      </c>
      <c r="AY86" s="272" t="s">
        <v>2128</v>
      </c>
      <c r="AZ86" s="16">
        <f>IFERROR(VLOOKUP($AY86,costs!$A$2:$I$2905,AZ$2,FALSE),0)</f>
        <v>0</v>
      </c>
      <c r="BA86" s="16">
        <f>IFERROR(VLOOKUP($AY86,costs!$A$2:$I$2905,BA$2,FALSE),0)</f>
        <v>0</v>
      </c>
      <c r="BB86" s="16">
        <f>IFERROR(VLOOKUP($AY86,costs!$A$2:$I$2905,BB$2,FALSE),0)</f>
        <v>0</v>
      </c>
      <c r="BC86" s="16">
        <f>IFERROR(VLOOKUP($AY86,costs!$A$2:$I$2905,BC$2,FALSE),0)</f>
        <v>0</v>
      </c>
      <c r="BD86" s="16">
        <f>IFERROR(VLOOKUP($AY86,costs!$A$2:$I$2905,BD$2,FALSE),0)</f>
        <v>0</v>
      </c>
      <c r="BE86" s="16">
        <f>IFERROR(VLOOKUP($AY86,costs!$A$2:$I$2905,BE$2,FALSE),0)</f>
        <v>0</v>
      </c>
      <c r="BF86" s="16">
        <f>IFERROR(VLOOKUP($AY86,costs!$A$2:$I$2905,BF$2,FALSE),0)</f>
        <v>0</v>
      </c>
      <c r="BG86" s="16">
        <f>IFERROR(VLOOKUP($AY86,costs!$A$2:$I$2905,BG$2,FALSE),0)</f>
        <v>0</v>
      </c>
    </row>
    <row r="87" spans="2:59" x14ac:dyDescent="0.35">
      <c r="B87" t="str">
        <f>A12</f>
        <v>Total System Costs</v>
      </c>
      <c r="C87" t="e">
        <f t="shared" ref="C87:I87" si="26">C12</f>
        <v>#N/A</v>
      </c>
      <c r="D87" t="e">
        <f t="shared" si="26"/>
        <v>#N/A</v>
      </c>
      <c r="E87" t="e">
        <f t="shared" si="26"/>
        <v>#N/A</v>
      </c>
      <c r="F87" t="e">
        <f t="shared" si="26"/>
        <v>#N/A</v>
      </c>
      <c r="G87" t="e">
        <f t="shared" si="26"/>
        <v>#N/A</v>
      </c>
      <c r="H87" t="e">
        <f t="shared" si="26"/>
        <v>#N/A</v>
      </c>
      <c r="I87">
        <f t="shared" si="26"/>
        <v>560684.48622995848</v>
      </c>
      <c r="J87">
        <v>627209.04006399808</v>
      </c>
      <c r="U87" s="273" t="s">
        <v>61</v>
      </c>
      <c r="V87" s="16">
        <f>IFERROR(VLOOKUP($U87,costs!$A$2:$I$2905,V$2,FALSE),0)</f>
        <v>0</v>
      </c>
      <c r="W87" s="16">
        <f>IFERROR(VLOOKUP($U87,costs!$A$2:$I$2905,W$2,FALSE),0)</f>
        <v>0</v>
      </c>
      <c r="X87" s="16">
        <f>IFERROR(VLOOKUP($U87,costs!$A$2:$I$2905,X$2,FALSE),0)</f>
        <v>0</v>
      </c>
      <c r="Y87" s="16">
        <f>IFERROR(VLOOKUP($U87,costs!$A$2:$I$2905,Y$2,FALSE),0)</f>
        <v>0</v>
      </c>
      <c r="Z87" s="16">
        <f>IFERROR(VLOOKUP($U87,costs!$A$2:$I$2905,Z$2,FALSE),0)</f>
        <v>0</v>
      </c>
      <c r="AA87" s="16">
        <f>IFERROR(VLOOKUP($U87,costs!$A$2:$I$2905,AA$2,FALSE),0)</f>
        <v>0</v>
      </c>
      <c r="AB87" s="16">
        <f>IFERROR(VLOOKUP($U87,costs!$A$2:$I$2905,AB$2,FALSE),0)</f>
        <v>0</v>
      </c>
      <c r="AC87" s="16">
        <f>IFERROR(VLOOKUP($U87,costs!$A$2:$I$2905,AC$2,FALSE),0)</f>
        <v>0</v>
      </c>
      <c r="AE87" s="367" t="s">
        <v>2570</v>
      </c>
      <c r="AF87" s="346">
        <f>IFERROR(VLOOKUP($AE87,costs!$A$2:$I$2905,AF$2,FALSE),0)</f>
        <v>0</v>
      </c>
      <c r="AG87" s="346">
        <f>IFERROR(VLOOKUP($AE87,costs!$A$2:$I$2905,AG$2,FALSE),0)</f>
        <v>0</v>
      </c>
      <c r="AH87" s="346">
        <f>IFERROR(VLOOKUP($AE87,costs!$A$2:$I$2905,AH$2,FALSE),0)</f>
        <v>0</v>
      </c>
      <c r="AI87" s="346">
        <f>IFERROR(VLOOKUP($AE87,costs!$A$2:$I$2905,AI$2,FALSE),0)</f>
        <v>0</v>
      </c>
      <c r="AJ87" s="346">
        <f>IFERROR(VLOOKUP($AE87,costs!$A$2:$I$2905,AJ$2,FALSE),0)</f>
        <v>0</v>
      </c>
      <c r="AK87" s="346">
        <f>IFERROR(VLOOKUP($AE87,costs!$A$2:$I$2905,AK$2,FALSE),0)</f>
        <v>0</v>
      </c>
      <c r="AL87" s="346">
        <f>IFERROR(VLOOKUP($AE87,costs!$A$2:$I$2905,AL$2,FALSE),0)</f>
        <v>0</v>
      </c>
      <c r="AM87" s="346">
        <f>IFERROR(VLOOKUP($AE87,costs!$A$2:$I$2905,AM$2,FALSE),0)</f>
        <v>0</v>
      </c>
      <c r="AO87" s="273" t="s">
        <v>2456</v>
      </c>
      <c r="AP87" s="346">
        <f>IFERROR(VLOOKUP($AO87,costs!$A$2:$I$2905,AP$2,FALSE),0)</f>
        <v>0</v>
      </c>
      <c r="AQ87" s="346">
        <f>IFERROR(VLOOKUP($AO87,costs!$A$2:$I$2905,AQ$2,FALSE),0)</f>
        <v>0</v>
      </c>
      <c r="AR87" s="346">
        <f>IFERROR(VLOOKUP($AO87,costs!$A$2:$I$2905,AR$2,FALSE),0)</f>
        <v>0</v>
      </c>
      <c r="AS87" s="346">
        <f>IFERROR(VLOOKUP($AO87,costs!$A$2:$I$2905,AS$2,FALSE),0)</f>
        <v>0</v>
      </c>
      <c r="AT87" s="346">
        <f>IFERROR(VLOOKUP($AO87,costs!$A$2:$I$2905,AT$2,FALSE),0)</f>
        <v>0</v>
      </c>
      <c r="AU87" s="346">
        <f>IFERROR(VLOOKUP($AO87,costs!$A$2:$I$2905,AU$2,FALSE),0)</f>
        <v>0</v>
      </c>
      <c r="AV87" s="346">
        <f>IFERROR(VLOOKUP($AO87,costs!$A$2:$I$2905,AV$2,FALSE),0)</f>
        <v>0</v>
      </c>
      <c r="AW87" s="346">
        <f>IFERROR(VLOOKUP($AO87,costs!$A$2:$I$2905,AW$2,FALSE),0)</f>
        <v>0</v>
      </c>
      <c r="AY87" s="273" t="s">
        <v>381</v>
      </c>
      <c r="AZ87" s="16">
        <f>IFERROR(VLOOKUP($AY87,costs!$A$2:$I$2905,AZ$2,FALSE),0)</f>
        <v>0</v>
      </c>
      <c r="BA87" s="16">
        <f>IFERROR(VLOOKUP($AY87,costs!$A$2:$I$2905,BA$2,FALSE),0)</f>
        <v>0</v>
      </c>
      <c r="BB87" s="16">
        <f>IFERROR(VLOOKUP($AY87,costs!$A$2:$I$2905,BB$2,FALSE),0)</f>
        <v>0</v>
      </c>
      <c r="BC87" s="16">
        <f>IFERROR(VLOOKUP($AY87,costs!$A$2:$I$2905,BC$2,FALSE),0)</f>
        <v>0</v>
      </c>
      <c r="BD87" s="16">
        <f>IFERROR(VLOOKUP($AY87,costs!$A$2:$I$2905,BD$2,FALSE),0)</f>
        <v>0</v>
      </c>
      <c r="BE87" s="16">
        <f>IFERROR(VLOOKUP($AY87,costs!$A$2:$I$2905,BE$2,FALSE),0)</f>
        <v>0</v>
      </c>
      <c r="BF87" s="16">
        <f>IFERROR(VLOOKUP($AY87,costs!$A$2:$I$2905,BF$2,FALSE),0)</f>
        <v>0</v>
      </c>
      <c r="BG87" s="16">
        <f>IFERROR(VLOOKUP($AY87,costs!$A$2:$I$2905,BG$2,FALSE),0)</f>
        <v>0</v>
      </c>
    </row>
    <row r="88" spans="2:59" x14ac:dyDescent="0.35">
      <c r="B88">
        <f t="shared" ref="B88:I88" si="27">B13</f>
        <v>485495.79375364783</v>
      </c>
      <c r="C88">
        <f t="shared" si="27"/>
        <v>461088.08498807327</v>
      </c>
      <c r="D88">
        <f t="shared" si="27"/>
        <v>443180.6230266405</v>
      </c>
      <c r="E88">
        <f t="shared" si="27"/>
        <v>469305.17189595592</v>
      </c>
      <c r="F88">
        <f t="shared" si="27"/>
        <v>518411.34403812175</v>
      </c>
      <c r="G88">
        <f t="shared" si="27"/>
        <v>515944.89659431123</v>
      </c>
      <c r="H88">
        <f t="shared" si="27"/>
        <v>560684.48622995848</v>
      </c>
      <c r="I88">
        <f t="shared" si="27"/>
        <v>0</v>
      </c>
      <c r="U88" s="272" t="s">
        <v>2063</v>
      </c>
      <c r="V88" s="16">
        <f>IFERROR(VLOOKUP($U88,costs!$A$2:$I$2905,V$2,FALSE),0)</f>
        <v>0</v>
      </c>
      <c r="W88" s="16">
        <f>IFERROR(VLOOKUP($U88,costs!$A$2:$I$2905,W$2,FALSE),0)</f>
        <v>0</v>
      </c>
      <c r="X88" s="16">
        <f>IFERROR(VLOOKUP($U88,costs!$A$2:$I$2905,X$2,FALSE),0)</f>
        <v>0</v>
      </c>
      <c r="Y88" s="16">
        <f>IFERROR(VLOOKUP($U88,costs!$A$2:$I$2905,Y$2,FALSE),0)</f>
        <v>0</v>
      </c>
      <c r="Z88" s="16">
        <f>IFERROR(VLOOKUP($U88,costs!$A$2:$I$2905,Z$2,FALSE),0)</f>
        <v>0</v>
      </c>
      <c r="AA88" s="16">
        <f>IFERROR(VLOOKUP($U88,costs!$A$2:$I$2905,AA$2,FALSE),0)</f>
        <v>0</v>
      </c>
      <c r="AB88" s="16">
        <f>IFERROR(VLOOKUP($U88,costs!$A$2:$I$2905,AB$2,FALSE),0)</f>
        <v>0</v>
      </c>
      <c r="AC88" s="16">
        <f>IFERROR(VLOOKUP($U88,costs!$A$2:$I$2905,AC$2,FALSE),0)</f>
        <v>0</v>
      </c>
      <c r="AE88" s="367" t="s">
        <v>2874</v>
      </c>
      <c r="AF88" s="346">
        <f>IFERROR(VLOOKUP($AE88,costs!$A$2:$I$2905,AF$2,FALSE),0)</f>
        <v>0</v>
      </c>
      <c r="AG88" s="346">
        <f>IFERROR(VLOOKUP($AE88,costs!$A$2:$I$2905,AG$2,FALSE),0)</f>
        <v>0</v>
      </c>
      <c r="AH88" s="346">
        <f>IFERROR(VLOOKUP($AE88,costs!$A$2:$I$2905,AH$2,FALSE),0)</f>
        <v>0</v>
      </c>
      <c r="AI88" s="346">
        <f>IFERROR(VLOOKUP($AE88,costs!$A$2:$I$2905,AI$2,FALSE),0)</f>
        <v>0</v>
      </c>
      <c r="AJ88" s="346">
        <f>IFERROR(VLOOKUP($AE88,costs!$A$2:$I$2905,AJ$2,FALSE),0)</f>
        <v>0</v>
      </c>
      <c r="AK88" s="346">
        <f>IFERROR(VLOOKUP($AE88,costs!$A$2:$I$2905,AK$2,FALSE),0)</f>
        <v>0</v>
      </c>
      <c r="AL88" s="346">
        <f>IFERROR(VLOOKUP($AE88,costs!$A$2:$I$2905,AL$2,FALSE),0)</f>
        <v>0</v>
      </c>
      <c r="AM88" s="346">
        <f>IFERROR(VLOOKUP($AE88,costs!$A$2:$I$2905,AM$2,FALSE),0)</f>
        <v>0</v>
      </c>
      <c r="AO88" s="278" t="s">
        <v>2182</v>
      </c>
      <c r="AP88" s="168">
        <f t="shared" ref="AP88:AW88" si="28">SUM(AP37:AP87)</f>
        <v>0</v>
      </c>
      <c r="AQ88" s="168">
        <f t="shared" si="28"/>
        <v>0</v>
      </c>
      <c r="AR88" s="168">
        <f t="shared" si="28"/>
        <v>0</v>
      </c>
      <c r="AS88" s="168">
        <f t="shared" si="28"/>
        <v>0</v>
      </c>
      <c r="AT88" s="168">
        <f t="shared" si="28"/>
        <v>0</v>
      </c>
      <c r="AU88" s="168">
        <f t="shared" si="28"/>
        <v>0</v>
      </c>
      <c r="AV88" s="168">
        <f t="shared" si="28"/>
        <v>0</v>
      </c>
      <c r="AW88" s="168">
        <f t="shared" si="28"/>
        <v>0</v>
      </c>
      <c r="AY88" s="272" t="s">
        <v>2129</v>
      </c>
      <c r="AZ88" s="16">
        <f>IFERROR(VLOOKUP($AY88,costs!$A$2:$I$2905,AZ$2,FALSE),0)</f>
        <v>0</v>
      </c>
      <c r="BA88" s="16">
        <f>IFERROR(VLOOKUP($AY88,costs!$A$2:$I$2905,BA$2,FALSE),0)</f>
        <v>0</v>
      </c>
      <c r="BB88" s="16">
        <f>IFERROR(VLOOKUP($AY88,costs!$A$2:$I$2905,BB$2,FALSE),0)</f>
        <v>0</v>
      </c>
      <c r="BC88" s="16">
        <f>IFERROR(VLOOKUP($AY88,costs!$A$2:$I$2905,BC$2,FALSE),0)</f>
        <v>0</v>
      </c>
      <c r="BD88" s="16">
        <f>IFERROR(VLOOKUP($AY88,costs!$A$2:$I$2905,BD$2,FALSE),0)</f>
        <v>0</v>
      </c>
      <c r="BE88" s="16">
        <f>IFERROR(VLOOKUP($AY88,costs!$A$2:$I$2905,BE$2,FALSE),0)</f>
        <v>0</v>
      </c>
      <c r="BF88" s="16">
        <f>IFERROR(VLOOKUP($AY88,costs!$A$2:$I$2905,BF$2,FALSE),0)</f>
        <v>0</v>
      </c>
      <c r="BG88" s="16">
        <f>IFERROR(VLOOKUP($AY88,costs!$A$2:$I$2905,BG$2,FALSE),0)</f>
        <v>0</v>
      </c>
    </row>
    <row r="89" spans="2:59" x14ac:dyDescent="0.35">
      <c r="B89" t="str">
        <f t="shared" ref="B89:I89" si="29">B14</f>
        <v>Abs. Deviation</v>
      </c>
      <c r="C89">
        <f t="shared" si="29"/>
        <v>2020</v>
      </c>
      <c r="D89">
        <f t="shared" si="29"/>
        <v>2025</v>
      </c>
      <c r="E89">
        <f t="shared" si="29"/>
        <v>2030</v>
      </c>
      <c r="F89">
        <f t="shared" si="29"/>
        <v>2035</v>
      </c>
      <c r="G89">
        <f t="shared" si="29"/>
        <v>2040</v>
      </c>
      <c r="H89">
        <f t="shared" si="29"/>
        <v>2045</v>
      </c>
      <c r="I89">
        <f t="shared" si="29"/>
        <v>2050</v>
      </c>
      <c r="U89" s="273" t="s">
        <v>1</v>
      </c>
      <c r="V89" s="16">
        <f>IFERROR(VLOOKUP($U89,costs!$A$2:$I$2905,V$2,FALSE),0)</f>
        <v>0</v>
      </c>
      <c r="W89" s="16">
        <f>IFERROR(VLOOKUP($U89,costs!$A$2:$I$2905,W$2,FALSE),0)</f>
        <v>0</v>
      </c>
      <c r="X89" s="16">
        <f>IFERROR(VLOOKUP($U89,costs!$A$2:$I$2905,X$2,FALSE),0)</f>
        <v>0</v>
      </c>
      <c r="Y89" s="16">
        <f>IFERROR(VLOOKUP($U89,costs!$A$2:$I$2905,Y$2,FALSE),0)</f>
        <v>0</v>
      </c>
      <c r="Z89" s="16">
        <f>IFERROR(VLOOKUP($U89,costs!$A$2:$I$2905,Z$2,FALSE),0)</f>
        <v>0</v>
      </c>
      <c r="AA89" s="16">
        <f>IFERROR(VLOOKUP($U89,costs!$A$2:$I$2905,AA$2,FALSE),0)</f>
        <v>0</v>
      </c>
      <c r="AB89" s="16">
        <f>IFERROR(VLOOKUP($U89,costs!$A$2:$I$2905,AB$2,FALSE),0)</f>
        <v>0</v>
      </c>
      <c r="AC89" s="16">
        <f>IFERROR(VLOOKUP($U89,costs!$A$2:$I$2905,AC$2,FALSE),0)</f>
        <v>0</v>
      </c>
      <c r="AE89" s="367" t="s">
        <v>2830</v>
      </c>
      <c r="AF89" s="346">
        <f>IFERROR(VLOOKUP($AE89,costs!$A$2:$I$2905,AF$2,FALSE),0)</f>
        <v>0</v>
      </c>
      <c r="AG89" s="346">
        <f>IFERROR(VLOOKUP($AE89,costs!$A$2:$I$2905,AG$2,FALSE),0)</f>
        <v>0</v>
      </c>
      <c r="AH89" s="346">
        <f>IFERROR(VLOOKUP($AE89,costs!$A$2:$I$2905,AH$2,FALSE),0)</f>
        <v>0</v>
      </c>
      <c r="AI89" s="346">
        <f>IFERROR(VLOOKUP($AE89,costs!$A$2:$I$2905,AI$2,FALSE),0)</f>
        <v>0</v>
      </c>
      <c r="AJ89" s="346">
        <f>IFERROR(VLOOKUP($AE89,costs!$A$2:$I$2905,AJ$2,FALSE),0)</f>
        <v>0</v>
      </c>
      <c r="AK89" s="346">
        <f>IFERROR(VLOOKUP($AE89,costs!$A$2:$I$2905,AK$2,FALSE),0)</f>
        <v>0</v>
      </c>
      <c r="AL89" s="346">
        <f>IFERROR(VLOOKUP($AE89,costs!$A$2:$I$2905,AL$2,FALSE),0)</f>
        <v>0</v>
      </c>
      <c r="AM89" s="346">
        <f>IFERROR(VLOOKUP($AE89,costs!$A$2:$I$2905,AM$2,FALSE),0)</f>
        <v>0</v>
      </c>
      <c r="AO89" s="275" t="s">
        <v>2181</v>
      </c>
      <c r="AP89" s="16"/>
      <c r="AQ89" s="16"/>
      <c r="AR89" s="16"/>
      <c r="AS89" s="16"/>
      <c r="AT89" s="16"/>
      <c r="AU89" s="16"/>
      <c r="AV89" s="16"/>
      <c r="AW89" s="16"/>
      <c r="AY89" s="273" t="s">
        <v>382</v>
      </c>
      <c r="AZ89" s="16">
        <f>IFERROR(VLOOKUP($AY89,costs!$A$2:$I$2905,AZ$2,FALSE),0)</f>
        <v>0</v>
      </c>
      <c r="BA89" s="16">
        <f>IFERROR(VLOOKUP($AY89,costs!$A$2:$I$2905,BA$2,FALSE),0)</f>
        <v>0</v>
      </c>
      <c r="BB89" s="16">
        <f>IFERROR(VLOOKUP($AY89,costs!$A$2:$I$2905,BB$2,FALSE),0)</f>
        <v>0</v>
      </c>
      <c r="BC89" s="16">
        <f>IFERROR(VLOOKUP($AY89,costs!$A$2:$I$2905,BC$2,FALSE),0)</f>
        <v>0</v>
      </c>
      <c r="BD89" s="16">
        <f>IFERROR(VLOOKUP($AY89,costs!$A$2:$I$2905,BD$2,FALSE),0)</f>
        <v>0</v>
      </c>
      <c r="BE89" s="16">
        <f>IFERROR(VLOOKUP($AY89,costs!$A$2:$I$2905,BE$2,FALSE),0)</f>
        <v>0</v>
      </c>
      <c r="BF89" s="16">
        <f>IFERROR(VLOOKUP($AY89,costs!$A$2:$I$2905,BF$2,FALSE),0)</f>
        <v>0</v>
      </c>
      <c r="BG89" s="16">
        <f>IFERROR(VLOOKUP($AY89,costs!$A$2:$I$2905,BG$2,FALSE),0)</f>
        <v>0</v>
      </c>
    </row>
    <row r="90" spans="2:59" x14ac:dyDescent="0.35">
      <c r="B90" s="341" t="s">
        <v>1165</v>
      </c>
      <c r="C90">
        <f t="shared" ref="C90:I90" si="30">C15</f>
        <v>0</v>
      </c>
      <c r="D90">
        <f t="shared" si="30"/>
        <v>0</v>
      </c>
      <c r="E90">
        <f t="shared" si="30"/>
        <v>0</v>
      </c>
      <c r="F90">
        <f t="shared" si="30"/>
        <v>0</v>
      </c>
      <c r="G90">
        <f t="shared" si="30"/>
        <v>0</v>
      </c>
      <c r="H90">
        <f t="shared" si="30"/>
        <v>0</v>
      </c>
      <c r="I90">
        <f t="shared" si="30"/>
        <v>175692.89018479298</v>
      </c>
      <c r="U90" s="272" t="s">
        <v>62</v>
      </c>
      <c r="V90" s="16">
        <f>IFERROR(VLOOKUP($U90,costs!$A$2:$I$2905,V$2,FALSE),0)</f>
        <v>0</v>
      </c>
      <c r="W90" s="16">
        <f>IFERROR(VLOOKUP($U90,costs!$A$2:$I$2905,W$2,FALSE),0)</f>
        <v>0</v>
      </c>
      <c r="X90" s="16">
        <f>IFERROR(VLOOKUP($U90,costs!$A$2:$I$2905,X$2,FALSE),0)</f>
        <v>0</v>
      </c>
      <c r="Y90" s="16">
        <f>IFERROR(VLOOKUP($U90,costs!$A$2:$I$2905,Y$2,FALSE),0)</f>
        <v>0</v>
      </c>
      <c r="Z90" s="16">
        <f>IFERROR(VLOOKUP($U90,costs!$A$2:$I$2905,Z$2,FALSE),0)</f>
        <v>0</v>
      </c>
      <c r="AA90" s="16">
        <f>IFERROR(VLOOKUP($U90,costs!$A$2:$I$2905,AA$2,FALSE),0)</f>
        <v>0</v>
      </c>
      <c r="AB90" s="16">
        <f>IFERROR(VLOOKUP($U90,costs!$A$2:$I$2905,AB$2,FALSE),0)</f>
        <v>0</v>
      </c>
      <c r="AC90" s="16">
        <f>IFERROR(VLOOKUP($U90,costs!$A$2:$I$2905,AC$2,FALSE),0)</f>
        <v>0</v>
      </c>
      <c r="AE90" s="367" t="s">
        <v>3999</v>
      </c>
      <c r="AF90" s="346">
        <f>IFERROR(VLOOKUP($AE90,costs!$A$2:$I$2905,AF$2,FALSE),0)</f>
        <v>0</v>
      </c>
      <c r="AG90" s="346">
        <f>IFERROR(VLOOKUP($AE90,costs!$A$2:$I$2905,AG$2,FALSE),0)</f>
        <v>0</v>
      </c>
      <c r="AH90" s="346">
        <f>IFERROR(VLOOKUP($AE90,costs!$A$2:$I$2905,AH$2,FALSE),0)</f>
        <v>0</v>
      </c>
      <c r="AI90" s="346">
        <f>IFERROR(VLOOKUP($AE90,costs!$A$2:$I$2905,AI$2,FALSE),0)</f>
        <v>0</v>
      </c>
      <c r="AJ90" s="346">
        <f>IFERROR(VLOOKUP($AE90,costs!$A$2:$I$2905,AJ$2,FALSE),0)</f>
        <v>0</v>
      </c>
      <c r="AK90" s="346">
        <f>IFERROR(VLOOKUP($AE90,costs!$A$2:$I$2905,AK$2,FALSE),0)</f>
        <v>0</v>
      </c>
      <c r="AL90" s="346">
        <f>IFERROR(VLOOKUP($AE90,costs!$A$2:$I$2905,AL$2,FALSE),0)</f>
        <v>0</v>
      </c>
      <c r="AM90" s="346">
        <f>IFERROR(VLOOKUP($AE90,costs!$A$2:$I$2905,AM$2,FALSE),0)</f>
        <v>0</v>
      </c>
      <c r="AO90" s="40" t="s">
        <v>15</v>
      </c>
      <c r="AP90" s="16">
        <f>IFERROR(VLOOKUP($AO90,costs!$A$2:$I$2905,AP$2,FALSE),0)</f>
        <v>0</v>
      </c>
      <c r="AQ90" s="16">
        <f>IFERROR(VLOOKUP($AO90,costs!$A$2:$I$2905,AQ$2,FALSE),0)</f>
        <v>0</v>
      </c>
      <c r="AR90" s="16">
        <f>IFERROR(VLOOKUP($AO90,costs!$A$2:$I$2905,AR$2,FALSE),0)</f>
        <v>0</v>
      </c>
      <c r="AS90" s="16">
        <f>IFERROR(VLOOKUP($AO90,costs!$A$2:$I$2905,AS$2,FALSE),0)</f>
        <v>0</v>
      </c>
      <c r="AT90" s="16">
        <f>IFERROR(VLOOKUP($AO90,costs!$A$2:$I$2905,AT$2,FALSE),0)</f>
        <v>0</v>
      </c>
      <c r="AU90" s="16">
        <f>IFERROR(VLOOKUP($AO90,costs!$A$2:$I$2905,AU$2,FALSE),0)</f>
        <v>0</v>
      </c>
      <c r="AV90" s="16">
        <f>IFERROR(VLOOKUP($AO90,costs!$A$2:$I$2905,AV$2,FALSE),0)</f>
        <v>0</v>
      </c>
      <c r="AW90" s="16">
        <f>IFERROR(VLOOKUP($AO90,costs!$A$2:$I$2905,AW$2,FALSE),0)</f>
        <v>0</v>
      </c>
      <c r="AY90" s="272" t="s">
        <v>2130</v>
      </c>
      <c r="AZ90" s="16">
        <f>IFERROR(VLOOKUP($AY90,costs!$A$2:$I$2905,AZ$2,FALSE),0)</f>
        <v>0</v>
      </c>
      <c r="BA90" s="16">
        <f>IFERROR(VLOOKUP($AY90,costs!$A$2:$I$2905,BA$2,FALSE),0)</f>
        <v>0</v>
      </c>
      <c r="BB90" s="16">
        <f>IFERROR(VLOOKUP($AY90,costs!$A$2:$I$2905,BB$2,FALSE),0)</f>
        <v>0</v>
      </c>
      <c r="BC90" s="16">
        <f>IFERROR(VLOOKUP($AY90,costs!$A$2:$I$2905,BC$2,FALSE),0)</f>
        <v>0</v>
      </c>
      <c r="BD90" s="16">
        <f>IFERROR(VLOOKUP($AY90,costs!$A$2:$I$2905,BD$2,FALSE),0)</f>
        <v>0</v>
      </c>
      <c r="BE90" s="16">
        <f>IFERROR(VLOOKUP($AY90,costs!$A$2:$I$2905,BE$2,FALSE),0)</f>
        <v>0</v>
      </c>
      <c r="BF90" s="16">
        <f>IFERROR(VLOOKUP($AY90,costs!$A$2:$I$2905,BF$2,FALSE),0)</f>
        <v>0</v>
      </c>
      <c r="BG90" s="16">
        <f>IFERROR(VLOOKUP($AY90,costs!$A$2:$I$2905,BG$2,FALSE),0)</f>
        <v>0</v>
      </c>
    </row>
    <row r="91" spans="2:59" x14ac:dyDescent="0.35">
      <c r="B91" s="341" t="s">
        <v>1528</v>
      </c>
      <c r="C91">
        <f t="shared" ref="C91:I91" si="31">C16</f>
        <v>0</v>
      </c>
      <c r="D91" t="e">
        <f t="shared" si="31"/>
        <v>#N/A</v>
      </c>
      <c r="E91" t="e">
        <f t="shared" si="31"/>
        <v>#N/A</v>
      </c>
      <c r="F91" t="e">
        <f t="shared" si="31"/>
        <v>#N/A</v>
      </c>
      <c r="G91" t="e">
        <f t="shared" si="31"/>
        <v>#N/A</v>
      </c>
      <c r="H91" t="e">
        <f t="shared" si="31"/>
        <v>#N/A</v>
      </c>
      <c r="I91" t="e">
        <f t="shared" si="31"/>
        <v>#N/A</v>
      </c>
      <c r="U91" s="273" t="s">
        <v>63</v>
      </c>
      <c r="V91" s="16">
        <f>IFERROR(VLOOKUP($U91,costs!$A$2:$I$2905,V$2,FALSE),0)</f>
        <v>0</v>
      </c>
      <c r="W91" s="16">
        <f>IFERROR(VLOOKUP($U91,costs!$A$2:$I$2905,W$2,FALSE),0)</f>
        <v>0</v>
      </c>
      <c r="X91" s="16">
        <f>IFERROR(VLOOKUP($U91,costs!$A$2:$I$2905,X$2,FALSE),0)</f>
        <v>0</v>
      </c>
      <c r="Y91" s="16">
        <f>IFERROR(VLOOKUP($U91,costs!$A$2:$I$2905,Y$2,FALSE),0)</f>
        <v>0</v>
      </c>
      <c r="Z91" s="16">
        <f>IFERROR(VLOOKUP($U91,costs!$A$2:$I$2905,Z$2,FALSE),0)</f>
        <v>0</v>
      </c>
      <c r="AA91" s="16">
        <f>IFERROR(VLOOKUP($U91,costs!$A$2:$I$2905,AA$2,FALSE),0)</f>
        <v>0</v>
      </c>
      <c r="AB91" s="16">
        <f>IFERROR(VLOOKUP($U91,costs!$A$2:$I$2905,AB$2,FALSE),0)</f>
        <v>0</v>
      </c>
      <c r="AC91" s="16">
        <f>IFERROR(VLOOKUP($U91,costs!$A$2:$I$2905,AC$2,FALSE),0)</f>
        <v>0</v>
      </c>
      <c r="AE91" s="367" t="s">
        <v>4000</v>
      </c>
      <c r="AF91" s="346">
        <f>IFERROR(VLOOKUP($AE91,costs!$A$2:$I$2905,AF$2,FALSE),0)</f>
        <v>0</v>
      </c>
      <c r="AG91" s="346">
        <f>IFERROR(VLOOKUP($AE91,costs!$A$2:$I$2905,AG$2,FALSE),0)</f>
        <v>0</v>
      </c>
      <c r="AH91" s="346">
        <f>IFERROR(VLOOKUP($AE91,costs!$A$2:$I$2905,AH$2,FALSE),0)</f>
        <v>0</v>
      </c>
      <c r="AI91" s="346">
        <f>IFERROR(VLOOKUP($AE91,costs!$A$2:$I$2905,AI$2,FALSE),0)</f>
        <v>0</v>
      </c>
      <c r="AJ91" s="346">
        <f>IFERROR(VLOOKUP($AE91,costs!$A$2:$I$2905,AJ$2,FALSE),0)</f>
        <v>0</v>
      </c>
      <c r="AK91" s="346">
        <f>IFERROR(VLOOKUP($AE91,costs!$A$2:$I$2905,AK$2,FALSE),0)</f>
        <v>0</v>
      </c>
      <c r="AL91" s="346">
        <f>IFERROR(VLOOKUP($AE91,costs!$A$2:$I$2905,AL$2,FALSE),0)</f>
        <v>0</v>
      </c>
      <c r="AM91" s="346">
        <f>IFERROR(VLOOKUP($AE91,costs!$A$2:$I$2905,AM$2,FALSE),0)</f>
        <v>0</v>
      </c>
      <c r="AO91" s="40" t="s">
        <v>295</v>
      </c>
      <c r="AP91" s="16">
        <f>IFERROR(VLOOKUP($AO91,costs!$A$2:$I$2905,AP$2,FALSE),0)</f>
        <v>0</v>
      </c>
      <c r="AQ91" s="16">
        <f>IFERROR(VLOOKUP($AO91,costs!$A$2:$I$2905,AQ$2,FALSE),0)</f>
        <v>0</v>
      </c>
      <c r="AR91" s="16">
        <f>IFERROR(VLOOKUP($AO91,costs!$A$2:$I$2905,AR$2,FALSE),0)</f>
        <v>0</v>
      </c>
      <c r="AS91" s="16">
        <f>IFERROR(VLOOKUP($AO91,costs!$A$2:$I$2905,AS$2,FALSE),0)</f>
        <v>0</v>
      </c>
      <c r="AT91" s="16">
        <f>IFERROR(VLOOKUP($AO91,costs!$A$2:$I$2905,AT$2,FALSE),0)</f>
        <v>0</v>
      </c>
      <c r="AU91" s="16">
        <f>IFERROR(VLOOKUP($AO91,costs!$A$2:$I$2905,AU$2,FALSE),0)</f>
        <v>0</v>
      </c>
      <c r="AV91" s="16">
        <f>IFERROR(VLOOKUP($AO91,costs!$A$2:$I$2905,AV$2,FALSE),0)</f>
        <v>0</v>
      </c>
      <c r="AW91" s="16">
        <f>IFERROR(VLOOKUP($AO91,costs!$A$2:$I$2905,AW$2,FALSE),0)</f>
        <v>0</v>
      </c>
      <c r="AY91" s="273" t="s">
        <v>529</v>
      </c>
      <c r="AZ91" s="16">
        <f>IFERROR(VLOOKUP($AY91,costs!$A$2:$I$2905,AZ$2,FALSE),0)</f>
        <v>0</v>
      </c>
      <c r="BA91" s="16">
        <f>IFERROR(VLOOKUP($AY91,costs!$A$2:$I$2905,BA$2,FALSE),0)</f>
        <v>0</v>
      </c>
      <c r="BB91" s="16">
        <f>IFERROR(VLOOKUP($AY91,costs!$A$2:$I$2905,BB$2,FALSE),0)</f>
        <v>0</v>
      </c>
      <c r="BC91" s="16">
        <f>IFERROR(VLOOKUP($AY91,costs!$A$2:$I$2905,BC$2,FALSE),0)</f>
        <v>0</v>
      </c>
      <c r="BD91" s="16">
        <f>IFERROR(VLOOKUP($AY91,costs!$A$2:$I$2905,BD$2,FALSE),0)</f>
        <v>0</v>
      </c>
      <c r="BE91" s="16">
        <f>IFERROR(VLOOKUP($AY91,costs!$A$2:$I$2905,BE$2,FALSE),0)</f>
        <v>0</v>
      </c>
      <c r="BF91" s="16">
        <f>IFERROR(VLOOKUP($AY91,costs!$A$2:$I$2905,BF$2,FALSE),0)</f>
        <v>0</v>
      </c>
      <c r="BG91" s="16">
        <f>IFERROR(VLOOKUP($AY91,costs!$A$2:$I$2905,BG$2,FALSE),0)</f>
        <v>0</v>
      </c>
    </row>
    <row r="92" spans="2:59" x14ac:dyDescent="0.35">
      <c r="B92" s="341" t="s">
        <v>1468</v>
      </c>
      <c r="C92">
        <f t="shared" ref="C92:I92" si="32">C17</f>
        <v>0</v>
      </c>
      <c r="D92" t="e">
        <f t="shared" si="32"/>
        <v>#N/A</v>
      </c>
      <c r="E92" t="e">
        <f t="shared" si="32"/>
        <v>#N/A</v>
      </c>
      <c r="F92" t="e">
        <f t="shared" si="32"/>
        <v>#N/A</v>
      </c>
      <c r="G92" t="e">
        <f t="shared" si="32"/>
        <v>#N/A</v>
      </c>
      <c r="H92" t="e">
        <f t="shared" si="32"/>
        <v>#N/A</v>
      </c>
      <c r="I92" t="e">
        <f t="shared" si="32"/>
        <v>#N/A</v>
      </c>
      <c r="U92" s="272" t="s">
        <v>2064</v>
      </c>
      <c r="V92" s="16">
        <f>IFERROR(VLOOKUP($U92,costs!$A$2:$I$2905,V$2,FALSE),0)</f>
        <v>0</v>
      </c>
      <c r="W92" s="16">
        <f>IFERROR(VLOOKUP($U92,costs!$A$2:$I$2905,W$2,FALSE),0)</f>
        <v>0</v>
      </c>
      <c r="X92" s="16">
        <f>IFERROR(VLOOKUP($U92,costs!$A$2:$I$2905,X$2,FALSE),0)</f>
        <v>0</v>
      </c>
      <c r="Y92" s="16">
        <f>IFERROR(VLOOKUP($U92,costs!$A$2:$I$2905,Y$2,FALSE),0)</f>
        <v>0</v>
      </c>
      <c r="Z92" s="16">
        <f>IFERROR(VLOOKUP($U92,costs!$A$2:$I$2905,Z$2,FALSE),0)</f>
        <v>0</v>
      </c>
      <c r="AA92" s="16">
        <f>IFERROR(VLOOKUP($U92,costs!$A$2:$I$2905,AA$2,FALSE),0)</f>
        <v>0</v>
      </c>
      <c r="AB92" s="16">
        <f>IFERROR(VLOOKUP($U92,costs!$A$2:$I$2905,AB$2,FALSE),0)</f>
        <v>0</v>
      </c>
      <c r="AC92" s="16">
        <f>IFERROR(VLOOKUP($U92,costs!$A$2:$I$2905,AC$2,FALSE),0)</f>
        <v>0</v>
      </c>
      <c r="AE92" s="367" t="s">
        <v>3926</v>
      </c>
      <c r="AF92" s="346">
        <f>IFERROR(VLOOKUP($AE92,costs!$A$2:$I$2905,AF$2,FALSE),0)</f>
        <v>0</v>
      </c>
      <c r="AG92" s="346">
        <f>IFERROR(VLOOKUP($AE92,costs!$A$2:$I$2905,AG$2,FALSE),0)</f>
        <v>0</v>
      </c>
      <c r="AH92" s="346">
        <f>IFERROR(VLOOKUP($AE92,costs!$A$2:$I$2905,AH$2,FALSE),0)</f>
        <v>0</v>
      </c>
      <c r="AI92" s="346">
        <f>IFERROR(VLOOKUP($AE92,costs!$A$2:$I$2905,AI$2,FALSE),0)</f>
        <v>0</v>
      </c>
      <c r="AJ92" s="346">
        <f>IFERROR(VLOOKUP($AE92,costs!$A$2:$I$2905,AJ$2,FALSE),0)</f>
        <v>0</v>
      </c>
      <c r="AK92" s="346">
        <f>IFERROR(VLOOKUP($AE92,costs!$A$2:$I$2905,AK$2,FALSE),0)</f>
        <v>0</v>
      </c>
      <c r="AL92" s="346">
        <f>IFERROR(VLOOKUP($AE92,costs!$A$2:$I$2905,AL$2,FALSE),0)</f>
        <v>0</v>
      </c>
      <c r="AM92" s="346">
        <f>IFERROR(VLOOKUP($AE92,costs!$A$2:$I$2905,AM$2,FALSE),0)</f>
        <v>0</v>
      </c>
      <c r="AO92" s="273" t="s">
        <v>2093</v>
      </c>
      <c r="AP92" s="16">
        <f>IFERROR(VLOOKUP($AO92,costs!$A$2:$I$2905,AP$2,FALSE),0)</f>
        <v>0</v>
      </c>
      <c r="AQ92" s="16">
        <f>IFERROR(VLOOKUP($AO92,costs!$A$2:$I$2905,AQ$2,FALSE),0)</f>
        <v>0</v>
      </c>
      <c r="AR92" s="16">
        <f>IFERROR(VLOOKUP($AO92,costs!$A$2:$I$2905,AR$2,FALSE),0)</f>
        <v>0</v>
      </c>
      <c r="AS92" s="16">
        <f>IFERROR(VLOOKUP($AO92,costs!$A$2:$I$2905,AS$2,FALSE),0)</f>
        <v>0</v>
      </c>
      <c r="AT92" s="16">
        <f>IFERROR(VLOOKUP($AO92,costs!$A$2:$I$2905,AT$2,FALSE),0)</f>
        <v>0</v>
      </c>
      <c r="AU92" s="16">
        <f>IFERROR(VLOOKUP($AO92,costs!$A$2:$I$2905,AU$2,FALSE),0)</f>
        <v>0</v>
      </c>
      <c r="AV92" s="16">
        <f>IFERROR(VLOOKUP($AO92,costs!$A$2:$I$2905,AV$2,FALSE),0)</f>
        <v>0</v>
      </c>
      <c r="AW92" s="16">
        <f>IFERROR(VLOOKUP($AO92,costs!$A$2:$I$2905,AW$2,FALSE),0)</f>
        <v>0</v>
      </c>
      <c r="AY92" s="272" t="s">
        <v>2131</v>
      </c>
      <c r="AZ92" s="16">
        <f>IFERROR(VLOOKUP($AY92,costs!$A$2:$I$2905,AZ$2,FALSE),0)</f>
        <v>0</v>
      </c>
      <c r="BA92" s="16">
        <f>IFERROR(VLOOKUP($AY92,costs!$A$2:$I$2905,BA$2,FALSE),0)</f>
        <v>0</v>
      </c>
      <c r="BB92" s="16">
        <f>IFERROR(VLOOKUP($AY92,costs!$A$2:$I$2905,BB$2,FALSE),0)</f>
        <v>0</v>
      </c>
      <c r="BC92" s="16">
        <f>IFERROR(VLOOKUP($AY92,costs!$A$2:$I$2905,BC$2,FALSE),0)</f>
        <v>0</v>
      </c>
      <c r="BD92" s="16">
        <f>IFERROR(VLOOKUP($AY92,costs!$A$2:$I$2905,BD$2,FALSE),0)</f>
        <v>0</v>
      </c>
      <c r="BE92" s="16">
        <f>IFERROR(VLOOKUP($AY92,costs!$A$2:$I$2905,BE$2,FALSE),0)</f>
        <v>0</v>
      </c>
      <c r="BF92" s="16">
        <f>IFERROR(VLOOKUP($AY92,costs!$A$2:$I$2905,BF$2,FALSE),0)</f>
        <v>0</v>
      </c>
      <c r="BG92" s="16">
        <f>IFERROR(VLOOKUP($AY92,costs!$A$2:$I$2905,BG$2,FALSE),0)</f>
        <v>0</v>
      </c>
    </row>
    <row r="93" spans="2:59" x14ac:dyDescent="0.35">
      <c r="B93" s="341" t="s">
        <v>2289</v>
      </c>
      <c r="C93">
        <f t="shared" ref="C93:I93" si="33">C18</f>
        <v>0</v>
      </c>
      <c r="D93">
        <f t="shared" si="33"/>
        <v>0</v>
      </c>
      <c r="E93">
        <f t="shared" si="33"/>
        <v>0</v>
      </c>
      <c r="F93">
        <f t="shared" si="33"/>
        <v>0</v>
      </c>
      <c r="G93">
        <f t="shared" si="33"/>
        <v>0</v>
      </c>
      <c r="H93">
        <f t="shared" si="33"/>
        <v>0</v>
      </c>
      <c r="I93">
        <f t="shared" si="33"/>
        <v>83174.148161641409</v>
      </c>
      <c r="U93" s="273" t="s">
        <v>2</v>
      </c>
      <c r="V93" s="16">
        <f>IFERROR(VLOOKUP($U93,costs!$A$2:$I$2905,V$2,FALSE),0)</f>
        <v>0</v>
      </c>
      <c r="W93" s="16">
        <f>IFERROR(VLOOKUP($U93,costs!$A$2:$I$2905,W$2,FALSE),0)</f>
        <v>0</v>
      </c>
      <c r="X93" s="16">
        <f>IFERROR(VLOOKUP($U93,costs!$A$2:$I$2905,X$2,FALSE),0)</f>
        <v>0</v>
      </c>
      <c r="Y93" s="16">
        <f>IFERROR(VLOOKUP($U93,costs!$A$2:$I$2905,Y$2,FALSE),0)</f>
        <v>0</v>
      </c>
      <c r="Z93" s="16">
        <f>IFERROR(VLOOKUP($U93,costs!$A$2:$I$2905,Z$2,FALSE),0)</f>
        <v>0</v>
      </c>
      <c r="AA93" s="16">
        <f>IFERROR(VLOOKUP($U93,costs!$A$2:$I$2905,AA$2,FALSE),0)</f>
        <v>0</v>
      </c>
      <c r="AB93" s="16">
        <f>IFERROR(VLOOKUP($U93,costs!$A$2:$I$2905,AB$2,FALSE),0)</f>
        <v>0</v>
      </c>
      <c r="AC93" s="16">
        <f>IFERROR(VLOOKUP($U93,costs!$A$2:$I$2905,AC$2,FALSE),0)</f>
        <v>0</v>
      </c>
      <c r="AE93" s="367" t="s">
        <v>4137</v>
      </c>
      <c r="AF93" s="346">
        <f>IFERROR(VLOOKUP($AE93,costs!$A$2:$I$2905,AF$2,FALSE),0)</f>
        <v>0</v>
      </c>
      <c r="AG93" s="346">
        <f>IFERROR(VLOOKUP($AE93,costs!$A$2:$I$2905,AG$2,FALSE),0)</f>
        <v>0</v>
      </c>
      <c r="AH93" s="346">
        <f>IFERROR(VLOOKUP($AE93,costs!$A$2:$I$2905,AH$2,FALSE),0)</f>
        <v>0</v>
      </c>
      <c r="AI93" s="346">
        <f>IFERROR(VLOOKUP($AE93,costs!$A$2:$I$2905,AI$2,FALSE),0)</f>
        <v>0</v>
      </c>
      <c r="AJ93" s="346">
        <f>IFERROR(VLOOKUP($AE93,costs!$A$2:$I$2905,AJ$2,FALSE),0)</f>
        <v>0</v>
      </c>
      <c r="AK93" s="346">
        <f>IFERROR(VLOOKUP($AE93,costs!$A$2:$I$2905,AK$2,FALSE),0)</f>
        <v>0</v>
      </c>
      <c r="AL93" s="346">
        <f>IFERROR(VLOOKUP($AE93,costs!$A$2:$I$2905,AL$2,FALSE),0)</f>
        <v>0</v>
      </c>
      <c r="AM93" s="346">
        <f>IFERROR(VLOOKUP($AE93,costs!$A$2:$I$2905,AM$2,FALSE),0)</f>
        <v>0</v>
      </c>
      <c r="AO93" s="272" t="s">
        <v>525</v>
      </c>
      <c r="AP93" s="16">
        <f>IFERROR(VLOOKUP($AO93,costs!$A$2:$I$2905,AP$2,FALSE),0)</f>
        <v>0</v>
      </c>
      <c r="AQ93" s="16">
        <f>IFERROR(VLOOKUP($AO93,costs!$A$2:$I$2905,AQ$2,FALSE),0)</f>
        <v>0</v>
      </c>
      <c r="AR93" s="16">
        <f>IFERROR(VLOOKUP($AO93,costs!$A$2:$I$2905,AR$2,FALSE),0)</f>
        <v>0</v>
      </c>
      <c r="AS93" s="16">
        <f>IFERROR(VLOOKUP($AO93,costs!$A$2:$I$2905,AS$2,FALSE),0)</f>
        <v>0</v>
      </c>
      <c r="AT93" s="16">
        <f>IFERROR(VLOOKUP($AO93,costs!$A$2:$I$2905,AT$2,FALSE),0)</f>
        <v>0</v>
      </c>
      <c r="AU93" s="16">
        <f>IFERROR(VLOOKUP($AO93,costs!$A$2:$I$2905,AU$2,FALSE),0)</f>
        <v>0</v>
      </c>
      <c r="AV93" s="16">
        <f>IFERROR(VLOOKUP($AO93,costs!$A$2:$I$2905,AV$2,FALSE),0)</f>
        <v>0</v>
      </c>
      <c r="AW93" s="16">
        <f>IFERROR(VLOOKUP($AO93,costs!$A$2:$I$2905,AW$2,FALSE),0)</f>
        <v>0</v>
      </c>
      <c r="AY93" s="273" t="s">
        <v>1154</v>
      </c>
      <c r="AZ93" s="16">
        <f>IFERROR(VLOOKUP($AY93,costs!$A$2:$I$2905,AZ$2,FALSE),0)</f>
        <v>0</v>
      </c>
      <c r="BA93" s="16">
        <f>IFERROR(VLOOKUP($AY93,costs!$A$2:$I$2905,BA$2,FALSE),0)</f>
        <v>0</v>
      </c>
      <c r="BB93" s="16">
        <f>IFERROR(VLOOKUP($AY93,costs!$A$2:$I$2905,BB$2,FALSE),0)</f>
        <v>0</v>
      </c>
      <c r="BC93" s="16">
        <f>IFERROR(VLOOKUP($AY93,costs!$A$2:$I$2905,BC$2,FALSE),0)</f>
        <v>0</v>
      </c>
      <c r="BD93" s="16">
        <f>IFERROR(VLOOKUP($AY93,costs!$A$2:$I$2905,BD$2,FALSE),0)</f>
        <v>0</v>
      </c>
      <c r="BE93" s="16">
        <f>IFERROR(VLOOKUP($AY93,costs!$A$2:$I$2905,BE$2,FALSE),0)</f>
        <v>0</v>
      </c>
      <c r="BF93" s="16">
        <f>IFERROR(VLOOKUP($AY93,costs!$A$2:$I$2905,BF$2,FALSE),0)</f>
        <v>0</v>
      </c>
      <c r="BG93" s="16">
        <f>IFERROR(VLOOKUP($AY93,costs!$A$2:$I$2905,BG$2,FALSE),0)</f>
        <v>0</v>
      </c>
    </row>
    <row r="94" spans="2:59" x14ac:dyDescent="0.35">
      <c r="B94" s="341" t="s">
        <v>2290</v>
      </c>
      <c r="C94">
        <f t="shared" ref="C94:I94" si="34">C19</f>
        <v>0</v>
      </c>
      <c r="D94">
        <f t="shared" si="34"/>
        <v>0</v>
      </c>
      <c r="E94">
        <f t="shared" si="34"/>
        <v>0</v>
      </c>
      <c r="F94">
        <f t="shared" si="34"/>
        <v>0</v>
      </c>
      <c r="G94">
        <f t="shared" si="34"/>
        <v>0</v>
      </c>
      <c r="H94">
        <f t="shared" si="34"/>
        <v>0</v>
      </c>
      <c r="I94">
        <f t="shared" si="34"/>
        <v>62784.179205977576</v>
      </c>
      <c r="U94" s="272" t="s">
        <v>64</v>
      </c>
      <c r="V94" s="16">
        <f>IFERROR(VLOOKUP($U94,costs!$A$2:$I$2905,V$2,FALSE),0)</f>
        <v>0</v>
      </c>
      <c r="W94" s="16">
        <f>IFERROR(VLOOKUP($U94,costs!$A$2:$I$2905,W$2,FALSE),0)</f>
        <v>0</v>
      </c>
      <c r="X94" s="16">
        <f>IFERROR(VLOOKUP($U94,costs!$A$2:$I$2905,X$2,FALSE),0)</f>
        <v>0</v>
      </c>
      <c r="Y94" s="16">
        <f>IFERROR(VLOOKUP($U94,costs!$A$2:$I$2905,Y$2,FALSE),0)</f>
        <v>0</v>
      </c>
      <c r="Z94" s="16">
        <f>IFERROR(VLOOKUP($U94,costs!$A$2:$I$2905,Z$2,FALSE),0)</f>
        <v>0</v>
      </c>
      <c r="AA94" s="16">
        <f>IFERROR(VLOOKUP($U94,costs!$A$2:$I$2905,AA$2,FALSE),0)</f>
        <v>0</v>
      </c>
      <c r="AB94" s="16">
        <f>IFERROR(VLOOKUP($U94,costs!$A$2:$I$2905,AB$2,FALSE),0)</f>
        <v>0</v>
      </c>
      <c r="AC94" s="16">
        <f>IFERROR(VLOOKUP($U94,costs!$A$2:$I$2905,AC$2,FALSE),0)</f>
        <v>0</v>
      </c>
      <c r="AE94" s="367" t="s">
        <v>3927</v>
      </c>
      <c r="AF94" s="346">
        <f>IFERROR(VLOOKUP($AE94,costs!$A$2:$I$2905,AF$2,FALSE),0)</f>
        <v>0</v>
      </c>
      <c r="AG94" s="346">
        <f>IFERROR(VLOOKUP($AE94,costs!$A$2:$I$2905,AG$2,FALSE),0)</f>
        <v>0</v>
      </c>
      <c r="AH94" s="346">
        <f>IFERROR(VLOOKUP($AE94,costs!$A$2:$I$2905,AH$2,FALSE),0)</f>
        <v>0</v>
      </c>
      <c r="AI94" s="346">
        <f>IFERROR(VLOOKUP($AE94,costs!$A$2:$I$2905,AI$2,FALSE),0)</f>
        <v>0</v>
      </c>
      <c r="AJ94" s="346">
        <f>IFERROR(VLOOKUP($AE94,costs!$A$2:$I$2905,AJ$2,FALSE),0)</f>
        <v>0</v>
      </c>
      <c r="AK94" s="346">
        <f>IFERROR(VLOOKUP($AE94,costs!$A$2:$I$2905,AK$2,FALSE),0)</f>
        <v>0</v>
      </c>
      <c r="AL94" s="346">
        <f>IFERROR(VLOOKUP($AE94,costs!$A$2:$I$2905,AL$2,FALSE),0)</f>
        <v>0</v>
      </c>
      <c r="AM94" s="346">
        <f>IFERROR(VLOOKUP($AE94,costs!$A$2:$I$2905,AM$2,FALSE),0)</f>
        <v>0</v>
      </c>
      <c r="AO94" s="273" t="s">
        <v>2094</v>
      </c>
      <c r="AP94" s="16">
        <f>IFERROR(VLOOKUP($AO94,costs!$A$2:$I$2905,AP$2,FALSE),0)</f>
        <v>0</v>
      </c>
      <c r="AQ94" s="16">
        <f>IFERROR(VLOOKUP($AO94,costs!$A$2:$I$2905,AQ$2,FALSE),0)</f>
        <v>0</v>
      </c>
      <c r="AR94" s="16">
        <f>IFERROR(VLOOKUP($AO94,costs!$A$2:$I$2905,AR$2,FALSE),0)</f>
        <v>0</v>
      </c>
      <c r="AS94" s="16">
        <f>IFERROR(VLOOKUP($AO94,costs!$A$2:$I$2905,AS$2,FALSE),0)</f>
        <v>0</v>
      </c>
      <c r="AT94" s="16">
        <f>IFERROR(VLOOKUP($AO94,costs!$A$2:$I$2905,AT$2,FALSE),0)</f>
        <v>0</v>
      </c>
      <c r="AU94" s="16">
        <f>IFERROR(VLOOKUP($AO94,costs!$A$2:$I$2905,AU$2,FALSE),0)</f>
        <v>0</v>
      </c>
      <c r="AV94" s="16">
        <f>IFERROR(VLOOKUP($AO94,costs!$A$2:$I$2905,AV$2,FALSE),0)</f>
        <v>0</v>
      </c>
      <c r="AW94" s="16">
        <f>IFERROR(VLOOKUP($AO94,costs!$A$2:$I$2905,AW$2,FALSE),0)</f>
        <v>0</v>
      </c>
      <c r="AY94" s="272" t="s">
        <v>420</v>
      </c>
      <c r="AZ94" s="16">
        <f>IFERROR(VLOOKUP($AY94,costs!$A$2:$I$2905,AZ$2,FALSE),0)</f>
        <v>0</v>
      </c>
      <c r="BA94" s="16">
        <f>IFERROR(VLOOKUP($AY94,costs!$A$2:$I$2905,BA$2,FALSE),0)</f>
        <v>0</v>
      </c>
      <c r="BB94" s="16">
        <f>IFERROR(VLOOKUP($AY94,costs!$A$2:$I$2905,BB$2,FALSE),0)</f>
        <v>0</v>
      </c>
      <c r="BC94" s="16">
        <f>IFERROR(VLOOKUP($AY94,costs!$A$2:$I$2905,BC$2,FALSE),0)</f>
        <v>0</v>
      </c>
      <c r="BD94" s="16">
        <f>IFERROR(VLOOKUP($AY94,costs!$A$2:$I$2905,BD$2,FALSE),0)</f>
        <v>0</v>
      </c>
      <c r="BE94" s="16">
        <f>IFERROR(VLOOKUP($AY94,costs!$A$2:$I$2905,BE$2,FALSE),0)</f>
        <v>0</v>
      </c>
      <c r="BF94" s="16">
        <f>IFERROR(VLOOKUP($AY94,costs!$A$2:$I$2905,BF$2,FALSE),0)</f>
        <v>0</v>
      </c>
      <c r="BG94" s="16">
        <f>IFERROR(VLOOKUP($AY94,costs!$A$2:$I$2905,BG$2,FALSE),0)</f>
        <v>0</v>
      </c>
    </row>
    <row r="95" spans="2:59" x14ac:dyDescent="0.35">
      <c r="B95" s="341" t="s">
        <v>2291</v>
      </c>
      <c r="C95">
        <f t="shared" ref="C95:I95" si="35">C20</f>
        <v>0</v>
      </c>
      <c r="D95">
        <f t="shared" si="35"/>
        <v>0</v>
      </c>
      <c r="E95">
        <f t="shared" si="35"/>
        <v>0</v>
      </c>
      <c r="F95">
        <f t="shared" si="35"/>
        <v>0</v>
      </c>
      <c r="G95">
        <f t="shared" si="35"/>
        <v>0</v>
      </c>
      <c r="H95">
        <f t="shared" si="35"/>
        <v>0</v>
      </c>
      <c r="I95">
        <f t="shared" si="35"/>
        <v>10598.787226875094</v>
      </c>
      <c r="U95" s="273" t="s">
        <v>65</v>
      </c>
      <c r="V95" s="16">
        <f>IFERROR(VLOOKUP($U95,costs!$A$2:$I$2905,V$2,FALSE),0)</f>
        <v>0</v>
      </c>
      <c r="W95" s="16">
        <f>IFERROR(VLOOKUP($U95,costs!$A$2:$I$2905,W$2,FALSE),0)</f>
        <v>0</v>
      </c>
      <c r="X95" s="16">
        <f>IFERROR(VLOOKUP($U95,costs!$A$2:$I$2905,X$2,FALSE),0)</f>
        <v>0</v>
      </c>
      <c r="Y95" s="16">
        <f>IFERROR(VLOOKUP($U95,costs!$A$2:$I$2905,Y$2,FALSE),0)</f>
        <v>0</v>
      </c>
      <c r="Z95" s="16">
        <f>IFERROR(VLOOKUP($U95,costs!$A$2:$I$2905,Z$2,FALSE),0)</f>
        <v>0</v>
      </c>
      <c r="AA95" s="16">
        <f>IFERROR(VLOOKUP($U95,costs!$A$2:$I$2905,AA$2,FALSE),0)</f>
        <v>0</v>
      </c>
      <c r="AB95" s="16">
        <f>IFERROR(VLOOKUP($U95,costs!$A$2:$I$2905,AB$2,FALSE),0)</f>
        <v>0</v>
      </c>
      <c r="AC95" s="16">
        <f>IFERROR(VLOOKUP($U95,costs!$A$2:$I$2905,AC$2,FALSE),0)</f>
        <v>0</v>
      </c>
      <c r="AE95" s="367" t="s">
        <v>3912</v>
      </c>
      <c r="AF95" s="346">
        <f>IFERROR(VLOOKUP($AE95,costs!$A$2:$I$2905,AF$2,FALSE),0)</f>
        <v>0</v>
      </c>
      <c r="AG95" s="346">
        <f>IFERROR(VLOOKUP($AE95,costs!$A$2:$I$2905,AG$2,FALSE),0)</f>
        <v>0</v>
      </c>
      <c r="AH95" s="346">
        <f>IFERROR(VLOOKUP($AE95,costs!$A$2:$I$2905,AH$2,FALSE),0)</f>
        <v>0</v>
      </c>
      <c r="AI95" s="346">
        <f>IFERROR(VLOOKUP($AE95,costs!$A$2:$I$2905,AI$2,FALSE),0)</f>
        <v>0</v>
      </c>
      <c r="AJ95" s="346">
        <f>IFERROR(VLOOKUP($AE95,costs!$A$2:$I$2905,AJ$2,FALSE),0)</f>
        <v>0</v>
      </c>
      <c r="AK95" s="346">
        <f>IFERROR(VLOOKUP($AE95,costs!$A$2:$I$2905,AK$2,FALSE),0)</f>
        <v>0</v>
      </c>
      <c r="AL95" s="346">
        <f>IFERROR(VLOOKUP($AE95,costs!$A$2:$I$2905,AL$2,FALSE),0)</f>
        <v>0</v>
      </c>
      <c r="AM95" s="346">
        <f>IFERROR(VLOOKUP($AE95,costs!$A$2:$I$2905,AM$2,FALSE),0)</f>
        <v>0</v>
      </c>
      <c r="AO95" s="272" t="s">
        <v>289</v>
      </c>
      <c r="AP95" s="16">
        <f>IFERROR(VLOOKUP($AO95,costs!$A$2:$I$2905,AP$2,FALSE),0)</f>
        <v>0</v>
      </c>
      <c r="AQ95" s="16">
        <f>IFERROR(VLOOKUP($AO95,costs!$A$2:$I$2905,AQ$2,FALSE),0)</f>
        <v>0</v>
      </c>
      <c r="AR95" s="16">
        <f>IFERROR(VLOOKUP($AO95,costs!$A$2:$I$2905,AR$2,FALSE),0)</f>
        <v>0</v>
      </c>
      <c r="AS95" s="16">
        <f>IFERROR(VLOOKUP($AO95,costs!$A$2:$I$2905,AS$2,FALSE),0)</f>
        <v>0</v>
      </c>
      <c r="AT95" s="16">
        <f>IFERROR(VLOOKUP($AO95,costs!$A$2:$I$2905,AT$2,FALSE),0)</f>
        <v>0</v>
      </c>
      <c r="AU95" s="16">
        <f>IFERROR(VLOOKUP($AO95,costs!$A$2:$I$2905,AU$2,FALSE),0)</f>
        <v>0</v>
      </c>
      <c r="AV95" s="16">
        <f>IFERROR(VLOOKUP($AO95,costs!$A$2:$I$2905,AV$2,FALSE),0)</f>
        <v>0</v>
      </c>
      <c r="AW95" s="16">
        <f>IFERROR(VLOOKUP($AO95,costs!$A$2:$I$2905,AW$2,FALSE),0)</f>
        <v>0</v>
      </c>
      <c r="AY95" s="273" t="s">
        <v>2132</v>
      </c>
      <c r="AZ95" s="16">
        <f>IFERROR(VLOOKUP($AY95,costs!$A$2:$I$2905,AZ$2,FALSE),0)</f>
        <v>0</v>
      </c>
      <c r="BA95" s="16">
        <f>IFERROR(VLOOKUP($AY95,costs!$A$2:$I$2905,BA$2,FALSE),0)</f>
        <v>0</v>
      </c>
      <c r="BB95" s="16">
        <f>IFERROR(VLOOKUP($AY95,costs!$A$2:$I$2905,BB$2,FALSE),0)</f>
        <v>0</v>
      </c>
      <c r="BC95" s="16">
        <f>IFERROR(VLOOKUP($AY95,costs!$A$2:$I$2905,BC$2,FALSE),0)</f>
        <v>0</v>
      </c>
      <c r="BD95" s="16">
        <f>IFERROR(VLOOKUP($AY95,costs!$A$2:$I$2905,BD$2,FALSE),0)</f>
        <v>0</v>
      </c>
      <c r="BE95" s="16">
        <f>IFERROR(VLOOKUP($AY95,costs!$A$2:$I$2905,BE$2,FALSE),0)</f>
        <v>0</v>
      </c>
      <c r="BF95" s="16">
        <f>IFERROR(VLOOKUP($AY95,costs!$A$2:$I$2905,BF$2,FALSE),0)</f>
        <v>0</v>
      </c>
      <c r="BG95" s="16">
        <f>IFERROR(VLOOKUP($AY95,costs!$A$2:$I$2905,BG$2,FALSE),0)</f>
        <v>0</v>
      </c>
    </row>
    <row r="96" spans="2:59" x14ac:dyDescent="0.35">
      <c r="B96" s="341" t="s">
        <v>2292</v>
      </c>
      <c r="C96">
        <f t="shared" ref="C96:I96" si="36">C21</f>
        <v>0</v>
      </c>
      <c r="D96">
        <f t="shared" si="36"/>
        <v>0</v>
      </c>
      <c r="E96">
        <f t="shared" si="36"/>
        <v>0</v>
      </c>
      <c r="F96">
        <f t="shared" si="36"/>
        <v>0</v>
      </c>
      <c r="G96">
        <f t="shared" si="36"/>
        <v>0</v>
      </c>
      <c r="H96">
        <f t="shared" si="36"/>
        <v>0</v>
      </c>
      <c r="I96">
        <f t="shared" si="36"/>
        <v>47290.217946797675</v>
      </c>
      <c r="U96" s="272" t="s">
        <v>3</v>
      </c>
      <c r="V96" s="16">
        <f>IFERROR(VLOOKUP($U96,costs!$A$2:$I$2905,V$2,FALSE),0)</f>
        <v>0</v>
      </c>
      <c r="W96" s="16">
        <f>IFERROR(VLOOKUP($U96,costs!$A$2:$I$2905,W$2,FALSE),0)</f>
        <v>0</v>
      </c>
      <c r="X96" s="16">
        <f>IFERROR(VLOOKUP($U96,costs!$A$2:$I$2905,X$2,FALSE),0)</f>
        <v>0</v>
      </c>
      <c r="Y96" s="16">
        <f>IFERROR(VLOOKUP($U96,costs!$A$2:$I$2905,Y$2,FALSE),0)</f>
        <v>0</v>
      </c>
      <c r="Z96" s="16">
        <f>IFERROR(VLOOKUP($U96,costs!$A$2:$I$2905,Z$2,FALSE),0)</f>
        <v>0</v>
      </c>
      <c r="AA96" s="16">
        <f>IFERROR(VLOOKUP($U96,costs!$A$2:$I$2905,AA$2,FALSE),0)</f>
        <v>0</v>
      </c>
      <c r="AB96" s="16">
        <f>IFERROR(VLOOKUP($U96,costs!$A$2:$I$2905,AB$2,FALSE),0)</f>
        <v>0</v>
      </c>
      <c r="AC96" s="16">
        <f>IFERROR(VLOOKUP($U96,costs!$A$2:$I$2905,AC$2,FALSE),0)</f>
        <v>0</v>
      </c>
      <c r="AE96" s="367" t="s">
        <v>3913</v>
      </c>
      <c r="AF96" s="346">
        <f>IFERROR(VLOOKUP($AE96,costs!$A$2:$I$2905,AF$2,FALSE),0)</f>
        <v>0</v>
      </c>
      <c r="AG96" s="346">
        <f>IFERROR(VLOOKUP($AE96,costs!$A$2:$I$2905,AG$2,FALSE),0)</f>
        <v>0</v>
      </c>
      <c r="AH96" s="346">
        <f>IFERROR(VLOOKUP($AE96,costs!$A$2:$I$2905,AH$2,FALSE),0)</f>
        <v>0</v>
      </c>
      <c r="AI96" s="346">
        <f>IFERROR(VLOOKUP($AE96,costs!$A$2:$I$2905,AI$2,FALSE),0)</f>
        <v>0</v>
      </c>
      <c r="AJ96" s="346">
        <f>IFERROR(VLOOKUP($AE96,costs!$A$2:$I$2905,AJ$2,FALSE),0)</f>
        <v>0</v>
      </c>
      <c r="AK96" s="346">
        <f>IFERROR(VLOOKUP($AE96,costs!$A$2:$I$2905,AK$2,FALSE),0)</f>
        <v>0</v>
      </c>
      <c r="AL96" s="346">
        <f>IFERROR(VLOOKUP($AE96,costs!$A$2:$I$2905,AL$2,FALSE),0)</f>
        <v>0</v>
      </c>
      <c r="AM96" s="346">
        <f>IFERROR(VLOOKUP($AE96,costs!$A$2:$I$2905,AM$2,FALSE),0)</f>
        <v>0</v>
      </c>
      <c r="AO96" s="273" t="s">
        <v>2095</v>
      </c>
      <c r="AP96" s="16">
        <f>IFERROR(VLOOKUP($AO96,costs!$A$2:$I$2905,AP$2,FALSE),0)</f>
        <v>0</v>
      </c>
      <c r="AQ96" s="16">
        <f>IFERROR(VLOOKUP($AO96,costs!$A$2:$I$2905,AQ$2,FALSE),0)</f>
        <v>0</v>
      </c>
      <c r="AR96" s="16">
        <f>IFERROR(VLOOKUP($AO96,costs!$A$2:$I$2905,AR$2,FALSE),0)</f>
        <v>0</v>
      </c>
      <c r="AS96" s="16">
        <f>IFERROR(VLOOKUP($AO96,costs!$A$2:$I$2905,AS$2,FALSE),0)</f>
        <v>0</v>
      </c>
      <c r="AT96" s="16">
        <f>IFERROR(VLOOKUP($AO96,costs!$A$2:$I$2905,AT$2,FALSE),0)</f>
        <v>0</v>
      </c>
      <c r="AU96" s="16">
        <f>IFERROR(VLOOKUP($AO96,costs!$A$2:$I$2905,AU$2,FALSE),0)</f>
        <v>0</v>
      </c>
      <c r="AV96" s="16">
        <f>IFERROR(VLOOKUP($AO96,costs!$A$2:$I$2905,AV$2,FALSE),0)</f>
        <v>0</v>
      </c>
      <c r="AW96" s="16">
        <f>IFERROR(VLOOKUP($AO96,costs!$A$2:$I$2905,AW$2,FALSE),0)</f>
        <v>0</v>
      </c>
      <c r="AY96" s="272" t="s">
        <v>421</v>
      </c>
      <c r="AZ96" s="16">
        <f>IFERROR(VLOOKUP($AY96,costs!$A$2:$I$2905,AZ$2,FALSE),0)</f>
        <v>0</v>
      </c>
      <c r="BA96" s="16">
        <f>IFERROR(VLOOKUP($AY96,costs!$A$2:$I$2905,BA$2,FALSE),0)</f>
        <v>0</v>
      </c>
      <c r="BB96" s="16">
        <f>IFERROR(VLOOKUP($AY96,costs!$A$2:$I$2905,BB$2,FALSE),0)</f>
        <v>0</v>
      </c>
      <c r="BC96" s="16">
        <f>IFERROR(VLOOKUP($AY96,costs!$A$2:$I$2905,BC$2,FALSE),0)</f>
        <v>0</v>
      </c>
      <c r="BD96" s="16">
        <f>IFERROR(VLOOKUP($AY96,costs!$A$2:$I$2905,BD$2,FALSE),0)</f>
        <v>0</v>
      </c>
      <c r="BE96" s="16">
        <f>IFERROR(VLOOKUP($AY96,costs!$A$2:$I$2905,BE$2,FALSE),0)</f>
        <v>0</v>
      </c>
      <c r="BF96" s="16">
        <f>IFERROR(VLOOKUP($AY96,costs!$A$2:$I$2905,BF$2,FALSE),0)</f>
        <v>0</v>
      </c>
      <c r="BG96" s="16">
        <f>IFERROR(VLOOKUP($AY96,costs!$A$2:$I$2905,BG$2,FALSE),0)</f>
        <v>0</v>
      </c>
    </row>
    <row r="97" spans="2:59" x14ac:dyDescent="0.35">
      <c r="B97" s="341" t="s">
        <v>2293</v>
      </c>
      <c r="C97">
        <f t="shared" ref="C97:I97" si="37">C22</f>
        <v>0</v>
      </c>
      <c r="D97">
        <f t="shared" si="37"/>
        <v>0</v>
      </c>
      <c r="E97">
        <f t="shared" si="37"/>
        <v>0</v>
      </c>
      <c r="F97">
        <f t="shared" si="37"/>
        <v>0</v>
      </c>
      <c r="G97">
        <f t="shared" si="37"/>
        <v>0</v>
      </c>
      <c r="H97">
        <f t="shared" si="37"/>
        <v>0</v>
      </c>
      <c r="I97">
        <f t="shared" si="37"/>
        <v>260.02153520781218</v>
      </c>
      <c r="U97" s="273" t="s">
        <v>66</v>
      </c>
      <c r="V97" s="16">
        <f>IFERROR(VLOOKUP($U97,costs!$A$2:$I$2905,V$2,FALSE),0)</f>
        <v>0</v>
      </c>
      <c r="W97" s="16">
        <f>IFERROR(VLOOKUP($U97,costs!$A$2:$I$2905,W$2,FALSE),0)</f>
        <v>0</v>
      </c>
      <c r="X97" s="16">
        <f>IFERROR(VLOOKUP($U97,costs!$A$2:$I$2905,X$2,FALSE),0)</f>
        <v>0</v>
      </c>
      <c r="Y97" s="16">
        <f>IFERROR(VLOOKUP($U97,costs!$A$2:$I$2905,Y$2,FALSE),0)</f>
        <v>0</v>
      </c>
      <c r="Z97" s="16">
        <f>IFERROR(VLOOKUP($U97,costs!$A$2:$I$2905,Z$2,FALSE),0)</f>
        <v>0</v>
      </c>
      <c r="AA97" s="16">
        <f>IFERROR(VLOOKUP($U97,costs!$A$2:$I$2905,AA$2,FALSE),0)</f>
        <v>0</v>
      </c>
      <c r="AB97" s="16">
        <f>IFERROR(VLOOKUP($U97,costs!$A$2:$I$2905,AB$2,FALSE),0)</f>
        <v>0</v>
      </c>
      <c r="AC97" s="16">
        <f>IFERROR(VLOOKUP($U97,costs!$A$2:$I$2905,AC$2,FALSE),0)</f>
        <v>0</v>
      </c>
      <c r="AE97" s="367" t="s">
        <v>2828</v>
      </c>
      <c r="AF97" s="346">
        <f>IFERROR(VLOOKUP($AE97,costs!$A$2:$I$2905,AF$2,FALSE),0)</f>
        <v>0</v>
      </c>
      <c r="AG97" s="346">
        <f>IFERROR(VLOOKUP($AE97,costs!$A$2:$I$2905,AG$2,FALSE),0)</f>
        <v>0</v>
      </c>
      <c r="AH97" s="346">
        <f>IFERROR(VLOOKUP($AE97,costs!$A$2:$I$2905,AH$2,FALSE),0)</f>
        <v>0</v>
      </c>
      <c r="AI97" s="346">
        <f>IFERROR(VLOOKUP($AE97,costs!$A$2:$I$2905,AI$2,FALSE),0)</f>
        <v>0</v>
      </c>
      <c r="AJ97" s="346">
        <f>IFERROR(VLOOKUP($AE97,costs!$A$2:$I$2905,AJ$2,FALSE),0)</f>
        <v>0</v>
      </c>
      <c r="AK97" s="346">
        <f>IFERROR(VLOOKUP($AE97,costs!$A$2:$I$2905,AK$2,FALSE),0)</f>
        <v>0</v>
      </c>
      <c r="AL97" s="346">
        <f>IFERROR(VLOOKUP($AE97,costs!$A$2:$I$2905,AL$2,FALSE),0)</f>
        <v>0</v>
      </c>
      <c r="AM97" s="346">
        <f>IFERROR(VLOOKUP($AE97,costs!$A$2:$I$2905,AM$2,FALSE),0)</f>
        <v>0</v>
      </c>
      <c r="AO97" s="272" t="s">
        <v>55</v>
      </c>
      <c r="AP97" s="16">
        <f>IFERROR(VLOOKUP($AO97,costs!$A$2:$I$2905,AP$2,FALSE),0)</f>
        <v>0</v>
      </c>
      <c r="AQ97" s="16">
        <f>IFERROR(VLOOKUP($AO97,costs!$A$2:$I$2905,AQ$2,FALSE),0)</f>
        <v>0</v>
      </c>
      <c r="AR97" s="16">
        <f>IFERROR(VLOOKUP($AO97,costs!$A$2:$I$2905,AR$2,FALSE),0)</f>
        <v>0</v>
      </c>
      <c r="AS97" s="16">
        <f>IFERROR(VLOOKUP($AO97,costs!$A$2:$I$2905,AS$2,FALSE),0)</f>
        <v>0</v>
      </c>
      <c r="AT97" s="16">
        <f>IFERROR(VLOOKUP($AO97,costs!$A$2:$I$2905,AT$2,FALSE),0)</f>
        <v>0</v>
      </c>
      <c r="AU97" s="16">
        <f>IFERROR(VLOOKUP($AO97,costs!$A$2:$I$2905,AU$2,FALSE),0)</f>
        <v>0</v>
      </c>
      <c r="AV97" s="16">
        <f>IFERROR(VLOOKUP($AO97,costs!$A$2:$I$2905,AV$2,FALSE),0)</f>
        <v>0</v>
      </c>
      <c r="AW97" s="16">
        <f>IFERROR(VLOOKUP($AO97,costs!$A$2:$I$2905,AW$2,FALSE),0)</f>
        <v>0</v>
      </c>
      <c r="AY97" s="273" t="s">
        <v>422</v>
      </c>
      <c r="AZ97" s="16">
        <f>IFERROR(VLOOKUP($AY97,costs!$A$2:$I$2905,AZ$2,FALSE),0)</f>
        <v>0</v>
      </c>
      <c r="BA97" s="16">
        <f>IFERROR(VLOOKUP($AY97,costs!$A$2:$I$2905,BA$2,FALSE),0)</f>
        <v>0</v>
      </c>
      <c r="BB97" s="16">
        <f>IFERROR(VLOOKUP($AY97,costs!$A$2:$I$2905,BB$2,FALSE),0)</f>
        <v>0</v>
      </c>
      <c r="BC97" s="16">
        <f>IFERROR(VLOOKUP($AY97,costs!$A$2:$I$2905,BC$2,FALSE),0)</f>
        <v>0</v>
      </c>
      <c r="BD97" s="16">
        <f>IFERROR(VLOOKUP($AY97,costs!$A$2:$I$2905,BD$2,FALSE),0)</f>
        <v>0</v>
      </c>
      <c r="BE97" s="16">
        <f>IFERROR(VLOOKUP($AY97,costs!$A$2:$I$2905,BE$2,FALSE),0)</f>
        <v>0</v>
      </c>
      <c r="BF97" s="16">
        <f>IFERROR(VLOOKUP($AY97,costs!$A$2:$I$2905,BF$2,FALSE),0)</f>
        <v>0</v>
      </c>
      <c r="BG97" s="16">
        <f>IFERROR(VLOOKUP($AY97,costs!$A$2:$I$2905,BG$2,FALSE),0)</f>
        <v>0</v>
      </c>
    </row>
    <row r="98" spans="2:59" x14ac:dyDescent="0.35">
      <c r="B98" t="s">
        <v>2342</v>
      </c>
      <c r="C98">
        <f t="shared" ref="C98:I98" si="38">C23</f>
        <v>0</v>
      </c>
      <c r="D98" t="e">
        <f t="shared" si="38"/>
        <v>#N/A</v>
      </c>
      <c r="E98" t="e">
        <f t="shared" si="38"/>
        <v>#N/A</v>
      </c>
      <c r="F98" t="e">
        <f t="shared" si="38"/>
        <v>#N/A</v>
      </c>
      <c r="G98" t="e">
        <f t="shared" si="38"/>
        <v>#N/A</v>
      </c>
      <c r="H98" t="e">
        <f t="shared" si="38"/>
        <v>#N/A</v>
      </c>
      <c r="I98" t="e">
        <f t="shared" si="38"/>
        <v>#N/A</v>
      </c>
      <c r="U98" s="272" t="s">
        <v>67</v>
      </c>
      <c r="V98" s="16">
        <f>IFERROR(VLOOKUP($U98,costs!$A$2:$I$2905,V$2,FALSE),0)</f>
        <v>0</v>
      </c>
      <c r="W98" s="16">
        <f>IFERROR(VLOOKUP($U98,costs!$A$2:$I$2905,W$2,FALSE),0)</f>
        <v>0</v>
      </c>
      <c r="X98" s="16">
        <f>IFERROR(VLOOKUP($U98,costs!$A$2:$I$2905,X$2,FALSE),0)</f>
        <v>0</v>
      </c>
      <c r="Y98" s="16">
        <f>IFERROR(VLOOKUP($U98,costs!$A$2:$I$2905,Y$2,FALSE),0)</f>
        <v>0</v>
      </c>
      <c r="Z98" s="16">
        <f>IFERROR(VLOOKUP($U98,costs!$A$2:$I$2905,Z$2,FALSE),0)</f>
        <v>0</v>
      </c>
      <c r="AA98" s="16">
        <f>IFERROR(VLOOKUP($U98,costs!$A$2:$I$2905,AA$2,FALSE),0)</f>
        <v>0</v>
      </c>
      <c r="AB98" s="16">
        <f>IFERROR(VLOOKUP($U98,costs!$A$2:$I$2905,AB$2,FALSE),0)</f>
        <v>0</v>
      </c>
      <c r="AC98" s="16">
        <f>IFERROR(VLOOKUP($U98,costs!$A$2:$I$2905,AC$2,FALSE),0)</f>
        <v>0</v>
      </c>
      <c r="AE98" s="367" t="s">
        <v>4037</v>
      </c>
      <c r="AF98" s="346">
        <f>IFERROR(VLOOKUP($AE98,costs!$A$2:$I$2905,AF$2,FALSE),0)</f>
        <v>0</v>
      </c>
      <c r="AG98" s="346">
        <f>IFERROR(VLOOKUP($AE98,costs!$A$2:$I$2905,AG$2,FALSE),0)</f>
        <v>0</v>
      </c>
      <c r="AH98" s="346">
        <f>IFERROR(VLOOKUP($AE98,costs!$A$2:$I$2905,AH$2,FALSE),0)</f>
        <v>0</v>
      </c>
      <c r="AI98" s="346">
        <f>IFERROR(VLOOKUP($AE98,costs!$A$2:$I$2905,AI$2,FALSE),0)</f>
        <v>0</v>
      </c>
      <c r="AJ98" s="346">
        <f>IFERROR(VLOOKUP($AE98,costs!$A$2:$I$2905,AJ$2,FALSE),0)</f>
        <v>0</v>
      </c>
      <c r="AK98" s="346">
        <f>IFERROR(VLOOKUP($AE98,costs!$A$2:$I$2905,AK$2,FALSE),0)</f>
        <v>0</v>
      </c>
      <c r="AL98" s="346">
        <f>IFERROR(VLOOKUP($AE98,costs!$A$2:$I$2905,AL$2,FALSE),0)</f>
        <v>0</v>
      </c>
      <c r="AM98" s="346">
        <f>IFERROR(VLOOKUP($AE98,costs!$A$2:$I$2905,AM$2,FALSE),0)</f>
        <v>0</v>
      </c>
      <c r="AO98" s="273" t="s">
        <v>2096</v>
      </c>
      <c r="AP98" s="16">
        <f>IFERROR(VLOOKUP($AO98,costs!$A$2:$I$2905,AP$2,FALSE),0)</f>
        <v>0</v>
      </c>
      <c r="AQ98" s="16">
        <f>IFERROR(VLOOKUP($AO98,costs!$A$2:$I$2905,AQ$2,FALSE),0)</f>
        <v>0</v>
      </c>
      <c r="AR98" s="16">
        <f>IFERROR(VLOOKUP($AO98,costs!$A$2:$I$2905,AR$2,FALSE),0)</f>
        <v>0</v>
      </c>
      <c r="AS98" s="16">
        <f>IFERROR(VLOOKUP($AO98,costs!$A$2:$I$2905,AS$2,FALSE),0)</f>
        <v>0</v>
      </c>
      <c r="AT98" s="16">
        <f>IFERROR(VLOOKUP($AO98,costs!$A$2:$I$2905,AT$2,FALSE),0)</f>
        <v>0</v>
      </c>
      <c r="AU98" s="16">
        <f>IFERROR(VLOOKUP($AO98,costs!$A$2:$I$2905,AU$2,FALSE),0)</f>
        <v>0</v>
      </c>
      <c r="AV98" s="16">
        <f>IFERROR(VLOOKUP($AO98,costs!$A$2:$I$2905,AV$2,FALSE),0)</f>
        <v>0</v>
      </c>
      <c r="AW98" s="16">
        <f>IFERROR(VLOOKUP($AO98,costs!$A$2:$I$2905,AW$2,FALSE),0)</f>
        <v>0</v>
      </c>
      <c r="AY98" s="272" t="s">
        <v>2133</v>
      </c>
      <c r="AZ98" s="16">
        <f>IFERROR(VLOOKUP($AY98,costs!$A$2:$I$2905,AZ$2,FALSE),0)</f>
        <v>0</v>
      </c>
      <c r="BA98" s="16">
        <f>IFERROR(VLOOKUP($AY98,costs!$A$2:$I$2905,BA$2,FALSE),0)</f>
        <v>0</v>
      </c>
      <c r="BB98" s="16">
        <f>IFERROR(VLOOKUP($AY98,costs!$A$2:$I$2905,BB$2,FALSE),0)</f>
        <v>0</v>
      </c>
      <c r="BC98" s="16">
        <f>IFERROR(VLOOKUP($AY98,costs!$A$2:$I$2905,BC$2,FALSE),0)</f>
        <v>0</v>
      </c>
      <c r="BD98" s="16">
        <f>IFERROR(VLOOKUP($AY98,costs!$A$2:$I$2905,BD$2,FALSE),0)</f>
        <v>0</v>
      </c>
      <c r="BE98" s="16">
        <f>IFERROR(VLOOKUP($AY98,costs!$A$2:$I$2905,BE$2,FALSE),0)</f>
        <v>0</v>
      </c>
      <c r="BF98" s="16">
        <f>IFERROR(VLOOKUP($AY98,costs!$A$2:$I$2905,BF$2,FALSE),0)</f>
        <v>0</v>
      </c>
      <c r="BG98" s="16">
        <f>IFERROR(VLOOKUP($AY98,costs!$A$2:$I$2905,BG$2,FALSE),0)</f>
        <v>0</v>
      </c>
    </row>
    <row r="99" spans="2:59" x14ac:dyDescent="0.35">
      <c r="B99">
        <f t="shared" ref="B99:I99" si="39">B24</f>
        <v>0</v>
      </c>
      <c r="C99">
        <f t="shared" si="39"/>
        <v>0</v>
      </c>
      <c r="D99">
        <f t="shared" si="39"/>
        <v>0</v>
      </c>
      <c r="E99">
        <f t="shared" si="39"/>
        <v>0</v>
      </c>
      <c r="F99">
        <f t="shared" si="39"/>
        <v>0</v>
      </c>
      <c r="G99">
        <f t="shared" si="39"/>
        <v>0</v>
      </c>
      <c r="H99">
        <f t="shared" si="39"/>
        <v>0</v>
      </c>
      <c r="I99">
        <f t="shared" si="39"/>
        <v>0</v>
      </c>
      <c r="U99" s="273" t="s">
        <v>2065</v>
      </c>
      <c r="V99" s="16">
        <f>IFERROR(VLOOKUP($U99,costs!$A$2:$I$2905,V$2,FALSE),0)</f>
        <v>0</v>
      </c>
      <c r="W99" s="16">
        <f>IFERROR(VLOOKUP($U99,costs!$A$2:$I$2905,W$2,FALSE),0)</f>
        <v>0</v>
      </c>
      <c r="X99" s="16">
        <f>IFERROR(VLOOKUP($U99,costs!$A$2:$I$2905,X$2,FALSE),0)</f>
        <v>0</v>
      </c>
      <c r="Y99" s="16">
        <f>IFERROR(VLOOKUP($U99,costs!$A$2:$I$2905,Y$2,FALSE),0)</f>
        <v>0</v>
      </c>
      <c r="Z99" s="16">
        <f>IFERROR(VLOOKUP($U99,costs!$A$2:$I$2905,Z$2,FALSE),0)</f>
        <v>0</v>
      </c>
      <c r="AA99" s="16">
        <f>IFERROR(VLOOKUP($U99,costs!$A$2:$I$2905,AA$2,FALSE),0)</f>
        <v>0</v>
      </c>
      <c r="AB99" s="16">
        <f>IFERROR(VLOOKUP($U99,costs!$A$2:$I$2905,AB$2,FALSE),0)</f>
        <v>0</v>
      </c>
      <c r="AC99" s="16">
        <f>IFERROR(VLOOKUP($U99,costs!$A$2:$I$2905,AC$2,FALSE),0)</f>
        <v>0</v>
      </c>
      <c r="AE99" s="367" t="s">
        <v>2884</v>
      </c>
      <c r="AF99" s="346">
        <f>IFERROR(VLOOKUP($AE99,costs!$A$2:$I$2905,AF$2,FALSE),0)</f>
        <v>0</v>
      </c>
      <c r="AG99" s="346">
        <f>IFERROR(VLOOKUP($AE99,costs!$A$2:$I$2905,AG$2,FALSE),0)</f>
        <v>0</v>
      </c>
      <c r="AH99" s="346">
        <f>IFERROR(VLOOKUP($AE99,costs!$A$2:$I$2905,AH$2,FALSE),0)</f>
        <v>0</v>
      </c>
      <c r="AI99" s="346">
        <f>IFERROR(VLOOKUP($AE99,costs!$A$2:$I$2905,AI$2,FALSE),0)</f>
        <v>0</v>
      </c>
      <c r="AJ99" s="346">
        <f>IFERROR(VLOOKUP($AE99,costs!$A$2:$I$2905,AJ$2,FALSE),0)</f>
        <v>0</v>
      </c>
      <c r="AK99" s="346">
        <f>IFERROR(VLOOKUP($AE99,costs!$A$2:$I$2905,AK$2,FALSE),0)</f>
        <v>0</v>
      </c>
      <c r="AL99" s="346">
        <f>IFERROR(VLOOKUP($AE99,costs!$A$2:$I$2905,AL$2,FALSE),0)</f>
        <v>0</v>
      </c>
      <c r="AM99" s="346">
        <f>IFERROR(VLOOKUP($AE99,costs!$A$2:$I$2905,AM$2,FALSE),0)</f>
        <v>0</v>
      </c>
      <c r="AO99" s="272" t="s">
        <v>196</v>
      </c>
      <c r="AP99" s="16">
        <f>IFERROR(VLOOKUP($AO99,costs!$A$2:$I$2905,AP$2,FALSE),0)</f>
        <v>0</v>
      </c>
      <c r="AQ99" s="16">
        <f>IFERROR(VLOOKUP($AO99,costs!$A$2:$I$2905,AQ$2,FALSE),0)</f>
        <v>0</v>
      </c>
      <c r="AR99" s="16">
        <f>IFERROR(VLOOKUP($AO99,costs!$A$2:$I$2905,AR$2,FALSE),0)</f>
        <v>0</v>
      </c>
      <c r="AS99" s="16">
        <f>IFERROR(VLOOKUP($AO99,costs!$A$2:$I$2905,AS$2,FALSE),0)</f>
        <v>0</v>
      </c>
      <c r="AT99" s="16">
        <f>IFERROR(VLOOKUP($AO99,costs!$A$2:$I$2905,AT$2,FALSE),0)</f>
        <v>0</v>
      </c>
      <c r="AU99" s="16">
        <f>IFERROR(VLOOKUP($AO99,costs!$A$2:$I$2905,AU$2,FALSE),0)</f>
        <v>0</v>
      </c>
      <c r="AV99" s="16">
        <f>IFERROR(VLOOKUP($AO99,costs!$A$2:$I$2905,AV$2,FALSE),0)</f>
        <v>0</v>
      </c>
      <c r="AW99" s="16">
        <f>IFERROR(VLOOKUP($AO99,costs!$A$2:$I$2905,AW$2,FALSE),0)</f>
        <v>0</v>
      </c>
      <c r="AY99" s="273" t="s">
        <v>423</v>
      </c>
      <c r="AZ99" s="16">
        <f>IFERROR(VLOOKUP($AY99,costs!$A$2:$I$2905,AZ$2,FALSE),0)</f>
        <v>0</v>
      </c>
      <c r="BA99" s="16">
        <f>IFERROR(VLOOKUP($AY99,costs!$A$2:$I$2905,BA$2,FALSE),0)</f>
        <v>0</v>
      </c>
      <c r="BB99" s="16">
        <f>IFERROR(VLOOKUP($AY99,costs!$A$2:$I$2905,BB$2,FALSE),0)</f>
        <v>0</v>
      </c>
      <c r="BC99" s="16">
        <f>IFERROR(VLOOKUP($AY99,costs!$A$2:$I$2905,BC$2,FALSE),0)</f>
        <v>0</v>
      </c>
      <c r="BD99" s="16">
        <f>IFERROR(VLOOKUP($AY99,costs!$A$2:$I$2905,BD$2,FALSE),0)</f>
        <v>0</v>
      </c>
      <c r="BE99" s="16">
        <f>IFERROR(VLOOKUP($AY99,costs!$A$2:$I$2905,BE$2,FALSE),0)</f>
        <v>0</v>
      </c>
      <c r="BF99" s="16">
        <f>IFERROR(VLOOKUP($AY99,costs!$A$2:$I$2905,BF$2,FALSE),0)</f>
        <v>0</v>
      </c>
      <c r="BG99" s="16">
        <f>IFERROR(VLOOKUP($AY99,costs!$A$2:$I$2905,BG$2,FALSE),0)</f>
        <v>0</v>
      </c>
    </row>
    <row r="100" spans="2:59" x14ac:dyDescent="0.35">
      <c r="B100" t="str">
        <f t="shared" ref="B100:I100" si="40">B25</f>
        <v>Rel. Deviation</v>
      </c>
      <c r="C100">
        <f t="shared" si="40"/>
        <v>2020</v>
      </c>
      <c r="D100">
        <f t="shared" si="40"/>
        <v>2025</v>
      </c>
      <c r="E100">
        <f t="shared" si="40"/>
        <v>2030</v>
      </c>
      <c r="F100">
        <f t="shared" si="40"/>
        <v>2035</v>
      </c>
      <c r="G100">
        <f t="shared" si="40"/>
        <v>2040</v>
      </c>
      <c r="H100">
        <f t="shared" si="40"/>
        <v>2045</v>
      </c>
      <c r="I100">
        <f t="shared" si="40"/>
        <v>2050</v>
      </c>
      <c r="U100" s="272" t="s">
        <v>4</v>
      </c>
      <c r="V100" s="16">
        <f>IFERROR(VLOOKUP($U100,costs!$A$2:$I$2905,V$2,FALSE),0)</f>
        <v>0</v>
      </c>
      <c r="W100" s="16">
        <f>IFERROR(VLOOKUP($U100,costs!$A$2:$I$2905,W$2,FALSE),0)</f>
        <v>0</v>
      </c>
      <c r="X100" s="16">
        <f>IFERROR(VLOOKUP($U100,costs!$A$2:$I$2905,X$2,FALSE),0)</f>
        <v>0</v>
      </c>
      <c r="Y100" s="16">
        <f>IFERROR(VLOOKUP($U100,costs!$A$2:$I$2905,Y$2,FALSE),0)</f>
        <v>0</v>
      </c>
      <c r="Z100" s="16">
        <f>IFERROR(VLOOKUP($U100,costs!$A$2:$I$2905,Z$2,FALSE),0)</f>
        <v>0</v>
      </c>
      <c r="AA100" s="16">
        <f>IFERROR(VLOOKUP($U100,costs!$A$2:$I$2905,AA$2,FALSE),0)</f>
        <v>0</v>
      </c>
      <c r="AB100" s="16">
        <f>IFERROR(VLOOKUP($U100,costs!$A$2:$I$2905,AB$2,FALSE),0)</f>
        <v>0</v>
      </c>
      <c r="AC100" s="16">
        <f>IFERROR(VLOOKUP($U100,costs!$A$2:$I$2905,AC$2,FALSE),0)</f>
        <v>0</v>
      </c>
      <c r="AE100" s="367" t="s">
        <v>2882</v>
      </c>
      <c r="AF100" s="346">
        <f>IFERROR(VLOOKUP($AE100,costs!$A$2:$I$2905,AF$2,FALSE),0)</f>
        <v>0</v>
      </c>
      <c r="AG100" s="346">
        <f>IFERROR(VLOOKUP($AE100,costs!$A$2:$I$2905,AG$2,FALSE),0)</f>
        <v>0</v>
      </c>
      <c r="AH100" s="346">
        <f>IFERROR(VLOOKUP($AE100,costs!$A$2:$I$2905,AH$2,FALSE),0)</f>
        <v>0</v>
      </c>
      <c r="AI100" s="346">
        <f>IFERROR(VLOOKUP($AE100,costs!$A$2:$I$2905,AI$2,FALSE),0)</f>
        <v>0</v>
      </c>
      <c r="AJ100" s="346">
        <f>IFERROR(VLOOKUP($AE100,costs!$A$2:$I$2905,AJ$2,FALSE),0)</f>
        <v>0</v>
      </c>
      <c r="AK100" s="346">
        <f>IFERROR(VLOOKUP($AE100,costs!$A$2:$I$2905,AK$2,FALSE),0)</f>
        <v>0</v>
      </c>
      <c r="AL100" s="346">
        <f>IFERROR(VLOOKUP($AE100,costs!$A$2:$I$2905,AL$2,FALSE),0)</f>
        <v>0</v>
      </c>
      <c r="AM100" s="346">
        <f>IFERROR(VLOOKUP($AE100,costs!$A$2:$I$2905,AM$2,FALSE),0)</f>
        <v>0</v>
      </c>
      <c r="AO100" s="273" t="s">
        <v>2097</v>
      </c>
      <c r="AP100" s="16">
        <f>IFERROR(VLOOKUP($AO100,costs!$A$2:$I$2905,AP$2,FALSE),0)</f>
        <v>0</v>
      </c>
      <c r="AQ100" s="16">
        <f>IFERROR(VLOOKUP($AO100,costs!$A$2:$I$2905,AQ$2,FALSE),0)</f>
        <v>0</v>
      </c>
      <c r="AR100" s="16">
        <f>IFERROR(VLOOKUP($AO100,costs!$A$2:$I$2905,AR$2,FALSE),0)</f>
        <v>0</v>
      </c>
      <c r="AS100" s="16">
        <f>IFERROR(VLOOKUP($AO100,costs!$A$2:$I$2905,AS$2,FALSE),0)</f>
        <v>0</v>
      </c>
      <c r="AT100" s="16">
        <f>IFERROR(VLOOKUP($AO100,costs!$A$2:$I$2905,AT$2,FALSE),0)</f>
        <v>0</v>
      </c>
      <c r="AU100" s="16">
        <f>IFERROR(VLOOKUP($AO100,costs!$A$2:$I$2905,AU$2,FALSE),0)</f>
        <v>0</v>
      </c>
      <c r="AV100" s="16">
        <f>IFERROR(VLOOKUP($AO100,costs!$A$2:$I$2905,AV$2,FALSE),0)</f>
        <v>0</v>
      </c>
      <c r="AW100" s="16">
        <f>IFERROR(VLOOKUP($AO100,costs!$A$2:$I$2905,AW$2,FALSE),0)</f>
        <v>0</v>
      </c>
      <c r="AY100" s="272" t="s">
        <v>424</v>
      </c>
      <c r="AZ100" s="16">
        <f>IFERROR(VLOOKUP($AY100,costs!$A$2:$I$2905,AZ$2,FALSE),0)</f>
        <v>0</v>
      </c>
      <c r="BA100" s="16">
        <f>IFERROR(VLOOKUP($AY100,costs!$A$2:$I$2905,BA$2,FALSE),0)</f>
        <v>0</v>
      </c>
      <c r="BB100" s="16">
        <f>IFERROR(VLOOKUP($AY100,costs!$A$2:$I$2905,BB$2,FALSE),0)</f>
        <v>0</v>
      </c>
      <c r="BC100" s="16">
        <f>IFERROR(VLOOKUP($AY100,costs!$A$2:$I$2905,BC$2,FALSE),0)</f>
        <v>0</v>
      </c>
      <c r="BD100" s="16">
        <f>IFERROR(VLOOKUP($AY100,costs!$A$2:$I$2905,BD$2,FALSE),0)</f>
        <v>0</v>
      </c>
      <c r="BE100" s="16">
        <f>IFERROR(VLOOKUP($AY100,costs!$A$2:$I$2905,BE$2,FALSE),0)</f>
        <v>0</v>
      </c>
      <c r="BF100" s="16">
        <f>IFERROR(VLOOKUP($AY100,costs!$A$2:$I$2905,BF$2,FALSE),0)</f>
        <v>0</v>
      </c>
      <c r="BG100" s="16">
        <f>IFERROR(VLOOKUP($AY100,costs!$A$2:$I$2905,BG$2,FALSE),0)</f>
        <v>0</v>
      </c>
    </row>
    <row r="101" spans="2:59" x14ac:dyDescent="0.35">
      <c r="B101" s="341" t="s">
        <v>1165</v>
      </c>
      <c r="C101" s="348">
        <f t="shared" ref="C101:I101" si="41">C26</f>
        <v>1</v>
      </c>
      <c r="D101" s="348" t="e">
        <f t="shared" si="41"/>
        <v>#DIV/0!</v>
      </c>
      <c r="E101" s="348" t="e">
        <f t="shared" si="41"/>
        <v>#DIV/0!</v>
      </c>
      <c r="F101" s="348" t="e">
        <f t="shared" si="41"/>
        <v>#DIV/0!</v>
      </c>
      <c r="G101" s="348" t="e">
        <f t="shared" si="41"/>
        <v>#DIV/0!</v>
      </c>
      <c r="H101" s="348" t="e">
        <f t="shared" si="41"/>
        <v>#DIV/0!</v>
      </c>
      <c r="I101" s="348" t="e">
        <f t="shared" si="41"/>
        <v>#DIV/0!</v>
      </c>
      <c r="U101" s="273" t="s">
        <v>74</v>
      </c>
      <c r="V101" s="16">
        <f>IFERROR(VLOOKUP($U101,costs!$A$2:$I$2905,V$2,FALSE),0)</f>
        <v>0</v>
      </c>
      <c r="W101" s="16">
        <f>IFERROR(VLOOKUP($U101,costs!$A$2:$I$2905,W$2,FALSE),0)</f>
        <v>0</v>
      </c>
      <c r="X101" s="16">
        <f>IFERROR(VLOOKUP($U101,costs!$A$2:$I$2905,X$2,FALSE),0)</f>
        <v>0</v>
      </c>
      <c r="Y101" s="16">
        <f>IFERROR(VLOOKUP($U101,costs!$A$2:$I$2905,Y$2,FALSE),0)</f>
        <v>0</v>
      </c>
      <c r="Z101" s="16">
        <f>IFERROR(VLOOKUP($U101,costs!$A$2:$I$2905,Z$2,FALSE),0)</f>
        <v>0</v>
      </c>
      <c r="AA101" s="16">
        <f>IFERROR(VLOOKUP($U101,costs!$A$2:$I$2905,AA$2,FALSE),0)</f>
        <v>0</v>
      </c>
      <c r="AB101" s="16">
        <f>IFERROR(VLOOKUP($U101,costs!$A$2:$I$2905,AB$2,FALSE),0)</f>
        <v>0</v>
      </c>
      <c r="AC101" s="16">
        <f>IFERROR(VLOOKUP($U101,costs!$A$2:$I$2905,AC$2,FALSE),0)</f>
        <v>0</v>
      </c>
      <c r="AE101" s="367" t="s">
        <v>2888</v>
      </c>
      <c r="AF101" s="346">
        <f>IFERROR(VLOOKUP($AE101,costs!$A$2:$I$2905,AF$2,FALSE),0)</f>
        <v>0</v>
      </c>
      <c r="AG101" s="346">
        <f>IFERROR(VLOOKUP($AE101,costs!$A$2:$I$2905,AG$2,FALSE),0)</f>
        <v>0</v>
      </c>
      <c r="AH101" s="346">
        <f>IFERROR(VLOOKUP($AE101,costs!$A$2:$I$2905,AH$2,FALSE),0)</f>
        <v>0</v>
      </c>
      <c r="AI101" s="346">
        <f>IFERROR(VLOOKUP($AE101,costs!$A$2:$I$2905,AI$2,FALSE),0)</f>
        <v>0</v>
      </c>
      <c r="AJ101" s="346">
        <f>IFERROR(VLOOKUP($AE101,costs!$A$2:$I$2905,AJ$2,FALSE),0)</f>
        <v>0</v>
      </c>
      <c r="AK101" s="346">
        <f>IFERROR(VLOOKUP($AE101,costs!$A$2:$I$2905,AK$2,FALSE),0)</f>
        <v>0</v>
      </c>
      <c r="AL101" s="346">
        <f>IFERROR(VLOOKUP($AE101,costs!$A$2:$I$2905,AL$2,FALSE),0)</f>
        <v>0</v>
      </c>
      <c r="AM101" s="346">
        <f>IFERROR(VLOOKUP($AE101,costs!$A$2:$I$2905,AM$2,FALSE),0)</f>
        <v>0</v>
      </c>
      <c r="AO101" s="272" t="s">
        <v>20</v>
      </c>
      <c r="AP101" s="16">
        <f>IFERROR(VLOOKUP($AO101,costs!$A$2:$I$2905,AP$2,FALSE),0)</f>
        <v>0</v>
      </c>
      <c r="AQ101" s="16">
        <f>IFERROR(VLOOKUP($AO101,costs!$A$2:$I$2905,AQ$2,FALSE),0)</f>
        <v>0</v>
      </c>
      <c r="AR101" s="16">
        <f>IFERROR(VLOOKUP($AO101,costs!$A$2:$I$2905,AR$2,FALSE),0)</f>
        <v>0</v>
      </c>
      <c r="AS101" s="16">
        <f>IFERROR(VLOOKUP($AO101,costs!$A$2:$I$2905,AS$2,FALSE),0)</f>
        <v>0</v>
      </c>
      <c r="AT101" s="16">
        <f>IFERROR(VLOOKUP($AO101,costs!$A$2:$I$2905,AT$2,FALSE),0)</f>
        <v>0</v>
      </c>
      <c r="AU101" s="16">
        <f>IFERROR(VLOOKUP($AO101,costs!$A$2:$I$2905,AU$2,FALSE),0)</f>
        <v>0</v>
      </c>
      <c r="AV101" s="16">
        <f>IFERROR(VLOOKUP($AO101,costs!$A$2:$I$2905,AV$2,FALSE),0)</f>
        <v>0</v>
      </c>
      <c r="AW101" s="16">
        <f>IFERROR(VLOOKUP($AO101,costs!$A$2:$I$2905,AW$2,FALSE),0)</f>
        <v>0</v>
      </c>
      <c r="AY101" s="273" t="s">
        <v>2134</v>
      </c>
      <c r="AZ101" s="16">
        <f>IFERROR(VLOOKUP($AY101,costs!$A$2:$I$2905,AZ$2,FALSE),0)</f>
        <v>0</v>
      </c>
      <c r="BA101" s="16">
        <f>IFERROR(VLOOKUP($AY101,costs!$A$2:$I$2905,BA$2,FALSE),0)</f>
        <v>0</v>
      </c>
      <c r="BB101" s="16">
        <f>IFERROR(VLOOKUP($AY101,costs!$A$2:$I$2905,BB$2,FALSE),0)</f>
        <v>0</v>
      </c>
      <c r="BC101" s="16">
        <f>IFERROR(VLOOKUP($AY101,costs!$A$2:$I$2905,BC$2,FALSE),0)</f>
        <v>0</v>
      </c>
      <c r="BD101" s="16">
        <f>IFERROR(VLOOKUP($AY101,costs!$A$2:$I$2905,BD$2,FALSE),0)</f>
        <v>0</v>
      </c>
      <c r="BE101" s="16">
        <f>IFERROR(VLOOKUP($AY101,costs!$A$2:$I$2905,BE$2,FALSE),0)</f>
        <v>0</v>
      </c>
      <c r="BF101" s="16">
        <f>IFERROR(VLOOKUP($AY101,costs!$A$2:$I$2905,BF$2,FALSE),0)</f>
        <v>0</v>
      </c>
      <c r="BG101" s="16">
        <f>IFERROR(VLOOKUP($AY101,costs!$A$2:$I$2905,BG$2,FALSE),0)</f>
        <v>0</v>
      </c>
    </row>
    <row r="102" spans="2:59" x14ac:dyDescent="0.35">
      <c r="B102" s="341" t="s">
        <v>1528</v>
      </c>
      <c r="C102" s="348">
        <f t="shared" ref="C102:I102" si="42">C27</f>
        <v>1</v>
      </c>
      <c r="D102" s="348" t="e">
        <f t="shared" si="42"/>
        <v>#N/A</v>
      </c>
      <c r="E102" s="348" t="e">
        <f t="shared" si="42"/>
        <v>#N/A</v>
      </c>
      <c r="F102" s="348" t="e">
        <f t="shared" si="42"/>
        <v>#N/A</v>
      </c>
      <c r="G102" s="348" t="e">
        <f t="shared" si="42"/>
        <v>#N/A</v>
      </c>
      <c r="H102" s="348" t="e">
        <f t="shared" si="42"/>
        <v>#N/A</v>
      </c>
      <c r="I102" s="348" t="e">
        <f t="shared" si="42"/>
        <v>#N/A</v>
      </c>
      <c r="U102" s="272" t="s">
        <v>75</v>
      </c>
      <c r="V102" s="16">
        <f>IFERROR(VLOOKUP($U102,costs!$A$2:$I$2905,V$2,FALSE),0)</f>
        <v>0</v>
      </c>
      <c r="W102" s="16">
        <f>IFERROR(VLOOKUP($U102,costs!$A$2:$I$2905,W$2,FALSE),0)</f>
        <v>0</v>
      </c>
      <c r="X102" s="16">
        <f>IFERROR(VLOOKUP($U102,costs!$A$2:$I$2905,X$2,FALSE),0)</f>
        <v>0</v>
      </c>
      <c r="Y102" s="16">
        <f>IFERROR(VLOOKUP($U102,costs!$A$2:$I$2905,Y$2,FALSE),0)</f>
        <v>0</v>
      </c>
      <c r="Z102" s="16">
        <f>IFERROR(VLOOKUP($U102,costs!$A$2:$I$2905,Z$2,FALSE),0)</f>
        <v>0</v>
      </c>
      <c r="AA102" s="16">
        <f>IFERROR(VLOOKUP($U102,costs!$A$2:$I$2905,AA$2,FALSE),0)</f>
        <v>0</v>
      </c>
      <c r="AB102" s="16">
        <f>IFERROR(VLOOKUP($U102,costs!$A$2:$I$2905,AB$2,FALSE),0)</f>
        <v>0</v>
      </c>
      <c r="AC102" s="16">
        <f>IFERROR(VLOOKUP($U102,costs!$A$2:$I$2905,AC$2,FALSE),0)</f>
        <v>0</v>
      </c>
      <c r="AE102" s="367" t="s">
        <v>2883</v>
      </c>
      <c r="AF102" s="346">
        <f>IFERROR(VLOOKUP($AE102,costs!$A$2:$I$2905,AF$2,FALSE),0)</f>
        <v>0</v>
      </c>
      <c r="AG102" s="346">
        <f>IFERROR(VLOOKUP($AE102,costs!$A$2:$I$2905,AG$2,FALSE),0)</f>
        <v>0</v>
      </c>
      <c r="AH102" s="346">
        <f>IFERROR(VLOOKUP($AE102,costs!$A$2:$I$2905,AH$2,FALSE),0)</f>
        <v>0</v>
      </c>
      <c r="AI102" s="346">
        <f>IFERROR(VLOOKUP($AE102,costs!$A$2:$I$2905,AI$2,FALSE),0)</f>
        <v>0</v>
      </c>
      <c r="AJ102" s="346">
        <f>IFERROR(VLOOKUP($AE102,costs!$A$2:$I$2905,AJ$2,FALSE),0)</f>
        <v>0</v>
      </c>
      <c r="AK102" s="346">
        <f>IFERROR(VLOOKUP($AE102,costs!$A$2:$I$2905,AK$2,FALSE),0)</f>
        <v>0</v>
      </c>
      <c r="AL102" s="346">
        <f>IFERROR(VLOOKUP($AE102,costs!$A$2:$I$2905,AL$2,FALSE),0)</f>
        <v>0</v>
      </c>
      <c r="AM102" s="346">
        <f>IFERROR(VLOOKUP($AE102,costs!$A$2:$I$2905,AM$2,FALSE),0)</f>
        <v>0</v>
      </c>
      <c r="AO102" s="273" t="s">
        <v>2098</v>
      </c>
      <c r="AP102" s="16">
        <f>IFERROR(VLOOKUP($AO102,costs!$A$2:$I$2905,AP$2,FALSE),0)</f>
        <v>0</v>
      </c>
      <c r="AQ102" s="16">
        <f>IFERROR(VLOOKUP($AO102,costs!$A$2:$I$2905,AQ$2,FALSE),0)</f>
        <v>0</v>
      </c>
      <c r="AR102" s="16">
        <f>IFERROR(VLOOKUP($AO102,costs!$A$2:$I$2905,AR$2,FALSE),0)</f>
        <v>0</v>
      </c>
      <c r="AS102" s="16">
        <f>IFERROR(VLOOKUP($AO102,costs!$A$2:$I$2905,AS$2,FALSE),0)</f>
        <v>0</v>
      </c>
      <c r="AT102" s="16">
        <f>IFERROR(VLOOKUP($AO102,costs!$A$2:$I$2905,AT$2,FALSE),0)</f>
        <v>0</v>
      </c>
      <c r="AU102" s="16">
        <f>IFERROR(VLOOKUP($AO102,costs!$A$2:$I$2905,AU$2,FALSE),0)</f>
        <v>0</v>
      </c>
      <c r="AV102" s="16">
        <f>IFERROR(VLOOKUP($AO102,costs!$A$2:$I$2905,AV$2,FALSE),0)</f>
        <v>0</v>
      </c>
      <c r="AW102" s="16">
        <f>IFERROR(VLOOKUP($AO102,costs!$A$2:$I$2905,AW$2,FALSE),0)</f>
        <v>0</v>
      </c>
      <c r="AY102" s="272" t="s">
        <v>425</v>
      </c>
      <c r="AZ102" s="16">
        <f>IFERROR(VLOOKUP($AY102,costs!$A$2:$I$2905,AZ$2,FALSE),0)</f>
        <v>0</v>
      </c>
      <c r="BA102" s="16">
        <f>IFERROR(VLOOKUP($AY102,costs!$A$2:$I$2905,BA$2,FALSE),0)</f>
        <v>0</v>
      </c>
      <c r="BB102" s="16">
        <f>IFERROR(VLOOKUP($AY102,costs!$A$2:$I$2905,BB$2,FALSE),0)</f>
        <v>0</v>
      </c>
      <c r="BC102" s="16">
        <f>IFERROR(VLOOKUP($AY102,costs!$A$2:$I$2905,BC$2,FALSE),0)</f>
        <v>0</v>
      </c>
      <c r="BD102" s="16">
        <f>IFERROR(VLOOKUP($AY102,costs!$A$2:$I$2905,BD$2,FALSE),0)</f>
        <v>0</v>
      </c>
      <c r="BE102" s="16">
        <f>IFERROR(VLOOKUP($AY102,costs!$A$2:$I$2905,BE$2,FALSE),0)</f>
        <v>0</v>
      </c>
      <c r="BF102" s="16">
        <f>IFERROR(VLOOKUP($AY102,costs!$A$2:$I$2905,BF$2,FALSE),0)</f>
        <v>0</v>
      </c>
      <c r="BG102" s="16">
        <f>IFERROR(VLOOKUP($AY102,costs!$A$2:$I$2905,BG$2,FALSE),0)</f>
        <v>0</v>
      </c>
    </row>
    <row r="103" spans="2:59" x14ac:dyDescent="0.35">
      <c r="B103" s="341" t="s">
        <v>1468</v>
      </c>
      <c r="C103" s="348">
        <f t="shared" ref="C103:I103" si="43">C28</f>
        <v>1</v>
      </c>
      <c r="D103" s="348" t="e">
        <f t="shared" si="43"/>
        <v>#N/A</v>
      </c>
      <c r="E103" s="348" t="e">
        <f t="shared" si="43"/>
        <v>#N/A</v>
      </c>
      <c r="F103" s="348" t="e">
        <f t="shared" si="43"/>
        <v>#N/A</v>
      </c>
      <c r="G103" s="348" t="e">
        <f t="shared" si="43"/>
        <v>#N/A</v>
      </c>
      <c r="H103" s="348" t="e">
        <f t="shared" si="43"/>
        <v>#N/A</v>
      </c>
      <c r="I103" s="348" t="e">
        <f t="shared" si="43"/>
        <v>#N/A</v>
      </c>
      <c r="U103" s="273" t="s">
        <v>2066</v>
      </c>
      <c r="V103" s="16">
        <f>IFERROR(VLOOKUP($U103,costs!$A$2:$I$2905,V$2,FALSE),0)</f>
        <v>0</v>
      </c>
      <c r="W103" s="16">
        <f>IFERROR(VLOOKUP($U103,costs!$A$2:$I$2905,W$2,FALSE),0)</f>
        <v>0</v>
      </c>
      <c r="X103" s="16">
        <f>IFERROR(VLOOKUP($U103,costs!$A$2:$I$2905,X$2,FALSE),0)</f>
        <v>0</v>
      </c>
      <c r="Y103" s="16">
        <f>IFERROR(VLOOKUP($U103,costs!$A$2:$I$2905,Y$2,FALSE),0)</f>
        <v>0</v>
      </c>
      <c r="Z103" s="16">
        <f>IFERROR(VLOOKUP($U103,costs!$A$2:$I$2905,Z$2,FALSE),0)</f>
        <v>0</v>
      </c>
      <c r="AA103" s="16">
        <f>IFERROR(VLOOKUP($U103,costs!$A$2:$I$2905,AA$2,FALSE),0)</f>
        <v>0</v>
      </c>
      <c r="AB103" s="16">
        <f>IFERROR(VLOOKUP($U103,costs!$A$2:$I$2905,AB$2,FALSE),0)</f>
        <v>0</v>
      </c>
      <c r="AC103" s="16">
        <f>IFERROR(VLOOKUP($U103,costs!$A$2:$I$2905,AC$2,FALSE),0)</f>
        <v>0</v>
      </c>
      <c r="AE103" s="367" t="s">
        <v>2885</v>
      </c>
      <c r="AF103" s="346">
        <f>IFERROR(VLOOKUP($AE103,costs!$A$2:$I$2905,AF$2,FALSE),0)</f>
        <v>0</v>
      </c>
      <c r="AG103" s="346">
        <f>IFERROR(VLOOKUP($AE103,costs!$A$2:$I$2905,AG$2,FALSE),0)</f>
        <v>0</v>
      </c>
      <c r="AH103" s="346">
        <f>IFERROR(VLOOKUP($AE103,costs!$A$2:$I$2905,AH$2,FALSE),0)</f>
        <v>0</v>
      </c>
      <c r="AI103" s="346">
        <f>IFERROR(VLOOKUP($AE103,costs!$A$2:$I$2905,AI$2,FALSE),0)</f>
        <v>0</v>
      </c>
      <c r="AJ103" s="346">
        <f>IFERROR(VLOOKUP($AE103,costs!$A$2:$I$2905,AJ$2,FALSE),0)</f>
        <v>0</v>
      </c>
      <c r="AK103" s="346">
        <f>IFERROR(VLOOKUP($AE103,costs!$A$2:$I$2905,AK$2,FALSE),0)</f>
        <v>0</v>
      </c>
      <c r="AL103" s="346">
        <f>IFERROR(VLOOKUP($AE103,costs!$A$2:$I$2905,AL$2,FALSE),0)</f>
        <v>0</v>
      </c>
      <c r="AM103" s="346">
        <f>IFERROR(VLOOKUP($AE103,costs!$A$2:$I$2905,AM$2,FALSE),0)</f>
        <v>0</v>
      </c>
      <c r="AO103" s="272" t="s">
        <v>507</v>
      </c>
      <c r="AP103" s="16">
        <f>IFERROR(VLOOKUP($AO103,costs!$A$2:$I$2905,AP$2,FALSE),0)</f>
        <v>0</v>
      </c>
      <c r="AQ103" s="16">
        <f>IFERROR(VLOOKUP($AO103,costs!$A$2:$I$2905,AQ$2,FALSE),0)</f>
        <v>0</v>
      </c>
      <c r="AR103" s="16">
        <f>IFERROR(VLOOKUP($AO103,costs!$A$2:$I$2905,AR$2,FALSE),0)</f>
        <v>0</v>
      </c>
      <c r="AS103" s="16">
        <f>IFERROR(VLOOKUP($AO103,costs!$A$2:$I$2905,AS$2,FALSE),0)</f>
        <v>0</v>
      </c>
      <c r="AT103" s="16">
        <f>IFERROR(VLOOKUP($AO103,costs!$A$2:$I$2905,AT$2,FALSE),0)</f>
        <v>0</v>
      </c>
      <c r="AU103" s="16">
        <f>IFERROR(VLOOKUP($AO103,costs!$A$2:$I$2905,AU$2,FALSE),0)</f>
        <v>0</v>
      </c>
      <c r="AV103" s="16">
        <f>IFERROR(VLOOKUP($AO103,costs!$A$2:$I$2905,AV$2,FALSE),0)</f>
        <v>0</v>
      </c>
      <c r="AW103" s="16">
        <f>IFERROR(VLOOKUP($AO103,costs!$A$2:$I$2905,AW$2,FALSE),0)</f>
        <v>0</v>
      </c>
      <c r="AY103" s="273" t="s">
        <v>426</v>
      </c>
      <c r="AZ103" s="16">
        <f>IFERROR(VLOOKUP($AY103,costs!$A$2:$I$2905,AZ$2,FALSE),0)</f>
        <v>0</v>
      </c>
      <c r="BA103" s="16">
        <f>IFERROR(VLOOKUP($AY103,costs!$A$2:$I$2905,BA$2,FALSE),0)</f>
        <v>0</v>
      </c>
      <c r="BB103" s="16">
        <f>IFERROR(VLOOKUP($AY103,costs!$A$2:$I$2905,BB$2,FALSE),0)</f>
        <v>0</v>
      </c>
      <c r="BC103" s="16">
        <f>IFERROR(VLOOKUP($AY103,costs!$A$2:$I$2905,BC$2,FALSE),0)</f>
        <v>0</v>
      </c>
      <c r="BD103" s="16">
        <f>IFERROR(VLOOKUP($AY103,costs!$A$2:$I$2905,BD$2,FALSE),0)</f>
        <v>0</v>
      </c>
      <c r="BE103" s="16">
        <f>IFERROR(VLOOKUP($AY103,costs!$A$2:$I$2905,BE$2,FALSE),0)</f>
        <v>0</v>
      </c>
      <c r="BF103" s="16">
        <f>IFERROR(VLOOKUP($AY103,costs!$A$2:$I$2905,BF$2,FALSE),0)</f>
        <v>0</v>
      </c>
      <c r="BG103" s="16">
        <f>IFERROR(VLOOKUP($AY103,costs!$A$2:$I$2905,BG$2,FALSE),0)</f>
        <v>0</v>
      </c>
    </row>
    <row r="104" spans="2:59" x14ac:dyDescent="0.35">
      <c r="B104" s="341" t="s">
        <v>2289</v>
      </c>
      <c r="C104" s="348">
        <f t="shared" ref="C104:I104" si="44">C29</f>
        <v>1</v>
      </c>
      <c r="D104" s="348" t="e">
        <f t="shared" si="44"/>
        <v>#DIV/0!</v>
      </c>
      <c r="E104" s="348" t="e">
        <f t="shared" si="44"/>
        <v>#DIV/0!</v>
      </c>
      <c r="F104" s="348" t="e">
        <f t="shared" si="44"/>
        <v>#DIV/0!</v>
      </c>
      <c r="G104" s="348" t="e">
        <f t="shared" si="44"/>
        <v>#DIV/0!</v>
      </c>
      <c r="H104" s="348" t="e">
        <f t="shared" si="44"/>
        <v>#DIV/0!</v>
      </c>
      <c r="I104" s="348" t="e">
        <f t="shared" si="44"/>
        <v>#DIV/0!</v>
      </c>
      <c r="U104" s="272" t="s">
        <v>5</v>
      </c>
      <c r="V104" s="16">
        <f>IFERROR(VLOOKUP($U104,costs!$A$2:$I$2905,V$2,FALSE),0)</f>
        <v>0</v>
      </c>
      <c r="W104" s="16">
        <f>IFERROR(VLOOKUP($U104,costs!$A$2:$I$2905,W$2,FALSE),0)</f>
        <v>0</v>
      </c>
      <c r="X104" s="16">
        <f>IFERROR(VLOOKUP($U104,costs!$A$2:$I$2905,X$2,FALSE),0)</f>
        <v>0</v>
      </c>
      <c r="Y104" s="16">
        <f>IFERROR(VLOOKUP($U104,costs!$A$2:$I$2905,Y$2,FALSE),0)</f>
        <v>0</v>
      </c>
      <c r="Z104" s="16">
        <f>IFERROR(VLOOKUP($U104,costs!$A$2:$I$2905,Z$2,FALSE),0)</f>
        <v>0</v>
      </c>
      <c r="AA104" s="16">
        <f>IFERROR(VLOOKUP($U104,costs!$A$2:$I$2905,AA$2,FALSE),0)</f>
        <v>0</v>
      </c>
      <c r="AB104" s="16">
        <f>IFERROR(VLOOKUP($U104,costs!$A$2:$I$2905,AB$2,FALSE),0)</f>
        <v>0</v>
      </c>
      <c r="AC104" s="16">
        <f>IFERROR(VLOOKUP($U104,costs!$A$2:$I$2905,AC$2,FALSE),0)</f>
        <v>0</v>
      </c>
      <c r="AE104" s="367" t="s">
        <v>2886</v>
      </c>
      <c r="AF104" s="346">
        <f>IFERROR(VLOOKUP($AE104,costs!$A$2:$I$2905,AF$2,FALSE),0)</f>
        <v>0</v>
      </c>
      <c r="AG104" s="346">
        <f>IFERROR(VLOOKUP($AE104,costs!$A$2:$I$2905,AG$2,FALSE),0)</f>
        <v>0</v>
      </c>
      <c r="AH104" s="346">
        <f>IFERROR(VLOOKUP($AE104,costs!$A$2:$I$2905,AH$2,FALSE),0)</f>
        <v>0</v>
      </c>
      <c r="AI104" s="346">
        <f>IFERROR(VLOOKUP($AE104,costs!$A$2:$I$2905,AI$2,FALSE),0)</f>
        <v>0</v>
      </c>
      <c r="AJ104" s="346">
        <f>IFERROR(VLOOKUP($AE104,costs!$A$2:$I$2905,AJ$2,FALSE),0)</f>
        <v>0</v>
      </c>
      <c r="AK104" s="346">
        <f>IFERROR(VLOOKUP($AE104,costs!$A$2:$I$2905,AK$2,FALSE),0)</f>
        <v>0</v>
      </c>
      <c r="AL104" s="346">
        <f>IFERROR(VLOOKUP($AE104,costs!$A$2:$I$2905,AL$2,FALSE),0)</f>
        <v>0</v>
      </c>
      <c r="AM104" s="346">
        <f>IFERROR(VLOOKUP($AE104,costs!$A$2:$I$2905,AM$2,FALSE),0)</f>
        <v>0</v>
      </c>
      <c r="AO104" s="273" t="s">
        <v>2099</v>
      </c>
      <c r="AP104" s="16">
        <f>IFERROR(VLOOKUP($AO104,costs!$A$2:$I$2905,AP$2,FALSE),0)</f>
        <v>0</v>
      </c>
      <c r="AQ104" s="16">
        <f>IFERROR(VLOOKUP($AO104,costs!$A$2:$I$2905,AQ$2,FALSE),0)</f>
        <v>0</v>
      </c>
      <c r="AR104" s="16">
        <f>IFERROR(VLOOKUP($AO104,costs!$A$2:$I$2905,AR$2,FALSE),0)</f>
        <v>0</v>
      </c>
      <c r="AS104" s="16">
        <f>IFERROR(VLOOKUP($AO104,costs!$A$2:$I$2905,AS$2,FALSE),0)</f>
        <v>0</v>
      </c>
      <c r="AT104" s="16">
        <f>IFERROR(VLOOKUP($AO104,costs!$A$2:$I$2905,AT$2,FALSE),0)</f>
        <v>0</v>
      </c>
      <c r="AU104" s="16">
        <f>IFERROR(VLOOKUP($AO104,costs!$A$2:$I$2905,AU$2,FALSE),0)</f>
        <v>0</v>
      </c>
      <c r="AV104" s="16">
        <f>IFERROR(VLOOKUP($AO104,costs!$A$2:$I$2905,AV$2,FALSE),0)</f>
        <v>0</v>
      </c>
      <c r="AW104" s="16">
        <f>IFERROR(VLOOKUP($AO104,costs!$A$2:$I$2905,AW$2,FALSE),0)</f>
        <v>0</v>
      </c>
      <c r="AY104" s="272" t="s">
        <v>2135</v>
      </c>
      <c r="AZ104" s="16">
        <f>IFERROR(VLOOKUP($AY104,costs!$A$2:$I$2905,AZ$2,FALSE),0)</f>
        <v>0</v>
      </c>
      <c r="BA104" s="16">
        <f>IFERROR(VLOOKUP($AY104,costs!$A$2:$I$2905,BA$2,FALSE),0)</f>
        <v>0</v>
      </c>
      <c r="BB104" s="16">
        <f>IFERROR(VLOOKUP($AY104,costs!$A$2:$I$2905,BB$2,FALSE),0)</f>
        <v>0</v>
      </c>
      <c r="BC104" s="16">
        <f>IFERROR(VLOOKUP($AY104,costs!$A$2:$I$2905,BC$2,FALSE),0)</f>
        <v>0</v>
      </c>
      <c r="BD104" s="16">
        <f>IFERROR(VLOOKUP($AY104,costs!$A$2:$I$2905,BD$2,FALSE),0)</f>
        <v>0</v>
      </c>
      <c r="BE104" s="16">
        <f>IFERROR(VLOOKUP($AY104,costs!$A$2:$I$2905,BE$2,FALSE),0)</f>
        <v>0</v>
      </c>
      <c r="BF104" s="16">
        <f>IFERROR(VLOOKUP($AY104,costs!$A$2:$I$2905,BF$2,FALSE),0)</f>
        <v>0</v>
      </c>
      <c r="BG104" s="16">
        <f>IFERROR(VLOOKUP($AY104,costs!$A$2:$I$2905,BG$2,FALSE),0)</f>
        <v>0</v>
      </c>
    </row>
    <row r="105" spans="2:59" x14ac:dyDescent="0.35">
      <c r="B105" s="341" t="s">
        <v>2290</v>
      </c>
      <c r="C105" s="348">
        <f t="shared" ref="C105:I105" si="45">C30</f>
        <v>1</v>
      </c>
      <c r="D105" s="348" t="e">
        <f t="shared" si="45"/>
        <v>#DIV/0!</v>
      </c>
      <c r="E105" s="348" t="e">
        <f t="shared" si="45"/>
        <v>#DIV/0!</v>
      </c>
      <c r="F105" s="348" t="e">
        <f t="shared" si="45"/>
        <v>#DIV/0!</v>
      </c>
      <c r="G105" s="348" t="e">
        <f t="shared" si="45"/>
        <v>#DIV/0!</v>
      </c>
      <c r="H105" s="348" t="e">
        <f t="shared" si="45"/>
        <v>#DIV/0!</v>
      </c>
      <c r="I105" s="348" t="e">
        <f t="shared" si="45"/>
        <v>#DIV/0!</v>
      </c>
      <c r="U105" s="273" t="s">
        <v>76</v>
      </c>
      <c r="V105" s="16">
        <f>IFERROR(VLOOKUP($U105,costs!$A$2:$I$2905,V$2,FALSE),0)</f>
        <v>0</v>
      </c>
      <c r="W105" s="16">
        <f>IFERROR(VLOOKUP($U105,costs!$A$2:$I$2905,W$2,FALSE),0)</f>
        <v>0</v>
      </c>
      <c r="X105" s="16">
        <f>IFERROR(VLOOKUP($U105,costs!$A$2:$I$2905,X$2,FALSE),0)</f>
        <v>0</v>
      </c>
      <c r="Y105" s="16">
        <f>IFERROR(VLOOKUP($U105,costs!$A$2:$I$2905,Y$2,FALSE),0)</f>
        <v>0</v>
      </c>
      <c r="Z105" s="16">
        <f>IFERROR(VLOOKUP($U105,costs!$A$2:$I$2905,Z$2,FALSE),0)</f>
        <v>0</v>
      </c>
      <c r="AA105" s="16">
        <f>IFERROR(VLOOKUP($U105,costs!$A$2:$I$2905,AA$2,FALSE),0)</f>
        <v>0</v>
      </c>
      <c r="AB105" s="16">
        <f>IFERROR(VLOOKUP($U105,costs!$A$2:$I$2905,AB$2,FALSE),0)</f>
        <v>0</v>
      </c>
      <c r="AC105" s="16">
        <f>IFERROR(VLOOKUP($U105,costs!$A$2:$I$2905,AC$2,FALSE),0)</f>
        <v>0</v>
      </c>
      <c r="AE105" s="367" t="s">
        <v>2887</v>
      </c>
      <c r="AF105" s="346">
        <f>IFERROR(VLOOKUP($AE105,costs!$A$2:$I$2905,AF$2,FALSE),0)</f>
        <v>0</v>
      </c>
      <c r="AG105" s="346">
        <f>IFERROR(VLOOKUP($AE105,costs!$A$2:$I$2905,AG$2,FALSE),0)</f>
        <v>0</v>
      </c>
      <c r="AH105" s="346">
        <f>IFERROR(VLOOKUP($AE105,costs!$A$2:$I$2905,AH$2,FALSE),0)</f>
        <v>0</v>
      </c>
      <c r="AI105" s="346">
        <f>IFERROR(VLOOKUP($AE105,costs!$A$2:$I$2905,AI$2,FALSE),0)</f>
        <v>0</v>
      </c>
      <c r="AJ105" s="346">
        <f>IFERROR(VLOOKUP($AE105,costs!$A$2:$I$2905,AJ$2,FALSE),0)</f>
        <v>0</v>
      </c>
      <c r="AK105" s="346">
        <f>IFERROR(VLOOKUP($AE105,costs!$A$2:$I$2905,AK$2,FALSE),0)</f>
        <v>0</v>
      </c>
      <c r="AL105" s="346">
        <f>IFERROR(VLOOKUP($AE105,costs!$A$2:$I$2905,AL$2,FALSE),0)</f>
        <v>0</v>
      </c>
      <c r="AM105" s="346">
        <f>IFERROR(VLOOKUP($AE105,costs!$A$2:$I$2905,AM$2,FALSE),0)</f>
        <v>0</v>
      </c>
      <c r="AO105" s="272" t="s">
        <v>59</v>
      </c>
      <c r="AP105" s="16">
        <f>IFERROR(VLOOKUP($AO105,costs!$A$2:$I$2905,AP$2,FALSE),0)</f>
        <v>0</v>
      </c>
      <c r="AQ105" s="16">
        <f>IFERROR(VLOOKUP($AO105,costs!$A$2:$I$2905,AQ$2,FALSE),0)</f>
        <v>0</v>
      </c>
      <c r="AR105" s="16">
        <f>IFERROR(VLOOKUP($AO105,costs!$A$2:$I$2905,AR$2,FALSE),0)</f>
        <v>0</v>
      </c>
      <c r="AS105" s="16">
        <f>IFERROR(VLOOKUP($AO105,costs!$A$2:$I$2905,AS$2,FALSE),0)</f>
        <v>0</v>
      </c>
      <c r="AT105" s="16">
        <f>IFERROR(VLOOKUP($AO105,costs!$A$2:$I$2905,AT$2,FALSE),0)</f>
        <v>0</v>
      </c>
      <c r="AU105" s="16">
        <f>IFERROR(VLOOKUP($AO105,costs!$A$2:$I$2905,AU$2,FALSE),0)</f>
        <v>0</v>
      </c>
      <c r="AV105" s="16">
        <f>IFERROR(VLOOKUP($AO105,costs!$A$2:$I$2905,AV$2,FALSE),0)</f>
        <v>0</v>
      </c>
      <c r="AW105" s="16">
        <f>IFERROR(VLOOKUP($AO105,costs!$A$2:$I$2905,AW$2,FALSE),0)</f>
        <v>0</v>
      </c>
      <c r="AY105" s="273" t="s">
        <v>427</v>
      </c>
      <c r="AZ105" s="16">
        <f>IFERROR(VLOOKUP($AY105,costs!$A$2:$I$2905,AZ$2,FALSE),0)</f>
        <v>0</v>
      </c>
      <c r="BA105" s="16">
        <f>IFERROR(VLOOKUP($AY105,costs!$A$2:$I$2905,BA$2,FALSE),0)</f>
        <v>0</v>
      </c>
      <c r="BB105" s="16">
        <f>IFERROR(VLOOKUP($AY105,costs!$A$2:$I$2905,BB$2,FALSE),0)</f>
        <v>0</v>
      </c>
      <c r="BC105" s="16">
        <f>IFERROR(VLOOKUP($AY105,costs!$A$2:$I$2905,BC$2,FALSE),0)</f>
        <v>0</v>
      </c>
      <c r="BD105" s="16">
        <f>IFERROR(VLOOKUP($AY105,costs!$A$2:$I$2905,BD$2,FALSE),0)</f>
        <v>0</v>
      </c>
      <c r="BE105" s="16">
        <f>IFERROR(VLOOKUP($AY105,costs!$A$2:$I$2905,BE$2,FALSE),0)</f>
        <v>0</v>
      </c>
      <c r="BF105" s="16">
        <f>IFERROR(VLOOKUP($AY105,costs!$A$2:$I$2905,BF$2,FALSE),0)</f>
        <v>0</v>
      </c>
      <c r="BG105" s="16">
        <f>IFERROR(VLOOKUP($AY105,costs!$A$2:$I$2905,BG$2,FALSE),0)</f>
        <v>0</v>
      </c>
    </row>
    <row r="106" spans="2:59" x14ac:dyDescent="0.35">
      <c r="B106" s="341" t="s">
        <v>2292</v>
      </c>
      <c r="C106" s="348">
        <f t="shared" ref="C106:I107" si="46">C31</f>
        <v>1</v>
      </c>
      <c r="D106" s="348" t="e">
        <f t="shared" si="46"/>
        <v>#DIV/0!</v>
      </c>
      <c r="E106" s="348" t="e">
        <f t="shared" si="46"/>
        <v>#DIV/0!</v>
      </c>
      <c r="F106" s="348" t="e">
        <f t="shared" si="46"/>
        <v>#DIV/0!</v>
      </c>
      <c r="G106" s="348" t="e">
        <f t="shared" si="46"/>
        <v>#DIV/0!</v>
      </c>
      <c r="H106" s="348" t="e">
        <f t="shared" si="46"/>
        <v>#DIV/0!</v>
      </c>
      <c r="I106" s="348" t="e">
        <f t="shared" si="46"/>
        <v>#DIV/0!</v>
      </c>
      <c r="U106" s="272" t="s">
        <v>77</v>
      </c>
      <c r="V106" s="16">
        <f>IFERROR(VLOOKUP($U106,costs!$A$2:$I$2905,V$2,FALSE),0)</f>
        <v>0</v>
      </c>
      <c r="W106" s="16">
        <f>IFERROR(VLOOKUP($U106,costs!$A$2:$I$2905,W$2,FALSE),0)</f>
        <v>0</v>
      </c>
      <c r="X106" s="16">
        <f>IFERROR(VLOOKUP($U106,costs!$A$2:$I$2905,X$2,FALSE),0)</f>
        <v>0</v>
      </c>
      <c r="Y106" s="16">
        <f>IFERROR(VLOOKUP($U106,costs!$A$2:$I$2905,Y$2,FALSE),0)</f>
        <v>0</v>
      </c>
      <c r="Z106" s="16">
        <f>IFERROR(VLOOKUP($U106,costs!$A$2:$I$2905,Z$2,FALSE),0)</f>
        <v>0</v>
      </c>
      <c r="AA106" s="16">
        <f>IFERROR(VLOOKUP($U106,costs!$A$2:$I$2905,AA$2,FALSE),0)</f>
        <v>0</v>
      </c>
      <c r="AB106" s="16">
        <f>IFERROR(VLOOKUP($U106,costs!$A$2:$I$2905,AB$2,FALSE),0)</f>
        <v>0</v>
      </c>
      <c r="AC106" s="16">
        <f>IFERROR(VLOOKUP($U106,costs!$A$2:$I$2905,AC$2,FALSE),0)</f>
        <v>0</v>
      </c>
      <c r="AE106" s="367" t="s">
        <v>2957</v>
      </c>
      <c r="AF106" s="346">
        <f>IFERROR(VLOOKUP($AE106,costs!$A$2:$I$2905,AF$2,FALSE),0)</f>
        <v>0</v>
      </c>
      <c r="AG106" s="346">
        <f>IFERROR(VLOOKUP($AE106,costs!$A$2:$I$2905,AG$2,FALSE),0)</f>
        <v>0</v>
      </c>
      <c r="AH106" s="346">
        <f>IFERROR(VLOOKUP($AE106,costs!$A$2:$I$2905,AH$2,FALSE),0)</f>
        <v>0</v>
      </c>
      <c r="AI106" s="346">
        <f>IFERROR(VLOOKUP($AE106,costs!$A$2:$I$2905,AI$2,FALSE),0)</f>
        <v>0</v>
      </c>
      <c r="AJ106" s="346">
        <f>IFERROR(VLOOKUP($AE106,costs!$A$2:$I$2905,AJ$2,FALSE),0)</f>
        <v>0</v>
      </c>
      <c r="AK106" s="346">
        <f>IFERROR(VLOOKUP($AE106,costs!$A$2:$I$2905,AK$2,FALSE),0)</f>
        <v>0</v>
      </c>
      <c r="AL106" s="346">
        <f>IFERROR(VLOOKUP($AE106,costs!$A$2:$I$2905,AL$2,FALSE),0)</f>
        <v>0</v>
      </c>
      <c r="AM106" s="346">
        <f>IFERROR(VLOOKUP($AE106,costs!$A$2:$I$2905,AM$2,FALSE),0)</f>
        <v>0</v>
      </c>
      <c r="AO106" s="273" t="s">
        <v>387</v>
      </c>
      <c r="AP106" s="16">
        <f>IFERROR(VLOOKUP($AO106,costs!$A$2:$I$2905,AP$2,FALSE),0)</f>
        <v>0</v>
      </c>
      <c r="AQ106" s="16">
        <f>IFERROR(VLOOKUP($AO106,costs!$A$2:$I$2905,AQ$2,FALSE),0)</f>
        <v>0</v>
      </c>
      <c r="AR106" s="16">
        <f>IFERROR(VLOOKUP($AO106,costs!$A$2:$I$2905,AR$2,FALSE),0)</f>
        <v>0</v>
      </c>
      <c r="AS106" s="16">
        <f>IFERROR(VLOOKUP($AO106,costs!$A$2:$I$2905,AS$2,FALSE),0)</f>
        <v>0</v>
      </c>
      <c r="AT106" s="16">
        <f>IFERROR(VLOOKUP($AO106,costs!$A$2:$I$2905,AT$2,FALSE),0)</f>
        <v>0</v>
      </c>
      <c r="AU106" s="16">
        <f>IFERROR(VLOOKUP($AO106,costs!$A$2:$I$2905,AU$2,FALSE),0)</f>
        <v>0</v>
      </c>
      <c r="AV106" s="16">
        <f>IFERROR(VLOOKUP($AO106,costs!$A$2:$I$2905,AV$2,FALSE),0)</f>
        <v>0</v>
      </c>
      <c r="AW106" s="16">
        <f>IFERROR(VLOOKUP($AO106,costs!$A$2:$I$2905,AW$2,FALSE),0)</f>
        <v>0</v>
      </c>
      <c r="AY106" s="272" t="s">
        <v>428</v>
      </c>
      <c r="AZ106" s="16">
        <f>IFERROR(VLOOKUP($AY106,costs!$A$2:$I$2905,AZ$2,FALSE),0)</f>
        <v>0</v>
      </c>
      <c r="BA106" s="16">
        <f>IFERROR(VLOOKUP($AY106,costs!$A$2:$I$2905,BA$2,FALSE),0)</f>
        <v>0</v>
      </c>
      <c r="BB106" s="16">
        <f>IFERROR(VLOOKUP($AY106,costs!$A$2:$I$2905,BB$2,FALSE),0)</f>
        <v>0</v>
      </c>
      <c r="BC106" s="16">
        <f>IFERROR(VLOOKUP($AY106,costs!$A$2:$I$2905,BC$2,FALSE),0)</f>
        <v>0</v>
      </c>
      <c r="BD106" s="16">
        <f>IFERROR(VLOOKUP($AY106,costs!$A$2:$I$2905,BD$2,FALSE),0)</f>
        <v>0</v>
      </c>
      <c r="BE106" s="16">
        <f>IFERROR(VLOOKUP($AY106,costs!$A$2:$I$2905,BE$2,FALSE),0)</f>
        <v>0</v>
      </c>
      <c r="BF106" s="16">
        <f>IFERROR(VLOOKUP($AY106,costs!$A$2:$I$2905,BF$2,FALSE),0)</f>
        <v>0</v>
      </c>
      <c r="BG106" s="16">
        <f>IFERROR(VLOOKUP($AY106,costs!$A$2:$I$2905,BG$2,FALSE),0)</f>
        <v>0</v>
      </c>
    </row>
    <row r="107" spans="2:59" x14ac:dyDescent="0.35">
      <c r="B107" s="341" t="s">
        <v>2293</v>
      </c>
      <c r="C107" s="348">
        <f t="shared" si="46"/>
        <v>1</v>
      </c>
      <c r="D107" s="348" t="e">
        <f>D32</f>
        <v>#DIV/0!</v>
      </c>
      <c r="E107" s="348" t="e">
        <f t="shared" si="46"/>
        <v>#DIV/0!</v>
      </c>
      <c r="F107" s="348" t="e">
        <f t="shared" si="46"/>
        <v>#DIV/0!</v>
      </c>
      <c r="G107" s="348" t="e">
        <f t="shared" si="46"/>
        <v>#DIV/0!</v>
      </c>
      <c r="H107" s="348" t="e">
        <f t="shared" si="46"/>
        <v>#DIV/0!</v>
      </c>
      <c r="I107" s="348" t="e">
        <f t="shared" si="46"/>
        <v>#DIV/0!</v>
      </c>
      <c r="U107" s="273" t="s">
        <v>2067</v>
      </c>
      <c r="V107" s="16">
        <f>IFERROR(VLOOKUP($U107,costs!$A$2:$I$2905,V$2,FALSE),0)</f>
        <v>0</v>
      </c>
      <c r="W107" s="16">
        <f>IFERROR(VLOOKUP($U107,costs!$A$2:$I$2905,W$2,FALSE),0)</f>
        <v>0</v>
      </c>
      <c r="X107" s="16">
        <f>IFERROR(VLOOKUP($U107,costs!$A$2:$I$2905,X$2,FALSE),0)</f>
        <v>0</v>
      </c>
      <c r="Y107" s="16">
        <f>IFERROR(VLOOKUP($U107,costs!$A$2:$I$2905,Y$2,FALSE),0)</f>
        <v>0</v>
      </c>
      <c r="Z107" s="16">
        <f>IFERROR(VLOOKUP($U107,costs!$A$2:$I$2905,Z$2,FALSE),0)</f>
        <v>0</v>
      </c>
      <c r="AA107" s="16">
        <f>IFERROR(VLOOKUP($U107,costs!$A$2:$I$2905,AA$2,FALSE),0)</f>
        <v>0</v>
      </c>
      <c r="AB107" s="16">
        <f>IFERROR(VLOOKUP($U107,costs!$A$2:$I$2905,AB$2,FALSE),0)</f>
        <v>0</v>
      </c>
      <c r="AC107" s="16">
        <f>IFERROR(VLOOKUP($U107,costs!$A$2:$I$2905,AC$2,FALSE),0)</f>
        <v>0</v>
      </c>
      <c r="AE107" s="367" t="s">
        <v>2962</v>
      </c>
      <c r="AF107" s="346">
        <f>IFERROR(VLOOKUP($AE107,costs!$A$2:$I$2905,AF$2,FALSE),0)</f>
        <v>0</v>
      </c>
      <c r="AG107" s="346">
        <f>IFERROR(VLOOKUP($AE107,costs!$A$2:$I$2905,AG$2,FALSE),0)</f>
        <v>0</v>
      </c>
      <c r="AH107" s="346">
        <f>IFERROR(VLOOKUP($AE107,costs!$A$2:$I$2905,AH$2,FALSE),0)</f>
        <v>0</v>
      </c>
      <c r="AI107" s="346">
        <f>IFERROR(VLOOKUP($AE107,costs!$A$2:$I$2905,AI$2,FALSE),0)</f>
        <v>0</v>
      </c>
      <c r="AJ107" s="346">
        <f>IFERROR(VLOOKUP($AE107,costs!$A$2:$I$2905,AJ$2,FALSE),0)</f>
        <v>0</v>
      </c>
      <c r="AK107" s="346">
        <f>IFERROR(VLOOKUP($AE107,costs!$A$2:$I$2905,AK$2,FALSE),0)</f>
        <v>0</v>
      </c>
      <c r="AL107" s="346">
        <f>IFERROR(VLOOKUP($AE107,costs!$A$2:$I$2905,AL$2,FALSE),0)</f>
        <v>0</v>
      </c>
      <c r="AM107" s="346">
        <f>IFERROR(VLOOKUP($AE107,costs!$A$2:$I$2905,AM$2,FALSE),0)</f>
        <v>0</v>
      </c>
      <c r="AO107" s="272" t="s">
        <v>2100</v>
      </c>
      <c r="AP107" s="16">
        <f>IFERROR(VLOOKUP($AO107,costs!$A$2:$I$2905,AP$2,FALSE),0)</f>
        <v>0</v>
      </c>
      <c r="AQ107" s="16">
        <f>IFERROR(VLOOKUP($AO107,costs!$A$2:$I$2905,AQ$2,FALSE),0)</f>
        <v>0</v>
      </c>
      <c r="AR107" s="16">
        <f>IFERROR(VLOOKUP($AO107,costs!$A$2:$I$2905,AR$2,FALSE),0)</f>
        <v>0</v>
      </c>
      <c r="AS107" s="16">
        <f>IFERROR(VLOOKUP($AO107,costs!$A$2:$I$2905,AS$2,FALSE),0)</f>
        <v>0</v>
      </c>
      <c r="AT107" s="16">
        <f>IFERROR(VLOOKUP($AO107,costs!$A$2:$I$2905,AT$2,FALSE),0)</f>
        <v>0</v>
      </c>
      <c r="AU107" s="16">
        <f>IFERROR(VLOOKUP($AO107,costs!$A$2:$I$2905,AU$2,FALSE),0)</f>
        <v>0</v>
      </c>
      <c r="AV107" s="16">
        <f>IFERROR(VLOOKUP($AO107,costs!$A$2:$I$2905,AV$2,FALSE),0)</f>
        <v>0</v>
      </c>
      <c r="AW107" s="16">
        <f>IFERROR(VLOOKUP($AO107,costs!$A$2:$I$2905,AW$2,FALSE),0)</f>
        <v>0</v>
      </c>
      <c r="AY107" s="273" t="s">
        <v>2136</v>
      </c>
      <c r="AZ107" s="16">
        <f>IFERROR(VLOOKUP($AY107,costs!$A$2:$I$2905,AZ$2,FALSE),0)</f>
        <v>0</v>
      </c>
      <c r="BA107" s="16">
        <f>IFERROR(VLOOKUP($AY107,costs!$A$2:$I$2905,BA$2,FALSE),0)</f>
        <v>0</v>
      </c>
      <c r="BB107" s="16">
        <f>IFERROR(VLOOKUP($AY107,costs!$A$2:$I$2905,BB$2,FALSE),0)</f>
        <v>0</v>
      </c>
      <c r="BC107" s="16">
        <f>IFERROR(VLOOKUP($AY107,costs!$A$2:$I$2905,BC$2,FALSE),0)</f>
        <v>0</v>
      </c>
      <c r="BD107" s="16">
        <f>IFERROR(VLOOKUP($AY107,costs!$A$2:$I$2905,BD$2,FALSE),0)</f>
        <v>0</v>
      </c>
      <c r="BE107" s="16">
        <f>IFERROR(VLOOKUP($AY107,costs!$A$2:$I$2905,BE$2,FALSE),0)</f>
        <v>0</v>
      </c>
      <c r="BF107" s="16">
        <f>IFERROR(VLOOKUP($AY107,costs!$A$2:$I$2905,BF$2,FALSE),0)</f>
        <v>0</v>
      </c>
      <c r="BG107" s="16">
        <f>IFERROR(VLOOKUP($AY107,costs!$A$2:$I$2905,BG$2,FALSE),0)</f>
        <v>0</v>
      </c>
    </row>
    <row r="108" spans="2:59" x14ac:dyDescent="0.35">
      <c r="B108" s="341" t="s">
        <v>2291</v>
      </c>
      <c r="C108" s="348">
        <f>C33</f>
        <v>1</v>
      </c>
      <c r="D108" s="348" t="e">
        <f>D33</f>
        <v>#DIV/0!</v>
      </c>
      <c r="E108" s="348" t="e">
        <f t="shared" ref="E108:I109" si="47">E33</f>
        <v>#DIV/0!</v>
      </c>
      <c r="F108" s="348" t="e">
        <f t="shared" si="47"/>
        <v>#DIV/0!</v>
      </c>
      <c r="G108" s="348" t="e">
        <f t="shared" si="47"/>
        <v>#DIV/0!</v>
      </c>
      <c r="H108" s="348" t="e">
        <f t="shared" si="47"/>
        <v>#DIV/0!</v>
      </c>
      <c r="I108" s="348" t="e">
        <f t="shared" si="47"/>
        <v>#DIV/0!</v>
      </c>
      <c r="U108" s="272" t="s">
        <v>6</v>
      </c>
      <c r="V108" s="16">
        <f>IFERROR(VLOOKUP($U108,costs!$A$2:$I$2905,V$2,FALSE),0)</f>
        <v>0</v>
      </c>
      <c r="W108" s="16">
        <f>IFERROR(VLOOKUP($U108,costs!$A$2:$I$2905,W$2,FALSE),0)</f>
        <v>0</v>
      </c>
      <c r="X108" s="16">
        <f>IFERROR(VLOOKUP($U108,costs!$A$2:$I$2905,X$2,FALSE),0)</f>
        <v>0</v>
      </c>
      <c r="Y108" s="16">
        <f>IFERROR(VLOOKUP($U108,costs!$A$2:$I$2905,Y$2,FALSE),0)</f>
        <v>0</v>
      </c>
      <c r="Z108" s="16">
        <f>IFERROR(VLOOKUP($U108,costs!$A$2:$I$2905,Z$2,FALSE),0)</f>
        <v>0</v>
      </c>
      <c r="AA108" s="16">
        <f>IFERROR(VLOOKUP($U108,costs!$A$2:$I$2905,AA$2,FALSE),0)</f>
        <v>0</v>
      </c>
      <c r="AB108" s="16">
        <f>IFERROR(VLOOKUP($U108,costs!$A$2:$I$2905,AB$2,FALSE),0)</f>
        <v>0</v>
      </c>
      <c r="AC108" s="16">
        <f>IFERROR(VLOOKUP($U108,costs!$A$2:$I$2905,AC$2,FALSE),0)</f>
        <v>0</v>
      </c>
      <c r="AE108" s="367" t="s">
        <v>2958</v>
      </c>
      <c r="AF108" s="346">
        <f>IFERROR(VLOOKUP($AE108,costs!$A$2:$I$2905,AF$2,FALSE),0)</f>
        <v>0</v>
      </c>
      <c r="AG108" s="346">
        <f>IFERROR(VLOOKUP($AE108,costs!$A$2:$I$2905,AG$2,FALSE),0)</f>
        <v>0</v>
      </c>
      <c r="AH108" s="346">
        <f>IFERROR(VLOOKUP($AE108,costs!$A$2:$I$2905,AH$2,FALSE),0)</f>
        <v>0</v>
      </c>
      <c r="AI108" s="346">
        <f>IFERROR(VLOOKUP($AE108,costs!$A$2:$I$2905,AI$2,FALSE),0)</f>
        <v>0</v>
      </c>
      <c r="AJ108" s="346">
        <f>IFERROR(VLOOKUP($AE108,costs!$A$2:$I$2905,AJ$2,FALSE),0)</f>
        <v>0</v>
      </c>
      <c r="AK108" s="346">
        <f>IFERROR(VLOOKUP($AE108,costs!$A$2:$I$2905,AK$2,FALSE),0)</f>
        <v>0</v>
      </c>
      <c r="AL108" s="346">
        <f>IFERROR(VLOOKUP($AE108,costs!$A$2:$I$2905,AL$2,FALSE),0)</f>
        <v>0</v>
      </c>
      <c r="AM108" s="346">
        <f>IFERROR(VLOOKUP($AE108,costs!$A$2:$I$2905,AM$2,FALSE),0)</f>
        <v>0</v>
      </c>
      <c r="AO108" s="273" t="s">
        <v>207</v>
      </c>
      <c r="AP108" s="16">
        <f>IFERROR(VLOOKUP($AO108,costs!$A$2:$I$2905,AP$2,FALSE),0)</f>
        <v>0</v>
      </c>
      <c r="AQ108" s="16">
        <f>IFERROR(VLOOKUP($AO108,costs!$A$2:$I$2905,AQ$2,FALSE),0)</f>
        <v>0</v>
      </c>
      <c r="AR108" s="16">
        <f>IFERROR(VLOOKUP($AO108,costs!$A$2:$I$2905,AR$2,FALSE),0)</f>
        <v>0</v>
      </c>
      <c r="AS108" s="16">
        <f>IFERROR(VLOOKUP($AO108,costs!$A$2:$I$2905,AS$2,FALSE),0)</f>
        <v>0</v>
      </c>
      <c r="AT108" s="16">
        <f>IFERROR(VLOOKUP($AO108,costs!$A$2:$I$2905,AT$2,FALSE),0)</f>
        <v>0</v>
      </c>
      <c r="AU108" s="16">
        <f>IFERROR(VLOOKUP($AO108,costs!$A$2:$I$2905,AU$2,FALSE),0)</f>
        <v>0</v>
      </c>
      <c r="AV108" s="16">
        <f>IFERROR(VLOOKUP($AO108,costs!$A$2:$I$2905,AV$2,FALSE),0)</f>
        <v>0</v>
      </c>
      <c r="AW108" s="16">
        <f>IFERROR(VLOOKUP($AO108,costs!$A$2:$I$2905,AW$2,FALSE),0)</f>
        <v>0</v>
      </c>
      <c r="AY108" s="272" t="s">
        <v>429</v>
      </c>
      <c r="AZ108" s="16">
        <f>IFERROR(VLOOKUP($AY108,costs!$A$2:$I$2905,AZ$2,FALSE),0)</f>
        <v>0</v>
      </c>
      <c r="BA108" s="16">
        <f>IFERROR(VLOOKUP($AY108,costs!$A$2:$I$2905,BA$2,FALSE),0)</f>
        <v>0</v>
      </c>
      <c r="BB108" s="16">
        <f>IFERROR(VLOOKUP($AY108,costs!$A$2:$I$2905,BB$2,FALSE),0)</f>
        <v>0</v>
      </c>
      <c r="BC108" s="16">
        <f>IFERROR(VLOOKUP($AY108,costs!$A$2:$I$2905,BC$2,FALSE),0)</f>
        <v>0</v>
      </c>
      <c r="BD108" s="16">
        <f>IFERROR(VLOOKUP($AY108,costs!$A$2:$I$2905,BD$2,FALSE),0)</f>
        <v>0</v>
      </c>
      <c r="BE108" s="16">
        <f>IFERROR(VLOOKUP($AY108,costs!$A$2:$I$2905,BE$2,FALSE),0)</f>
        <v>0</v>
      </c>
      <c r="BF108" s="16">
        <f>IFERROR(VLOOKUP($AY108,costs!$A$2:$I$2905,BF$2,FALSE),0)</f>
        <v>0</v>
      </c>
      <c r="BG108" s="16">
        <f>IFERROR(VLOOKUP($AY108,costs!$A$2:$I$2905,BG$2,FALSE),0)</f>
        <v>0</v>
      </c>
    </row>
    <row r="109" spans="2:59" x14ac:dyDescent="0.35">
      <c r="B109" t="str">
        <f>B34</f>
        <v>Total System Costs</v>
      </c>
      <c r="C109" s="348">
        <f>C34</f>
        <v>1</v>
      </c>
      <c r="D109" s="348" t="e">
        <f>D34</f>
        <v>#N/A</v>
      </c>
      <c r="E109" s="348" t="e">
        <f t="shared" si="47"/>
        <v>#N/A</v>
      </c>
      <c r="F109" s="348" t="e">
        <f t="shared" si="47"/>
        <v>#N/A</v>
      </c>
      <c r="G109" s="348" t="e">
        <f t="shared" si="47"/>
        <v>#N/A</v>
      </c>
      <c r="H109" s="348" t="e">
        <f t="shared" si="47"/>
        <v>#N/A</v>
      </c>
      <c r="I109" s="348" t="e">
        <f t="shared" si="47"/>
        <v>#N/A</v>
      </c>
      <c r="U109" s="273" t="s">
        <v>78</v>
      </c>
      <c r="V109" s="16">
        <f>IFERROR(VLOOKUP($U109,costs!$A$2:$I$2905,V$2,FALSE),0)</f>
        <v>0</v>
      </c>
      <c r="W109" s="16">
        <f>IFERROR(VLOOKUP($U109,costs!$A$2:$I$2905,W$2,FALSE),0)</f>
        <v>0</v>
      </c>
      <c r="X109" s="16">
        <f>IFERROR(VLOOKUP($U109,costs!$A$2:$I$2905,X$2,FALSE),0)</f>
        <v>0</v>
      </c>
      <c r="Y109" s="16">
        <f>IFERROR(VLOOKUP($U109,costs!$A$2:$I$2905,Y$2,FALSE),0)</f>
        <v>0</v>
      </c>
      <c r="Z109" s="16">
        <f>IFERROR(VLOOKUP($U109,costs!$A$2:$I$2905,Z$2,FALSE),0)</f>
        <v>0</v>
      </c>
      <c r="AA109" s="16">
        <f>IFERROR(VLOOKUP($U109,costs!$A$2:$I$2905,AA$2,FALSE),0)</f>
        <v>0</v>
      </c>
      <c r="AB109" s="16">
        <f>IFERROR(VLOOKUP($U109,costs!$A$2:$I$2905,AB$2,FALSE),0)</f>
        <v>0</v>
      </c>
      <c r="AC109" s="16">
        <f>IFERROR(VLOOKUP($U109,costs!$A$2:$I$2905,AC$2,FALSE),0)</f>
        <v>0</v>
      </c>
      <c r="AE109" s="367" t="s">
        <v>2959</v>
      </c>
      <c r="AF109" s="346">
        <f>IFERROR(VLOOKUP($AE109,costs!$A$2:$I$2905,AF$2,FALSE),0)</f>
        <v>0</v>
      </c>
      <c r="AG109" s="346">
        <f>IFERROR(VLOOKUP($AE109,costs!$A$2:$I$2905,AG$2,FALSE),0)</f>
        <v>0</v>
      </c>
      <c r="AH109" s="346">
        <f>IFERROR(VLOOKUP($AE109,costs!$A$2:$I$2905,AH$2,FALSE),0)</f>
        <v>0</v>
      </c>
      <c r="AI109" s="346">
        <f>IFERROR(VLOOKUP($AE109,costs!$A$2:$I$2905,AI$2,FALSE),0)</f>
        <v>0</v>
      </c>
      <c r="AJ109" s="346">
        <f>IFERROR(VLOOKUP($AE109,costs!$A$2:$I$2905,AJ$2,FALSE),0)</f>
        <v>0</v>
      </c>
      <c r="AK109" s="346">
        <f>IFERROR(VLOOKUP($AE109,costs!$A$2:$I$2905,AK$2,FALSE),0)</f>
        <v>0</v>
      </c>
      <c r="AL109" s="346">
        <f>IFERROR(VLOOKUP($AE109,costs!$A$2:$I$2905,AL$2,FALSE),0)</f>
        <v>0</v>
      </c>
      <c r="AM109" s="346">
        <f>IFERROR(VLOOKUP($AE109,costs!$A$2:$I$2905,AM$2,FALSE),0)</f>
        <v>0</v>
      </c>
      <c r="AO109" s="272" t="s">
        <v>285</v>
      </c>
      <c r="AP109" s="16">
        <f>IFERROR(VLOOKUP($AO109,costs!$A$2:$I$2905,AP$2,FALSE),0)</f>
        <v>0</v>
      </c>
      <c r="AQ109" s="16">
        <f>IFERROR(VLOOKUP($AO109,costs!$A$2:$I$2905,AQ$2,FALSE),0)</f>
        <v>0</v>
      </c>
      <c r="AR109" s="16">
        <f>IFERROR(VLOOKUP($AO109,costs!$A$2:$I$2905,AR$2,FALSE),0)</f>
        <v>0</v>
      </c>
      <c r="AS109" s="16">
        <f>IFERROR(VLOOKUP($AO109,costs!$A$2:$I$2905,AS$2,FALSE),0)</f>
        <v>0</v>
      </c>
      <c r="AT109" s="16">
        <f>IFERROR(VLOOKUP($AO109,costs!$A$2:$I$2905,AT$2,FALSE),0)</f>
        <v>0</v>
      </c>
      <c r="AU109" s="16">
        <f>IFERROR(VLOOKUP($AO109,costs!$A$2:$I$2905,AU$2,FALSE),0)</f>
        <v>0</v>
      </c>
      <c r="AV109" s="16">
        <f>IFERROR(VLOOKUP($AO109,costs!$A$2:$I$2905,AV$2,FALSE),0)</f>
        <v>0</v>
      </c>
      <c r="AW109" s="16">
        <f>IFERROR(VLOOKUP($AO109,costs!$A$2:$I$2905,AW$2,FALSE),0)</f>
        <v>0</v>
      </c>
      <c r="AY109" s="273" t="s">
        <v>430</v>
      </c>
      <c r="AZ109" s="16">
        <f>IFERROR(VLOOKUP($AY109,costs!$A$2:$I$2905,AZ$2,FALSE),0)</f>
        <v>0</v>
      </c>
      <c r="BA109" s="16">
        <f>IFERROR(VLOOKUP($AY109,costs!$A$2:$I$2905,BA$2,FALSE),0)</f>
        <v>0</v>
      </c>
      <c r="BB109" s="16">
        <f>IFERROR(VLOOKUP($AY109,costs!$A$2:$I$2905,BB$2,FALSE),0)</f>
        <v>0</v>
      </c>
      <c r="BC109" s="16">
        <f>IFERROR(VLOOKUP($AY109,costs!$A$2:$I$2905,BC$2,FALSE),0)</f>
        <v>0</v>
      </c>
      <c r="BD109" s="16">
        <f>IFERROR(VLOOKUP($AY109,costs!$A$2:$I$2905,BD$2,FALSE),0)</f>
        <v>0</v>
      </c>
      <c r="BE109" s="16">
        <f>IFERROR(VLOOKUP($AY109,costs!$A$2:$I$2905,BE$2,FALSE),0)</f>
        <v>0</v>
      </c>
      <c r="BF109" s="16">
        <f>IFERROR(VLOOKUP($AY109,costs!$A$2:$I$2905,BF$2,FALSE),0)</f>
        <v>0</v>
      </c>
      <c r="BG109" s="16">
        <f>IFERROR(VLOOKUP($AY109,costs!$A$2:$I$2905,BG$2,FALSE),0)</f>
        <v>0</v>
      </c>
    </row>
    <row r="110" spans="2:59" x14ac:dyDescent="0.35">
      <c r="U110" s="272" t="s">
        <v>79</v>
      </c>
      <c r="V110" s="16">
        <f>IFERROR(VLOOKUP($U110,costs!$A$2:$I$2905,V$2,FALSE),0)</f>
        <v>0</v>
      </c>
      <c r="W110" s="16">
        <f>IFERROR(VLOOKUP($U110,costs!$A$2:$I$2905,W$2,FALSE),0)</f>
        <v>0</v>
      </c>
      <c r="X110" s="16">
        <f>IFERROR(VLOOKUP($U110,costs!$A$2:$I$2905,X$2,FALSE),0)</f>
        <v>0</v>
      </c>
      <c r="Y110" s="16">
        <f>IFERROR(VLOOKUP($U110,costs!$A$2:$I$2905,Y$2,FALSE),0)</f>
        <v>0</v>
      </c>
      <c r="Z110" s="16">
        <f>IFERROR(VLOOKUP($U110,costs!$A$2:$I$2905,Z$2,FALSE),0)</f>
        <v>0</v>
      </c>
      <c r="AA110" s="16">
        <f>IFERROR(VLOOKUP($U110,costs!$A$2:$I$2905,AA$2,FALSE),0)</f>
        <v>0</v>
      </c>
      <c r="AB110" s="16">
        <f>IFERROR(VLOOKUP($U110,costs!$A$2:$I$2905,AB$2,FALSE),0)</f>
        <v>0</v>
      </c>
      <c r="AC110" s="16">
        <f>IFERROR(VLOOKUP($U110,costs!$A$2:$I$2905,AC$2,FALSE),0)</f>
        <v>0</v>
      </c>
      <c r="AE110" s="367" t="s">
        <v>2955</v>
      </c>
      <c r="AF110" s="346">
        <f>IFERROR(VLOOKUP($AE110,costs!$A$2:$I$2905,AF$2,FALSE),0)</f>
        <v>0</v>
      </c>
      <c r="AG110" s="346">
        <f>IFERROR(VLOOKUP($AE110,costs!$A$2:$I$2905,AG$2,FALSE),0)</f>
        <v>0</v>
      </c>
      <c r="AH110" s="346">
        <f>IFERROR(VLOOKUP($AE110,costs!$A$2:$I$2905,AH$2,FALSE),0)</f>
        <v>0</v>
      </c>
      <c r="AI110" s="346">
        <f>IFERROR(VLOOKUP($AE110,costs!$A$2:$I$2905,AI$2,FALSE),0)</f>
        <v>0</v>
      </c>
      <c r="AJ110" s="346">
        <f>IFERROR(VLOOKUP($AE110,costs!$A$2:$I$2905,AJ$2,FALSE),0)</f>
        <v>0</v>
      </c>
      <c r="AK110" s="346">
        <f>IFERROR(VLOOKUP($AE110,costs!$A$2:$I$2905,AK$2,FALSE),0)</f>
        <v>0</v>
      </c>
      <c r="AL110" s="346">
        <f>IFERROR(VLOOKUP($AE110,costs!$A$2:$I$2905,AL$2,FALSE),0)</f>
        <v>0</v>
      </c>
      <c r="AM110" s="346">
        <f>IFERROR(VLOOKUP($AE110,costs!$A$2:$I$2905,AM$2,FALSE),0)</f>
        <v>0</v>
      </c>
      <c r="AO110" s="273" t="s">
        <v>361</v>
      </c>
      <c r="AP110" s="16">
        <f>IFERROR(VLOOKUP($AO110,costs!$A$2:$I$2905,AP$2,FALSE),0)</f>
        <v>0</v>
      </c>
      <c r="AQ110" s="16">
        <f>IFERROR(VLOOKUP($AO110,costs!$A$2:$I$2905,AQ$2,FALSE),0)</f>
        <v>0</v>
      </c>
      <c r="AR110" s="16">
        <f>IFERROR(VLOOKUP($AO110,costs!$A$2:$I$2905,AR$2,FALSE),0)</f>
        <v>0</v>
      </c>
      <c r="AS110" s="16">
        <f>IFERROR(VLOOKUP($AO110,costs!$A$2:$I$2905,AS$2,FALSE),0)</f>
        <v>0</v>
      </c>
      <c r="AT110" s="16">
        <f>IFERROR(VLOOKUP($AO110,costs!$A$2:$I$2905,AT$2,FALSE),0)</f>
        <v>0</v>
      </c>
      <c r="AU110" s="16">
        <f>IFERROR(VLOOKUP($AO110,costs!$A$2:$I$2905,AU$2,FALSE),0)</f>
        <v>0</v>
      </c>
      <c r="AV110" s="16">
        <f>IFERROR(VLOOKUP($AO110,costs!$A$2:$I$2905,AV$2,FALSE),0)</f>
        <v>0</v>
      </c>
      <c r="AW110" s="16">
        <f>IFERROR(VLOOKUP($AO110,costs!$A$2:$I$2905,AW$2,FALSE),0)</f>
        <v>0</v>
      </c>
      <c r="AY110" s="272" t="s">
        <v>2137</v>
      </c>
      <c r="AZ110" s="16">
        <f>IFERROR(VLOOKUP($AY110,costs!$A$2:$I$2905,AZ$2,FALSE),0)</f>
        <v>0</v>
      </c>
      <c r="BA110" s="16">
        <f>IFERROR(VLOOKUP($AY110,costs!$A$2:$I$2905,BA$2,FALSE),0)</f>
        <v>0</v>
      </c>
      <c r="BB110" s="16">
        <f>IFERROR(VLOOKUP($AY110,costs!$A$2:$I$2905,BB$2,FALSE),0)</f>
        <v>0</v>
      </c>
      <c r="BC110" s="16">
        <f>IFERROR(VLOOKUP($AY110,costs!$A$2:$I$2905,BC$2,FALSE),0)</f>
        <v>0</v>
      </c>
      <c r="BD110" s="16">
        <f>IFERROR(VLOOKUP($AY110,costs!$A$2:$I$2905,BD$2,FALSE),0)</f>
        <v>0</v>
      </c>
      <c r="BE110" s="16">
        <f>IFERROR(VLOOKUP($AY110,costs!$A$2:$I$2905,BE$2,FALSE),0)</f>
        <v>0</v>
      </c>
      <c r="BF110" s="16">
        <f>IFERROR(VLOOKUP($AY110,costs!$A$2:$I$2905,BF$2,FALSE),0)</f>
        <v>0</v>
      </c>
      <c r="BG110" s="16">
        <f>IFERROR(VLOOKUP($AY110,costs!$A$2:$I$2905,BG$2,FALSE),0)</f>
        <v>0</v>
      </c>
    </row>
    <row r="111" spans="2:59" x14ac:dyDescent="0.35">
      <c r="U111" s="273" t="s">
        <v>7</v>
      </c>
      <c r="V111" s="16">
        <f>IFERROR(VLOOKUP($U111,costs!$A$2:$I$2905,V$2,FALSE),0)</f>
        <v>0</v>
      </c>
      <c r="W111" s="16">
        <f>IFERROR(VLOOKUP($U111,costs!$A$2:$I$2905,W$2,FALSE),0)</f>
        <v>0</v>
      </c>
      <c r="X111" s="16">
        <f>IFERROR(VLOOKUP($U111,costs!$A$2:$I$2905,X$2,FALSE),0)</f>
        <v>0</v>
      </c>
      <c r="Y111" s="16">
        <f>IFERROR(VLOOKUP($U111,costs!$A$2:$I$2905,Y$2,FALSE),0)</f>
        <v>0</v>
      </c>
      <c r="Z111" s="16">
        <f>IFERROR(VLOOKUP($U111,costs!$A$2:$I$2905,Z$2,FALSE),0)</f>
        <v>0</v>
      </c>
      <c r="AA111" s="16">
        <f>IFERROR(VLOOKUP($U111,costs!$A$2:$I$2905,AA$2,FALSE),0)</f>
        <v>0</v>
      </c>
      <c r="AB111" s="16">
        <f>IFERROR(VLOOKUP($U111,costs!$A$2:$I$2905,AB$2,FALSE),0)</f>
        <v>0</v>
      </c>
      <c r="AC111" s="16">
        <f>IFERROR(VLOOKUP($U111,costs!$A$2:$I$2905,AC$2,FALSE),0)</f>
        <v>0</v>
      </c>
      <c r="AE111" s="367" t="s">
        <v>2961</v>
      </c>
      <c r="AF111" s="346">
        <f>IFERROR(VLOOKUP($AE111,costs!$A$2:$I$2905,AF$2,FALSE),0)</f>
        <v>0</v>
      </c>
      <c r="AG111" s="346">
        <f>IFERROR(VLOOKUP($AE111,costs!$A$2:$I$2905,AG$2,FALSE),0)</f>
        <v>0</v>
      </c>
      <c r="AH111" s="346">
        <f>IFERROR(VLOOKUP($AE111,costs!$A$2:$I$2905,AH$2,FALSE),0)</f>
        <v>0</v>
      </c>
      <c r="AI111" s="346">
        <f>IFERROR(VLOOKUP($AE111,costs!$A$2:$I$2905,AI$2,FALSE),0)</f>
        <v>0</v>
      </c>
      <c r="AJ111" s="346">
        <f>IFERROR(VLOOKUP($AE111,costs!$A$2:$I$2905,AJ$2,FALSE),0)</f>
        <v>0</v>
      </c>
      <c r="AK111" s="346">
        <f>IFERROR(VLOOKUP($AE111,costs!$A$2:$I$2905,AK$2,FALSE),0)</f>
        <v>0</v>
      </c>
      <c r="AL111" s="346">
        <f>IFERROR(VLOOKUP($AE111,costs!$A$2:$I$2905,AL$2,FALSE),0)</f>
        <v>0</v>
      </c>
      <c r="AM111" s="346">
        <f>IFERROR(VLOOKUP($AE111,costs!$A$2:$I$2905,AM$2,FALSE),0)</f>
        <v>0</v>
      </c>
      <c r="AO111" s="40" t="s">
        <v>2113</v>
      </c>
      <c r="AP111" s="16">
        <f>IFERROR(VLOOKUP($AO111,costs!$A$2:$I$2905,AP$2,FALSE),0)</f>
        <v>0</v>
      </c>
      <c r="AQ111" s="16">
        <f>IFERROR(VLOOKUP($AO111,costs!$A$2:$I$2905,AQ$2,FALSE),0)</f>
        <v>0</v>
      </c>
      <c r="AR111" s="16">
        <f>IFERROR(VLOOKUP($AO111,costs!$A$2:$I$2905,AR$2,FALSE),0)</f>
        <v>0</v>
      </c>
      <c r="AS111" s="16">
        <f>IFERROR(VLOOKUP($AO111,costs!$A$2:$I$2905,AS$2,FALSE),0)</f>
        <v>0</v>
      </c>
      <c r="AT111" s="16">
        <f>IFERROR(VLOOKUP($AO111,costs!$A$2:$I$2905,AT$2,FALSE),0)</f>
        <v>0</v>
      </c>
      <c r="AU111" s="16">
        <f>IFERROR(VLOOKUP($AO111,costs!$A$2:$I$2905,AU$2,FALSE),0)</f>
        <v>0</v>
      </c>
      <c r="AV111" s="16">
        <f>IFERROR(VLOOKUP($AO111,costs!$A$2:$I$2905,AV$2,FALSE),0)</f>
        <v>0</v>
      </c>
      <c r="AW111" s="16">
        <f>IFERROR(VLOOKUP($AO111,costs!$A$2:$I$2905,AW$2,FALSE),0)</f>
        <v>0</v>
      </c>
      <c r="AY111" s="273" t="s">
        <v>431</v>
      </c>
      <c r="AZ111" s="16">
        <f>IFERROR(VLOOKUP($AY111,costs!$A$2:$I$2905,AZ$2,FALSE),0)</f>
        <v>0</v>
      </c>
      <c r="BA111" s="16">
        <f>IFERROR(VLOOKUP($AY111,costs!$A$2:$I$2905,BA$2,FALSE),0)</f>
        <v>0</v>
      </c>
      <c r="BB111" s="16">
        <f>IFERROR(VLOOKUP($AY111,costs!$A$2:$I$2905,BB$2,FALSE),0)</f>
        <v>0</v>
      </c>
      <c r="BC111" s="16">
        <f>IFERROR(VLOOKUP($AY111,costs!$A$2:$I$2905,BC$2,FALSE),0)</f>
        <v>0</v>
      </c>
      <c r="BD111" s="16">
        <f>IFERROR(VLOOKUP($AY111,costs!$A$2:$I$2905,BD$2,FALSE),0)</f>
        <v>0</v>
      </c>
      <c r="BE111" s="16">
        <f>IFERROR(VLOOKUP($AY111,costs!$A$2:$I$2905,BE$2,FALSE),0)</f>
        <v>0</v>
      </c>
      <c r="BF111" s="16">
        <f>IFERROR(VLOOKUP($AY111,costs!$A$2:$I$2905,BF$2,FALSE),0)</f>
        <v>0</v>
      </c>
      <c r="BG111" s="16">
        <f>IFERROR(VLOOKUP($AY111,costs!$A$2:$I$2905,BG$2,FALSE),0)</f>
        <v>0</v>
      </c>
    </row>
    <row r="112" spans="2:59" x14ac:dyDescent="0.35">
      <c r="U112" s="272" t="s">
        <v>80</v>
      </c>
      <c r="V112" s="16">
        <f>IFERROR(VLOOKUP($U112,costs!$A$2:$I$2905,V$2,FALSE),0)</f>
        <v>0</v>
      </c>
      <c r="W112" s="16">
        <f>IFERROR(VLOOKUP($U112,costs!$A$2:$I$2905,W$2,FALSE),0)</f>
        <v>0</v>
      </c>
      <c r="X112" s="16">
        <f>IFERROR(VLOOKUP($U112,costs!$A$2:$I$2905,X$2,FALSE),0)</f>
        <v>0</v>
      </c>
      <c r="Y112" s="16">
        <f>IFERROR(VLOOKUP($U112,costs!$A$2:$I$2905,Y$2,FALSE),0)</f>
        <v>0</v>
      </c>
      <c r="Z112" s="16">
        <f>IFERROR(VLOOKUP($U112,costs!$A$2:$I$2905,Z$2,FALSE),0)</f>
        <v>0</v>
      </c>
      <c r="AA112" s="16">
        <f>IFERROR(VLOOKUP($U112,costs!$A$2:$I$2905,AA$2,FALSE),0)</f>
        <v>0</v>
      </c>
      <c r="AB112" s="16">
        <f>IFERROR(VLOOKUP($U112,costs!$A$2:$I$2905,AB$2,FALSE),0)</f>
        <v>0</v>
      </c>
      <c r="AC112" s="16">
        <f>IFERROR(VLOOKUP($U112,costs!$A$2:$I$2905,AC$2,FALSE),0)</f>
        <v>0</v>
      </c>
      <c r="AE112" s="367" t="s">
        <v>2956</v>
      </c>
      <c r="AF112" s="346">
        <f>IFERROR(VLOOKUP($AE112,costs!$A$2:$I$2905,AF$2,FALSE),0)</f>
        <v>0</v>
      </c>
      <c r="AG112" s="346">
        <f>IFERROR(VLOOKUP($AE112,costs!$A$2:$I$2905,AG$2,FALSE),0)</f>
        <v>0</v>
      </c>
      <c r="AH112" s="346">
        <f>IFERROR(VLOOKUP($AE112,costs!$A$2:$I$2905,AH$2,FALSE),0)</f>
        <v>0</v>
      </c>
      <c r="AI112" s="346">
        <f>IFERROR(VLOOKUP($AE112,costs!$A$2:$I$2905,AI$2,FALSE),0)</f>
        <v>0</v>
      </c>
      <c r="AJ112" s="346">
        <f>IFERROR(VLOOKUP($AE112,costs!$A$2:$I$2905,AJ$2,FALSE),0)</f>
        <v>0</v>
      </c>
      <c r="AK112" s="346">
        <f>IFERROR(VLOOKUP($AE112,costs!$A$2:$I$2905,AK$2,FALSE),0)</f>
        <v>0</v>
      </c>
      <c r="AL112" s="346">
        <f>IFERROR(VLOOKUP($AE112,costs!$A$2:$I$2905,AL$2,FALSE),0)</f>
        <v>0</v>
      </c>
      <c r="AM112" s="346">
        <f>IFERROR(VLOOKUP($AE112,costs!$A$2:$I$2905,AM$2,FALSE),0)</f>
        <v>0</v>
      </c>
      <c r="AO112" s="40" t="s">
        <v>210</v>
      </c>
      <c r="AP112" s="16">
        <f>IFERROR(VLOOKUP($AO112,costs!$A$2:$I$2905,AP$2,FALSE),0)</f>
        <v>0</v>
      </c>
      <c r="AQ112" s="16">
        <f>IFERROR(VLOOKUP($AO112,costs!$A$2:$I$2905,AQ$2,FALSE),0)</f>
        <v>0</v>
      </c>
      <c r="AR112" s="16">
        <f>IFERROR(VLOOKUP($AO112,costs!$A$2:$I$2905,AR$2,FALSE),0)</f>
        <v>0</v>
      </c>
      <c r="AS112" s="16">
        <f>IFERROR(VLOOKUP($AO112,costs!$A$2:$I$2905,AS$2,FALSE),0)</f>
        <v>0</v>
      </c>
      <c r="AT112" s="16">
        <f>IFERROR(VLOOKUP($AO112,costs!$A$2:$I$2905,AT$2,FALSE),0)</f>
        <v>0</v>
      </c>
      <c r="AU112" s="16">
        <f>IFERROR(VLOOKUP($AO112,costs!$A$2:$I$2905,AU$2,FALSE),0)</f>
        <v>0</v>
      </c>
      <c r="AV112" s="16">
        <f>IFERROR(VLOOKUP($AO112,costs!$A$2:$I$2905,AV$2,FALSE),0)</f>
        <v>0</v>
      </c>
      <c r="AW112" s="16">
        <f>IFERROR(VLOOKUP($AO112,costs!$A$2:$I$2905,AW$2,FALSE),0)</f>
        <v>0</v>
      </c>
      <c r="AY112" s="272" t="s">
        <v>432</v>
      </c>
      <c r="AZ112" s="16">
        <f>IFERROR(VLOOKUP($AY112,costs!$A$2:$I$2905,AZ$2,FALSE),0)</f>
        <v>0</v>
      </c>
      <c r="BA112" s="16">
        <f>IFERROR(VLOOKUP($AY112,costs!$A$2:$I$2905,BA$2,FALSE),0)</f>
        <v>0</v>
      </c>
      <c r="BB112" s="16">
        <f>IFERROR(VLOOKUP($AY112,costs!$A$2:$I$2905,BB$2,FALSE),0)</f>
        <v>0</v>
      </c>
      <c r="BC112" s="16">
        <f>IFERROR(VLOOKUP($AY112,costs!$A$2:$I$2905,BC$2,FALSE),0)</f>
        <v>0</v>
      </c>
      <c r="BD112" s="16">
        <f>IFERROR(VLOOKUP($AY112,costs!$A$2:$I$2905,BD$2,FALSE),0)</f>
        <v>0</v>
      </c>
      <c r="BE112" s="16">
        <f>IFERROR(VLOOKUP($AY112,costs!$A$2:$I$2905,BE$2,FALSE),0)</f>
        <v>0</v>
      </c>
      <c r="BF112" s="16">
        <f>IFERROR(VLOOKUP($AY112,costs!$A$2:$I$2905,BF$2,FALSE),0)</f>
        <v>0</v>
      </c>
      <c r="BG112" s="16">
        <f>IFERROR(VLOOKUP($AY112,costs!$A$2:$I$2905,BG$2,FALSE),0)</f>
        <v>0</v>
      </c>
    </row>
    <row r="113" spans="21:59" x14ac:dyDescent="0.35">
      <c r="U113" s="273" t="s">
        <v>81</v>
      </c>
      <c r="V113" s="16">
        <f>IFERROR(VLOOKUP($U113,costs!$A$2:$I$2905,V$2,FALSE),0)</f>
        <v>0</v>
      </c>
      <c r="W113" s="16">
        <f>IFERROR(VLOOKUP($U113,costs!$A$2:$I$2905,W$2,FALSE),0)</f>
        <v>0</v>
      </c>
      <c r="X113" s="16">
        <f>IFERROR(VLOOKUP($U113,costs!$A$2:$I$2905,X$2,FALSE),0)</f>
        <v>0</v>
      </c>
      <c r="Y113" s="16">
        <f>IFERROR(VLOOKUP($U113,costs!$A$2:$I$2905,Y$2,FALSE),0)</f>
        <v>0</v>
      </c>
      <c r="Z113" s="16">
        <f>IFERROR(VLOOKUP($U113,costs!$A$2:$I$2905,Z$2,FALSE),0)</f>
        <v>0</v>
      </c>
      <c r="AA113" s="16">
        <f>IFERROR(VLOOKUP($U113,costs!$A$2:$I$2905,AA$2,FALSE),0)</f>
        <v>0</v>
      </c>
      <c r="AB113" s="16">
        <f>IFERROR(VLOOKUP($U113,costs!$A$2:$I$2905,AB$2,FALSE),0)</f>
        <v>0</v>
      </c>
      <c r="AC113" s="16">
        <f>IFERROR(VLOOKUP($U113,costs!$A$2:$I$2905,AC$2,FALSE),0)</f>
        <v>0</v>
      </c>
      <c r="AE113" s="367" t="s">
        <v>2960</v>
      </c>
      <c r="AF113" s="346">
        <f>IFERROR(VLOOKUP($AE113,costs!$A$2:$I$2905,AF$2,FALSE),0)</f>
        <v>0</v>
      </c>
      <c r="AG113" s="346">
        <f>IFERROR(VLOOKUP($AE113,costs!$A$2:$I$2905,AG$2,FALSE),0)</f>
        <v>0</v>
      </c>
      <c r="AH113" s="346">
        <f>IFERROR(VLOOKUP($AE113,costs!$A$2:$I$2905,AH$2,FALSE),0)</f>
        <v>0</v>
      </c>
      <c r="AI113" s="346">
        <f>IFERROR(VLOOKUP($AE113,costs!$A$2:$I$2905,AI$2,FALSE),0)</f>
        <v>0</v>
      </c>
      <c r="AJ113" s="346">
        <f>IFERROR(VLOOKUP($AE113,costs!$A$2:$I$2905,AJ$2,FALSE),0)</f>
        <v>0</v>
      </c>
      <c r="AK113" s="346">
        <f>IFERROR(VLOOKUP($AE113,costs!$A$2:$I$2905,AK$2,FALSE),0)</f>
        <v>0</v>
      </c>
      <c r="AL113" s="346">
        <f>IFERROR(VLOOKUP($AE113,costs!$A$2:$I$2905,AL$2,FALSE),0)</f>
        <v>0</v>
      </c>
      <c r="AM113" s="346">
        <f>IFERROR(VLOOKUP($AE113,costs!$A$2:$I$2905,AM$2,FALSE),0)</f>
        <v>0</v>
      </c>
      <c r="AO113" s="40" t="s">
        <v>54</v>
      </c>
      <c r="AP113" s="16">
        <f>IFERROR(VLOOKUP($AO113,costs!$A$2:$I$2905,AP$2,FALSE),0)</f>
        <v>0</v>
      </c>
      <c r="AQ113" s="16">
        <f>IFERROR(VLOOKUP($AO113,costs!$A$2:$I$2905,AQ$2,FALSE),0)</f>
        <v>0</v>
      </c>
      <c r="AR113" s="16">
        <f>IFERROR(VLOOKUP($AO113,costs!$A$2:$I$2905,AR$2,FALSE),0)</f>
        <v>0</v>
      </c>
      <c r="AS113" s="16">
        <f>IFERROR(VLOOKUP($AO113,costs!$A$2:$I$2905,AS$2,FALSE),0)</f>
        <v>0</v>
      </c>
      <c r="AT113" s="16">
        <f>IFERROR(VLOOKUP($AO113,costs!$A$2:$I$2905,AT$2,FALSE),0)</f>
        <v>0</v>
      </c>
      <c r="AU113" s="16">
        <f>IFERROR(VLOOKUP($AO113,costs!$A$2:$I$2905,AU$2,FALSE),0)</f>
        <v>0</v>
      </c>
      <c r="AV113" s="16">
        <f>IFERROR(VLOOKUP($AO113,costs!$A$2:$I$2905,AV$2,FALSE),0)</f>
        <v>0</v>
      </c>
      <c r="AW113" s="16">
        <f>IFERROR(VLOOKUP($AO113,costs!$A$2:$I$2905,AW$2,FALSE),0)</f>
        <v>0</v>
      </c>
      <c r="AY113" s="273" t="s">
        <v>2138</v>
      </c>
      <c r="AZ113" s="16">
        <f>IFERROR(VLOOKUP($AY113,costs!$A$2:$I$2905,AZ$2,FALSE),0)</f>
        <v>0</v>
      </c>
      <c r="BA113" s="16">
        <f>IFERROR(VLOOKUP($AY113,costs!$A$2:$I$2905,BA$2,FALSE),0)</f>
        <v>0</v>
      </c>
      <c r="BB113" s="16">
        <f>IFERROR(VLOOKUP($AY113,costs!$A$2:$I$2905,BB$2,FALSE),0)</f>
        <v>0</v>
      </c>
      <c r="BC113" s="16">
        <f>IFERROR(VLOOKUP($AY113,costs!$A$2:$I$2905,BC$2,FALSE),0)</f>
        <v>0</v>
      </c>
      <c r="BD113" s="16">
        <f>IFERROR(VLOOKUP($AY113,costs!$A$2:$I$2905,BD$2,FALSE),0)</f>
        <v>0</v>
      </c>
      <c r="BE113" s="16">
        <f>IFERROR(VLOOKUP($AY113,costs!$A$2:$I$2905,BE$2,FALSE),0)</f>
        <v>0</v>
      </c>
      <c r="BF113" s="16">
        <f>IFERROR(VLOOKUP($AY113,costs!$A$2:$I$2905,BF$2,FALSE),0)</f>
        <v>0</v>
      </c>
      <c r="BG113" s="16">
        <f>IFERROR(VLOOKUP($AY113,costs!$A$2:$I$2905,BG$2,FALSE),0)</f>
        <v>0</v>
      </c>
    </row>
    <row r="114" spans="21:59" x14ac:dyDescent="0.35">
      <c r="U114" s="272" t="s">
        <v>2068</v>
      </c>
      <c r="V114" s="16">
        <f>IFERROR(VLOOKUP($U114,costs!$A$2:$I$2905,V$2,FALSE),0)</f>
        <v>0</v>
      </c>
      <c r="W114" s="16">
        <f>IFERROR(VLOOKUP($U114,costs!$A$2:$I$2905,W$2,FALSE),0)</f>
        <v>0</v>
      </c>
      <c r="X114" s="16">
        <f>IFERROR(VLOOKUP($U114,costs!$A$2:$I$2905,X$2,FALSE),0)</f>
        <v>0</v>
      </c>
      <c r="Y114" s="16">
        <f>IFERROR(VLOOKUP($U114,costs!$A$2:$I$2905,Y$2,FALSE),0)</f>
        <v>0</v>
      </c>
      <c r="Z114" s="16">
        <f>IFERROR(VLOOKUP($U114,costs!$A$2:$I$2905,Z$2,FALSE),0)</f>
        <v>0</v>
      </c>
      <c r="AA114" s="16">
        <f>IFERROR(VLOOKUP($U114,costs!$A$2:$I$2905,AA$2,FALSE),0)</f>
        <v>0</v>
      </c>
      <c r="AB114" s="16">
        <f>IFERROR(VLOOKUP($U114,costs!$A$2:$I$2905,AB$2,FALSE),0)</f>
        <v>0</v>
      </c>
      <c r="AC114" s="16">
        <f>IFERROR(VLOOKUP($U114,costs!$A$2:$I$2905,AC$2,FALSE),0)</f>
        <v>0</v>
      </c>
      <c r="AE114" s="367" t="s">
        <v>2926</v>
      </c>
      <c r="AF114" s="346">
        <f>IFERROR(VLOOKUP($AE114,costs!$A$2:$I$2905,AF$2,FALSE),0)</f>
        <v>0</v>
      </c>
      <c r="AG114" s="346">
        <f>IFERROR(VLOOKUP($AE114,costs!$A$2:$I$2905,AG$2,FALSE),0)</f>
        <v>0</v>
      </c>
      <c r="AH114" s="346">
        <f>IFERROR(VLOOKUP($AE114,costs!$A$2:$I$2905,AH$2,FALSE),0)</f>
        <v>0</v>
      </c>
      <c r="AI114" s="346">
        <f>IFERROR(VLOOKUP($AE114,costs!$A$2:$I$2905,AI$2,FALSE),0)</f>
        <v>0</v>
      </c>
      <c r="AJ114" s="346">
        <f>IFERROR(VLOOKUP($AE114,costs!$A$2:$I$2905,AJ$2,FALSE),0)</f>
        <v>0</v>
      </c>
      <c r="AK114" s="346">
        <f>IFERROR(VLOOKUP($AE114,costs!$A$2:$I$2905,AK$2,FALSE),0)</f>
        <v>0</v>
      </c>
      <c r="AL114" s="346">
        <f>IFERROR(VLOOKUP($AE114,costs!$A$2:$I$2905,AL$2,FALSE),0)</f>
        <v>0</v>
      </c>
      <c r="AM114" s="346">
        <f>IFERROR(VLOOKUP($AE114,costs!$A$2:$I$2905,AM$2,FALSE),0)</f>
        <v>0</v>
      </c>
      <c r="AO114" s="40" t="s">
        <v>2114</v>
      </c>
      <c r="AP114" s="16">
        <f>IFERROR(VLOOKUP($AO114,costs!$A$2:$I$2905,AP$2,FALSE),0)</f>
        <v>0</v>
      </c>
      <c r="AQ114" s="16">
        <f>IFERROR(VLOOKUP($AO114,costs!$A$2:$I$2905,AQ$2,FALSE),0)</f>
        <v>0</v>
      </c>
      <c r="AR114" s="16">
        <f>IFERROR(VLOOKUP($AO114,costs!$A$2:$I$2905,AR$2,FALSE),0)</f>
        <v>0</v>
      </c>
      <c r="AS114" s="16">
        <f>IFERROR(VLOOKUP($AO114,costs!$A$2:$I$2905,AS$2,FALSE),0)</f>
        <v>0</v>
      </c>
      <c r="AT114" s="16">
        <f>IFERROR(VLOOKUP($AO114,costs!$A$2:$I$2905,AT$2,FALSE),0)</f>
        <v>0</v>
      </c>
      <c r="AU114" s="16">
        <f>IFERROR(VLOOKUP($AO114,costs!$A$2:$I$2905,AU$2,FALSE),0)</f>
        <v>0</v>
      </c>
      <c r="AV114" s="16">
        <f>IFERROR(VLOOKUP($AO114,costs!$A$2:$I$2905,AV$2,FALSE),0)</f>
        <v>0</v>
      </c>
      <c r="AW114" s="16">
        <f>IFERROR(VLOOKUP($AO114,costs!$A$2:$I$2905,AW$2,FALSE),0)</f>
        <v>0</v>
      </c>
      <c r="AY114" s="272" t="s">
        <v>433</v>
      </c>
      <c r="AZ114" s="16">
        <f>IFERROR(VLOOKUP($AY114,costs!$A$2:$I$2905,AZ$2,FALSE),0)</f>
        <v>0</v>
      </c>
      <c r="BA114" s="16">
        <f>IFERROR(VLOOKUP($AY114,costs!$A$2:$I$2905,BA$2,FALSE),0)</f>
        <v>0</v>
      </c>
      <c r="BB114" s="16">
        <f>IFERROR(VLOOKUP($AY114,costs!$A$2:$I$2905,BB$2,FALSE),0)</f>
        <v>0</v>
      </c>
      <c r="BC114" s="16">
        <f>IFERROR(VLOOKUP($AY114,costs!$A$2:$I$2905,BC$2,FALSE),0)</f>
        <v>0</v>
      </c>
      <c r="BD114" s="16">
        <f>IFERROR(VLOOKUP($AY114,costs!$A$2:$I$2905,BD$2,FALSE),0)</f>
        <v>0</v>
      </c>
      <c r="BE114" s="16">
        <f>IFERROR(VLOOKUP($AY114,costs!$A$2:$I$2905,BE$2,FALSE),0)</f>
        <v>0</v>
      </c>
      <c r="BF114" s="16">
        <f>IFERROR(VLOOKUP($AY114,costs!$A$2:$I$2905,BF$2,FALSE),0)</f>
        <v>0</v>
      </c>
      <c r="BG114" s="16">
        <f>IFERROR(VLOOKUP($AY114,costs!$A$2:$I$2905,BG$2,FALSE),0)</f>
        <v>0</v>
      </c>
    </row>
    <row r="115" spans="21:59" x14ac:dyDescent="0.35">
      <c r="U115" s="273" t="s">
        <v>8</v>
      </c>
      <c r="V115" s="16">
        <f>IFERROR(VLOOKUP($U115,costs!$A$2:$I$2905,V$2,FALSE),0)</f>
        <v>0</v>
      </c>
      <c r="W115" s="16">
        <f>IFERROR(VLOOKUP($U115,costs!$A$2:$I$2905,W$2,FALSE),0)</f>
        <v>0</v>
      </c>
      <c r="X115" s="16">
        <f>IFERROR(VLOOKUP($U115,costs!$A$2:$I$2905,X$2,FALSE),0)</f>
        <v>0</v>
      </c>
      <c r="Y115" s="16">
        <f>IFERROR(VLOOKUP($U115,costs!$A$2:$I$2905,Y$2,FALSE),0)</f>
        <v>0</v>
      </c>
      <c r="Z115" s="16">
        <f>IFERROR(VLOOKUP($U115,costs!$A$2:$I$2905,Z$2,FALSE),0)</f>
        <v>0</v>
      </c>
      <c r="AA115" s="16">
        <f>IFERROR(VLOOKUP($U115,costs!$A$2:$I$2905,AA$2,FALSE),0)</f>
        <v>0</v>
      </c>
      <c r="AB115" s="16">
        <f>IFERROR(VLOOKUP($U115,costs!$A$2:$I$2905,AB$2,FALSE),0)</f>
        <v>0</v>
      </c>
      <c r="AC115" s="16">
        <f>IFERROR(VLOOKUP($U115,costs!$A$2:$I$2905,AC$2,FALSE),0)</f>
        <v>0</v>
      </c>
      <c r="AE115" s="367" t="s">
        <v>2889</v>
      </c>
      <c r="AF115" s="346">
        <f>IFERROR(VLOOKUP($AE115,costs!$A$2:$I$2905,AF$2,FALSE),0)</f>
        <v>0</v>
      </c>
      <c r="AG115" s="346">
        <f>IFERROR(VLOOKUP($AE115,costs!$A$2:$I$2905,AG$2,FALSE),0)</f>
        <v>0</v>
      </c>
      <c r="AH115" s="346">
        <f>IFERROR(VLOOKUP($AE115,costs!$A$2:$I$2905,AH$2,FALSE),0)</f>
        <v>0</v>
      </c>
      <c r="AI115" s="346">
        <f>IFERROR(VLOOKUP($AE115,costs!$A$2:$I$2905,AI$2,FALSE),0)</f>
        <v>0</v>
      </c>
      <c r="AJ115" s="346">
        <f>IFERROR(VLOOKUP($AE115,costs!$A$2:$I$2905,AJ$2,FALSE),0)</f>
        <v>0</v>
      </c>
      <c r="AK115" s="346">
        <f>IFERROR(VLOOKUP($AE115,costs!$A$2:$I$2905,AK$2,FALSE),0)</f>
        <v>0</v>
      </c>
      <c r="AL115" s="346">
        <f>IFERROR(VLOOKUP($AE115,costs!$A$2:$I$2905,AL$2,FALSE),0)</f>
        <v>0</v>
      </c>
      <c r="AM115" s="346">
        <f>IFERROR(VLOOKUP($AE115,costs!$A$2:$I$2905,AM$2,FALSE),0)</f>
        <v>0</v>
      </c>
      <c r="AO115" s="40" t="s">
        <v>2115</v>
      </c>
      <c r="AP115" s="16">
        <f>IFERROR(VLOOKUP($AO115,costs!$A$2:$I$2905,AP$2,FALSE),0)</f>
        <v>0</v>
      </c>
      <c r="AQ115" s="16">
        <f>IFERROR(VLOOKUP($AO115,costs!$A$2:$I$2905,AQ$2,FALSE),0)</f>
        <v>0</v>
      </c>
      <c r="AR115" s="16">
        <f>IFERROR(VLOOKUP($AO115,costs!$A$2:$I$2905,AR$2,FALSE),0)</f>
        <v>0</v>
      </c>
      <c r="AS115" s="16">
        <f>IFERROR(VLOOKUP($AO115,costs!$A$2:$I$2905,AS$2,FALSE),0)</f>
        <v>0</v>
      </c>
      <c r="AT115" s="16">
        <f>IFERROR(VLOOKUP($AO115,costs!$A$2:$I$2905,AT$2,FALSE),0)</f>
        <v>0</v>
      </c>
      <c r="AU115" s="16">
        <f>IFERROR(VLOOKUP($AO115,costs!$A$2:$I$2905,AU$2,FALSE),0)</f>
        <v>0</v>
      </c>
      <c r="AV115" s="16">
        <f>IFERROR(VLOOKUP($AO115,costs!$A$2:$I$2905,AV$2,FALSE),0)</f>
        <v>0</v>
      </c>
      <c r="AW115" s="16">
        <f>IFERROR(VLOOKUP($AO115,costs!$A$2:$I$2905,AW$2,FALSE),0)</f>
        <v>0</v>
      </c>
      <c r="AY115" s="273" t="s">
        <v>526</v>
      </c>
      <c r="AZ115" s="16">
        <f>IFERROR(VLOOKUP($AY115,costs!$A$2:$I$2905,AZ$2,FALSE),0)</f>
        <v>0</v>
      </c>
      <c r="BA115" s="16">
        <f>IFERROR(VLOOKUP($AY115,costs!$A$2:$I$2905,BA$2,FALSE),0)</f>
        <v>0</v>
      </c>
      <c r="BB115" s="16">
        <f>IFERROR(VLOOKUP($AY115,costs!$A$2:$I$2905,BB$2,FALSE),0)</f>
        <v>0</v>
      </c>
      <c r="BC115" s="16">
        <f>IFERROR(VLOOKUP($AY115,costs!$A$2:$I$2905,BC$2,FALSE),0)</f>
        <v>0</v>
      </c>
      <c r="BD115" s="16">
        <f>IFERROR(VLOOKUP($AY115,costs!$A$2:$I$2905,BD$2,FALSE),0)</f>
        <v>0</v>
      </c>
      <c r="BE115" s="16">
        <f>IFERROR(VLOOKUP($AY115,costs!$A$2:$I$2905,BE$2,FALSE),0)</f>
        <v>0</v>
      </c>
      <c r="BF115" s="16">
        <f>IFERROR(VLOOKUP($AY115,costs!$A$2:$I$2905,BF$2,FALSE),0)</f>
        <v>0</v>
      </c>
      <c r="BG115" s="16">
        <f>IFERROR(VLOOKUP($AY115,costs!$A$2:$I$2905,BG$2,FALSE),0)</f>
        <v>0</v>
      </c>
    </row>
    <row r="116" spans="21:59" x14ac:dyDescent="0.35">
      <c r="U116" s="272" t="s">
        <v>68</v>
      </c>
      <c r="V116" s="16">
        <f>IFERROR(VLOOKUP($U116,costs!$A$2:$I$2905,V$2,FALSE),0)</f>
        <v>0</v>
      </c>
      <c r="W116" s="16">
        <f>IFERROR(VLOOKUP($U116,costs!$A$2:$I$2905,W$2,FALSE),0)</f>
        <v>0</v>
      </c>
      <c r="X116" s="16">
        <f>IFERROR(VLOOKUP($U116,costs!$A$2:$I$2905,X$2,FALSE),0)</f>
        <v>0</v>
      </c>
      <c r="Y116" s="16">
        <f>IFERROR(VLOOKUP($U116,costs!$A$2:$I$2905,Y$2,FALSE),0)</f>
        <v>0</v>
      </c>
      <c r="Z116" s="16">
        <f>IFERROR(VLOOKUP($U116,costs!$A$2:$I$2905,Z$2,FALSE),0)</f>
        <v>0</v>
      </c>
      <c r="AA116" s="16">
        <f>IFERROR(VLOOKUP($U116,costs!$A$2:$I$2905,AA$2,FALSE),0)</f>
        <v>0</v>
      </c>
      <c r="AB116" s="16">
        <f>IFERROR(VLOOKUP($U116,costs!$A$2:$I$2905,AB$2,FALSE),0)</f>
        <v>0</v>
      </c>
      <c r="AC116" s="16">
        <f>IFERROR(VLOOKUP($U116,costs!$A$2:$I$2905,AC$2,FALSE),0)</f>
        <v>0</v>
      </c>
      <c r="AE116" s="99" t="s">
        <v>2031</v>
      </c>
      <c r="AF116" s="102">
        <f t="shared" ref="AF116:AM116" si="48">SUM(AF4:AF115)</f>
        <v>0</v>
      </c>
      <c r="AG116" s="102">
        <f t="shared" si="48"/>
        <v>0</v>
      </c>
      <c r="AH116" s="102">
        <f t="shared" si="48"/>
        <v>0</v>
      </c>
      <c r="AI116" s="102">
        <f t="shared" si="48"/>
        <v>0</v>
      </c>
      <c r="AJ116" s="102">
        <f t="shared" si="48"/>
        <v>0</v>
      </c>
      <c r="AK116" s="102">
        <f t="shared" si="48"/>
        <v>0</v>
      </c>
      <c r="AL116" s="102">
        <f t="shared" si="48"/>
        <v>0</v>
      </c>
      <c r="AM116" s="102">
        <f t="shared" si="48"/>
        <v>0</v>
      </c>
      <c r="AO116" s="40" t="s">
        <v>362</v>
      </c>
      <c r="AP116" s="16">
        <f>IFERROR(VLOOKUP($AO116,costs!$A$2:$I$2905,AP$2,FALSE),0)</f>
        <v>0</v>
      </c>
      <c r="AQ116" s="16">
        <f>IFERROR(VLOOKUP($AO116,costs!$A$2:$I$2905,AQ$2,FALSE),0)</f>
        <v>0</v>
      </c>
      <c r="AR116" s="16">
        <f>IFERROR(VLOOKUP($AO116,costs!$A$2:$I$2905,AR$2,FALSE),0)</f>
        <v>0</v>
      </c>
      <c r="AS116" s="16">
        <f>IFERROR(VLOOKUP($AO116,costs!$A$2:$I$2905,AS$2,FALSE),0)</f>
        <v>0</v>
      </c>
      <c r="AT116" s="16">
        <f>IFERROR(VLOOKUP($AO116,costs!$A$2:$I$2905,AT$2,FALSE),0)</f>
        <v>0</v>
      </c>
      <c r="AU116" s="16">
        <f>IFERROR(VLOOKUP($AO116,costs!$A$2:$I$2905,AU$2,FALSE),0)</f>
        <v>0</v>
      </c>
      <c r="AV116" s="16">
        <f>IFERROR(VLOOKUP($AO116,costs!$A$2:$I$2905,AV$2,FALSE),0)</f>
        <v>0</v>
      </c>
      <c r="AW116" s="16">
        <f>IFERROR(VLOOKUP($AO116,costs!$A$2:$I$2905,AW$2,FALSE),0)</f>
        <v>0</v>
      </c>
      <c r="AY116" s="272" t="s">
        <v>2139</v>
      </c>
      <c r="AZ116" s="16">
        <f>IFERROR(VLOOKUP($AY116,costs!$A$2:$I$2905,AZ$2,FALSE),0)</f>
        <v>0</v>
      </c>
      <c r="BA116" s="16">
        <f>IFERROR(VLOOKUP($AY116,costs!$A$2:$I$2905,BA$2,FALSE),0)</f>
        <v>0</v>
      </c>
      <c r="BB116" s="16">
        <f>IFERROR(VLOOKUP($AY116,costs!$A$2:$I$2905,BB$2,FALSE),0)</f>
        <v>0</v>
      </c>
      <c r="BC116" s="16">
        <f>IFERROR(VLOOKUP($AY116,costs!$A$2:$I$2905,BC$2,FALSE),0)</f>
        <v>0</v>
      </c>
      <c r="BD116" s="16">
        <f>IFERROR(VLOOKUP($AY116,costs!$A$2:$I$2905,BD$2,FALSE),0)</f>
        <v>0</v>
      </c>
      <c r="BE116" s="16">
        <f>IFERROR(VLOOKUP($AY116,costs!$A$2:$I$2905,BE$2,FALSE),0)</f>
        <v>0</v>
      </c>
      <c r="BF116" s="16">
        <f>IFERROR(VLOOKUP($AY116,costs!$A$2:$I$2905,BF$2,FALSE),0)</f>
        <v>0</v>
      </c>
      <c r="BG116" s="16">
        <f>IFERROR(VLOOKUP($AY116,costs!$A$2:$I$2905,BG$2,FALSE),0)</f>
        <v>0</v>
      </c>
    </row>
    <row r="117" spans="21:59" x14ac:dyDescent="0.35">
      <c r="U117" s="273" t="s">
        <v>69</v>
      </c>
      <c r="V117" s="16">
        <f>IFERROR(VLOOKUP($U117,costs!$A$2:$I$2905,V$2,FALSE),0)</f>
        <v>0</v>
      </c>
      <c r="W117" s="16">
        <f>IFERROR(VLOOKUP($U117,costs!$A$2:$I$2905,W$2,FALSE),0)</f>
        <v>0</v>
      </c>
      <c r="X117" s="16">
        <f>IFERROR(VLOOKUP($U117,costs!$A$2:$I$2905,X$2,FALSE),0)</f>
        <v>0</v>
      </c>
      <c r="Y117" s="16">
        <f>IFERROR(VLOOKUP($U117,costs!$A$2:$I$2905,Y$2,FALSE),0)</f>
        <v>0</v>
      </c>
      <c r="Z117" s="16">
        <f>IFERROR(VLOOKUP($U117,costs!$A$2:$I$2905,Z$2,FALSE),0)</f>
        <v>0</v>
      </c>
      <c r="AA117" s="16">
        <f>IFERROR(VLOOKUP($U117,costs!$A$2:$I$2905,AA$2,FALSE),0)</f>
        <v>0</v>
      </c>
      <c r="AB117" s="16">
        <f>IFERROR(VLOOKUP($U117,costs!$A$2:$I$2905,AB$2,FALSE),0)</f>
        <v>0</v>
      </c>
      <c r="AC117" s="16">
        <f>IFERROR(VLOOKUP($U117,costs!$A$2:$I$2905,AC$2,FALSE),0)</f>
        <v>0</v>
      </c>
      <c r="AE117" s="40"/>
      <c r="AF117" s="92"/>
      <c r="AG117" s="92"/>
      <c r="AH117" s="92"/>
      <c r="AI117" s="92"/>
      <c r="AJ117" s="92"/>
      <c r="AK117" s="92"/>
      <c r="AL117" s="92"/>
      <c r="AM117" s="92"/>
      <c r="AO117" s="40" t="s">
        <v>57</v>
      </c>
      <c r="AP117" s="16">
        <f>IFERROR(VLOOKUP($AO117,costs!$A$2:$I$2905,AP$2,FALSE),0)</f>
        <v>0</v>
      </c>
      <c r="AQ117" s="16">
        <f>IFERROR(VLOOKUP($AO117,costs!$A$2:$I$2905,AQ$2,FALSE),0)</f>
        <v>0</v>
      </c>
      <c r="AR117" s="16">
        <f>IFERROR(VLOOKUP($AO117,costs!$A$2:$I$2905,AR$2,FALSE),0)</f>
        <v>0</v>
      </c>
      <c r="AS117" s="16">
        <f>IFERROR(VLOOKUP($AO117,costs!$A$2:$I$2905,AS$2,FALSE),0)</f>
        <v>0</v>
      </c>
      <c r="AT117" s="16">
        <f>IFERROR(VLOOKUP($AO117,costs!$A$2:$I$2905,AT$2,FALSE),0)</f>
        <v>0</v>
      </c>
      <c r="AU117" s="16">
        <f>IFERROR(VLOOKUP($AO117,costs!$A$2:$I$2905,AU$2,FALSE),0)</f>
        <v>0</v>
      </c>
      <c r="AV117" s="16">
        <f>IFERROR(VLOOKUP($AO117,costs!$A$2:$I$2905,AV$2,FALSE),0)</f>
        <v>0</v>
      </c>
      <c r="AW117" s="16">
        <f>IFERROR(VLOOKUP($AO117,costs!$A$2:$I$2905,AW$2,FALSE),0)</f>
        <v>0</v>
      </c>
      <c r="AY117" s="273" t="s">
        <v>368</v>
      </c>
      <c r="AZ117" s="16">
        <f>IFERROR(VLOOKUP($AY117,costs!$A$2:$I$2905,AZ$2,FALSE),0)</f>
        <v>0</v>
      </c>
      <c r="BA117" s="16">
        <f>IFERROR(VLOOKUP($AY117,costs!$A$2:$I$2905,BA$2,FALSE),0)</f>
        <v>0</v>
      </c>
      <c r="BB117" s="16">
        <f>IFERROR(VLOOKUP($AY117,costs!$A$2:$I$2905,BB$2,FALSE),0)</f>
        <v>0</v>
      </c>
      <c r="BC117" s="16">
        <f>IFERROR(VLOOKUP($AY117,costs!$A$2:$I$2905,BC$2,FALSE),0)</f>
        <v>0</v>
      </c>
      <c r="BD117" s="16">
        <f>IFERROR(VLOOKUP($AY117,costs!$A$2:$I$2905,BD$2,FALSE),0)</f>
        <v>0</v>
      </c>
      <c r="BE117" s="16">
        <f>IFERROR(VLOOKUP($AY117,costs!$A$2:$I$2905,BE$2,FALSE),0)</f>
        <v>0</v>
      </c>
      <c r="BF117" s="16">
        <f>IFERROR(VLOOKUP($AY117,costs!$A$2:$I$2905,BF$2,FALSE),0)</f>
        <v>0</v>
      </c>
      <c r="BG117" s="16">
        <f>IFERROR(VLOOKUP($AY117,costs!$A$2:$I$2905,BG$2,FALSE),0)</f>
        <v>0</v>
      </c>
    </row>
    <row r="118" spans="21:59" x14ac:dyDescent="0.35">
      <c r="U118" s="272" t="s">
        <v>2069</v>
      </c>
      <c r="V118" s="16">
        <f>IFERROR(VLOOKUP($U118,costs!$A$2:$I$2905,V$2,FALSE),0)</f>
        <v>0</v>
      </c>
      <c r="W118" s="16">
        <f>IFERROR(VLOOKUP($U118,costs!$A$2:$I$2905,W$2,FALSE),0)</f>
        <v>0</v>
      </c>
      <c r="X118" s="16">
        <f>IFERROR(VLOOKUP($U118,costs!$A$2:$I$2905,X$2,FALSE),0)</f>
        <v>0</v>
      </c>
      <c r="Y118" s="16">
        <f>IFERROR(VLOOKUP($U118,costs!$A$2:$I$2905,Y$2,FALSE),0)</f>
        <v>0</v>
      </c>
      <c r="Z118" s="16">
        <f>IFERROR(VLOOKUP($U118,costs!$A$2:$I$2905,Z$2,FALSE),0)</f>
        <v>0</v>
      </c>
      <c r="AA118" s="16">
        <f>IFERROR(VLOOKUP($U118,costs!$A$2:$I$2905,AA$2,FALSE),0)</f>
        <v>0</v>
      </c>
      <c r="AB118" s="16">
        <f>IFERROR(VLOOKUP($U118,costs!$A$2:$I$2905,AB$2,FALSE),0)</f>
        <v>0</v>
      </c>
      <c r="AC118" s="16">
        <f>IFERROR(VLOOKUP($U118,costs!$A$2:$I$2905,AC$2,FALSE),0)</f>
        <v>0</v>
      </c>
      <c r="AE118" s="99" t="s">
        <v>2183</v>
      </c>
      <c r="AF118" s="277" t="e">
        <f>'Wärme - Gesamtverbrauch'!Q12/('Wärme - Gesamtverbrauch'!Q12+'Wärme - Gesamtverbrauch'!D5)</f>
        <v>#N/A</v>
      </c>
      <c r="AG118" s="277" t="e">
        <f>'Wärme - Gesamtverbrauch'!R12/('Wärme - Gesamtverbrauch'!R12+'Wärme - Gesamtverbrauch'!E5)</f>
        <v>#N/A</v>
      </c>
      <c r="AH118" s="277" t="e">
        <f>'Wärme - Gesamtverbrauch'!S12/('Wärme - Gesamtverbrauch'!S12+'Wärme - Gesamtverbrauch'!F5)</f>
        <v>#N/A</v>
      </c>
      <c r="AI118" s="277" t="e">
        <f>'Wärme - Gesamtverbrauch'!T12/('Wärme - Gesamtverbrauch'!T12+'Wärme - Gesamtverbrauch'!G5)</f>
        <v>#N/A</v>
      </c>
      <c r="AJ118" s="277" t="e">
        <f>'Wärme - Gesamtverbrauch'!U12/('Wärme - Gesamtverbrauch'!U12+'Wärme - Gesamtverbrauch'!H5)</f>
        <v>#N/A</v>
      </c>
      <c r="AK118" s="277" t="e">
        <f>'Wärme - Gesamtverbrauch'!V12/('Wärme - Gesamtverbrauch'!V12+'Wärme - Gesamtverbrauch'!I5)</f>
        <v>#N/A</v>
      </c>
      <c r="AL118" s="277" t="e">
        <f>'Wärme - Gesamtverbrauch'!W12/('Wärme - Gesamtverbrauch'!W12+'Wärme - Gesamtverbrauch'!J5)</f>
        <v>#N/A</v>
      </c>
      <c r="AM118" s="277" t="e">
        <f>'Wärme - Gesamtverbrauch'!X12/('Wärme - Gesamtverbrauch'!X12+'Wärme - Gesamtverbrauch'!K5)</f>
        <v>#N/A</v>
      </c>
      <c r="AO118" s="40" t="s">
        <v>2116</v>
      </c>
      <c r="AP118" s="16">
        <f>IFERROR(VLOOKUP($AO118,costs!$A$2:$I$2905,AP$2,FALSE),0)</f>
        <v>0</v>
      </c>
      <c r="AQ118" s="16">
        <f>IFERROR(VLOOKUP($AO118,costs!$A$2:$I$2905,AQ$2,FALSE),0)</f>
        <v>0</v>
      </c>
      <c r="AR118" s="16">
        <f>IFERROR(VLOOKUP($AO118,costs!$A$2:$I$2905,AR$2,FALSE),0)</f>
        <v>0</v>
      </c>
      <c r="AS118" s="16">
        <f>IFERROR(VLOOKUP($AO118,costs!$A$2:$I$2905,AS$2,FALSE),0)</f>
        <v>0</v>
      </c>
      <c r="AT118" s="16">
        <f>IFERROR(VLOOKUP($AO118,costs!$A$2:$I$2905,AT$2,FALSE),0)</f>
        <v>0</v>
      </c>
      <c r="AU118" s="16">
        <f>IFERROR(VLOOKUP($AO118,costs!$A$2:$I$2905,AU$2,FALSE),0)</f>
        <v>0</v>
      </c>
      <c r="AV118" s="16">
        <f>IFERROR(VLOOKUP($AO118,costs!$A$2:$I$2905,AV$2,FALSE),0)</f>
        <v>0</v>
      </c>
      <c r="AW118" s="16">
        <f>IFERROR(VLOOKUP($AO118,costs!$A$2:$I$2905,AW$2,FALSE),0)</f>
        <v>0</v>
      </c>
      <c r="AY118" s="272" t="s">
        <v>2140</v>
      </c>
      <c r="AZ118" s="16">
        <f>IFERROR(VLOOKUP($AY118,costs!$A$2:$I$2905,AZ$2,FALSE),0)</f>
        <v>0</v>
      </c>
      <c r="BA118" s="16">
        <f>IFERROR(VLOOKUP($AY118,costs!$A$2:$I$2905,BA$2,FALSE),0)</f>
        <v>0</v>
      </c>
      <c r="BB118" s="16">
        <f>IFERROR(VLOOKUP($AY118,costs!$A$2:$I$2905,BB$2,FALSE),0)</f>
        <v>0</v>
      </c>
      <c r="BC118" s="16">
        <f>IFERROR(VLOOKUP($AY118,costs!$A$2:$I$2905,BC$2,FALSE),0)</f>
        <v>0</v>
      </c>
      <c r="BD118" s="16">
        <f>IFERROR(VLOOKUP($AY118,costs!$A$2:$I$2905,BD$2,FALSE),0)</f>
        <v>0</v>
      </c>
      <c r="BE118" s="16">
        <f>IFERROR(VLOOKUP($AY118,costs!$A$2:$I$2905,BE$2,FALSE),0)</f>
        <v>0</v>
      </c>
      <c r="BF118" s="16">
        <f>IFERROR(VLOOKUP($AY118,costs!$A$2:$I$2905,BF$2,FALSE),0)</f>
        <v>0</v>
      </c>
      <c r="BG118" s="16">
        <f>IFERROR(VLOOKUP($AY118,costs!$A$2:$I$2905,BG$2,FALSE),0)</f>
        <v>0</v>
      </c>
    </row>
    <row r="119" spans="21:59" x14ac:dyDescent="0.35">
      <c r="U119" s="273" t="s">
        <v>9</v>
      </c>
      <c r="V119" s="16">
        <f>IFERROR(VLOOKUP($U119,costs!$A$2:$I$2905,V$2,FALSE),0)</f>
        <v>0</v>
      </c>
      <c r="W119" s="16">
        <f>IFERROR(VLOOKUP($U119,costs!$A$2:$I$2905,W$2,FALSE),0)</f>
        <v>0</v>
      </c>
      <c r="X119" s="16">
        <f>IFERROR(VLOOKUP($U119,costs!$A$2:$I$2905,X$2,FALSE),0)</f>
        <v>0</v>
      </c>
      <c r="Y119" s="16">
        <f>IFERROR(VLOOKUP($U119,costs!$A$2:$I$2905,Y$2,FALSE),0)</f>
        <v>0</v>
      </c>
      <c r="Z119" s="16">
        <f>IFERROR(VLOOKUP($U119,costs!$A$2:$I$2905,Z$2,FALSE),0)</f>
        <v>0</v>
      </c>
      <c r="AA119" s="16">
        <f>IFERROR(VLOOKUP($U119,costs!$A$2:$I$2905,AA$2,FALSE),0)</f>
        <v>0</v>
      </c>
      <c r="AB119" s="16">
        <f>IFERROR(VLOOKUP($U119,costs!$A$2:$I$2905,AB$2,FALSE),0)</f>
        <v>0</v>
      </c>
      <c r="AC119" s="16">
        <f>IFERROR(VLOOKUP($U119,costs!$A$2:$I$2905,AC$2,FALSE),0)</f>
        <v>0</v>
      </c>
      <c r="AE119" s="99" t="s">
        <v>2178</v>
      </c>
      <c r="AF119" s="102" t="e">
        <f t="shared" ref="AF119:AM119" si="49">AF118*AP271</f>
        <v>#N/A</v>
      </c>
      <c r="AG119" s="102" t="e">
        <f t="shared" si="49"/>
        <v>#N/A</v>
      </c>
      <c r="AH119" s="102" t="e">
        <f t="shared" si="49"/>
        <v>#N/A</v>
      </c>
      <c r="AI119" s="102" t="e">
        <f t="shared" si="49"/>
        <v>#N/A</v>
      </c>
      <c r="AJ119" s="102" t="e">
        <f t="shared" si="49"/>
        <v>#N/A</v>
      </c>
      <c r="AK119" s="102" t="e">
        <f t="shared" si="49"/>
        <v>#N/A</v>
      </c>
      <c r="AL119" s="102" t="e">
        <f t="shared" si="49"/>
        <v>#N/A</v>
      </c>
      <c r="AM119" s="102" t="e">
        <f t="shared" si="49"/>
        <v>#N/A</v>
      </c>
      <c r="AO119" s="40" t="s">
        <v>324</v>
      </c>
      <c r="AP119" s="16">
        <f>IFERROR(VLOOKUP($AO119,costs!$A$2:$I$2905,AP$2,FALSE),0)</f>
        <v>0</v>
      </c>
      <c r="AQ119" s="16">
        <f>IFERROR(VLOOKUP($AO119,costs!$A$2:$I$2905,AQ$2,FALSE),0)</f>
        <v>0</v>
      </c>
      <c r="AR119" s="16">
        <f>IFERROR(VLOOKUP($AO119,costs!$A$2:$I$2905,AR$2,FALSE),0)</f>
        <v>0</v>
      </c>
      <c r="AS119" s="16">
        <f>IFERROR(VLOOKUP($AO119,costs!$A$2:$I$2905,AS$2,FALSE),0)</f>
        <v>0</v>
      </c>
      <c r="AT119" s="16">
        <f>IFERROR(VLOOKUP($AO119,costs!$A$2:$I$2905,AT$2,FALSE),0)</f>
        <v>0</v>
      </c>
      <c r="AU119" s="16">
        <f>IFERROR(VLOOKUP($AO119,costs!$A$2:$I$2905,AU$2,FALSE),0)</f>
        <v>0</v>
      </c>
      <c r="AV119" s="16">
        <f>IFERROR(VLOOKUP($AO119,costs!$A$2:$I$2905,AV$2,FALSE),0)</f>
        <v>0</v>
      </c>
      <c r="AW119" s="16">
        <f>IFERROR(VLOOKUP($AO119,costs!$A$2:$I$2905,AW$2,FALSE),0)</f>
        <v>0</v>
      </c>
      <c r="AY119" s="273" t="s">
        <v>369</v>
      </c>
      <c r="AZ119" s="16">
        <f>IFERROR(VLOOKUP($AY119,costs!$A$2:$I$2905,AZ$2,FALSE),0)</f>
        <v>0</v>
      </c>
      <c r="BA119" s="16">
        <f>IFERROR(VLOOKUP($AY119,costs!$A$2:$I$2905,BA$2,FALSE),0)</f>
        <v>0</v>
      </c>
      <c r="BB119" s="16">
        <f>IFERROR(VLOOKUP($AY119,costs!$A$2:$I$2905,BB$2,FALSE),0)</f>
        <v>0</v>
      </c>
      <c r="BC119" s="16">
        <f>IFERROR(VLOOKUP($AY119,costs!$A$2:$I$2905,BC$2,FALSE),0)</f>
        <v>0</v>
      </c>
      <c r="BD119" s="16">
        <f>IFERROR(VLOOKUP($AY119,costs!$A$2:$I$2905,BD$2,FALSE),0)</f>
        <v>0</v>
      </c>
      <c r="BE119" s="16">
        <f>IFERROR(VLOOKUP($AY119,costs!$A$2:$I$2905,BE$2,FALSE),0)</f>
        <v>0</v>
      </c>
      <c r="BF119" s="16">
        <f>IFERROR(VLOOKUP($AY119,costs!$A$2:$I$2905,BF$2,FALSE),0)</f>
        <v>0</v>
      </c>
      <c r="BG119" s="16">
        <f>IFERROR(VLOOKUP($AY119,costs!$A$2:$I$2905,BG$2,FALSE),0)</f>
        <v>0</v>
      </c>
    </row>
    <row r="120" spans="21:59" x14ac:dyDescent="0.35">
      <c r="U120" s="272" t="s">
        <v>70</v>
      </c>
      <c r="V120" s="16">
        <f>IFERROR(VLOOKUP($U120,costs!$A$2:$I$2905,V$2,FALSE),0)</f>
        <v>0</v>
      </c>
      <c r="W120" s="16">
        <f>IFERROR(VLOOKUP($U120,costs!$A$2:$I$2905,W$2,FALSE),0)</f>
        <v>0</v>
      </c>
      <c r="X120" s="16">
        <f>IFERROR(VLOOKUP($U120,costs!$A$2:$I$2905,X$2,FALSE),0)</f>
        <v>0</v>
      </c>
      <c r="Y120" s="16">
        <f>IFERROR(VLOOKUP($U120,costs!$A$2:$I$2905,Y$2,FALSE),0)</f>
        <v>0</v>
      </c>
      <c r="Z120" s="16">
        <f>IFERROR(VLOOKUP($U120,costs!$A$2:$I$2905,Z$2,FALSE),0)</f>
        <v>0</v>
      </c>
      <c r="AA120" s="16">
        <f>IFERROR(VLOOKUP($U120,costs!$A$2:$I$2905,AA$2,FALSE),0)</f>
        <v>0</v>
      </c>
      <c r="AB120" s="16">
        <f>IFERROR(VLOOKUP($U120,costs!$A$2:$I$2905,AB$2,FALSE),0)</f>
        <v>0</v>
      </c>
      <c r="AC120" s="16">
        <f>IFERROR(VLOOKUP($U120,costs!$A$2:$I$2905,AC$2,FALSE),0)</f>
        <v>0</v>
      </c>
      <c r="AE120" s="40"/>
      <c r="AF120" s="92"/>
      <c r="AG120" s="92"/>
      <c r="AH120" s="92"/>
      <c r="AI120" s="92"/>
      <c r="AJ120" s="92"/>
      <c r="AK120" s="92"/>
      <c r="AL120" s="92"/>
      <c r="AM120" s="92"/>
      <c r="AO120" s="40" t="s">
        <v>2117</v>
      </c>
      <c r="AP120" s="16">
        <f>IFERROR(VLOOKUP($AO120,costs!$A$2:$I$2905,AP$2,FALSE),0)</f>
        <v>0</v>
      </c>
      <c r="AQ120" s="16">
        <f>IFERROR(VLOOKUP($AO120,costs!$A$2:$I$2905,AQ$2,FALSE),0)</f>
        <v>0</v>
      </c>
      <c r="AR120" s="16">
        <f>IFERROR(VLOOKUP($AO120,costs!$A$2:$I$2905,AR$2,FALSE),0)</f>
        <v>0</v>
      </c>
      <c r="AS120" s="16">
        <f>IFERROR(VLOOKUP($AO120,costs!$A$2:$I$2905,AS$2,FALSE),0)</f>
        <v>0</v>
      </c>
      <c r="AT120" s="16">
        <f>IFERROR(VLOOKUP($AO120,costs!$A$2:$I$2905,AT$2,FALSE),0)</f>
        <v>0</v>
      </c>
      <c r="AU120" s="16">
        <f>IFERROR(VLOOKUP($AO120,costs!$A$2:$I$2905,AU$2,FALSE),0)</f>
        <v>0</v>
      </c>
      <c r="AV120" s="16">
        <f>IFERROR(VLOOKUP($AO120,costs!$A$2:$I$2905,AV$2,FALSE),0)</f>
        <v>0</v>
      </c>
      <c r="AW120" s="16">
        <f>IFERROR(VLOOKUP($AO120,costs!$A$2:$I$2905,AW$2,FALSE),0)</f>
        <v>0</v>
      </c>
      <c r="AY120" s="272" t="s">
        <v>2141</v>
      </c>
      <c r="AZ120" s="16">
        <f>IFERROR(VLOOKUP($AY120,costs!$A$2:$I$2905,AZ$2,FALSE),0)</f>
        <v>0</v>
      </c>
      <c r="BA120" s="16">
        <f>IFERROR(VLOOKUP($AY120,costs!$A$2:$I$2905,BA$2,FALSE),0)</f>
        <v>0</v>
      </c>
      <c r="BB120" s="16">
        <f>IFERROR(VLOOKUP($AY120,costs!$A$2:$I$2905,BB$2,FALSE),0)</f>
        <v>0</v>
      </c>
      <c r="BC120" s="16">
        <f>IFERROR(VLOOKUP($AY120,costs!$A$2:$I$2905,BC$2,FALSE),0)</f>
        <v>0</v>
      </c>
      <c r="BD120" s="16">
        <f>IFERROR(VLOOKUP($AY120,costs!$A$2:$I$2905,BD$2,FALSE),0)</f>
        <v>0</v>
      </c>
      <c r="BE120" s="16">
        <f>IFERROR(VLOOKUP($AY120,costs!$A$2:$I$2905,BE$2,FALSE),0)</f>
        <v>0</v>
      </c>
      <c r="BF120" s="16">
        <f>IFERROR(VLOOKUP($AY120,costs!$A$2:$I$2905,BF$2,FALSE),0)</f>
        <v>0</v>
      </c>
      <c r="BG120" s="16">
        <f>IFERROR(VLOOKUP($AY120,costs!$A$2:$I$2905,BG$2,FALSE),0)</f>
        <v>0</v>
      </c>
    </row>
    <row r="121" spans="21:59" x14ac:dyDescent="0.35">
      <c r="U121" s="273" t="s">
        <v>71</v>
      </c>
      <c r="V121" s="16">
        <f>IFERROR(VLOOKUP($U121,costs!$A$2:$I$2905,V$2,FALSE),0)</f>
        <v>0</v>
      </c>
      <c r="W121" s="16">
        <f>IFERROR(VLOOKUP($U121,costs!$A$2:$I$2905,W$2,FALSE),0)</f>
        <v>0</v>
      </c>
      <c r="X121" s="16">
        <f>IFERROR(VLOOKUP($U121,costs!$A$2:$I$2905,X$2,FALSE),0)</f>
        <v>0</v>
      </c>
      <c r="Y121" s="16">
        <f>IFERROR(VLOOKUP($U121,costs!$A$2:$I$2905,Y$2,FALSE),0)</f>
        <v>0</v>
      </c>
      <c r="Z121" s="16">
        <f>IFERROR(VLOOKUP($U121,costs!$A$2:$I$2905,Z$2,FALSE),0)</f>
        <v>0</v>
      </c>
      <c r="AA121" s="16">
        <f>IFERROR(VLOOKUP($U121,costs!$A$2:$I$2905,AA$2,FALSE),0)</f>
        <v>0</v>
      </c>
      <c r="AB121" s="16">
        <f>IFERROR(VLOOKUP($U121,costs!$A$2:$I$2905,AB$2,FALSE),0)</f>
        <v>0</v>
      </c>
      <c r="AC121" s="16">
        <f>IFERROR(VLOOKUP($U121,costs!$A$2:$I$2905,AC$2,FALSE),0)</f>
        <v>0</v>
      </c>
      <c r="AE121" s="99" t="s">
        <v>1229</v>
      </c>
      <c r="AF121" s="102" t="e">
        <f>AF119+AF116</f>
        <v>#N/A</v>
      </c>
      <c r="AG121" s="102" t="e">
        <f t="shared" ref="AG121:AM121" si="50">AG119+AG116</f>
        <v>#N/A</v>
      </c>
      <c r="AH121" s="102" t="e">
        <f>AH119+AH116</f>
        <v>#N/A</v>
      </c>
      <c r="AI121" s="102" t="e">
        <f>AI119+AI116</f>
        <v>#N/A</v>
      </c>
      <c r="AJ121" s="102" t="e">
        <f t="shared" si="50"/>
        <v>#N/A</v>
      </c>
      <c r="AK121" s="102" t="e">
        <f t="shared" si="50"/>
        <v>#N/A</v>
      </c>
      <c r="AL121" s="102" t="e">
        <f t="shared" si="50"/>
        <v>#N/A</v>
      </c>
      <c r="AM121" s="102" t="e">
        <f t="shared" si="50"/>
        <v>#N/A</v>
      </c>
      <c r="AO121" s="40" t="s">
        <v>325</v>
      </c>
      <c r="AP121" s="16">
        <f>IFERROR(VLOOKUP($AO121,costs!$A$2:$I$2905,AP$2,FALSE),0)</f>
        <v>0</v>
      </c>
      <c r="AQ121" s="16">
        <f>IFERROR(VLOOKUP($AO121,costs!$A$2:$I$2905,AQ$2,FALSE),0)</f>
        <v>0</v>
      </c>
      <c r="AR121" s="16">
        <f>IFERROR(VLOOKUP($AO121,costs!$A$2:$I$2905,AR$2,FALSE),0)</f>
        <v>0</v>
      </c>
      <c r="AS121" s="16">
        <f>IFERROR(VLOOKUP($AO121,costs!$A$2:$I$2905,AS$2,FALSE),0)</f>
        <v>0</v>
      </c>
      <c r="AT121" s="16">
        <f>IFERROR(VLOOKUP($AO121,costs!$A$2:$I$2905,AT$2,FALSE),0)</f>
        <v>0</v>
      </c>
      <c r="AU121" s="16">
        <f>IFERROR(VLOOKUP($AO121,costs!$A$2:$I$2905,AU$2,FALSE),0)</f>
        <v>0</v>
      </c>
      <c r="AV121" s="16">
        <f>IFERROR(VLOOKUP($AO121,costs!$A$2:$I$2905,AV$2,FALSE),0)</f>
        <v>0</v>
      </c>
      <c r="AW121" s="16">
        <f>IFERROR(VLOOKUP($AO121,costs!$A$2:$I$2905,AW$2,FALSE),0)</f>
        <v>0</v>
      </c>
      <c r="AY121" s="273" t="s">
        <v>370</v>
      </c>
      <c r="AZ121" s="16">
        <f>IFERROR(VLOOKUP($AY121,costs!$A$2:$I$2905,AZ$2,FALSE),0)</f>
        <v>0</v>
      </c>
      <c r="BA121" s="16">
        <f>IFERROR(VLOOKUP($AY121,costs!$A$2:$I$2905,BA$2,FALSE),0)</f>
        <v>0</v>
      </c>
      <c r="BB121" s="16">
        <f>IFERROR(VLOOKUP($AY121,costs!$A$2:$I$2905,BB$2,FALSE),0)</f>
        <v>0</v>
      </c>
      <c r="BC121" s="16">
        <f>IFERROR(VLOOKUP($AY121,costs!$A$2:$I$2905,BC$2,FALSE),0)</f>
        <v>0</v>
      </c>
      <c r="BD121" s="16">
        <f>IFERROR(VLOOKUP($AY121,costs!$A$2:$I$2905,BD$2,FALSE),0)</f>
        <v>0</v>
      </c>
      <c r="BE121" s="16">
        <f>IFERROR(VLOOKUP($AY121,costs!$A$2:$I$2905,BE$2,FALSE),0)</f>
        <v>0</v>
      </c>
      <c r="BF121" s="16">
        <f>IFERROR(VLOOKUP($AY121,costs!$A$2:$I$2905,BF$2,FALSE),0)</f>
        <v>0</v>
      </c>
      <c r="BG121" s="16">
        <f>IFERROR(VLOOKUP($AY121,costs!$A$2:$I$2905,BG$2,FALSE),0)</f>
        <v>0</v>
      </c>
    </row>
    <row r="122" spans="21:59" ht="15" thickBot="1" x14ac:dyDescent="0.4">
      <c r="U122" s="272" t="s">
        <v>2070</v>
      </c>
      <c r="V122" s="16">
        <f>IFERROR(VLOOKUP($U122,costs!$A$2:$I$2905,V$2,FALSE),0)</f>
        <v>0</v>
      </c>
      <c r="W122" s="16">
        <f>IFERROR(VLOOKUP($U122,costs!$A$2:$I$2905,W$2,FALSE),0)</f>
        <v>0</v>
      </c>
      <c r="X122" s="16">
        <f>IFERROR(VLOOKUP($U122,costs!$A$2:$I$2905,X$2,FALSE),0)</f>
        <v>0</v>
      </c>
      <c r="Y122" s="16">
        <f>IFERROR(VLOOKUP($U122,costs!$A$2:$I$2905,Y$2,FALSE),0)</f>
        <v>0</v>
      </c>
      <c r="Z122" s="16">
        <f>IFERROR(VLOOKUP($U122,costs!$A$2:$I$2905,Z$2,FALSE),0)</f>
        <v>0</v>
      </c>
      <c r="AA122" s="16">
        <f>IFERROR(VLOOKUP($U122,costs!$A$2:$I$2905,AA$2,FALSE),0)</f>
        <v>0</v>
      </c>
      <c r="AB122" s="16">
        <f>IFERROR(VLOOKUP($U122,costs!$A$2:$I$2905,AB$2,FALSE),0)</f>
        <v>0</v>
      </c>
      <c r="AC122" s="16">
        <f>IFERROR(VLOOKUP($U122,costs!$A$2:$I$2905,AC$2,FALSE),0)</f>
        <v>0</v>
      </c>
      <c r="AE122" s="41"/>
      <c r="AF122" s="77"/>
      <c r="AG122" s="77"/>
      <c r="AH122" s="77"/>
      <c r="AI122" s="77"/>
      <c r="AJ122" s="77"/>
      <c r="AK122" s="77"/>
      <c r="AL122" s="77"/>
      <c r="AM122" s="77"/>
      <c r="AO122" s="40" t="s">
        <v>2118</v>
      </c>
      <c r="AP122" s="16">
        <f>IFERROR(VLOOKUP($AO122,costs!$A$2:$I$2905,AP$2,FALSE),0)</f>
        <v>0</v>
      </c>
      <c r="AQ122" s="16">
        <f>IFERROR(VLOOKUP($AO122,costs!$A$2:$I$2905,AQ$2,FALSE),0)</f>
        <v>0</v>
      </c>
      <c r="AR122" s="16">
        <f>IFERROR(VLOOKUP($AO122,costs!$A$2:$I$2905,AR$2,FALSE),0)</f>
        <v>0</v>
      </c>
      <c r="AS122" s="16">
        <f>IFERROR(VLOOKUP($AO122,costs!$A$2:$I$2905,AS$2,FALSE),0)</f>
        <v>0</v>
      </c>
      <c r="AT122" s="16">
        <f>IFERROR(VLOOKUP($AO122,costs!$A$2:$I$2905,AT$2,FALSE),0)</f>
        <v>0</v>
      </c>
      <c r="AU122" s="16">
        <f>IFERROR(VLOOKUP($AO122,costs!$A$2:$I$2905,AU$2,FALSE),0)</f>
        <v>0</v>
      </c>
      <c r="AV122" s="16">
        <f>IFERROR(VLOOKUP($AO122,costs!$A$2:$I$2905,AV$2,FALSE),0)</f>
        <v>0</v>
      </c>
      <c r="AW122" s="16">
        <f>IFERROR(VLOOKUP($AO122,costs!$A$2:$I$2905,AW$2,FALSE),0)</f>
        <v>0</v>
      </c>
      <c r="AY122" s="272" t="s">
        <v>2142</v>
      </c>
      <c r="AZ122" s="16">
        <f>IFERROR(VLOOKUP($AY122,costs!$A$2:$I$2905,AZ$2,FALSE),0)</f>
        <v>0</v>
      </c>
      <c r="BA122" s="16">
        <f>IFERROR(VLOOKUP($AY122,costs!$A$2:$I$2905,BA$2,FALSE),0)</f>
        <v>0</v>
      </c>
      <c r="BB122" s="16">
        <f>IFERROR(VLOOKUP($AY122,costs!$A$2:$I$2905,BB$2,FALSE),0)</f>
        <v>0</v>
      </c>
      <c r="BC122" s="16">
        <f>IFERROR(VLOOKUP($AY122,costs!$A$2:$I$2905,BC$2,FALSE),0)</f>
        <v>0</v>
      </c>
      <c r="BD122" s="16">
        <f>IFERROR(VLOOKUP($AY122,costs!$A$2:$I$2905,BD$2,FALSE),0)</f>
        <v>0</v>
      </c>
      <c r="BE122" s="16">
        <f>IFERROR(VLOOKUP($AY122,costs!$A$2:$I$2905,BE$2,FALSE),0)</f>
        <v>0</v>
      </c>
      <c r="BF122" s="16">
        <f>IFERROR(VLOOKUP($AY122,costs!$A$2:$I$2905,BF$2,FALSE),0)</f>
        <v>0</v>
      </c>
      <c r="BG122" s="16">
        <f>IFERROR(VLOOKUP($AY122,costs!$A$2:$I$2905,BG$2,FALSE),0)</f>
        <v>0</v>
      </c>
    </row>
    <row r="123" spans="21:59" x14ac:dyDescent="0.35">
      <c r="U123" s="273" t="s">
        <v>10</v>
      </c>
      <c r="V123" s="16">
        <f>IFERROR(VLOOKUP($U123,costs!$A$2:$I$2905,V$2,FALSE),0)</f>
        <v>0</v>
      </c>
      <c r="W123" s="16">
        <f>IFERROR(VLOOKUP($U123,costs!$A$2:$I$2905,W$2,FALSE),0)</f>
        <v>0</v>
      </c>
      <c r="X123" s="16">
        <f>IFERROR(VLOOKUP($U123,costs!$A$2:$I$2905,X$2,FALSE),0)</f>
        <v>0</v>
      </c>
      <c r="Y123" s="16">
        <f>IFERROR(VLOOKUP($U123,costs!$A$2:$I$2905,Y$2,FALSE),0)</f>
        <v>0</v>
      </c>
      <c r="Z123" s="16">
        <f>IFERROR(VLOOKUP($U123,costs!$A$2:$I$2905,Z$2,FALSE),0)</f>
        <v>0</v>
      </c>
      <c r="AA123" s="16">
        <f>IFERROR(VLOOKUP($U123,costs!$A$2:$I$2905,AA$2,FALSE),0)</f>
        <v>0</v>
      </c>
      <c r="AB123" s="16">
        <f>IFERROR(VLOOKUP($U123,costs!$A$2:$I$2905,AB$2,FALSE),0)</f>
        <v>0</v>
      </c>
      <c r="AC123" s="16">
        <f>IFERROR(VLOOKUP($U123,costs!$A$2:$I$2905,AC$2,FALSE),0)</f>
        <v>0</v>
      </c>
      <c r="AO123" s="40" t="s">
        <v>326</v>
      </c>
      <c r="AP123" s="16">
        <f>IFERROR(VLOOKUP($AO123,costs!$A$2:$I$2905,AP$2,FALSE),0)</f>
        <v>0</v>
      </c>
      <c r="AQ123" s="16">
        <f>IFERROR(VLOOKUP($AO123,costs!$A$2:$I$2905,AQ$2,FALSE),0)</f>
        <v>0</v>
      </c>
      <c r="AR123" s="16">
        <f>IFERROR(VLOOKUP($AO123,costs!$A$2:$I$2905,AR$2,FALSE),0)</f>
        <v>0</v>
      </c>
      <c r="AS123" s="16">
        <f>IFERROR(VLOOKUP($AO123,costs!$A$2:$I$2905,AS$2,FALSE),0)</f>
        <v>0</v>
      </c>
      <c r="AT123" s="16">
        <f>IFERROR(VLOOKUP($AO123,costs!$A$2:$I$2905,AT$2,FALSE),0)</f>
        <v>0</v>
      </c>
      <c r="AU123" s="16">
        <f>IFERROR(VLOOKUP($AO123,costs!$A$2:$I$2905,AU$2,FALSE),0)</f>
        <v>0</v>
      </c>
      <c r="AV123" s="16">
        <f>IFERROR(VLOOKUP($AO123,costs!$A$2:$I$2905,AV$2,FALSE),0)</f>
        <v>0</v>
      </c>
      <c r="AW123" s="16">
        <f>IFERROR(VLOOKUP($AO123,costs!$A$2:$I$2905,AW$2,FALSE),0)</f>
        <v>0</v>
      </c>
      <c r="AY123" s="273" t="s">
        <v>371</v>
      </c>
      <c r="AZ123" s="16">
        <f>IFERROR(VLOOKUP($AY123,costs!$A$2:$I$2905,AZ$2,FALSE),0)</f>
        <v>0</v>
      </c>
      <c r="BA123" s="16">
        <f>IFERROR(VLOOKUP($AY123,costs!$A$2:$I$2905,BA$2,FALSE),0)</f>
        <v>0</v>
      </c>
      <c r="BB123" s="16">
        <f>IFERROR(VLOOKUP($AY123,costs!$A$2:$I$2905,BB$2,FALSE),0)</f>
        <v>0</v>
      </c>
      <c r="BC123" s="16">
        <f>IFERROR(VLOOKUP($AY123,costs!$A$2:$I$2905,BC$2,FALSE),0)</f>
        <v>0</v>
      </c>
      <c r="BD123" s="16">
        <f>IFERROR(VLOOKUP($AY123,costs!$A$2:$I$2905,BD$2,FALSE),0)</f>
        <v>0</v>
      </c>
      <c r="BE123" s="16">
        <f>IFERROR(VLOOKUP($AY123,costs!$A$2:$I$2905,BE$2,FALSE),0)</f>
        <v>0</v>
      </c>
      <c r="BF123" s="16">
        <f>IFERROR(VLOOKUP($AY123,costs!$A$2:$I$2905,BF$2,FALSE),0)</f>
        <v>0</v>
      </c>
      <c r="BG123" s="16">
        <f>IFERROR(VLOOKUP($AY123,costs!$A$2:$I$2905,BG$2,FALSE),0)</f>
        <v>0</v>
      </c>
    </row>
    <row r="124" spans="21:59" x14ac:dyDescent="0.35">
      <c r="U124" s="272" t="s">
        <v>72</v>
      </c>
      <c r="V124" s="16">
        <f>IFERROR(VLOOKUP($U124,costs!$A$2:$I$2905,V$2,FALSE),0)</f>
        <v>0</v>
      </c>
      <c r="W124" s="16">
        <f>IFERROR(VLOOKUP($U124,costs!$A$2:$I$2905,W$2,FALSE),0)</f>
        <v>0</v>
      </c>
      <c r="X124" s="16">
        <f>IFERROR(VLOOKUP($U124,costs!$A$2:$I$2905,X$2,FALSE),0)</f>
        <v>0</v>
      </c>
      <c r="Y124" s="16">
        <f>IFERROR(VLOOKUP($U124,costs!$A$2:$I$2905,Y$2,FALSE),0)</f>
        <v>0</v>
      </c>
      <c r="Z124" s="16">
        <f>IFERROR(VLOOKUP($U124,costs!$A$2:$I$2905,Z$2,FALSE),0)</f>
        <v>0</v>
      </c>
      <c r="AA124" s="16">
        <f>IFERROR(VLOOKUP($U124,costs!$A$2:$I$2905,AA$2,FALSE),0)</f>
        <v>0</v>
      </c>
      <c r="AB124" s="16">
        <f>IFERROR(VLOOKUP($U124,costs!$A$2:$I$2905,AB$2,FALSE),0)</f>
        <v>0</v>
      </c>
      <c r="AC124" s="16">
        <f>IFERROR(VLOOKUP($U124,costs!$A$2:$I$2905,AC$2,FALSE),0)</f>
        <v>0</v>
      </c>
      <c r="AO124" s="40" t="s">
        <v>2119</v>
      </c>
      <c r="AP124" s="16">
        <f>IFERROR(VLOOKUP($AO124,costs!$A$2:$I$2905,AP$2,FALSE),0)</f>
        <v>0</v>
      </c>
      <c r="AQ124" s="16">
        <f>IFERROR(VLOOKUP($AO124,costs!$A$2:$I$2905,AQ$2,FALSE),0)</f>
        <v>0</v>
      </c>
      <c r="AR124" s="16">
        <f>IFERROR(VLOOKUP($AO124,costs!$A$2:$I$2905,AR$2,FALSE),0)</f>
        <v>0</v>
      </c>
      <c r="AS124" s="16">
        <f>IFERROR(VLOOKUP($AO124,costs!$A$2:$I$2905,AS$2,FALSE),0)</f>
        <v>0</v>
      </c>
      <c r="AT124" s="16">
        <f>IFERROR(VLOOKUP($AO124,costs!$A$2:$I$2905,AT$2,FALSE),0)</f>
        <v>0</v>
      </c>
      <c r="AU124" s="16">
        <f>IFERROR(VLOOKUP($AO124,costs!$A$2:$I$2905,AU$2,FALSE),0)</f>
        <v>0</v>
      </c>
      <c r="AV124" s="16">
        <f>IFERROR(VLOOKUP($AO124,costs!$A$2:$I$2905,AV$2,FALSE),0)</f>
        <v>0</v>
      </c>
      <c r="AW124" s="16">
        <f>IFERROR(VLOOKUP($AO124,costs!$A$2:$I$2905,AW$2,FALSE),0)</f>
        <v>0</v>
      </c>
      <c r="AY124" s="272" t="s">
        <v>2143</v>
      </c>
      <c r="AZ124" s="16">
        <f>IFERROR(VLOOKUP($AY124,costs!$A$2:$I$2905,AZ$2,FALSE),0)</f>
        <v>0</v>
      </c>
      <c r="BA124" s="16">
        <f>IFERROR(VLOOKUP($AY124,costs!$A$2:$I$2905,BA$2,FALSE),0)</f>
        <v>0</v>
      </c>
      <c r="BB124" s="16">
        <f>IFERROR(VLOOKUP($AY124,costs!$A$2:$I$2905,BB$2,FALSE),0)</f>
        <v>0</v>
      </c>
      <c r="BC124" s="16">
        <f>IFERROR(VLOOKUP($AY124,costs!$A$2:$I$2905,BC$2,FALSE),0)</f>
        <v>0</v>
      </c>
      <c r="BD124" s="16">
        <f>IFERROR(VLOOKUP($AY124,costs!$A$2:$I$2905,BD$2,FALSE),0)</f>
        <v>0</v>
      </c>
      <c r="BE124" s="16">
        <f>IFERROR(VLOOKUP($AY124,costs!$A$2:$I$2905,BE$2,FALSE),0)</f>
        <v>0</v>
      </c>
      <c r="BF124" s="16">
        <f>IFERROR(VLOOKUP($AY124,costs!$A$2:$I$2905,BF$2,FALSE),0)</f>
        <v>0</v>
      </c>
      <c r="BG124" s="16">
        <f>IFERROR(VLOOKUP($AY124,costs!$A$2:$I$2905,BG$2,FALSE),0)</f>
        <v>0</v>
      </c>
    </row>
    <row r="125" spans="21:59" x14ac:dyDescent="0.35">
      <c r="U125" s="273" t="s">
        <v>73</v>
      </c>
      <c r="V125" s="16">
        <f>IFERROR(VLOOKUP($U125,costs!$A$2:$I$2905,V$2,FALSE),0)</f>
        <v>0</v>
      </c>
      <c r="W125" s="16">
        <f>IFERROR(VLOOKUP($U125,costs!$A$2:$I$2905,W$2,FALSE),0)</f>
        <v>0</v>
      </c>
      <c r="X125" s="16">
        <f>IFERROR(VLOOKUP($U125,costs!$A$2:$I$2905,X$2,FALSE),0)</f>
        <v>0</v>
      </c>
      <c r="Y125" s="16">
        <f>IFERROR(VLOOKUP($U125,costs!$A$2:$I$2905,Y$2,FALSE),0)</f>
        <v>0</v>
      </c>
      <c r="Z125" s="16">
        <f>IFERROR(VLOOKUP($U125,costs!$A$2:$I$2905,Z$2,FALSE),0)</f>
        <v>0</v>
      </c>
      <c r="AA125" s="16">
        <f>IFERROR(VLOOKUP($U125,costs!$A$2:$I$2905,AA$2,FALSE),0)</f>
        <v>0</v>
      </c>
      <c r="AB125" s="16">
        <f>IFERROR(VLOOKUP($U125,costs!$A$2:$I$2905,AB$2,FALSE),0)</f>
        <v>0</v>
      </c>
      <c r="AC125" s="16">
        <f>IFERROR(VLOOKUP($U125,costs!$A$2:$I$2905,AC$2,FALSE),0)</f>
        <v>0</v>
      </c>
      <c r="AO125" s="40" t="s">
        <v>1152</v>
      </c>
      <c r="AP125" s="16">
        <f>IFERROR(VLOOKUP($AO125,costs!$A$2:$I$2905,AP$2,FALSE),0)</f>
        <v>0</v>
      </c>
      <c r="AQ125" s="16">
        <f>IFERROR(VLOOKUP($AO125,costs!$A$2:$I$2905,AQ$2,FALSE),0)</f>
        <v>0</v>
      </c>
      <c r="AR125" s="16">
        <f>IFERROR(VLOOKUP($AO125,costs!$A$2:$I$2905,AR$2,FALSE),0)</f>
        <v>0</v>
      </c>
      <c r="AS125" s="16">
        <f>IFERROR(VLOOKUP($AO125,costs!$A$2:$I$2905,AS$2,FALSE),0)</f>
        <v>0</v>
      </c>
      <c r="AT125" s="16">
        <f>IFERROR(VLOOKUP($AO125,costs!$A$2:$I$2905,AT$2,FALSE),0)</f>
        <v>0</v>
      </c>
      <c r="AU125" s="16">
        <f>IFERROR(VLOOKUP($AO125,costs!$A$2:$I$2905,AU$2,FALSE),0)</f>
        <v>0</v>
      </c>
      <c r="AV125" s="16">
        <f>IFERROR(VLOOKUP($AO125,costs!$A$2:$I$2905,AV$2,FALSE),0)</f>
        <v>0</v>
      </c>
      <c r="AW125" s="16">
        <f>IFERROR(VLOOKUP($AO125,costs!$A$2:$I$2905,AW$2,FALSE),0)</f>
        <v>0</v>
      </c>
      <c r="AY125" s="273" t="s">
        <v>372</v>
      </c>
      <c r="AZ125" s="16">
        <f>IFERROR(VLOOKUP($AY125,costs!$A$2:$I$2905,AZ$2,FALSE),0)</f>
        <v>0</v>
      </c>
      <c r="BA125" s="16">
        <f>IFERROR(VLOOKUP($AY125,costs!$A$2:$I$2905,BA$2,FALSE),0)</f>
        <v>0</v>
      </c>
      <c r="BB125" s="16">
        <f>IFERROR(VLOOKUP($AY125,costs!$A$2:$I$2905,BB$2,FALSE),0)</f>
        <v>0</v>
      </c>
      <c r="BC125" s="16">
        <f>IFERROR(VLOOKUP($AY125,costs!$A$2:$I$2905,BC$2,FALSE),0)</f>
        <v>0</v>
      </c>
      <c r="BD125" s="16">
        <f>IFERROR(VLOOKUP($AY125,costs!$A$2:$I$2905,BD$2,FALSE),0)</f>
        <v>0</v>
      </c>
      <c r="BE125" s="16">
        <f>IFERROR(VLOOKUP($AY125,costs!$A$2:$I$2905,BE$2,FALSE),0)</f>
        <v>0</v>
      </c>
      <c r="BF125" s="16">
        <f>IFERROR(VLOOKUP($AY125,costs!$A$2:$I$2905,BF$2,FALSE),0)</f>
        <v>0</v>
      </c>
      <c r="BG125" s="16">
        <f>IFERROR(VLOOKUP($AY125,costs!$A$2:$I$2905,BG$2,FALSE),0)</f>
        <v>0</v>
      </c>
    </row>
    <row r="126" spans="21:59" x14ac:dyDescent="0.35">
      <c r="U126" s="272" t="s">
        <v>2071</v>
      </c>
      <c r="V126" s="16">
        <f>IFERROR(VLOOKUP($U126,costs!$A$2:$I$2905,V$2,FALSE),0)</f>
        <v>0</v>
      </c>
      <c r="W126" s="16">
        <f>IFERROR(VLOOKUP($U126,costs!$A$2:$I$2905,W$2,FALSE),0)</f>
        <v>0</v>
      </c>
      <c r="X126" s="16">
        <f>IFERROR(VLOOKUP($U126,costs!$A$2:$I$2905,X$2,FALSE),0)</f>
        <v>0</v>
      </c>
      <c r="Y126" s="16">
        <f>IFERROR(VLOOKUP($U126,costs!$A$2:$I$2905,Y$2,FALSE),0)</f>
        <v>0</v>
      </c>
      <c r="Z126" s="16">
        <f>IFERROR(VLOOKUP($U126,costs!$A$2:$I$2905,Z$2,FALSE),0)</f>
        <v>0</v>
      </c>
      <c r="AA126" s="16">
        <f>IFERROR(VLOOKUP($U126,costs!$A$2:$I$2905,AA$2,FALSE),0)</f>
        <v>0</v>
      </c>
      <c r="AB126" s="16">
        <f>IFERROR(VLOOKUP($U126,costs!$A$2:$I$2905,AB$2,FALSE),0)</f>
        <v>0</v>
      </c>
      <c r="AC126" s="16">
        <f>IFERROR(VLOOKUP($U126,costs!$A$2:$I$2905,AC$2,FALSE),0)</f>
        <v>0</v>
      </c>
      <c r="AO126" s="40" t="s">
        <v>2150</v>
      </c>
      <c r="AP126" s="16">
        <f>IFERROR(VLOOKUP($AO126,costs!$A$2:$I$2905,AP$2,FALSE),0)</f>
        <v>0</v>
      </c>
      <c r="AQ126" s="16">
        <f>IFERROR(VLOOKUP($AO126,costs!$A$2:$I$2905,AQ$2,FALSE),0)</f>
        <v>0</v>
      </c>
      <c r="AR126" s="16">
        <f>IFERROR(VLOOKUP($AO126,costs!$A$2:$I$2905,AR$2,FALSE),0)</f>
        <v>0</v>
      </c>
      <c r="AS126" s="16">
        <f>IFERROR(VLOOKUP($AO126,costs!$A$2:$I$2905,AS$2,FALSE),0)</f>
        <v>0</v>
      </c>
      <c r="AT126" s="16">
        <f>IFERROR(VLOOKUP($AO126,costs!$A$2:$I$2905,AT$2,FALSE),0)</f>
        <v>0</v>
      </c>
      <c r="AU126" s="16">
        <f>IFERROR(VLOOKUP($AO126,costs!$A$2:$I$2905,AU$2,FALSE),0)</f>
        <v>0</v>
      </c>
      <c r="AV126" s="16">
        <f>IFERROR(VLOOKUP($AO126,costs!$A$2:$I$2905,AV$2,FALSE),0)</f>
        <v>0</v>
      </c>
      <c r="AW126" s="16">
        <f>IFERROR(VLOOKUP($AO126,costs!$A$2:$I$2905,AW$2,FALSE),0)</f>
        <v>0</v>
      </c>
      <c r="AY126" s="272" t="s">
        <v>2144</v>
      </c>
      <c r="AZ126" s="16">
        <f>IFERROR(VLOOKUP($AY126,costs!$A$2:$I$2905,AZ$2,FALSE),0)</f>
        <v>0</v>
      </c>
      <c r="BA126" s="16">
        <f>IFERROR(VLOOKUP($AY126,costs!$A$2:$I$2905,BA$2,FALSE),0)</f>
        <v>0</v>
      </c>
      <c r="BB126" s="16">
        <f>IFERROR(VLOOKUP($AY126,costs!$A$2:$I$2905,BB$2,FALSE),0)</f>
        <v>0</v>
      </c>
      <c r="BC126" s="16">
        <f>IFERROR(VLOOKUP($AY126,costs!$A$2:$I$2905,BC$2,FALSE),0)</f>
        <v>0</v>
      </c>
      <c r="BD126" s="16">
        <f>IFERROR(VLOOKUP($AY126,costs!$A$2:$I$2905,BD$2,FALSE),0)</f>
        <v>0</v>
      </c>
      <c r="BE126" s="16">
        <f>IFERROR(VLOOKUP($AY126,costs!$A$2:$I$2905,BE$2,FALSE),0)</f>
        <v>0</v>
      </c>
      <c r="BF126" s="16">
        <f>IFERROR(VLOOKUP($AY126,costs!$A$2:$I$2905,BF$2,FALSE),0)</f>
        <v>0</v>
      </c>
      <c r="BG126" s="16">
        <f>IFERROR(VLOOKUP($AY126,costs!$A$2:$I$2905,BG$2,FALSE),0)</f>
        <v>0</v>
      </c>
    </row>
    <row r="127" spans="21:59" x14ac:dyDescent="0.35">
      <c r="U127" s="273" t="s">
        <v>11</v>
      </c>
      <c r="V127" s="16">
        <f>IFERROR(VLOOKUP($U127,costs!$A$2:$I$2905,V$2,FALSE),0)</f>
        <v>0</v>
      </c>
      <c r="W127" s="16">
        <f>IFERROR(VLOOKUP($U127,costs!$A$2:$I$2905,W$2,FALSE),0)</f>
        <v>0</v>
      </c>
      <c r="X127" s="16">
        <f>IFERROR(VLOOKUP($U127,costs!$A$2:$I$2905,X$2,FALSE),0)</f>
        <v>0</v>
      </c>
      <c r="Y127" s="16">
        <f>IFERROR(VLOOKUP($U127,costs!$A$2:$I$2905,Y$2,FALSE),0)</f>
        <v>0</v>
      </c>
      <c r="Z127" s="16">
        <f>IFERROR(VLOOKUP($U127,costs!$A$2:$I$2905,Z$2,FALSE),0)</f>
        <v>0</v>
      </c>
      <c r="AA127" s="16">
        <f>IFERROR(VLOOKUP($U127,costs!$A$2:$I$2905,AA$2,FALSE),0)</f>
        <v>0</v>
      </c>
      <c r="AB127" s="16">
        <f>IFERROR(VLOOKUP($U127,costs!$A$2:$I$2905,AB$2,FALSE),0)</f>
        <v>0</v>
      </c>
      <c r="AC127" s="16">
        <f>IFERROR(VLOOKUP($U127,costs!$A$2:$I$2905,AC$2,FALSE),0)</f>
        <v>0</v>
      </c>
      <c r="AO127" s="40" t="s">
        <v>391</v>
      </c>
      <c r="AP127" s="16">
        <f>IFERROR(VLOOKUP($AO127,costs!$A$2:$I$2905,AP$2,FALSE),0)</f>
        <v>0</v>
      </c>
      <c r="AQ127" s="16">
        <f>IFERROR(VLOOKUP($AO127,costs!$A$2:$I$2905,AQ$2,FALSE),0)</f>
        <v>0</v>
      </c>
      <c r="AR127" s="16">
        <f>IFERROR(VLOOKUP($AO127,costs!$A$2:$I$2905,AR$2,FALSE),0)</f>
        <v>0</v>
      </c>
      <c r="AS127" s="16">
        <f>IFERROR(VLOOKUP($AO127,costs!$A$2:$I$2905,AS$2,FALSE),0)</f>
        <v>0</v>
      </c>
      <c r="AT127" s="16">
        <f>IFERROR(VLOOKUP($AO127,costs!$A$2:$I$2905,AT$2,FALSE),0)</f>
        <v>0</v>
      </c>
      <c r="AU127" s="16">
        <f>IFERROR(VLOOKUP($AO127,costs!$A$2:$I$2905,AU$2,FALSE),0)</f>
        <v>0</v>
      </c>
      <c r="AV127" s="16">
        <f>IFERROR(VLOOKUP($AO127,costs!$A$2:$I$2905,AV$2,FALSE),0)</f>
        <v>0</v>
      </c>
      <c r="AW127" s="16">
        <f>IFERROR(VLOOKUP($AO127,costs!$A$2:$I$2905,AW$2,FALSE),0)</f>
        <v>0</v>
      </c>
      <c r="AY127" s="273" t="s">
        <v>373</v>
      </c>
      <c r="AZ127" s="16">
        <f>IFERROR(VLOOKUP($AY127,costs!$A$2:$I$2905,AZ$2,FALSE),0)</f>
        <v>0</v>
      </c>
      <c r="BA127" s="16">
        <f>IFERROR(VLOOKUP($AY127,costs!$A$2:$I$2905,BA$2,FALSE),0)</f>
        <v>0</v>
      </c>
      <c r="BB127" s="16">
        <f>IFERROR(VLOOKUP($AY127,costs!$A$2:$I$2905,BB$2,FALSE),0)</f>
        <v>0</v>
      </c>
      <c r="BC127" s="16">
        <f>IFERROR(VLOOKUP($AY127,costs!$A$2:$I$2905,BC$2,FALSE),0)</f>
        <v>0</v>
      </c>
      <c r="BD127" s="16">
        <f>IFERROR(VLOOKUP($AY127,costs!$A$2:$I$2905,BD$2,FALSE),0)</f>
        <v>0</v>
      </c>
      <c r="BE127" s="16">
        <f>IFERROR(VLOOKUP($AY127,costs!$A$2:$I$2905,BE$2,FALSE),0)</f>
        <v>0</v>
      </c>
      <c r="BF127" s="16">
        <f>IFERROR(VLOOKUP($AY127,costs!$A$2:$I$2905,BF$2,FALSE),0)</f>
        <v>0</v>
      </c>
      <c r="BG127" s="16">
        <f>IFERROR(VLOOKUP($AY127,costs!$A$2:$I$2905,BG$2,FALSE),0)</f>
        <v>0</v>
      </c>
    </row>
    <row r="128" spans="21:59" x14ac:dyDescent="0.35">
      <c r="U128" s="272" t="s">
        <v>104</v>
      </c>
      <c r="V128" s="16">
        <f>IFERROR(VLOOKUP($U128,costs!$A$2:$I$2905,V$2,FALSE),0)</f>
        <v>0</v>
      </c>
      <c r="W128" s="16">
        <f>IFERROR(VLOOKUP($U128,costs!$A$2:$I$2905,W$2,FALSE),0)</f>
        <v>0</v>
      </c>
      <c r="X128" s="16">
        <f>IFERROR(VLOOKUP($U128,costs!$A$2:$I$2905,X$2,FALSE),0)</f>
        <v>0</v>
      </c>
      <c r="Y128" s="16">
        <f>IFERROR(VLOOKUP($U128,costs!$A$2:$I$2905,Y$2,FALSE),0)</f>
        <v>0</v>
      </c>
      <c r="Z128" s="16">
        <f>IFERROR(VLOOKUP($U128,costs!$A$2:$I$2905,Z$2,FALSE),0)</f>
        <v>0</v>
      </c>
      <c r="AA128" s="16">
        <f>IFERROR(VLOOKUP($U128,costs!$A$2:$I$2905,AA$2,FALSE),0)</f>
        <v>0</v>
      </c>
      <c r="AB128" s="16">
        <f>IFERROR(VLOOKUP($U128,costs!$A$2:$I$2905,AB$2,FALSE),0)</f>
        <v>0</v>
      </c>
      <c r="AC128" s="16">
        <f>IFERROR(VLOOKUP($U128,costs!$A$2:$I$2905,AC$2,FALSE),0)</f>
        <v>0</v>
      </c>
      <c r="AO128" s="40" t="s">
        <v>2151</v>
      </c>
      <c r="AP128" s="16">
        <f>IFERROR(VLOOKUP($AO128,costs!$A$2:$I$2905,AP$2,FALSE),0)</f>
        <v>0</v>
      </c>
      <c r="AQ128" s="16">
        <f>IFERROR(VLOOKUP($AO128,costs!$A$2:$I$2905,AQ$2,FALSE),0)</f>
        <v>0</v>
      </c>
      <c r="AR128" s="16">
        <f>IFERROR(VLOOKUP($AO128,costs!$A$2:$I$2905,AR$2,FALSE),0)</f>
        <v>0</v>
      </c>
      <c r="AS128" s="16">
        <f>IFERROR(VLOOKUP($AO128,costs!$A$2:$I$2905,AS$2,FALSE),0)</f>
        <v>0</v>
      </c>
      <c r="AT128" s="16">
        <f>IFERROR(VLOOKUP($AO128,costs!$A$2:$I$2905,AT$2,FALSE),0)</f>
        <v>0</v>
      </c>
      <c r="AU128" s="16">
        <f>IFERROR(VLOOKUP($AO128,costs!$A$2:$I$2905,AU$2,FALSE),0)</f>
        <v>0</v>
      </c>
      <c r="AV128" s="16">
        <f>IFERROR(VLOOKUP($AO128,costs!$A$2:$I$2905,AV$2,FALSE),0)</f>
        <v>0</v>
      </c>
      <c r="AW128" s="16">
        <f>IFERROR(VLOOKUP($AO128,costs!$A$2:$I$2905,AW$2,FALSE),0)</f>
        <v>0</v>
      </c>
      <c r="AY128" s="272" t="s">
        <v>2145</v>
      </c>
      <c r="AZ128" s="16">
        <f>IFERROR(VLOOKUP($AY128,costs!$A$2:$I$2905,AZ$2,FALSE),0)</f>
        <v>0</v>
      </c>
      <c r="BA128" s="16">
        <f>IFERROR(VLOOKUP($AY128,costs!$A$2:$I$2905,BA$2,FALSE),0)</f>
        <v>0</v>
      </c>
      <c r="BB128" s="16">
        <f>IFERROR(VLOOKUP($AY128,costs!$A$2:$I$2905,BB$2,FALSE),0)</f>
        <v>0</v>
      </c>
      <c r="BC128" s="16">
        <f>IFERROR(VLOOKUP($AY128,costs!$A$2:$I$2905,BC$2,FALSE),0)</f>
        <v>0</v>
      </c>
      <c r="BD128" s="16">
        <f>IFERROR(VLOOKUP($AY128,costs!$A$2:$I$2905,BD$2,FALSE),0)</f>
        <v>0</v>
      </c>
      <c r="BE128" s="16">
        <f>IFERROR(VLOOKUP($AY128,costs!$A$2:$I$2905,BE$2,FALSE),0)</f>
        <v>0</v>
      </c>
      <c r="BF128" s="16">
        <f>IFERROR(VLOOKUP($AY128,costs!$A$2:$I$2905,BF$2,FALSE),0)</f>
        <v>0</v>
      </c>
      <c r="BG128" s="16">
        <f>IFERROR(VLOOKUP($AY128,costs!$A$2:$I$2905,BG$2,FALSE),0)</f>
        <v>0</v>
      </c>
    </row>
    <row r="129" spans="21:59" x14ac:dyDescent="0.35">
      <c r="U129" s="273" t="s">
        <v>105</v>
      </c>
      <c r="V129" s="16">
        <f>IFERROR(VLOOKUP($U129,costs!$A$2:$I$2905,V$2,FALSE),0)</f>
        <v>0</v>
      </c>
      <c r="W129" s="16">
        <f>IFERROR(VLOOKUP($U129,costs!$A$2:$I$2905,W$2,FALSE),0)</f>
        <v>0</v>
      </c>
      <c r="X129" s="16">
        <f>IFERROR(VLOOKUP($U129,costs!$A$2:$I$2905,X$2,FALSE),0)</f>
        <v>0</v>
      </c>
      <c r="Y129" s="16">
        <f>IFERROR(VLOOKUP($U129,costs!$A$2:$I$2905,Y$2,FALSE),0)</f>
        <v>0</v>
      </c>
      <c r="Z129" s="16">
        <f>IFERROR(VLOOKUP($U129,costs!$A$2:$I$2905,Z$2,FALSE),0)</f>
        <v>0</v>
      </c>
      <c r="AA129" s="16">
        <f>IFERROR(VLOOKUP($U129,costs!$A$2:$I$2905,AA$2,FALSE),0)</f>
        <v>0</v>
      </c>
      <c r="AB129" s="16">
        <f>IFERROR(VLOOKUP($U129,costs!$A$2:$I$2905,AB$2,FALSE),0)</f>
        <v>0</v>
      </c>
      <c r="AC129" s="16">
        <f>IFERROR(VLOOKUP($U129,costs!$A$2:$I$2905,AC$2,FALSE),0)</f>
        <v>0</v>
      </c>
      <c r="AO129" s="40" t="s">
        <v>392</v>
      </c>
      <c r="AP129" s="16">
        <f>IFERROR(VLOOKUP($AO129,costs!$A$2:$I$2905,AP$2,FALSE),0)</f>
        <v>0</v>
      </c>
      <c r="AQ129" s="16">
        <f>IFERROR(VLOOKUP($AO129,costs!$A$2:$I$2905,AQ$2,FALSE),0)</f>
        <v>0</v>
      </c>
      <c r="AR129" s="16">
        <f>IFERROR(VLOOKUP($AO129,costs!$A$2:$I$2905,AR$2,FALSE),0)</f>
        <v>0</v>
      </c>
      <c r="AS129" s="16">
        <f>IFERROR(VLOOKUP($AO129,costs!$A$2:$I$2905,AS$2,FALSE),0)</f>
        <v>0</v>
      </c>
      <c r="AT129" s="16">
        <f>IFERROR(VLOOKUP($AO129,costs!$A$2:$I$2905,AT$2,FALSE),0)</f>
        <v>0</v>
      </c>
      <c r="AU129" s="16">
        <f>IFERROR(VLOOKUP($AO129,costs!$A$2:$I$2905,AU$2,FALSE),0)</f>
        <v>0</v>
      </c>
      <c r="AV129" s="16">
        <f>IFERROR(VLOOKUP($AO129,costs!$A$2:$I$2905,AV$2,FALSE),0)</f>
        <v>0</v>
      </c>
      <c r="AW129" s="16">
        <f>IFERROR(VLOOKUP($AO129,costs!$A$2:$I$2905,AW$2,FALSE),0)</f>
        <v>0</v>
      </c>
      <c r="AY129" s="273" t="s">
        <v>374</v>
      </c>
      <c r="AZ129" s="16">
        <f>IFERROR(VLOOKUP($AY129,costs!$A$2:$I$2905,AZ$2,FALSE),0)</f>
        <v>0</v>
      </c>
      <c r="BA129" s="16">
        <f>IFERROR(VLOOKUP($AY129,costs!$A$2:$I$2905,BA$2,FALSE),0)</f>
        <v>0</v>
      </c>
      <c r="BB129" s="16">
        <f>IFERROR(VLOOKUP($AY129,costs!$A$2:$I$2905,BB$2,FALSE),0)</f>
        <v>0</v>
      </c>
      <c r="BC129" s="16">
        <f>IFERROR(VLOOKUP($AY129,costs!$A$2:$I$2905,BC$2,FALSE),0)</f>
        <v>0</v>
      </c>
      <c r="BD129" s="16">
        <f>IFERROR(VLOOKUP($AY129,costs!$A$2:$I$2905,BD$2,FALSE),0)</f>
        <v>0</v>
      </c>
      <c r="BE129" s="16">
        <f>IFERROR(VLOOKUP($AY129,costs!$A$2:$I$2905,BE$2,FALSE),0)</f>
        <v>0</v>
      </c>
      <c r="BF129" s="16">
        <f>IFERROR(VLOOKUP($AY129,costs!$A$2:$I$2905,BF$2,FALSE),0)</f>
        <v>0</v>
      </c>
      <c r="BG129" s="16">
        <f>IFERROR(VLOOKUP($AY129,costs!$A$2:$I$2905,BG$2,FALSE),0)</f>
        <v>0</v>
      </c>
    </row>
    <row r="130" spans="21:59" x14ac:dyDescent="0.35">
      <c r="U130" s="272" t="s">
        <v>102</v>
      </c>
      <c r="V130" s="16">
        <f>IFERROR(VLOOKUP($U130,costs!$A$2:$I$2905,V$2,FALSE),0)</f>
        <v>0</v>
      </c>
      <c r="W130" s="16">
        <f>IFERROR(VLOOKUP($U130,costs!$A$2:$I$2905,W$2,FALSE),0)</f>
        <v>0</v>
      </c>
      <c r="X130" s="16">
        <f>IFERROR(VLOOKUP($U130,costs!$A$2:$I$2905,X$2,FALSE),0)</f>
        <v>0</v>
      </c>
      <c r="Y130" s="16">
        <f>IFERROR(VLOOKUP($U130,costs!$A$2:$I$2905,Y$2,FALSE),0)</f>
        <v>0</v>
      </c>
      <c r="Z130" s="16">
        <f>IFERROR(VLOOKUP($U130,costs!$A$2:$I$2905,Z$2,FALSE),0)</f>
        <v>0</v>
      </c>
      <c r="AA130" s="16">
        <f>IFERROR(VLOOKUP($U130,costs!$A$2:$I$2905,AA$2,FALSE),0)</f>
        <v>0</v>
      </c>
      <c r="AB130" s="16">
        <f>IFERROR(VLOOKUP($U130,costs!$A$2:$I$2905,AB$2,FALSE),0)</f>
        <v>0</v>
      </c>
      <c r="AC130" s="16">
        <f>IFERROR(VLOOKUP($U130,costs!$A$2:$I$2905,AC$2,FALSE),0)</f>
        <v>0</v>
      </c>
      <c r="AO130" s="40" t="s">
        <v>2152</v>
      </c>
      <c r="AP130" s="16">
        <f>IFERROR(VLOOKUP($AO130,costs!$A$2:$I$2905,AP$2,FALSE),0)</f>
        <v>0</v>
      </c>
      <c r="AQ130" s="16">
        <f>IFERROR(VLOOKUP($AO130,costs!$A$2:$I$2905,AQ$2,FALSE),0)</f>
        <v>0</v>
      </c>
      <c r="AR130" s="16">
        <f>IFERROR(VLOOKUP($AO130,costs!$A$2:$I$2905,AR$2,FALSE),0)</f>
        <v>0</v>
      </c>
      <c r="AS130" s="16">
        <f>IFERROR(VLOOKUP($AO130,costs!$A$2:$I$2905,AS$2,FALSE),0)</f>
        <v>0</v>
      </c>
      <c r="AT130" s="16">
        <f>IFERROR(VLOOKUP($AO130,costs!$A$2:$I$2905,AT$2,FALSE),0)</f>
        <v>0</v>
      </c>
      <c r="AU130" s="16">
        <f>IFERROR(VLOOKUP($AO130,costs!$A$2:$I$2905,AU$2,FALSE),0)</f>
        <v>0</v>
      </c>
      <c r="AV130" s="16">
        <f>IFERROR(VLOOKUP($AO130,costs!$A$2:$I$2905,AV$2,FALSE),0)</f>
        <v>0</v>
      </c>
      <c r="AW130" s="16">
        <f>IFERROR(VLOOKUP($AO130,costs!$A$2:$I$2905,AW$2,FALSE),0)</f>
        <v>0</v>
      </c>
      <c r="AY130" s="272" t="s">
        <v>2146</v>
      </c>
      <c r="AZ130" s="16">
        <f>IFERROR(VLOOKUP($AY130,costs!$A$2:$I$2905,AZ$2,FALSE),0)</f>
        <v>0</v>
      </c>
      <c r="BA130" s="16">
        <f>IFERROR(VLOOKUP($AY130,costs!$A$2:$I$2905,BA$2,FALSE),0)</f>
        <v>0</v>
      </c>
      <c r="BB130" s="16">
        <f>IFERROR(VLOOKUP($AY130,costs!$A$2:$I$2905,BB$2,FALSE),0)</f>
        <v>0</v>
      </c>
      <c r="BC130" s="16">
        <f>IFERROR(VLOOKUP($AY130,costs!$A$2:$I$2905,BC$2,FALSE),0)</f>
        <v>0</v>
      </c>
      <c r="BD130" s="16">
        <f>IFERROR(VLOOKUP($AY130,costs!$A$2:$I$2905,BD$2,FALSE),0)</f>
        <v>0</v>
      </c>
      <c r="BE130" s="16">
        <f>IFERROR(VLOOKUP($AY130,costs!$A$2:$I$2905,BE$2,FALSE),0)</f>
        <v>0</v>
      </c>
      <c r="BF130" s="16">
        <f>IFERROR(VLOOKUP($AY130,costs!$A$2:$I$2905,BF$2,FALSE),0)</f>
        <v>0</v>
      </c>
      <c r="BG130" s="16">
        <f>IFERROR(VLOOKUP($AY130,costs!$A$2:$I$2905,BG$2,FALSE),0)</f>
        <v>0</v>
      </c>
    </row>
    <row r="131" spans="21:59" x14ac:dyDescent="0.35">
      <c r="U131" s="273" t="s">
        <v>103</v>
      </c>
      <c r="V131" s="16">
        <f>IFERROR(VLOOKUP($U131,costs!$A$2:$I$2905,V$2,FALSE),0)</f>
        <v>0</v>
      </c>
      <c r="W131" s="16">
        <f>IFERROR(VLOOKUP($U131,costs!$A$2:$I$2905,W$2,FALSE),0)</f>
        <v>0</v>
      </c>
      <c r="X131" s="16">
        <f>IFERROR(VLOOKUP($U131,costs!$A$2:$I$2905,X$2,FALSE),0)</f>
        <v>0</v>
      </c>
      <c r="Y131" s="16">
        <f>IFERROR(VLOOKUP($U131,costs!$A$2:$I$2905,Y$2,FALSE),0)</f>
        <v>0</v>
      </c>
      <c r="Z131" s="16">
        <f>IFERROR(VLOOKUP($U131,costs!$A$2:$I$2905,Z$2,FALSE),0)</f>
        <v>0</v>
      </c>
      <c r="AA131" s="16">
        <f>IFERROR(VLOOKUP($U131,costs!$A$2:$I$2905,AA$2,FALSE),0)</f>
        <v>0</v>
      </c>
      <c r="AB131" s="16">
        <f>IFERROR(VLOOKUP($U131,costs!$A$2:$I$2905,AB$2,FALSE),0)</f>
        <v>0</v>
      </c>
      <c r="AC131" s="16">
        <f>IFERROR(VLOOKUP($U131,costs!$A$2:$I$2905,AC$2,FALSE),0)</f>
        <v>0</v>
      </c>
      <c r="AO131" s="40" t="s">
        <v>393</v>
      </c>
      <c r="AP131" s="16">
        <f>IFERROR(VLOOKUP($AO131,costs!$A$2:$I$2905,AP$2,FALSE),0)</f>
        <v>0</v>
      </c>
      <c r="AQ131" s="16">
        <f>IFERROR(VLOOKUP($AO131,costs!$A$2:$I$2905,AQ$2,FALSE),0)</f>
        <v>0</v>
      </c>
      <c r="AR131" s="16">
        <f>IFERROR(VLOOKUP($AO131,costs!$A$2:$I$2905,AR$2,FALSE),0)</f>
        <v>0</v>
      </c>
      <c r="AS131" s="16">
        <f>IFERROR(VLOOKUP($AO131,costs!$A$2:$I$2905,AS$2,FALSE),0)</f>
        <v>0</v>
      </c>
      <c r="AT131" s="16">
        <f>IFERROR(VLOOKUP($AO131,costs!$A$2:$I$2905,AT$2,FALSE),0)</f>
        <v>0</v>
      </c>
      <c r="AU131" s="16">
        <f>IFERROR(VLOOKUP($AO131,costs!$A$2:$I$2905,AU$2,FALSE),0)</f>
        <v>0</v>
      </c>
      <c r="AV131" s="16">
        <f>IFERROR(VLOOKUP($AO131,costs!$A$2:$I$2905,AV$2,FALSE),0)</f>
        <v>0</v>
      </c>
      <c r="AW131" s="16">
        <f>IFERROR(VLOOKUP($AO131,costs!$A$2:$I$2905,AW$2,FALSE),0)</f>
        <v>0</v>
      </c>
      <c r="AY131" s="273" t="s">
        <v>1151</v>
      </c>
      <c r="AZ131" s="16">
        <f>IFERROR(VLOOKUP($AY131,costs!$A$2:$I$2905,AZ$2,FALSE),0)</f>
        <v>0</v>
      </c>
      <c r="BA131" s="16">
        <f>IFERROR(VLOOKUP($AY131,costs!$A$2:$I$2905,BA$2,FALSE),0)</f>
        <v>0</v>
      </c>
      <c r="BB131" s="16">
        <f>IFERROR(VLOOKUP($AY131,costs!$A$2:$I$2905,BB$2,FALSE),0)</f>
        <v>0</v>
      </c>
      <c r="BC131" s="16">
        <f>IFERROR(VLOOKUP($AY131,costs!$A$2:$I$2905,BC$2,FALSE),0)</f>
        <v>0</v>
      </c>
      <c r="BD131" s="16">
        <f>IFERROR(VLOOKUP($AY131,costs!$A$2:$I$2905,BD$2,FALSE),0)</f>
        <v>0</v>
      </c>
      <c r="BE131" s="16">
        <f>IFERROR(VLOOKUP($AY131,costs!$A$2:$I$2905,BE$2,FALSE),0)</f>
        <v>0</v>
      </c>
      <c r="BF131" s="16">
        <f>IFERROR(VLOOKUP($AY131,costs!$A$2:$I$2905,BF$2,FALSE),0)</f>
        <v>0</v>
      </c>
      <c r="BG131" s="16">
        <f>IFERROR(VLOOKUP($AY131,costs!$A$2:$I$2905,BG$2,FALSE),0)</f>
        <v>0</v>
      </c>
    </row>
    <row r="132" spans="21:59" x14ac:dyDescent="0.35">
      <c r="U132" s="272" t="s">
        <v>2072</v>
      </c>
      <c r="V132" s="16">
        <f>IFERROR(VLOOKUP($U132,costs!$A$2:$I$2905,V$2,FALSE),0)</f>
        <v>0</v>
      </c>
      <c r="W132" s="16">
        <f>IFERROR(VLOOKUP($U132,costs!$A$2:$I$2905,W$2,FALSE),0)</f>
        <v>0</v>
      </c>
      <c r="X132" s="16">
        <f>IFERROR(VLOOKUP($U132,costs!$A$2:$I$2905,X$2,FALSE),0)</f>
        <v>0</v>
      </c>
      <c r="Y132" s="16">
        <f>IFERROR(VLOOKUP($U132,costs!$A$2:$I$2905,Y$2,FALSE),0)</f>
        <v>0</v>
      </c>
      <c r="Z132" s="16">
        <f>IFERROR(VLOOKUP($U132,costs!$A$2:$I$2905,Z$2,FALSE),0)</f>
        <v>0</v>
      </c>
      <c r="AA132" s="16">
        <f>IFERROR(VLOOKUP($U132,costs!$A$2:$I$2905,AA$2,FALSE),0)</f>
        <v>0</v>
      </c>
      <c r="AB132" s="16">
        <f>IFERROR(VLOOKUP($U132,costs!$A$2:$I$2905,AB$2,FALSE),0)</f>
        <v>0</v>
      </c>
      <c r="AC132" s="16">
        <f>IFERROR(VLOOKUP($U132,costs!$A$2:$I$2905,AC$2,FALSE),0)</f>
        <v>0</v>
      </c>
      <c r="AO132" s="40" t="s">
        <v>2153</v>
      </c>
      <c r="AP132" s="16">
        <f>IFERROR(VLOOKUP($AO132,costs!$A$2:$I$2905,AP$2,FALSE),0)</f>
        <v>0</v>
      </c>
      <c r="AQ132" s="16">
        <f>IFERROR(VLOOKUP($AO132,costs!$A$2:$I$2905,AQ$2,FALSE),0)</f>
        <v>0</v>
      </c>
      <c r="AR132" s="16">
        <f>IFERROR(VLOOKUP($AO132,costs!$A$2:$I$2905,AR$2,FALSE),0)</f>
        <v>0</v>
      </c>
      <c r="AS132" s="16">
        <f>IFERROR(VLOOKUP($AO132,costs!$A$2:$I$2905,AS$2,FALSE),0)</f>
        <v>0</v>
      </c>
      <c r="AT132" s="16">
        <f>IFERROR(VLOOKUP($AO132,costs!$A$2:$I$2905,AT$2,FALSE),0)</f>
        <v>0</v>
      </c>
      <c r="AU132" s="16">
        <f>IFERROR(VLOOKUP($AO132,costs!$A$2:$I$2905,AU$2,FALSE),0)</f>
        <v>0</v>
      </c>
      <c r="AV132" s="16">
        <f>IFERROR(VLOOKUP($AO132,costs!$A$2:$I$2905,AV$2,FALSE),0)</f>
        <v>0</v>
      </c>
      <c r="AW132" s="16">
        <f>IFERROR(VLOOKUP($AO132,costs!$A$2:$I$2905,AW$2,FALSE),0)</f>
        <v>0</v>
      </c>
      <c r="AY132" s="272" t="s">
        <v>388</v>
      </c>
      <c r="AZ132" s="16">
        <f>IFERROR(VLOOKUP($AY132,costs!$A$2:$I$2905,AZ$2,FALSE),0)</f>
        <v>0</v>
      </c>
      <c r="BA132" s="16">
        <f>IFERROR(VLOOKUP($AY132,costs!$A$2:$I$2905,BA$2,FALSE),0)</f>
        <v>0</v>
      </c>
      <c r="BB132" s="16">
        <f>IFERROR(VLOOKUP($AY132,costs!$A$2:$I$2905,BB$2,FALSE),0)</f>
        <v>0</v>
      </c>
      <c r="BC132" s="16">
        <f>IFERROR(VLOOKUP($AY132,costs!$A$2:$I$2905,BC$2,FALSE),0)</f>
        <v>0</v>
      </c>
      <c r="BD132" s="16">
        <f>IFERROR(VLOOKUP($AY132,costs!$A$2:$I$2905,BD$2,FALSE),0)</f>
        <v>0</v>
      </c>
      <c r="BE132" s="16">
        <f>IFERROR(VLOOKUP($AY132,costs!$A$2:$I$2905,BE$2,FALSE),0)</f>
        <v>0</v>
      </c>
      <c r="BF132" s="16">
        <f>IFERROR(VLOOKUP($AY132,costs!$A$2:$I$2905,BF$2,FALSE),0)</f>
        <v>0</v>
      </c>
      <c r="BG132" s="16">
        <f>IFERROR(VLOOKUP($AY132,costs!$A$2:$I$2905,BG$2,FALSE),0)</f>
        <v>0</v>
      </c>
    </row>
    <row r="133" spans="21:59" x14ac:dyDescent="0.35">
      <c r="U133" s="273" t="s">
        <v>84</v>
      </c>
      <c r="V133" s="16">
        <f>IFERROR(VLOOKUP($U133,costs!$A$2:$I$2905,V$2,FALSE),0)</f>
        <v>0</v>
      </c>
      <c r="W133" s="16">
        <f>IFERROR(VLOOKUP($U133,costs!$A$2:$I$2905,W$2,FALSE),0)</f>
        <v>0</v>
      </c>
      <c r="X133" s="16">
        <f>IFERROR(VLOOKUP($U133,costs!$A$2:$I$2905,X$2,FALSE),0)</f>
        <v>0</v>
      </c>
      <c r="Y133" s="16">
        <f>IFERROR(VLOOKUP($U133,costs!$A$2:$I$2905,Y$2,FALSE),0)</f>
        <v>0</v>
      </c>
      <c r="Z133" s="16">
        <f>IFERROR(VLOOKUP($U133,costs!$A$2:$I$2905,Z$2,FALSE),0)</f>
        <v>0</v>
      </c>
      <c r="AA133" s="16">
        <f>IFERROR(VLOOKUP($U133,costs!$A$2:$I$2905,AA$2,FALSE),0)</f>
        <v>0</v>
      </c>
      <c r="AB133" s="16">
        <f>IFERROR(VLOOKUP($U133,costs!$A$2:$I$2905,AB$2,FALSE),0)</f>
        <v>0</v>
      </c>
      <c r="AC133" s="16">
        <f>IFERROR(VLOOKUP($U133,costs!$A$2:$I$2905,AC$2,FALSE),0)</f>
        <v>0</v>
      </c>
      <c r="AO133" s="40" t="s">
        <v>394</v>
      </c>
      <c r="AP133" s="16">
        <f>IFERROR(VLOOKUP($AO133,costs!$A$2:$I$2905,AP$2,FALSE),0)</f>
        <v>0</v>
      </c>
      <c r="AQ133" s="16">
        <f>IFERROR(VLOOKUP($AO133,costs!$A$2:$I$2905,AQ$2,FALSE),0)</f>
        <v>0</v>
      </c>
      <c r="AR133" s="16">
        <f>IFERROR(VLOOKUP($AO133,costs!$A$2:$I$2905,AR$2,FALSE),0)</f>
        <v>0</v>
      </c>
      <c r="AS133" s="16">
        <f>IFERROR(VLOOKUP($AO133,costs!$A$2:$I$2905,AS$2,FALSE),0)</f>
        <v>0</v>
      </c>
      <c r="AT133" s="16">
        <f>IFERROR(VLOOKUP($AO133,costs!$A$2:$I$2905,AT$2,FALSE),0)</f>
        <v>0</v>
      </c>
      <c r="AU133" s="16">
        <f>IFERROR(VLOOKUP($AO133,costs!$A$2:$I$2905,AU$2,FALSE),0)</f>
        <v>0</v>
      </c>
      <c r="AV133" s="16">
        <f>IFERROR(VLOOKUP($AO133,costs!$A$2:$I$2905,AV$2,FALSE),0)</f>
        <v>0</v>
      </c>
      <c r="AW133" s="16">
        <f>IFERROR(VLOOKUP($AO133,costs!$A$2:$I$2905,AW$2,FALSE),0)</f>
        <v>0</v>
      </c>
      <c r="AY133" s="273" t="s">
        <v>389</v>
      </c>
      <c r="AZ133" s="16">
        <f>IFERROR(VLOOKUP($AY133,costs!$A$2:$I$2905,AZ$2,FALSE),0)</f>
        <v>0</v>
      </c>
      <c r="BA133" s="16">
        <f>IFERROR(VLOOKUP($AY133,costs!$A$2:$I$2905,BA$2,FALSE),0)</f>
        <v>0</v>
      </c>
      <c r="BB133" s="16">
        <f>IFERROR(VLOOKUP($AY133,costs!$A$2:$I$2905,BB$2,FALSE),0)</f>
        <v>0</v>
      </c>
      <c r="BC133" s="16">
        <f>IFERROR(VLOOKUP($AY133,costs!$A$2:$I$2905,BC$2,FALSE),0)</f>
        <v>0</v>
      </c>
      <c r="BD133" s="16">
        <f>IFERROR(VLOOKUP($AY133,costs!$A$2:$I$2905,BD$2,FALSE),0)</f>
        <v>0</v>
      </c>
      <c r="BE133" s="16">
        <f>IFERROR(VLOOKUP($AY133,costs!$A$2:$I$2905,BE$2,FALSE),0)</f>
        <v>0</v>
      </c>
      <c r="BF133" s="16">
        <f>IFERROR(VLOOKUP($AY133,costs!$A$2:$I$2905,BF$2,FALSE),0)</f>
        <v>0</v>
      </c>
      <c r="BG133" s="16">
        <f>IFERROR(VLOOKUP($AY133,costs!$A$2:$I$2905,BG$2,FALSE),0)</f>
        <v>0</v>
      </c>
    </row>
    <row r="134" spans="21:59" x14ac:dyDescent="0.35">
      <c r="U134" s="272" t="s">
        <v>85</v>
      </c>
      <c r="V134" s="16">
        <f>IFERROR(VLOOKUP($U134,costs!$A$2:$I$2905,V$2,FALSE),0)</f>
        <v>0</v>
      </c>
      <c r="W134" s="16">
        <f>IFERROR(VLOOKUP($U134,costs!$A$2:$I$2905,W$2,FALSE),0)</f>
        <v>0</v>
      </c>
      <c r="X134" s="16">
        <f>IFERROR(VLOOKUP($U134,costs!$A$2:$I$2905,X$2,FALSE),0)</f>
        <v>0</v>
      </c>
      <c r="Y134" s="16">
        <f>IFERROR(VLOOKUP($U134,costs!$A$2:$I$2905,Y$2,FALSE),0)</f>
        <v>0</v>
      </c>
      <c r="Z134" s="16">
        <f>IFERROR(VLOOKUP($U134,costs!$A$2:$I$2905,Z$2,FALSE),0)</f>
        <v>0</v>
      </c>
      <c r="AA134" s="16">
        <f>IFERROR(VLOOKUP($U134,costs!$A$2:$I$2905,AA$2,FALSE),0)</f>
        <v>0</v>
      </c>
      <c r="AB134" s="16">
        <f>IFERROR(VLOOKUP($U134,costs!$A$2:$I$2905,AB$2,FALSE),0)</f>
        <v>0</v>
      </c>
      <c r="AC134" s="16">
        <f>IFERROR(VLOOKUP($U134,costs!$A$2:$I$2905,AC$2,FALSE),0)</f>
        <v>0</v>
      </c>
      <c r="AO134" s="40" t="s">
        <v>2154</v>
      </c>
      <c r="AP134" s="16">
        <f>IFERROR(VLOOKUP($AO134,costs!$A$2:$I$2905,AP$2,FALSE),0)</f>
        <v>0</v>
      </c>
      <c r="AQ134" s="16">
        <f>IFERROR(VLOOKUP($AO134,costs!$A$2:$I$2905,AQ$2,FALSE),0)</f>
        <v>0</v>
      </c>
      <c r="AR134" s="16">
        <f>IFERROR(VLOOKUP($AO134,costs!$A$2:$I$2905,AR$2,FALSE),0)</f>
        <v>0</v>
      </c>
      <c r="AS134" s="16">
        <f>IFERROR(VLOOKUP($AO134,costs!$A$2:$I$2905,AS$2,FALSE),0)</f>
        <v>0</v>
      </c>
      <c r="AT134" s="16">
        <f>IFERROR(VLOOKUP($AO134,costs!$A$2:$I$2905,AT$2,FALSE),0)</f>
        <v>0</v>
      </c>
      <c r="AU134" s="16">
        <f>IFERROR(VLOOKUP($AO134,costs!$A$2:$I$2905,AU$2,FALSE),0)</f>
        <v>0</v>
      </c>
      <c r="AV134" s="16">
        <f>IFERROR(VLOOKUP($AO134,costs!$A$2:$I$2905,AV$2,FALSE),0)</f>
        <v>0</v>
      </c>
      <c r="AW134" s="16">
        <f>IFERROR(VLOOKUP($AO134,costs!$A$2:$I$2905,AW$2,FALSE),0)</f>
        <v>0</v>
      </c>
      <c r="AY134" s="272" t="s">
        <v>390</v>
      </c>
      <c r="AZ134" s="16">
        <f>IFERROR(VLOOKUP($AY134,costs!$A$2:$I$2905,AZ$2,FALSE),0)</f>
        <v>0</v>
      </c>
      <c r="BA134" s="16">
        <f>IFERROR(VLOOKUP($AY134,costs!$A$2:$I$2905,BA$2,FALSE),0)</f>
        <v>0</v>
      </c>
      <c r="BB134" s="16">
        <f>IFERROR(VLOOKUP($AY134,costs!$A$2:$I$2905,BB$2,FALSE),0)</f>
        <v>0</v>
      </c>
      <c r="BC134" s="16">
        <f>IFERROR(VLOOKUP($AY134,costs!$A$2:$I$2905,BC$2,FALSE),0)</f>
        <v>0</v>
      </c>
      <c r="BD134" s="16">
        <f>IFERROR(VLOOKUP($AY134,costs!$A$2:$I$2905,BD$2,FALSE),0)</f>
        <v>0</v>
      </c>
      <c r="BE134" s="16">
        <f>IFERROR(VLOOKUP($AY134,costs!$A$2:$I$2905,BE$2,FALSE),0)</f>
        <v>0</v>
      </c>
      <c r="BF134" s="16">
        <f>IFERROR(VLOOKUP($AY134,costs!$A$2:$I$2905,BF$2,FALSE),0)</f>
        <v>0</v>
      </c>
      <c r="BG134" s="16">
        <f>IFERROR(VLOOKUP($AY134,costs!$A$2:$I$2905,BG$2,FALSE),0)</f>
        <v>0</v>
      </c>
    </row>
    <row r="135" spans="21:59" x14ac:dyDescent="0.35">
      <c r="U135" s="273" t="s">
        <v>86</v>
      </c>
      <c r="V135" s="16">
        <f>IFERROR(VLOOKUP($U135,costs!$A$2:$I$2905,V$2,FALSE),0)</f>
        <v>0</v>
      </c>
      <c r="W135" s="16">
        <f>IFERROR(VLOOKUP($U135,costs!$A$2:$I$2905,W$2,FALSE),0)</f>
        <v>0</v>
      </c>
      <c r="X135" s="16">
        <f>IFERROR(VLOOKUP($U135,costs!$A$2:$I$2905,X$2,FALSE),0)</f>
        <v>0</v>
      </c>
      <c r="Y135" s="16">
        <f>IFERROR(VLOOKUP($U135,costs!$A$2:$I$2905,Y$2,FALSE),0)</f>
        <v>0</v>
      </c>
      <c r="Z135" s="16">
        <f>IFERROR(VLOOKUP($U135,costs!$A$2:$I$2905,Z$2,FALSE),0)</f>
        <v>0</v>
      </c>
      <c r="AA135" s="16">
        <f>IFERROR(VLOOKUP($U135,costs!$A$2:$I$2905,AA$2,FALSE),0)</f>
        <v>0</v>
      </c>
      <c r="AB135" s="16">
        <f>IFERROR(VLOOKUP($U135,costs!$A$2:$I$2905,AB$2,FALSE),0)</f>
        <v>0</v>
      </c>
      <c r="AC135" s="16">
        <f>IFERROR(VLOOKUP($U135,costs!$A$2:$I$2905,AC$2,FALSE),0)</f>
        <v>0</v>
      </c>
      <c r="AO135" s="40" t="s">
        <v>395</v>
      </c>
      <c r="AP135" s="16">
        <f>IFERROR(VLOOKUP($AO135,costs!$A$2:$I$2905,AP$2,FALSE),0)</f>
        <v>0</v>
      </c>
      <c r="AQ135" s="16">
        <f>IFERROR(VLOOKUP($AO135,costs!$A$2:$I$2905,AQ$2,FALSE),0)</f>
        <v>0</v>
      </c>
      <c r="AR135" s="16">
        <f>IFERROR(VLOOKUP($AO135,costs!$A$2:$I$2905,AR$2,FALSE),0)</f>
        <v>0</v>
      </c>
      <c r="AS135" s="16">
        <f>IFERROR(VLOOKUP($AO135,costs!$A$2:$I$2905,AS$2,FALSE),0)</f>
        <v>0</v>
      </c>
      <c r="AT135" s="16">
        <f>IFERROR(VLOOKUP($AO135,costs!$A$2:$I$2905,AT$2,FALSE),0)</f>
        <v>0</v>
      </c>
      <c r="AU135" s="16">
        <f>IFERROR(VLOOKUP($AO135,costs!$A$2:$I$2905,AU$2,FALSE),0)</f>
        <v>0</v>
      </c>
      <c r="AV135" s="16">
        <f>IFERROR(VLOOKUP($AO135,costs!$A$2:$I$2905,AV$2,FALSE),0)</f>
        <v>0</v>
      </c>
      <c r="AW135" s="16">
        <f>IFERROR(VLOOKUP($AO135,costs!$A$2:$I$2905,AW$2,FALSE),0)</f>
        <v>0</v>
      </c>
      <c r="AY135" s="273" t="s">
        <v>1149</v>
      </c>
      <c r="AZ135" s="16">
        <f>IFERROR(VLOOKUP($AY135,costs!$A$2:$I$2905,AZ$2,FALSE),0)</f>
        <v>0</v>
      </c>
      <c r="BA135" s="16">
        <f>IFERROR(VLOOKUP($AY135,costs!$A$2:$I$2905,BA$2,FALSE),0)</f>
        <v>0</v>
      </c>
      <c r="BB135" s="16">
        <f>IFERROR(VLOOKUP($AY135,costs!$A$2:$I$2905,BB$2,FALSE),0)</f>
        <v>0</v>
      </c>
      <c r="BC135" s="16">
        <f>IFERROR(VLOOKUP($AY135,costs!$A$2:$I$2905,BC$2,FALSE),0)</f>
        <v>0</v>
      </c>
      <c r="BD135" s="16">
        <f>IFERROR(VLOOKUP($AY135,costs!$A$2:$I$2905,BD$2,FALSE),0)</f>
        <v>0</v>
      </c>
      <c r="BE135" s="16">
        <f>IFERROR(VLOOKUP($AY135,costs!$A$2:$I$2905,BE$2,FALSE),0)</f>
        <v>0</v>
      </c>
      <c r="BF135" s="16">
        <f>IFERROR(VLOOKUP($AY135,costs!$A$2:$I$2905,BF$2,FALSE),0)</f>
        <v>0</v>
      </c>
      <c r="BG135" s="16">
        <f>IFERROR(VLOOKUP($AY135,costs!$A$2:$I$2905,BG$2,FALSE),0)</f>
        <v>0</v>
      </c>
    </row>
    <row r="136" spans="21:59" x14ac:dyDescent="0.35">
      <c r="U136" s="272" t="s">
        <v>2073</v>
      </c>
      <c r="V136" s="16">
        <f>IFERROR(VLOOKUP($U136,costs!$A$2:$I$2905,V$2,FALSE),0)</f>
        <v>0</v>
      </c>
      <c r="W136" s="16">
        <f>IFERROR(VLOOKUP($U136,costs!$A$2:$I$2905,W$2,FALSE),0)</f>
        <v>0</v>
      </c>
      <c r="X136" s="16">
        <f>IFERROR(VLOOKUP($U136,costs!$A$2:$I$2905,X$2,FALSE),0)</f>
        <v>0</v>
      </c>
      <c r="Y136" s="16">
        <f>IFERROR(VLOOKUP($U136,costs!$A$2:$I$2905,Y$2,FALSE),0)</f>
        <v>0</v>
      </c>
      <c r="Z136" s="16">
        <f>IFERROR(VLOOKUP($U136,costs!$A$2:$I$2905,Z$2,FALSE),0)</f>
        <v>0</v>
      </c>
      <c r="AA136" s="16">
        <f>IFERROR(VLOOKUP($U136,costs!$A$2:$I$2905,AA$2,FALSE),0)</f>
        <v>0</v>
      </c>
      <c r="AB136" s="16">
        <f>IFERROR(VLOOKUP($U136,costs!$A$2:$I$2905,AB$2,FALSE),0)</f>
        <v>0</v>
      </c>
      <c r="AC136" s="16">
        <f>IFERROR(VLOOKUP($U136,costs!$A$2:$I$2905,AC$2,FALSE),0)</f>
        <v>0</v>
      </c>
      <c r="AO136" s="40" t="s">
        <v>2155</v>
      </c>
      <c r="AP136" s="16">
        <f>IFERROR(VLOOKUP($AO136,costs!$A$2:$I$2905,AP$2,FALSE),0)</f>
        <v>0</v>
      </c>
      <c r="AQ136" s="16">
        <f>IFERROR(VLOOKUP($AO136,costs!$A$2:$I$2905,AQ$2,FALSE),0)</f>
        <v>0</v>
      </c>
      <c r="AR136" s="16">
        <f>IFERROR(VLOOKUP($AO136,costs!$A$2:$I$2905,AR$2,FALSE),0)</f>
        <v>0</v>
      </c>
      <c r="AS136" s="16">
        <f>IFERROR(VLOOKUP($AO136,costs!$A$2:$I$2905,AS$2,FALSE),0)</f>
        <v>0</v>
      </c>
      <c r="AT136" s="16">
        <f>IFERROR(VLOOKUP($AO136,costs!$A$2:$I$2905,AT$2,FALSE),0)</f>
        <v>0</v>
      </c>
      <c r="AU136" s="16">
        <f>IFERROR(VLOOKUP($AO136,costs!$A$2:$I$2905,AU$2,FALSE),0)</f>
        <v>0</v>
      </c>
      <c r="AV136" s="16">
        <f>IFERROR(VLOOKUP($AO136,costs!$A$2:$I$2905,AV$2,FALSE),0)</f>
        <v>0</v>
      </c>
      <c r="AW136" s="16">
        <f>IFERROR(VLOOKUP($AO136,costs!$A$2:$I$2905,AW$2,FALSE),0)</f>
        <v>0</v>
      </c>
      <c r="AY136" s="272" t="s">
        <v>377</v>
      </c>
      <c r="AZ136" s="16">
        <f>IFERROR(VLOOKUP($AY136,costs!$A$2:$I$2905,AZ$2,FALSE),0)</f>
        <v>0</v>
      </c>
      <c r="BA136" s="16">
        <f>IFERROR(VLOOKUP($AY136,costs!$A$2:$I$2905,BA$2,FALSE),0)</f>
        <v>0</v>
      </c>
      <c r="BB136" s="16">
        <f>IFERROR(VLOOKUP($AY136,costs!$A$2:$I$2905,BB$2,FALSE),0)</f>
        <v>0</v>
      </c>
      <c r="BC136" s="16">
        <f>IFERROR(VLOOKUP($AY136,costs!$A$2:$I$2905,BC$2,FALSE),0)</f>
        <v>0</v>
      </c>
      <c r="BD136" s="16">
        <f>IFERROR(VLOOKUP($AY136,costs!$A$2:$I$2905,BD$2,FALSE),0)</f>
        <v>0</v>
      </c>
      <c r="BE136" s="16">
        <f>IFERROR(VLOOKUP($AY136,costs!$A$2:$I$2905,BE$2,FALSE),0)</f>
        <v>0</v>
      </c>
      <c r="BF136" s="16">
        <f>IFERROR(VLOOKUP($AY136,costs!$A$2:$I$2905,BF$2,FALSE),0)</f>
        <v>0</v>
      </c>
      <c r="BG136" s="16">
        <f>IFERROR(VLOOKUP($AY136,costs!$A$2:$I$2905,BG$2,FALSE),0)</f>
        <v>0</v>
      </c>
    </row>
    <row r="137" spans="21:59" x14ac:dyDescent="0.35">
      <c r="U137" s="273" t="s">
        <v>87</v>
      </c>
      <c r="V137" s="16">
        <f>IFERROR(VLOOKUP($U137,costs!$A$2:$I$2905,V$2,FALSE),0)</f>
        <v>0</v>
      </c>
      <c r="W137" s="16">
        <f>IFERROR(VLOOKUP($U137,costs!$A$2:$I$2905,W$2,FALSE),0)</f>
        <v>0</v>
      </c>
      <c r="X137" s="16">
        <f>IFERROR(VLOOKUP($U137,costs!$A$2:$I$2905,X$2,FALSE),0)</f>
        <v>0</v>
      </c>
      <c r="Y137" s="16">
        <f>IFERROR(VLOOKUP($U137,costs!$A$2:$I$2905,Y$2,FALSE),0)</f>
        <v>0</v>
      </c>
      <c r="Z137" s="16">
        <f>IFERROR(VLOOKUP($U137,costs!$A$2:$I$2905,Z$2,FALSE),0)</f>
        <v>0</v>
      </c>
      <c r="AA137" s="16">
        <f>IFERROR(VLOOKUP($U137,costs!$A$2:$I$2905,AA$2,FALSE),0)</f>
        <v>0</v>
      </c>
      <c r="AB137" s="16">
        <f>IFERROR(VLOOKUP($U137,costs!$A$2:$I$2905,AB$2,FALSE),0)</f>
        <v>0</v>
      </c>
      <c r="AC137" s="16">
        <f>IFERROR(VLOOKUP($U137,costs!$A$2:$I$2905,AC$2,FALSE),0)</f>
        <v>0</v>
      </c>
      <c r="AO137" s="40" t="s">
        <v>396</v>
      </c>
      <c r="AP137" s="16">
        <f>IFERROR(VLOOKUP($AO137,costs!$A$2:$I$2905,AP$2,FALSE),0)</f>
        <v>0</v>
      </c>
      <c r="AQ137" s="16">
        <f>IFERROR(VLOOKUP($AO137,costs!$A$2:$I$2905,AQ$2,FALSE),0)</f>
        <v>0</v>
      </c>
      <c r="AR137" s="16">
        <f>IFERROR(VLOOKUP($AO137,costs!$A$2:$I$2905,AR$2,FALSE),0)</f>
        <v>0</v>
      </c>
      <c r="AS137" s="16">
        <f>IFERROR(VLOOKUP($AO137,costs!$A$2:$I$2905,AS$2,FALSE),0)</f>
        <v>0</v>
      </c>
      <c r="AT137" s="16">
        <f>IFERROR(VLOOKUP($AO137,costs!$A$2:$I$2905,AT$2,FALSE),0)</f>
        <v>0</v>
      </c>
      <c r="AU137" s="16">
        <f>IFERROR(VLOOKUP($AO137,costs!$A$2:$I$2905,AU$2,FALSE),0)</f>
        <v>0</v>
      </c>
      <c r="AV137" s="16">
        <f>IFERROR(VLOOKUP($AO137,costs!$A$2:$I$2905,AV$2,FALSE),0)</f>
        <v>0</v>
      </c>
      <c r="AW137" s="16">
        <f>IFERROR(VLOOKUP($AO137,costs!$A$2:$I$2905,AW$2,FALSE),0)</f>
        <v>0</v>
      </c>
      <c r="AY137" s="273" t="s">
        <v>378</v>
      </c>
      <c r="AZ137" s="16">
        <f>IFERROR(VLOOKUP($AY137,costs!$A$2:$I$2905,AZ$2,FALSE),0)</f>
        <v>0</v>
      </c>
      <c r="BA137" s="16">
        <f>IFERROR(VLOOKUP($AY137,costs!$A$2:$I$2905,BA$2,FALSE),0)</f>
        <v>0</v>
      </c>
      <c r="BB137" s="16">
        <f>IFERROR(VLOOKUP($AY137,costs!$A$2:$I$2905,BB$2,FALSE),0)</f>
        <v>0</v>
      </c>
      <c r="BC137" s="16">
        <f>IFERROR(VLOOKUP($AY137,costs!$A$2:$I$2905,BC$2,FALSE),0)</f>
        <v>0</v>
      </c>
      <c r="BD137" s="16">
        <f>IFERROR(VLOOKUP($AY137,costs!$A$2:$I$2905,BD$2,FALSE),0)</f>
        <v>0</v>
      </c>
      <c r="BE137" s="16">
        <f>IFERROR(VLOOKUP($AY137,costs!$A$2:$I$2905,BE$2,FALSE),0)</f>
        <v>0</v>
      </c>
      <c r="BF137" s="16">
        <f>IFERROR(VLOOKUP($AY137,costs!$A$2:$I$2905,BF$2,FALSE),0)</f>
        <v>0</v>
      </c>
      <c r="BG137" s="16">
        <f>IFERROR(VLOOKUP($AY137,costs!$A$2:$I$2905,BG$2,FALSE),0)</f>
        <v>0</v>
      </c>
    </row>
    <row r="138" spans="21:59" x14ac:dyDescent="0.35">
      <c r="U138" s="272" t="s">
        <v>88</v>
      </c>
      <c r="V138" s="16">
        <f>IFERROR(VLOOKUP($U138,costs!$A$2:$I$2905,V$2,FALSE),0)</f>
        <v>0</v>
      </c>
      <c r="W138" s="16">
        <f>IFERROR(VLOOKUP($U138,costs!$A$2:$I$2905,W$2,FALSE),0)</f>
        <v>0</v>
      </c>
      <c r="X138" s="16">
        <f>IFERROR(VLOOKUP($U138,costs!$A$2:$I$2905,X$2,FALSE),0)</f>
        <v>0</v>
      </c>
      <c r="Y138" s="16">
        <f>IFERROR(VLOOKUP($U138,costs!$A$2:$I$2905,Y$2,FALSE),0)</f>
        <v>0</v>
      </c>
      <c r="Z138" s="16">
        <f>IFERROR(VLOOKUP($U138,costs!$A$2:$I$2905,Z$2,FALSE),0)</f>
        <v>0</v>
      </c>
      <c r="AA138" s="16">
        <f>IFERROR(VLOOKUP($U138,costs!$A$2:$I$2905,AA$2,FALSE),0)</f>
        <v>0</v>
      </c>
      <c r="AB138" s="16">
        <f>IFERROR(VLOOKUP($U138,costs!$A$2:$I$2905,AB$2,FALSE),0)</f>
        <v>0</v>
      </c>
      <c r="AC138" s="16">
        <f>IFERROR(VLOOKUP($U138,costs!$A$2:$I$2905,AC$2,FALSE),0)</f>
        <v>0</v>
      </c>
      <c r="AO138" s="40" t="s">
        <v>2156</v>
      </c>
      <c r="AP138" s="16">
        <f>IFERROR(VLOOKUP($AO138,costs!$A$2:$I$2905,AP$2,FALSE),0)</f>
        <v>0</v>
      </c>
      <c r="AQ138" s="16">
        <f>IFERROR(VLOOKUP($AO138,costs!$A$2:$I$2905,AQ$2,FALSE),0)</f>
        <v>0</v>
      </c>
      <c r="AR138" s="16">
        <f>IFERROR(VLOOKUP($AO138,costs!$A$2:$I$2905,AR$2,FALSE),0)</f>
        <v>0</v>
      </c>
      <c r="AS138" s="16">
        <f>IFERROR(VLOOKUP($AO138,costs!$A$2:$I$2905,AS$2,FALSE),0)</f>
        <v>0</v>
      </c>
      <c r="AT138" s="16">
        <f>IFERROR(VLOOKUP($AO138,costs!$A$2:$I$2905,AT$2,FALSE),0)</f>
        <v>0</v>
      </c>
      <c r="AU138" s="16">
        <f>IFERROR(VLOOKUP($AO138,costs!$A$2:$I$2905,AU$2,FALSE),0)</f>
        <v>0</v>
      </c>
      <c r="AV138" s="16">
        <f>IFERROR(VLOOKUP($AO138,costs!$A$2:$I$2905,AV$2,FALSE),0)</f>
        <v>0</v>
      </c>
      <c r="AW138" s="16">
        <f>IFERROR(VLOOKUP($AO138,costs!$A$2:$I$2905,AW$2,FALSE),0)</f>
        <v>0</v>
      </c>
      <c r="AY138" s="272" t="s">
        <v>1148</v>
      </c>
      <c r="AZ138" s="16">
        <f>IFERROR(VLOOKUP($AY138,costs!$A$2:$I$2905,AZ$2,FALSE),0)</f>
        <v>0</v>
      </c>
      <c r="BA138" s="16">
        <f>IFERROR(VLOOKUP($AY138,costs!$A$2:$I$2905,BA$2,FALSE),0)</f>
        <v>0</v>
      </c>
      <c r="BB138" s="16">
        <f>IFERROR(VLOOKUP($AY138,costs!$A$2:$I$2905,BB$2,FALSE),0)</f>
        <v>0</v>
      </c>
      <c r="BC138" s="16">
        <f>IFERROR(VLOOKUP($AY138,costs!$A$2:$I$2905,BC$2,FALSE),0)</f>
        <v>0</v>
      </c>
      <c r="BD138" s="16">
        <f>IFERROR(VLOOKUP($AY138,costs!$A$2:$I$2905,BD$2,FALSE),0)</f>
        <v>0</v>
      </c>
      <c r="BE138" s="16">
        <f>IFERROR(VLOOKUP($AY138,costs!$A$2:$I$2905,BE$2,FALSE),0)</f>
        <v>0</v>
      </c>
      <c r="BF138" s="16">
        <f>IFERROR(VLOOKUP($AY138,costs!$A$2:$I$2905,BF$2,FALSE),0)</f>
        <v>0</v>
      </c>
      <c r="BG138" s="16">
        <f>IFERROR(VLOOKUP($AY138,costs!$A$2:$I$2905,BG$2,FALSE),0)</f>
        <v>0</v>
      </c>
    </row>
    <row r="139" spans="21:59" x14ac:dyDescent="0.35">
      <c r="U139" s="273" t="s">
        <v>89</v>
      </c>
      <c r="V139" s="16">
        <f>IFERROR(VLOOKUP($U139,costs!$A$2:$I$2905,V$2,FALSE),0)</f>
        <v>0</v>
      </c>
      <c r="W139" s="16">
        <f>IFERROR(VLOOKUP($U139,costs!$A$2:$I$2905,W$2,FALSE),0)</f>
        <v>0</v>
      </c>
      <c r="X139" s="16">
        <f>IFERROR(VLOOKUP($U139,costs!$A$2:$I$2905,X$2,FALSE),0)</f>
        <v>0</v>
      </c>
      <c r="Y139" s="16">
        <f>IFERROR(VLOOKUP($U139,costs!$A$2:$I$2905,Y$2,FALSE),0)</f>
        <v>0</v>
      </c>
      <c r="Z139" s="16">
        <f>IFERROR(VLOOKUP($U139,costs!$A$2:$I$2905,Z$2,FALSE),0)</f>
        <v>0</v>
      </c>
      <c r="AA139" s="16">
        <f>IFERROR(VLOOKUP($U139,costs!$A$2:$I$2905,AA$2,FALSE),0)</f>
        <v>0</v>
      </c>
      <c r="AB139" s="16">
        <f>IFERROR(VLOOKUP($U139,costs!$A$2:$I$2905,AB$2,FALSE),0)</f>
        <v>0</v>
      </c>
      <c r="AC139" s="16">
        <f>IFERROR(VLOOKUP($U139,costs!$A$2:$I$2905,AC$2,FALSE),0)</f>
        <v>0</v>
      </c>
      <c r="AO139" s="40" t="s">
        <v>397</v>
      </c>
      <c r="AP139" s="16">
        <f>IFERROR(VLOOKUP($AO139,costs!$A$2:$I$2905,AP$2,FALSE),0)</f>
        <v>0</v>
      </c>
      <c r="AQ139" s="16">
        <f>IFERROR(VLOOKUP($AO139,costs!$A$2:$I$2905,AQ$2,FALSE),0)</f>
        <v>0</v>
      </c>
      <c r="AR139" s="16">
        <f>IFERROR(VLOOKUP($AO139,costs!$A$2:$I$2905,AR$2,FALSE),0)</f>
        <v>0</v>
      </c>
      <c r="AS139" s="16">
        <f>IFERROR(VLOOKUP($AO139,costs!$A$2:$I$2905,AS$2,FALSE),0)</f>
        <v>0</v>
      </c>
      <c r="AT139" s="16">
        <f>IFERROR(VLOOKUP($AO139,costs!$A$2:$I$2905,AT$2,FALSE),0)</f>
        <v>0</v>
      </c>
      <c r="AU139" s="16">
        <f>IFERROR(VLOOKUP($AO139,costs!$A$2:$I$2905,AU$2,FALSE),0)</f>
        <v>0</v>
      </c>
      <c r="AV139" s="16">
        <f>IFERROR(VLOOKUP($AO139,costs!$A$2:$I$2905,AV$2,FALSE),0)</f>
        <v>0</v>
      </c>
      <c r="AW139" s="16">
        <f>IFERROR(VLOOKUP($AO139,costs!$A$2:$I$2905,AW$2,FALSE),0)</f>
        <v>0</v>
      </c>
      <c r="AY139" s="273" t="s">
        <v>365</v>
      </c>
      <c r="AZ139" s="16">
        <f>IFERROR(VLOOKUP($AY139,costs!$A$2:$I$2905,AZ$2,FALSE),0)</f>
        <v>0</v>
      </c>
      <c r="BA139" s="16">
        <f>IFERROR(VLOOKUP($AY139,costs!$A$2:$I$2905,BA$2,FALSE),0)</f>
        <v>0</v>
      </c>
      <c r="BB139" s="16">
        <f>IFERROR(VLOOKUP($AY139,costs!$A$2:$I$2905,BB$2,FALSE),0)</f>
        <v>0</v>
      </c>
      <c r="BC139" s="16">
        <f>IFERROR(VLOOKUP($AY139,costs!$A$2:$I$2905,BC$2,FALSE),0)</f>
        <v>0</v>
      </c>
      <c r="BD139" s="16">
        <f>IFERROR(VLOOKUP($AY139,costs!$A$2:$I$2905,BD$2,FALSE),0)</f>
        <v>0</v>
      </c>
      <c r="BE139" s="16">
        <f>IFERROR(VLOOKUP($AY139,costs!$A$2:$I$2905,BE$2,FALSE),0)</f>
        <v>0</v>
      </c>
      <c r="BF139" s="16">
        <f>IFERROR(VLOOKUP($AY139,costs!$A$2:$I$2905,BF$2,FALSE),0)</f>
        <v>0</v>
      </c>
      <c r="BG139" s="16">
        <f>IFERROR(VLOOKUP($AY139,costs!$A$2:$I$2905,BG$2,FALSE),0)</f>
        <v>0</v>
      </c>
    </row>
    <row r="140" spans="21:59" x14ac:dyDescent="0.35">
      <c r="U140" s="272" t="s">
        <v>82</v>
      </c>
      <c r="V140" s="16">
        <f>IFERROR(VLOOKUP($U140,costs!$A$2:$I$2905,V$2,FALSE),0)</f>
        <v>0</v>
      </c>
      <c r="W140" s="16">
        <f>IFERROR(VLOOKUP($U140,costs!$A$2:$I$2905,W$2,FALSE),0)</f>
        <v>0</v>
      </c>
      <c r="X140" s="16">
        <f>IFERROR(VLOOKUP($U140,costs!$A$2:$I$2905,X$2,FALSE),0)</f>
        <v>0</v>
      </c>
      <c r="Y140" s="16">
        <f>IFERROR(VLOOKUP($U140,costs!$A$2:$I$2905,Y$2,FALSE),0)</f>
        <v>0</v>
      </c>
      <c r="Z140" s="16">
        <f>IFERROR(VLOOKUP($U140,costs!$A$2:$I$2905,Z$2,FALSE),0)</f>
        <v>0</v>
      </c>
      <c r="AA140" s="16">
        <f>IFERROR(VLOOKUP($U140,costs!$A$2:$I$2905,AA$2,FALSE),0)</f>
        <v>0</v>
      </c>
      <c r="AB140" s="16">
        <f>IFERROR(VLOOKUP($U140,costs!$A$2:$I$2905,AB$2,FALSE),0)</f>
        <v>0</v>
      </c>
      <c r="AC140" s="16">
        <f>IFERROR(VLOOKUP($U140,costs!$A$2:$I$2905,AC$2,FALSE),0)</f>
        <v>0</v>
      </c>
      <c r="AO140" s="40" t="s">
        <v>2157</v>
      </c>
      <c r="AP140" s="16">
        <f>IFERROR(VLOOKUP($AO140,costs!$A$2:$I$2905,AP$2,FALSE),0)</f>
        <v>0</v>
      </c>
      <c r="AQ140" s="16">
        <f>IFERROR(VLOOKUP($AO140,costs!$A$2:$I$2905,AQ$2,FALSE),0)</f>
        <v>0</v>
      </c>
      <c r="AR140" s="16">
        <f>IFERROR(VLOOKUP($AO140,costs!$A$2:$I$2905,AR$2,FALSE),0)</f>
        <v>0</v>
      </c>
      <c r="AS140" s="16">
        <f>IFERROR(VLOOKUP($AO140,costs!$A$2:$I$2905,AS$2,FALSE),0)</f>
        <v>0</v>
      </c>
      <c r="AT140" s="16">
        <f>IFERROR(VLOOKUP($AO140,costs!$A$2:$I$2905,AT$2,FALSE),0)</f>
        <v>0</v>
      </c>
      <c r="AU140" s="16">
        <f>IFERROR(VLOOKUP($AO140,costs!$A$2:$I$2905,AU$2,FALSE),0)</f>
        <v>0</v>
      </c>
      <c r="AV140" s="16">
        <f>IFERROR(VLOOKUP($AO140,costs!$A$2:$I$2905,AV$2,FALSE),0)</f>
        <v>0</v>
      </c>
      <c r="AW140" s="16">
        <f>IFERROR(VLOOKUP($AO140,costs!$A$2:$I$2905,AW$2,FALSE),0)</f>
        <v>0</v>
      </c>
      <c r="AY140" s="272" t="s">
        <v>366</v>
      </c>
      <c r="AZ140" s="16">
        <f>IFERROR(VLOOKUP($AY140,costs!$A$2:$I$2905,AZ$2,FALSE),0)</f>
        <v>0</v>
      </c>
      <c r="BA140" s="16">
        <f>IFERROR(VLOOKUP($AY140,costs!$A$2:$I$2905,BA$2,FALSE),0)</f>
        <v>0</v>
      </c>
      <c r="BB140" s="16">
        <f>IFERROR(VLOOKUP($AY140,costs!$A$2:$I$2905,BB$2,FALSE),0)</f>
        <v>0</v>
      </c>
      <c r="BC140" s="16">
        <f>IFERROR(VLOOKUP($AY140,costs!$A$2:$I$2905,BC$2,FALSE),0)</f>
        <v>0</v>
      </c>
      <c r="BD140" s="16">
        <f>IFERROR(VLOOKUP($AY140,costs!$A$2:$I$2905,BD$2,FALSE),0)</f>
        <v>0</v>
      </c>
      <c r="BE140" s="16">
        <f>IFERROR(VLOOKUP($AY140,costs!$A$2:$I$2905,BE$2,FALSE),0)</f>
        <v>0</v>
      </c>
      <c r="BF140" s="16">
        <f>IFERROR(VLOOKUP($AY140,costs!$A$2:$I$2905,BF$2,FALSE),0)</f>
        <v>0</v>
      </c>
      <c r="BG140" s="16">
        <f>IFERROR(VLOOKUP($AY140,costs!$A$2:$I$2905,BG$2,FALSE),0)</f>
        <v>0</v>
      </c>
    </row>
    <row r="141" spans="21:59" x14ac:dyDescent="0.35">
      <c r="U141" s="273" t="s">
        <v>83</v>
      </c>
      <c r="V141" s="16">
        <f>IFERROR(VLOOKUP($U141,costs!$A$2:$I$2905,V$2,FALSE),0)</f>
        <v>0</v>
      </c>
      <c r="W141" s="16">
        <f>IFERROR(VLOOKUP($U141,costs!$A$2:$I$2905,W$2,FALSE),0)</f>
        <v>0</v>
      </c>
      <c r="X141" s="16">
        <f>IFERROR(VLOOKUP($U141,costs!$A$2:$I$2905,X$2,FALSE),0)</f>
        <v>0</v>
      </c>
      <c r="Y141" s="16">
        <f>IFERROR(VLOOKUP($U141,costs!$A$2:$I$2905,Y$2,FALSE),0)</f>
        <v>0</v>
      </c>
      <c r="Z141" s="16">
        <f>IFERROR(VLOOKUP($U141,costs!$A$2:$I$2905,Z$2,FALSE),0)</f>
        <v>0</v>
      </c>
      <c r="AA141" s="16">
        <f>IFERROR(VLOOKUP($U141,costs!$A$2:$I$2905,AA$2,FALSE),0)</f>
        <v>0</v>
      </c>
      <c r="AB141" s="16">
        <f>IFERROR(VLOOKUP($U141,costs!$A$2:$I$2905,AB$2,FALSE),0)</f>
        <v>0</v>
      </c>
      <c r="AC141" s="16">
        <f>IFERROR(VLOOKUP($U141,costs!$A$2:$I$2905,AC$2,FALSE),0)</f>
        <v>0</v>
      </c>
      <c r="AO141" s="40" t="s">
        <v>1150</v>
      </c>
      <c r="AP141" s="16">
        <f>IFERROR(VLOOKUP($AO141,costs!$A$2:$I$2905,AP$2,FALSE),0)</f>
        <v>0</v>
      </c>
      <c r="AQ141" s="16">
        <f>IFERROR(VLOOKUP($AO141,costs!$A$2:$I$2905,AQ$2,FALSE),0)</f>
        <v>0</v>
      </c>
      <c r="AR141" s="16">
        <f>IFERROR(VLOOKUP($AO141,costs!$A$2:$I$2905,AR$2,FALSE),0)</f>
        <v>0</v>
      </c>
      <c r="AS141" s="16">
        <f>IFERROR(VLOOKUP($AO141,costs!$A$2:$I$2905,AS$2,FALSE),0)</f>
        <v>0</v>
      </c>
      <c r="AT141" s="16">
        <f>IFERROR(VLOOKUP($AO141,costs!$A$2:$I$2905,AT$2,FALSE),0)</f>
        <v>0</v>
      </c>
      <c r="AU141" s="16">
        <f>IFERROR(VLOOKUP($AO141,costs!$A$2:$I$2905,AU$2,FALSE),0)</f>
        <v>0</v>
      </c>
      <c r="AV141" s="16">
        <f>IFERROR(VLOOKUP($AO141,costs!$A$2:$I$2905,AV$2,FALSE),0)</f>
        <v>0</v>
      </c>
      <c r="AW141" s="16">
        <f>IFERROR(VLOOKUP($AO141,costs!$A$2:$I$2905,AW$2,FALSE),0)</f>
        <v>0</v>
      </c>
      <c r="AY141" s="273" t="s">
        <v>367</v>
      </c>
      <c r="AZ141" s="16">
        <f>IFERROR(VLOOKUP($AY141,costs!$A$2:$I$2905,AZ$2,FALSE),0)</f>
        <v>0</v>
      </c>
      <c r="BA141" s="16">
        <f>IFERROR(VLOOKUP($AY141,costs!$A$2:$I$2905,BA$2,FALSE),0)</f>
        <v>0</v>
      </c>
      <c r="BB141" s="16">
        <f>IFERROR(VLOOKUP($AY141,costs!$A$2:$I$2905,BB$2,FALSE),0)</f>
        <v>0</v>
      </c>
      <c r="BC141" s="16">
        <f>IFERROR(VLOOKUP($AY141,costs!$A$2:$I$2905,BC$2,FALSE),0)</f>
        <v>0</v>
      </c>
      <c r="BD141" s="16">
        <f>IFERROR(VLOOKUP($AY141,costs!$A$2:$I$2905,BD$2,FALSE),0)</f>
        <v>0</v>
      </c>
      <c r="BE141" s="16">
        <f>IFERROR(VLOOKUP($AY141,costs!$A$2:$I$2905,BE$2,FALSE),0)</f>
        <v>0</v>
      </c>
      <c r="BF141" s="16">
        <f>IFERROR(VLOOKUP($AY141,costs!$A$2:$I$2905,BF$2,FALSE),0)</f>
        <v>0</v>
      </c>
      <c r="BG141" s="16">
        <f>IFERROR(VLOOKUP($AY141,costs!$A$2:$I$2905,BG$2,FALSE),0)</f>
        <v>0</v>
      </c>
    </row>
    <row r="142" spans="21:59" x14ac:dyDescent="0.35">
      <c r="U142" s="272" t="s">
        <v>2074</v>
      </c>
      <c r="V142" s="16">
        <f>IFERROR(VLOOKUP($U142,costs!$A$2:$I$2905,V$2,FALSE),0)</f>
        <v>0</v>
      </c>
      <c r="W142" s="16">
        <f>IFERROR(VLOOKUP($U142,costs!$A$2:$I$2905,W$2,FALSE),0)</f>
        <v>0</v>
      </c>
      <c r="X142" s="16">
        <f>IFERROR(VLOOKUP($U142,costs!$A$2:$I$2905,X$2,FALSE),0)</f>
        <v>0</v>
      </c>
      <c r="Y142" s="16">
        <f>IFERROR(VLOOKUP($U142,costs!$A$2:$I$2905,Y$2,FALSE),0)</f>
        <v>0</v>
      </c>
      <c r="Z142" s="16">
        <f>IFERROR(VLOOKUP($U142,costs!$A$2:$I$2905,Z$2,FALSE),0)</f>
        <v>0</v>
      </c>
      <c r="AA142" s="16">
        <f>IFERROR(VLOOKUP($U142,costs!$A$2:$I$2905,AA$2,FALSE),0)</f>
        <v>0</v>
      </c>
      <c r="AB142" s="16">
        <f>IFERROR(VLOOKUP($U142,costs!$A$2:$I$2905,AB$2,FALSE),0)</f>
        <v>0</v>
      </c>
      <c r="AC142" s="16">
        <f>IFERROR(VLOOKUP($U142,costs!$A$2:$I$2905,AC$2,FALSE),0)</f>
        <v>0</v>
      </c>
      <c r="AO142" s="40" t="s">
        <v>2158</v>
      </c>
      <c r="AP142" s="16">
        <f>IFERROR(VLOOKUP($AO142,costs!$A$2:$I$2905,AP$2,FALSE),0)</f>
        <v>0</v>
      </c>
      <c r="AQ142" s="16">
        <f>IFERROR(VLOOKUP($AO142,costs!$A$2:$I$2905,AQ$2,FALSE),0)</f>
        <v>0</v>
      </c>
      <c r="AR142" s="16">
        <f>IFERROR(VLOOKUP($AO142,costs!$A$2:$I$2905,AR$2,FALSE),0)</f>
        <v>0</v>
      </c>
      <c r="AS142" s="16">
        <f>IFERROR(VLOOKUP($AO142,costs!$A$2:$I$2905,AS$2,FALSE),0)</f>
        <v>0</v>
      </c>
      <c r="AT142" s="16">
        <f>IFERROR(VLOOKUP($AO142,costs!$A$2:$I$2905,AT$2,FALSE),0)</f>
        <v>0</v>
      </c>
      <c r="AU142" s="16">
        <f>IFERROR(VLOOKUP($AO142,costs!$A$2:$I$2905,AU$2,FALSE),0)</f>
        <v>0</v>
      </c>
      <c r="AV142" s="16">
        <f>IFERROR(VLOOKUP($AO142,costs!$A$2:$I$2905,AV$2,FALSE),0)</f>
        <v>0</v>
      </c>
      <c r="AW142" s="16">
        <f>IFERROR(VLOOKUP($AO142,costs!$A$2:$I$2905,AW$2,FALSE),0)</f>
        <v>0</v>
      </c>
      <c r="AY142" s="272" t="s">
        <v>492</v>
      </c>
      <c r="AZ142" s="16">
        <f>IFERROR(VLOOKUP($AY142,costs!$A$2:$I$2905,AZ$2,FALSE),0)</f>
        <v>0</v>
      </c>
      <c r="BA142" s="16">
        <f>IFERROR(VLOOKUP($AY142,costs!$A$2:$I$2905,BA$2,FALSE),0)</f>
        <v>0</v>
      </c>
      <c r="BB142" s="16">
        <f>IFERROR(VLOOKUP($AY142,costs!$A$2:$I$2905,BB$2,FALSE),0)</f>
        <v>0</v>
      </c>
      <c r="BC142" s="16">
        <f>IFERROR(VLOOKUP($AY142,costs!$A$2:$I$2905,BC$2,FALSE),0)</f>
        <v>0</v>
      </c>
      <c r="BD142" s="16">
        <f>IFERROR(VLOOKUP($AY142,costs!$A$2:$I$2905,BD$2,FALSE),0)</f>
        <v>0</v>
      </c>
      <c r="BE142" s="16">
        <f>IFERROR(VLOOKUP($AY142,costs!$A$2:$I$2905,BE$2,FALSE),0)</f>
        <v>0</v>
      </c>
      <c r="BF142" s="16">
        <f>IFERROR(VLOOKUP($AY142,costs!$A$2:$I$2905,BF$2,FALSE),0)</f>
        <v>0</v>
      </c>
      <c r="BG142" s="16">
        <f>IFERROR(VLOOKUP($AY142,costs!$A$2:$I$2905,BG$2,FALSE),0)</f>
        <v>0</v>
      </c>
    </row>
    <row r="143" spans="21:59" x14ac:dyDescent="0.35">
      <c r="U143" s="273" t="s">
        <v>92</v>
      </c>
      <c r="V143" s="16">
        <f>IFERROR(VLOOKUP($U143,costs!$A$2:$I$2905,V$2,FALSE),0)</f>
        <v>0</v>
      </c>
      <c r="W143" s="16">
        <f>IFERROR(VLOOKUP($U143,costs!$A$2:$I$2905,W$2,FALSE),0)</f>
        <v>0</v>
      </c>
      <c r="X143" s="16">
        <f>IFERROR(VLOOKUP($U143,costs!$A$2:$I$2905,X$2,FALSE),0)</f>
        <v>0</v>
      </c>
      <c r="Y143" s="16">
        <f>IFERROR(VLOOKUP($U143,costs!$A$2:$I$2905,Y$2,FALSE),0)</f>
        <v>0</v>
      </c>
      <c r="Z143" s="16">
        <f>IFERROR(VLOOKUP($U143,costs!$A$2:$I$2905,Z$2,FALSE),0)</f>
        <v>0</v>
      </c>
      <c r="AA143" s="16">
        <f>IFERROR(VLOOKUP($U143,costs!$A$2:$I$2905,AA$2,FALSE),0)</f>
        <v>0</v>
      </c>
      <c r="AB143" s="16">
        <f>IFERROR(VLOOKUP($U143,costs!$A$2:$I$2905,AB$2,FALSE),0)</f>
        <v>0</v>
      </c>
      <c r="AC143" s="16">
        <f>IFERROR(VLOOKUP($U143,costs!$A$2:$I$2905,AC$2,FALSE),0)</f>
        <v>0</v>
      </c>
      <c r="AO143" s="40" t="s">
        <v>379</v>
      </c>
      <c r="AP143" s="16">
        <f>IFERROR(VLOOKUP($AO143,costs!$A$2:$I$2905,AP$2,FALSE),0)</f>
        <v>0</v>
      </c>
      <c r="AQ143" s="16">
        <f>IFERROR(VLOOKUP($AO143,costs!$A$2:$I$2905,AQ$2,FALSE),0)</f>
        <v>0</v>
      </c>
      <c r="AR143" s="16">
        <f>IFERROR(VLOOKUP($AO143,costs!$A$2:$I$2905,AR$2,FALSE),0)</f>
        <v>0</v>
      </c>
      <c r="AS143" s="16">
        <f>IFERROR(VLOOKUP($AO143,costs!$A$2:$I$2905,AS$2,FALSE),0)</f>
        <v>0</v>
      </c>
      <c r="AT143" s="16">
        <f>IFERROR(VLOOKUP($AO143,costs!$A$2:$I$2905,AT$2,FALSE),0)</f>
        <v>0</v>
      </c>
      <c r="AU143" s="16">
        <f>IFERROR(VLOOKUP($AO143,costs!$A$2:$I$2905,AU$2,FALSE),0)</f>
        <v>0</v>
      </c>
      <c r="AV143" s="16">
        <f>IFERROR(VLOOKUP($AO143,costs!$A$2:$I$2905,AV$2,FALSE),0)</f>
        <v>0</v>
      </c>
      <c r="AW143" s="16">
        <f>IFERROR(VLOOKUP($AO143,costs!$A$2:$I$2905,AW$2,FALSE),0)</f>
        <v>0</v>
      </c>
      <c r="AY143" s="900" t="s">
        <v>5035</v>
      </c>
      <c r="AZ143" s="16">
        <f>IFERROR(VLOOKUP($AY143,costs!$A$2:$I$2905,AZ$2,FALSE),0)</f>
        <v>0</v>
      </c>
      <c r="BA143" s="16">
        <f>IFERROR(VLOOKUP($AY143,costs!$A$2:$I$2905,BA$2,FALSE),0)</f>
        <v>0</v>
      </c>
      <c r="BB143" s="16">
        <f>IFERROR(VLOOKUP($AY143,costs!$A$2:$I$2905,BB$2,FALSE),0)</f>
        <v>0</v>
      </c>
      <c r="BC143" s="16">
        <f>IFERROR(VLOOKUP($AY143,costs!$A$2:$I$2905,BC$2,FALSE),0)</f>
        <v>0</v>
      </c>
      <c r="BD143" s="16">
        <f>IFERROR(VLOOKUP($AY143,costs!$A$2:$I$2905,BD$2,FALSE),0)</f>
        <v>0</v>
      </c>
      <c r="BE143" s="16">
        <f>IFERROR(VLOOKUP($AY143,costs!$A$2:$I$2905,BE$2,FALSE),0)</f>
        <v>0</v>
      </c>
      <c r="BF143" s="16">
        <f>IFERROR(VLOOKUP($AY143,costs!$A$2:$I$2905,BF$2,FALSE),0)</f>
        <v>0</v>
      </c>
      <c r="BG143" s="16">
        <f>IFERROR(VLOOKUP($AY143,costs!$A$2:$I$2905,BG$2,FALSE),0)</f>
        <v>0</v>
      </c>
    </row>
    <row r="144" spans="21:59" x14ac:dyDescent="0.35">
      <c r="U144" s="272" t="s">
        <v>93</v>
      </c>
      <c r="V144" s="16">
        <f>IFERROR(VLOOKUP($U144,costs!$A$2:$I$2905,V$2,FALSE),0)</f>
        <v>0</v>
      </c>
      <c r="W144" s="16">
        <f>IFERROR(VLOOKUP($U144,costs!$A$2:$I$2905,W$2,FALSE),0)</f>
        <v>0</v>
      </c>
      <c r="X144" s="16">
        <f>IFERROR(VLOOKUP($U144,costs!$A$2:$I$2905,X$2,FALSE),0)</f>
        <v>0</v>
      </c>
      <c r="Y144" s="16">
        <f>IFERROR(VLOOKUP($U144,costs!$A$2:$I$2905,Y$2,FALSE),0)</f>
        <v>0</v>
      </c>
      <c r="Z144" s="16">
        <f>IFERROR(VLOOKUP($U144,costs!$A$2:$I$2905,Z$2,FALSE),0)</f>
        <v>0</v>
      </c>
      <c r="AA144" s="16">
        <f>IFERROR(VLOOKUP($U144,costs!$A$2:$I$2905,AA$2,FALSE),0)</f>
        <v>0</v>
      </c>
      <c r="AB144" s="16">
        <f>IFERROR(VLOOKUP($U144,costs!$A$2:$I$2905,AB$2,FALSE),0)</f>
        <v>0</v>
      </c>
      <c r="AC144" s="16">
        <f>IFERROR(VLOOKUP($U144,costs!$A$2:$I$2905,AC$2,FALSE),0)</f>
        <v>0</v>
      </c>
      <c r="AO144" s="40" t="s">
        <v>2159</v>
      </c>
      <c r="AP144" s="16">
        <f>IFERROR(VLOOKUP($AO144,costs!$A$2:$I$2905,AP$2,FALSE),0)</f>
        <v>0</v>
      </c>
      <c r="AQ144" s="16">
        <f>IFERROR(VLOOKUP($AO144,costs!$A$2:$I$2905,AQ$2,FALSE),0)</f>
        <v>0</v>
      </c>
      <c r="AR144" s="16">
        <f>IFERROR(VLOOKUP($AO144,costs!$A$2:$I$2905,AR$2,FALSE),0)</f>
        <v>0</v>
      </c>
      <c r="AS144" s="16">
        <f>IFERROR(VLOOKUP($AO144,costs!$A$2:$I$2905,AS$2,FALSE),0)</f>
        <v>0</v>
      </c>
      <c r="AT144" s="16">
        <f>IFERROR(VLOOKUP($AO144,costs!$A$2:$I$2905,AT$2,FALSE),0)</f>
        <v>0</v>
      </c>
      <c r="AU144" s="16">
        <f>IFERROR(VLOOKUP($AO144,costs!$A$2:$I$2905,AU$2,FALSE),0)</f>
        <v>0</v>
      </c>
      <c r="AV144" s="16">
        <f>IFERROR(VLOOKUP($AO144,costs!$A$2:$I$2905,AV$2,FALSE),0)</f>
        <v>0</v>
      </c>
      <c r="AW144" s="16">
        <f>IFERROR(VLOOKUP($AO144,costs!$A$2:$I$2905,AW$2,FALSE),0)</f>
        <v>0</v>
      </c>
      <c r="AY144" s="900" t="s">
        <v>5036</v>
      </c>
      <c r="AZ144" s="16">
        <f>IFERROR(VLOOKUP($AY144,costs!$A$2:$I$2905,AZ$2,FALSE),0)</f>
        <v>0</v>
      </c>
      <c r="BA144" s="16">
        <f>IFERROR(VLOOKUP($AY144,costs!$A$2:$I$2905,BA$2,FALSE),0)</f>
        <v>0</v>
      </c>
      <c r="BB144" s="16">
        <f>IFERROR(VLOOKUP($AY144,costs!$A$2:$I$2905,BB$2,FALSE),0)</f>
        <v>0</v>
      </c>
      <c r="BC144" s="16">
        <f>IFERROR(VLOOKUP($AY144,costs!$A$2:$I$2905,BC$2,FALSE),0)</f>
        <v>0</v>
      </c>
      <c r="BD144" s="16">
        <f>IFERROR(VLOOKUP($AY144,costs!$A$2:$I$2905,BD$2,FALSE),0)</f>
        <v>0</v>
      </c>
      <c r="BE144" s="16">
        <f>IFERROR(VLOOKUP($AY144,costs!$A$2:$I$2905,BE$2,FALSE),0)</f>
        <v>0</v>
      </c>
      <c r="BF144" s="16">
        <f>IFERROR(VLOOKUP($AY144,costs!$A$2:$I$2905,BF$2,FALSE),0)</f>
        <v>0</v>
      </c>
      <c r="BG144" s="16">
        <f>IFERROR(VLOOKUP($AY144,costs!$A$2:$I$2905,BG$2,FALSE),0)</f>
        <v>0</v>
      </c>
    </row>
    <row r="145" spans="21:59" ht="15" thickBot="1" x14ac:dyDescent="0.4">
      <c r="U145" s="273" t="s">
        <v>94</v>
      </c>
      <c r="V145" s="16">
        <f>IFERROR(VLOOKUP($U145,costs!$A$2:$I$2905,V$2,FALSE),0)</f>
        <v>0</v>
      </c>
      <c r="W145" s="16">
        <f>IFERROR(VLOOKUP($U145,costs!$A$2:$I$2905,W$2,FALSE),0)</f>
        <v>0</v>
      </c>
      <c r="X145" s="16">
        <f>IFERROR(VLOOKUP($U145,costs!$A$2:$I$2905,X$2,FALSE),0)</f>
        <v>0</v>
      </c>
      <c r="Y145" s="16">
        <f>IFERROR(VLOOKUP($U145,costs!$A$2:$I$2905,Y$2,FALSE),0)</f>
        <v>0</v>
      </c>
      <c r="Z145" s="16">
        <f>IFERROR(VLOOKUP($U145,costs!$A$2:$I$2905,Z$2,FALSE),0)</f>
        <v>0</v>
      </c>
      <c r="AA145" s="16">
        <f>IFERROR(VLOOKUP($U145,costs!$A$2:$I$2905,AA$2,FALSE),0)</f>
        <v>0</v>
      </c>
      <c r="AB145" s="16">
        <f>IFERROR(VLOOKUP($U145,costs!$A$2:$I$2905,AB$2,FALSE),0)</f>
        <v>0</v>
      </c>
      <c r="AC145" s="16">
        <f>IFERROR(VLOOKUP($U145,costs!$A$2:$I$2905,AC$2,FALSE),0)</f>
        <v>0</v>
      </c>
      <c r="AO145" s="40" t="s">
        <v>380</v>
      </c>
      <c r="AP145" s="16">
        <f>IFERROR(VLOOKUP($AO145,costs!$A$2:$I$2905,AP$2,FALSE),0)</f>
        <v>0</v>
      </c>
      <c r="AQ145" s="16">
        <f>IFERROR(VLOOKUP($AO145,costs!$A$2:$I$2905,AQ$2,FALSE),0)</f>
        <v>0</v>
      </c>
      <c r="AR145" s="16">
        <f>IFERROR(VLOOKUP($AO145,costs!$A$2:$I$2905,AR$2,FALSE),0)</f>
        <v>0</v>
      </c>
      <c r="AS145" s="16">
        <f>IFERROR(VLOOKUP($AO145,costs!$A$2:$I$2905,AS$2,FALSE),0)</f>
        <v>0</v>
      </c>
      <c r="AT145" s="16">
        <f>IFERROR(VLOOKUP($AO145,costs!$A$2:$I$2905,AT$2,FALSE),0)</f>
        <v>0</v>
      </c>
      <c r="AU145" s="16">
        <f>IFERROR(VLOOKUP($AO145,costs!$A$2:$I$2905,AU$2,FALSE),0)</f>
        <v>0</v>
      </c>
      <c r="AV145" s="16">
        <f>IFERROR(VLOOKUP($AO145,costs!$A$2:$I$2905,AV$2,FALSE),0)</f>
        <v>0</v>
      </c>
      <c r="AW145" s="16">
        <f>IFERROR(VLOOKUP($AO145,costs!$A$2:$I$2905,AW$2,FALSE),0)</f>
        <v>0</v>
      </c>
      <c r="AY145" s="279" t="s">
        <v>2031</v>
      </c>
      <c r="AZ145" s="103">
        <f t="shared" ref="AZ145:BG145" si="51">SUM(AZ4:AZ144)</f>
        <v>0</v>
      </c>
      <c r="BA145" s="103">
        <f t="shared" si="51"/>
        <v>0</v>
      </c>
      <c r="BB145" s="103">
        <f t="shared" si="51"/>
        <v>0</v>
      </c>
      <c r="BC145" s="103">
        <f t="shared" si="51"/>
        <v>0</v>
      </c>
      <c r="BD145" s="103">
        <f t="shared" si="51"/>
        <v>0</v>
      </c>
      <c r="BE145" s="103">
        <f t="shared" si="51"/>
        <v>0</v>
      </c>
      <c r="BF145" s="103">
        <f t="shared" si="51"/>
        <v>0</v>
      </c>
      <c r="BG145" s="103">
        <f t="shared" si="51"/>
        <v>0</v>
      </c>
    </row>
    <row r="146" spans="21:59" x14ac:dyDescent="0.35">
      <c r="U146" s="272" t="s">
        <v>2075</v>
      </c>
      <c r="V146" s="16">
        <f>IFERROR(VLOOKUP($U146,costs!$A$2:$I$2905,V$2,FALSE),0)</f>
        <v>0</v>
      </c>
      <c r="W146" s="16">
        <f>IFERROR(VLOOKUP($U146,costs!$A$2:$I$2905,W$2,FALSE),0)</f>
        <v>0</v>
      </c>
      <c r="X146" s="16">
        <f>IFERROR(VLOOKUP($U146,costs!$A$2:$I$2905,X$2,FALSE),0)</f>
        <v>0</v>
      </c>
      <c r="Y146" s="16">
        <f>IFERROR(VLOOKUP($U146,costs!$A$2:$I$2905,Y$2,FALSE),0)</f>
        <v>0</v>
      </c>
      <c r="Z146" s="16">
        <f>IFERROR(VLOOKUP($U146,costs!$A$2:$I$2905,Z$2,FALSE),0)</f>
        <v>0</v>
      </c>
      <c r="AA146" s="16">
        <f>IFERROR(VLOOKUP($U146,costs!$A$2:$I$2905,AA$2,FALSE),0)</f>
        <v>0</v>
      </c>
      <c r="AB146" s="16">
        <f>IFERROR(VLOOKUP($U146,costs!$A$2:$I$2905,AB$2,FALSE),0)</f>
        <v>0</v>
      </c>
      <c r="AC146" s="16">
        <f>IFERROR(VLOOKUP($U146,costs!$A$2:$I$2905,AC$2,FALSE),0)</f>
        <v>0</v>
      </c>
      <c r="AO146" s="40" t="s">
        <v>2160</v>
      </c>
      <c r="AP146" s="16">
        <f>IFERROR(VLOOKUP($AO146,costs!$A$2:$I$2905,AP$2,FALSE),0)</f>
        <v>0</v>
      </c>
      <c r="AQ146" s="16">
        <f>IFERROR(VLOOKUP($AO146,costs!$A$2:$I$2905,AQ$2,FALSE),0)</f>
        <v>0</v>
      </c>
      <c r="AR146" s="16">
        <f>IFERROR(VLOOKUP($AO146,costs!$A$2:$I$2905,AR$2,FALSE),0)</f>
        <v>0</v>
      </c>
      <c r="AS146" s="16">
        <f>IFERROR(VLOOKUP($AO146,costs!$A$2:$I$2905,AS$2,FALSE),0)</f>
        <v>0</v>
      </c>
      <c r="AT146" s="16">
        <f>IFERROR(VLOOKUP($AO146,costs!$A$2:$I$2905,AT$2,FALSE),0)</f>
        <v>0</v>
      </c>
      <c r="AU146" s="16">
        <f>IFERROR(VLOOKUP($AO146,costs!$A$2:$I$2905,AU$2,FALSE),0)</f>
        <v>0</v>
      </c>
      <c r="AV146" s="16">
        <f>IFERROR(VLOOKUP($AO146,costs!$A$2:$I$2905,AV$2,FALSE),0)</f>
        <v>0</v>
      </c>
      <c r="AW146" s="16">
        <f>IFERROR(VLOOKUP($AO146,costs!$A$2:$I$2905,AW$2,FALSE),0)</f>
        <v>0</v>
      </c>
    </row>
    <row r="147" spans="21:59" x14ac:dyDescent="0.35">
      <c r="U147" s="273" t="s">
        <v>95</v>
      </c>
      <c r="V147" s="16">
        <f>IFERROR(VLOOKUP($U147,costs!$A$2:$I$2905,V$2,FALSE),0)</f>
        <v>0</v>
      </c>
      <c r="W147" s="16">
        <f>IFERROR(VLOOKUP($U147,costs!$A$2:$I$2905,W$2,FALSE),0)</f>
        <v>0</v>
      </c>
      <c r="X147" s="16">
        <f>IFERROR(VLOOKUP($U147,costs!$A$2:$I$2905,X$2,FALSE),0)</f>
        <v>0</v>
      </c>
      <c r="Y147" s="16">
        <f>IFERROR(VLOOKUP($U147,costs!$A$2:$I$2905,Y$2,FALSE),0)</f>
        <v>0</v>
      </c>
      <c r="Z147" s="16">
        <f>IFERROR(VLOOKUP($U147,costs!$A$2:$I$2905,Z$2,FALSE),0)</f>
        <v>0</v>
      </c>
      <c r="AA147" s="16">
        <f>IFERROR(VLOOKUP($U147,costs!$A$2:$I$2905,AA$2,FALSE),0)</f>
        <v>0</v>
      </c>
      <c r="AB147" s="16">
        <f>IFERROR(VLOOKUP($U147,costs!$A$2:$I$2905,AB$2,FALSE),0)</f>
        <v>0</v>
      </c>
      <c r="AC147" s="16">
        <f>IFERROR(VLOOKUP($U147,costs!$A$2:$I$2905,AC$2,FALSE),0)</f>
        <v>0</v>
      </c>
      <c r="AO147" s="40" t="s">
        <v>1156</v>
      </c>
      <c r="AP147" s="16">
        <f>IFERROR(VLOOKUP($AO147,costs!$A$2:$I$2905,AP$2,FALSE),0)</f>
        <v>0</v>
      </c>
      <c r="AQ147" s="16">
        <f>IFERROR(VLOOKUP($AO147,costs!$A$2:$I$2905,AQ$2,FALSE),0)</f>
        <v>0</v>
      </c>
      <c r="AR147" s="16">
        <f>IFERROR(VLOOKUP($AO147,costs!$A$2:$I$2905,AR$2,FALSE),0)</f>
        <v>0</v>
      </c>
      <c r="AS147" s="16">
        <f>IFERROR(VLOOKUP($AO147,costs!$A$2:$I$2905,AS$2,FALSE),0)</f>
        <v>0</v>
      </c>
      <c r="AT147" s="16">
        <f>IFERROR(VLOOKUP($AO147,costs!$A$2:$I$2905,AT$2,FALSE),0)</f>
        <v>0</v>
      </c>
      <c r="AU147" s="16">
        <f>IFERROR(VLOOKUP($AO147,costs!$A$2:$I$2905,AU$2,FALSE),0)</f>
        <v>0</v>
      </c>
      <c r="AV147" s="16">
        <f>IFERROR(VLOOKUP($AO147,costs!$A$2:$I$2905,AV$2,FALSE),0)</f>
        <v>0</v>
      </c>
      <c r="AW147" s="16">
        <f>IFERROR(VLOOKUP($AO147,costs!$A$2:$I$2905,AW$2,FALSE),0)</f>
        <v>0</v>
      </c>
    </row>
    <row r="148" spans="21:59" x14ac:dyDescent="0.35">
      <c r="U148" s="272" t="s">
        <v>96</v>
      </c>
      <c r="V148" s="16">
        <f>IFERROR(VLOOKUP($U148,costs!$A$2:$I$2905,V$2,FALSE),0)</f>
        <v>0</v>
      </c>
      <c r="W148" s="16">
        <f>IFERROR(VLOOKUP($U148,costs!$A$2:$I$2905,W$2,FALSE),0)</f>
        <v>0</v>
      </c>
      <c r="X148" s="16">
        <f>IFERROR(VLOOKUP($U148,costs!$A$2:$I$2905,X$2,FALSE),0)</f>
        <v>0</v>
      </c>
      <c r="Y148" s="16">
        <f>IFERROR(VLOOKUP($U148,costs!$A$2:$I$2905,Y$2,FALSE),0)</f>
        <v>0</v>
      </c>
      <c r="Z148" s="16">
        <f>IFERROR(VLOOKUP($U148,costs!$A$2:$I$2905,Z$2,FALSE),0)</f>
        <v>0</v>
      </c>
      <c r="AA148" s="16">
        <f>IFERROR(VLOOKUP($U148,costs!$A$2:$I$2905,AA$2,FALSE),0)</f>
        <v>0</v>
      </c>
      <c r="AB148" s="16">
        <f>IFERROR(VLOOKUP($U148,costs!$A$2:$I$2905,AB$2,FALSE),0)</f>
        <v>0</v>
      </c>
      <c r="AC148" s="16">
        <f>IFERROR(VLOOKUP($U148,costs!$A$2:$I$2905,AC$2,FALSE),0)</f>
        <v>0</v>
      </c>
      <c r="AO148" s="40" t="s">
        <v>2161</v>
      </c>
      <c r="AP148" s="16">
        <f>IFERROR(VLOOKUP($AO148,costs!$A$2:$I$2905,AP$2,FALSE),0)</f>
        <v>0</v>
      </c>
      <c r="AQ148" s="16">
        <f>IFERROR(VLOOKUP($AO148,costs!$A$2:$I$2905,AQ$2,FALSE),0)</f>
        <v>0</v>
      </c>
      <c r="AR148" s="16">
        <f>IFERROR(VLOOKUP($AO148,costs!$A$2:$I$2905,AR$2,FALSE),0)</f>
        <v>0</v>
      </c>
      <c r="AS148" s="16">
        <f>IFERROR(VLOOKUP($AO148,costs!$A$2:$I$2905,AS$2,FALSE),0)</f>
        <v>0</v>
      </c>
      <c r="AT148" s="16">
        <f>IFERROR(VLOOKUP($AO148,costs!$A$2:$I$2905,AT$2,FALSE),0)</f>
        <v>0</v>
      </c>
      <c r="AU148" s="16">
        <f>IFERROR(VLOOKUP($AO148,costs!$A$2:$I$2905,AU$2,FALSE),0)</f>
        <v>0</v>
      </c>
      <c r="AV148" s="16">
        <f>IFERROR(VLOOKUP($AO148,costs!$A$2:$I$2905,AV$2,FALSE),0)</f>
        <v>0</v>
      </c>
      <c r="AW148" s="16">
        <f>IFERROR(VLOOKUP($AO148,costs!$A$2:$I$2905,AW$2,FALSE),0)</f>
        <v>0</v>
      </c>
    </row>
    <row r="149" spans="21:59" x14ac:dyDescent="0.35">
      <c r="U149" s="273" t="s">
        <v>97</v>
      </c>
      <c r="V149" s="16">
        <f>IFERROR(VLOOKUP($U149,costs!$A$2:$I$2905,V$2,FALSE),0)</f>
        <v>0</v>
      </c>
      <c r="W149" s="16">
        <f>IFERROR(VLOOKUP($U149,costs!$A$2:$I$2905,W$2,FALSE),0)</f>
        <v>0</v>
      </c>
      <c r="X149" s="16">
        <f>IFERROR(VLOOKUP($U149,costs!$A$2:$I$2905,X$2,FALSE),0)</f>
        <v>0</v>
      </c>
      <c r="Y149" s="16">
        <f>IFERROR(VLOOKUP($U149,costs!$A$2:$I$2905,Y$2,FALSE),0)</f>
        <v>0</v>
      </c>
      <c r="Z149" s="16">
        <f>IFERROR(VLOOKUP($U149,costs!$A$2:$I$2905,Z$2,FALSE),0)</f>
        <v>0</v>
      </c>
      <c r="AA149" s="16">
        <f>IFERROR(VLOOKUP($U149,costs!$A$2:$I$2905,AA$2,FALSE),0)</f>
        <v>0</v>
      </c>
      <c r="AB149" s="16">
        <f>IFERROR(VLOOKUP($U149,costs!$A$2:$I$2905,AB$2,FALSE),0)</f>
        <v>0</v>
      </c>
      <c r="AC149" s="16">
        <f>IFERROR(VLOOKUP($U149,costs!$A$2:$I$2905,AC$2,FALSE),0)</f>
        <v>0</v>
      </c>
      <c r="AO149" s="40" t="s">
        <v>451</v>
      </c>
      <c r="AP149" s="16">
        <f>IFERROR(VLOOKUP($AO149,costs!$A$2:$I$2905,AP$2,FALSE),0)</f>
        <v>0</v>
      </c>
      <c r="AQ149" s="16">
        <f>IFERROR(VLOOKUP($AO149,costs!$A$2:$I$2905,AQ$2,FALSE),0)</f>
        <v>0</v>
      </c>
      <c r="AR149" s="16">
        <f>IFERROR(VLOOKUP($AO149,costs!$A$2:$I$2905,AR$2,FALSE),0)</f>
        <v>0</v>
      </c>
      <c r="AS149" s="16">
        <f>IFERROR(VLOOKUP($AO149,costs!$A$2:$I$2905,AS$2,FALSE),0)</f>
        <v>0</v>
      </c>
      <c r="AT149" s="16">
        <f>IFERROR(VLOOKUP($AO149,costs!$A$2:$I$2905,AT$2,FALSE),0)</f>
        <v>0</v>
      </c>
      <c r="AU149" s="16">
        <f>IFERROR(VLOOKUP($AO149,costs!$A$2:$I$2905,AU$2,FALSE),0)</f>
        <v>0</v>
      </c>
      <c r="AV149" s="16">
        <f>IFERROR(VLOOKUP($AO149,costs!$A$2:$I$2905,AV$2,FALSE),0)</f>
        <v>0</v>
      </c>
      <c r="AW149" s="16">
        <f>IFERROR(VLOOKUP($AO149,costs!$A$2:$I$2905,AW$2,FALSE),0)</f>
        <v>0</v>
      </c>
    </row>
    <row r="150" spans="21:59" x14ac:dyDescent="0.35">
      <c r="U150" s="272" t="s">
        <v>90</v>
      </c>
      <c r="V150" s="16">
        <f>IFERROR(VLOOKUP($U150,costs!$A$2:$I$2905,V$2,FALSE),0)</f>
        <v>0</v>
      </c>
      <c r="W150" s="16">
        <f>IFERROR(VLOOKUP($U150,costs!$A$2:$I$2905,W$2,FALSE),0)</f>
        <v>0</v>
      </c>
      <c r="X150" s="16">
        <f>IFERROR(VLOOKUP($U150,costs!$A$2:$I$2905,X$2,FALSE),0)</f>
        <v>0</v>
      </c>
      <c r="Y150" s="16">
        <f>IFERROR(VLOOKUP($U150,costs!$A$2:$I$2905,Y$2,FALSE),0)</f>
        <v>0</v>
      </c>
      <c r="Z150" s="16">
        <f>IFERROR(VLOOKUP($U150,costs!$A$2:$I$2905,Z$2,FALSE),0)</f>
        <v>0</v>
      </c>
      <c r="AA150" s="16">
        <f>IFERROR(VLOOKUP($U150,costs!$A$2:$I$2905,AA$2,FALSE),0)</f>
        <v>0</v>
      </c>
      <c r="AB150" s="16">
        <f>IFERROR(VLOOKUP($U150,costs!$A$2:$I$2905,AB$2,FALSE),0)</f>
        <v>0</v>
      </c>
      <c r="AC150" s="16">
        <f>IFERROR(VLOOKUP($U150,costs!$A$2:$I$2905,AC$2,FALSE),0)</f>
        <v>0</v>
      </c>
      <c r="AO150" s="40" t="s">
        <v>2162</v>
      </c>
      <c r="AP150" s="16">
        <f>IFERROR(VLOOKUP($AO150,costs!$A$2:$I$2905,AP$2,FALSE),0)</f>
        <v>0</v>
      </c>
      <c r="AQ150" s="16">
        <f>IFERROR(VLOOKUP($AO150,costs!$A$2:$I$2905,AQ$2,FALSE),0)</f>
        <v>0</v>
      </c>
      <c r="AR150" s="16">
        <f>IFERROR(VLOOKUP($AO150,costs!$A$2:$I$2905,AR$2,FALSE),0)</f>
        <v>0</v>
      </c>
      <c r="AS150" s="16">
        <f>IFERROR(VLOOKUP($AO150,costs!$A$2:$I$2905,AS$2,FALSE),0)</f>
        <v>0</v>
      </c>
      <c r="AT150" s="16">
        <f>IFERROR(VLOOKUP($AO150,costs!$A$2:$I$2905,AT$2,FALSE),0)</f>
        <v>0</v>
      </c>
      <c r="AU150" s="16">
        <f>IFERROR(VLOOKUP($AO150,costs!$A$2:$I$2905,AU$2,FALSE),0)</f>
        <v>0</v>
      </c>
      <c r="AV150" s="16">
        <f>IFERROR(VLOOKUP($AO150,costs!$A$2:$I$2905,AV$2,FALSE),0)</f>
        <v>0</v>
      </c>
      <c r="AW150" s="16">
        <f>IFERROR(VLOOKUP($AO150,costs!$A$2:$I$2905,AW$2,FALSE),0)</f>
        <v>0</v>
      </c>
    </row>
    <row r="151" spans="21:59" x14ac:dyDescent="0.35">
      <c r="U151" s="273" t="s">
        <v>91</v>
      </c>
      <c r="V151" s="16">
        <f>IFERROR(VLOOKUP($U151,costs!$A$2:$I$2905,V$2,FALSE),0)</f>
        <v>0</v>
      </c>
      <c r="W151" s="16">
        <f>IFERROR(VLOOKUP($U151,costs!$A$2:$I$2905,W$2,FALSE),0)</f>
        <v>0</v>
      </c>
      <c r="X151" s="16">
        <f>IFERROR(VLOOKUP($U151,costs!$A$2:$I$2905,X$2,FALSE),0)</f>
        <v>0</v>
      </c>
      <c r="Y151" s="16">
        <f>IFERROR(VLOOKUP($U151,costs!$A$2:$I$2905,Y$2,FALSE),0)</f>
        <v>0</v>
      </c>
      <c r="Z151" s="16">
        <f>IFERROR(VLOOKUP($U151,costs!$A$2:$I$2905,Z$2,FALSE),0)</f>
        <v>0</v>
      </c>
      <c r="AA151" s="16">
        <f>IFERROR(VLOOKUP($U151,costs!$A$2:$I$2905,AA$2,FALSE),0)</f>
        <v>0</v>
      </c>
      <c r="AB151" s="16">
        <f>IFERROR(VLOOKUP($U151,costs!$A$2:$I$2905,AB$2,FALSE),0)</f>
        <v>0</v>
      </c>
      <c r="AC151" s="16">
        <f>IFERROR(VLOOKUP($U151,costs!$A$2:$I$2905,AC$2,FALSE),0)</f>
        <v>0</v>
      </c>
      <c r="AO151" s="40" t="s">
        <v>452</v>
      </c>
      <c r="AP151" s="16">
        <f>IFERROR(VLOOKUP($AO151,costs!$A$2:$I$2905,AP$2,FALSE),0)</f>
        <v>0</v>
      </c>
      <c r="AQ151" s="16">
        <f>IFERROR(VLOOKUP($AO151,costs!$A$2:$I$2905,AQ$2,FALSE),0)</f>
        <v>0</v>
      </c>
      <c r="AR151" s="16">
        <f>IFERROR(VLOOKUP($AO151,costs!$A$2:$I$2905,AR$2,FALSE),0)</f>
        <v>0</v>
      </c>
      <c r="AS151" s="16">
        <f>IFERROR(VLOOKUP($AO151,costs!$A$2:$I$2905,AS$2,FALSE),0)</f>
        <v>0</v>
      </c>
      <c r="AT151" s="16">
        <f>IFERROR(VLOOKUP($AO151,costs!$A$2:$I$2905,AT$2,FALSE),0)</f>
        <v>0</v>
      </c>
      <c r="AU151" s="16">
        <f>IFERROR(VLOOKUP($AO151,costs!$A$2:$I$2905,AU$2,FALSE),0)</f>
        <v>0</v>
      </c>
      <c r="AV151" s="16">
        <f>IFERROR(VLOOKUP($AO151,costs!$A$2:$I$2905,AV$2,FALSE),0)</f>
        <v>0</v>
      </c>
      <c r="AW151" s="16">
        <f>IFERROR(VLOOKUP($AO151,costs!$A$2:$I$2905,AW$2,FALSE),0)</f>
        <v>0</v>
      </c>
    </row>
    <row r="152" spans="21:59" x14ac:dyDescent="0.35">
      <c r="U152" s="272" t="s">
        <v>2076</v>
      </c>
      <c r="V152" s="16">
        <f>IFERROR(VLOOKUP($U152,costs!$A$2:$I$2905,V$2,FALSE),0)</f>
        <v>0</v>
      </c>
      <c r="W152" s="16">
        <f>IFERROR(VLOOKUP($U152,costs!$A$2:$I$2905,W$2,FALSE),0)</f>
        <v>0</v>
      </c>
      <c r="X152" s="16">
        <f>IFERROR(VLOOKUP($U152,costs!$A$2:$I$2905,X$2,FALSE),0)</f>
        <v>0</v>
      </c>
      <c r="Y152" s="16">
        <f>IFERROR(VLOOKUP($U152,costs!$A$2:$I$2905,Y$2,FALSE),0)</f>
        <v>0</v>
      </c>
      <c r="Z152" s="16">
        <f>IFERROR(VLOOKUP($U152,costs!$A$2:$I$2905,Z$2,FALSE),0)</f>
        <v>0</v>
      </c>
      <c r="AA152" s="16">
        <f>IFERROR(VLOOKUP($U152,costs!$A$2:$I$2905,AA$2,FALSE),0)</f>
        <v>0</v>
      </c>
      <c r="AB152" s="16">
        <f>IFERROR(VLOOKUP($U152,costs!$A$2:$I$2905,AB$2,FALSE),0)</f>
        <v>0</v>
      </c>
      <c r="AC152" s="16">
        <f>IFERROR(VLOOKUP($U152,costs!$A$2:$I$2905,AC$2,FALSE),0)</f>
        <v>0</v>
      </c>
      <c r="AO152" s="40" t="s">
        <v>2163</v>
      </c>
      <c r="AP152" s="16">
        <f>IFERROR(VLOOKUP($AO152,costs!$A$2:$I$2905,AP$2,FALSE),0)</f>
        <v>0</v>
      </c>
      <c r="AQ152" s="16">
        <f>IFERROR(VLOOKUP($AO152,costs!$A$2:$I$2905,AQ$2,FALSE),0)</f>
        <v>0</v>
      </c>
      <c r="AR152" s="16">
        <f>IFERROR(VLOOKUP($AO152,costs!$A$2:$I$2905,AR$2,FALSE),0)</f>
        <v>0</v>
      </c>
      <c r="AS152" s="16">
        <f>IFERROR(VLOOKUP($AO152,costs!$A$2:$I$2905,AS$2,FALSE),0)</f>
        <v>0</v>
      </c>
      <c r="AT152" s="16">
        <f>IFERROR(VLOOKUP($AO152,costs!$A$2:$I$2905,AT$2,FALSE),0)</f>
        <v>0</v>
      </c>
      <c r="AU152" s="16">
        <f>IFERROR(VLOOKUP($AO152,costs!$A$2:$I$2905,AU$2,FALSE),0)</f>
        <v>0</v>
      </c>
      <c r="AV152" s="16">
        <f>IFERROR(VLOOKUP($AO152,costs!$A$2:$I$2905,AV$2,FALSE),0)</f>
        <v>0</v>
      </c>
      <c r="AW152" s="16">
        <f>IFERROR(VLOOKUP($AO152,costs!$A$2:$I$2905,AW$2,FALSE),0)</f>
        <v>0</v>
      </c>
    </row>
    <row r="153" spans="21:59" x14ac:dyDescent="0.35">
      <c r="U153" s="273" t="s">
        <v>12</v>
      </c>
      <c r="V153" s="16">
        <f>IFERROR(VLOOKUP($U153,costs!$A$2:$I$2905,V$2,FALSE),0)</f>
        <v>0</v>
      </c>
      <c r="W153" s="16">
        <f>IFERROR(VLOOKUP($U153,costs!$A$2:$I$2905,W$2,FALSE),0)</f>
        <v>0</v>
      </c>
      <c r="X153" s="16">
        <f>IFERROR(VLOOKUP($U153,costs!$A$2:$I$2905,X$2,FALSE),0)</f>
        <v>0</v>
      </c>
      <c r="Y153" s="16">
        <f>IFERROR(VLOOKUP($U153,costs!$A$2:$I$2905,Y$2,FALSE),0)</f>
        <v>0</v>
      </c>
      <c r="Z153" s="16">
        <f>IFERROR(VLOOKUP($U153,costs!$A$2:$I$2905,Z$2,FALSE),0)</f>
        <v>0</v>
      </c>
      <c r="AA153" s="16">
        <f>IFERROR(VLOOKUP($U153,costs!$A$2:$I$2905,AA$2,FALSE),0)</f>
        <v>0</v>
      </c>
      <c r="AB153" s="16">
        <f>IFERROR(VLOOKUP($U153,costs!$A$2:$I$2905,AB$2,FALSE),0)</f>
        <v>0</v>
      </c>
      <c r="AC153" s="16">
        <f>IFERROR(VLOOKUP($U153,costs!$A$2:$I$2905,AC$2,FALSE),0)</f>
        <v>0</v>
      </c>
      <c r="AO153" s="40" t="s">
        <v>453</v>
      </c>
      <c r="AP153" s="16">
        <f>IFERROR(VLOOKUP($AO153,costs!$A$2:$I$2905,AP$2,FALSE),0)</f>
        <v>0</v>
      </c>
      <c r="AQ153" s="16">
        <f>IFERROR(VLOOKUP($AO153,costs!$A$2:$I$2905,AQ$2,FALSE),0)</f>
        <v>0</v>
      </c>
      <c r="AR153" s="16">
        <f>IFERROR(VLOOKUP($AO153,costs!$A$2:$I$2905,AR$2,FALSE),0)</f>
        <v>0</v>
      </c>
      <c r="AS153" s="16">
        <f>IFERROR(VLOOKUP($AO153,costs!$A$2:$I$2905,AS$2,FALSE),0)</f>
        <v>0</v>
      </c>
      <c r="AT153" s="16">
        <f>IFERROR(VLOOKUP($AO153,costs!$A$2:$I$2905,AT$2,FALSE),0)</f>
        <v>0</v>
      </c>
      <c r="AU153" s="16">
        <f>IFERROR(VLOOKUP($AO153,costs!$A$2:$I$2905,AU$2,FALSE),0)</f>
        <v>0</v>
      </c>
      <c r="AV153" s="16">
        <f>IFERROR(VLOOKUP($AO153,costs!$A$2:$I$2905,AV$2,FALSE),0)</f>
        <v>0</v>
      </c>
      <c r="AW153" s="16">
        <f>IFERROR(VLOOKUP($AO153,costs!$A$2:$I$2905,AW$2,FALSE),0)</f>
        <v>0</v>
      </c>
    </row>
    <row r="154" spans="21:59" x14ac:dyDescent="0.35">
      <c r="U154" s="272" t="s">
        <v>100</v>
      </c>
      <c r="V154" s="16">
        <f>IFERROR(VLOOKUP($U154,costs!$A$2:$I$2905,V$2,FALSE),0)</f>
        <v>0</v>
      </c>
      <c r="W154" s="16">
        <f>IFERROR(VLOOKUP($U154,costs!$A$2:$I$2905,W$2,FALSE),0)</f>
        <v>0</v>
      </c>
      <c r="X154" s="16">
        <f>IFERROR(VLOOKUP($U154,costs!$A$2:$I$2905,X$2,FALSE),0)</f>
        <v>0</v>
      </c>
      <c r="Y154" s="16">
        <f>IFERROR(VLOOKUP($U154,costs!$A$2:$I$2905,Y$2,FALSE),0)</f>
        <v>0</v>
      </c>
      <c r="Z154" s="16">
        <f>IFERROR(VLOOKUP($U154,costs!$A$2:$I$2905,Z$2,FALSE),0)</f>
        <v>0</v>
      </c>
      <c r="AA154" s="16">
        <f>IFERROR(VLOOKUP($U154,costs!$A$2:$I$2905,AA$2,FALSE),0)</f>
        <v>0</v>
      </c>
      <c r="AB154" s="16">
        <f>IFERROR(VLOOKUP($U154,costs!$A$2:$I$2905,AB$2,FALSE),0)</f>
        <v>0</v>
      </c>
      <c r="AC154" s="16">
        <f>IFERROR(VLOOKUP($U154,costs!$A$2:$I$2905,AC$2,FALSE),0)</f>
        <v>0</v>
      </c>
      <c r="AO154" s="40" t="s">
        <v>2164</v>
      </c>
      <c r="AP154" s="16">
        <f>IFERROR(VLOOKUP($AO154,costs!$A$2:$I$2905,AP$2,FALSE),0)</f>
        <v>0</v>
      </c>
      <c r="AQ154" s="16">
        <f>IFERROR(VLOOKUP($AO154,costs!$A$2:$I$2905,AQ$2,FALSE),0)</f>
        <v>0</v>
      </c>
      <c r="AR154" s="16">
        <f>IFERROR(VLOOKUP($AO154,costs!$A$2:$I$2905,AR$2,FALSE),0)</f>
        <v>0</v>
      </c>
      <c r="AS154" s="16">
        <f>IFERROR(VLOOKUP($AO154,costs!$A$2:$I$2905,AS$2,FALSE),0)</f>
        <v>0</v>
      </c>
      <c r="AT154" s="16">
        <f>IFERROR(VLOOKUP($AO154,costs!$A$2:$I$2905,AT$2,FALSE),0)</f>
        <v>0</v>
      </c>
      <c r="AU154" s="16">
        <f>IFERROR(VLOOKUP($AO154,costs!$A$2:$I$2905,AU$2,FALSE),0)</f>
        <v>0</v>
      </c>
      <c r="AV154" s="16">
        <f>IFERROR(VLOOKUP($AO154,costs!$A$2:$I$2905,AV$2,FALSE),0)</f>
        <v>0</v>
      </c>
      <c r="AW154" s="16">
        <f>IFERROR(VLOOKUP($AO154,costs!$A$2:$I$2905,AW$2,FALSE),0)</f>
        <v>0</v>
      </c>
    </row>
    <row r="155" spans="21:59" x14ac:dyDescent="0.35">
      <c r="U155" s="273" t="s">
        <v>101</v>
      </c>
      <c r="V155" s="16">
        <f>IFERROR(VLOOKUP($U155,costs!$A$2:$I$2905,V$2,FALSE),0)</f>
        <v>0</v>
      </c>
      <c r="W155" s="16">
        <f>IFERROR(VLOOKUP($U155,costs!$A$2:$I$2905,W$2,FALSE),0)</f>
        <v>0</v>
      </c>
      <c r="X155" s="16">
        <f>IFERROR(VLOOKUP($U155,costs!$A$2:$I$2905,X$2,FALSE),0)</f>
        <v>0</v>
      </c>
      <c r="Y155" s="16">
        <f>IFERROR(VLOOKUP($U155,costs!$A$2:$I$2905,Y$2,FALSE),0)</f>
        <v>0</v>
      </c>
      <c r="Z155" s="16">
        <f>IFERROR(VLOOKUP($U155,costs!$A$2:$I$2905,Z$2,FALSE),0)</f>
        <v>0</v>
      </c>
      <c r="AA155" s="16">
        <f>IFERROR(VLOOKUP($U155,costs!$A$2:$I$2905,AA$2,FALSE),0)</f>
        <v>0</v>
      </c>
      <c r="AB155" s="16">
        <f>IFERROR(VLOOKUP($U155,costs!$A$2:$I$2905,AB$2,FALSE),0)</f>
        <v>0</v>
      </c>
      <c r="AC155" s="16">
        <f>IFERROR(VLOOKUP($U155,costs!$A$2:$I$2905,AC$2,FALSE),0)</f>
        <v>0</v>
      </c>
      <c r="AO155" s="40" t="s">
        <v>454</v>
      </c>
      <c r="AP155" s="16">
        <f>IFERROR(VLOOKUP($AO155,costs!$A$2:$I$2905,AP$2,FALSE),0)</f>
        <v>0</v>
      </c>
      <c r="AQ155" s="16">
        <f>IFERROR(VLOOKUP($AO155,costs!$A$2:$I$2905,AQ$2,FALSE),0)</f>
        <v>0</v>
      </c>
      <c r="AR155" s="16">
        <f>IFERROR(VLOOKUP($AO155,costs!$A$2:$I$2905,AR$2,FALSE),0)</f>
        <v>0</v>
      </c>
      <c r="AS155" s="16">
        <f>IFERROR(VLOOKUP($AO155,costs!$A$2:$I$2905,AS$2,FALSE),0)</f>
        <v>0</v>
      </c>
      <c r="AT155" s="16">
        <f>IFERROR(VLOOKUP($AO155,costs!$A$2:$I$2905,AT$2,FALSE),0)</f>
        <v>0</v>
      </c>
      <c r="AU155" s="16">
        <f>IFERROR(VLOOKUP($AO155,costs!$A$2:$I$2905,AU$2,FALSE),0)</f>
        <v>0</v>
      </c>
      <c r="AV155" s="16">
        <f>IFERROR(VLOOKUP($AO155,costs!$A$2:$I$2905,AV$2,FALSE),0)</f>
        <v>0</v>
      </c>
      <c r="AW155" s="16">
        <f>IFERROR(VLOOKUP($AO155,costs!$A$2:$I$2905,AW$2,FALSE),0)</f>
        <v>0</v>
      </c>
    </row>
    <row r="156" spans="21:59" x14ac:dyDescent="0.35">
      <c r="U156" s="272" t="s">
        <v>98</v>
      </c>
      <c r="V156" s="16">
        <f>IFERROR(VLOOKUP($U156,costs!$A$2:$I$2905,V$2,FALSE),0)</f>
        <v>0</v>
      </c>
      <c r="W156" s="16">
        <f>IFERROR(VLOOKUP($U156,costs!$A$2:$I$2905,W$2,FALSE),0)</f>
        <v>0</v>
      </c>
      <c r="X156" s="16">
        <f>IFERROR(VLOOKUP($U156,costs!$A$2:$I$2905,X$2,FALSE),0)</f>
        <v>0</v>
      </c>
      <c r="Y156" s="16">
        <f>IFERROR(VLOOKUP($U156,costs!$A$2:$I$2905,Y$2,FALSE),0)</f>
        <v>0</v>
      </c>
      <c r="Z156" s="16">
        <f>IFERROR(VLOOKUP($U156,costs!$A$2:$I$2905,Z$2,FALSE),0)</f>
        <v>0</v>
      </c>
      <c r="AA156" s="16">
        <f>IFERROR(VLOOKUP($U156,costs!$A$2:$I$2905,AA$2,FALSE),0)</f>
        <v>0</v>
      </c>
      <c r="AB156" s="16">
        <f>IFERROR(VLOOKUP($U156,costs!$A$2:$I$2905,AB$2,FALSE),0)</f>
        <v>0</v>
      </c>
      <c r="AC156" s="16">
        <f>IFERROR(VLOOKUP($U156,costs!$A$2:$I$2905,AC$2,FALSE),0)</f>
        <v>0</v>
      </c>
      <c r="AO156" s="40" t="s">
        <v>2165</v>
      </c>
      <c r="AP156" s="16">
        <f>IFERROR(VLOOKUP($AO156,costs!$A$2:$I$2905,AP$2,FALSE),0)</f>
        <v>0</v>
      </c>
      <c r="AQ156" s="16">
        <f>IFERROR(VLOOKUP($AO156,costs!$A$2:$I$2905,AQ$2,FALSE),0)</f>
        <v>0</v>
      </c>
      <c r="AR156" s="16">
        <f>IFERROR(VLOOKUP($AO156,costs!$A$2:$I$2905,AR$2,FALSE),0)</f>
        <v>0</v>
      </c>
      <c r="AS156" s="16">
        <f>IFERROR(VLOOKUP($AO156,costs!$A$2:$I$2905,AS$2,FALSE),0)</f>
        <v>0</v>
      </c>
      <c r="AT156" s="16">
        <f>IFERROR(VLOOKUP($AO156,costs!$A$2:$I$2905,AT$2,FALSE),0)</f>
        <v>0</v>
      </c>
      <c r="AU156" s="16">
        <f>IFERROR(VLOOKUP($AO156,costs!$A$2:$I$2905,AU$2,FALSE),0)</f>
        <v>0</v>
      </c>
      <c r="AV156" s="16">
        <f>IFERROR(VLOOKUP($AO156,costs!$A$2:$I$2905,AV$2,FALSE),0)</f>
        <v>0</v>
      </c>
      <c r="AW156" s="16">
        <f>IFERROR(VLOOKUP($AO156,costs!$A$2:$I$2905,AW$2,FALSE),0)</f>
        <v>0</v>
      </c>
    </row>
    <row r="157" spans="21:59" x14ac:dyDescent="0.35">
      <c r="U157" s="273" t="s">
        <v>99</v>
      </c>
      <c r="V157" s="16">
        <f>IFERROR(VLOOKUP($U157,costs!$A$2:$I$2905,V$2,FALSE),0)</f>
        <v>0</v>
      </c>
      <c r="W157" s="16">
        <f>IFERROR(VLOOKUP($U157,costs!$A$2:$I$2905,W$2,FALSE),0)</f>
        <v>0</v>
      </c>
      <c r="X157" s="16">
        <f>IFERROR(VLOOKUP($U157,costs!$A$2:$I$2905,X$2,FALSE),0)</f>
        <v>0</v>
      </c>
      <c r="Y157" s="16">
        <f>IFERROR(VLOOKUP($U157,costs!$A$2:$I$2905,Y$2,FALSE),0)</f>
        <v>0</v>
      </c>
      <c r="Z157" s="16">
        <f>IFERROR(VLOOKUP($U157,costs!$A$2:$I$2905,Z$2,FALSE),0)</f>
        <v>0</v>
      </c>
      <c r="AA157" s="16">
        <f>IFERROR(VLOOKUP($U157,costs!$A$2:$I$2905,AA$2,FALSE),0)</f>
        <v>0</v>
      </c>
      <c r="AB157" s="16">
        <f>IFERROR(VLOOKUP($U157,costs!$A$2:$I$2905,AB$2,FALSE),0)</f>
        <v>0</v>
      </c>
      <c r="AC157" s="16">
        <f>IFERROR(VLOOKUP($U157,costs!$A$2:$I$2905,AC$2,FALSE),0)</f>
        <v>0</v>
      </c>
      <c r="AO157" s="40" t="s">
        <v>455</v>
      </c>
      <c r="AP157" s="16">
        <f>IFERROR(VLOOKUP($AO157,costs!$A$2:$I$2905,AP$2,FALSE),0)</f>
        <v>0</v>
      </c>
      <c r="AQ157" s="16">
        <f>IFERROR(VLOOKUP($AO157,costs!$A$2:$I$2905,AQ$2,FALSE),0)</f>
        <v>0</v>
      </c>
      <c r="AR157" s="16">
        <f>IFERROR(VLOOKUP($AO157,costs!$A$2:$I$2905,AR$2,FALSE),0)</f>
        <v>0</v>
      </c>
      <c r="AS157" s="16">
        <f>IFERROR(VLOOKUP($AO157,costs!$A$2:$I$2905,AS$2,FALSE),0)</f>
        <v>0</v>
      </c>
      <c r="AT157" s="16">
        <f>IFERROR(VLOOKUP($AO157,costs!$A$2:$I$2905,AT$2,FALSE),0)</f>
        <v>0</v>
      </c>
      <c r="AU157" s="16">
        <f>IFERROR(VLOOKUP($AO157,costs!$A$2:$I$2905,AU$2,FALSE),0)</f>
        <v>0</v>
      </c>
      <c r="AV157" s="16">
        <f>IFERROR(VLOOKUP($AO157,costs!$A$2:$I$2905,AV$2,FALSE),0)</f>
        <v>0</v>
      </c>
      <c r="AW157" s="16">
        <f>IFERROR(VLOOKUP($AO157,costs!$A$2:$I$2905,AW$2,FALSE),0)</f>
        <v>0</v>
      </c>
    </row>
    <row r="158" spans="21:59" x14ac:dyDescent="0.35">
      <c r="U158" s="272" t="s">
        <v>234</v>
      </c>
      <c r="V158" s="16">
        <f>IFERROR(VLOOKUP($U158,costs!$A$2:$I$2905,V$2,FALSE),0)</f>
        <v>0</v>
      </c>
      <c r="W158" s="16">
        <f>IFERROR(VLOOKUP($U158,costs!$A$2:$I$2905,W$2,FALSE),0)</f>
        <v>0</v>
      </c>
      <c r="X158" s="16">
        <f>IFERROR(VLOOKUP($U158,costs!$A$2:$I$2905,X$2,FALSE),0)</f>
        <v>0</v>
      </c>
      <c r="Y158" s="16">
        <f>IFERROR(VLOOKUP($U158,costs!$A$2:$I$2905,Y$2,FALSE),0)</f>
        <v>0</v>
      </c>
      <c r="Z158" s="16">
        <f>IFERROR(VLOOKUP($U158,costs!$A$2:$I$2905,Z$2,FALSE),0)</f>
        <v>0</v>
      </c>
      <c r="AA158" s="16">
        <f>IFERROR(VLOOKUP($U158,costs!$A$2:$I$2905,AA$2,FALSE),0)</f>
        <v>0</v>
      </c>
      <c r="AB158" s="16">
        <f>IFERROR(VLOOKUP($U158,costs!$A$2:$I$2905,AB$2,FALSE),0)</f>
        <v>0</v>
      </c>
      <c r="AC158" s="16">
        <f>IFERROR(VLOOKUP($U158,costs!$A$2:$I$2905,AC$2,FALSE),0)</f>
        <v>0</v>
      </c>
      <c r="AO158" s="40" t="s">
        <v>2166</v>
      </c>
      <c r="AP158" s="16">
        <f>IFERROR(VLOOKUP($AO158,costs!$A$2:$I$2905,AP$2,FALSE),0)</f>
        <v>0</v>
      </c>
      <c r="AQ158" s="16">
        <f>IFERROR(VLOOKUP($AO158,costs!$A$2:$I$2905,AQ$2,FALSE),0)</f>
        <v>0</v>
      </c>
      <c r="AR158" s="16">
        <f>IFERROR(VLOOKUP($AO158,costs!$A$2:$I$2905,AR$2,FALSE),0)</f>
        <v>0</v>
      </c>
      <c r="AS158" s="16">
        <f>IFERROR(VLOOKUP($AO158,costs!$A$2:$I$2905,AS$2,FALSE),0)</f>
        <v>0</v>
      </c>
      <c r="AT158" s="16">
        <f>IFERROR(VLOOKUP($AO158,costs!$A$2:$I$2905,AT$2,FALSE),0)</f>
        <v>0</v>
      </c>
      <c r="AU158" s="16">
        <f>IFERROR(VLOOKUP($AO158,costs!$A$2:$I$2905,AU$2,FALSE),0)</f>
        <v>0</v>
      </c>
      <c r="AV158" s="16">
        <f>IFERROR(VLOOKUP($AO158,costs!$A$2:$I$2905,AV$2,FALSE),0)</f>
        <v>0</v>
      </c>
      <c r="AW158" s="16">
        <f>IFERROR(VLOOKUP($AO158,costs!$A$2:$I$2905,AW$2,FALSE),0)</f>
        <v>0</v>
      </c>
    </row>
    <row r="159" spans="21:59" x14ac:dyDescent="0.35">
      <c r="U159" s="273" t="s">
        <v>283</v>
      </c>
      <c r="V159" s="16">
        <f>IFERROR(VLOOKUP($U159,costs!$A$2:$I$2905,V$2,FALSE),0)</f>
        <v>0</v>
      </c>
      <c r="W159" s="16">
        <f>IFERROR(VLOOKUP($U159,costs!$A$2:$I$2905,W$2,FALSE),0)</f>
        <v>0</v>
      </c>
      <c r="X159" s="16">
        <f>IFERROR(VLOOKUP($U159,costs!$A$2:$I$2905,X$2,FALSE),0)</f>
        <v>0</v>
      </c>
      <c r="Y159" s="16">
        <f>IFERROR(VLOOKUP($U159,costs!$A$2:$I$2905,Y$2,FALSE),0)</f>
        <v>0</v>
      </c>
      <c r="Z159" s="16">
        <f>IFERROR(VLOOKUP($U159,costs!$A$2:$I$2905,Z$2,FALSE),0)</f>
        <v>0</v>
      </c>
      <c r="AA159" s="16">
        <f>IFERROR(VLOOKUP($U159,costs!$A$2:$I$2905,AA$2,FALSE),0)</f>
        <v>0</v>
      </c>
      <c r="AB159" s="16">
        <f>IFERROR(VLOOKUP($U159,costs!$A$2:$I$2905,AB$2,FALSE),0)</f>
        <v>0</v>
      </c>
      <c r="AC159" s="16">
        <f>IFERROR(VLOOKUP($U159,costs!$A$2:$I$2905,AC$2,FALSE),0)</f>
        <v>0</v>
      </c>
      <c r="AO159" s="40" t="s">
        <v>456</v>
      </c>
      <c r="AP159" s="16">
        <f>IFERROR(VLOOKUP($AO159,costs!$A$2:$I$2905,AP$2,FALSE),0)</f>
        <v>0</v>
      </c>
      <c r="AQ159" s="16">
        <f>IFERROR(VLOOKUP($AO159,costs!$A$2:$I$2905,AQ$2,FALSE),0)</f>
        <v>0</v>
      </c>
      <c r="AR159" s="16">
        <f>IFERROR(VLOOKUP($AO159,costs!$A$2:$I$2905,AR$2,FALSE),0)</f>
        <v>0</v>
      </c>
      <c r="AS159" s="16">
        <f>IFERROR(VLOOKUP($AO159,costs!$A$2:$I$2905,AS$2,FALSE),0)</f>
        <v>0</v>
      </c>
      <c r="AT159" s="16">
        <f>IFERROR(VLOOKUP($AO159,costs!$A$2:$I$2905,AT$2,FALSE),0)</f>
        <v>0</v>
      </c>
      <c r="AU159" s="16">
        <f>IFERROR(VLOOKUP($AO159,costs!$A$2:$I$2905,AU$2,FALSE),0)</f>
        <v>0</v>
      </c>
      <c r="AV159" s="16">
        <f>IFERROR(VLOOKUP($AO159,costs!$A$2:$I$2905,AV$2,FALSE),0)</f>
        <v>0</v>
      </c>
      <c r="AW159" s="16">
        <f>IFERROR(VLOOKUP($AO159,costs!$A$2:$I$2905,AW$2,FALSE),0)</f>
        <v>0</v>
      </c>
    </row>
    <row r="160" spans="21:59" x14ac:dyDescent="0.35">
      <c r="U160" s="272" t="s">
        <v>2091</v>
      </c>
      <c r="V160" s="16">
        <f>IFERROR(VLOOKUP($U160,costs!$A$2:$I$2905,V$2,FALSE),0)</f>
        <v>0</v>
      </c>
      <c r="W160" s="16">
        <f>IFERROR(VLOOKUP($U160,costs!$A$2:$I$2905,W$2,FALSE),0)</f>
        <v>0</v>
      </c>
      <c r="X160" s="16">
        <f>IFERROR(VLOOKUP($U160,costs!$A$2:$I$2905,X$2,FALSE),0)</f>
        <v>0</v>
      </c>
      <c r="Y160" s="16">
        <f>IFERROR(VLOOKUP($U160,costs!$A$2:$I$2905,Y$2,FALSE),0)</f>
        <v>0</v>
      </c>
      <c r="Z160" s="16">
        <f>IFERROR(VLOOKUP($U160,costs!$A$2:$I$2905,Z$2,FALSE),0)</f>
        <v>0</v>
      </c>
      <c r="AA160" s="16">
        <f>IFERROR(VLOOKUP($U160,costs!$A$2:$I$2905,AA$2,FALSE),0)</f>
        <v>0</v>
      </c>
      <c r="AB160" s="16">
        <f>IFERROR(VLOOKUP($U160,costs!$A$2:$I$2905,AB$2,FALSE),0)</f>
        <v>0</v>
      </c>
      <c r="AC160" s="16">
        <f>IFERROR(VLOOKUP($U160,costs!$A$2:$I$2905,AC$2,FALSE),0)</f>
        <v>0</v>
      </c>
      <c r="AO160" s="40" t="s">
        <v>2167</v>
      </c>
      <c r="AP160" s="16">
        <f>IFERROR(VLOOKUP($AO160,costs!$A$2:$I$2905,AP$2,FALSE),0)</f>
        <v>0</v>
      </c>
      <c r="AQ160" s="16">
        <f>IFERROR(VLOOKUP($AO160,costs!$A$2:$I$2905,AQ$2,FALSE),0)</f>
        <v>0</v>
      </c>
      <c r="AR160" s="16">
        <f>IFERROR(VLOOKUP($AO160,costs!$A$2:$I$2905,AR$2,FALSE),0)</f>
        <v>0</v>
      </c>
      <c r="AS160" s="16">
        <f>IFERROR(VLOOKUP($AO160,costs!$A$2:$I$2905,AS$2,FALSE),0)</f>
        <v>0</v>
      </c>
      <c r="AT160" s="16">
        <f>IFERROR(VLOOKUP($AO160,costs!$A$2:$I$2905,AT$2,FALSE),0)</f>
        <v>0</v>
      </c>
      <c r="AU160" s="16">
        <f>IFERROR(VLOOKUP($AO160,costs!$A$2:$I$2905,AU$2,FALSE),0)</f>
        <v>0</v>
      </c>
      <c r="AV160" s="16">
        <f>IFERROR(VLOOKUP($AO160,costs!$A$2:$I$2905,AV$2,FALSE),0)</f>
        <v>0</v>
      </c>
      <c r="AW160" s="16">
        <f>IFERROR(VLOOKUP($AO160,costs!$A$2:$I$2905,AW$2,FALSE),0)</f>
        <v>0</v>
      </c>
    </row>
    <row r="161" spans="21:49" x14ac:dyDescent="0.35">
      <c r="U161" s="273" t="s">
        <v>2092</v>
      </c>
      <c r="V161" s="16">
        <f>IFERROR(VLOOKUP($U161,costs!$A$2:$I$2905,V$2,FALSE),0)</f>
        <v>0</v>
      </c>
      <c r="W161" s="16">
        <f>IFERROR(VLOOKUP($U161,costs!$A$2:$I$2905,W$2,FALSE),0)</f>
        <v>0</v>
      </c>
      <c r="X161" s="16">
        <f>IFERROR(VLOOKUP($U161,costs!$A$2:$I$2905,X$2,FALSE),0)</f>
        <v>0</v>
      </c>
      <c r="Y161" s="16">
        <f>IFERROR(VLOOKUP($U161,costs!$A$2:$I$2905,Y$2,FALSE),0)</f>
        <v>0</v>
      </c>
      <c r="Z161" s="16">
        <f>IFERROR(VLOOKUP($U161,costs!$A$2:$I$2905,Z$2,FALSE),0)</f>
        <v>0</v>
      </c>
      <c r="AA161" s="16">
        <f>IFERROR(VLOOKUP($U161,costs!$A$2:$I$2905,AA$2,FALSE),0)</f>
        <v>0</v>
      </c>
      <c r="AB161" s="16">
        <f>IFERROR(VLOOKUP($U161,costs!$A$2:$I$2905,AB$2,FALSE),0)</f>
        <v>0</v>
      </c>
      <c r="AC161" s="16">
        <f>IFERROR(VLOOKUP($U161,costs!$A$2:$I$2905,AC$2,FALSE),0)</f>
        <v>0</v>
      </c>
      <c r="AO161" s="40" t="s">
        <v>457</v>
      </c>
      <c r="AP161" s="16">
        <f>IFERROR(VLOOKUP($AO161,costs!$A$2:$I$2905,AP$2,FALSE),0)</f>
        <v>0</v>
      </c>
      <c r="AQ161" s="16">
        <f>IFERROR(VLOOKUP($AO161,costs!$A$2:$I$2905,AQ$2,FALSE),0)</f>
        <v>0</v>
      </c>
      <c r="AR161" s="16">
        <f>IFERROR(VLOOKUP($AO161,costs!$A$2:$I$2905,AR$2,FALSE),0)</f>
        <v>0</v>
      </c>
      <c r="AS161" s="16">
        <f>IFERROR(VLOOKUP($AO161,costs!$A$2:$I$2905,AS$2,FALSE),0)</f>
        <v>0</v>
      </c>
      <c r="AT161" s="16">
        <f>IFERROR(VLOOKUP($AO161,costs!$A$2:$I$2905,AT$2,FALSE),0)</f>
        <v>0</v>
      </c>
      <c r="AU161" s="16">
        <f>IFERROR(VLOOKUP($AO161,costs!$A$2:$I$2905,AU$2,FALSE),0)</f>
        <v>0</v>
      </c>
      <c r="AV161" s="16">
        <f>IFERROR(VLOOKUP($AO161,costs!$A$2:$I$2905,AV$2,FALSE),0)</f>
        <v>0</v>
      </c>
      <c r="AW161" s="16">
        <f>IFERROR(VLOOKUP($AO161,costs!$A$2:$I$2905,AW$2,FALSE),0)</f>
        <v>0</v>
      </c>
    </row>
    <row r="162" spans="21:49" x14ac:dyDescent="0.35">
      <c r="U162" s="273" t="s">
        <v>521</v>
      </c>
      <c r="V162" s="16">
        <f>IFERROR(VLOOKUP($U162,costs!$A$2:$I$2905,V$2,FALSE),0)</f>
        <v>0</v>
      </c>
      <c r="W162" s="16">
        <f>IFERROR(VLOOKUP($U162,costs!$A$2:$I$2905,W$2,FALSE),0)</f>
        <v>0</v>
      </c>
      <c r="X162" s="16">
        <f>IFERROR(VLOOKUP($U162,costs!$A$2:$I$2905,X$2,FALSE),0)</f>
        <v>0</v>
      </c>
      <c r="Y162" s="16">
        <f>IFERROR(VLOOKUP($U162,costs!$A$2:$I$2905,Y$2,FALSE),0)</f>
        <v>0</v>
      </c>
      <c r="Z162" s="16">
        <f>IFERROR(VLOOKUP($U162,costs!$A$2:$I$2905,Z$2,FALSE),0)</f>
        <v>0</v>
      </c>
      <c r="AA162" s="16">
        <f>IFERROR(VLOOKUP($U162,costs!$A$2:$I$2905,AA$2,FALSE),0)</f>
        <v>0</v>
      </c>
      <c r="AB162" s="16">
        <f>IFERROR(VLOOKUP($U162,costs!$A$2:$I$2905,AB$2,FALSE),0)</f>
        <v>0</v>
      </c>
      <c r="AC162" s="16">
        <f>IFERROR(VLOOKUP($U162,costs!$A$2:$I$2905,AC$2,FALSE),0)</f>
        <v>0</v>
      </c>
      <c r="AO162" s="40" t="s">
        <v>2168</v>
      </c>
      <c r="AP162" s="16">
        <f>IFERROR(VLOOKUP($AO162,costs!$A$2:$I$2905,AP$2,FALSE),0)</f>
        <v>0</v>
      </c>
      <c r="AQ162" s="16">
        <f>IFERROR(VLOOKUP($AO162,costs!$A$2:$I$2905,AQ$2,FALSE),0)</f>
        <v>0</v>
      </c>
      <c r="AR162" s="16">
        <f>IFERROR(VLOOKUP($AO162,costs!$A$2:$I$2905,AR$2,FALSE),0)</f>
        <v>0</v>
      </c>
      <c r="AS162" s="16">
        <f>IFERROR(VLOOKUP($AO162,costs!$A$2:$I$2905,AS$2,FALSE),0)</f>
        <v>0</v>
      </c>
      <c r="AT162" s="16">
        <f>IFERROR(VLOOKUP($AO162,costs!$A$2:$I$2905,AT$2,FALSE),0)</f>
        <v>0</v>
      </c>
      <c r="AU162" s="16">
        <f>IFERROR(VLOOKUP($AO162,costs!$A$2:$I$2905,AU$2,FALSE),0)</f>
        <v>0</v>
      </c>
      <c r="AV162" s="16">
        <f>IFERROR(VLOOKUP($AO162,costs!$A$2:$I$2905,AV$2,FALSE),0)</f>
        <v>0</v>
      </c>
      <c r="AW162" s="16">
        <f>IFERROR(VLOOKUP($AO162,costs!$A$2:$I$2905,AW$2,FALSE),0)</f>
        <v>0</v>
      </c>
    </row>
    <row r="163" spans="21:49" x14ac:dyDescent="0.35">
      <c r="U163" s="272" t="s">
        <v>2112</v>
      </c>
      <c r="V163" s="16">
        <f>IFERROR(VLOOKUP($U163,costs!$A$2:$I$2905,V$2,FALSE),0)</f>
        <v>0</v>
      </c>
      <c r="W163" s="16">
        <f>IFERROR(VLOOKUP($U163,costs!$A$2:$I$2905,W$2,FALSE),0)</f>
        <v>0</v>
      </c>
      <c r="X163" s="16">
        <f>IFERROR(VLOOKUP($U163,costs!$A$2:$I$2905,X$2,FALSE),0)</f>
        <v>0</v>
      </c>
      <c r="Y163" s="16">
        <f>IFERROR(VLOOKUP($U163,costs!$A$2:$I$2905,Y$2,FALSE),0)</f>
        <v>0</v>
      </c>
      <c r="Z163" s="16">
        <f>IFERROR(VLOOKUP($U163,costs!$A$2:$I$2905,Z$2,FALSE),0)</f>
        <v>0</v>
      </c>
      <c r="AA163" s="16">
        <f>IFERROR(VLOOKUP($U163,costs!$A$2:$I$2905,AA$2,FALSE),0)</f>
        <v>0</v>
      </c>
      <c r="AB163" s="16">
        <f>IFERROR(VLOOKUP($U163,costs!$A$2:$I$2905,AB$2,FALSE),0)</f>
        <v>0</v>
      </c>
      <c r="AC163" s="16">
        <f>IFERROR(VLOOKUP($U163,costs!$A$2:$I$2905,AC$2,FALSE),0)</f>
        <v>0</v>
      </c>
      <c r="AO163" s="40" t="s">
        <v>1155</v>
      </c>
      <c r="AP163" s="16">
        <f>IFERROR(VLOOKUP($AO163,costs!$A$2:$I$2905,AP$2,FALSE),0)</f>
        <v>0</v>
      </c>
      <c r="AQ163" s="16">
        <f>IFERROR(VLOOKUP($AO163,costs!$A$2:$I$2905,AQ$2,FALSE),0)</f>
        <v>0</v>
      </c>
      <c r="AR163" s="16">
        <f>IFERROR(VLOOKUP($AO163,costs!$A$2:$I$2905,AR$2,FALSE),0)</f>
        <v>0</v>
      </c>
      <c r="AS163" s="16">
        <f>IFERROR(VLOOKUP($AO163,costs!$A$2:$I$2905,AS$2,FALSE),0)</f>
        <v>0</v>
      </c>
      <c r="AT163" s="16">
        <f>IFERROR(VLOOKUP($AO163,costs!$A$2:$I$2905,AT$2,FALSE),0)</f>
        <v>0</v>
      </c>
      <c r="AU163" s="16">
        <f>IFERROR(VLOOKUP($AO163,costs!$A$2:$I$2905,AU$2,FALSE),0)</f>
        <v>0</v>
      </c>
      <c r="AV163" s="16">
        <f>IFERROR(VLOOKUP($AO163,costs!$A$2:$I$2905,AV$2,FALSE),0)</f>
        <v>0</v>
      </c>
      <c r="AW163" s="16">
        <f>IFERROR(VLOOKUP($AO163,costs!$A$2:$I$2905,AW$2,FALSE),0)</f>
        <v>0</v>
      </c>
    </row>
    <row r="164" spans="21:49" x14ac:dyDescent="0.35">
      <c r="U164" s="275" t="s">
        <v>2031</v>
      </c>
      <c r="V164" s="102">
        <f>SUM(V84:V163)</f>
        <v>0</v>
      </c>
      <c r="W164" s="102">
        <f t="shared" ref="W164:AC164" si="52">SUM(W84:W163)</f>
        <v>0</v>
      </c>
      <c r="X164" s="102">
        <f t="shared" si="52"/>
        <v>0</v>
      </c>
      <c r="Y164" s="102">
        <f t="shared" si="52"/>
        <v>0</v>
      </c>
      <c r="Z164" s="102">
        <f t="shared" si="52"/>
        <v>0</v>
      </c>
      <c r="AA164" s="102">
        <f t="shared" si="52"/>
        <v>0</v>
      </c>
      <c r="AB164" s="102">
        <f t="shared" si="52"/>
        <v>0</v>
      </c>
      <c r="AC164" s="102">
        <f t="shared" si="52"/>
        <v>0</v>
      </c>
      <c r="AO164" s="40" t="s">
        <v>2169</v>
      </c>
      <c r="AP164" s="16">
        <f>IFERROR(VLOOKUP($AO164,costs!$A$2:$I$2905,AP$2,FALSE),0)</f>
        <v>0</v>
      </c>
      <c r="AQ164" s="16">
        <f>IFERROR(VLOOKUP($AO164,costs!$A$2:$I$2905,AQ$2,FALSE),0)</f>
        <v>0</v>
      </c>
      <c r="AR164" s="16">
        <f>IFERROR(VLOOKUP($AO164,costs!$A$2:$I$2905,AR$2,FALSE),0)</f>
        <v>0</v>
      </c>
      <c r="AS164" s="16">
        <f>IFERROR(VLOOKUP($AO164,costs!$A$2:$I$2905,AS$2,FALSE),0)</f>
        <v>0</v>
      </c>
      <c r="AT164" s="16">
        <f>IFERROR(VLOOKUP($AO164,costs!$A$2:$I$2905,AT$2,FALSE),0)</f>
        <v>0</v>
      </c>
      <c r="AU164" s="16">
        <f>IFERROR(VLOOKUP($AO164,costs!$A$2:$I$2905,AU$2,FALSE),0)</f>
        <v>0</v>
      </c>
      <c r="AV164" s="16">
        <f>IFERROR(VLOOKUP($AO164,costs!$A$2:$I$2905,AV$2,FALSE),0)</f>
        <v>0</v>
      </c>
      <c r="AW164" s="16">
        <f>IFERROR(VLOOKUP($AO164,costs!$A$2:$I$2905,AW$2,FALSE),0)</f>
        <v>0</v>
      </c>
    </row>
    <row r="165" spans="21:49" x14ac:dyDescent="0.35">
      <c r="U165" s="40"/>
      <c r="V165" s="92"/>
      <c r="W165" s="92"/>
      <c r="X165" s="92"/>
      <c r="Y165" s="92"/>
      <c r="Z165" s="92"/>
      <c r="AA165" s="92"/>
      <c r="AB165" s="92"/>
      <c r="AC165" s="92"/>
      <c r="AO165" s="40" t="s">
        <v>444</v>
      </c>
      <c r="AP165" s="16">
        <f>IFERROR(VLOOKUP($AO165,costs!$A$2:$I$2905,AP$2,FALSE),0)</f>
        <v>0</v>
      </c>
      <c r="AQ165" s="16">
        <f>IFERROR(VLOOKUP($AO165,costs!$A$2:$I$2905,AQ$2,FALSE),0)</f>
        <v>0</v>
      </c>
      <c r="AR165" s="16">
        <f>IFERROR(VLOOKUP($AO165,costs!$A$2:$I$2905,AR$2,FALSE),0)</f>
        <v>0</v>
      </c>
      <c r="AS165" s="16">
        <f>IFERROR(VLOOKUP($AO165,costs!$A$2:$I$2905,AS$2,FALSE),0)</f>
        <v>0</v>
      </c>
      <c r="AT165" s="16">
        <f>IFERROR(VLOOKUP($AO165,costs!$A$2:$I$2905,AT$2,FALSE),0)</f>
        <v>0</v>
      </c>
      <c r="AU165" s="16">
        <f>IFERROR(VLOOKUP($AO165,costs!$A$2:$I$2905,AU$2,FALSE),0)</f>
        <v>0</v>
      </c>
      <c r="AV165" s="16">
        <f>IFERROR(VLOOKUP($AO165,costs!$A$2:$I$2905,AV$2,FALSE),0)</f>
        <v>0</v>
      </c>
      <c r="AW165" s="16">
        <f>IFERROR(VLOOKUP($AO165,costs!$A$2:$I$2905,AW$2,FALSE),0)</f>
        <v>0</v>
      </c>
    </row>
    <row r="166" spans="21:49" x14ac:dyDescent="0.35">
      <c r="U166" s="99" t="s">
        <v>2184</v>
      </c>
      <c r="V166" s="276" t="e">
        <f t="shared" ref="V166:AC166" si="53">1-AF118</f>
        <v>#N/A</v>
      </c>
      <c r="W166" s="276" t="e">
        <f t="shared" si="53"/>
        <v>#N/A</v>
      </c>
      <c r="X166" s="276" t="e">
        <f t="shared" si="53"/>
        <v>#N/A</v>
      </c>
      <c r="Y166" s="276" t="e">
        <f t="shared" si="53"/>
        <v>#N/A</v>
      </c>
      <c r="Z166" s="276" t="e">
        <f t="shared" si="53"/>
        <v>#N/A</v>
      </c>
      <c r="AA166" s="276" t="e">
        <f t="shared" si="53"/>
        <v>#N/A</v>
      </c>
      <c r="AB166" s="276" t="e">
        <f t="shared" si="53"/>
        <v>#N/A</v>
      </c>
      <c r="AC166" s="276" t="e">
        <f t="shared" si="53"/>
        <v>#N/A</v>
      </c>
      <c r="AO166" s="40" t="s">
        <v>2170</v>
      </c>
      <c r="AP166" s="16">
        <f>IFERROR(VLOOKUP($AO166,costs!$A$2:$I$2905,AP$2,FALSE),0)</f>
        <v>0</v>
      </c>
      <c r="AQ166" s="16">
        <f>IFERROR(VLOOKUP($AO166,costs!$A$2:$I$2905,AQ$2,FALSE),0)</f>
        <v>0</v>
      </c>
      <c r="AR166" s="16">
        <f>IFERROR(VLOOKUP($AO166,costs!$A$2:$I$2905,AR$2,FALSE),0)</f>
        <v>0</v>
      </c>
      <c r="AS166" s="16">
        <f>IFERROR(VLOOKUP($AO166,costs!$A$2:$I$2905,AS$2,FALSE),0)</f>
        <v>0</v>
      </c>
      <c r="AT166" s="16">
        <f>IFERROR(VLOOKUP($AO166,costs!$A$2:$I$2905,AT$2,FALSE),0)</f>
        <v>0</v>
      </c>
      <c r="AU166" s="16">
        <f>IFERROR(VLOOKUP($AO166,costs!$A$2:$I$2905,AU$2,FALSE),0)</f>
        <v>0</v>
      </c>
      <c r="AV166" s="16">
        <f>IFERROR(VLOOKUP($AO166,costs!$A$2:$I$2905,AV$2,FALSE),0)</f>
        <v>0</v>
      </c>
      <c r="AW166" s="16">
        <f>IFERROR(VLOOKUP($AO166,costs!$A$2:$I$2905,AW$2,FALSE),0)</f>
        <v>0</v>
      </c>
    </row>
    <row r="167" spans="21:49" x14ac:dyDescent="0.35">
      <c r="U167" s="99" t="s">
        <v>2178</v>
      </c>
      <c r="V167" s="102" t="e">
        <f t="shared" ref="V167:AC167" si="54">V166*AP271+AP270</f>
        <v>#N/A</v>
      </c>
      <c r="W167" s="102" t="e">
        <f t="shared" si="54"/>
        <v>#N/A</v>
      </c>
      <c r="X167" s="102" t="e">
        <f t="shared" si="54"/>
        <v>#N/A</v>
      </c>
      <c r="Y167" s="102" t="e">
        <f t="shared" si="54"/>
        <v>#N/A</v>
      </c>
      <c r="Z167" s="102" t="e">
        <f t="shared" si="54"/>
        <v>#N/A</v>
      </c>
      <c r="AA167" s="102" t="e">
        <f t="shared" si="54"/>
        <v>#N/A</v>
      </c>
      <c r="AB167" s="102" t="e">
        <f t="shared" si="54"/>
        <v>#N/A</v>
      </c>
      <c r="AC167" s="102" t="e">
        <f t="shared" si="54"/>
        <v>#N/A</v>
      </c>
      <c r="AO167" s="40" t="s">
        <v>445</v>
      </c>
      <c r="AP167" s="16">
        <f>IFERROR(VLOOKUP($AO167,costs!$A$2:$I$2905,AP$2,FALSE),0)</f>
        <v>0</v>
      </c>
      <c r="AQ167" s="16">
        <f>IFERROR(VLOOKUP($AO167,costs!$A$2:$I$2905,AQ$2,FALSE),0)</f>
        <v>0</v>
      </c>
      <c r="AR167" s="16">
        <f>IFERROR(VLOOKUP($AO167,costs!$A$2:$I$2905,AR$2,FALSE),0)</f>
        <v>0</v>
      </c>
      <c r="AS167" s="16">
        <f>IFERROR(VLOOKUP($AO167,costs!$A$2:$I$2905,AS$2,FALSE),0)</f>
        <v>0</v>
      </c>
      <c r="AT167" s="16">
        <f>IFERROR(VLOOKUP($AO167,costs!$A$2:$I$2905,AT$2,FALSE),0)</f>
        <v>0</v>
      </c>
      <c r="AU167" s="16">
        <f>IFERROR(VLOOKUP($AO167,costs!$A$2:$I$2905,AU$2,FALSE),0)</f>
        <v>0</v>
      </c>
      <c r="AV167" s="16">
        <f>IFERROR(VLOOKUP($AO167,costs!$A$2:$I$2905,AV$2,FALSE),0)</f>
        <v>0</v>
      </c>
      <c r="AW167" s="16">
        <f>IFERROR(VLOOKUP($AO167,costs!$A$2:$I$2905,AW$2,FALSE),0)</f>
        <v>0</v>
      </c>
    </row>
    <row r="168" spans="21:49" x14ac:dyDescent="0.35">
      <c r="U168" s="40"/>
      <c r="V168" s="92"/>
      <c r="W168" s="92"/>
      <c r="X168" s="92"/>
      <c r="Y168" s="92"/>
      <c r="Z168" s="92"/>
      <c r="AA168" s="92"/>
      <c r="AB168" s="92"/>
      <c r="AC168" s="92"/>
      <c r="AO168" s="40" t="s">
        <v>2171</v>
      </c>
      <c r="AP168" s="16">
        <f>IFERROR(VLOOKUP($AO168,costs!$A$2:$I$2905,AP$2,FALSE),0)</f>
        <v>0</v>
      </c>
      <c r="AQ168" s="16">
        <f>IFERROR(VLOOKUP($AO168,costs!$A$2:$I$2905,AQ$2,FALSE),0)</f>
        <v>0</v>
      </c>
      <c r="AR168" s="16">
        <f>IFERROR(VLOOKUP($AO168,costs!$A$2:$I$2905,AR$2,FALSE),0)</f>
        <v>0</v>
      </c>
      <c r="AS168" s="16">
        <f>IFERROR(VLOOKUP($AO168,costs!$A$2:$I$2905,AS$2,FALSE),0)</f>
        <v>0</v>
      </c>
      <c r="AT168" s="16">
        <f>IFERROR(VLOOKUP($AO168,costs!$A$2:$I$2905,AT$2,FALSE),0)</f>
        <v>0</v>
      </c>
      <c r="AU168" s="16">
        <f>IFERROR(VLOOKUP($AO168,costs!$A$2:$I$2905,AU$2,FALSE),0)</f>
        <v>0</v>
      </c>
      <c r="AV168" s="16">
        <f>IFERROR(VLOOKUP($AO168,costs!$A$2:$I$2905,AV$2,FALSE),0)</f>
        <v>0</v>
      </c>
      <c r="AW168" s="16">
        <f>IFERROR(VLOOKUP($AO168,costs!$A$2:$I$2905,AW$2,FALSE),0)</f>
        <v>0</v>
      </c>
    </row>
    <row r="169" spans="21:49" x14ac:dyDescent="0.35">
      <c r="U169" s="99" t="s">
        <v>1229</v>
      </c>
      <c r="V169" s="102" t="e">
        <f>V164+V82+V167</f>
        <v>#N/A</v>
      </c>
      <c r="W169" s="102" t="e">
        <f t="shared" ref="W169:AC169" si="55">W164+W82+W167</f>
        <v>#N/A</v>
      </c>
      <c r="X169" s="102" t="e">
        <f t="shared" si="55"/>
        <v>#N/A</v>
      </c>
      <c r="Y169" s="102" t="e">
        <f t="shared" si="55"/>
        <v>#N/A</v>
      </c>
      <c r="Z169" s="102" t="e">
        <f t="shared" si="55"/>
        <v>#N/A</v>
      </c>
      <c r="AA169" s="102" t="e">
        <f t="shared" si="55"/>
        <v>#N/A</v>
      </c>
      <c r="AB169" s="102" t="e">
        <f t="shared" si="55"/>
        <v>#N/A</v>
      </c>
      <c r="AC169" s="102" t="e">
        <f t="shared" si="55"/>
        <v>#N/A</v>
      </c>
      <c r="AO169" s="40" t="s">
        <v>446</v>
      </c>
      <c r="AP169" s="16">
        <f>IFERROR(VLOOKUP($AO169,costs!$A$2:$I$2905,AP$2,FALSE),0)</f>
        <v>0</v>
      </c>
      <c r="AQ169" s="16">
        <f>IFERROR(VLOOKUP($AO169,costs!$A$2:$I$2905,AQ$2,FALSE),0)</f>
        <v>0</v>
      </c>
      <c r="AR169" s="16">
        <f>IFERROR(VLOOKUP($AO169,costs!$A$2:$I$2905,AR$2,FALSE),0)</f>
        <v>0</v>
      </c>
      <c r="AS169" s="16">
        <f>IFERROR(VLOOKUP($AO169,costs!$A$2:$I$2905,AS$2,FALSE),0)</f>
        <v>0</v>
      </c>
      <c r="AT169" s="16">
        <f>IFERROR(VLOOKUP($AO169,costs!$A$2:$I$2905,AT$2,FALSE),0)</f>
        <v>0</v>
      </c>
      <c r="AU169" s="16">
        <f>IFERROR(VLOOKUP($AO169,costs!$A$2:$I$2905,AU$2,FALSE),0)</f>
        <v>0</v>
      </c>
      <c r="AV169" s="16">
        <f>IFERROR(VLOOKUP($AO169,costs!$A$2:$I$2905,AV$2,FALSE),0)</f>
        <v>0</v>
      </c>
      <c r="AW169" s="16">
        <f>IFERROR(VLOOKUP($AO169,costs!$A$2:$I$2905,AW$2,FALSE),0)</f>
        <v>0</v>
      </c>
    </row>
    <row r="170" spans="21:49" ht="15" thickBot="1" x14ac:dyDescent="0.4">
      <c r="U170" s="41"/>
      <c r="V170" s="77"/>
      <c r="W170" s="77"/>
      <c r="X170" s="77"/>
      <c r="Y170" s="77"/>
      <c r="Z170" s="77"/>
      <c r="AA170" s="77"/>
      <c r="AB170" s="77"/>
      <c r="AC170" s="77"/>
      <c r="AO170" s="40" t="s">
        <v>2172</v>
      </c>
      <c r="AP170" s="16">
        <f>IFERROR(VLOOKUP($AO170,costs!$A$2:$I$2905,AP$2,FALSE),0)</f>
        <v>0</v>
      </c>
      <c r="AQ170" s="16">
        <f>IFERROR(VLOOKUP($AO170,costs!$A$2:$I$2905,AQ$2,FALSE),0)</f>
        <v>0</v>
      </c>
      <c r="AR170" s="16">
        <f>IFERROR(VLOOKUP($AO170,costs!$A$2:$I$2905,AR$2,FALSE),0)</f>
        <v>0</v>
      </c>
      <c r="AS170" s="16">
        <f>IFERROR(VLOOKUP($AO170,costs!$A$2:$I$2905,AS$2,FALSE),0)</f>
        <v>0</v>
      </c>
      <c r="AT170" s="16">
        <f>IFERROR(VLOOKUP($AO170,costs!$A$2:$I$2905,AT$2,FALSE),0)</f>
        <v>0</v>
      </c>
      <c r="AU170" s="16">
        <f>IFERROR(VLOOKUP($AO170,costs!$A$2:$I$2905,AU$2,FALSE),0)</f>
        <v>0</v>
      </c>
      <c r="AV170" s="16">
        <f>IFERROR(VLOOKUP($AO170,costs!$A$2:$I$2905,AV$2,FALSE),0)</f>
        <v>0</v>
      </c>
      <c r="AW170" s="16">
        <f>IFERROR(VLOOKUP($AO170,costs!$A$2:$I$2905,AW$2,FALSE),0)</f>
        <v>0</v>
      </c>
    </row>
    <row r="171" spans="21:49" x14ac:dyDescent="0.35">
      <c r="AO171" s="40" t="s">
        <v>447</v>
      </c>
      <c r="AP171" s="16">
        <f>IFERROR(VLOOKUP($AO171,costs!$A$2:$I$2905,AP$2,FALSE),0)</f>
        <v>0</v>
      </c>
      <c r="AQ171" s="16">
        <f>IFERROR(VLOOKUP($AO171,costs!$A$2:$I$2905,AQ$2,FALSE),0)</f>
        <v>0</v>
      </c>
      <c r="AR171" s="16">
        <f>IFERROR(VLOOKUP($AO171,costs!$A$2:$I$2905,AR$2,FALSE),0)</f>
        <v>0</v>
      </c>
      <c r="AS171" s="16">
        <f>IFERROR(VLOOKUP($AO171,costs!$A$2:$I$2905,AS$2,FALSE),0)</f>
        <v>0</v>
      </c>
      <c r="AT171" s="16">
        <f>IFERROR(VLOOKUP($AO171,costs!$A$2:$I$2905,AT$2,FALSE),0)</f>
        <v>0</v>
      </c>
      <c r="AU171" s="16">
        <f>IFERROR(VLOOKUP($AO171,costs!$A$2:$I$2905,AU$2,FALSE),0)</f>
        <v>0</v>
      </c>
      <c r="AV171" s="16">
        <f>IFERROR(VLOOKUP($AO171,costs!$A$2:$I$2905,AV$2,FALSE),0)</f>
        <v>0</v>
      </c>
      <c r="AW171" s="16">
        <f>IFERROR(VLOOKUP($AO171,costs!$A$2:$I$2905,AW$2,FALSE),0)</f>
        <v>0</v>
      </c>
    </row>
    <row r="172" spans="21:49" x14ac:dyDescent="0.35">
      <c r="AO172" s="40" t="s">
        <v>2173</v>
      </c>
      <c r="AP172" s="16">
        <f>IFERROR(VLOOKUP($AO172,costs!$A$2:$I$2905,AP$2,FALSE),0)</f>
        <v>0</v>
      </c>
      <c r="AQ172" s="16">
        <f>IFERROR(VLOOKUP($AO172,costs!$A$2:$I$2905,AQ$2,FALSE),0)</f>
        <v>0</v>
      </c>
      <c r="AR172" s="16">
        <f>IFERROR(VLOOKUP($AO172,costs!$A$2:$I$2905,AR$2,FALSE),0)</f>
        <v>0</v>
      </c>
      <c r="AS172" s="16">
        <f>IFERROR(VLOOKUP($AO172,costs!$A$2:$I$2905,AS$2,FALSE),0)</f>
        <v>0</v>
      </c>
      <c r="AT172" s="16">
        <f>IFERROR(VLOOKUP($AO172,costs!$A$2:$I$2905,AT$2,FALSE),0)</f>
        <v>0</v>
      </c>
      <c r="AU172" s="16">
        <f>IFERROR(VLOOKUP($AO172,costs!$A$2:$I$2905,AU$2,FALSE),0)</f>
        <v>0</v>
      </c>
      <c r="AV172" s="16">
        <f>IFERROR(VLOOKUP($AO172,costs!$A$2:$I$2905,AV$2,FALSE),0)</f>
        <v>0</v>
      </c>
      <c r="AW172" s="16">
        <f>IFERROR(VLOOKUP($AO172,costs!$A$2:$I$2905,AW$2,FALSE),0)</f>
        <v>0</v>
      </c>
    </row>
    <row r="173" spans="21:49" x14ac:dyDescent="0.35">
      <c r="AO173" s="40" t="s">
        <v>448</v>
      </c>
      <c r="AP173" s="16">
        <f>IFERROR(VLOOKUP($AO173,costs!$A$2:$I$2905,AP$2,FALSE),0)</f>
        <v>0</v>
      </c>
      <c r="AQ173" s="16">
        <f>IFERROR(VLOOKUP($AO173,costs!$A$2:$I$2905,AQ$2,FALSE),0)</f>
        <v>0</v>
      </c>
      <c r="AR173" s="16">
        <f>IFERROR(VLOOKUP($AO173,costs!$A$2:$I$2905,AR$2,FALSE),0)</f>
        <v>0</v>
      </c>
      <c r="AS173" s="16">
        <f>IFERROR(VLOOKUP($AO173,costs!$A$2:$I$2905,AS$2,FALSE),0)</f>
        <v>0</v>
      </c>
      <c r="AT173" s="16">
        <f>IFERROR(VLOOKUP($AO173,costs!$A$2:$I$2905,AT$2,FALSE),0)</f>
        <v>0</v>
      </c>
      <c r="AU173" s="16">
        <f>IFERROR(VLOOKUP($AO173,costs!$A$2:$I$2905,AU$2,FALSE),0)</f>
        <v>0</v>
      </c>
      <c r="AV173" s="16">
        <f>IFERROR(VLOOKUP($AO173,costs!$A$2:$I$2905,AV$2,FALSE),0)</f>
        <v>0</v>
      </c>
      <c r="AW173" s="16">
        <f>IFERROR(VLOOKUP($AO173,costs!$A$2:$I$2905,AW$2,FALSE),0)</f>
        <v>0</v>
      </c>
    </row>
    <row r="174" spans="21:49" x14ac:dyDescent="0.35">
      <c r="AO174" s="40" t="s">
        <v>2174</v>
      </c>
      <c r="AP174" s="16">
        <f>IFERROR(VLOOKUP($AO174,costs!$A$2:$I$2905,AP$2,FALSE),0)</f>
        <v>0</v>
      </c>
      <c r="AQ174" s="16">
        <f>IFERROR(VLOOKUP($AO174,costs!$A$2:$I$2905,AQ$2,FALSE),0)</f>
        <v>0</v>
      </c>
      <c r="AR174" s="16">
        <f>IFERROR(VLOOKUP($AO174,costs!$A$2:$I$2905,AR$2,FALSE),0)</f>
        <v>0</v>
      </c>
      <c r="AS174" s="16">
        <f>IFERROR(VLOOKUP($AO174,costs!$A$2:$I$2905,AS$2,FALSE),0)</f>
        <v>0</v>
      </c>
      <c r="AT174" s="16">
        <f>IFERROR(VLOOKUP($AO174,costs!$A$2:$I$2905,AT$2,FALSE),0)</f>
        <v>0</v>
      </c>
      <c r="AU174" s="16">
        <f>IFERROR(VLOOKUP($AO174,costs!$A$2:$I$2905,AU$2,FALSE),0)</f>
        <v>0</v>
      </c>
      <c r="AV174" s="16">
        <f>IFERROR(VLOOKUP($AO174,costs!$A$2:$I$2905,AV$2,FALSE),0)</f>
        <v>0</v>
      </c>
      <c r="AW174" s="16">
        <f>IFERROR(VLOOKUP($AO174,costs!$A$2:$I$2905,AW$2,FALSE),0)</f>
        <v>0</v>
      </c>
    </row>
    <row r="175" spans="21:49" x14ac:dyDescent="0.35">
      <c r="AO175" s="40" t="s">
        <v>449</v>
      </c>
      <c r="AP175" s="16">
        <f>IFERROR(VLOOKUP($AO175,costs!$A$2:$I$2905,AP$2,FALSE),0)</f>
        <v>0</v>
      </c>
      <c r="AQ175" s="16">
        <f>IFERROR(VLOOKUP($AO175,costs!$A$2:$I$2905,AQ$2,FALSE),0)</f>
        <v>0</v>
      </c>
      <c r="AR175" s="16">
        <f>IFERROR(VLOOKUP($AO175,costs!$A$2:$I$2905,AR$2,FALSE),0)</f>
        <v>0</v>
      </c>
      <c r="AS175" s="16">
        <f>IFERROR(VLOOKUP($AO175,costs!$A$2:$I$2905,AS$2,FALSE),0)</f>
        <v>0</v>
      </c>
      <c r="AT175" s="16">
        <f>IFERROR(VLOOKUP($AO175,costs!$A$2:$I$2905,AT$2,FALSE),0)</f>
        <v>0</v>
      </c>
      <c r="AU175" s="16">
        <f>IFERROR(VLOOKUP($AO175,costs!$A$2:$I$2905,AU$2,FALSE),0)</f>
        <v>0</v>
      </c>
      <c r="AV175" s="16">
        <f>IFERROR(VLOOKUP($AO175,costs!$A$2:$I$2905,AV$2,FALSE),0)</f>
        <v>0</v>
      </c>
      <c r="AW175" s="16">
        <f>IFERROR(VLOOKUP($AO175,costs!$A$2:$I$2905,AW$2,FALSE),0)</f>
        <v>0</v>
      </c>
    </row>
    <row r="176" spans="21:49" x14ac:dyDescent="0.35">
      <c r="AO176" s="40" t="s">
        <v>2175</v>
      </c>
      <c r="AP176" s="16">
        <f>IFERROR(VLOOKUP($AO176,costs!$A$2:$I$2905,AP$2,FALSE),0)</f>
        <v>0</v>
      </c>
      <c r="AQ176" s="16">
        <f>IFERROR(VLOOKUP($AO176,costs!$A$2:$I$2905,AQ$2,FALSE),0)</f>
        <v>0</v>
      </c>
      <c r="AR176" s="16">
        <f>IFERROR(VLOOKUP($AO176,costs!$A$2:$I$2905,AR$2,FALSE),0)</f>
        <v>0</v>
      </c>
      <c r="AS176" s="16">
        <f>IFERROR(VLOOKUP($AO176,costs!$A$2:$I$2905,AS$2,FALSE),0)</f>
        <v>0</v>
      </c>
      <c r="AT176" s="16">
        <f>IFERROR(VLOOKUP($AO176,costs!$A$2:$I$2905,AT$2,FALSE),0)</f>
        <v>0</v>
      </c>
      <c r="AU176" s="16">
        <f>IFERROR(VLOOKUP($AO176,costs!$A$2:$I$2905,AU$2,FALSE),0)</f>
        <v>0</v>
      </c>
      <c r="AV176" s="16">
        <f>IFERROR(VLOOKUP($AO176,costs!$A$2:$I$2905,AV$2,FALSE),0)</f>
        <v>0</v>
      </c>
      <c r="AW176" s="16">
        <f>IFERROR(VLOOKUP($AO176,costs!$A$2:$I$2905,AW$2,FALSE),0)</f>
        <v>0</v>
      </c>
    </row>
    <row r="177" spans="41:49" x14ac:dyDescent="0.35">
      <c r="AO177" s="40" t="s">
        <v>450</v>
      </c>
      <c r="AP177" s="16">
        <f>IFERROR(VLOOKUP($AO177,costs!$A$2:$I$2905,AP$2,FALSE),0)</f>
        <v>0</v>
      </c>
      <c r="AQ177" s="16">
        <f>IFERROR(VLOOKUP($AO177,costs!$A$2:$I$2905,AQ$2,FALSE),0)</f>
        <v>0</v>
      </c>
      <c r="AR177" s="16">
        <f>IFERROR(VLOOKUP($AO177,costs!$A$2:$I$2905,AR$2,FALSE),0)</f>
        <v>0</v>
      </c>
      <c r="AS177" s="16">
        <f>IFERROR(VLOOKUP($AO177,costs!$A$2:$I$2905,AS$2,FALSE),0)</f>
        <v>0</v>
      </c>
      <c r="AT177" s="16">
        <f>IFERROR(VLOOKUP($AO177,costs!$A$2:$I$2905,AT$2,FALSE),0)</f>
        <v>0</v>
      </c>
      <c r="AU177" s="16">
        <f>IFERROR(VLOOKUP($AO177,costs!$A$2:$I$2905,AU$2,FALSE),0)</f>
        <v>0</v>
      </c>
      <c r="AV177" s="16">
        <f>IFERROR(VLOOKUP($AO177,costs!$A$2:$I$2905,AV$2,FALSE),0)</f>
        <v>0</v>
      </c>
      <c r="AW177" s="16">
        <f>IFERROR(VLOOKUP($AO177,costs!$A$2:$I$2905,AW$2,FALSE),0)</f>
        <v>0</v>
      </c>
    </row>
    <row r="178" spans="41:49" x14ac:dyDescent="0.35">
      <c r="AO178" s="40" t="s">
        <v>2176</v>
      </c>
      <c r="AP178" s="16">
        <f>IFERROR(VLOOKUP($AO178,costs!$A$2:$I$2905,AP$2,FALSE),0)</f>
        <v>0</v>
      </c>
      <c r="AQ178" s="16">
        <f>IFERROR(VLOOKUP($AO178,costs!$A$2:$I$2905,AQ$2,FALSE),0)</f>
        <v>0</v>
      </c>
      <c r="AR178" s="16">
        <f>IFERROR(VLOOKUP($AO178,costs!$A$2:$I$2905,AR$2,FALSE),0)</f>
        <v>0</v>
      </c>
      <c r="AS178" s="16">
        <f>IFERROR(VLOOKUP($AO178,costs!$A$2:$I$2905,AS$2,FALSE),0)</f>
        <v>0</v>
      </c>
      <c r="AT178" s="16">
        <f>IFERROR(VLOOKUP($AO178,costs!$A$2:$I$2905,AT$2,FALSE),0)</f>
        <v>0</v>
      </c>
      <c r="AU178" s="16">
        <f>IFERROR(VLOOKUP($AO178,costs!$A$2:$I$2905,AU$2,FALSE),0)</f>
        <v>0</v>
      </c>
      <c r="AV178" s="16">
        <f>IFERROR(VLOOKUP($AO178,costs!$A$2:$I$2905,AV$2,FALSE),0)</f>
        <v>0</v>
      </c>
      <c r="AW178" s="16">
        <f>IFERROR(VLOOKUP($AO178,costs!$A$2:$I$2905,AW$2,FALSE),0)</f>
        <v>0</v>
      </c>
    </row>
    <row r="179" spans="41:49" x14ac:dyDescent="0.35">
      <c r="AO179" s="40" t="s">
        <v>458</v>
      </c>
      <c r="AP179" s="16">
        <f>IFERROR(VLOOKUP($AO179,costs!$A$2:$I$2905,AP$2,FALSE),0)</f>
        <v>0</v>
      </c>
      <c r="AQ179" s="16">
        <f>IFERROR(VLOOKUP($AO179,costs!$A$2:$I$2905,AQ$2,FALSE),0)</f>
        <v>0</v>
      </c>
      <c r="AR179" s="16">
        <f>IFERROR(VLOOKUP($AO179,costs!$A$2:$I$2905,AR$2,FALSE),0)</f>
        <v>0</v>
      </c>
      <c r="AS179" s="16">
        <f>IFERROR(VLOOKUP($AO179,costs!$A$2:$I$2905,AS$2,FALSE),0)</f>
        <v>0</v>
      </c>
      <c r="AT179" s="16">
        <f>IFERROR(VLOOKUP($AO179,costs!$A$2:$I$2905,AT$2,FALSE),0)</f>
        <v>0</v>
      </c>
      <c r="AU179" s="16">
        <f>IFERROR(VLOOKUP($AO179,costs!$A$2:$I$2905,AU$2,FALSE),0)</f>
        <v>0</v>
      </c>
      <c r="AV179" s="16">
        <f>IFERROR(VLOOKUP($AO179,costs!$A$2:$I$2905,AV$2,FALSE),0)</f>
        <v>0</v>
      </c>
      <c r="AW179" s="16">
        <f>IFERROR(VLOOKUP($AO179,costs!$A$2:$I$2905,AW$2,FALSE),0)</f>
        <v>0</v>
      </c>
    </row>
    <row r="180" spans="41:49" x14ac:dyDescent="0.35">
      <c r="AO180" s="40" t="s">
        <v>2177</v>
      </c>
      <c r="AP180" s="16">
        <f>IFERROR(VLOOKUP($AO180,costs!$A$2:$I$2905,AP$2,FALSE),0)</f>
        <v>0</v>
      </c>
      <c r="AQ180" s="16">
        <f>IFERROR(VLOOKUP($AO180,costs!$A$2:$I$2905,AQ$2,FALSE),0)</f>
        <v>0</v>
      </c>
      <c r="AR180" s="16">
        <f>IFERROR(VLOOKUP($AO180,costs!$A$2:$I$2905,AR$2,FALSE),0)</f>
        <v>0</v>
      </c>
      <c r="AS180" s="16">
        <f>IFERROR(VLOOKUP($AO180,costs!$A$2:$I$2905,AS$2,FALSE),0)</f>
        <v>0</v>
      </c>
      <c r="AT180" s="16">
        <f>IFERROR(VLOOKUP($AO180,costs!$A$2:$I$2905,AT$2,FALSE),0)</f>
        <v>0</v>
      </c>
      <c r="AU180" s="16">
        <f>IFERROR(VLOOKUP($AO180,costs!$A$2:$I$2905,AU$2,FALSE),0)</f>
        <v>0</v>
      </c>
      <c r="AV180" s="16">
        <f>IFERROR(VLOOKUP($AO180,costs!$A$2:$I$2905,AV$2,FALSE),0)</f>
        <v>0</v>
      </c>
      <c r="AW180" s="16">
        <f>IFERROR(VLOOKUP($AO180,costs!$A$2:$I$2905,AW$2,FALSE),0)</f>
        <v>0</v>
      </c>
    </row>
    <row r="181" spans="41:49" x14ac:dyDescent="0.35">
      <c r="AO181" s="272" t="s">
        <v>517</v>
      </c>
      <c r="AP181" s="16">
        <f>IFERROR(VLOOKUP($AO181,costs!$A$2:$I$2905,AP$2,FALSE),0)</f>
        <v>0</v>
      </c>
      <c r="AQ181" s="16">
        <f>IFERROR(VLOOKUP($AO181,costs!$A$2:$I$2905,AQ$2,FALSE),0)</f>
        <v>0</v>
      </c>
      <c r="AR181" s="16">
        <f>IFERROR(VLOOKUP($AO181,costs!$A$2:$I$2905,AR$2,FALSE),0)</f>
        <v>0</v>
      </c>
      <c r="AS181" s="16">
        <f>IFERROR(VLOOKUP($AO181,costs!$A$2:$I$2905,AS$2,FALSE),0)</f>
        <v>0</v>
      </c>
      <c r="AT181" s="16">
        <f>IFERROR(VLOOKUP($AO181,costs!$A$2:$I$2905,AT$2,FALSE),0)</f>
        <v>0</v>
      </c>
      <c r="AU181" s="16">
        <f>IFERROR(VLOOKUP($AO181,costs!$A$2:$I$2905,AU$2,FALSE),0)</f>
        <v>0</v>
      </c>
      <c r="AV181" s="16">
        <f>IFERROR(VLOOKUP($AO181,costs!$A$2:$I$2905,AV$2,FALSE),0)</f>
        <v>0</v>
      </c>
      <c r="AW181" s="16">
        <f>IFERROR(VLOOKUP($AO181,costs!$A$2:$I$2905,AW$2,FALSE),0)</f>
        <v>0</v>
      </c>
    </row>
    <row r="182" spans="41:49" x14ac:dyDescent="0.35">
      <c r="AO182" s="273" t="s">
        <v>510</v>
      </c>
      <c r="AP182" s="16">
        <f>IFERROR(VLOOKUP($AO182,costs!$A$2:$I$2905,AP$2,FALSE),0)</f>
        <v>0</v>
      </c>
      <c r="AQ182" s="16">
        <f>IFERROR(VLOOKUP($AO182,costs!$A$2:$I$2905,AQ$2,FALSE),0)</f>
        <v>0</v>
      </c>
      <c r="AR182" s="16">
        <f>IFERROR(VLOOKUP($AO182,costs!$A$2:$I$2905,AR$2,FALSE),0)</f>
        <v>0</v>
      </c>
      <c r="AS182" s="16">
        <f>IFERROR(VLOOKUP($AO182,costs!$A$2:$I$2905,AS$2,FALSE),0)</f>
        <v>0</v>
      </c>
      <c r="AT182" s="16">
        <f>IFERROR(VLOOKUP($AO182,costs!$A$2:$I$2905,AT$2,FALSE),0)</f>
        <v>0</v>
      </c>
      <c r="AU182" s="16">
        <f>IFERROR(VLOOKUP($AO182,costs!$A$2:$I$2905,AU$2,FALSE),0)</f>
        <v>0</v>
      </c>
      <c r="AV182" s="16">
        <f>IFERROR(VLOOKUP($AO182,costs!$A$2:$I$2905,AV$2,FALSE),0)</f>
        <v>0</v>
      </c>
      <c r="AW182" s="16">
        <f>IFERROR(VLOOKUP($AO182,costs!$A$2:$I$2905,AW$2,FALSE),0)</f>
        <v>0</v>
      </c>
    </row>
    <row r="183" spans="41:49" x14ac:dyDescent="0.35">
      <c r="AO183" s="278" t="s">
        <v>2182</v>
      </c>
      <c r="AP183" s="168">
        <f>SUM(AP90:AP182)</f>
        <v>0</v>
      </c>
      <c r="AQ183" s="168">
        <f t="shared" ref="AQ183:AW183" si="56">SUM(AQ90:AQ182)</f>
        <v>0</v>
      </c>
      <c r="AR183" s="168">
        <f t="shared" si="56"/>
        <v>0</v>
      </c>
      <c r="AS183" s="168">
        <f t="shared" si="56"/>
        <v>0</v>
      </c>
      <c r="AT183" s="168">
        <f t="shared" si="56"/>
        <v>0</v>
      </c>
      <c r="AU183" s="168">
        <f>SUM(AU90:AU182)</f>
        <v>0</v>
      </c>
      <c r="AV183" s="168">
        <f t="shared" si="56"/>
        <v>0</v>
      </c>
      <c r="AW183" s="168">
        <f t="shared" si="56"/>
        <v>0</v>
      </c>
    </row>
    <row r="184" spans="41:49" x14ac:dyDescent="0.35">
      <c r="AO184" s="99" t="s">
        <v>1657</v>
      </c>
      <c r="AP184" s="16"/>
      <c r="AQ184" s="16"/>
      <c r="AR184" s="16"/>
      <c r="AS184" s="16"/>
      <c r="AT184" s="16"/>
      <c r="AU184" s="16"/>
      <c r="AV184" s="16"/>
      <c r="AW184" s="16"/>
    </row>
    <row r="185" spans="41:49" x14ac:dyDescent="0.35">
      <c r="AO185" s="273" t="s">
        <v>238</v>
      </c>
      <c r="AP185" s="16">
        <f>IFERROR(VLOOKUP($AO185,costs!$A$2:$I$2905,AP$2,FALSE),0)</f>
        <v>0</v>
      </c>
      <c r="AQ185" s="16">
        <f>IFERROR(VLOOKUP($AO185,costs!$A$2:$I$2905,AQ$2,FALSE),0)</f>
        <v>0</v>
      </c>
      <c r="AR185" s="16">
        <f>IFERROR(VLOOKUP($AO185,costs!$A$2:$I$2905,AR$2,FALSE),0)</f>
        <v>0</v>
      </c>
      <c r="AS185" s="16">
        <f>IFERROR(VLOOKUP($AO185,costs!$A$2:$I$2905,AS$2,FALSE),0)</f>
        <v>0</v>
      </c>
      <c r="AT185" s="16">
        <f>IFERROR(VLOOKUP($AO185,costs!$A$2:$I$2905,AT$2,FALSE),0)</f>
        <v>0</v>
      </c>
      <c r="AU185" s="16">
        <f>IFERROR(VLOOKUP($AO185,costs!$A$2:$I$2905,AU$2,FALSE),0)</f>
        <v>0</v>
      </c>
      <c r="AV185" s="16">
        <f>IFERROR(VLOOKUP($AO185,costs!$A$2:$I$2905,AV$2,FALSE),0)</f>
        <v>0</v>
      </c>
      <c r="AW185" s="16">
        <f>IFERROR(VLOOKUP($AO185,costs!$A$2:$I$2905,AW$2,FALSE),0)</f>
        <v>0</v>
      </c>
    </row>
    <row r="186" spans="41:49" x14ac:dyDescent="0.35">
      <c r="AO186" s="272" t="s">
        <v>239</v>
      </c>
      <c r="AP186" s="16">
        <f>IFERROR(VLOOKUP($AO186,costs!$A$2:$I$2905,AP$2,FALSE),0)</f>
        <v>0</v>
      </c>
      <c r="AQ186" s="16">
        <f>IFERROR(VLOOKUP($AO186,costs!$A$2:$I$2905,AQ$2,FALSE),0)</f>
        <v>0</v>
      </c>
      <c r="AR186" s="16">
        <f>IFERROR(VLOOKUP($AO186,costs!$A$2:$I$2905,AR$2,FALSE),0)</f>
        <v>0</v>
      </c>
      <c r="AS186" s="16">
        <f>IFERROR(VLOOKUP($AO186,costs!$A$2:$I$2905,AS$2,FALSE),0)</f>
        <v>0</v>
      </c>
      <c r="AT186" s="16">
        <f>IFERROR(VLOOKUP($AO186,costs!$A$2:$I$2905,AT$2,FALSE),0)</f>
        <v>0</v>
      </c>
      <c r="AU186" s="16">
        <f>IFERROR(VLOOKUP($AO186,costs!$A$2:$I$2905,AU$2,FALSE),0)</f>
        <v>0</v>
      </c>
      <c r="AV186" s="16">
        <f>IFERROR(VLOOKUP($AO186,costs!$A$2:$I$2905,AV$2,FALSE),0)</f>
        <v>0</v>
      </c>
      <c r="AW186" s="16">
        <f>IFERROR(VLOOKUP($AO186,costs!$A$2:$I$2905,AW$2,FALSE),0)</f>
        <v>0</v>
      </c>
    </row>
    <row r="187" spans="41:49" x14ac:dyDescent="0.35">
      <c r="AO187" s="273" t="s">
        <v>240</v>
      </c>
      <c r="AP187" s="16">
        <f>IFERROR(VLOOKUP($AO187,costs!$A$2:$I$2905,AP$2,FALSE),0)</f>
        <v>0</v>
      </c>
      <c r="AQ187" s="16">
        <f>IFERROR(VLOOKUP($AO187,costs!$A$2:$I$2905,AQ$2,FALSE),0)</f>
        <v>0</v>
      </c>
      <c r="AR187" s="16">
        <f>IFERROR(VLOOKUP($AO187,costs!$A$2:$I$2905,AR$2,FALSE),0)</f>
        <v>0</v>
      </c>
      <c r="AS187" s="16">
        <f>IFERROR(VLOOKUP($AO187,costs!$A$2:$I$2905,AS$2,FALSE),0)</f>
        <v>0</v>
      </c>
      <c r="AT187" s="16">
        <f>IFERROR(VLOOKUP($AO187,costs!$A$2:$I$2905,AT$2,FALSE),0)</f>
        <v>0</v>
      </c>
      <c r="AU187" s="16">
        <f>IFERROR(VLOOKUP($AO187,costs!$A$2:$I$2905,AU$2,FALSE),0)</f>
        <v>0</v>
      </c>
      <c r="AV187" s="16">
        <f>IFERROR(VLOOKUP($AO187,costs!$A$2:$I$2905,AV$2,FALSE),0)</f>
        <v>0</v>
      </c>
      <c r="AW187" s="16">
        <f>IFERROR(VLOOKUP($AO187,costs!$A$2:$I$2905,AW$2,FALSE),0)</f>
        <v>0</v>
      </c>
    </row>
    <row r="188" spans="41:49" x14ac:dyDescent="0.35">
      <c r="AO188" s="272" t="s">
        <v>241</v>
      </c>
      <c r="AP188" s="16">
        <f>IFERROR(VLOOKUP($AO188,costs!$A$2:$I$2905,AP$2,FALSE),0)</f>
        <v>0</v>
      </c>
      <c r="AQ188" s="16">
        <f>IFERROR(VLOOKUP($AO188,costs!$A$2:$I$2905,AQ$2,FALSE),0)</f>
        <v>0</v>
      </c>
      <c r="AR188" s="16">
        <f>IFERROR(VLOOKUP($AO188,costs!$A$2:$I$2905,AR$2,FALSE),0)</f>
        <v>0</v>
      </c>
      <c r="AS188" s="16">
        <f>IFERROR(VLOOKUP($AO188,costs!$A$2:$I$2905,AS$2,FALSE),0)</f>
        <v>0</v>
      </c>
      <c r="AT188" s="16">
        <f>IFERROR(VLOOKUP($AO188,costs!$A$2:$I$2905,AT$2,FALSE),0)</f>
        <v>0</v>
      </c>
      <c r="AU188" s="16">
        <f>IFERROR(VLOOKUP($AO188,costs!$A$2:$I$2905,AU$2,FALSE),0)</f>
        <v>0</v>
      </c>
      <c r="AV188" s="16">
        <f>IFERROR(VLOOKUP($AO188,costs!$A$2:$I$2905,AV$2,FALSE),0)</f>
        <v>0</v>
      </c>
      <c r="AW188" s="16">
        <f>IFERROR(VLOOKUP($AO188,costs!$A$2:$I$2905,AW$2,FALSE),0)</f>
        <v>0</v>
      </c>
    </row>
    <row r="189" spans="41:49" x14ac:dyDescent="0.35">
      <c r="AO189" s="273" t="s">
        <v>242</v>
      </c>
      <c r="AP189" s="16">
        <f>IFERROR(VLOOKUP($AO189,costs!$A$2:$I$2905,AP$2,FALSE),0)</f>
        <v>0</v>
      </c>
      <c r="AQ189" s="16">
        <f>IFERROR(VLOOKUP($AO189,costs!$A$2:$I$2905,AQ$2,FALSE),0)</f>
        <v>0</v>
      </c>
      <c r="AR189" s="16">
        <f>IFERROR(VLOOKUP($AO189,costs!$A$2:$I$2905,AR$2,FALSE),0)</f>
        <v>0</v>
      </c>
      <c r="AS189" s="16">
        <f>IFERROR(VLOOKUP($AO189,costs!$A$2:$I$2905,AS$2,FALSE),0)</f>
        <v>0</v>
      </c>
      <c r="AT189" s="16">
        <f>IFERROR(VLOOKUP($AO189,costs!$A$2:$I$2905,AT$2,FALSE),0)</f>
        <v>0</v>
      </c>
      <c r="AU189" s="16">
        <f>IFERROR(VLOOKUP($AO189,costs!$A$2:$I$2905,AU$2,FALSE),0)</f>
        <v>0</v>
      </c>
      <c r="AV189" s="16">
        <f>IFERROR(VLOOKUP($AO189,costs!$A$2:$I$2905,AV$2,FALSE),0)</f>
        <v>0</v>
      </c>
      <c r="AW189" s="16">
        <f>IFERROR(VLOOKUP($AO189,costs!$A$2:$I$2905,AW$2,FALSE),0)</f>
        <v>0</v>
      </c>
    </row>
    <row r="190" spans="41:49" x14ac:dyDescent="0.35">
      <c r="AO190" s="272" t="s">
        <v>243</v>
      </c>
      <c r="AP190" s="16">
        <f>IFERROR(VLOOKUP($AO190,costs!$A$2:$I$2905,AP$2,FALSE),0)</f>
        <v>0</v>
      </c>
      <c r="AQ190" s="16">
        <f>IFERROR(VLOOKUP($AO190,costs!$A$2:$I$2905,AQ$2,FALSE),0)</f>
        <v>0</v>
      </c>
      <c r="AR190" s="16">
        <f>IFERROR(VLOOKUP($AO190,costs!$A$2:$I$2905,AR$2,FALSE),0)</f>
        <v>0</v>
      </c>
      <c r="AS190" s="16">
        <f>IFERROR(VLOOKUP($AO190,costs!$A$2:$I$2905,AS$2,FALSE),0)</f>
        <v>0</v>
      </c>
      <c r="AT190" s="16">
        <f>IFERROR(VLOOKUP($AO190,costs!$A$2:$I$2905,AT$2,FALSE),0)</f>
        <v>0</v>
      </c>
      <c r="AU190" s="16">
        <f>IFERROR(VLOOKUP($AO190,costs!$A$2:$I$2905,AU$2,FALSE),0)</f>
        <v>0</v>
      </c>
      <c r="AV190" s="16">
        <f>IFERROR(VLOOKUP($AO190,costs!$A$2:$I$2905,AV$2,FALSE),0)</f>
        <v>0</v>
      </c>
      <c r="AW190" s="16">
        <f>IFERROR(VLOOKUP($AO190,costs!$A$2:$I$2905,AW$2,FALSE),0)</f>
        <v>0</v>
      </c>
    </row>
    <row r="191" spans="41:49" x14ac:dyDescent="0.35">
      <c r="AO191" s="273" t="s">
        <v>244</v>
      </c>
      <c r="AP191" s="16">
        <f>IFERROR(VLOOKUP($AO191,costs!$A$2:$I$2905,AP$2,FALSE),0)</f>
        <v>0</v>
      </c>
      <c r="AQ191" s="16">
        <f>IFERROR(VLOOKUP($AO191,costs!$A$2:$I$2905,AQ$2,FALSE),0)</f>
        <v>0</v>
      </c>
      <c r="AR191" s="16">
        <f>IFERROR(VLOOKUP($AO191,costs!$A$2:$I$2905,AR$2,FALSE),0)</f>
        <v>0</v>
      </c>
      <c r="AS191" s="16">
        <f>IFERROR(VLOOKUP($AO191,costs!$A$2:$I$2905,AS$2,FALSE),0)</f>
        <v>0</v>
      </c>
      <c r="AT191" s="16">
        <f>IFERROR(VLOOKUP($AO191,costs!$A$2:$I$2905,AT$2,FALSE),0)</f>
        <v>0</v>
      </c>
      <c r="AU191" s="16">
        <f>IFERROR(VLOOKUP($AO191,costs!$A$2:$I$2905,AU$2,FALSE),0)</f>
        <v>0</v>
      </c>
      <c r="AV191" s="16">
        <f>IFERROR(VLOOKUP($AO191,costs!$A$2:$I$2905,AV$2,FALSE),0)</f>
        <v>0</v>
      </c>
      <c r="AW191" s="16">
        <f>IFERROR(VLOOKUP($AO191,costs!$A$2:$I$2905,AW$2,FALSE),0)</f>
        <v>0</v>
      </c>
    </row>
    <row r="192" spans="41:49" x14ac:dyDescent="0.35">
      <c r="AO192" s="272" t="s">
        <v>245</v>
      </c>
      <c r="AP192" s="16">
        <f>IFERROR(VLOOKUP($AO192,costs!$A$2:$I$2905,AP$2,FALSE),0)</f>
        <v>0</v>
      </c>
      <c r="AQ192" s="16">
        <f>IFERROR(VLOOKUP($AO192,costs!$A$2:$I$2905,AQ$2,FALSE),0)</f>
        <v>0</v>
      </c>
      <c r="AR192" s="16">
        <f>IFERROR(VLOOKUP($AO192,costs!$A$2:$I$2905,AR$2,FALSE),0)</f>
        <v>0</v>
      </c>
      <c r="AS192" s="16">
        <f>IFERROR(VLOOKUP($AO192,costs!$A$2:$I$2905,AS$2,FALSE),0)</f>
        <v>0</v>
      </c>
      <c r="AT192" s="16">
        <f>IFERROR(VLOOKUP($AO192,costs!$A$2:$I$2905,AT$2,FALSE),0)</f>
        <v>0</v>
      </c>
      <c r="AU192" s="16">
        <f>IFERROR(VLOOKUP($AO192,costs!$A$2:$I$2905,AU$2,FALSE),0)</f>
        <v>0</v>
      </c>
      <c r="AV192" s="16">
        <f>IFERROR(VLOOKUP($AO192,costs!$A$2:$I$2905,AV$2,FALSE),0)</f>
        <v>0</v>
      </c>
      <c r="AW192" s="16">
        <f>IFERROR(VLOOKUP($AO192,costs!$A$2:$I$2905,AW$2,FALSE),0)</f>
        <v>0</v>
      </c>
    </row>
    <row r="193" spans="41:49" x14ac:dyDescent="0.35">
      <c r="AO193" s="273" t="s">
        <v>246</v>
      </c>
      <c r="AP193" s="16">
        <f>IFERROR(VLOOKUP($AO193,costs!$A$2:$I$2905,AP$2,FALSE),0)</f>
        <v>0</v>
      </c>
      <c r="AQ193" s="16">
        <f>IFERROR(VLOOKUP($AO193,costs!$A$2:$I$2905,AQ$2,FALSE),0)</f>
        <v>0</v>
      </c>
      <c r="AR193" s="16">
        <f>IFERROR(VLOOKUP($AO193,costs!$A$2:$I$2905,AR$2,FALSE),0)</f>
        <v>0</v>
      </c>
      <c r="AS193" s="16">
        <f>IFERROR(VLOOKUP($AO193,costs!$A$2:$I$2905,AS$2,FALSE),0)</f>
        <v>0</v>
      </c>
      <c r="AT193" s="16">
        <f>IFERROR(VLOOKUP($AO193,costs!$A$2:$I$2905,AT$2,FALSE),0)</f>
        <v>0</v>
      </c>
      <c r="AU193" s="16">
        <f>IFERROR(VLOOKUP($AO193,costs!$A$2:$I$2905,AU$2,FALSE),0)</f>
        <v>0</v>
      </c>
      <c r="AV193" s="16">
        <f>IFERROR(VLOOKUP($AO193,costs!$A$2:$I$2905,AV$2,FALSE),0)</f>
        <v>0</v>
      </c>
      <c r="AW193" s="16">
        <f>IFERROR(VLOOKUP($AO193,costs!$A$2:$I$2905,AW$2,FALSE),0)</f>
        <v>0</v>
      </c>
    </row>
    <row r="194" spans="41:49" x14ac:dyDescent="0.35">
      <c r="AO194" s="272" t="s">
        <v>247</v>
      </c>
      <c r="AP194" s="16">
        <f>IFERROR(VLOOKUP($AO194,costs!$A$2:$I$2905,AP$2,FALSE),0)</f>
        <v>0</v>
      </c>
      <c r="AQ194" s="16">
        <f>IFERROR(VLOOKUP($AO194,costs!$A$2:$I$2905,AQ$2,FALSE),0)</f>
        <v>0</v>
      </c>
      <c r="AR194" s="16">
        <f>IFERROR(VLOOKUP($AO194,costs!$A$2:$I$2905,AR$2,FALSE),0)</f>
        <v>0</v>
      </c>
      <c r="AS194" s="16">
        <f>IFERROR(VLOOKUP($AO194,costs!$A$2:$I$2905,AS$2,FALSE),0)</f>
        <v>0</v>
      </c>
      <c r="AT194" s="16">
        <f>IFERROR(VLOOKUP($AO194,costs!$A$2:$I$2905,AT$2,FALSE),0)</f>
        <v>0</v>
      </c>
      <c r="AU194" s="16">
        <f>IFERROR(VLOOKUP($AO194,costs!$A$2:$I$2905,AU$2,FALSE),0)</f>
        <v>0</v>
      </c>
      <c r="AV194" s="16">
        <f>IFERROR(VLOOKUP($AO194,costs!$A$2:$I$2905,AV$2,FALSE),0)</f>
        <v>0</v>
      </c>
      <c r="AW194" s="16">
        <f>IFERROR(VLOOKUP($AO194,costs!$A$2:$I$2905,AW$2,FALSE),0)</f>
        <v>0</v>
      </c>
    </row>
    <row r="195" spans="41:49" x14ac:dyDescent="0.35">
      <c r="AO195" s="273" t="s">
        <v>248</v>
      </c>
      <c r="AP195" s="16">
        <f>IFERROR(VLOOKUP($AO195,costs!$A$2:$I$2905,AP$2,FALSE),0)</f>
        <v>0</v>
      </c>
      <c r="AQ195" s="16">
        <f>IFERROR(VLOOKUP($AO195,costs!$A$2:$I$2905,AQ$2,FALSE),0)</f>
        <v>0</v>
      </c>
      <c r="AR195" s="16">
        <f>IFERROR(VLOOKUP($AO195,costs!$A$2:$I$2905,AR$2,FALSE),0)</f>
        <v>0</v>
      </c>
      <c r="AS195" s="16">
        <f>IFERROR(VLOOKUP($AO195,costs!$A$2:$I$2905,AS$2,FALSE),0)</f>
        <v>0</v>
      </c>
      <c r="AT195" s="16">
        <f>IFERROR(VLOOKUP($AO195,costs!$A$2:$I$2905,AT$2,FALSE),0)</f>
        <v>0</v>
      </c>
      <c r="AU195" s="16">
        <f>IFERROR(VLOOKUP($AO195,costs!$A$2:$I$2905,AU$2,FALSE),0)</f>
        <v>0</v>
      </c>
      <c r="AV195" s="16">
        <f>IFERROR(VLOOKUP($AO195,costs!$A$2:$I$2905,AV$2,FALSE),0)</f>
        <v>0</v>
      </c>
      <c r="AW195" s="16">
        <f>IFERROR(VLOOKUP($AO195,costs!$A$2:$I$2905,AW$2,FALSE),0)</f>
        <v>0</v>
      </c>
    </row>
    <row r="196" spans="41:49" x14ac:dyDescent="0.35">
      <c r="AO196" s="272" t="s">
        <v>249</v>
      </c>
      <c r="AP196" s="16">
        <f>IFERROR(VLOOKUP($AO196,costs!$A$2:$I$2905,AP$2,FALSE),0)</f>
        <v>0</v>
      </c>
      <c r="AQ196" s="16">
        <f>IFERROR(VLOOKUP($AO196,costs!$A$2:$I$2905,AQ$2,FALSE),0)</f>
        <v>0</v>
      </c>
      <c r="AR196" s="16">
        <f>IFERROR(VLOOKUP($AO196,costs!$A$2:$I$2905,AR$2,FALSE),0)</f>
        <v>0</v>
      </c>
      <c r="AS196" s="16">
        <f>IFERROR(VLOOKUP($AO196,costs!$A$2:$I$2905,AS$2,FALSE),0)</f>
        <v>0</v>
      </c>
      <c r="AT196" s="16">
        <f>IFERROR(VLOOKUP($AO196,costs!$A$2:$I$2905,AT$2,FALSE),0)</f>
        <v>0</v>
      </c>
      <c r="AU196" s="16">
        <f>IFERROR(VLOOKUP($AO196,costs!$A$2:$I$2905,AU$2,FALSE),0)</f>
        <v>0</v>
      </c>
      <c r="AV196" s="16">
        <f>IFERROR(VLOOKUP($AO196,costs!$A$2:$I$2905,AV$2,FALSE),0)</f>
        <v>0</v>
      </c>
      <c r="AW196" s="16">
        <f>IFERROR(VLOOKUP($AO196,costs!$A$2:$I$2905,AW$2,FALSE),0)</f>
        <v>0</v>
      </c>
    </row>
    <row r="197" spans="41:49" x14ac:dyDescent="0.35">
      <c r="AO197" s="273" t="s">
        <v>250</v>
      </c>
      <c r="AP197" s="16">
        <f>IFERROR(VLOOKUP($AO197,costs!$A$2:$I$2905,AP$2,FALSE),0)</f>
        <v>0</v>
      </c>
      <c r="AQ197" s="16">
        <f>IFERROR(VLOOKUP($AO197,costs!$A$2:$I$2905,AQ$2,FALSE),0)</f>
        <v>0</v>
      </c>
      <c r="AR197" s="16">
        <f>IFERROR(VLOOKUP($AO197,costs!$A$2:$I$2905,AR$2,FALSE),0)</f>
        <v>0</v>
      </c>
      <c r="AS197" s="16">
        <f>IFERROR(VLOOKUP($AO197,costs!$A$2:$I$2905,AS$2,FALSE),0)</f>
        <v>0</v>
      </c>
      <c r="AT197" s="16">
        <f>IFERROR(VLOOKUP($AO197,costs!$A$2:$I$2905,AT$2,FALSE),0)</f>
        <v>0</v>
      </c>
      <c r="AU197" s="16">
        <f>IFERROR(VLOOKUP($AO197,costs!$A$2:$I$2905,AU$2,FALSE),0)</f>
        <v>0</v>
      </c>
      <c r="AV197" s="16">
        <f>IFERROR(VLOOKUP($AO197,costs!$A$2:$I$2905,AV$2,FALSE),0)</f>
        <v>0</v>
      </c>
      <c r="AW197" s="16">
        <f>IFERROR(VLOOKUP($AO197,costs!$A$2:$I$2905,AW$2,FALSE),0)</f>
        <v>0</v>
      </c>
    </row>
    <row r="198" spans="41:49" x14ac:dyDescent="0.35">
      <c r="AO198" s="272" t="s">
        <v>251</v>
      </c>
      <c r="AP198" s="16">
        <f>IFERROR(VLOOKUP($AO198,costs!$A$2:$I$2905,AP$2,FALSE),0)</f>
        <v>0</v>
      </c>
      <c r="AQ198" s="16">
        <f>IFERROR(VLOOKUP($AO198,costs!$A$2:$I$2905,AQ$2,FALSE),0)</f>
        <v>0</v>
      </c>
      <c r="AR198" s="16">
        <f>IFERROR(VLOOKUP($AO198,costs!$A$2:$I$2905,AR$2,FALSE),0)</f>
        <v>0</v>
      </c>
      <c r="AS198" s="16">
        <f>IFERROR(VLOOKUP($AO198,costs!$A$2:$I$2905,AS$2,FALSE),0)</f>
        <v>0</v>
      </c>
      <c r="AT198" s="16">
        <f>IFERROR(VLOOKUP($AO198,costs!$A$2:$I$2905,AT$2,FALSE),0)</f>
        <v>0</v>
      </c>
      <c r="AU198" s="16">
        <f>IFERROR(VLOOKUP($AO198,costs!$A$2:$I$2905,AU$2,FALSE),0)</f>
        <v>0</v>
      </c>
      <c r="AV198" s="16">
        <f>IFERROR(VLOOKUP($AO198,costs!$A$2:$I$2905,AV$2,FALSE),0)</f>
        <v>0</v>
      </c>
      <c r="AW198" s="16">
        <f>IFERROR(VLOOKUP($AO198,costs!$A$2:$I$2905,AW$2,FALSE),0)</f>
        <v>0</v>
      </c>
    </row>
    <row r="199" spans="41:49" x14ac:dyDescent="0.35">
      <c r="AO199" s="273" t="s">
        <v>252</v>
      </c>
      <c r="AP199" s="16">
        <f>IFERROR(VLOOKUP($AO199,costs!$A$2:$I$2905,AP$2,FALSE),0)</f>
        <v>0</v>
      </c>
      <c r="AQ199" s="16">
        <f>IFERROR(VLOOKUP($AO199,costs!$A$2:$I$2905,AQ$2,FALSE),0)</f>
        <v>0</v>
      </c>
      <c r="AR199" s="16">
        <f>IFERROR(VLOOKUP($AO199,costs!$A$2:$I$2905,AR$2,FALSE),0)</f>
        <v>0</v>
      </c>
      <c r="AS199" s="16">
        <f>IFERROR(VLOOKUP($AO199,costs!$A$2:$I$2905,AS$2,FALSE),0)</f>
        <v>0</v>
      </c>
      <c r="AT199" s="16">
        <f>IFERROR(VLOOKUP($AO199,costs!$A$2:$I$2905,AT$2,FALSE),0)</f>
        <v>0</v>
      </c>
      <c r="AU199" s="16">
        <f>IFERROR(VLOOKUP($AO199,costs!$A$2:$I$2905,AU$2,FALSE),0)</f>
        <v>0</v>
      </c>
      <c r="AV199" s="16">
        <f>IFERROR(VLOOKUP($AO199,costs!$A$2:$I$2905,AV$2,FALSE),0)</f>
        <v>0</v>
      </c>
      <c r="AW199" s="16">
        <f>IFERROR(VLOOKUP($AO199,costs!$A$2:$I$2905,AW$2,FALSE),0)</f>
        <v>0</v>
      </c>
    </row>
    <row r="200" spans="41:49" x14ac:dyDescent="0.35">
      <c r="AO200" s="272" t="s">
        <v>253</v>
      </c>
      <c r="AP200" s="16">
        <f>IFERROR(VLOOKUP($AO200,costs!$A$2:$I$2905,AP$2,FALSE),0)</f>
        <v>0</v>
      </c>
      <c r="AQ200" s="16">
        <f>IFERROR(VLOOKUP($AO200,costs!$A$2:$I$2905,AQ$2,FALSE),0)</f>
        <v>0</v>
      </c>
      <c r="AR200" s="16">
        <f>IFERROR(VLOOKUP($AO200,costs!$A$2:$I$2905,AR$2,FALSE),0)</f>
        <v>0</v>
      </c>
      <c r="AS200" s="16">
        <f>IFERROR(VLOOKUP($AO200,costs!$A$2:$I$2905,AS$2,FALSE),0)</f>
        <v>0</v>
      </c>
      <c r="AT200" s="16">
        <f>IFERROR(VLOOKUP($AO200,costs!$A$2:$I$2905,AT$2,FALSE),0)</f>
        <v>0</v>
      </c>
      <c r="AU200" s="16">
        <f>IFERROR(VLOOKUP($AO200,costs!$A$2:$I$2905,AU$2,FALSE),0)</f>
        <v>0</v>
      </c>
      <c r="AV200" s="16">
        <f>IFERROR(VLOOKUP($AO200,costs!$A$2:$I$2905,AV$2,FALSE),0)</f>
        <v>0</v>
      </c>
      <c r="AW200" s="16">
        <f>IFERROR(VLOOKUP($AO200,costs!$A$2:$I$2905,AW$2,FALSE),0)</f>
        <v>0</v>
      </c>
    </row>
    <row r="201" spans="41:49" x14ac:dyDescent="0.35">
      <c r="AO201" s="273" t="s">
        <v>254</v>
      </c>
      <c r="AP201" s="16">
        <f>IFERROR(VLOOKUP($AO201,costs!$A$2:$I$2905,AP$2,FALSE),0)</f>
        <v>0</v>
      </c>
      <c r="AQ201" s="16">
        <f>IFERROR(VLOOKUP($AO201,costs!$A$2:$I$2905,AQ$2,FALSE),0)</f>
        <v>0</v>
      </c>
      <c r="AR201" s="16">
        <f>IFERROR(VLOOKUP($AO201,costs!$A$2:$I$2905,AR$2,FALSE),0)</f>
        <v>0</v>
      </c>
      <c r="AS201" s="16">
        <f>IFERROR(VLOOKUP($AO201,costs!$A$2:$I$2905,AS$2,FALSE),0)</f>
        <v>0</v>
      </c>
      <c r="AT201" s="16">
        <f>IFERROR(VLOOKUP($AO201,costs!$A$2:$I$2905,AT$2,FALSE),0)</f>
        <v>0</v>
      </c>
      <c r="AU201" s="16">
        <f>IFERROR(VLOOKUP($AO201,costs!$A$2:$I$2905,AU$2,FALSE),0)</f>
        <v>0</v>
      </c>
      <c r="AV201" s="16">
        <f>IFERROR(VLOOKUP($AO201,costs!$A$2:$I$2905,AV$2,FALSE),0)</f>
        <v>0</v>
      </c>
      <c r="AW201" s="16">
        <f>IFERROR(VLOOKUP($AO201,costs!$A$2:$I$2905,AW$2,FALSE),0)</f>
        <v>0</v>
      </c>
    </row>
    <row r="202" spans="41:49" x14ac:dyDescent="0.35">
      <c r="AO202" s="272" t="s">
        <v>255</v>
      </c>
      <c r="AP202" s="16">
        <f>IFERROR(VLOOKUP($AO202,costs!$A$2:$I$2905,AP$2,FALSE),0)</f>
        <v>0</v>
      </c>
      <c r="AQ202" s="16">
        <f>IFERROR(VLOOKUP($AO202,costs!$A$2:$I$2905,AQ$2,FALSE),0)</f>
        <v>0</v>
      </c>
      <c r="AR202" s="16">
        <f>IFERROR(VLOOKUP($AO202,costs!$A$2:$I$2905,AR$2,FALSE),0)</f>
        <v>0</v>
      </c>
      <c r="AS202" s="16">
        <f>IFERROR(VLOOKUP($AO202,costs!$A$2:$I$2905,AS$2,FALSE),0)</f>
        <v>0</v>
      </c>
      <c r="AT202" s="16">
        <f>IFERROR(VLOOKUP($AO202,costs!$A$2:$I$2905,AT$2,FALSE),0)</f>
        <v>0</v>
      </c>
      <c r="AU202" s="16">
        <f>IFERROR(VLOOKUP($AO202,costs!$A$2:$I$2905,AU$2,FALSE),0)</f>
        <v>0</v>
      </c>
      <c r="AV202" s="16">
        <f>IFERROR(VLOOKUP($AO202,costs!$A$2:$I$2905,AV$2,FALSE),0)</f>
        <v>0</v>
      </c>
      <c r="AW202" s="16">
        <f>IFERROR(VLOOKUP($AO202,costs!$A$2:$I$2905,AW$2,FALSE),0)</f>
        <v>0</v>
      </c>
    </row>
    <row r="203" spans="41:49" x14ac:dyDescent="0.35">
      <c r="AO203" s="273" t="s">
        <v>256</v>
      </c>
      <c r="AP203" s="16">
        <f>IFERROR(VLOOKUP($AO203,costs!$A$2:$I$2905,AP$2,FALSE),0)</f>
        <v>0</v>
      </c>
      <c r="AQ203" s="16">
        <f>IFERROR(VLOOKUP($AO203,costs!$A$2:$I$2905,AQ$2,FALSE),0)</f>
        <v>0</v>
      </c>
      <c r="AR203" s="16">
        <f>IFERROR(VLOOKUP($AO203,costs!$A$2:$I$2905,AR$2,FALSE),0)</f>
        <v>0</v>
      </c>
      <c r="AS203" s="16">
        <f>IFERROR(VLOOKUP($AO203,costs!$A$2:$I$2905,AS$2,FALSE),0)</f>
        <v>0</v>
      </c>
      <c r="AT203" s="16">
        <f>IFERROR(VLOOKUP($AO203,costs!$A$2:$I$2905,AT$2,FALSE),0)</f>
        <v>0</v>
      </c>
      <c r="AU203" s="16">
        <f>IFERROR(VLOOKUP($AO203,costs!$A$2:$I$2905,AU$2,FALSE),0)</f>
        <v>0</v>
      </c>
      <c r="AV203" s="16">
        <f>IFERROR(VLOOKUP($AO203,costs!$A$2:$I$2905,AV$2,FALSE),0)</f>
        <v>0</v>
      </c>
      <c r="AW203" s="16">
        <f>IFERROR(VLOOKUP($AO203,costs!$A$2:$I$2905,AW$2,FALSE),0)</f>
        <v>0</v>
      </c>
    </row>
    <row r="204" spans="41:49" x14ac:dyDescent="0.35">
      <c r="AO204" s="272" t="s">
        <v>257</v>
      </c>
      <c r="AP204" s="16">
        <f>IFERROR(VLOOKUP($AO204,costs!$A$2:$I$2905,AP$2,FALSE),0)</f>
        <v>0</v>
      </c>
      <c r="AQ204" s="16">
        <f>IFERROR(VLOOKUP($AO204,costs!$A$2:$I$2905,AQ$2,FALSE),0)</f>
        <v>0</v>
      </c>
      <c r="AR204" s="16">
        <f>IFERROR(VLOOKUP($AO204,costs!$A$2:$I$2905,AR$2,FALSE),0)</f>
        <v>0</v>
      </c>
      <c r="AS204" s="16">
        <f>IFERROR(VLOOKUP($AO204,costs!$A$2:$I$2905,AS$2,FALSE),0)</f>
        <v>0</v>
      </c>
      <c r="AT204" s="16">
        <f>IFERROR(VLOOKUP($AO204,costs!$A$2:$I$2905,AT$2,FALSE),0)</f>
        <v>0</v>
      </c>
      <c r="AU204" s="16">
        <f>IFERROR(VLOOKUP($AO204,costs!$A$2:$I$2905,AU$2,FALSE),0)</f>
        <v>0</v>
      </c>
      <c r="AV204" s="16">
        <f>IFERROR(VLOOKUP($AO204,costs!$A$2:$I$2905,AV$2,FALSE),0)</f>
        <v>0</v>
      </c>
      <c r="AW204" s="16">
        <f>IFERROR(VLOOKUP($AO204,costs!$A$2:$I$2905,AW$2,FALSE),0)</f>
        <v>0</v>
      </c>
    </row>
    <row r="205" spans="41:49" x14ac:dyDescent="0.35">
      <c r="AO205" s="273" t="s">
        <v>258</v>
      </c>
      <c r="AP205" s="16">
        <f>IFERROR(VLOOKUP($AO205,costs!$A$2:$I$2905,AP$2,FALSE),0)</f>
        <v>0</v>
      </c>
      <c r="AQ205" s="16">
        <f>IFERROR(VLOOKUP($AO205,costs!$A$2:$I$2905,AQ$2,FALSE),0)</f>
        <v>0</v>
      </c>
      <c r="AR205" s="16">
        <f>IFERROR(VLOOKUP($AO205,costs!$A$2:$I$2905,AR$2,FALSE),0)</f>
        <v>0</v>
      </c>
      <c r="AS205" s="16">
        <f>IFERROR(VLOOKUP($AO205,costs!$A$2:$I$2905,AS$2,FALSE),0)</f>
        <v>0</v>
      </c>
      <c r="AT205" s="16">
        <f>IFERROR(VLOOKUP($AO205,costs!$A$2:$I$2905,AT$2,FALSE),0)</f>
        <v>0</v>
      </c>
      <c r="AU205" s="16">
        <f>IFERROR(VLOOKUP($AO205,costs!$A$2:$I$2905,AU$2,FALSE),0)</f>
        <v>0</v>
      </c>
      <c r="AV205" s="16">
        <f>IFERROR(VLOOKUP($AO205,costs!$A$2:$I$2905,AV$2,FALSE),0)</f>
        <v>0</v>
      </c>
      <c r="AW205" s="16">
        <f>IFERROR(VLOOKUP($AO205,costs!$A$2:$I$2905,AW$2,FALSE),0)</f>
        <v>0</v>
      </c>
    </row>
    <row r="206" spans="41:49" x14ac:dyDescent="0.35">
      <c r="AO206" s="272" t="s">
        <v>259</v>
      </c>
      <c r="AP206" s="16">
        <f>IFERROR(VLOOKUP($AO206,costs!$A$2:$I$2905,AP$2,FALSE),0)</f>
        <v>0</v>
      </c>
      <c r="AQ206" s="16">
        <f>IFERROR(VLOOKUP($AO206,costs!$A$2:$I$2905,AQ$2,FALSE),0)</f>
        <v>0</v>
      </c>
      <c r="AR206" s="16">
        <f>IFERROR(VLOOKUP($AO206,costs!$A$2:$I$2905,AR$2,FALSE),0)</f>
        <v>0</v>
      </c>
      <c r="AS206" s="16">
        <f>IFERROR(VLOOKUP($AO206,costs!$A$2:$I$2905,AS$2,FALSE),0)</f>
        <v>0</v>
      </c>
      <c r="AT206" s="16">
        <f>IFERROR(VLOOKUP($AO206,costs!$A$2:$I$2905,AT$2,FALSE),0)</f>
        <v>0</v>
      </c>
      <c r="AU206" s="16">
        <f>IFERROR(VLOOKUP($AO206,costs!$A$2:$I$2905,AU$2,FALSE),0)</f>
        <v>0</v>
      </c>
      <c r="AV206" s="16">
        <f>IFERROR(VLOOKUP($AO206,costs!$A$2:$I$2905,AV$2,FALSE),0)</f>
        <v>0</v>
      </c>
      <c r="AW206" s="16">
        <f>IFERROR(VLOOKUP($AO206,costs!$A$2:$I$2905,AW$2,FALSE),0)</f>
        <v>0</v>
      </c>
    </row>
    <row r="207" spans="41:49" x14ac:dyDescent="0.35">
      <c r="AO207" s="278" t="s">
        <v>2182</v>
      </c>
      <c r="AP207" s="168">
        <f>SUM(AP185:AP206)</f>
        <v>0</v>
      </c>
      <c r="AQ207" s="168">
        <f t="shared" ref="AQ207:AW207" si="57">SUM(AQ185:AQ206)</f>
        <v>0</v>
      </c>
      <c r="AR207" s="168">
        <f t="shared" si="57"/>
        <v>0</v>
      </c>
      <c r="AS207" s="168">
        <f t="shared" si="57"/>
        <v>0</v>
      </c>
      <c r="AT207" s="168">
        <f t="shared" si="57"/>
        <v>0</v>
      </c>
      <c r="AU207" s="168">
        <f t="shared" si="57"/>
        <v>0</v>
      </c>
      <c r="AV207" s="168">
        <f t="shared" si="57"/>
        <v>0</v>
      </c>
      <c r="AW207" s="168">
        <f t="shared" si="57"/>
        <v>0</v>
      </c>
    </row>
    <row r="208" spans="41:49" x14ac:dyDescent="0.35">
      <c r="AO208" s="40"/>
      <c r="AP208" s="16"/>
      <c r="AQ208" s="16"/>
      <c r="AR208" s="16"/>
      <c r="AS208" s="16"/>
      <c r="AT208" s="16"/>
      <c r="AU208" s="16"/>
      <c r="AV208" s="16"/>
      <c r="AW208" s="16"/>
    </row>
    <row r="209" spans="41:49" x14ac:dyDescent="0.35">
      <c r="AO209" s="99" t="s">
        <v>1229</v>
      </c>
      <c r="AP209" s="168">
        <f t="shared" ref="AP209:AW209" si="58">AP207+AP183+AP88+AP35</f>
        <v>0</v>
      </c>
      <c r="AQ209" s="168">
        <f t="shared" si="58"/>
        <v>0</v>
      </c>
      <c r="AR209" s="168">
        <f t="shared" si="58"/>
        <v>0</v>
      </c>
      <c r="AS209" s="168">
        <f t="shared" si="58"/>
        <v>0</v>
      </c>
      <c r="AT209" s="168">
        <f t="shared" si="58"/>
        <v>0</v>
      </c>
      <c r="AU209" s="168">
        <f t="shared" si="58"/>
        <v>0</v>
      </c>
      <c r="AV209" s="168">
        <f t="shared" si="58"/>
        <v>0</v>
      </c>
      <c r="AW209" s="168">
        <f t="shared" si="58"/>
        <v>0</v>
      </c>
    </row>
    <row r="210" spans="41:49" x14ac:dyDescent="0.35">
      <c r="AO210" s="40"/>
      <c r="AP210" s="16"/>
      <c r="AQ210" s="16"/>
      <c r="AR210" s="16"/>
      <c r="AS210" s="16"/>
      <c r="AT210" s="16"/>
      <c r="AU210" s="16"/>
      <c r="AV210" s="16"/>
      <c r="AW210" s="16"/>
    </row>
    <row r="211" spans="41:49" x14ac:dyDescent="0.35">
      <c r="AO211" s="99" t="s">
        <v>1518</v>
      </c>
      <c r="AP211" s="16"/>
      <c r="AQ211" s="16"/>
      <c r="AR211" s="16"/>
      <c r="AS211" s="16"/>
      <c r="AT211" s="16"/>
      <c r="AU211" s="16"/>
      <c r="AV211" s="16"/>
      <c r="AW211" s="16"/>
    </row>
    <row r="212" spans="41:49" x14ac:dyDescent="0.35">
      <c r="AO212" s="273" t="s">
        <v>211</v>
      </c>
      <c r="AP212" s="16">
        <f>IFERROR(VLOOKUP($AO212,costs!$A$2:$I$2905,AP$2,FALSE),0)</f>
        <v>0</v>
      </c>
      <c r="AQ212" s="16">
        <f>IFERROR(VLOOKUP($AO212,costs!$A$2:$I$2905,AQ$2,FALSE),0)</f>
        <v>0</v>
      </c>
      <c r="AR212" s="16">
        <f>IFERROR(VLOOKUP($AO212,costs!$A$2:$I$2905,AR$2,FALSE),0)</f>
        <v>0</v>
      </c>
      <c r="AS212" s="16">
        <f>IFERROR(VLOOKUP($AO212,costs!$A$2:$I$2905,AS$2,FALSE),0)</f>
        <v>0</v>
      </c>
      <c r="AT212" s="16">
        <f>IFERROR(VLOOKUP($AO212,costs!$A$2:$I$2905,AT$2,FALSE),0)</f>
        <v>0</v>
      </c>
      <c r="AU212" s="16">
        <f>IFERROR(VLOOKUP($AO212,costs!$A$2:$I$2905,AU$2,FALSE),0)</f>
        <v>0</v>
      </c>
      <c r="AV212" s="16">
        <f>IFERROR(VLOOKUP($AO212,costs!$A$2:$I$2905,AV$2,FALSE),0)</f>
        <v>0</v>
      </c>
      <c r="AW212" s="16">
        <f>IFERROR(VLOOKUP($AO212,costs!$A$2:$I$2905,AW$2,FALSE),0)</f>
        <v>0</v>
      </c>
    </row>
    <row r="213" spans="41:49" x14ac:dyDescent="0.35">
      <c r="AO213" s="272" t="s">
        <v>363</v>
      </c>
      <c r="AP213" s="16">
        <f>IFERROR(VLOOKUP($AO213,costs!$A$2:$I$2905,AP$2,FALSE),0)</f>
        <v>0</v>
      </c>
      <c r="AQ213" s="16">
        <f>IFERROR(VLOOKUP($AO213,costs!$A$2:$I$2905,AQ$2,FALSE),0)</f>
        <v>0</v>
      </c>
      <c r="AR213" s="16">
        <f>IFERROR(VLOOKUP($AO213,costs!$A$2:$I$2905,AR$2,FALSE),0)</f>
        <v>0</v>
      </c>
      <c r="AS213" s="16">
        <f>IFERROR(VLOOKUP($AO213,costs!$A$2:$I$2905,AS$2,FALSE),0)</f>
        <v>0</v>
      </c>
      <c r="AT213" s="16">
        <f>IFERROR(VLOOKUP($AO213,costs!$A$2:$I$2905,AT$2,FALSE),0)</f>
        <v>0</v>
      </c>
      <c r="AU213" s="16">
        <f>IFERROR(VLOOKUP($AO213,costs!$A$2:$I$2905,AU$2,FALSE),0)</f>
        <v>0</v>
      </c>
      <c r="AV213" s="16">
        <f>IFERROR(VLOOKUP($AO213,costs!$A$2:$I$2905,AV$2,FALSE),0)</f>
        <v>0</v>
      </c>
      <c r="AW213" s="16">
        <f>IFERROR(VLOOKUP($AO213,costs!$A$2:$I$2905,AW$2,FALSE),0)</f>
        <v>0</v>
      </c>
    </row>
    <row r="214" spans="41:49" x14ac:dyDescent="0.35">
      <c r="AO214" s="273" t="s">
        <v>199</v>
      </c>
      <c r="AP214" s="16">
        <f>IFERROR(VLOOKUP($AO214,costs!$A$2:$I$2905,AP$2,FALSE),0)</f>
        <v>0</v>
      </c>
      <c r="AQ214" s="16">
        <f>IFERROR(VLOOKUP($AO214,costs!$A$2:$I$2905,AQ$2,FALSE),0)</f>
        <v>0</v>
      </c>
      <c r="AR214" s="16">
        <f>IFERROR(VLOOKUP($AO214,costs!$A$2:$I$2905,AR$2,FALSE),0)</f>
        <v>0</v>
      </c>
      <c r="AS214" s="16">
        <f>IFERROR(VLOOKUP($AO214,costs!$A$2:$I$2905,AS$2,FALSE),0)</f>
        <v>0</v>
      </c>
      <c r="AT214" s="16">
        <f>IFERROR(VLOOKUP($AO214,costs!$A$2:$I$2905,AT$2,FALSE),0)</f>
        <v>0</v>
      </c>
      <c r="AU214" s="16">
        <f>IFERROR(VLOOKUP($AO214,costs!$A$2:$I$2905,AU$2,FALSE),0)</f>
        <v>0</v>
      </c>
      <c r="AV214" s="16">
        <f>IFERROR(VLOOKUP($AO214,costs!$A$2:$I$2905,AV$2,FALSE),0)</f>
        <v>0</v>
      </c>
      <c r="AW214" s="16">
        <f>IFERROR(VLOOKUP($AO214,costs!$A$2:$I$2905,AW$2,FALSE),0)</f>
        <v>0</v>
      </c>
    </row>
    <row r="215" spans="41:49" x14ac:dyDescent="0.35">
      <c r="AO215" s="272" t="s">
        <v>281</v>
      </c>
      <c r="AP215" s="16">
        <f>IFERROR(VLOOKUP($AO215,costs!$A$2:$I$2905,AP$2,FALSE),0)</f>
        <v>0</v>
      </c>
      <c r="AQ215" s="16">
        <f>IFERROR(VLOOKUP($AO215,costs!$A$2:$I$2905,AQ$2,FALSE),0)</f>
        <v>0</v>
      </c>
      <c r="AR215" s="16">
        <f>IFERROR(VLOOKUP($AO215,costs!$A$2:$I$2905,AR$2,FALSE),0)</f>
        <v>0</v>
      </c>
      <c r="AS215" s="16">
        <f>IFERROR(VLOOKUP($AO215,costs!$A$2:$I$2905,AS$2,FALSE),0)</f>
        <v>0</v>
      </c>
      <c r="AT215" s="16">
        <f>IFERROR(VLOOKUP($AO215,costs!$A$2:$I$2905,AT$2,FALSE),0)</f>
        <v>0</v>
      </c>
      <c r="AU215" s="16">
        <f>IFERROR(VLOOKUP($AO215,costs!$A$2:$I$2905,AU$2,FALSE),0)</f>
        <v>0</v>
      </c>
      <c r="AV215" s="16">
        <f>IFERROR(VLOOKUP($AO215,costs!$A$2:$I$2905,AV$2,FALSE),0)</f>
        <v>0</v>
      </c>
      <c r="AW215" s="16">
        <f>IFERROR(VLOOKUP($AO215,costs!$A$2:$I$2905,AW$2,FALSE),0)</f>
        <v>0</v>
      </c>
    </row>
    <row r="216" spans="41:49" x14ac:dyDescent="0.35">
      <c r="AO216" s="273" t="s">
        <v>212</v>
      </c>
      <c r="AP216" s="16">
        <f>IFERROR(VLOOKUP($AO216,costs!$A$2:$I$2905,AP$2,FALSE),0)</f>
        <v>0</v>
      </c>
      <c r="AQ216" s="16">
        <f>IFERROR(VLOOKUP($AO216,costs!$A$2:$I$2905,AQ$2,FALSE),0)</f>
        <v>0</v>
      </c>
      <c r="AR216" s="16">
        <f>IFERROR(VLOOKUP($AO216,costs!$A$2:$I$2905,AR$2,FALSE),0)</f>
        <v>0</v>
      </c>
      <c r="AS216" s="16">
        <f>IFERROR(VLOOKUP($AO216,costs!$A$2:$I$2905,AS$2,FALSE),0)</f>
        <v>0</v>
      </c>
      <c r="AT216" s="16">
        <f>IFERROR(VLOOKUP($AO216,costs!$A$2:$I$2905,AT$2,FALSE),0)</f>
        <v>0</v>
      </c>
      <c r="AU216" s="16">
        <f>IFERROR(VLOOKUP($AO216,costs!$A$2:$I$2905,AU$2,FALSE),0)</f>
        <v>0</v>
      </c>
      <c r="AV216" s="16">
        <f>IFERROR(VLOOKUP($AO216,costs!$A$2:$I$2905,AV$2,FALSE),0)</f>
        <v>0</v>
      </c>
      <c r="AW216" s="16">
        <f>IFERROR(VLOOKUP($AO216,costs!$A$2:$I$2905,AW$2,FALSE),0)</f>
        <v>0</v>
      </c>
    </row>
    <row r="217" spans="41:49" x14ac:dyDescent="0.35">
      <c r="AO217" s="273" t="s">
        <v>499</v>
      </c>
      <c r="AP217" s="16">
        <f>IFERROR(VLOOKUP($AO217,costs!$A$2:$I$2905,AP$2,FALSE),0)</f>
        <v>0</v>
      </c>
      <c r="AQ217" s="16">
        <f>IFERROR(VLOOKUP($AO217,costs!$A$2:$I$2905,AQ$2,FALSE),0)</f>
        <v>0</v>
      </c>
      <c r="AR217" s="16">
        <f>IFERROR(VLOOKUP($AO217,costs!$A$2:$I$2905,AR$2,FALSE),0)</f>
        <v>0</v>
      </c>
      <c r="AS217" s="16">
        <f>IFERROR(VLOOKUP($AO217,costs!$A$2:$I$2905,AS$2,FALSE),0)</f>
        <v>0</v>
      </c>
      <c r="AT217" s="16">
        <f>IFERROR(VLOOKUP($AO217,costs!$A$2:$I$2905,AT$2,FALSE),0)</f>
        <v>0</v>
      </c>
      <c r="AU217" s="16">
        <f>IFERROR(VLOOKUP($AO217,costs!$A$2:$I$2905,AU$2,FALSE),0)</f>
        <v>0</v>
      </c>
      <c r="AV217" s="16">
        <f>IFERROR(VLOOKUP($AO217,costs!$A$2:$I$2905,AV$2,FALSE),0)</f>
        <v>0</v>
      </c>
      <c r="AW217" s="16">
        <f>IFERROR(VLOOKUP($AO217,costs!$A$2:$I$2905,AW$2,FALSE),0)</f>
        <v>0</v>
      </c>
    </row>
    <row r="218" spans="41:49" x14ac:dyDescent="0.35">
      <c r="AO218" s="273" t="s">
        <v>4221</v>
      </c>
      <c r="AP218" s="346">
        <f>IFERROR(VLOOKUP($AO218,costs!$A$2:$I$2905,AP$2,FALSE),0)</f>
        <v>0</v>
      </c>
      <c r="AQ218" s="346">
        <f>IFERROR(VLOOKUP($AO218,costs!$A$2:$I$2905,AQ$2,FALSE),0)</f>
        <v>0</v>
      </c>
      <c r="AR218" s="346">
        <f>IFERROR(VLOOKUP($AO218,costs!$A$2:$I$2905,AR$2,FALSE),0)</f>
        <v>0</v>
      </c>
      <c r="AS218" s="346">
        <f>IFERROR(VLOOKUP($AO218,costs!$A$2:$I$2905,AS$2,FALSE),0)</f>
        <v>0</v>
      </c>
      <c r="AT218" s="346">
        <f>IFERROR(VLOOKUP($AO218,costs!$A$2:$I$2905,AT$2,FALSE),0)</f>
        <v>0</v>
      </c>
      <c r="AU218" s="346">
        <f>IFERROR(VLOOKUP($AO218,costs!$A$2:$I$2905,AU$2,FALSE),0)</f>
        <v>0</v>
      </c>
      <c r="AV218" s="346">
        <f>IFERROR(VLOOKUP($AO218,costs!$A$2:$I$2905,AV$2,FALSE),0)</f>
        <v>0</v>
      </c>
      <c r="AW218" s="346">
        <f>IFERROR(VLOOKUP($AO218,costs!$A$2:$I$2905,AW$2,FALSE),0)</f>
        <v>0</v>
      </c>
    </row>
    <row r="219" spans="41:49" x14ac:dyDescent="0.35">
      <c r="AO219" s="273" t="s">
        <v>4222</v>
      </c>
      <c r="AP219" s="346">
        <f>IFERROR(VLOOKUP($AO219,costs!$A$2:$I$2905,AP$2,FALSE),0)</f>
        <v>0</v>
      </c>
      <c r="AQ219" s="346">
        <f>IFERROR(VLOOKUP($AO219,costs!$A$2:$I$2905,AQ$2,FALSE),0)</f>
        <v>0</v>
      </c>
      <c r="AR219" s="346">
        <f>IFERROR(VLOOKUP($AO219,costs!$A$2:$I$2905,AR$2,FALSE),0)</f>
        <v>0</v>
      </c>
      <c r="AS219" s="346">
        <f>IFERROR(VLOOKUP($AO219,costs!$A$2:$I$2905,AS$2,FALSE),0)</f>
        <v>0</v>
      </c>
      <c r="AT219" s="346">
        <f>IFERROR(VLOOKUP($AO219,costs!$A$2:$I$2905,AT$2,FALSE),0)</f>
        <v>0</v>
      </c>
      <c r="AU219" s="346">
        <f>IFERROR(VLOOKUP($AO219,costs!$A$2:$I$2905,AU$2,FALSE),0)</f>
        <v>0</v>
      </c>
      <c r="AV219" s="346">
        <f>IFERROR(VLOOKUP($AO219,costs!$A$2:$I$2905,AV$2,FALSE),0)</f>
        <v>0</v>
      </c>
      <c r="AW219" s="346">
        <f>IFERROR(VLOOKUP($AO219,costs!$A$2:$I$2905,AW$2,FALSE),0)</f>
        <v>0</v>
      </c>
    </row>
    <row r="220" spans="41:49" x14ac:dyDescent="0.35">
      <c r="AO220" s="273" t="s">
        <v>299</v>
      </c>
      <c r="AP220" s="16">
        <f>IFERROR(VLOOKUP($AO220,costs!$A$2:$I$2905,AP$2,FALSE),0)</f>
        <v>0</v>
      </c>
      <c r="AQ220" s="16">
        <f>IFERROR(VLOOKUP($AO220,costs!$A$2:$I$2905,AQ$2,FALSE),0)</f>
        <v>0</v>
      </c>
      <c r="AR220" s="16">
        <f>IFERROR(VLOOKUP($AO220,costs!$A$2:$I$2905,AR$2,FALSE),0)</f>
        <v>0</v>
      </c>
      <c r="AS220" s="16">
        <f>IFERROR(VLOOKUP($AO220,costs!$A$2:$I$2905,AS$2,FALSE),0)</f>
        <v>0</v>
      </c>
      <c r="AT220" s="16">
        <f>IFERROR(VLOOKUP($AO220,costs!$A$2:$I$2905,AT$2,FALSE),0)</f>
        <v>0</v>
      </c>
      <c r="AU220" s="16">
        <f>IFERROR(VLOOKUP($AO220,costs!$A$2:$I$2905,AU$2,FALSE),0)</f>
        <v>0</v>
      </c>
      <c r="AV220" s="16">
        <f>IFERROR(VLOOKUP($AO220,costs!$A$2:$I$2905,AV$2,FALSE),0)</f>
        <v>0</v>
      </c>
      <c r="AW220" s="16">
        <f>IFERROR(VLOOKUP($AO220,costs!$A$2:$I$2905,AW$2,FALSE),0)</f>
        <v>0</v>
      </c>
    </row>
    <row r="221" spans="41:49" x14ac:dyDescent="0.35">
      <c r="AO221" s="40" t="s">
        <v>2026</v>
      </c>
      <c r="AP221" s="16">
        <f>IFERROR(VLOOKUP($AO221,costs!$A$2:$I$2905,AP$2,FALSE),0)</f>
        <v>0</v>
      </c>
      <c r="AQ221" s="16">
        <f>IFERROR(VLOOKUP($AO221,costs!$A$2:$I$2905,AQ$2,FALSE),0)</f>
        <v>0</v>
      </c>
      <c r="AR221" s="16">
        <f>IFERROR(VLOOKUP($AO221,costs!$A$2:$I$2905,AR$2,FALSE),0)</f>
        <v>0</v>
      </c>
      <c r="AS221" s="16">
        <f>IFERROR(VLOOKUP($AO221,costs!$A$2:$I$2905,AS$2,FALSE),0)</f>
        <v>0</v>
      </c>
      <c r="AT221" s="16">
        <f>IFERROR(VLOOKUP($AO221,costs!$A$2:$I$2905,AT$2,FALSE),0)</f>
        <v>0</v>
      </c>
      <c r="AU221" s="16">
        <f>IFERROR(VLOOKUP($AO221,costs!$A$2:$I$2905,AU$2,FALSE),0)</f>
        <v>0</v>
      </c>
      <c r="AV221" s="16">
        <f>IFERROR(VLOOKUP($AO221,costs!$A$2:$I$2905,AV$2,FALSE),0)</f>
        <v>0</v>
      </c>
      <c r="AW221" s="16">
        <f>IFERROR(VLOOKUP($AO221,costs!$A$2:$I$2905,AW$2,FALSE),0)</f>
        <v>0</v>
      </c>
    </row>
    <row r="222" spans="41:49" x14ac:dyDescent="0.35">
      <c r="AO222" s="272" t="s">
        <v>1328</v>
      </c>
      <c r="AP222" s="16">
        <f>IFERROR(VLOOKUP($AO222,costs!$A$2:$I$2905,AP$2,FALSE),0)</f>
        <v>0</v>
      </c>
      <c r="AQ222" s="16">
        <f>IFERROR(VLOOKUP($AO222,costs!$A$2:$I$2905,AQ$2,FALSE),0)</f>
        <v>0</v>
      </c>
      <c r="AR222" s="16">
        <f>IFERROR(VLOOKUP($AO222,costs!$A$2:$I$2905,AR$2,FALSE),0)</f>
        <v>0</v>
      </c>
      <c r="AS222" s="16">
        <f>IFERROR(VLOOKUP($AO222,costs!$A$2:$I$2905,AS$2,FALSE),0)</f>
        <v>0</v>
      </c>
      <c r="AT222" s="16">
        <f>IFERROR(VLOOKUP($AO222,costs!$A$2:$I$2905,AT$2,FALSE),0)</f>
        <v>0</v>
      </c>
      <c r="AU222" s="16">
        <f>IFERROR(VLOOKUP($AO222,costs!$A$2:$I$2905,AU$2,FALSE),0)</f>
        <v>0</v>
      </c>
      <c r="AV222" s="16">
        <f>IFERROR(VLOOKUP($AO222,costs!$A$2:$I$2905,AV$2,FALSE),0)</f>
        <v>0</v>
      </c>
      <c r="AW222" s="16">
        <f>IFERROR(VLOOKUP($AO222,costs!$A$2:$I$2905,AW$2,FALSE),0)</f>
        <v>0</v>
      </c>
    </row>
    <row r="223" spans="41:49" x14ac:dyDescent="0.35">
      <c r="AO223" s="273" t="s">
        <v>1327</v>
      </c>
      <c r="AP223" s="16">
        <f>IFERROR(VLOOKUP($AO223,costs!$A$2:$I$2905,AP$2,FALSE),0)</f>
        <v>0</v>
      </c>
      <c r="AQ223" s="16">
        <f>IFERROR(VLOOKUP($AO223,costs!$A$2:$I$2905,AQ$2,FALSE),0)</f>
        <v>0</v>
      </c>
      <c r="AR223" s="16">
        <f>IFERROR(VLOOKUP($AO223,costs!$A$2:$I$2905,AR$2,FALSE),0)</f>
        <v>0</v>
      </c>
      <c r="AS223" s="16">
        <f>IFERROR(VLOOKUP($AO223,costs!$A$2:$I$2905,AS$2,FALSE),0)</f>
        <v>0</v>
      </c>
      <c r="AT223" s="16">
        <f>IFERROR(VLOOKUP($AO223,costs!$A$2:$I$2905,AT$2,FALSE),0)</f>
        <v>0</v>
      </c>
      <c r="AU223" s="16">
        <f>IFERROR(VLOOKUP($AO223,costs!$A$2:$I$2905,AU$2,FALSE),0)</f>
        <v>0</v>
      </c>
      <c r="AV223" s="16">
        <f>IFERROR(VLOOKUP($AO223,costs!$A$2:$I$2905,AV$2,FALSE),0)</f>
        <v>0</v>
      </c>
      <c r="AW223" s="16">
        <f>IFERROR(VLOOKUP($AO223,costs!$A$2:$I$2905,AW$2,FALSE),0)</f>
        <v>0</v>
      </c>
    </row>
    <row r="224" spans="41:49" x14ac:dyDescent="0.35">
      <c r="AO224" s="272" t="s">
        <v>1329</v>
      </c>
      <c r="AP224" s="16">
        <f>IFERROR(VLOOKUP($AO224,costs!$A$2:$I$2905,AP$2,FALSE),0)</f>
        <v>0</v>
      </c>
      <c r="AQ224" s="16">
        <f>IFERROR(VLOOKUP($AO224,costs!$A$2:$I$2905,AQ$2,FALSE),0)</f>
        <v>0</v>
      </c>
      <c r="AR224" s="16">
        <f>IFERROR(VLOOKUP($AO224,costs!$A$2:$I$2905,AR$2,FALSE),0)</f>
        <v>0</v>
      </c>
      <c r="AS224" s="16">
        <f>IFERROR(VLOOKUP($AO224,costs!$A$2:$I$2905,AS$2,FALSE),0)</f>
        <v>0</v>
      </c>
      <c r="AT224" s="16">
        <f>IFERROR(VLOOKUP($AO224,costs!$A$2:$I$2905,AT$2,FALSE),0)</f>
        <v>0</v>
      </c>
      <c r="AU224" s="16">
        <f>IFERROR(VLOOKUP($AO224,costs!$A$2:$I$2905,AU$2,FALSE),0)</f>
        <v>0</v>
      </c>
      <c r="AV224" s="16">
        <f>IFERROR(VLOOKUP($AO224,costs!$A$2:$I$2905,AV$2,FALSE),0)</f>
        <v>0</v>
      </c>
      <c r="AW224" s="16">
        <f>IFERROR(VLOOKUP($AO224,costs!$A$2:$I$2905,AW$2,FALSE),0)</f>
        <v>0</v>
      </c>
    </row>
    <row r="225" spans="41:49" x14ac:dyDescent="0.35">
      <c r="AO225" s="273" t="s">
        <v>514</v>
      </c>
      <c r="AP225" s="16">
        <f>IFERROR(VLOOKUP($AO225,costs!$A$2:$I$2905,AP$2,FALSE),0)</f>
        <v>0</v>
      </c>
      <c r="AQ225" s="16">
        <f>IFERROR(VLOOKUP($AO225,costs!$A$2:$I$2905,AQ$2,FALSE),0)</f>
        <v>0</v>
      </c>
      <c r="AR225" s="16">
        <f>IFERROR(VLOOKUP($AO225,costs!$A$2:$I$2905,AR$2,FALSE),0)</f>
        <v>0</v>
      </c>
      <c r="AS225" s="16">
        <f>IFERROR(VLOOKUP($AO225,costs!$A$2:$I$2905,AS$2,FALSE),0)</f>
        <v>0</v>
      </c>
      <c r="AT225" s="16">
        <f>IFERROR(VLOOKUP($AO225,costs!$A$2:$I$2905,AT$2,FALSE),0)</f>
        <v>0</v>
      </c>
      <c r="AU225" s="16">
        <f>IFERROR(VLOOKUP($AO225,costs!$A$2:$I$2905,AU$2,FALSE),0)</f>
        <v>0</v>
      </c>
      <c r="AV225" s="16">
        <f>IFERROR(VLOOKUP($AO225,costs!$A$2:$I$2905,AV$2,FALSE),0)</f>
        <v>0</v>
      </c>
      <c r="AW225" s="16">
        <f>IFERROR(VLOOKUP($AO225,costs!$A$2:$I$2905,AW$2,FALSE),0)</f>
        <v>0</v>
      </c>
    </row>
    <row r="226" spans="41:49" x14ac:dyDescent="0.35">
      <c r="AO226" s="272" t="s">
        <v>508</v>
      </c>
      <c r="AP226" s="16">
        <f>IFERROR(VLOOKUP($AO226,costs!$A$2:$I$2905,AP$2,FALSE),0)</f>
        <v>0</v>
      </c>
      <c r="AQ226" s="16">
        <f>IFERROR(VLOOKUP($AO226,costs!$A$2:$I$2905,AQ$2,FALSE),0)</f>
        <v>0</v>
      </c>
      <c r="AR226" s="16">
        <f>IFERROR(VLOOKUP($AO226,costs!$A$2:$I$2905,AR$2,FALSE),0)</f>
        <v>0</v>
      </c>
      <c r="AS226" s="16">
        <f>IFERROR(VLOOKUP($AO226,costs!$A$2:$I$2905,AS$2,FALSE),0)</f>
        <v>0</v>
      </c>
      <c r="AT226" s="16">
        <f>IFERROR(VLOOKUP($AO226,costs!$A$2:$I$2905,AT$2,FALSE),0)</f>
        <v>0</v>
      </c>
      <c r="AU226" s="16">
        <f>IFERROR(VLOOKUP($AO226,costs!$A$2:$I$2905,AU$2,FALSE),0)</f>
        <v>0</v>
      </c>
      <c r="AV226" s="16">
        <f>IFERROR(VLOOKUP($AO226,costs!$A$2:$I$2905,AV$2,FALSE),0)</f>
        <v>0</v>
      </c>
      <c r="AW226" s="16">
        <f>IFERROR(VLOOKUP($AO226,costs!$A$2:$I$2905,AW$2,FALSE),0)</f>
        <v>0</v>
      </c>
    </row>
    <row r="227" spans="41:49" x14ac:dyDescent="0.35">
      <c r="AO227" s="273" t="s">
        <v>340</v>
      </c>
      <c r="AP227" s="16">
        <f>IFERROR(VLOOKUP($AO227,costs!$A$2:$I$2905,AP$2,FALSE),0)</f>
        <v>0</v>
      </c>
      <c r="AQ227" s="16">
        <f>IFERROR(VLOOKUP($AO227,costs!$A$2:$I$2905,AQ$2,FALSE),0)</f>
        <v>0</v>
      </c>
      <c r="AR227" s="16">
        <f>IFERROR(VLOOKUP($AO227,costs!$A$2:$I$2905,AR$2,FALSE),0)</f>
        <v>0</v>
      </c>
      <c r="AS227" s="16">
        <f>IFERROR(VLOOKUP($AO227,costs!$A$2:$I$2905,AS$2,FALSE),0)</f>
        <v>0</v>
      </c>
      <c r="AT227" s="16">
        <f>IFERROR(VLOOKUP($AO227,costs!$A$2:$I$2905,AT$2,FALSE),0)</f>
        <v>0</v>
      </c>
      <c r="AU227" s="16">
        <f>IFERROR(VLOOKUP($AO227,costs!$A$2:$I$2905,AU$2,FALSE),0)</f>
        <v>0</v>
      </c>
      <c r="AV227" s="16">
        <f>IFERROR(VLOOKUP($AO227,costs!$A$2:$I$2905,AV$2,FALSE),0)</f>
        <v>0</v>
      </c>
      <c r="AW227" s="16">
        <f>IFERROR(VLOOKUP($AO227,costs!$A$2:$I$2905,AW$2,FALSE),0)</f>
        <v>0</v>
      </c>
    </row>
    <row r="228" spans="41:49" x14ac:dyDescent="0.35">
      <c r="AO228" s="272" t="s">
        <v>465</v>
      </c>
      <c r="AP228" s="16">
        <f>IFERROR(VLOOKUP($AO228,costs!$A$2:$I$2905,AP$2,FALSE),0)</f>
        <v>0</v>
      </c>
      <c r="AQ228" s="16">
        <f>IFERROR(VLOOKUP($AO228,costs!$A$2:$I$2905,AQ$2,FALSE),0)</f>
        <v>0</v>
      </c>
      <c r="AR228" s="16">
        <f>IFERROR(VLOOKUP($AO228,costs!$A$2:$I$2905,AR$2,FALSE),0)</f>
        <v>0</v>
      </c>
      <c r="AS228" s="16">
        <f>IFERROR(VLOOKUP($AO228,costs!$A$2:$I$2905,AS$2,FALSE),0)</f>
        <v>0</v>
      </c>
      <c r="AT228" s="16">
        <f>IFERROR(VLOOKUP($AO228,costs!$A$2:$I$2905,AT$2,FALSE),0)</f>
        <v>0</v>
      </c>
      <c r="AU228" s="16">
        <f>IFERROR(VLOOKUP($AO228,costs!$A$2:$I$2905,AU$2,FALSE),0)</f>
        <v>0</v>
      </c>
      <c r="AV228" s="16">
        <f>IFERROR(VLOOKUP($AO228,costs!$A$2:$I$2905,AV$2,FALSE),0)</f>
        <v>0</v>
      </c>
      <c r="AW228" s="16">
        <f>IFERROR(VLOOKUP($AO228,costs!$A$2:$I$2905,AW$2,FALSE),0)</f>
        <v>0</v>
      </c>
    </row>
    <row r="229" spans="41:49" x14ac:dyDescent="0.35">
      <c r="AO229" s="273" t="s">
        <v>443</v>
      </c>
      <c r="AP229" s="16">
        <f>IFERROR(VLOOKUP($AO229,costs!$A$2:$I$2905,AP$2,FALSE),0)</f>
        <v>0</v>
      </c>
      <c r="AQ229" s="16">
        <f>IFERROR(VLOOKUP($AO229,costs!$A$2:$I$2905,AQ$2,FALSE),0)</f>
        <v>0</v>
      </c>
      <c r="AR229" s="16">
        <f>IFERROR(VLOOKUP($AO229,costs!$A$2:$I$2905,AR$2,FALSE),0)</f>
        <v>0</v>
      </c>
      <c r="AS229" s="16">
        <f>IFERROR(VLOOKUP($AO229,costs!$A$2:$I$2905,AS$2,FALSE),0)</f>
        <v>0</v>
      </c>
      <c r="AT229" s="16">
        <f>IFERROR(VLOOKUP($AO229,costs!$A$2:$I$2905,AT$2,FALSE),0)</f>
        <v>0</v>
      </c>
      <c r="AU229" s="16">
        <f>IFERROR(VLOOKUP($AO229,costs!$A$2:$I$2905,AU$2,FALSE),0)</f>
        <v>0</v>
      </c>
      <c r="AV229" s="16">
        <f>IFERROR(VLOOKUP($AO229,costs!$A$2:$I$2905,AV$2,FALSE),0)</f>
        <v>0</v>
      </c>
      <c r="AW229" s="16">
        <f>IFERROR(VLOOKUP($AO229,costs!$A$2:$I$2905,AW$2,FALSE),0)</f>
        <v>0</v>
      </c>
    </row>
    <row r="230" spans="41:49" x14ac:dyDescent="0.35">
      <c r="AO230" s="272" t="s">
        <v>181</v>
      </c>
      <c r="AP230" s="16">
        <f>IFERROR(VLOOKUP($AO230,costs!$A$2:$I$2905,AP$2,FALSE),0)</f>
        <v>0</v>
      </c>
      <c r="AQ230" s="16">
        <f>IFERROR(VLOOKUP($AO230,costs!$A$2:$I$2905,AQ$2,FALSE),0)</f>
        <v>0</v>
      </c>
      <c r="AR230" s="16">
        <f>IFERROR(VLOOKUP($AO230,costs!$A$2:$I$2905,AR$2,FALSE),0)</f>
        <v>0</v>
      </c>
      <c r="AS230" s="16">
        <f>IFERROR(VLOOKUP($AO230,costs!$A$2:$I$2905,AS$2,FALSE),0)</f>
        <v>0</v>
      </c>
      <c r="AT230" s="16">
        <f>IFERROR(VLOOKUP($AO230,costs!$A$2:$I$2905,AT$2,FALSE),0)</f>
        <v>0</v>
      </c>
      <c r="AU230" s="16">
        <f>IFERROR(VLOOKUP($AO230,costs!$A$2:$I$2905,AU$2,FALSE),0)</f>
        <v>0</v>
      </c>
      <c r="AV230" s="16">
        <f>IFERROR(VLOOKUP($AO230,costs!$A$2:$I$2905,AV$2,FALSE),0)</f>
        <v>0</v>
      </c>
      <c r="AW230" s="16">
        <f>IFERROR(VLOOKUP($AO230,costs!$A$2:$I$2905,AW$2,FALSE),0)</f>
        <v>0</v>
      </c>
    </row>
    <row r="231" spans="41:49" x14ac:dyDescent="0.35">
      <c r="AO231" s="275" t="s">
        <v>2031</v>
      </c>
      <c r="AP231" s="168">
        <f t="shared" ref="AP231:AW231" si="59">SUM(AP212:AP230)</f>
        <v>0</v>
      </c>
      <c r="AQ231" s="168">
        <f t="shared" si="59"/>
        <v>0</v>
      </c>
      <c r="AR231" s="168">
        <f t="shared" si="59"/>
        <v>0</v>
      </c>
      <c r="AS231" s="168">
        <f t="shared" si="59"/>
        <v>0</v>
      </c>
      <c r="AT231" s="168">
        <f t="shared" si="59"/>
        <v>0</v>
      </c>
      <c r="AU231" s="168">
        <f t="shared" si="59"/>
        <v>0</v>
      </c>
      <c r="AV231" s="168">
        <f t="shared" si="59"/>
        <v>0</v>
      </c>
      <c r="AW231" s="168">
        <f t="shared" si="59"/>
        <v>0</v>
      </c>
    </row>
    <row r="232" spans="41:49" x14ac:dyDescent="0.35">
      <c r="AO232" s="40"/>
      <c r="AP232" s="92"/>
      <c r="AQ232" s="92"/>
      <c r="AR232" s="92"/>
      <c r="AS232" s="92"/>
      <c r="AT232" s="92"/>
      <c r="AU232" s="92"/>
      <c r="AV232" s="92"/>
      <c r="AW232" s="92"/>
    </row>
    <row r="233" spans="41:49" x14ac:dyDescent="0.35">
      <c r="AO233" s="99" t="s">
        <v>2178</v>
      </c>
      <c r="AP233" s="16"/>
      <c r="AQ233" s="16"/>
      <c r="AR233" s="16"/>
      <c r="AS233" s="16"/>
      <c r="AT233" s="16"/>
      <c r="AU233" s="16"/>
      <c r="AV233" s="16"/>
      <c r="AW233" s="16"/>
    </row>
    <row r="234" spans="41:49" x14ac:dyDescent="0.35">
      <c r="AO234" s="40" t="s">
        <v>25</v>
      </c>
      <c r="AP234" s="16">
        <f>IFERROR(VLOOKUP($AO234,costs!$A$2:$I$2905,AP$2,FALSE),0)</f>
        <v>0</v>
      </c>
      <c r="AQ234" s="16">
        <f>IFERROR(VLOOKUP($AO234,costs!$A$2:$I$2905,AQ$2,FALSE),0)</f>
        <v>0</v>
      </c>
      <c r="AR234" s="16">
        <f>IFERROR(VLOOKUP($AO234,costs!$A$2:$I$2905,AR$2,FALSE),0)</f>
        <v>0</v>
      </c>
      <c r="AS234" s="16">
        <f>IFERROR(VLOOKUP($AO234,costs!$A$2:$I$2905,AS$2,FALSE),0)</f>
        <v>0</v>
      </c>
      <c r="AT234" s="16">
        <f>IFERROR(VLOOKUP($AO234,costs!$A$2:$I$2905,AT$2,FALSE),0)</f>
        <v>0</v>
      </c>
      <c r="AU234" s="16">
        <f>IFERROR(VLOOKUP($AO234,costs!$A$2:$I$2905,AU$2,FALSE),0)</f>
        <v>0</v>
      </c>
      <c r="AV234" s="16">
        <f>IFERROR(VLOOKUP($AO234,costs!$A$2:$I$2905,AV$2,FALSE),0)</f>
        <v>0</v>
      </c>
      <c r="AW234" s="16">
        <f>IFERROR(VLOOKUP($AO234,costs!$A$2:$I$2905,AW$2,FALSE),0)</f>
        <v>0</v>
      </c>
    </row>
    <row r="235" spans="41:49" x14ac:dyDescent="0.35">
      <c r="AO235" s="40" t="s">
        <v>47</v>
      </c>
      <c r="AP235" s="16">
        <f>IFERROR(VLOOKUP($AO235,costs!$A$2:$I$2905,AP$2,FALSE),0)</f>
        <v>0</v>
      </c>
      <c r="AQ235" s="16">
        <f>IFERROR(VLOOKUP($AO235,costs!$A$2:$I$2905,AQ$2,FALSE),0)</f>
        <v>0</v>
      </c>
      <c r="AR235" s="16">
        <f>IFERROR(VLOOKUP($AO235,costs!$A$2:$I$2905,AR$2,FALSE),0)</f>
        <v>0</v>
      </c>
      <c r="AS235" s="16">
        <f>IFERROR(VLOOKUP($AO235,costs!$A$2:$I$2905,AS$2,FALSE),0)</f>
        <v>0</v>
      </c>
      <c r="AT235" s="16">
        <f>IFERROR(VLOOKUP($AO235,costs!$A$2:$I$2905,AT$2,FALSE),0)</f>
        <v>0</v>
      </c>
      <c r="AU235" s="16">
        <f>IFERROR(VLOOKUP($AO235,costs!$A$2:$I$2905,AU$2,FALSE),0)</f>
        <v>0</v>
      </c>
      <c r="AV235" s="16">
        <f>IFERROR(VLOOKUP($AO235,costs!$A$2:$I$2905,AV$2,FALSE),0)</f>
        <v>0</v>
      </c>
      <c r="AW235" s="16">
        <f>IFERROR(VLOOKUP($AO235,costs!$A$2:$I$2905,AW$2,FALSE),0)</f>
        <v>0</v>
      </c>
    </row>
    <row r="236" spans="41:49" x14ac:dyDescent="0.35">
      <c r="AO236" s="40" t="s">
        <v>56</v>
      </c>
      <c r="AP236" s="16">
        <f>IFERROR(VLOOKUP($AO236,costs!$A$2:$I$2905,AP$2,FALSE),0)</f>
        <v>0</v>
      </c>
      <c r="AQ236" s="16">
        <f>IFERROR(VLOOKUP($AO236,costs!$A$2:$I$2905,AQ$2,FALSE),0)</f>
        <v>0</v>
      </c>
      <c r="AR236" s="16">
        <f>IFERROR(VLOOKUP($AO236,costs!$A$2:$I$2905,AR$2,FALSE),0)</f>
        <v>0</v>
      </c>
      <c r="AS236" s="16">
        <f>IFERROR(VLOOKUP($AO236,costs!$A$2:$I$2905,AS$2,FALSE),0)</f>
        <v>0</v>
      </c>
      <c r="AT236" s="16">
        <f>IFERROR(VLOOKUP($AO236,costs!$A$2:$I$2905,AT$2,FALSE),0)</f>
        <v>0</v>
      </c>
      <c r="AU236" s="16">
        <f>IFERROR(VLOOKUP($AO236,costs!$A$2:$I$2905,AU$2,FALSE),0)</f>
        <v>0</v>
      </c>
      <c r="AV236" s="16">
        <f>IFERROR(VLOOKUP($AO236,costs!$A$2:$I$2905,AV$2,FALSE),0)</f>
        <v>0</v>
      </c>
      <c r="AW236" s="16">
        <f>IFERROR(VLOOKUP($AO236,costs!$A$2:$I$2905,AW$2,FALSE),0)</f>
        <v>0</v>
      </c>
    </row>
    <row r="237" spans="41:49" x14ac:dyDescent="0.35">
      <c r="AO237" s="40" t="s">
        <v>296</v>
      </c>
      <c r="AP237" s="16">
        <f>IFERROR(VLOOKUP($AO237,costs!$A$2:$I$2905,AP$2,FALSE),0)</f>
        <v>0</v>
      </c>
      <c r="AQ237" s="16">
        <f>IFERROR(VLOOKUP($AO237,costs!$A$2:$I$2905,AQ$2,FALSE),0)</f>
        <v>0</v>
      </c>
      <c r="AR237" s="16">
        <f>IFERROR(VLOOKUP($AO237,costs!$A$2:$I$2905,AR$2,FALSE),0)</f>
        <v>0</v>
      </c>
      <c r="AS237" s="16">
        <f>IFERROR(VLOOKUP($AO237,costs!$A$2:$I$2905,AS$2,FALSE),0)</f>
        <v>0</v>
      </c>
      <c r="AT237" s="16">
        <f>IFERROR(VLOOKUP($AO237,costs!$A$2:$I$2905,AT$2,FALSE),0)</f>
        <v>0</v>
      </c>
      <c r="AU237" s="16">
        <f>IFERROR(VLOOKUP($AO237,costs!$A$2:$I$2905,AU$2,FALSE),0)</f>
        <v>0</v>
      </c>
      <c r="AV237" s="16">
        <f>IFERROR(VLOOKUP($AO237,costs!$A$2:$I$2905,AV$2,FALSE),0)</f>
        <v>0</v>
      </c>
      <c r="AW237" s="16">
        <f>IFERROR(VLOOKUP($AO237,costs!$A$2:$I$2905,AW$2,FALSE),0)</f>
        <v>0</v>
      </c>
    </row>
    <row r="238" spans="41:49" x14ac:dyDescent="0.35">
      <c r="AO238" s="40" t="s">
        <v>286</v>
      </c>
      <c r="AP238" s="16">
        <f>IFERROR(VLOOKUP($AO238,costs!$A$2:$I$2905,AP$2,FALSE),0)</f>
        <v>0</v>
      </c>
      <c r="AQ238" s="16">
        <f>IFERROR(VLOOKUP($AO238,costs!$A$2:$I$2905,AQ$2,FALSE),0)</f>
        <v>0</v>
      </c>
      <c r="AR238" s="16">
        <f>IFERROR(VLOOKUP($AO238,costs!$A$2:$I$2905,AR$2,FALSE),0)</f>
        <v>0</v>
      </c>
      <c r="AS238" s="16">
        <f>IFERROR(VLOOKUP($AO238,costs!$A$2:$I$2905,AS$2,FALSE),0)</f>
        <v>0</v>
      </c>
      <c r="AT238" s="16">
        <f>IFERROR(VLOOKUP($AO238,costs!$A$2:$I$2905,AT$2,FALSE),0)</f>
        <v>0</v>
      </c>
      <c r="AU238" s="16">
        <f>IFERROR(VLOOKUP($AO238,costs!$A$2:$I$2905,AU$2,FALSE),0)</f>
        <v>0</v>
      </c>
      <c r="AV238" s="16">
        <f>IFERROR(VLOOKUP($AO238,costs!$A$2:$I$2905,AV$2,FALSE),0)</f>
        <v>0</v>
      </c>
      <c r="AW238" s="16">
        <f>IFERROR(VLOOKUP($AO238,costs!$A$2:$I$2905,AW$2,FALSE),0)</f>
        <v>0</v>
      </c>
    </row>
    <row r="239" spans="41:49" x14ac:dyDescent="0.35">
      <c r="AO239" s="40" t="s">
        <v>384</v>
      </c>
      <c r="AP239" s="16">
        <f>IFERROR(VLOOKUP($AO239,costs!$A$2:$I$2905,AP$2,FALSE),0)</f>
        <v>0</v>
      </c>
      <c r="AQ239" s="16">
        <f>IFERROR(VLOOKUP($AO239,costs!$A$2:$I$2905,AQ$2,FALSE),0)</f>
        <v>0</v>
      </c>
      <c r="AR239" s="16">
        <f>IFERROR(VLOOKUP($AO239,costs!$A$2:$I$2905,AR$2,FALSE),0)</f>
        <v>0</v>
      </c>
      <c r="AS239" s="16">
        <f>IFERROR(VLOOKUP($AO239,costs!$A$2:$I$2905,AS$2,FALSE),0)</f>
        <v>0</v>
      </c>
      <c r="AT239" s="16">
        <f>IFERROR(VLOOKUP($AO239,costs!$A$2:$I$2905,AT$2,FALSE),0)</f>
        <v>0</v>
      </c>
      <c r="AU239" s="16">
        <f>IFERROR(VLOOKUP($AO239,costs!$A$2:$I$2905,AU$2,FALSE),0)</f>
        <v>0</v>
      </c>
      <c r="AV239" s="16">
        <f>IFERROR(VLOOKUP($AO239,costs!$A$2:$I$2905,AV$2,FALSE),0)</f>
        <v>0</v>
      </c>
      <c r="AW239" s="16">
        <f>IFERROR(VLOOKUP($AO239,costs!$A$2:$I$2905,AW$2,FALSE),0)</f>
        <v>0</v>
      </c>
    </row>
    <row r="240" spans="41:49" x14ac:dyDescent="0.35">
      <c r="AO240" s="40" t="s">
        <v>284</v>
      </c>
      <c r="AP240" s="16">
        <f>IFERROR(VLOOKUP($AO240,costs!$A$2:$I$2905,AP$2,FALSE),0)</f>
        <v>0</v>
      </c>
      <c r="AQ240" s="16">
        <f>IFERROR(VLOOKUP($AO240,costs!$A$2:$I$2905,AQ$2,FALSE),0)</f>
        <v>0</v>
      </c>
      <c r="AR240" s="16">
        <f>IFERROR(VLOOKUP($AO240,costs!$A$2:$I$2905,AR$2,FALSE),0)</f>
        <v>0</v>
      </c>
      <c r="AS240" s="16">
        <f>IFERROR(VLOOKUP($AO240,costs!$A$2:$I$2905,AS$2,FALSE),0)</f>
        <v>0</v>
      </c>
      <c r="AT240" s="16">
        <f>IFERROR(VLOOKUP($AO240,costs!$A$2:$I$2905,AT$2,FALSE),0)</f>
        <v>0</v>
      </c>
      <c r="AU240" s="16">
        <f>IFERROR(VLOOKUP($AO240,costs!$A$2:$I$2905,AU$2,FALSE),0)</f>
        <v>0</v>
      </c>
      <c r="AV240" s="16">
        <f>IFERROR(VLOOKUP($AO240,costs!$A$2:$I$2905,AV$2,FALSE),0)</f>
        <v>0</v>
      </c>
      <c r="AW240" s="16">
        <f>IFERROR(VLOOKUP($AO240,costs!$A$2:$I$2905,AW$2,FALSE),0)</f>
        <v>0</v>
      </c>
    </row>
    <row r="241" spans="41:49" x14ac:dyDescent="0.35">
      <c r="AO241" s="40" t="s">
        <v>2079</v>
      </c>
      <c r="AP241" s="16">
        <f>IFERROR(VLOOKUP($AO241,costs!$A$2:$I$2905,AP$2,FALSE),0)</f>
        <v>0</v>
      </c>
      <c r="AQ241" s="16">
        <f>IFERROR(VLOOKUP($AO241,costs!$A$2:$I$2905,AQ$2,FALSE),0)</f>
        <v>0</v>
      </c>
      <c r="AR241" s="16">
        <f>IFERROR(VLOOKUP($AO241,costs!$A$2:$I$2905,AR$2,FALSE),0)</f>
        <v>0</v>
      </c>
      <c r="AS241" s="16">
        <f>IFERROR(VLOOKUP($AO241,costs!$A$2:$I$2905,AS$2,FALSE),0)</f>
        <v>0</v>
      </c>
      <c r="AT241" s="16">
        <f>IFERROR(VLOOKUP($AO241,costs!$A$2:$I$2905,AT$2,FALSE),0)</f>
        <v>0</v>
      </c>
      <c r="AU241" s="16">
        <f>IFERROR(VLOOKUP($AO241,costs!$A$2:$I$2905,AU$2,FALSE),0)</f>
        <v>0</v>
      </c>
      <c r="AV241" s="16">
        <f>IFERROR(VLOOKUP($AO241,costs!$A$2:$I$2905,AV$2,FALSE),0)</f>
        <v>0</v>
      </c>
      <c r="AW241" s="16">
        <f>IFERROR(VLOOKUP($AO241,costs!$A$2:$I$2905,AW$2,FALSE),0)</f>
        <v>0</v>
      </c>
    </row>
    <row r="242" spans="41:49" x14ac:dyDescent="0.35">
      <c r="AO242" s="40" t="s">
        <v>383</v>
      </c>
      <c r="AP242" s="16">
        <f>IFERROR(VLOOKUP($AO242,costs!$A$2:$I$2905,AP$2,FALSE),0)</f>
        <v>0</v>
      </c>
      <c r="AQ242" s="16">
        <f>IFERROR(VLOOKUP($AO242,costs!$A$2:$I$2905,AQ$2,FALSE),0)</f>
        <v>0</v>
      </c>
      <c r="AR242" s="16">
        <f>IFERROR(VLOOKUP($AO242,costs!$A$2:$I$2905,AR$2,FALSE),0)</f>
        <v>0</v>
      </c>
      <c r="AS242" s="16">
        <f>IFERROR(VLOOKUP($AO242,costs!$A$2:$I$2905,AS$2,FALSE),0)</f>
        <v>0</v>
      </c>
      <c r="AT242" s="16">
        <f>IFERROR(VLOOKUP($AO242,costs!$A$2:$I$2905,AT$2,FALSE),0)</f>
        <v>0</v>
      </c>
      <c r="AU242" s="16">
        <f>IFERROR(VLOOKUP($AO242,costs!$A$2:$I$2905,AU$2,FALSE),0)</f>
        <v>0</v>
      </c>
      <c r="AV242" s="16">
        <f>IFERROR(VLOOKUP($AO242,costs!$A$2:$I$2905,AV$2,FALSE),0)</f>
        <v>0</v>
      </c>
      <c r="AW242" s="16">
        <f>IFERROR(VLOOKUP($AO242,costs!$A$2:$I$2905,AW$2,FALSE),0)</f>
        <v>0</v>
      </c>
    </row>
    <row r="243" spans="41:49" x14ac:dyDescent="0.35">
      <c r="AO243" s="40" t="s">
        <v>2080</v>
      </c>
      <c r="AP243" s="16">
        <f>IFERROR(VLOOKUP($AO243,costs!$A$2:$I$2905,AP$2,FALSE),0)</f>
        <v>0</v>
      </c>
      <c r="AQ243" s="16">
        <f>IFERROR(VLOOKUP($AO243,costs!$A$2:$I$2905,AQ$2,FALSE),0)</f>
        <v>0</v>
      </c>
      <c r="AR243" s="16">
        <f>IFERROR(VLOOKUP($AO243,costs!$A$2:$I$2905,AR$2,FALSE),0)</f>
        <v>0</v>
      </c>
      <c r="AS243" s="16">
        <f>IFERROR(VLOOKUP($AO243,costs!$A$2:$I$2905,AS$2,FALSE),0)</f>
        <v>0</v>
      </c>
      <c r="AT243" s="16">
        <f>IFERROR(VLOOKUP($AO243,costs!$A$2:$I$2905,AT$2,FALSE),0)</f>
        <v>0</v>
      </c>
      <c r="AU243" s="16">
        <f>IFERROR(VLOOKUP($AO243,costs!$A$2:$I$2905,AU$2,FALSE),0)</f>
        <v>0</v>
      </c>
      <c r="AV243" s="16">
        <f>IFERROR(VLOOKUP($AO243,costs!$A$2:$I$2905,AV$2,FALSE),0)</f>
        <v>0</v>
      </c>
      <c r="AW243" s="16">
        <f>IFERROR(VLOOKUP($AO243,costs!$A$2:$I$2905,AW$2,FALSE),0)</f>
        <v>0</v>
      </c>
    </row>
    <row r="244" spans="41:49" x14ac:dyDescent="0.35">
      <c r="AO244" s="40" t="s">
        <v>24</v>
      </c>
      <c r="AP244" s="16">
        <f>IFERROR(VLOOKUP($AO244,costs!$A$2:$I$2905,AP$2,FALSE),0)</f>
        <v>0</v>
      </c>
      <c r="AQ244" s="16">
        <f>IFERROR(VLOOKUP($AO244,costs!$A$2:$I$2905,AQ$2,FALSE),0)</f>
        <v>0</v>
      </c>
      <c r="AR244" s="16">
        <f>IFERROR(VLOOKUP($AO244,costs!$A$2:$I$2905,AR$2,FALSE),0)</f>
        <v>0</v>
      </c>
      <c r="AS244" s="16">
        <f>IFERROR(VLOOKUP($AO244,costs!$A$2:$I$2905,AS$2,FALSE),0)</f>
        <v>0</v>
      </c>
      <c r="AT244" s="16">
        <f>IFERROR(VLOOKUP($AO244,costs!$A$2:$I$2905,AT$2,FALSE),0)</f>
        <v>0</v>
      </c>
      <c r="AU244" s="16">
        <f>IFERROR(VLOOKUP($AO244,costs!$A$2:$I$2905,AU$2,FALSE),0)</f>
        <v>0</v>
      </c>
      <c r="AV244" s="16">
        <f>IFERROR(VLOOKUP($AO244,costs!$A$2:$I$2905,AV$2,FALSE),0)</f>
        <v>0</v>
      </c>
      <c r="AW244" s="16">
        <f>IFERROR(VLOOKUP($AO244,costs!$A$2:$I$2905,AW$2,FALSE),0)</f>
        <v>0</v>
      </c>
    </row>
    <row r="245" spans="41:49" x14ac:dyDescent="0.35">
      <c r="AO245" s="40" t="s">
        <v>2081</v>
      </c>
      <c r="AP245" s="16">
        <f>IFERROR(VLOOKUP($AO245,costs!$A$2:$I$2905,AP$2,FALSE),0)</f>
        <v>0</v>
      </c>
      <c r="AQ245" s="16">
        <f>IFERROR(VLOOKUP($AO245,costs!$A$2:$I$2905,AQ$2,FALSE),0)</f>
        <v>0</v>
      </c>
      <c r="AR245" s="16">
        <f>IFERROR(VLOOKUP($AO245,costs!$A$2:$I$2905,AR$2,FALSE),0)</f>
        <v>0</v>
      </c>
      <c r="AS245" s="16">
        <f>IFERROR(VLOOKUP($AO245,costs!$A$2:$I$2905,AS$2,FALSE),0)</f>
        <v>0</v>
      </c>
      <c r="AT245" s="16">
        <f>IFERROR(VLOOKUP($AO245,costs!$A$2:$I$2905,AT$2,FALSE),0)</f>
        <v>0</v>
      </c>
      <c r="AU245" s="16">
        <f>IFERROR(VLOOKUP($AO245,costs!$A$2:$I$2905,AU$2,FALSE),0)</f>
        <v>0</v>
      </c>
      <c r="AV245" s="16">
        <f>IFERROR(VLOOKUP($AO245,costs!$A$2:$I$2905,AV$2,FALSE),0)</f>
        <v>0</v>
      </c>
      <c r="AW245" s="16">
        <f>IFERROR(VLOOKUP($AO245,costs!$A$2:$I$2905,AW$2,FALSE),0)</f>
        <v>0</v>
      </c>
    </row>
    <row r="246" spans="41:49" x14ac:dyDescent="0.35">
      <c r="AO246" s="40" t="s">
        <v>58</v>
      </c>
      <c r="AP246" s="16">
        <f>IFERROR(VLOOKUP($AO246,costs!$A$2:$I$2905,AP$2,FALSE),0)</f>
        <v>0</v>
      </c>
      <c r="AQ246" s="16">
        <f>IFERROR(VLOOKUP($AO246,costs!$A$2:$I$2905,AQ$2,FALSE),0)</f>
        <v>0</v>
      </c>
      <c r="AR246" s="16">
        <f>IFERROR(VLOOKUP($AO246,costs!$A$2:$I$2905,AR$2,FALSE),0)</f>
        <v>0</v>
      </c>
      <c r="AS246" s="16">
        <f>IFERROR(VLOOKUP($AO246,costs!$A$2:$I$2905,AS$2,FALSE),0)</f>
        <v>0</v>
      </c>
      <c r="AT246" s="16">
        <f>IFERROR(VLOOKUP($AO246,costs!$A$2:$I$2905,AT$2,FALSE),0)</f>
        <v>0</v>
      </c>
      <c r="AU246" s="16">
        <f>IFERROR(VLOOKUP($AO246,costs!$A$2:$I$2905,AU$2,FALSE),0)</f>
        <v>0</v>
      </c>
      <c r="AV246" s="16">
        <f>IFERROR(VLOOKUP($AO246,costs!$A$2:$I$2905,AV$2,FALSE),0)</f>
        <v>0</v>
      </c>
      <c r="AW246" s="16">
        <f>IFERROR(VLOOKUP($AO246,costs!$A$2:$I$2905,AW$2,FALSE),0)</f>
        <v>0</v>
      </c>
    </row>
    <row r="247" spans="41:49" x14ac:dyDescent="0.35">
      <c r="AO247" s="40" t="s">
        <v>2082</v>
      </c>
      <c r="AP247" s="16">
        <f>IFERROR(VLOOKUP($AO247,costs!$A$2:$I$2905,AP$2,FALSE),0)</f>
        <v>0</v>
      </c>
      <c r="AQ247" s="16">
        <f>IFERROR(VLOOKUP($AO247,costs!$A$2:$I$2905,AQ$2,FALSE),0)</f>
        <v>0</v>
      </c>
      <c r="AR247" s="16">
        <f>IFERROR(VLOOKUP($AO247,costs!$A$2:$I$2905,AR$2,FALSE),0)</f>
        <v>0</v>
      </c>
      <c r="AS247" s="16">
        <f>IFERROR(VLOOKUP($AO247,costs!$A$2:$I$2905,AS$2,FALSE),0)</f>
        <v>0</v>
      </c>
      <c r="AT247" s="16">
        <f>IFERROR(VLOOKUP($AO247,costs!$A$2:$I$2905,AT$2,FALSE),0)</f>
        <v>0</v>
      </c>
      <c r="AU247" s="16">
        <f>IFERROR(VLOOKUP($AO247,costs!$A$2:$I$2905,AU$2,FALSE),0)</f>
        <v>0</v>
      </c>
      <c r="AV247" s="16">
        <f>IFERROR(VLOOKUP($AO247,costs!$A$2:$I$2905,AV$2,FALSE),0)</f>
        <v>0</v>
      </c>
      <c r="AW247" s="16">
        <f>IFERROR(VLOOKUP($AO247,costs!$A$2:$I$2905,AW$2,FALSE),0)</f>
        <v>0</v>
      </c>
    </row>
    <row r="248" spans="41:49" x14ac:dyDescent="0.35">
      <c r="AO248" s="40" t="s">
        <v>266</v>
      </c>
      <c r="AP248" s="16">
        <f>IFERROR(VLOOKUP($AO248,costs!$A$2:$I$2905,AP$2,FALSE),0)</f>
        <v>0</v>
      </c>
      <c r="AQ248" s="16">
        <f>IFERROR(VLOOKUP($AO248,costs!$A$2:$I$2905,AQ$2,FALSE),0)</f>
        <v>0</v>
      </c>
      <c r="AR248" s="16">
        <f>IFERROR(VLOOKUP($AO248,costs!$A$2:$I$2905,AR$2,FALSE),0)</f>
        <v>0</v>
      </c>
      <c r="AS248" s="16">
        <f>IFERROR(VLOOKUP($AO248,costs!$A$2:$I$2905,AS$2,FALSE),0)</f>
        <v>0</v>
      </c>
      <c r="AT248" s="16">
        <f>IFERROR(VLOOKUP($AO248,costs!$A$2:$I$2905,AT$2,FALSE),0)</f>
        <v>0</v>
      </c>
      <c r="AU248" s="16">
        <f>IFERROR(VLOOKUP($AO248,costs!$A$2:$I$2905,AU$2,FALSE),0)</f>
        <v>0</v>
      </c>
      <c r="AV248" s="16">
        <f>IFERROR(VLOOKUP($AO248,costs!$A$2:$I$2905,AV$2,FALSE),0)</f>
        <v>0</v>
      </c>
      <c r="AW248" s="16">
        <f>IFERROR(VLOOKUP($AO248,costs!$A$2:$I$2905,AW$2,FALSE),0)</f>
        <v>0</v>
      </c>
    </row>
    <row r="249" spans="41:49" x14ac:dyDescent="0.35">
      <c r="AO249" s="40" t="s">
        <v>21</v>
      </c>
      <c r="AP249" s="16">
        <f>IFERROR(VLOOKUP($AO249,costs!$A$2:$I$2905,AP$2,FALSE),0)</f>
        <v>0</v>
      </c>
      <c r="AQ249" s="16">
        <f>IFERROR(VLOOKUP($AO249,costs!$A$2:$I$2905,AQ$2,FALSE),0)</f>
        <v>0</v>
      </c>
      <c r="AR249" s="16">
        <f>IFERROR(VLOOKUP($AO249,costs!$A$2:$I$2905,AR$2,FALSE),0)</f>
        <v>0</v>
      </c>
      <c r="AS249" s="16">
        <f>IFERROR(VLOOKUP($AO249,costs!$A$2:$I$2905,AS$2,FALSE),0)</f>
        <v>0</v>
      </c>
      <c r="AT249" s="16">
        <f>IFERROR(VLOOKUP($AO249,costs!$A$2:$I$2905,AT$2,FALSE),0)</f>
        <v>0</v>
      </c>
      <c r="AU249" s="16">
        <f>IFERROR(VLOOKUP($AO249,costs!$A$2:$I$2905,AU$2,FALSE),0)</f>
        <v>0</v>
      </c>
      <c r="AV249" s="16">
        <f>IFERROR(VLOOKUP($AO249,costs!$A$2:$I$2905,AV$2,FALSE),0)</f>
        <v>0</v>
      </c>
      <c r="AW249" s="16">
        <f>IFERROR(VLOOKUP($AO249,costs!$A$2:$I$2905,AW$2,FALSE),0)</f>
        <v>0</v>
      </c>
    </row>
    <row r="250" spans="41:49" x14ac:dyDescent="0.35">
      <c r="AO250" s="40" t="s">
        <v>19</v>
      </c>
      <c r="AP250" s="16">
        <f>IFERROR(VLOOKUP($AO250,costs!$A$2:$I$2905,AP$2,FALSE),0)</f>
        <v>0</v>
      </c>
      <c r="AQ250" s="16">
        <f>IFERROR(VLOOKUP($AO250,costs!$A$2:$I$2905,AQ$2,FALSE),0)</f>
        <v>0</v>
      </c>
      <c r="AR250" s="16">
        <f>IFERROR(VLOOKUP($AO250,costs!$A$2:$I$2905,AR$2,FALSE),0)</f>
        <v>0</v>
      </c>
      <c r="AS250" s="16">
        <f>IFERROR(VLOOKUP($AO250,costs!$A$2:$I$2905,AS$2,FALSE),0)</f>
        <v>0</v>
      </c>
      <c r="AT250" s="16">
        <f>IFERROR(VLOOKUP($AO250,costs!$A$2:$I$2905,AT$2,FALSE),0)</f>
        <v>0</v>
      </c>
      <c r="AU250" s="16">
        <f>IFERROR(VLOOKUP($AO250,costs!$A$2:$I$2905,AU$2,FALSE),0)</f>
        <v>0</v>
      </c>
      <c r="AV250" s="16">
        <f>IFERROR(VLOOKUP($AO250,costs!$A$2:$I$2905,AV$2,FALSE),0)</f>
        <v>0</v>
      </c>
      <c r="AW250" s="16">
        <f>IFERROR(VLOOKUP($AO250,costs!$A$2:$I$2905,AW$2,FALSE),0)</f>
        <v>0</v>
      </c>
    </row>
    <row r="251" spans="41:49" x14ac:dyDescent="0.35">
      <c r="AO251" s="40" t="s">
        <v>2147</v>
      </c>
      <c r="AP251" s="16">
        <f>IFERROR(VLOOKUP($AO251,costs!$A$2:$I$2905,AP$2,FALSE),0)</f>
        <v>0</v>
      </c>
      <c r="AQ251" s="346">
        <f>IFERROR(VLOOKUP($AO251,costs!$A$2:$I$2905,AQ$2,FALSE),0)</f>
        <v>0</v>
      </c>
      <c r="AR251" s="346">
        <f>IFERROR(VLOOKUP($AO251,costs!$A$2:$I$2905,AR$2,FALSE),0)</f>
        <v>0</v>
      </c>
      <c r="AS251" s="346">
        <f>IFERROR(VLOOKUP($AO251,costs!$A$2:$I$2905,AS$2,FALSE),0)</f>
        <v>0</v>
      </c>
      <c r="AT251" s="346">
        <f>IFERROR(VLOOKUP($AO251,costs!$A$2:$I$2905,AT$2,FALSE),0)</f>
        <v>0</v>
      </c>
      <c r="AU251" s="346">
        <f>IFERROR(VLOOKUP($AO251,costs!$A$2:$I$2905,AU$2,FALSE),0)</f>
        <v>0</v>
      </c>
      <c r="AV251" s="346">
        <f>IFERROR(VLOOKUP($AO251,costs!$A$2:$I$2905,AV$2,FALSE),0)</f>
        <v>0</v>
      </c>
      <c r="AW251" s="346">
        <f>IFERROR(VLOOKUP($AO251,costs!$A$2:$I$2905,AW$2,FALSE),0)</f>
        <v>0</v>
      </c>
    </row>
    <row r="252" spans="41:49" x14ac:dyDescent="0.35">
      <c r="AO252" s="899" t="s">
        <v>4111</v>
      </c>
      <c r="AP252" s="346">
        <f>IFERROR(VLOOKUP($AO252,costs!$A$2:$I$2905,AP$2,FALSE),0)</f>
        <v>0</v>
      </c>
      <c r="AQ252" s="346">
        <f>IFERROR(VLOOKUP($AO252,costs!$A$2:$I$2905,AQ$2,FALSE),0)</f>
        <v>0</v>
      </c>
      <c r="AR252" s="346">
        <f>IFERROR(VLOOKUP($AO252,costs!$A$2:$I$2905,AR$2,FALSE),0)</f>
        <v>0</v>
      </c>
      <c r="AS252" s="346">
        <f>IFERROR(VLOOKUP($AO252,costs!$A$2:$I$2905,AS$2,FALSE),0)</f>
        <v>0</v>
      </c>
      <c r="AT252" s="346">
        <f>IFERROR(VLOOKUP($AO252,costs!$A$2:$I$2905,AT$2,FALSE),0)</f>
        <v>0</v>
      </c>
      <c r="AU252" s="346">
        <f>IFERROR(VLOOKUP($AO252,costs!$A$2:$I$2905,AU$2,FALSE),0)</f>
        <v>0</v>
      </c>
      <c r="AV252" s="346">
        <f>IFERROR(VLOOKUP($AO252,costs!$A$2:$I$2905,AV$2,FALSE),0)</f>
        <v>0</v>
      </c>
      <c r="AW252" s="346">
        <f>IFERROR(VLOOKUP($AO252,costs!$A$2:$I$2905,AW$2,FALSE),0)</f>
        <v>0</v>
      </c>
    </row>
    <row r="253" spans="41:49" x14ac:dyDescent="0.35">
      <c r="AO253" s="40" t="s">
        <v>4110</v>
      </c>
      <c r="AP253" s="346">
        <f>IFERROR(VLOOKUP($AO253,costs!$A$2:$I$2905,AP$2,FALSE),0)</f>
        <v>0</v>
      </c>
      <c r="AQ253" s="346">
        <f>IFERROR(VLOOKUP($AO253,costs!$A$2:$I$2905,AQ$2,FALSE),0)</f>
        <v>0</v>
      </c>
      <c r="AR253" s="346">
        <f>IFERROR(VLOOKUP($AO253,costs!$A$2:$I$2905,AR$2,FALSE),0)</f>
        <v>0</v>
      </c>
      <c r="AS253" s="346">
        <f>IFERROR(VLOOKUP($AO253,costs!$A$2:$I$2905,AS$2,FALSE),0)</f>
        <v>0</v>
      </c>
      <c r="AT253" s="346">
        <f>IFERROR(VLOOKUP($AO253,costs!$A$2:$I$2905,AT$2,FALSE),0)</f>
        <v>0</v>
      </c>
      <c r="AU253" s="346">
        <f>IFERROR(VLOOKUP($AO253,costs!$A$2:$I$2905,AU$2,FALSE),0)</f>
        <v>0</v>
      </c>
      <c r="AV253" s="346">
        <f>IFERROR(VLOOKUP($AO253,costs!$A$2:$I$2905,AV$2,FALSE),0)</f>
        <v>0</v>
      </c>
      <c r="AW253" s="346">
        <f>IFERROR(VLOOKUP($AO253,costs!$A$2:$I$2905,AW$2,FALSE),0)</f>
        <v>0</v>
      </c>
    </row>
    <row r="254" spans="41:49" x14ac:dyDescent="0.35">
      <c r="AO254" s="40" t="s">
        <v>18</v>
      </c>
      <c r="AP254" s="16">
        <f>IFERROR(VLOOKUP($AO254,costs!$A$2:$I$2905,AP$2,FALSE),0)</f>
        <v>0</v>
      </c>
      <c r="AQ254" s="16">
        <f>IFERROR(VLOOKUP($AO254,costs!$A$2:$I$2905,AQ$2,FALSE),0)</f>
        <v>0</v>
      </c>
      <c r="AR254" s="16">
        <f>IFERROR(VLOOKUP($AO254,costs!$A$2:$I$2905,AR$2,FALSE),0)</f>
        <v>0</v>
      </c>
      <c r="AS254" s="16">
        <f>IFERROR(VLOOKUP($AO254,costs!$A$2:$I$2905,AS$2,FALSE),0)</f>
        <v>0</v>
      </c>
      <c r="AT254" s="16">
        <f>IFERROR(VLOOKUP($AO254,costs!$A$2:$I$2905,AT$2,FALSE),0)</f>
        <v>0</v>
      </c>
      <c r="AU254" s="16">
        <f>IFERROR(VLOOKUP($AO254,costs!$A$2:$I$2905,AU$2,FALSE),0)</f>
        <v>0</v>
      </c>
      <c r="AV254" s="16">
        <f>IFERROR(VLOOKUP($AO254,costs!$A$2:$I$2905,AV$2,FALSE),0)</f>
        <v>0</v>
      </c>
      <c r="AW254" s="16">
        <f>IFERROR(VLOOKUP($AO254,costs!$A$2:$I$2905,AW$2,FALSE),0)</f>
        <v>0</v>
      </c>
    </row>
    <row r="255" spans="41:49" x14ac:dyDescent="0.35">
      <c r="AO255" s="272" t="s">
        <v>511</v>
      </c>
      <c r="AP255" s="16">
        <f>IFERROR(VLOOKUP($AO255,costs!$A$2:$I$2905,AP$2,FALSE),0)</f>
        <v>0</v>
      </c>
      <c r="AQ255" s="16">
        <f>IFERROR(VLOOKUP($AO255,costs!$A$2:$I$2905,AQ$2,FALSE),0)</f>
        <v>0</v>
      </c>
      <c r="AR255" s="16">
        <f>IFERROR(VLOOKUP($AO255,costs!$A$2:$I$2905,AR$2,FALSE),0)</f>
        <v>0</v>
      </c>
      <c r="AS255" s="16">
        <f>IFERROR(VLOOKUP($AO255,costs!$A$2:$I$2905,AS$2,FALSE),0)</f>
        <v>0</v>
      </c>
      <c r="AT255" s="16">
        <f>IFERROR(VLOOKUP($AO255,costs!$A$2:$I$2905,AT$2,FALSE),0)</f>
        <v>0</v>
      </c>
      <c r="AU255" s="16">
        <f>IFERROR(VLOOKUP($AO255,costs!$A$2:$I$2905,AU$2,FALSE),0)</f>
        <v>0</v>
      </c>
      <c r="AV255" s="16">
        <f>IFERROR(VLOOKUP($AO255,costs!$A$2:$I$2905,AV$2,FALSE),0)</f>
        <v>0</v>
      </c>
      <c r="AW255" s="16">
        <f>IFERROR(VLOOKUP($AO255,costs!$A$2:$I$2905,AW$2,FALSE),0)</f>
        <v>0</v>
      </c>
    </row>
    <row r="256" spans="41:49" x14ac:dyDescent="0.35">
      <c r="AO256" s="273" t="s">
        <v>512</v>
      </c>
      <c r="AP256" s="16">
        <f>IFERROR(VLOOKUP($AO256,costs!$A$2:$I$2905,AP$2,FALSE),0)</f>
        <v>0</v>
      </c>
      <c r="AQ256" s="16">
        <f>IFERROR(VLOOKUP($AO256,costs!$A$2:$I$2905,AQ$2,FALSE),0)</f>
        <v>0</v>
      </c>
      <c r="AR256" s="16">
        <f>IFERROR(VLOOKUP($AO256,costs!$A$2:$I$2905,AR$2,FALSE),0)</f>
        <v>0</v>
      </c>
      <c r="AS256" s="16">
        <f>IFERROR(VLOOKUP($AO256,costs!$A$2:$I$2905,AS$2,FALSE),0)</f>
        <v>0</v>
      </c>
      <c r="AT256" s="16">
        <f>IFERROR(VLOOKUP($AO256,costs!$A$2:$I$2905,AT$2,FALSE),0)</f>
        <v>0</v>
      </c>
      <c r="AU256" s="16">
        <f>IFERROR(VLOOKUP($AO256,costs!$A$2:$I$2905,AU$2,FALSE),0)</f>
        <v>0</v>
      </c>
      <c r="AV256" s="16">
        <f>IFERROR(VLOOKUP($AO256,costs!$A$2:$I$2905,AV$2,FALSE),0)</f>
        <v>0</v>
      </c>
      <c r="AW256" s="16">
        <f>IFERROR(VLOOKUP($AO256,costs!$A$2:$I$2905,AW$2,FALSE),0)</f>
        <v>0</v>
      </c>
    </row>
    <row r="257" spans="41:49" x14ac:dyDescent="0.35">
      <c r="AO257" s="272" t="s">
        <v>513</v>
      </c>
      <c r="AP257" s="16">
        <f>IFERROR(VLOOKUP($AO257,costs!$A$2:$I$2905,AP$2,FALSE),0)</f>
        <v>0</v>
      </c>
      <c r="AQ257" s="16">
        <f>IFERROR(VLOOKUP($AO257,costs!$A$2:$I$2905,AQ$2,FALSE),0)</f>
        <v>0</v>
      </c>
      <c r="AR257" s="16">
        <f>IFERROR(VLOOKUP($AO257,costs!$A$2:$I$2905,AR$2,FALSE),0)</f>
        <v>0</v>
      </c>
      <c r="AS257" s="16">
        <f>IFERROR(VLOOKUP($AO257,costs!$A$2:$I$2905,AS$2,FALSE),0)</f>
        <v>0</v>
      </c>
      <c r="AT257" s="16">
        <f>IFERROR(VLOOKUP($AO257,costs!$A$2:$I$2905,AT$2,FALSE),0)</f>
        <v>0</v>
      </c>
      <c r="AU257" s="16">
        <f>IFERROR(VLOOKUP($AO257,costs!$A$2:$I$2905,AU$2,FALSE),0)</f>
        <v>0</v>
      </c>
      <c r="AV257" s="16">
        <f>IFERROR(VLOOKUP($AO257,costs!$A$2:$I$2905,AV$2,FALSE),0)</f>
        <v>0</v>
      </c>
      <c r="AW257" s="16">
        <f>IFERROR(VLOOKUP($AO257,costs!$A$2:$I$2905,AW$2,FALSE),0)</f>
        <v>0</v>
      </c>
    </row>
    <row r="258" spans="41:49" x14ac:dyDescent="0.35">
      <c r="AO258" s="273" t="s">
        <v>2108</v>
      </c>
      <c r="AP258" s="16">
        <f>IFERROR(VLOOKUP($AO258,costs!$A$2:$I$2905,AP$2,FALSE),0)</f>
        <v>0</v>
      </c>
      <c r="AQ258" s="16">
        <f>IFERROR(VLOOKUP($AO258,costs!$A$2:$I$2905,AQ$2,FALSE),0)</f>
        <v>0</v>
      </c>
      <c r="AR258" s="16">
        <f>IFERROR(VLOOKUP($AO258,costs!$A$2:$I$2905,AR$2,FALSE),0)</f>
        <v>0</v>
      </c>
      <c r="AS258" s="16">
        <f>IFERROR(VLOOKUP($AO258,costs!$A$2:$I$2905,AS$2,FALSE),0)</f>
        <v>0</v>
      </c>
      <c r="AT258" s="16">
        <f>IFERROR(VLOOKUP($AO258,costs!$A$2:$I$2905,AT$2,FALSE),0)</f>
        <v>0</v>
      </c>
      <c r="AU258" s="16">
        <f>IFERROR(VLOOKUP($AO258,costs!$A$2:$I$2905,AU$2,FALSE),0)</f>
        <v>0</v>
      </c>
      <c r="AV258" s="16">
        <f>IFERROR(VLOOKUP($AO258,costs!$A$2:$I$2905,AV$2,FALSE),0)</f>
        <v>0</v>
      </c>
      <c r="AW258" s="16">
        <f>IFERROR(VLOOKUP($AO258,costs!$A$2:$I$2905,AW$2,FALSE),0)</f>
        <v>0</v>
      </c>
    </row>
    <row r="259" spans="41:49" x14ac:dyDescent="0.35">
      <c r="AO259" s="273" t="s">
        <v>182</v>
      </c>
      <c r="AP259" s="16">
        <f>IFERROR(VLOOKUP($AO259,costs!$A$2:$I$2905,AP$2,FALSE),0)</f>
        <v>0</v>
      </c>
      <c r="AQ259" s="16">
        <f>IFERROR(VLOOKUP($AO259,costs!$A$2:$I$2905,AQ$2,FALSE),0)</f>
        <v>0</v>
      </c>
      <c r="AR259" s="16">
        <f>IFERROR(VLOOKUP($AO259,costs!$A$2:$I$2905,AR$2,FALSE),0)</f>
        <v>0</v>
      </c>
      <c r="AS259" s="16">
        <f>IFERROR(VLOOKUP($AO259,costs!$A$2:$I$2905,AS$2,FALSE),0)</f>
        <v>0</v>
      </c>
      <c r="AT259" s="16">
        <f>IFERROR(VLOOKUP($AO259,costs!$A$2:$I$2905,AT$2,FALSE),0)</f>
        <v>0</v>
      </c>
      <c r="AU259" s="16">
        <f>IFERROR(VLOOKUP($AO259,costs!$A$2:$I$2905,AU$2,FALSE),0)</f>
        <v>0</v>
      </c>
      <c r="AV259" s="16">
        <f>IFERROR(VLOOKUP($AO259,costs!$A$2:$I$2905,AV$2,FALSE),0)</f>
        <v>0</v>
      </c>
      <c r="AW259" s="16">
        <f>IFERROR(VLOOKUP($AO259,costs!$A$2:$I$2905,AW$2,FALSE),0)</f>
        <v>0</v>
      </c>
    </row>
    <row r="260" spans="41:49" x14ac:dyDescent="0.35">
      <c r="AO260" s="272" t="s">
        <v>2101</v>
      </c>
      <c r="AP260" s="16">
        <f>IFERROR(VLOOKUP($AO260,costs!$A$2:$I$2905,AP$2,FALSE),0)</f>
        <v>0</v>
      </c>
      <c r="AQ260" s="16">
        <f>IFERROR(VLOOKUP($AO260,costs!$A$2:$I$2905,AQ$2,FALSE),0)</f>
        <v>0</v>
      </c>
      <c r="AR260" s="16">
        <f>IFERROR(VLOOKUP($AO260,costs!$A$2:$I$2905,AR$2,FALSE),0)</f>
        <v>0</v>
      </c>
      <c r="AS260" s="16">
        <f>IFERROR(VLOOKUP($AO260,costs!$A$2:$I$2905,AS$2,FALSE),0)</f>
        <v>0</v>
      </c>
      <c r="AT260" s="16">
        <f>IFERROR(VLOOKUP($AO260,costs!$A$2:$I$2905,AT$2,FALSE),0)</f>
        <v>0</v>
      </c>
      <c r="AU260" s="16">
        <f>IFERROR(VLOOKUP($AO260,costs!$A$2:$I$2905,AU$2,FALSE),0)</f>
        <v>0</v>
      </c>
      <c r="AV260" s="16">
        <f>IFERROR(VLOOKUP($AO260,costs!$A$2:$I$2905,AV$2,FALSE),0)</f>
        <v>0</v>
      </c>
      <c r="AW260" s="16">
        <f>IFERROR(VLOOKUP($AO260,costs!$A$2:$I$2905,AW$2,FALSE),0)</f>
        <v>0</v>
      </c>
    </row>
    <row r="261" spans="41:49" x14ac:dyDescent="0.35">
      <c r="AO261" s="272" t="s">
        <v>459</v>
      </c>
      <c r="AP261" s="16">
        <f>IFERROR(VLOOKUP($AO261,costs!$A$2:$I$2905,AP$2,FALSE),0)</f>
        <v>0</v>
      </c>
      <c r="AQ261" s="16">
        <f>IFERROR(VLOOKUP($AO261,costs!$A$2:$I$2905,AQ$2,FALSE),0)</f>
        <v>0</v>
      </c>
      <c r="AR261" s="16">
        <f>IFERROR(VLOOKUP($AO261,costs!$A$2:$I$2905,AR$2,FALSE),0)</f>
        <v>0</v>
      </c>
      <c r="AS261" s="16">
        <f>IFERROR(VLOOKUP($AO261,costs!$A$2:$I$2905,AS$2,FALSE),0)</f>
        <v>0</v>
      </c>
      <c r="AT261" s="16">
        <f>IFERROR(VLOOKUP($AO261,costs!$A$2:$I$2905,AT$2,FALSE),0)</f>
        <v>0</v>
      </c>
      <c r="AU261" s="16">
        <f>IFERROR(VLOOKUP($AO261,costs!$A$2:$I$2905,AU$2,FALSE),0)</f>
        <v>0</v>
      </c>
      <c r="AV261" s="16">
        <f>IFERROR(VLOOKUP($AO261,costs!$A$2:$I$2905,AV$2,FALSE),0)</f>
        <v>0</v>
      </c>
      <c r="AW261" s="16">
        <f>IFERROR(VLOOKUP($AO261,costs!$A$2:$I$2905,AW$2,FALSE),0)</f>
        <v>0</v>
      </c>
    </row>
    <row r="262" spans="41:49" x14ac:dyDescent="0.35">
      <c r="AO262" s="273" t="s">
        <v>460</v>
      </c>
      <c r="AP262" s="16">
        <f>IFERROR(VLOOKUP($AO262,costs!$A$2:$I$2905,AP$2,FALSE),0)</f>
        <v>0</v>
      </c>
      <c r="AQ262" s="16">
        <f>IFERROR(VLOOKUP($AO262,costs!$A$2:$I$2905,AQ$2,FALSE),0)</f>
        <v>0</v>
      </c>
      <c r="AR262" s="16">
        <f>IFERROR(VLOOKUP($AO262,costs!$A$2:$I$2905,AR$2,FALSE),0)</f>
        <v>0</v>
      </c>
      <c r="AS262" s="16">
        <f>IFERROR(VLOOKUP($AO262,costs!$A$2:$I$2905,AS$2,FALSE),0)</f>
        <v>0</v>
      </c>
      <c r="AT262" s="16">
        <f>IFERROR(VLOOKUP($AO262,costs!$A$2:$I$2905,AT$2,FALSE),0)</f>
        <v>0</v>
      </c>
      <c r="AU262" s="16">
        <f>IFERROR(VLOOKUP($AO262,costs!$A$2:$I$2905,AU$2,FALSE),0)</f>
        <v>0</v>
      </c>
      <c r="AV262" s="16">
        <f>IFERROR(VLOOKUP($AO262,costs!$A$2:$I$2905,AV$2,FALSE),0)</f>
        <v>0</v>
      </c>
      <c r="AW262" s="16">
        <f>IFERROR(VLOOKUP($AO262,costs!$A$2:$I$2905,AW$2,FALSE),0)</f>
        <v>0</v>
      </c>
    </row>
    <row r="263" spans="41:49" x14ac:dyDescent="0.35">
      <c r="AO263" s="272" t="s">
        <v>461</v>
      </c>
      <c r="AP263" s="16">
        <f>IFERROR(VLOOKUP($AO263,costs!$A$2:$I$2905,AP$2,FALSE),0)</f>
        <v>0</v>
      </c>
      <c r="AQ263" s="16">
        <f>IFERROR(VLOOKUP($AO263,costs!$A$2:$I$2905,AQ$2,FALSE),0)</f>
        <v>0</v>
      </c>
      <c r="AR263" s="16">
        <f>IFERROR(VLOOKUP($AO263,costs!$A$2:$I$2905,AR$2,FALSE),0)</f>
        <v>0</v>
      </c>
      <c r="AS263" s="16">
        <f>IFERROR(VLOOKUP($AO263,costs!$A$2:$I$2905,AS$2,FALSE),0)</f>
        <v>0</v>
      </c>
      <c r="AT263" s="16">
        <f>IFERROR(VLOOKUP($AO263,costs!$A$2:$I$2905,AT$2,FALSE),0)</f>
        <v>0</v>
      </c>
      <c r="AU263" s="16">
        <f>IFERROR(VLOOKUP($AO263,costs!$A$2:$I$2905,AU$2,FALSE),0)</f>
        <v>0</v>
      </c>
      <c r="AV263" s="16">
        <f>IFERROR(VLOOKUP($AO263,costs!$A$2:$I$2905,AV$2,FALSE),0)</f>
        <v>0</v>
      </c>
      <c r="AW263" s="16">
        <f>IFERROR(VLOOKUP($AO263,costs!$A$2:$I$2905,AW$2,FALSE),0)</f>
        <v>0</v>
      </c>
    </row>
    <row r="264" spans="41:49" x14ac:dyDescent="0.35">
      <c r="AO264" s="272" t="s">
        <v>414</v>
      </c>
      <c r="AP264" s="16">
        <f>IFERROR(VLOOKUP($AO264,costs!$A$2:$I$2905,AP$2,FALSE),0)</f>
        <v>0</v>
      </c>
      <c r="AQ264" s="16">
        <f>IFERROR(VLOOKUP($AO264,costs!$A$2:$I$2905,AQ$2,FALSE),0)</f>
        <v>0</v>
      </c>
      <c r="AR264" s="16">
        <f>IFERROR(VLOOKUP($AO264,costs!$A$2:$I$2905,AR$2,FALSE),0)</f>
        <v>0</v>
      </c>
      <c r="AS264" s="16">
        <f>IFERROR(VLOOKUP($AO264,costs!$A$2:$I$2905,AS$2,FALSE),0)</f>
        <v>0</v>
      </c>
      <c r="AT264" s="16">
        <f>IFERROR(VLOOKUP($AO264,costs!$A$2:$I$2905,AT$2,FALSE),0)</f>
        <v>0</v>
      </c>
      <c r="AU264" s="16">
        <f>IFERROR(VLOOKUP($AO264,costs!$A$2:$I$2905,AU$2,FALSE),0)</f>
        <v>0</v>
      </c>
      <c r="AV264" s="16">
        <f>IFERROR(VLOOKUP($AO264,costs!$A$2:$I$2905,AV$2,FALSE),0)</f>
        <v>0</v>
      </c>
      <c r="AW264" s="16">
        <f>IFERROR(VLOOKUP($AO264,costs!$A$2:$I$2905,AW$2,FALSE),0)</f>
        <v>0</v>
      </c>
    </row>
    <row r="265" spans="41:49" x14ac:dyDescent="0.35">
      <c r="AO265" s="273" t="s">
        <v>2110</v>
      </c>
      <c r="AP265" s="16">
        <f>IFERROR(VLOOKUP($AO265,costs!$A$2:$I$2905,AP$2,FALSE),0)</f>
        <v>0</v>
      </c>
      <c r="AQ265" s="16">
        <f>IFERROR(VLOOKUP($AO265,costs!$A$2:$I$2905,AQ$2,FALSE),0)</f>
        <v>0</v>
      </c>
      <c r="AR265" s="16">
        <f>IFERROR(VLOOKUP($AO265,costs!$A$2:$I$2905,AR$2,FALSE),0)</f>
        <v>0</v>
      </c>
      <c r="AS265" s="16">
        <f>IFERROR(VLOOKUP($AO265,costs!$A$2:$I$2905,AS$2,FALSE),0)</f>
        <v>0</v>
      </c>
      <c r="AT265" s="16">
        <f>IFERROR(VLOOKUP($AO265,costs!$A$2:$I$2905,AT$2,FALSE),0)</f>
        <v>0</v>
      </c>
      <c r="AU265" s="16">
        <f>IFERROR(VLOOKUP($AO265,costs!$A$2:$I$2905,AU$2,FALSE),0)</f>
        <v>0</v>
      </c>
      <c r="AV265" s="16">
        <f>IFERROR(VLOOKUP($AO265,costs!$A$2:$I$2905,AV$2,FALSE),0)</f>
        <v>0</v>
      </c>
      <c r="AW265" s="16">
        <f>IFERROR(VLOOKUP($AO265,costs!$A$2:$I$2905,AW$2,FALSE),0)</f>
        <v>0</v>
      </c>
    </row>
    <row r="266" spans="41:49" x14ac:dyDescent="0.35">
      <c r="AO266" s="272" t="s">
        <v>413</v>
      </c>
      <c r="AP266" s="16">
        <f>IFERROR(VLOOKUP($AO266,costs!$A$2:$I$2905,AP$2,FALSE),0)</f>
        <v>0</v>
      </c>
      <c r="AQ266" s="16">
        <f>IFERROR(VLOOKUP($AO266,costs!$A$2:$I$2905,AQ$2,FALSE),0)</f>
        <v>0</v>
      </c>
      <c r="AR266" s="16">
        <f>IFERROR(VLOOKUP($AO266,costs!$A$2:$I$2905,AR$2,FALSE),0)</f>
        <v>0</v>
      </c>
      <c r="AS266" s="16">
        <f>IFERROR(VLOOKUP($AO266,costs!$A$2:$I$2905,AS$2,FALSE),0)</f>
        <v>0</v>
      </c>
      <c r="AT266" s="16">
        <f>IFERROR(VLOOKUP($AO266,costs!$A$2:$I$2905,AT$2,FALSE),0)</f>
        <v>0</v>
      </c>
      <c r="AU266" s="16">
        <f>IFERROR(VLOOKUP($AO266,costs!$A$2:$I$2905,AU$2,FALSE),0)</f>
        <v>0</v>
      </c>
      <c r="AV266" s="16">
        <f>IFERROR(VLOOKUP($AO266,costs!$A$2:$I$2905,AV$2,FALSE),0)</f>
        <v>0</v>
      </c>
      <c r="AW266" s="16">
        <f>IFERROR(VLOOKUP($AO266,costs!$A$2:$I$2905,AW$2,FALSE),0)</f>
        <v>0</v>
      </c>
    </row>
    <row r="267" spans="41:49" x14ac:dyDescent="0.35">
      <c r="AO267" s="273" t="s">
        <v>2111</v>
      </c>
      <c r="AP267" s="16">
        <f>IFERROR(VLOOKUP($AO267,costs!$A$2:$I$2905,AP$2,FALSE),0)</f>
        <v>0</v>
      </c>
      <c r="AQ267" s="16">
        <f>IFERROR(VLOOKUP($AO267,costs!$A$2:$I$2905,AQ$2,FALSE),0)</f>
        <v>0</v>
      </c>
      <c r="AR267" s="16">
        <f>IFERROR(VLOOKUP($AO267,costs!$A$2:$I$2905,AR$2,FALSE),0)</f>
        <v>0</v>
      </c>
      <c r="AS267" s="16">
        <f>IFERROR(VLOOKUP($AO267,costs!$A$2:$I$2905,AS$2,FALSE),0)</f>
        <v>0</v>
      </c>
      <c r="AT267" s="16">
        <f>IFERROR(VLOOKUP($AO267,costs!$A$2:$I$2905,AT$2,FALSE),0)</f>
        <v>0</v>
      </c>
      <c r="AU267" s="16">
        <f>IFERROR(VLOOKUP($AO267,costs!$A$2:$I$2905,AU$2,FALSE),0)</f>
        <v>0</v>
      </c>
      <c r="AV267" s="16">
        <f>IFERROR(VLOOKUP($AO267,costs!$A$2:$I$2905,AV$2,FALSE),0)</f>
        <v>0</v>
      </c>
      <c r="AW267" s="16">
        <f>IFERROR(VLOOKUP($AO267,costs!$A$2:$I$2905,AW$2,FALSE),0)</f>
        <v>0</v>
      </c>
    </row>
    <row r="268" spans="41:49" x14ac:dyDescent="0.35">
      <c r="AO268" s="272" t="s">
        <v>416</v>
      </c>
      <c r="AP268" s="16">
        <f>IFERROR(VLOOKUP($AO268,costs!$A$2:$I$2905,AP$2,FALSE),0)</f>
        <v>0</v>
      </c>
      <c r="AQ268" s="16">
        <f>IFERROR(VLOOKUP($AO268,costs!$A$2:$I$2905,AQ$2,FALSE),0)</f>
        <v>0</v>
      </c>
      <c r="AR268" s="16">
        <f>IFERROR(VLOOKUP($AO268,costs!$A$2:$I$2905,AR$2,FALSE),0)</f>
        <v>0</v>
      </c>
      <c r="AS268" s="16">
        <f>IFERROR(VLOOKUP($AO268,costs!$A$2:$I$2905,AS$2,FALSE),0)</f>
        <v>0</v>
      </c>
      <c r="AT268" s="16">
        <f>IFERROR(VLOOKUP($AO268,costs!$A$2:$I$2905,AT$2,FALSE),0)</f>
        <v>0</v>
      </c>
      <c r="AU268" s="16">
        <f>IFERROR(VLOOKUP($AO268,costs!$A$2:$I$2905,AU$2,FALSE),0)</f>
        <v>0</v>
      </c>
      <c r="AV268" s="16">
        <f>IFERROR(VLOOKUP($AO268,costs!$A$2:$I$2905,AV$2,FALSE),0)</f>
        <v>0</v>
      </c>
      <c r="AW268" s="16">
        <f>IFERROR(VLOOKUP($AO268,costs!$A$2:$I$2905,AW$2,FALSE),0)</f>
        <v>0</v>
      </c>
    </row>
    <row r="269" spans="41:49" x14ac:dyDescent="0.35">
      <c r="AO269" s="275" t="s">
        <v>2031</v>
      </c>
      <c r="AP269" s="102">
        <f>SUM(AP234:AP268)</f>
        <v>0</v>
      </c>
      <c r="AQ269" s="102">
        <f t="shared" ref="AQ269:AW269" si="60">SUM(AQ234:AQ268)</f>
        <v>0</v>
      </c>
      <c r="AR269" s="102">
        <f t="shared" si="60"/>
        <v>0</v>
      </c>
      <c r="AS269" s="102">
        <f t="shared" si="60"/>
        <v>0</v>
      </c>
      <c r="AT269" s="102">
        <f t="shared" si="60"/>
        <v>0</v>
      </c>
      <c r="AU269" s="102">
        <f t="shared" si="60"/>
        <v>0</v>
      </c>
      <c r="AV269" s="102">
        <f t="shared" si="60"/>
        <v>0</v>
      </c>
      <c r="AW269" s="102">
        <f t="shared" si="60"/>
        <v>0</v>
      </c>
    </row>
    <row r="270" spans="41:49" ht="15" thickBot="1" x14ac:dyDescent="0.4">
      <c r="AO270" s="979" t="s">
        <v>4038</v>
      </c>
      <c r="AP270" s="77">
        <f>SUM(AP234:AP235,AP237:AP245,AP250:AP252,AP264:AP265,AP268)</f>
        <v>0</v>
      </c>
      <c r="AQ270" s="77">
        <f t="shared" ref="AQ270:AW270" si="61">SUM(AQ234:AQ235,AQ237:AQ245,AQ250:AQ252,AQ264:AQ265,AQ268)</f>
        <v>0</v>
      </c>
      <c r="AR270" s="77">
        <f t="shared" si="61"/>
        <v>0</v>
      </c>
      <c r="AS270" s="77">
        <f t="shared" si="61"/>
        <v>0</v>
      </c>
      <c r="AT270" s="77">
        <f t="shared" si="61"/>
        <v>0</v>
      </c>
      <c r="AU270" s="77">
        <f t="shared" si="61"/>
        <v>0</v>
      </c>
      <c r="AV270" s="77">
        <f t="shared" si="61"/>
        <v>0</v>
      </c>
      <c r="AW270" s="77">
        <f t="shared" si="61"/>
        <v>0</v>
      </c>
    </row>
    <row r="271" spans="41:49" x14ac:dyDescent="0.35">
      <c r="AO271" s="275" t="s">
        <v>4039</v>
      </c>
      <c r="AP271">
        <f>AP269-AP270</f>
        <v>0</v>
      </c>
      <c r="AQ271" s="853">
        <f t="shared" ref="AQ271:AW271" si="62">AQ269-AQ270</f>
        <v>0</v>
      </c>
      <c r="AR271" s="853">
        <f t="shared" si="62"/>
        <v>0</v>
      </c>
      <c r="AS271" s="853">
        <f t="shared" si="62"/>
        <v>0</v>
      </c>
      <c r="AT271" s="853">
        <f t="shared" si="62"/>
        <v>0</v>
      </c>
      <c r="AU271" s="853">
        <f t="shared" si="62"/>
        <v>0</v>
      </c>
      <c r="AV271" s="853">
        <f t="shared" si="62"/>
        <v>0</v>
      </c>
      <c r="AW271" s="853">
        <f t="shared" si="62"/>
        <v>0</v>
      </c>
    </row>
  </sheetData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2448C-AD9B-49DE-B8F3-C2C085381A7A}">
  <sheetPr>
    <tabColor theme="1"/>
  </sheetPr>
  <dimension ref="A1:BG272"/>
  <sheetViews>
    <sheetView topLeftCell="A118" zoomScaleNormal="100" workbookViewId="0">
      <selection activeCell="C12" sqref="C12:H12"/>
    </sheetView>
  </sheetViews>
  <sheetFormatPr baseColWidth="10" defaultColWidth="11.453125" defaultRowHeight="14.5" x14ac:dyDescent="0.35"/>
  <cols>
    <col min="1" max="1" width="17.54296875" style="900" bestFit="1" customWidth="1"/>
    <col min="2" max="2" width="23.453125" style="900" bestFit="1" customWidth="1"/>
    <col min="3" max="6" width="11.453125" style="900"/>
    <col min="7" max="7" width="20.08984375" style="900" customWidth="1"/>
    <col min="8" max="10" width="11.453125" style="900"/>
    <col min="11" max="11" width="22.81640625" style="900" bestFit="1" customWidth="1"/>
    <col min="12" max="12" width="12.453125" style="900" bestFit="1" customWidth="1"/>
    <col min="13" max="20" width="11.453125" style="900"/>
    <col min="21" max="21" width="27.81640625" style="900" customWidth="1"/>
    <col min="22" max="22" width="12.453125" style="900" bestFit="1" customWidth="1"/>
    <col min="23" max="30" width="11.453125" style="900"/>
    <col min="31" max="31" width="32.81640625" style="900" bestFit="1" customWidth="1"/>
    <col min="32" max="32" width="12.453125" style="900" bestFit="1" customWidth="1"/>
    <col min="33" max="40" width="11.453125" style="900"/>
    <col min="41" max="41" width="28.54296875" style="900" bestFit="1" customWidth="1"/>
    <col min="42" max="42" width="12.453125" style="900" bestFit="1" customWidth="1"/>
    <col min="43" max="50" width="11.453125" style="900"/>
    <col min="51" max="51" width="28.81640625" style="900" bestFit="1" customWidth="1"/>
    <col min="52" max="52" width="12.453125" style="900" bestFit="1" customWidth="1"/>
    <col min="53" max="16384" width="11.453125" style="900"/>
  </cols>
  <sheetData>
    <row r="1" spans="1:59" ht="15" thickBot="1" x14ac:dyDescent="0.4"/>
    <row r="2" spans="1:59" x14ac:dyDescent="0.35">
      <c r="A2" s="133" t="s">
        <v>2555</v>
      </c>
      <c r="B2" s="89">
        <v>2</v>
      </c>
      <c r="C2" s="89">
        <v>3</v>
      </c>
      <c r="D2" s="89">
        <v>4</v>
      </c>
      <c r="E2" s="89">
        <v>5</v>
      </c>
      <c r="F2" s="89">
        <v>6</v>
      </c>
      <c r="G2" s="89">
        <v>7</v>
      </c>
      <c r="H2" s="89">
        <v>8</v>
      </c>
      <c r="I2" s="89">
        <v>9</v>
      </c>
      <c r="K2" s="91" t="s">
        <v>1313</v>
      </c>
      <c r="L2" s="89">
        <v>2</v>
      </c>
      <c r="M2" s="89">
        <v>3</v>
      </c>
      <c r="N2" s="89">
        <v>4</v>
      </c>
      <c r="O2" s="89">
        <v>5</v>
      </c>
      <c r="P2" s="89">
        <v>6</v>
      </c>
      <c r="Q2" s="89">
        <v>7</v>
      </c>
      <c r="R2" s="89">
        <v>8</v>
      </c>
      <c r="S2" s="89">
        <v>9</v>
      </c>
      <c r="U2" s="91" t="s">
        <v>2029</v>
      </c>
      <c r="V2" s="89">
        <v>2</v>
      </c>
      <c r="W2" s="89">
        <v>3</v>
      </c>
      <c r="X2" s="89">
        <v>4</v>
      </c>
      <c r="Y2" s="89">
        <v>5</v>
      </c>
      <c r="Z2" s="89">
        <v>6</v>
      </c>
      <c r="AA2" s="89">
        <v>7</v>
      </c>
      <c r="AB2" s="89">
        <v>8</v>
      </c>
      <c r="AC2" s="89">
        <v>9</v>
      </c>
      <c r="AE2" s="91" t="s">
        <v>1314</v>
      </c>
      <c r="AF2" s="89">
        <v>2</v>
      </c>
      <c r="AG2" s="89">
        <v>3</v>
      </c>
      <c r="AH2" s="89">
        <v>4</v>
      </c>
      <c r="AI2" s="89">
        <v>5</v>
      </c>
      <c r="AJ2" s="89">
        <v>6</v>
      </c>
      <c r="AK2" s="89">
        <v>7</v>
      </c>
      <c r="AL2" s="89">
        <v>8</v>
      </c>
      <c r="AM2" s="89">
        <v>9</v>
      </c>
      <c r="AO2" s="91" t="s">
        <v>2028</v>
      </c>
      <c r="AP2" s="89">
        <v>2</v>
      </c>
      <c r="AQ2" s="89">
        <v>3</v>
      </c>
      <c r="AR2" s="89">
        <v>4</v>
      </c>
      <c r="AS2" s="89">
        <v>5</v>
      </c>
      <c r="AT2" s="89">
        <v>6</v>
      </c>
      <c r="AU2" s="89">
        <v>7</v>
      </c>
      <c r="AV2" s="89">
        <v>8</v>
      </c>
      <c r="AW2" s="89">
        <v>9</v>
      </c>
      <c r="AY2" s="91" t="s">
        <v>2030</v>
      </c>
      <c r="AZ2" s="89">
        <v>2</v>
      </c>
      <c r="BA2" s="89">
        <v>3</v>
      </c>
      <c r="BB2" s="89">
        <v>4</v>
      </c>
      <c r="BC2" s="89">
        <v>5</v>
      </c>
      <c r="BD2" s="89">
        <v>6</v>
      </c>
      <c r="BE2" s="89">
        <v>7</v>
      </c>
      <c r="BF2" s="89">
        <v>8</v>
      </c>
      <c r="BG2" s="89">
        <v>9</v>
      </c>
    </row>
    <row r="3" spans="1:59" x14ac:dyDescent="0.35">
      <c r="B3" s="133" t="s">
        <v>1417</v>
      </c>
      <c r="C3" s="133">
        <v>2020</v>
      </c>
      <c r="D3" s="133">
        <v>2025</v>
      </c>
      <c r="E3" s="133">
        <v>2030</v>
      </c>
      <c r="F3" s="133">
        <v>2035</v>
      </c>
      <c r="G3" s="133">
        <v>2040</v>
      </c>
      <c r="H3" s="133">
        <v>2045</v>
      </c>
      <c r="I3" s="133">
        <v>2050</v>
      </c>
      <c r="J3" s="900" t="s">
        <v>4054</v>
      </c>
      <c r="K3" s="40"/>
      <c r="L3" s="133" t="s">
        <v>1417</v>
      </c>
      <c r="M3" s="133">
        <v>2020</v>
      </c>
      <c r="N3" s="133">
        <v>2025</v>
      </c>
      <c r="O3" s="133">
        <v>2030</v>
      </c>
      <c r="P3" s="133">
        <v>2035</v>
      </c>
      <c r="Q3" s="133">
        <v>2040</v>
      </c>
      <c r="R3" s="133">
        <v>2045</v>
      </c>
      <c r="S3" s="133">
        <v>2050</v>
      </c>
      <c r="U3" s="40"/>
      <c r="V3" s="133" t="s">
        <v>1417</v>
      </c>
      <c r="W3" s="133">
        <v>2020</v>
      </c>
      <c r="X3" s="133">
        <v>2025</v>
      </c>
      <c r="Y3" s="133">
        <v>2030</v>
      </c>
      <c r="Z3" s="133">
        <v>2035</v>
      </c>
      <c r="AA3" s="133">
        <v>2040</v>
      </c>
      <c r="AB3" s="133">
        <v>2045</v>
      </c>
      <c r="AC3" s="133">
        <v>2050</v>
      </c>
      <c r="AE3" s="40"/>
      <c r="AF3" s="133" t="s">
        <v>1417</v>
      </c>
      <c r="AG3" s="133">
        <v>2020</v>
      </c>
      <c r="AH3" s="133">
        <v>2025</v>
      </c>
      <c r="AI3" s="133">
        <v>2030</v>
      </c>
      <c r="AJ3" s="133">
        <v>2035</v>
      </c>
      <c r="AK3" s="133">
        <v>2040</v>
      </c>
      <c r="AL3" s="133">
        <v>2045</v>
      </c>
      <c r="AM3" s="133">
        <v>2050</v>
      </c>
      <c r="AO3" s="99" t="s">
        <v>2179</v>
      </c>
      <c r="AP3" s="133" t="s">
        <v>1417</v>
      </c>
      <c r="AQ3" s="133">
        <v>2020</v>
      </c>
      <c r="AR3" s="133">
        <v>2025</v>
      </c>
      <c r="AS3" s="133">
        <v>2030</v>
      </c>
      <c r="AT3" s="133">
        <v>2035</v>
      </c>
      <c r="AU3" s="133">
        <v>2040</v>
      </c>
      <c r="AV3" s="133">
        <v>2045</v>
      </c>
      <c r="AW3" s="133">
        <v>2050</v>
      </c>
      <c r="AY3" s="40"/>
      <c r="AZ3" s="133" t="s">
        <v>1417</v>
      </c>
      <c r="BA3" s="133">
        <v>2020</v>
      </c>
      <c r="BB3" s="133">
        <v>2025</v>
      </c>
      <c r="BC3" s="133">
        <v>2030</v>
      </c>
      <c r="BD3" s="133">
        <v>2035</v>
      </c>
      <c r="BE3" s="133">
        <v>2040</v>
      </c>
      <c r="BF3" s="133">
        <v>2045</v>
      </c>
      <c r="BG3" s="133">
        <v>2050</v>
      </c>
    </row>
    <row r="4" spans="1:59" x14ac:dyDescent="0.35">
      <c r="A4" s="900" t="s">
        <v>1313</v>
      </c>
      <c r="B4" s="900">
        <f>L36</f>
        <v>0</v>
      </c>
      <c r="C4" s="900">
        <f>M36</f>
        <v>0</v>
      </c>
      <c r="D4" s="900">
        <f t="shared" ref="D4:I4" si="0">N36</f>
        <v>0</v>
      </c>
      <c r="E4" s="900">
        <f t="shared" si="0"/>
        <v>0</v>
      </c>
      <c r="F4" s="900">
        <f t="shared" si="0"/>
        <v>0</v>
      </c>
      <c r="G4" s="900">
        <f t="shared" si="0"/>
        <v>0</v>
      </c>
      <c r="H4" s="900">
        <f t="shared" si="0"/>
        <v>0</v>
      </c>
      <c r="I4" s="900">
        <f t="shared" si="0"/>
        <v>0</v>
      </c>
      <c r="K4" s="268" t="s">
        <v>176</v>
      </c>
      <c r="L4" s="372">
        <f>IFERROR(VLOOKUP($K4,costs!$A$2:$I$2905,L$2,FALSE),0)</f>
        <v>0</v>
      </c>
      <c r="M4" s="372">
        <f>IFERROR(VLOOKUP($K4,costs!$A$2:$I$2905,M$2,FALSE),0)</f>
        <v>0</v>
      </c>
      <c r="N4" s="372">
        <f>IFERROR(VLOOKUP($K4,costs!$A$2:$I$2905,N$2,FALSE),0)</f>
        <v>0</v>
      </c>
      <c r="O4" s="372">
        <f>IFERROR(VLOOKUP($K4,costs!$A$2:$I$2905,O$2,FALSE),0)</f>
        <v>0</v>
      </c>
      <c r="P4" s="372">
        <f>IFERROR(VLOOKUP($K4,costs!$A$2:$I$2905,P$2,FALSE),0)</f>
        <v>0</v>
      </c>
      <c r="Q4" s="372">
        <f>IFERROR(VLOOKUP($K4,costs!$A$2:$I$2905,Q$2,FALSE),0)</f>
        <v>0</v>
      </c>
      <c r="R4" s="372">
        <f>IFERROR(VLOOKUP($K4,costs!$A$2:$I$2905,R$2,FALSE),0)</f>
        <v>0</v>
      </c>
      <c r="S4" s="372">
        <f>IFERROR(VLOOKUP($K4,costs!$A$2:$I$2905,S$2,FALSE),0)</f>
        <v>0</v>
      </c>
      <c r="U4" s="40" t="s">
        <v>2032</v>
      </c>
      <c r="V4" s="372">
        <f>IFERROR(VLOOKUP($U4,costs!$A$2:$I$2905,V$2,FALSE),0)</f>
        <v>0</v>
      </c>
      <c r="W4" s="372">
        <f>IFERROR(VLOOKUP($U4,costs!$A$2:$I$2905,W$2,FALSE),0)</f>
        <v>0</v>
      </c>
      <c r="X4" s="372">
        <f>IFERROR(VLOOKUP($U4,costs!$A$2:$I$2905,X$2,FALSE),0)</f>
        <v>0</v>
      </c>
      <c r="Y4" s="372">
        <f>IFERROR(VLOOKUP($U4,costs!$A$2:$I$2905,Y$2,FALSE),0)</f>
        <v>0</v>
      </c>
      <c r="Z4" s="372">
        <f>IFERROR(VLOOKUP($U4,costs!$A$2:$I$2905,Z$2,FALSE),0)</f>
        <v>0</v>
      </c>
      <c r="AA4" s="372">
        <f>IFERROR(VLOOKUP($U4,costs!$A$2:$I$2905,AA$2,FALSE),0)</f>
        <v>0</v>
      </c>
      <c r="AB4" s="372">
        <f>IFERROR(VLOOKUP($U4,costs!$A$2:$I$2905,AB$2,FALSE),0)</f>
        <v>0</v>
      </c>
      <c r="AC4" s="372">
        <f>IFERROR(VLOOKUP($U4,costs!$A$2:$I$2905,AC$2,FALSE),0)</f>
        <v>0</v>
      </c>
      <c r="AE4" s="40" t="s">
        <v>265</v>
      </c>
      <c r="AF4" s="372">
        <f>IFERROR(VLOOKUP($AE4,costs!$A$2:$I$2905,AF$2,FALSE),0)</f>
        <v>0</v>
      </c>
      <c r="AG4" s="372">
        <f>IFERROR(VLOOKUP($AE4,costs!$A$2:$I$2905,AG$2,FALSE),0)</f>
        <v>0</v>
      </c>
      <c r="AH4" s="372">
        <f>IFERROR(VLOOKUP($AE4,costs!$A$2:$I$2905,AH$2,FALSE),0)</f>
        <v>0</v>
      </c>
      <c r="AI4" s="372">
        <f>IFERROR(VLOOKUP($AE4,costs!$A$2:$I$2905,AI$2,FALSE),0)</f>
        <v>0</v>
      </c>
      <c r="AJ4" s="372">
        <f>IFERROR(VLOOKUP($AE4,costs!$A$2:$I$2905,AJ$2,FALSE),0)</f>
        <v>0</v>
      </c>
      <c r="AK4" s="372">
        <f>IFERROR(VLOOKUP($AE4,costs!$A$2:$I$2905,AK$2,FALSE),0)</f>
        <v>0</v>
      </c>
      <c r="AL4" s="372">
        <f>IFERROR(VLOOKUP($AE4,costs!$A$2:$I$2905,AL$2,FALSE),0)</f>
        <v>0</v>
      </c>
      <c r="AM4" s="372">
        <f>IFERROR(VLOOKUP($AE4,costs!$A$2:$I$2905,AM$2,FALSE),0)</f>
        <v>0</v>
      </c>
      <c r="AO4" s="40" t="s">
        <v>194</v>
      </c>
      <c r="AP4" s="372">
        <f>IFERROR(VLOOKUP($AO4,costs!$A$2:$I$2905,AP$2,FALSE),0)</f>
        <v>0</v>
      </c>
      <c r="AQ4" s="372">
        <f>IFERROR(VLOOKUP($AO4,costs!$A$2:$I$2905,AQ$2,FALSE),0)</f>
        <v>0</v>
      </c>
      <c r="AR4" s="372">
        <f>IFERROR(VLOOKUP($AO4,costs!$A$2:$I$2905,AR$2,FALSE),0)</f>
        <v>0</v>
      </c>
      <c r="AS4" s="372">
        <f>IFERROR(VLOOKUP($AO4,costs!$A$2:$I$2905,AS$2,FALSE),0)</f>
        <v>0</v>
      </c>
      <c r="AT4" s="372">
        <f>IFERROR(VLOOKUP($AO4,costs!$A$2:$I$2905,AT$2,FALSE),0)</f>
        <v>0</v>
      </c>
      <c r="AU4" s="372">
        <f>IFERROR(VLOOKUP($AO4,costs!$A$2:$I$2905,AU$2,FALSE),0)</f>
        <v>0</v>
      </c>
      <c r="AV4" s="372">
        <f>IFERROR(VLOOKUP($AO4,costs!$A$2:$I$2905,AV$2,FALSE),0)</f>
        <v>0</v>
      </c>
      <c r="AW4" s="372">
        <f>IFERROR(VLOOKUP($AO4,costs!$A$2:$I$2905,AW$2,FALSE),0)</f>
        <v>0</v>
      </c>
      <c r="AY4" s="40" t="s">
        <v>301</v>
      </c>
      <c r="AZ4" s="372">
        <f>IFERROR(VLOOKUP($AY4,costs!$A$2:$I$2905,AZ$2,FALSE),0)</f>
        <v>0</v>
      </c>
      <c r="BA4" s="372">
        <f>IFERROR(VLOOKUP($AY4,costs!$A$2:$I$2905,BA$2,FALSE),0)</f>
        <v>0</v>
      </c>
      <c r="BB4" s="372">
        <f>IFERROR(VLOOKUP($AY4,costs!$A$2:$I$2905,BB$2,FALSE),0)</f>
        <v>0</v>
      </c>
      <c r="BC4" s="372">
        <f>IFERROR(VLOOKUP($AY4,costs!$A$2:$I$2905,BC$2,FALSE),0)</f>
        <v>0</v>
      </c>
      <c r="BD4" s="372">
        <f>IFERROR(VLOOKUP($AY4,costs!$A$2:$I$2905,BD$2,FALSE),0)</f>
        <v>0</v>
      </c>
      <c r="BE4" s="372">
        <f>IFERROR(VLOOKUP($AY4,costs!$A$2:$I$2905,BE$2,FALSE),0)</f>
        <v>0</v>
      </c>
      <c r="BF4" s="372">
        <f>IFERROR(VLOOKUP($AY4,costs!$A$2:$I$2905,BF$2,FALSE),0)</f>
        <v>0</v>
      </c>
      <c r="BG4" s="372">
        <f>IFERROR(VLOOKUP($AY4,costs!$A$2:$I$2905,BG$2,FALSE),0)</f>
        <v>0</v>
      </c>
    </row>
    <row r="5" spans="1:59" x14ac:dyDescent="0.35">
      <c r="A5" s="900" t="s">
        <v>2029</v>
      </c>
      <c r="B5" s="900" t="e">
        <f>V169</f>
        <v>#N/A</v>
      </c>
      <c r="C5" s="900" t="e">
        <f t="shared" ref="C5:I5" si="1">W169</f>
        <v>#N/A</v>
      </c>
      <c r="D5" s="900" t="e">
        <f t="shared" si="1"/>
        <v>#N/A</v>
      </c>
      <c r="E5" s="900" t="e">
        <f t="shared" si="1"/>
        <v>#N/A</v>
      </c>
      <c r="F5" s="900" t="e">
        <f t="shared" si="1"/>
        <v>#N/A</v>
      </c>
      <c r="G5" s="900" t="e">
        <f t="shared" si="1"/>
        <v>#N/A</v>
      </c>
      <c r="H5" s="900" t="e">
        <f t="shared" si="1"/>
        <v>#N/A</v>
      </c>
      <c r="I5" s="900" t="e">
        <f t="shared" si="1"/>
        <v>#N/A</v>
      </c>
      <c r="K5" s="269" t="s">
        <v>227</v>
      </c>
      <c r="L5" s="372">
        <f>IFERROR(VLOOKUP($K5,costs!$A$2:$I$2905,L$2,FALSE),0)</f>
        <v>0</v>
      </c>
      <c r="M5" s="372">
        <f>IFERROR(VLOOKUP($K5,costs!$A$2:$I$2905,M$2,FALSE),0)</f>
        <v>0</v>
      </c>
      <c r="N5" s="372">
        <f>IFERROR(VLOOKUP($K5,costs!$A$2:$I$2905,N$2,FALSE),0)</f>
        <v>0</v>
      </c>
      <c r="O5" s="372">
        <f>IFERROR(VLOOKUP($K5,costs!$A$2:$I$2905,O$2,FALSE),0)</f>
        <v>0</v>
      </c>
      <c r="P5" s="372">
        <f>IFERROR(VLOOKUP($K5,costs!$A$2:$I$2905,P$2,FALSE),0)</f>
        <v>0</v>
      </c>
      <c r="Q5" s="372">
        <f>IFERROR(VLOOKUP($K5,costs!$A$2:$I$2905,Q$2,FALSE),0)</f>
        <v>0</v>
      </c>
      <c r="R5" s="372">
        <f>IFERROR(VLOOKUP($K5,costs!$A$2:$I$2905,R$2,FALSE),0)</f>
        <v>0</v>
      </c>
      <c r="S5" s="372">
        <f>IFERROR(VLOOKUP($K5,costs!$A$2:$I$2905,S$2,FALSE),0)</f>
        <v>0</v>
      </c>
      <c r="U5" s="949" t="s">
        <v>200</v>
      </c>
      <c r="V5" s="372">
        <f>IFERROR(VLOOKUP($U5,costs!$A$2:$I$2905,V$2,FALSE),0)</f>
        <v>0</v>
      </c>
      <c r="W5" s="372">
        <f>IFERROR(VLOOKUP($U5,costs!$A$2:$I$2905,W$2,FALSE),0)</f>
        <v>0</v>
      </c>
      <c r="X5" s="372">
        <f>IFERROR(VLOOKUP($U5,costs!$A$2:$I$2905,X$2,FALSE),0)</f>
        <v>0</v>
      </c>
      <c r="Y5" s="372">
        <f>IFERROR(VLOOKUP($U5,costs!$A$2:$I$2905,Y$2,FALSE),0)</f>
        <v>0</v>
      </c>
      <c r="Z5" s="372">
        <f>IFERROR(VLOOKUP($U5,costs!$A$2:$I$2905,Z$2,FALSE),0)</f>
        <v>0</v>
      </c>
      <c r="AA5" s="372">
        <f>IFERROR(VLOOKUP($U5,costs!$A$2:$I$2905,AA$2,FALSE),0)</f>
        <v>0</v>
      </c>
      <c r="AB5" s="372">
        <f>IFERROR(VLOOKUP($U5,costs!$A$2:$I$2905,AB$2,FALSE),0)</f>
        <v>0</v>
      </c>
      <c r="AC5" s="372">
        <f>IFERROR(VLOOKUP($U5,costs!$A$2:$I$2905,AC$2,FALSE),0)</f>
        <v>0</v>
      </c>
      <c r="AE5" s="40" t="s">
        <v>2859</v>
      </c>
      <c r="AF5" s="372">
        <f>IFERROR(VLOOKUP($AE5,costs!$A$2:$I$2905,AF$2,FALSE),0)</f>
        <v>0</v>
      </c>
      <c r="AG5" s="372">
        <f>IFERROR(VLOOKUP($AE5,costs!$A$2:$I$2905,AG$2,FALSE),0)</f>
        <v>0</v>
      </c>
      <c r="AH5" s="372">
        <f>IFERROR(VLOOKUP($AE5,costs!$A$2:$I$2905,AH$2,FALSE),0)</f>
        <v>0</v>
      </c>
      <c r="AI5" s="372">
        <f>IFERROR(VLOOKUP($AE5,costs!$A$2:$I$2905,AI$2,FALSE),0)</f>
        <v>0</v>
      </c>
      <c r="AJ5" s="372">
        <f>IFERROR(VLOOKUP($AE5,costs!$A$2:$I$2905,AJ$2,FALSE),0)</f>
        <v>0</v>
      </c>
      <c r="AK5" s="372">
        <f>IFERROR(VLOOKUP($AE5,costs!$A$2:$I$2905,AK$2,FALSE),0)</f>
        <v>0</v>
      </c>
      <c r="AL5" s="372">
        <f>IFERROR(VLOOKUP($AE5,costs!$A$2:$I$2905,AL$2,FALSE),0)</f>
        <v>0</v>
      </c>
      <c r="AM5" s="372">
        <f>IFERROR(VLOOKUP($AE5,costs!$A$2:$I$2905,AM$2,FALSE),0)</f>
        <v>0</v>
      </c>
      <c r="AO5" s="949" t="s">
        <v>195</v>
      </c>
      <c r="AP5" s="372">
        <f>IFERROR(VLOOKUP($AO5,costs!$A$2:$I$2905,AP$2,FALSE),0)</f>
        <v>0</v>
      </c>
      <c r="AQ5" s="372">
        <f>IFERROR(VLOOKUP($AO5,costs!$A$2:$I$2905,AQ$2,FALSE),0)</f>
        <v>0</v>
      </c>
      <c r="AR5" s="372">
        <f>IFERROR(VLOOKUP($AO5,costs!$A$2:$I$2905,AR$2,FALSE),0)</f>
        <v>0</v>
      </c>
      <c r="AS5" s="372">
        <f>IFERROR(VLOOKUP($AO5,costs!$A$2:$I$2905,AS$2,FALSE),0)</f>
        <v>0</v>
      </c>
      <c r="AT5" s="372">
        <f>IFERROR(VLOOKUP($AO5,costs!$A$2:$I$2905,AT$2,FALSE),0)</f>
        <v>0</v>
      </c>
      <c r="AU5" s="372">
        <f>IFERROR(VLOOKUP($AO5,costs!$A$2:$I$2905,AU$2,FALSE),0)</f>
        <v>0</v>
      </c>
      <c r="AV5" s="372">
        <f>IFERROR(VLOOKUP($AO5,costs!$A$2:$I$2905,AV$2,FALSE),0)</f>
        <v>0</v>
      </c>
      <c r="AW5" s="372">
        <f>IFERROR(VLOOKUP($AO5,costs!$A$2:$I$2905,AW$2,FALSE),0)</f>
        <v>0</v>
      </c>
      <c r="AY5" s="949" t="s">
        <v>297</v>
      </c>
      <c r="AZ5" s="372">
        <f>IFERROR(VLOOKUP($AY5,costs!$A$2:$I$2905,AZ$2,FALSE),0)</f>
        <v>0</v>
      </c>
      <c r="BA5" s="372">
        <f>IFERROR(VLOOKUP($AY5,costs!$A$2:$I$2905,BA$2,FALSE),0)</f>
        <v>0</v>
      </c>
      <c r="BB5" s="372">
        <f>IFERROR(VLOOKUP($AY5,costs!$A$2:$I$2905,BB$2,FALSE),0)</f>
        <v>0</v>
      </c>
      <c r="BC5" s="372">
        <f>IFERROR(VLOOKUP($AY5,costs!$A$2:$I$2905,BC$2,FALSE),0)</f>
        <v>0</v>
      </c>
      <c r="BD5" s="372">
        <f>IFERROR(VLOOKUP($AY5,costs!$A$2:$I$2905,BD$2,FALSE),0)</f>
        <v>0</v>
      </c>
      <c r="BE5" s="372">
        <f>IFERROR(VLOOKUP($AY5,costs!$A$2:$I$2905,BE$2,FALSE),0)</f>
        <v>0</v>
      </c>
      <c r="BF5" s="372">
        <f>IFERROR(VLOOKUP($AY5,costs!$A$2:$I$2905,BF$2,FALSE),0)</f>
        <v>0</v>
      </c>
      <c r="BG5" s="372">
        <f>IFERROR(VLOOKUP($AY5,costs!$A$2:$I$2905,BG$2,FALSE),0)</f>
        <v>0</v>
      </c>
    </row>
    <row r="6" spans="1:59" x14ac:dyDescent="0.35">
      <c r="A6" s="900" t="s">
        <v>1314</v>
      </c>
      <c r="B6" s="900" t="e">
        <f t="shared" ref="B6:I6" si="2">AF113</f>
        <v>#N/A</v>
      </c>
      <c r="C6" s="900" t="e">
        <f t="shared" si="2"/>
        <v>#N/A</v>
      </c>
      <c r="D6" s="900" t="e">
        <f t="shared" si="2"/>
        <v>#N/A</v>
      </c>
      <c r="E6" s="900" t="e">
        <f t="shared" si="2"/>
        <v>#N/A</v>
      </c>
      <c r="F6" s="900" t="e">
        <f t="shared" si="2"/>
        <v>#N/A</v>
      </c>
      <c r="G6" s="900" t="e">
        <f t="shared" si="2"/>
        <v>#N/A</v>
      </c>
      <c r="H6" s="900" t="e">
        <f t="shared" si="2"/>
        <v>#N/A</v>
      </c>
      <c r="I6" s="900" t="e">
        <f t="shared" si="2"/>
        <v>#N/A</v>
      </c>
      <c r="K6" s="268" t="s">
        <v>268</v>
      </c>
      <c r="L6" s="372">
        <f>IFERROR(VLOOKUP($K6,costs!$A$2:$I$2905,L$2,FALSE),0)</f>
        <v>0</v>
      </c>
      <c r="M6" s="372">
        <f>IFERROR(VLOOKUP($K6,costs!$A$2:$I$2905,M$2,FALSE),0)</f>
        <v>0</v>
      </c>
      <c r="N6" s="372">
        <f>IFERROR(VLOOKUP($K6,costs!$A$2:$I$2905,N$2,FALSE),0)</f>
        <v>0</v>
      </c>
      <c r="O6" s="372">
        <f>IFERROR(VLOOKUP($K6,costs!$A$2:$I$2905,O$2,FALSE),0)</f>
        <v>0</v>
      </c>
      <c r="P6" s="372">
        <f>IFERROR(VLOOKUP($K6,costs!$A$2:$I$2905,P$2,FALSE),0)</f>
        <v>0</v>
      </c>
      <c r="Q6" s="372">
        <f>IFERROR(VLOOKUP($K6,costs!$A$2:$I$2905,Q$2,FALSE),0)</f>
        <v>0</v>
      </c>
      <c r="R6" s="372">
        <f>IFERROR(VLOOKUP($K6,costs!$A$2:$I$2905,R$2,FALSE),0)</f>
        <v>0</v>
      </c>
      <c r="S6" s="372">
        <f>IFERROR(VLOOKUP($K6,costs!$A$2:$I$2905,S$2,FALSE),0)</f>
        <v>0</v>
      </c>
      <c r="U6" s="40" t="s">
        <v>201</v>
      </c>
      <c r="V6" s="372">
        <f>IFERROR(VLOOKUP($U6,costs!$A$2:$I$2905,V$2,FALSE),0)</f>
        <v>0</v>
      </c>
      <c r="W6" s="372">
        <f>IFERROR(VLOOKUP($U6,costs!$A$2:$I$2905,W$2,FALSE),0)</f>
        <v>0</v>
      </c>
      <c r="X6" s="372">
        <f>IFERROR(VLOOKUP($U6,costs!$A$2:$I$2905,X$2,FALSE),0)</f>
        <v>0</v>
      </c>
      <c r="Y6" s="372">
        <f>IFERROR(VLOOKUP($U6,costs!$A$2:$I$2905,Y$2,FALSE),0)</f>
        <v>0</v>
      </c>
      <c r="Z6" s="372">
        <f>IFERROR(VLOOKUP($U6,costs!$A$2:$I$2905,Z$2,FALSE),0)</f>
        <v>0</v>
      </c>
      <c r="AA6" s="372">
        <f>IFERROR(VLOOKUP($U6,costs!$A$2:$I$2905,AA$2,FALSE),0)</f>
        <v>0</v>
      </c>
      <c r="AB6" s="372">
        <f>IFERROR(VLOOKUP($U6,costs!$A$2:$I$2905,AB$2,FALSE),0)</f>
        <v>0</v>
      </c>
      <c r="AC6" s="372">
        <f>IFERROR(VLOOKUP($U6,costs!$A$2:$I$2905,AC$2,FALSE),0)</f>
        <v>0</v>
      </c>
      <c r="AE6" s="40" t="s">
        <v>2455</v>
      </c>
      <c r="AF6" s="372">
        <f>IFERROR(VLOOKUP($AE6,costs!$A$2:$I$2905,AF$2,FALSE),0)</f>
        <v>0</v>
      </c>
      <c r="AG6" s="372">
        <f>IFERROR(VLOOKUP($AE6,costs!$A$2:$I$2905,AG$2,FALSE),0)</f>
        <v>0</v>
      </c>
      <c r="AH6" s="372">
        <f>IFERROR(VLOOKUP($AE6,costs!$A$2:$I$2905,AH$2,FALSE),0)</f>
        <v>0</v>
      </c>
      <c r="AI6" s="372">
        <f>IFERROR(VLOOKUP($AE6,costs!$A$2:$I$2905,AI$2,FALSE),0)</f>
        <v>0</v>
      </c>
      <c r="AJ6" s="372">
        <f>IFERROR(VLOOKUP($AE6,costs!$A$2:$I$2905,AJ$2,FALSE),0)</f>
        <v>0</v>
      </c>
      <c r="AK6" s="372">
        <f>IFERROR(VLOOKUP($AE6,costs!$A$2:$I$2905,AK$2,FALSE),0)</f>
        <v>0</v>
      </c>
      <c r="AL6" s="372">
        <f>IFERROR(VLOOKUP($AE6,costs!$A$2:$I$2905,AL$2,FALSE),0)</f>
        <v>0</v>
      </c>
      <c r="AM6" s="372">
        <f>IFERROR(VLOOKUP($AE6,costs!$A$2:$I$2905,AM$2,FALSE),0)</f>
        <v>0</v>
      </c>
      <c r="AO6" s="40" t="s">
        <v>172</v>
      </c>
      <c r="AP6" s="372">
        <f>IFERROR(VLOOKUP($AO6,costs!$A$2:$I$2905,AP$2,FALSE),0)</f>
        <v>0</v>
      </c>
      <c r="AQ6" s="372">
        <f>IFERROR(VLOOKUP($AO6,costs!$A$2:$I$2905,AQ$2,FALSE),0)</f>
        <v>0</v>
      </c>
      <c r="AR6" s="372">
        <f>IFERROR(VLOOKUP($AO6,costs!$A$2:$I$2905,AR$2,FALSE),0)</f>
        <v>0</v>
      </c>
      <c r="AS6" s="372">
        <f>IFERROR(VLOOKUP($AO6,costs!$A$2:$I$2905,AS$2,FALSE),0)</f>
        <v>0</v>
      </c>
      <c r="AT6" s="372">
        <f>IFERROR(VLOOKUP($AO6,costs!$A$2:$I$2905,AT$2,FALSE),0)</f>
        <v>0</v>
      </c>
      <c r="AU6" s="372">
        <f>IFERROR(VLOOKUP($AO6,costs!$A$2:$I$2905,AU$2,FALSE),0)</f>
        <v>0</v>
      </c>
      <c r="AV6" s="372">
        <f>IFERROR(VLOOKUP($AO6,costs!$A$2:$I$2905,AV$2,FALSE),0)</f>
        <v>0</v>
      </c>
      <c r="AW6" s="372">
        <f>IFERROR(VLOOKUP($AO6,costs!$A$2:$I$2905,AW$2,FALSE),0)</f>
        <v>0</v>
      </c>
      <c r="AY6" s="40" t="s">
        <v>298</v>
      </c>
      <c r="AZ6" s="372">
        <f>IFERROR(VLOOKUP($AY6,costs!$A$2:$I$2905,AZ$2,FALSE),0)</f>
        <v>0</v>
      </c>
      <c r="BA6" s="372">
        <f>IFERROR(VLOOKUP($AY6,costs!$A$2:$I$2905,BA$2,FALSE),0)</f>
        <v>0</v>
      </c>
      <c r="BB6" s="372">
        <f>IFERROR(VLOOKUP($AY6,costs!$A$2:$I$2905,BB$2,FALSE),0)</f>
        <v>0</v>
      </c>
      <c r="BC6" s="372">
        <f>IFERROR(VLOOKUP($AY6,costs!$A$2:$I$2905,BC$2,FALSE),0)</f>
        <v>0</v>
      </c>
      <c r="BD6" s="372">
        <f>IFERROR(VLOOKUP($AY6,costs!$A$2:$I$2905,BD$2,FALSE),0)</f>
        <v>0</v>
      </c>
      <c r="BE6" s="372">
        <f>IFERROR(VLOOKUP($AY6,costs!$A$2:$I$2905,BE$2,FALSE),0)</f>
        <v>0</v>
      </c>
      <c r="BF6" s="372">
        <f>IFERROR(VLOOKUP($AY6,costs!$A$2:$I$2905,BF$2,FALSE),0)</f>
        <v>0</v>
      </c>
      <c r="BG6" s="372">
        <f>IFERROR(VLOOKUP($AY6,costs!$A$2:$I$2905,BG$2,FALSE),0)</f>
        <v>0</v>
      </c>
    </row>
    <row r="7" spans="1:59" x14ac:dyDescent="0.35">
      <c r="A7" s="900" t="s">
        <v>2028</v>
      </c>
      <c r="B7" s="900">
        <f t="shared" ref="B7:I7" si="3">AP205-B9</f>
        <v>0</v>
      </c>
      <c r="C7" s="900">
        <f t="shared" si="3"/>
        <v>0</v>
      </c>
      <c r="D7" s="900">
        <f t="shared" si="3"/>
        <v>0</v>
      </c>
      <c r="E7" s="900">
        <f t="shared" si="3"/>
        <v>0</v>
      </c>
      <c r="F7" s="900">
        <f t="shared" si="3"/>
        <v>0</v>
      </c>
      <c r="G7" s="900">
        <f t="shared" si="3"/>
        <v>0</v>
      </c>
      <c r="H7" s="900">
        <f t="shared" si="3"/>
        <v>0</v>
      </c>
      <c r="I7" s="900">
        <f t="shared" si="3"/>
        <v>0</v>
      </c>
      <c r="K7" s="269" t="s">
        <v>291</v>
      </c>
      <c r="L7" s="372">
        <f>IFERROR(VLOOKUP($K7,costs!$A$2:$I$2905,L$2,FALSE),0)</f>
        <v>0</v>
      </c>
      <c r="M7" s="372">
        <f>IFERROR(VLOOKUP($K7,costs!$A$2:$I$2905,M$2,FALSE),0)</f>
        <v>0</v>
      </c>
      <c r="N7" s="372">
        <f>IFERROR(VLOOKUP($K7,costs!$A$2:$I$2905,N$2,FALSE),0)</f>
        <v>0</v>
      </c>
      <c r="O7" s="372">
        <f>IFERROR(VLOOKUP($K7,costs!$A$2:$I$2905,O$2,FALSE),0)</f>
        <v>0</v>
      </c>
      <c r="P7" s="372">
        <f>IFERROR(VLOOKUP($K7,costs!$A$2:$I$2905,P$2,FALSE),0)</f>
        <v>0</v>
      </c>
      <c r="Q7" s="372">
        <f>IFERROR(VLOOKUP($K7,costs!$A$2:$I$2905,Q$2,FALSE),0)</f>
        <v>0</v>
      </c>
      <c r="R7" s="372">
        <f>IFERROR(VLOOKUP($K7,costs!$A$2:$I$2905,R$2,FALSE),0)</f>
        <v>0</v>
      </c>
      <c r="S7" s="372">
        <f>IFERROR(VLOOKUP($K7,costs!$A$2:$I$2905,S$2,FALSE),0)</f>
        <v>0</v>
      </c>
      <c r="U7" s="949" t="s">
        <v>2033</v>
      </c>
      <c r="V7" s="372">
        <f>IFERROR(VLOOKUP($U7,costs!$A$2:$I$2905,V$2,FALSE),0)</f>
        <v>0</v>
      </c>
      <c r="W7" s="372">
        <f>IFERROR(VLOOKUP($U7,costs!$A$2:$I$2905,W$2,FALSE),0)</f>
        <v>0</v>
      </c>
      <c r="X7" s="372">
        <f>IFERROR(VLOOKUP($U7,costs!$A$2:$I$2905,X$2,FALSE),0)</f>
        <v>0</v>
      </c>
      <c r="Y7" s="372">
        <f>IFERROR(VLOOKUP($U7,costs!$A$2:$I$2905,Y$2,FALSE),0)</f>
        <v>0</v>
      </c>
      <c r="Z7" s="372">
        <f>IFERROR(VLOOKUP($U7,costs!$A$2:$I$2905,Z$2,FALSE),0)</f>
        <v>0</v>
      </c>
      <c r="AA7" s="372">
        <f>IFERROR(VLOOKUP($U7,costs!$A$2:$I$2905,AA$2,FALSE),0)</f>
        <v>0</v>
      </c>
      <c r="AB7" s="372">
        <f>IFERROR(VLOOKUP($U7,costs!$A$2:$I$2905,AB$2,FALSE),0)</f>
        <v>0</v>
      </c>
      <c r="AC7" s="372">
        <f>IFERROR(VLOOKUP($U7,costs!$A$2:$I$2905,AC$2,FALSE),0)</f>
        <v>0</v>
      </c>
      <c r="AE7" s="40" t="s">
        <v>4138</v>
      </c>
      <c r="AF7" s="372">
        <f>IFERROR(VLOOKUP($AE7,costs!$A$2:$I$2905,AF$2,FALSE),0)</f>
        <v>0</v>
      </c>
      <c r="AG7" s="372">
        <f>IFERROR(VLOOKUP($AE7,costs!$A$2:$I$2905,AG$2,FALSE),0)</f>
        <v>0</v>
      </c>
      <c r="AH7" s="372">
        <f>IFERROR(VLOOKUP($AE7,costs!$A$2:$I$2905,AH$2,FALSE),0)</f>
        <v>0</v>
      </c>
      <c r="AI7" s="372">
        <f>IFERROR(VLOOKUP($AE7,costs!$A$2:$I$2905,AI$2,FALSE),0)</f>
        <v>0</v>
      </c>
      <c r="AJ7" s="372">
        <f>IFERROR(VLOOKUP($AE7,costs!$A$2:$I$2905,AJ$2,FALSE),0)</f>
        <v>0</v>
      </c>
      <c r="AK7" s="372">
        <f>IFERROR(VLOOKUP($AE7,costs!$A$2:$I$2905,AK$2,FALSE),0)</f>
        <v>0</v>
      </c>
      <c r="AL7" s="372">
        <f>IFERROR(VLOOKUP($AE7,costs!$A$2:$I$2905,AL$2,FALSE),0)</f>
        <v>0</v>
      </c>
      <c r="AM7" s="372">
        <f>IFERROR(VLOOKUP($AE7,costs!$A$2:$I$2905,AM$2,FALSE),0)</f>
        <v>0</v>
      </c>
      <c r="AO7" s="949" t="s">
        <v>173</v>
      </c>
      <c r="AP7" s="372">
        <f>IFERROR(VLOOKUP($AO7,costs!$A$2:$I$2905,AP$2,FALSE),0)</f>
        <v>0</v>
      </c>
      <c r="AQ7" s="372">
        <f>IFERROR(VLOOKUP($AO7,costs!$A$2:$I$2905,AQ$2,FALSE),0)</f>
        <v>0</v>
      </c>
      <c r="AR7" s="372">
        <f>IFERROR(VLOOKUP($AO7,costs!$A$2:$I$2905,AR$2,FALSE),0)</f>
        <v>0</v>
      </c>
      <c r="AS7" s="372">
        <f>IFERROR(VLOOKUP($AO7,costs!$A$2:$I$2905,AS$2,FALSE),0)</f>
        <v>0</v>
      </c>
      <c r="AT7" s="372">
        <f>IFERROR(VLOOKUP($AO7,costs!$A$2:$I$2905,AT$2,FALSE),0)</f>
        <v>0</v>
      </c>
      <c r="AU7" s="372">
        <f>IFERROR(VLOOKUP($AO7,costs!$A$2:$I$2905,AU$2,FALSE),0)</f>
        <v>0</v>
      </c>
      <c r="AV7" s="372">
        <f>IFERROR(VLOOKUP($AO7,costs!$A$2:$I$2905,AV$2,FALSE),0)</f>
        <v>0</v>
      </c>
      <c r="AW7" s="372">
        <f>IFERROR(VLOOKUP($AO7,costs!$A$2:$I$2905,AW$2,FALSE),0)</f>
        <v>0</v>
      </c>
      <c r="AY7" s="40" t="s">
        <v>4108</v>
      </c>
      <c r="AZ7" s="372">
        <f>IFERROR(VLOOKUP($AY7,costs!$A$2:$I$2905,AZ$2,FALSE),0)</f>
        <v>0</v>
      </c>
      <c r="BA7" s="372">
        <f>IFERROR(VLOOKUP($AY7,costs!$A$2:$I$2905,BA$2,FALSE),0)</f>
        <v>0</v>
      </c>
      <c r="BB7" s="372">
        <f>IFERROR(VLOOKUP($AY7,costs!$A$2:$I$2905,BB$2,FALSE),0)</f>
        <v>0</v>
      </c>
      <c r="BC7" s="372">
        <f>IFERROR(VLOOKUP($AY7,costs!$A$2:$I$2905,BC$2,FALSE),0)</f>
        <v>0</v>
      </c>
      <c r="BD7" s="372">
        <f>IFERROR(VLOOKUP($AY7,costs!$A$2:$I$2905,BD$2,FALSE),0)</f>
        <v>0</v>
      </c>
      <c r="BE7" s="372">
        <f>IFERROR(VLOOKUP($AY7,costs!$A$2:$I$2905,BE$2,FALSE),0)</f>
        <v>0</v>
      </c>
      <c r="BF7" s="372">
        <f>IFERROR(VLOOKUP($AY7,costs!$A$2:$I$2905,BF$2,FALSE),0)</f>
        <v>0</v>
      </c>
      <c r="BG7" s="372">
        <f>IFERROR(VLOOKUP($AY7,costs!$A$2:$I$2905,BG$2,FALSE),0)</f>
        <v>0</v>
      </c>
    </row>
    <row r="8" spans="1:59" x14ac:dyDescent="0.35">
      <c r="A8" s="900" t="s">
        <v>2030</v>
      </c>
      <c r="B8" s="900">
        <f>AZ144</f>
        <v>0</v>
      </c>
      <c r="C8" s="900">
        <f t="shared" ref="C8:I8" si="4">BA144</f>
        <v>0</v>
      </c>
      <c r="D8" s="900">
        <f t="shared" si="4"/>
        <v>0</v>
      </c>
      <c r="E8" s="900">
        <f t="shared" si="4"/>
        <v>0</v>
      </c>
      <c r="F8" s="900">
        <f t="shared" si="4"/>
        <v>0</v>
      </c>
      <c r="G8" s="900">
        <f t="shared" si="4"/>
        <v>0</v>
      </c>
      <c r="H8" s="900">
        <f t="shared" si="4"/>
        <v>0</v>
      </c>
      <c r="I8" s="900">
        <f t="shared" si="4"/>
        <v>0</v>
      </c>
      <c r="K8" s="268" t="s">
        <v>321</v>
      </c>
      <c r="L8" s="372">
        <f>IFERROR(VLOOKUP($K8,costs!$A$2:$I$2905,L$2,FALSE),0)</f>
        <v>0</v>
      </c>
      <c r="M8" s="372">
        <f>IFERROR(VLOOKUP($K8,costs!$A$2:$I$2905,M$2,FALSE),0)</f>
        <v>0</v>
      </c>
      <c r="N8" s="372">
        <f>IFERROR(VLOOKUP($K8,costs!$A$2:$I$2905,N$2,FALSE),0)</f>
        <v>0</v>
      </c>
      <c r="O8" s="372">
        <f>IFERROR(VLOOKUP($K8,costs!$A$2:$I$2905,O$2,FALSE),0)</f>
        <v>0</v>
      </c>
      <c r="P8" s="372">
        <f>IFERROR(VLOOKUP($K8,costs!$A$2:$I$2905,P$2,FALSE),0)</f>
        <v>0</v>
      </c>
      <c r="Q8" s="372">
        <f>IFERROR(VLOOKUP($K8,costs!$A$2:$I$2905,Q$2,FALSE),0)</f>
        <v>0</v>
      </c>
      <c r="R8" s="372">
        <f>IFERROR(VLOOKUP($K8,costs!$A$2:$I$2905,R$2,FALSE),0)</f>
        <v>0</v>
      </c>
      <c r="S8" s="372">
        <f>IFERROR(VLOOKUP($K8,costs!$A$2:$I$2905,S$2,FALSE),0)</f>
        <v>0</v>
      </c>
      <c r="U8" s="40" t="s">
        <v>276</v>
      </c>
      <c r="V8" s="372">
        <f>IFERROR(VLOOKUP($U8,costs!$A$2:$I$2905,V$2,FALSE),0)</f>
        <v>0</v>
      </c>
      <c r="W8" s="372">
        <f>IFERROR(VLOOKUP($U8,costs!$A$2:$I$2905,W$2,FALSE),0)</f>
        <v>0</v>
      </c>
      <c r="X8" s="372">
        <f>IFERROR(VLOOKUP($U8,costs!$A$2:$I$2905,X$2,FALSE),0)</f>
        <v>0</v>
      </c>
      <c r="Y8" s="372">
        <f>IFERROR(VLOOKUP($U8,costs!$A$2:$I$2905,Y$2,FALSE),0)</f>
        <v>0</v>
      </c>
      <c r="Z8" s="372">
        <f>IFERROR(VLOOKUP($U8,costs!$A$2:$I$2905,Z$2,FALSE),0)</f>
        <v>0</v>
      </c>
      <c r="AA8" s="372">
        <f>IFERROR(VLOOKUP($U8,costs!$A$2:$I$2905,AA$2,FALSE),0)</f>
        <v>0</v>
      </c>
      <c r="AB8" s="372">
        <f>IFERROR(VLOOKUP($U8,costs!$A$2:$I$2905,AB$2,FALSE),0)</f>
        <v>0</v>
      </c>
      <c r="AC8" s="372">
        <f>IFERROR(VLOOKUP($U8,costs!$A$2:$I$2905,AC$2,FALSE),0)</f>
        <v>0</v>
      </c>
      <c r="AE8" s="40" t="s">
        <v>2452</v>
      </c>
      <c r="AF8" s="372">
        <f>IFERROR(VLOOKUP($AE8,costs!$A$2:$I$2905,AF$2,FALSE),0)</f>
        <v>0</v>
      </c>
      <c r="AG8" s="372">
        <f>IFERROR(VLOOKUP($AE8,costs!$A$2:$I$2905,AG$2,FALSE),0)</f>
        <v>0</v>
      </c>
      <c r="AH8" s="372">
        <f>IFERROR(VLOOKUP($AE8,costs!$A$2:$I$2905,AH$2,FALSE),0)</f>
        <v>0</v>
      </c>
      <c r="AI8" s="372">
        <f>IFERROR(VLOOKUP($AE8,costs!$A$2:$I$2905,AI$2,FALSE),0)</f>
        <v>0</v>
      </c>
      <c r="AJ8" s="372">
        <f>IFERROR(VLOOKUP($AE8,costs!$A$2:$I$2905,AJ$2,FALSE),0)</f>
        <v>0</v>
      </c>
      <c r="AK8" s="372">
        <f>IFERROR(VLOOKUP($AE8,costs!$A$2:$I$2905,AK$2,FALSE),0)</f>
        <v>0</v>
      </c>
      <c r="AL8" s="372">
        <f>IFERROR(VLOOKUP($AE8,costs!$A$2:$I$2905,AL$2,FALSE),0)</f>
        <v>0</v>
      </c>
      <c r="AM8" s="372">
        <f>IFERROR(VLOOKUP($AE8,costs!$A$2:$I$2905,AM$2,FALSE),0)</f>
        <v>0</v>
      </c>
      <c r="AO8" s="949" t="s">
        <v>353</v>
      </c>
      <c r="AP8" s="372">
        <f>IFERROR(VLOOKUP($AO8,costs!$A$2:$I$2905,AP$2,FALSE),0)</f>
        <v>0</v>
      </c>
      <c r="AQ8" s="372">
        <f>IFERROR(VLOOKUP($AO8,costs!$A$2:$I$2905,AQ$2,FALSE),0)</f>
        <v>0</v>
      </c>
      <c r="AR8" s="372">
        <f>IFERROR(VLOOKUP($AO8,costs!$A$2:$I$2905,AR$2,FALSE),0)</f>
        <v>0</v>
      </c>
      <c r="AS8" s="372">
        <f>IFERROR(VLOOKUP($AO8,costs!$A$2:$I$2905,AS$2,FALSE),0)</f>
        <v>0</v>
      </c>
      <c r="AT8" s="372">
        <f>IFERROR(VLOOKUP($AO8,costs!$A$2:$I$2905,AT$2,FALSE),0)</f>
        <v>0</v>
      </c>
      <c r="AU8" s="372">
        <f>IFERROR(VLOOKUP($AO8,costs!$A$2:$I$2905,AU$2,FALSE),0)</f>
        <v>0</v>
      </c>
      <c r="AV8" s="372">
        <f>IFERROR(VLOOKUP($AO8,costs!$A$2:$I$2905,AV$2,FALSE),0)</f>
        <v>0</v>
      </c>
      <c r="AW8" s="372">
        <f>IFERROR(VLOOKUP($AO8,costs!$A$2:$I$2905,AW$2,FALSE),0)</f>
        <v>0</v>
      </c>
      <c r="AY8" s="40" t="s">
        <v>4109</v>
      </c>
      <c r="AZ8" s="372">
        <f>IFERROR(VLOOKUP($AY8,costs!$A$2:$I$2905,AZ$2,FALSE),0)</f>
        <v>0</v>
      </c>
      <c r="BA8" s="372">
        <f>IFERROR(VLOOKUP($AY8,costs!$A$2:$I$2905,BA$2,FALSE),0)</f>
        <v>0</v>
      </c>
      <c r="BB8" s="372">
        <f>IFERROR(VLOOKUP($AY8,costs!$A$2:$I$2905,BB$2,FALSE),0)</f>
        <v>0</v>
      </c>
      <c r="BC8" s="372">
        <f>IFERROR(VLOOKUP($AY8,costs!$A$2:$I$2905,BC$2,FALSE),0)</f>
        <v>0</v>
      </c>
      <c r="BD8" s="372">
        <f>IFERROR(VLOOKUP($AY8,costs!$A$2:$I$2905,BD$2,FALSE),0)</f>
        <v>0</v>
      </c>
      <c r="BE8" s="372">
        <f>IFERROR(VLOOKUP($AY8,costs!$A$2:$I$2905,BE$2,FALSE),0)</f>
        <v>0</v>
      </c>
      <c r="BF8" s="372">
        <f>IFERROR(VLOOKUP($AY8,costs!$A$2:$I$2905,BF$2,FALSE),0)</f>
        <v>0</v>
      </c>
      <c r="BG8" s="372">
        <f>IFERROR(VLOOKUP($AY8,costs!$A$2:$I$2905,BG$2,FALSE),0)</f>
        <v>0</v>
      </c>
    </row>
    <row r="9" spans="1:59" x14ac:dyDescent="0.35">
      <c r="A9" s="900" t="s">
        <v>2179</v>
      </c>
      <c r="B9" s="900">
        <f t="shared" ref="B9:I9" si="5">AP34</f>
        <v>0</v>
      </c>
      <c r="C9" s="900">
        <f t="shared" si="5"/>
        <v>0</v>
      </c>
      <c r="D9" s="900">
        <f t="shared" si="5"/>
        <v>0</v>
      </c>
      <c r="E9" s="900">
        <f t="shared" si="5"/>
        <v>0</v>
      </c>
      <c r="F9" s="900">
        <f t="shared" si="5"/>
        <v>0</v>
      </c>
      <c r="G9" s="900">
        <f t="shared" si="5"/>
        <v>0</v>
      </c>
      <c r="H9" s="900">
        <f t="shared" si="5"/>
        <v>0</v>
      </c>
      <c r="I9" s="900">
        <f t="shared" si="5"/>
        <v>0</v>
      </c>
      <c r="K9" s="269" t="s">
        <v>322</v>
      </c>
      <c r="L9" s="372">
        <f>IFERROR(VLOOKUP($K9,costs!$A$2:$I$2905,L$2,FALSE),0)</f>
        <v>0</v>
      </c>
      <c r="M9" s="372">
        <f>IFERROR(VLOOKUP($K9,costs!$A$2:$I$2905,M$2,FALSE),0)</f>
        <v>0</v>
      </c>
      <c r="N9" s="372">
        <f>IFERROR(VLOOKUP($K9,costs!$A$2:$I$2905,N$2,FALSE),0)</f>
        <v>0</v>
      </c>
      <c r="O9" s="372">
        <f>IFERROR(VLOOKUP($K9,costs!$A$2:$I$2905,O$2,FALSE),0)</f>
        <v>0</v>
      </c>
      <c r="P9" s="372">
        <f>IFERROR(VLOOKUP($K9,costs!$A$2:$I$2905,P$2,FALSE),0)</f>
        <v>0</v>
      </c>
      <c r="Q9" s="372">
        <f>IFERROR(VLOOKUP($K9,costs!$A$2:$I$2905,Q$2,FALSE),0)</f>
        <v>0</v>
      </c>
      <c r="R9" s="372">
        <f>IFERROR(VLOOKUP($K9,costs!$A$2:$I$2905,R$2,FALSE),0)</f>
        <v>0</v>
      </c>
      <c r="S9" s="372">
        <f>IFERROR(VLOOKUP($K9,costs!$A$2:$I$2905,S$2,FALSE),0)</f>
        <v>0</v>
      </c>
      <c r="U9" s="949" t="s">
        <v>277</v>
      </c>
      <c r="V9" s="372">
        <f>IFERROR(VLOOKUP($U9,costs!$A$2:$I$2905,V$2,FALSE),0)</f>
        <v>0</v>
      </c>
      <c r="W9" s="372">
        <f>IFERROR(VLOOKUP($U9,costs!$A$2:$I$2905,W$2,FALSE),0)</f>
        <v>0</v>
      </c>
      <c r="X9" s="372">
        <f>IFERROR(VLOOKUP($U9,costs!$A$2:$I$2905,X$2,FALSE),0)</f>
        <v>0</v>
      </c>
      <c r="Y9" s="372">
        <f>IFERROR(VLOOKUP($U9,costs!$A$2:$I$2905,Y$2,FALSE),0)</f>
        <v>0</v>
      </c>
      <c r="Z9" s="372">
        <f>IFERROR(VLOOKUP($U9,costs!$A$2:$I$2905,Z$2,FALSE),0)</f>
        <v>0</v>
      </c>
      <c r="AA9" s="372">
        <f>IFERROR(VLOOKUP($U9,costs!$A$2:$I$2905,AA$2,FALSE),0)</f>
        <v>0</v>
      </c>
      <c r="AB9" s="372">
        <f>IFERROR(VLOOKUP($U9,costs!$A$2:$I$2905,AB$2,FALSE),0)</f>
        <v>0</v>
      </c>
      <c r="AC9" s="372">
        <f>IFERROR(VLOOKUP($U9,costs!$A$2:$I$2905,AC$2,FALSE),0)</f>
        <v>0</v>
      </c>
      <c r="AE9" s="40" t="s">
        <v>341</v>
      </c>
      <c r="AF9" s="372">
        <f>IFERROR(VLOOKUP($AE9,costs!$A$2:$I$2905,AF$2,FALSE),0)</f>
        <v>0</v>
      </c>
      <c r="AG9" s="372">
        <f>IFERROR(VLOOKUP($AE9,costs!$A$2:$I$2905,AG$2,FALSE),0)</f>
        <v>0</v>
      </c>
      <c r="AH9" s="372">
        <f>IFERROR(VLOOKUP($AE9,costs!$A$2:$I$2905,AH$2,FALSE),0)</f>
        <v>0</v>
      </c>
      <c r="AI9" s="372">
        <f>IFERROR(VLOOKUP($AE9,costs!$A$2:$I$2905,AI$2,FALSE),0)</f>
        <v>0</v>
      </c>
      <c r="AJ9" s="372">
        <f>IFERROR(VLOOKUP($AE9,costs!$A$2:$I$2905,AJ$2,FALSE),0)</f>
        <v>0</v>
      </c>
      <c r="AK9" s="372">
        <f>IFERROR(VLOOKUP($AE9,costs!$A$2:$I$2905,AK$2,FALSE),0)</f>
        <v>0</v>
      </c>
      <c r="AL9" s="372">
        <f>IFERROR(VLOOKUP($AE9,costs!$A$2:$I$2905,AL$2,FALSE),0)</f>
        <v>0</v>
      </c>
      <c r="AM9" s="372">
        <f>IFERROR(VLOOKUP($AE9,costs!$A$2:$I$2905,AM$2,FALSE),0)</f>
        <v>0</v>
      </c>
      <c r="AO9" s="40" t="s">
        <v>354</v>
      </c>
      <c r="AP9" s="372">
        <f>IFERROR(VLOOKUP($AO9,costs!$A$2:$I$2905,AP$2,FALSE),0)</f>
        <v>0</v>
      </c>
      <c r="AQ9" s="372">
        <f>IFERROR(VLOOKUP($AO9,costs!$A$2:$I$2905,AQ$2,FALSE),0)</f>
        <v>0</v>
      </c>
      <c r="AR9" s="372">
        <f>IFERROR(VLOOKUP($AO9,costs!$A$2:$I$2905,AR$2,FALSE),0)</f>
        <v>0</v>
      </c>
      <c r="AS9" s="372">
        <f>IFERROR(VLOOKUP($AO9,costs!$A$2:$I$2905,AS$2,FALSE),0)</f>
        <v>0</v>
      </c>
      <c r="AT9" s="372">
        <f>IFERROR(VLOOKUP($AO9,costs!$A$2:$I$2905,AT$2,FALSE),0)</f>
        <v>0</v>
      </c>
      <c r="AU9" s="372">
        <f>IFERROR(VLOOKUP($AO9,costs!$A$2:$I$2905,AU$2,FALSE),0)</f>
        <v>0</v>
      </c>
      <c r="AV9" s="372">
        <f>IFERROR(VLOOKUP($AO9,costs!$A$2:$I$2905,AV$2,FALSE),0)</f>
        <v>0</v>
      </c>
      <c r="AW9" s="372">
        <f>IFERROR(VLOOKUP($AO9,costs!$A$2:$I$2905,AW$2,FALSE),0)</f>
        <v>0</v>
      </c>
      <c r="AY9" s="40" t="s">
        <v>198</v>
      </c>
      <c r="AZ9" s="372">
        <f>IFERROR(VLOOKUP($AY9,costs!$A$2:$I$2905,AZ$2,FALSE),0)</f>
        <v>0</v>
      </c>
      <c r="BA9" s="372">
        <f>IFERROR(VLOOKUP($AY9,costs!$A$2:$I$2905,BA$2,FALSE),0)</f>
        <v>0</v>
      </c>
      <c r="BB9" s="372">
        <f>IFERROR(VLOOKUP($AY9,costs!$A$2:$I$2905,BB$2,FALSE),0)</f>
        <v>0</v>
      </c>
      <c r="BC9" s="372">
        <f>IFERROR(VLOOKUP($AY9,costs!$A$2:$I$2905,BC$2,FALSE),0)</f>
        <v>0</v>
      </c>
      <c r="BD9" s="372">
        <f>IFERROR(VLOOKUP($AY9,costs!$A$2:$I$2905,BD$2,FALSE),0)</f>
        <v>0</v>
      </c>
      <c r="BE9" s="372">
        <f>IFERROR(VLOOKUP($AY9,costs!$A$2:$I$2905,BE$2,FALSE),0)</f>
        <v>0</v>
      </c>
      <c r="BF9" s="372">
        <f>IFERROR(VLOOKUP($AY9,costs!$A$2:$I$2905,BF$2,FALSE),0)</f>
        <v>0</v>
      </c>
      <c r="BG9" s="372">
        <f>IFERROR(VLOOKUP($AY9,costs!$A$2:$I$2905,BG$2,FALSE),0)</f>
        <v>0</v>
      </c>
    </row>
    <row r="10" spans="1:59" x14ac:dyDescent="0.35">
      <c r="A10" s="900" t="s">
        <v>2288</v>
      </c>
      <c r="B10" s="900">
        <f>AP216+AP217+AP218+AP219+AP220+AP221+AP222+AP223+AP224+AP225+AP226+AP215</f>
        <v>0</v>
      </c>
      <c r="C10" s="900">
        <f t="shared" ref="C10:I10" si="6">AQ216+AQ217+AQ218+AQ219+AQ220+AQ221+AQ222+AQ223+AQ224+AQ225+AQ226+AQ215</f>
        <v>0</v>
      </c>
      <c r="D10" s="900">
        <f t="shared" si="6"/>
        <v>0</v>
      </c>
      <c r="E10" s="900">
        <f t="shared" si="6"/>
        <v>0</v>
      </c>
      <c r="F10" s="900">
        <f t="shared" si="6"/>
        <v>0</v>
      </c>
      <c r="G10" s="900">
        <f t="shared" si="6"/>
        <v>0</v>
      </c>
      <c r="H10" s="900">
        <f>AV216+AV217+AV218+AV219+AV220+AV221+AV222+AV223+AV224+AV225+AV226+AV215</f>
        <v>0</v>
      </c>
      <c r="I10" s="900">
        <f t="shared" si="6"/>
        <v>0</v>
      </c>
      <c r="K10" s="268" t="s">
        <v>323</v>
      </c>
      <c r="L10" s="372">
        <f>IFERROR(VLOOKUP($K10,costs!$A$2:$I$2905,L$2,FALSE),0)</f>
        <v>0</v>
      </c>
      <c r="M10" s="372">
        <f>IFERROR(VLOOKUP($K10,costs!$A$2:$I$2905,M$2,FALSE),0)</f>
        <v>0</v>
      </c>
      <c r="N10" s="372">
        <f>IFERROR(VLOOKUP($K10,costs!$A$2:$I$2905,N$2,FALSE),0)</f>
        <v>0</v>
      </c>
      <c r="O10" s="372">
        <f>IFERROR(VLOOKUP($K10,costs!$A$2:$I$2905,O$2,FALSE),0)</f>
        <v>0</v>
      </c>
      <c r="P10" s="372">
        <f>IFERROR(VLOOKUP($K10,costs!$A$2:$I$2905,P$2,FALSE),0)</f>
        <v>0</v>
      </c>
      <c r="Q10" s="372">
        <f>IFERROR(VLOOKUP($K10,costs!$A$2:$I$2905,Q$2,FALSE),0)</f>
        <v>0</v>
      </c>
      <c r="R10" s="372">
        <f>IFERROR(VLOOKUP($K10,costs!$A$2:$I$2905,R$2,FALSE),0)</f>
        <v>0</v>
      </c>
      <c r="S10" s="372">
        <f>IFERROR(VLOOKUP($K10,costs!$A$2:$I$2905,S$2,FALSE),0)</f>
        <v>0</v>
      </c>
      <c r="U10" s="40" t="s">
        <v>2034</v>
      </c>
      <c r="V10" s="372">
        <f>IFERROR(VLOOKUP($U10,costs!$A$2:$I$2905,V$2,FALSE),0)</f>
        <v>0</v>
      </c>
      <c r="W10" s="372">
        <f>IFERROR(VLOOKUP($U10,costs!$A$2:$I$2905,W$2,FALSE),0)</f>
        <v>0</v>
      </c>
      <c r="X10" s="372">
        <f>IFERROR(VLOOKUP($U10,costs!$A$2:$I$2905,X$2,FALSE),0)</f>
        <v>0</v>
      </c>
      <c r="Y10" s="372">
        <f>IFERROR(VLOOKUP($U10,costs!$A$2:$I$2905,Y$2,FALSE),0)</f>
        <v>0</v>
      </c>
      <c r="Z10" s="372">
        <f>IFERROR(VLOOKUP($U10,costs!$A$2:$I$2905,Z$2,FALSE),0)</f>
        <v>0</v>
      </c>
      <c r="AA10" s="372">
        <f>IFERROR(VLOOKUP($U10,costs!$A$2:$I$2905,AA$2,FALSE),0)</f>
        <v>0</v>
      </c>
      <c r="AB10" s="372">
        <f>IFERROR(VLOOKUP($U10,costs!$A$2:$I$2905,AB$2,FALSE),0)</f>
        <v>0</v>
      </c>
      <c r="AC10" s="372">
        <f>IFERROR(VLOOKUP($U10,costs!$A$2:$I$2905,AC$2,FALSE),0)</f>
        <v>0</v>
      </c>
      <c r="AE10" s="40" t="s">
        <v>2457</v>
      </c>
      <c r="AF10" s="372">
        <f>IFERROR(VLOOKUP($AE10,costs!$A$2:$I$2905,AF$2,FALSE),0)</f>
        <v>0</v>
      </c>
      <c r="AG10" s="372">
        <f>IFERROR(VLOOKUP($AE10,costs!$A$2:$I$2905,AG$2,FALSE),0)</f>
        <v>0</v>
      </c>
      <c r="AH10" s="372">
        <f>IFERROR(VLOOKUP($AE10,costs!$A$2:$I$2905,AH$2,FALSE),0)</f>
        <v>0</v>
      </c>
      <c r="AI10" s="372">
        <f>IFERROR(VLOOKUP($AE10,costs!$A$2:$I$2905,AI$2,FALSE),0)</f>
        <v>0</v>
      </c>
      <c r="AJ10" s="372">
        <f>IFERROR(VLOOKUP($AE10,costs!$A$2:$I$2905,AJ$2,FALSE),0)</f>
        <v>0</v>
      </c>
      <c r="AK10" s="372">
        <f>IFERROR(VLOOKUP($AE10,costs!$A$2:$I$2905,AK$2,FALSE),0)</f>
        <v>0</v>
      </c>
      <c r="AL10" s="372">
        <f>IFERROR(VLOOKUP($AE10,costs!$A$2:$I$2905,AL$2,FALSE),0)</f>
        <v>0</v>
      </c>
      <c r="AM10" s="372">
        <f>IFERROR(VLOOKUP($AE10,costs!$A$2:$I$2905,AM$2,FALSE),0)</f>
        <v>0</v>
      </c>
      <c r="AO10" s="949" t="s">
        <v>438</v>
      </c>
      <c r="AP10" s="372">
        <f>IFERROR(VLOOKUP($AO10,costs!$A$2:$I$2905,AP$2,FALSE),0)</f>
        <v>0</v>
      </c>
      <c r="AQ10" s="372">
        <f>IFERROR(VLOOKUP($AO10,costs!$A$2:$I$2905,AQ$2,FALSE),0)</f>
        <v>0</v>
      </c>
      <c r="AR10" s="372">
        <f>IFERROR(VLOOKUP($AO10,costs!$A$2:$I$2905,AR$2,FALSE),0)</f>
        <v>0</v>
      </c>
      <c r="AS10" s="372">
        <f>IFERROR(VLOOKUP($AO10,costs!$A$2:$I$2905,AS$2,FALSE),0)</f>
        <v>0</v>
      </c>
      <c r="AT10" s="372">
        <f>IFERROR(VLOOKUP($AO10,costs!$A$2:$I$2905,AT$2,FALSE),0)</f>
        <v>0</v>
      </c>
      <c r="AU10" s="372">
        <f>IFERROR(VLOOKUP($AO10,costs!$A$2:$I$2905,AU$2,FALSE),0)</f>
        <v>0</v>
      </c>
      <c r="AV10" s="372">
        <f>IFERROR(VLOOKUP($AO10,costs!$A$2:$I$2905,AV$2,FALSE),0)</f>
        <v>0</v>
      </c>
      <c r="AW10" s="372">
        <f>IFERROR(VLOOKUP($AO10,costs!$A$2:$I$2905,AW$2,FALSE),0)</f>
        <v>0</v>
      </c>
      <c r="AY10" s="949" t="s">
        <v>237</v>
      </c>
      <c r="AZ10" s="372">
        <f>IFERROR(VLOOKUP($AY10,costs!$A$2:$I$2905,AZ$2,FALSE),0)</f>
        <v>0</v>
      </c>
      <c r="BA10" s="372">
        <f>IFERROR(VLOOKUP($AY10,costs!$A$2:$I$2905,BA$2,FALSE),0)</f>
        <v>0</v>
      </c>
      <c r="BB10" s="372">
        <f>IFERROR(VLOOKUP($AY10,costs!$A$2:$I$2905,BB$2,FALSE),0)</f>
        <v>0</v>
      </c>
      <c r="BC10" s="372">
        <f>IFERROR(VLOOKUP($AY10,costs!$A$2:$I$2905,BC$2,FALSE),0)</f>
        <v>0</v>
      </c>
      <c r="BD10" s="372">
        <f>IFERROR(VLOOKUP($AY10,costs!$A$2:$I$2905,BD$2,FALSE),0)</f>
        <v>0</v>
      </c>
      <c r="BE10" s="372">
        <f>IFERROR(VLOOKUP($AY10,costs!$A$2:$I$2905,BE$2,FALSE),0)</f>
        <v>0</v>
      </c>
      <c r="BF10" s="372">
        <f>IFERROR(VLOOKUP($AY10,costs!$A$2:$I$2905,BF$2,FALSE),0)</f>
        <v>0</v>
      </c>
      <c r="BG10" s="372">
        <f>IFERROR(VLOOKUP($AY10,costs!$A$2:$I$2905,BG$2,FALSE),0)</f>
        <v>0</v>
      </c>
    </row>
    <row r="11" spans="1:59" x14ac:dyDescent="0.35">
      <c r="A11" s="900" t="s">
        <v>2287</v>
      </c>
      <c r="B11" s="900">
        <f>AP208+AP209+AP210+AP211+AP212+AP213+AP214</f>
        <v>0</v>
      </c>
      <c r="C11" s="900">
        <f t="shared" ref="C11:I11" si="7">AQ208+AQ209+AQ210+AQ211+AQ212+AQ213+AQ214</f>
        <v>0</v>
      </c>
      <c r="D11" s="900">
        <f t="shared" si="7"/>
        <v>0</v>
      </c>
      <c r="E11" s="900">
        <f t="shared" si="7"/>
        <v>0</v>
      </c>
      <c r="F11" s="900">
        <f t="shared" si="7"/>
        <v>0</v>
      </c>
      <c r="G11" s="900">
        <f t="shared" si="7"/>
        <v>0</v>
      </c>
      <c r="H11" s="900">
        <f t="shared" si="7"/>
        <v>0</v>
      </c>
      <c r="I11" s="900">
        <f t="shared" si="7"/>
        <v>0</v>
      </c>
      <c r="K11" s="268" t="s">
        <v>231</v>
      </c>
      <c r="L11" s="372">
        <f>IFERROR(VLOOKUP($K11,costs!$A$2:$I$2905,L$2,FALSE),0)</f>
        <v>0</v>
      </c>
      <c r="M11" s="372">
        <f>IFERROR(VLOOKUP($K11,costs!$A$2:$I$2905,M$2,FALSE),0)</f>
        <v>0</v>
      </c>
      <c r="N11" s="372">
        <f>IFERROR(VLOOKUP($K11,costs!$A$2:$I$2905,N$2,FALSE),0)</f>
        <v>0</v>
      </c>
      <c r="O11" s="372">
        <f>IFERROR(VLOOKUP($K11,costs!$A$2:$I$2905,O$2,FALSE),0)</f>
        <v>0</v>
      </c>
      <c r="P11" s="372">
        <f>IFERROR(VLOOKUP($K11,costs!$A$2:$I$2905,P$2,FALSE),0)</f>
        <v>0</v>
      </c>
      <c r="Q11" s="372">
        <f>IFERROR(VLOOKUP($K11,costs!$A$2:$I$2905,Q$2,FALSE),0)</f>
        <v>0</v>
      </c>
      <c r="R11" s="372">
        <f>IFERROR(VLOOKUP($K11,costs!$A$2:$I$2905,R$2,FALSE),0)</f>
        <v>0</v>
      </c>
      <c r="S11" s="372">
        <f>IFERROR(VLOOKUP($K11,costs!$A$2:$I$2905,S$2,FALSE),0)</f>
        <v>0</v>
      </c>
      <c r="U11" s="949" t="s">
        <v>274</v>
      </c>
      <c r="V11" s="372">
        <f>IFERROR(VLOOKUP($U11,costs!$A$2:$I$2905,V$2,FALSE),0)</f>
        <v>0</v>
      </c>
      <c r="W11" s="372">
        <f>IFERROR(VLOOKUP($U11,costs!$A$2:$I$2905,W$2,FALSE),0)</f>
        <v>0</v>
      </c>
      <c r="X11" s="372">
        <f>IFERROR(VLOOKUP($U11,costs!$A$2:$I$2905,X$2,FALSE),0)</f>
        <v>0</v>
      </c>
      <c r="Y11" s="372">
        <f>IFERROR(VLOOKUP($U11,costs!$A$2:$I$2905,Y$2,FALSE),0)</f>
        <v>0</v>
      </c>
      <c r="Z11" s="372">
        <f>IFERROR(VLOOKUP($U11,costs!$A$2:$I$2905,Z$2,FALSE),0)</f>
        <v>0</v>
      </c>
      <c r="AA11" s="372">
        <f>IFERROR(VLOOKUP($U11,costs!$A$2:$I$2905,AA$2,FALSE),0)</f>
        <v>0</v>
      </c>
      <c r="AB11" s="372">
        <f>IFERROR(VLOOKUP($U11,costs!$A$2:$I$2905,AB$2,FALSE),0)</f>
        <v>0</v>
      </c>
      <c r="AC11" s="372">
        <f>IFERROR(VLOOKUP($U11,costs!$A$2:$I$2905,AC$2,FALSE),0)</f>
        <v>0</v>
      </c>
      <c r="AE11" s="40" t="s">
        <v>2465</v>
      </c>
      <c r="AF11" s="372">
        <f>IFERROR(VLOOKUP($AE11,costs!$A$2:$I$2905,AF$2,FALSE),0)</f>
        <v>0</v>
      </c>
      <c r="AG11" s="372">
        <f>IFERROR(VLOOKUP($AE11,costs!$A$2:$I$2905,AG$2,FALSE),0)</f>
        <v>0</v>
      </c>
      <c r="AH11" s="372">
        <f>IFERROR(VLOOKUP($AE11,costs!$A$2:$I$2905,AH$2,FALSE),0)</f>
        <v>0</v>
      </c>
      <c r="AI11" s="372">
        <f>IFERROR(VLOOKUP($AE11,costs!$A$2:$I$2905,AI$2,FALSE),0)</f>
        <v>0</v>
      </c>
      <c r="AJ11" s="372">
        <f>IFERROR(VLOOKUP($AE11,costs!$A$2:$I$2905,AJ$2,FALSE),0)</f>
        <v>0</v>
      </c>
      <c r="AK11" s="372">
        <f>IFERROR(VLOOKUP($AE11,costs!$A$2:$I$2905,AK$2,FALSE),0)</f>
        <v>0</v>
      </c>
      <c r="AL11" s="372">
        <f>IFERROR(VLOOKUP($AE11,costs!$A$2:$I$2905,AL$2,FALSE),0)</f>
        <v>0</v>
      </c>
      <c r="AM11" s="372">
        <f>IFERROR(VLOOKUP($AE11,costs!$A$2:$I$2905,AM$2,FALSE),0)</f>
        <v>0</v>
      </c>
      <c r="AO11" s="40" t="s">
        <v>439</v>
      </c>
      <c r="AP11" s="372">
        <f>IFERROR(VLOOKUP($AO11,costs!$A$2:$I$2905,AP$2,FALSE),0)</f>
        <v>0</v>
      </c>
      <c r="AQ11" s="372">
        <f>IFERROR(VLOOKUP($AO11,costs!$A$2:$I$2905,AQ$2,FALSE),0)</f>
        <v>0</v>
      </c>
      <c r="AR11" s="372">
        <f>IFERROR(VLOOKUP($AO11,costs!$A$2:$I$2905,AR$2,FALSE),0)</f>
        <v>0</v>
      </c>
      <c r="AS11" s="372">
        <f>IFERROR(VLOOKUP($AO11,costs!$A$2:$I$2905,AS$2,FALSE),0)</f>
        <v>0</v>
      </c>
      <c r="AT11" s="372">
        <f>IFERROR(VLOOKUP($AO11,costs!$A$2:$I$2905,AT$2,FALSE),0)</f>
        <v>0</v>
      </c>
      <c r="AU11" s="372">
        <f>IFERROR(VLOOKUP($AO11,costs!$A$2:$I$2905,AU$2,FALSE),0)</f>
        <v>0</v>
      </c>
      <c r="AV11" s="372">
        <f>IFERROR(VLOOKUP($AO11,costs!$A$2:$I$2905,AV$2,FALSE),0)</f>
        <v>0</v>
      </c>
      <c r="AW11" s="372">
        <f>IFERROR(VLOOKUP($AO11,costs!$A$2:$I$2905,AW$2,FALSE),0)</f>
        <v>0</v>
      </c>
      <c r="AY11" s="40" t="s">
        <v>185</v>
      </c>
      <c r="AZ11" s="372">
        <f>IFERROR(VLOOKUP($AY11,costs!$A$2:$I$2905,AZ$2,FALSE),0)</f>
        <v>0</v>
      </c>
      <c r="BA11" s="372">
        <f>IFERROR(VLOOKUP($AY11,costs!$A$2:$I$2905,BA$2,FALSE),0)</f>
        <v>0</v>
      </c>
      <c r="BB11" s="372">
        <f>IFERROR(VLOOKUP($AY11,costs!$A$2:$I$2905,BB$2,FALSE),0)</f>
        <v>0</v>
      </c>
      <c r="BC11" s="372">
        <f>IFERROR(VLOOKUP($AY11,costs!$A$2:$I$2905,BC$2,FALSE),0)</f>
        <v>0</v>
      </c>
      <c r="BD11" s="372">
        <f>IFERROR(VLOOKUP($AY11,costs!$A$2:$I$2905,BD$2,FALSE),0)</f>
        <v>0</v>
      </c>
      <c r="BE11" s="372">
        <f>IFERROR(VLOOKUP($AY11,costs!$A$2:$I$2905,BE$2,FALSE),0)</f>
        <v>0</v>
      </c>
      <c r="BF11" s="372">
        <f>IFERROR(VLOOKUP($AY11,costs!$A$2:$I$2905,BF$2,FALSE),0)</f>
        <v>0</v>
      </c>
      <c r="BG11" s="372">
        <f>IFERROR(VLOOKUP($AY11,costs!$A$2:$I$2905,BG$2,FALSE),0)</f>
        <v>0</v>
      </c>
    </row>
    <row r="12" spans="1:59" x14ac:dyDescent="0.35">
      <c r="A12" s="133" t="s">
        <v>2027</v>
      </c>
      <c r="B12" s="350" t="e">
        <f>SUM(B4:B11)</f>
        <v>#N/A</v>
      </c>
      <c r="C12" s="350" t="e">
        <f t="shared" ref="C12:I12" si="8">SUM(C4:C11)</f>
        <v>#N/A</v>
      </c>
      <c r="D12" s="350" t="e">
        <f t="shared" si="8"/>
        <v>#N/A</v>
      </c>
      <c r="E12" s="350" t="e">
        <f t="shared" si="8"/>
        <v>#N/A</v>
      </c>
      <c r="F12" s="350" t="e">
        <f t="shared" si="8"/>
        <v>#N/A</v>
      </c>
      <c r="G12" s="350" t="e">
        <f t="shared" si="8"/>
        <v>#N/A</v>
      </c>
      <c r="H12" s="350" t="e">
        <f t="shared" si="8"/>
        <v>#N/A</v>
      </c>
      <c r="I12" s="350" t="e">
        <f t="shared" si="8"/>
        <v>#N/A</v>
      </c>
      <c r="K12" s="269" t="s">
        <v>232</v>
      </c>
      <c r="L12" s="372">
        <f>IFERROR(VLOOKUP($K12,costs!$A$2:$I$2905,L$2,FALSE),0)</f>
        <v>0</v>
      </c>
      <c r="M12" s="372">
        <f>IFERROR(VLOOKUP($K12,costs!$A$2:$I$2905,M$2,FALSE),0)</f>
        <v>0</v>
      </c>
      <c r="N12" s="372">
        <f>IFERROR(VLOOKUP($K12,costs!$A$2:$I$2905,N$2,FALSE),0)</f>
        <v>0</v>
      </c>
      <c r="O12" s="372">
        <f>IFERROR(VLOOKUP($K12,costs!$A$2:$I$2905,O$2,FALSE),0)</f>
        <v>0</v>
      </c>
      <c r="P12" s="372">
        <f>IFERROR(VLOOKUP($K12,costs!$A$2:$I$2905,P$2,FALSE),0)</f>
        <v>0</v>
      </c>
      <c r="Q12" s="372">
        <f>IFERROR(VLOOKUP($K12,costs!$A$2:$I$2905,Q$2,FALSE),0)</f>
        <v>0</v>
      </c>
      <c r="R12" s="372">
        <f>IFERROR(VLOOKUP($K12,costs!$A$2:$I$2905,R$2,FALSE),0)</f>
        <v>0</v>
      </c>
      <c r="S12" s="372">
        <f>IFERROR(VLOOKUP($K12,costs!$A$2:$I$2905,S$2,FALSE),0)</f>
        <v>0</v>
      </c>
      <c r="U12" s="40" t="s">
        <v>275</v>
      </c>
      <c r="V12" s="372">
        <f>IFERROR(VLOOKUP($U12,costs!$A$2:$I$2905,V$2,FALSE),0)</f>
        <v>0</v>
      </c>
      <c r="W12" s="372">
        <f>IFERROR(VLOOKUP($U12,costs!$A$2:$I$2905,W$2,FALSE),0)</f>
        <v>0</v>
      </c>
      <c r="X12" s="372">
        <f>IFERROR(VLOOKUP($U12,costs!$A$2:$I$2905,X$2,FALSE),0)</f>
        <v>0</v>
      </c>
      <c r="Y12" s="372">
        <f>IFERROR(VLOOKUP($U12,costs!$A$2:$I$2905,Y$2,FALSE),0)</f>
        <v>0</v>
      </c>
      <c r="Z12" s="372">
        <f>IFERROR(VLOOKUP($U12,costs!$A$2:$I$2905,Z$2,FALSE),0)</f>
        <v>0</v>
      </c>
      <c r="AA12" s="372">
        <f>IFERROR(VLOOKUP($U12,costs!$A$2:$I$2905,AA$2,FALSE),0)</f>
        <v>0</v>
      </c>
      <c r="AB12" s="372">
        <f>IFERROR(VLOOKUP($U12,costs!$A$2:$I$2905,AB$2,FALSE),0)</f>
        <v>0</v>
      </c>
      <c r="AC12" s="372">
        <f>IFERROR(VLOOKUP($U12,costs!$A$2:$I$2905,AC$2,FALSE),0)</f>
        <v>0</v>
      </c>
      <c r="AE12" s="40" t="s">
        <v>205</v>
      </c>
      <c r="AF12" s="372">
        <f>IFERROR(VLOOKUP($AE12,costs!$A$2:$I$2905,AF$2,FALSE),0)</f>
        <v>0</v>
      </c>
      <c r="AG12" s="372">
        <f>IFERROR(VLOOKUP($AE12,costs!$A$2:$I$2905,AG$2,FALSE),0)</f>
        <v>0</v>
      </c>
      <c r="AH12" s="372">
        <f>IFERROR(VLOOKUP($AE12,costs!$A$2:$I$2905,AH$2,FALSE),0)</f>
        <v>0</v>
      </c>
      <c r="AI12" s="372">
        <f>IFERROR(VLOOKUP($AE12,costs!$A$2:$I$2905,AI$2,FALSE),0)</f>
        <v>0</v>
      </c>
      <c r="AJ12" s="372">
        <f>IFERROR(VLOOKUP($AE12,costs!$A$2:$I$2905,AJ$2,FALSE),0)</f>
        <v>0</v>
      </c>
      <c r="AK12" s="372">
        <f>IFERROR(VLOOKUP($AE12,costs!$A$2:$I$2905,AK$2,FALSE),0)</f>
        <v>0</v>
      </c>
      <c r="AL12" s="372">
        <f>IFERROR(VLOOKUP($AE12,costs!$A$2:$I$2905,AL$2,FALSE),0)</f>
        <v>0</v>
      </c>
      <c r="AM12" s="372">
        <f>IFERROR(VLOOKUP($AE12,costs!$A$2:$I$2905,AM$2,FALSE),0)</f>
        <v>0</v>
      </c>
      <c r="AO12" s="40" t="s">
        <v>112</v>
      </c>
      <c r="AP12" s="372">
        <f>IFERROR(VLOOKUP($AO12,costs!$A$2:$I$2905,AP$2,FALSE),0)</f>
        <v>0</v>
      </c>
      <c r="AQ12" s="372">
        <f>IFERROR(VLOOKUP($AO12,costs!$A$2:$I$2905,AQ$2,FALSE),0)</f>
        <v>0</v>
      </c>
      <c r="AR12" s="372">
        <f>IFERROR(VLOOKUP($AO12,costs!$A$2:$I$2905,AR$2,FALSE),0)</f>
        <v>0</v>
      </c>
      <c r="AS12" s="372">
        <f>IFERROR(VLOOKUP($AO12,costs!$A$2:$I$2905,AS$2,FALSE),0)</f>
        <v>0</v>
      </c>
      <c r="AT12" s="372">
        <f>IFERROR(VLOOKUP($AO12,costs!$A$2:$I$2905,AT$2,FALSE),0)</f>
        <v>0</v>
      </c>
      <c r="AU12" s="372">
        <f>IFERROR(VLOOKUP($AO12,costs!$A$2:$I$2905,AU$2,FALSE),0)</f>
        <v>0</v>
      </c>
      <c r="AV12" s="372">
        <f>IFERROR(VLOOKUP($AO12,costs!$A$2:$I$2905,AV$2,FALSE),0)</f>
        <v>0</v>
      </c>
      <c r="AW12" s="372">
        <f>IFERROR(VLOOKUP($AO12,costs!$A$2:$I$2905,AW$2,FALSE),0)</f>
        <v>0</v>
      </c>
      <c r="AY12" s="949" t="s">
        <v>494</v>
      </c>
      <c r="AZ12" s="372">
        <f>IFERROR(VLOOKUP($AY12,costs!$A$2:$I$2905,AZ$2,FALSE),0)</f>
        <v>0</v>
      </c>
      <c r="BA12" s="372">
        <f>IFERROR(VLOOKUP($AY12,costs!$A$2:$I$2905,BA$2,FALSE),0)</f>
        <v>0</v>
      </c>
      <c r="BB12" s="372">
        <f>IFERROR(VLOOKUP($AY12,costs!$A$2:$I$2905,BB$2,FALSE),0)</f>
        <v>0</v>
      </c>
      <c r="BC12" s="372">
        <f>IFERROR(VLOOKUP($AY12,costs!$A$2:$I$2905,BC$2,FALSE),0)</f>
        <v>0</v>
      </c>
      <c r="BD12" s="372">
        <f>IFERROR(VLOOKUP($AY12,costs!$A$2:$I$2905,BD$2,FALSE),0)</f>
        <v>0</v>
      </c>
      <c r="BE12" s="372">
        <f>IFERROR(VLOOKUP($AY12,costs!$A$2:$I$2905,BE$2,FALSE),0)</f>
        <v>0</v>
      </c>
      <c r="BF12" s="372">
        <f>IFERROR(VLOOKUP($AY12,costs!$A$2:$I$2905,BF$2,FALSE),0)</f>
        <v>0</v>
      </c>
      <c r="BG12" s="372">
        <f>IFERROR(VLOOKUP($AY12,costs!$A$2:$I$2905,BG$2,FALSE),0)</f>
        <v>0</v>
      </c>
    </row>
    <row r="13" spans="1:59" x14ac:dyDescent="0.35">
      <c r="B13" s="146"/>
      <c r="K13" s="268" t="s">
        <v>262</v>
      </c>
      <c r="L13" s="372">
        <f>IFERROR(VLOOKUP($K13,costs!$A$2:$I$2905,L$2,FALSE),0)</f>
        <v>0</v>
      </c>
      <c r="M13" s="372">
        <f>IFERROR(VLOOKUP($K13,costs!$A$2:$I$2905,M$2,FALSE),0)</f>
        <v>0</v>
      </c>
      <c r="N13" s="372">
        <f>IFERROR(VLOOKUP($K13,costs!$A$2:$I$2905,N$2,FALSE),0)</f>
        <v>0</v>
      </c>
      <c r="O13" s="372">
        <f>IFERROR(VLOOKUP($K13,costs!$A$2:$I$2905,O$2,FALSE),0)</f>
        <v>0</v>
      </c>
      <c r="P13" s="372">
        <f>IFERROR(VLOOKUP($K13,costs!$A$2:$I$2905,P$2,FALSE),0)</f>
        <v>0</v>
      </c>
      <c r="Q13" s="372">
        <f>IFERROR(VLOOKUP($K13,costs!$A$2:$I$2905,Q$2,FALSE),0)</f>
        <v>0</v>
      </c>
      <c r="R13" s="372">
        <f>IFERROR(VLOOKUP($K13,costs!$A$2:$I$2905,R$2,FALSE),0)</f>
        <v>0</v>
      </c>
      <c r="S13" s="372">
        <f>IFERROR(VLOOKUP($K13,costs!$A$2:$I$2905,S$2,FALSE),0)</f>
        <v>0</v>
      </c>
      <c r="U13" s="949" t="s">
        <v>2035</v>
      </c>
      <c r="V13" s="372">
        <f>IFERROR(VLOOKUP($U13,costs!$A$2:$I$2905,V$2,FALSE),0)</f>
        <v>0</v>
      </c>
      <c r="W13" s="372">
        <f>IFERROR(VLOOKUP($U13,costs!$A$2:$I$2905,W$2,FALSE),0)</f>
        <v>0</v>
      </c>
      <c r="X13" s="372">
        <f>IFERROR(VLOOKUP($U13,costs!$A$2:$I$2905,X$2,FALSE),0)</f>
        <v>0</v>
      </c>
      <c r="Y13" s="372">
        <f>IFERROR(VLOOKUP($U13,costs!$A$2:$I$2905,Y$2,FALSE),0)</f>
        <v>0</v>
      </c>
      <c r="Z13" s="372">
        <f>IFERROR(VLOOKUP($U13,costs!$A$2:$I$2905,Z$2,FALSE),0)</f>
        <v>0</v>
      </c>
      <c r="AA13" s="372">
        <f>IFERROR(VLOOKUP($U13,costs!$A$2:$I$2905,AA$2,FALSE),0)</f>
        <v>0</v>
      </c>
      <c r="AB13" s="372">
        <f>IFERROR(VLOOKUP($U13,costs!$A$2:$I$2905,AB$2,FALSE),0)</f>
        <v>0</v>
      </c>
      <c r="AC13" s="372">
        <f>IFERROR(VLOOKUP($U13,costs!$A$2:$I$2905,AC$2,FALSE),0)</f>
        <v>0</v>
      </c>
      <c r="AE13" s="40" t="s">
        <v>4133</v>
      </c>
      <c r="AF13" s="372">
        <f>IFERROR(VLOOKUP($AE13,costs!$A$2:$I$2905,AF$2,FALSE),0)</f>
        <v>0</v>
      </c>
      <c r="AG13" s="372">
        <f>IFERROR(VLOOKUP($AE13,costs!$A$2:$I$2905,AG$2,FALSE),0)</f>
        <v>0</v>
      </c>
      <c r="AH13" s="372">
        <f>IFERROR(VLOOKUP($AE13,costs!$A$2:$I$2905,AH$2,FALSE),0)</f>
        <v>0</v>
      </c>
      <c r="AI13" s="372">
        <f>IFERROR(VLOOKUP($AE13,costs!$A$2:$I$2905,AI$2,FALSE),0)</f>
        <v>0</v>
      </c>
      <c r="AJ13" s="372">
        <f>IFERROR(VLOOKUP($AE13,costs!$A$2:$I$2905,AJ$2,FALSE),0)</f>
        <v>0</v>
      </c>
      <c r="AK13" s="372">
        <f>IFERROR(VLOOKUP($AE13,costs!$A$2:$I$2905,AK$2,FALSE),0)</f>
        <v>0</v>
      </c>
      <c r="AL13" s="372">
        <f>IFERROR(VLOOKUP($AE13,costs!$A$2:$I$2905,AL$2,FALSE),0)</f>
        <v>0</v>
      </c>
      <c r="AM13" s="372">
        <f>IFERROR(VLOOKUP($AE13,costs!$A$2:$I$2905,AM$2,FALSE),0)</f>
        <v>0</v>
      </c>
      <c r="AO13" s="40" t="s">
        <v>2148</v>
      </c>
      <c r="AP13" s="372">
        <f>IFERROR(VLOOKUP($AO13,costs!$A$2:$I$2905,AP$2,FALSE),0)</f>
        <v>0</v>
      </c>
      <c r="AQ13" s="372">
        <f>IFERROR(VLOOKUP($AO13,costs!$A$2:$I$2905,AQ$2,FALSE),0)</f>
        <v>0</v>
      </c>
      <c r="AR13" s="372">
        <f>IFERROR(VLOOKUP($AO13,costs!$A$2:$I$2905,AR$2,FALSE),0)</f>
        <v>0</v>
      </c>
      <c r="AS13" s="372">
        <f>IFERROR(VLOOKUP($AO13,costs!$A$2:$I$2905,AS$2,FALSE),0)</f>
        <v>0</v>
      </c>
      <c r="AT13" s="372">
        <f>IFERROR(VLOOKUP($AO13,costs!$A$2:$I$2905,AT$2,FALSE),0)</f>
        <v>0</v>
      </c>
      <c r="AU13" s="372">
        <f>IFERROR(VLOOKUP($AO13,costs!$A$2:$I$2905,AU$2,FALSE),0)</f>
        <v>0</v>
      </c>
      <c r="AV13" s="372">
        <f>IFERROR(VLOOKUP($AO13,costs!$A$2:$I$2905,AV$2,FALSE),0)</f>
        <v>0</v>
      </c>
      <c r="AW13" s="372">
        <f>IFERROR(VLOOKUP($AO13,costs!$A$2:$I$2905,AW$2,FALSE),0)</f>
        <v>0</v>
      </c>
      <c r="AY13" s="40" t="s">
        <v>186</v>
      </c>
      <c r="AZ13" s="372">
        <f>IFERROR(VLOOKUP($AY13,costs!$A$2:$I$2905,AZ$2,FALSE),0)</f>
        <v>0</v>
      </c>
      <c r="BA13" s="372">
        <f>IFERROR(VLOOKUP($AY13,costs!$A$2:$I$2905,BA$2,FALSE),0)</f>
        <v>0</v>
      </c>
      <c r="BB13" s="372">
        <f>IFERROR(VLOOKUP($AY13,costs!$A$2:$I$2905,BB$2,FALSE),0)</f>
        <v>0</v>
      </c>
      <c r="BC13" s="372">
        <f>IFERROR(VLOOKUP($AY13,costs!$A$2:$I$2905,BC$2,FALSE),0)</f>
        <v>0</v>
      </c>
      <c r="BD13" s="372">
        <f>IFERROR(VLOOKUP($AY13,costs!$A$2:$I$2905,BD$2,FALSE),0)</f>
        <v>0</v>
      </c>
      <c r="BE13" s="372">
        <f>IFERROR(VLOOKUP($AY13,costs!$A$2:$I$2905,BE$2,FALSE),0)</f>
        <v>0</v>
      </c>
      <c r="BF13" s="372">
        <f>IFERROR(VLOOKUP($AY13,costs!$A$2:$I$2905,BF$2,FALSE),0)</f>
        <v>0</v>
      </c>
      <c r="BG13" s="372">
        <f>IFERROR(VLOOKUP($AY13,costs!$A$2:$I$2905,BG$2,FALSE),0)</f>
        <v>0</v>
      </c>
    </row>
    <row r="14" spans="1:59" x14ac:dyDescent="0.35">
      <c r="B14" s="133" t="s">
        <v>2185</v>
      </c>
      <c r="C14" s="133">
        <v>2020</v>
      </c>
      <c r="D14" s="133">
        <v>2025</v>
      </c>
      <c r="E14" s="133">
        <v>2030</v>
      </c>
      <c r="F14" s="133">
        <v>2035</v>
      </c>
      <c r="G14" s="133">
        <v>2040</v>
      </c>
      <c r="H14" s="133">
        <v>2045</v>
      </c>
      <c r="I14" s="133">
        <v>2050</v>
      </c>
      <c r="K14" s="269" t="s">
        <v>263</v>
      </c>
      <c r="L14" s="372">
        <f>IFERROR(VLOOKUP($K14,costs!$A$2:$I$2905,L$2,FALSE),0)</f>
        <v>0</v>
      </c>
      <c r="M14" s="372">
        <f>IFERROR(VLOOKUP($K14,costs!$A$2:$I$2905,M$2,FALSE),0)</f>
        <v>0</v>
      </c>
      <c r="N14" s="372">
        <f>IFERROR(VLOOKUP($K14,costs!$A$2:$I$2905,N$2,FALSE),0)</f>
        <v>0</v>
      </c>
      <c r="O14" s="372">
        <f>IFERROR(VLOOKUP($K14,costs!$A$2:$I$2905,O$2,FALSE),0)</f>
        <v>0</v>
      </c>
      <c r="P14" s="372">
        <f>IFERROR(VLOOKUP($K14,costs!$A$2:$I$2905,P$2,FALSE),0)</f>
        <v>0</v>
      </c>
      <c r="Q14" s="372">
        <f>IFERROR(VLOOKUP($K14,costs!$A$2:$I$2905,Q$2,FALSE),0)</f>
        <v>0</v>
      </c>
      <c r="R14" s="372">
        <f>IFERROR(VLOOKUP($K14,costs!$A$2:$I$2905,R$2,FALSE),0)</f>
        <v>0</v>
      </c>
      <c r="S14" s="372">
        <f>IFERROR(VLOOKUP($K14,costs!$A$2:$I$2905,S$2,FALSE),0)</f>
        <v>0</v>
      </c>
      <c r="U14" s="40" t="s">
        <v>497</v>
      </c>
      <c r="V14" s="372">
        <f>IFERROR(VLOOKUP($U14,costs!$A$2:$I$2905,V$2,FALSE),0)</f>
        <v>0</v>
      </c>
      <c r="W14" s="372">
        <f>IFERROR(VLOOKUP($U14,costs!$A$2:$I$2905,W$2,FALSE),0)</f>
        <v>0</v>
      </c>
      <c r="X14" s="372">
        <f>IFERROR(VLOOKUP($U14,costs!$A$2:$I$2905,X$2,FALSE),0)</f>
        <v>0</v>
      </c>
      <c r="Y14" s="372">
        <f>IFERROR(VLOOKUP($U14,costs!$A$2:$I$2905,Y$2,FALSE),0)</f>
        <v>0</v>
      </c>
      <c r="Z14" s="372">
        <f>IFERROR(VLOOKUP($U14,costs!$A$2:$I$2905,Z$2,FALSE),0)</f>
        <v>0</v>
      </c>
      <c r="AA14" s="372">
        <f>IFERROR(VLOOKUP($U14,costs!$A$2:$I$2905,AA$2,FALSE),0)</f>
        <v>0</v>
      </c>
      <c r="AB14" s="372">
        <f>IFERROR(VLOOKUP($U14,costs!$A$2:$I$2905,AB$2,FALSE),0)</f>
        <v>0</v>
      </c>
      <c r="AC14" s="372">
        <f>IFERROR(VLOOKUP($U14,costs!$A$2:$I$2905,AC$2,FALSE),0)</f>
        <v>0</v>
      </c>
      <c r="AE14" s="40" t="s">
        <v>191</v>
      </c>
      <c r="AF14" s="372">
        <f>IFERROR(VLOOKUP($AE14,costs!$A$2:$I$2905,AF$2,FALSE),0)</f>
        <v>0</v>
      </c>
      <c r="AG14" s="372">
        <f>IFERROR(VLOOKUP($AE14,costs!$A$2:$I$2905,AG$2,FALSE),0)</f>
        <v>0</v>
      </c>
      <c r="AH14" s="372">
        <f>IFERROR(VLOOKUP($AE14,costs!$A$2:$I$2905,AH$2,FALSE),0)</f>
        <v>0</v>
      </c>
      <c r="AI14" s="372">
        <f>IFERROR(VLOOKUP($AE14,costs!$A$2:$I$2905,AI$2,FALSE),0)</f>
        <v>0</v>
      </c>
      <c r="AJ14" s="372">
        <f>IFERROR(VLOOKUP($AE14,costs!$A$2:$I$2905,AJ$2,FALSE),0)</f>
        <v>0</v>
      </c>
      <c r="AK14" s="372">
        <f>IFERROR(VLOOKUP($AE14,costs!$A$2:$I$2905,AK$2,FALSE),0)</f>
        <v>0</v>
      </c>
      <c r="AL14" s="372">
        <f>IFERROR(VLOOKUP($AE14,costs!$A$2:$I$2905,AL$2,FALSE),0)</f>
        <v>0</v>
      </c>
      <c r="AM14" s="372">
        <f>IFERROR(VLOOKUP($AE14,costs!$A$2:$I$2905,AM$2,FALSE),0)</f>
        <v>0</v>
      </c>
      <c r="AO14" s="40" t="s">
        <v>113</v>
      </c>
      <c r="AP14" s="372">
        <f>IFERROR(VLOOKUP($AO14,costs!$A$2:$I$2905,AP$2,FALSE),0)</f>
        <v>0</v>
      </c>
      <c r="AQ14" s="372">
        <f>IFERROR(VLOOKUP($AO14,costs!$A$2:$I$2905,AQ$2,FALSE),0)</f>
        <v>0</v>
      </c>
      <c r="AR14" s="372">
        <f>IFERROR(VLOOKUP($AO14,costs!$A$2:$I$2905,AR$2,FALSE),0)</f>
        <v>0</v>
      </c>
      <c r="AS14" s="372">
        <f>IFERROR(VLOOKUP($AO14,costs!$A$2:$I$2905,AS$2,FALSE),0)</f>
        <v>0</v>
      </c>
      <c r="AT14" s="372">
        <f>IFERROR(VLOOKUP($AO14,costs!$A$2:$I$2905,AT$2,FALSE),0)</f>
        <v>0</v>
      </c>
      <c r="AU14" s="372">
        <f>IFERROR(VLOOKUP($AO14,costs!$A$2:$I$2905,AU$2,FALSE),0)</f>
        <v>0</v>
      </c>
      <c r="AV14" s="372">
        <f>IFERROR(VLOOKUP($AO14,costs!$A$2:$I$2905,AV$2,FALSE),0)</f>
        <v>0</v>
      </c>
      <c r="AW14" s="372">
        <f>IFERROR(VLOOKUP($AO14,costs!$A$2:$I$2905,AW$2,FALSE),0)</f>
        <v>0</v>
      </c>
      <c r="AY14" s="949" t="s">
        <v>495</v>
      </c>
      <c r="AZ14" s="372">
        <f>IFERROR(VLOOKUP($AY14,costs!$A$2:$I$2905,AZ$2,FALSE),0)</f>
        <v>0</v>
      </c>
      <c r="BA14" s="372">
        <f>IFERROR(VLOOKUP($AY14,costs!$A$2:$I$2905,BA$2,FALSE),0)</f>
        <v>0</v>
      </c>
      <c r="BB14" s="372">
        <f>IFERROR(VLOOKUP($AY14,costs!$A$2:$I$2905,BB$2,FALSE),0)</f>
        <v>0</v>
      </c>
      <c r="BC14" s="372">
        <f>IFERROR(VLOOKUP($AY14,costs!$A$2:$I$2905,BC$2,FALSE),0)</f>
        <v>0</v>
      </c>
      <c r="BD14" s="372">
        <f>IFERROR(VLOOKUP($AY14,costs!$A$2:$I$2905,BD$2,FALSE),0)</f>
        <v>0</v>
      </c>
      <c r="BE14" s="372">
        <f>IFERROR(VLOOKUP($AY14,costs!$A$2:$I$2905,BE$2,FALSE),0)</f>
        <v>0</v>
      </c>
      <c r="BF14" s="372">
        <f>IFERROR(VLOOKUP($AY14,costs!$A$2:$I$2905,BF$2,FALSE),0)</f>
        <v>0</v>
      </c>
      <c r="BG14" s="372">
        <f>IFERROR(VLOOKUP($AY14,costs!$A$2:$I$2905,BG$2,FALSE),0)</f>
        <v>0</v>
      </c>
    </row>
    <row r="15" spans="1:59" x14ac:dyDescent="0.35">
      <c r="B15" s="900" t="s">
        <v>1313</v>
      </c>
      <c r="C15" s="900">
        <v>0</v>
      </c>
      <c r="D15" s="900">
        <f>D4-$C4</f>
        <v>0</v>
      </c>
      <c r="E15" s="900">
        <f t="shared" ref="D15:I23" si="9">E4-$C4</f>
        <v>0</v>
      </c>
      <c r="F15" s="900">
        <f t="shared" si="9"/>
        <v>0</v>
      </c>
      <c r="G15" s="900">
        <f t="shared" si="9"/>
        <v>0</v>
      </c>
      <c r="H15" s="900">
        <f>H4-$C4</f>
        <v>0</v>
      </c>
      <c r="I15" s="900">
        <f>I4-$C4</f>
        <v>0</v>
      </c>
      <c r="K15" s="268" t="s">
        <v>264</v>
      </c>
      <c r="L15" s="372">
        <f>IFERROR(VLOOKUP($K15,costs!$A$2:$I$2905,L$2,FALSE),0)</f>
        <v>0</v>
      </c>
      <c r="M15" s="372">
        <f>IFERROR(VLOOKUP($K15,costs!$A$2:$I$2905,M$2,FALSE),0)</f>
        <v>0</v>
      </c>
      <c r="N15" s="372">
        <f>IFERROR(VLOOKUP($K15,costs!$A$2:$I$2905,N$2,FALSE),0)</f>
        <v>0</v>
      </c>
      <c r="O15" s="372">
        <f>IFERROR(VLOOKUP($K15,costs!$A$2:$I$2905,O$2,FALSE),0)</f>
        <v>0</v>
      </c>
      <c r="P15" s="372">
        <f>IFERROR(VLOOKUP($K15,costs!$A$2:$I$2905,P$2,FALSE),0)</f>
        <v>0</v>
      </c>
      <c r="Q15" s="372">
        <f>IFERROR(VLOOKUP($K15,costs!$A$2:$I$2905,Q$2,FALSE),0)</f>
        <v>0</v>
      </c>
      <c r="R15" s="372">
        <f>IFERROR(VLOOKUP($K15,costs!$A$2:$I$2905,R$2,FALSE),0)</f>
        <v>0</v>
      </c>
      <c r="S15" s="372">
        <f>IFERROR(VLOOKUP($K15,costs!$A$2:$I$2905,S$2,FALSE),0)</f>
        <v>0</v>
      </c>
      <c r="U15" s="949" t="s">
        <v>498</v>
      </c>
      <c r="V15" s="372">
        <f>IFERROR(VLOOKUP($U15,costs!$A$2:$I$2905,V$2,FALSE),0)</f>
        <v>0</v>
      </c>
      <c r="W15" s="372">
        <f>IFERROR(VLOOKUP($U15,costs!$A$2:$I$2905,W$2,FALSE),0)</f>
        <v>0</v>
      </c>
      <c r="X15" s="372">
        <f>IFERROR(VLOOKUP($U15,costs!$A$2:$I$2905,X$2,FALSE),0)</f>
        <v>0</v>
      </c>
      <c r="Y15" s="372">
        <f>IFERROR(VLOOKUP($U15,costs!$A$2:$I$2905,Y$2,FALSE),0)</f>
        <v>0</v>
      </c>
      <c r="Z15" s="372">
        <f>IFERROR(VLOOKUP($U15,costs!$A$2:$I$2905,Z$2,FALSE),0)</f>
        <v>0</v>
      </c>
      <c r="AA15" s="372">
        <f>IFERROR(VLOOKUP($U15,costs!$A$2:$I$2905,AA$2,FALSE),0)</f>
        <v>0</v>
      </c>
      <c r="AB15" s="372">
        <f>IFERROR(VLOOKUP($U15,costs!$A$2:$I$2905,AB$2,FALSE),0)</f>
        <v>0</v>
      </c>
      <c r="AC15" s="372">
        <f>IFERROR(VLOOKUP($U15,costs!$A$2:$I$2905,AC$2,FALSE),0)</f>
        <v>0</v>
      </c>
      <c r="AE15" s="40" t="s">
        <v>189</v>
      </c>
      <c r="AF15" s="372">
        <f>IFERROR(VLOOKUP($AE15,costs!$A$2:$I$2905,AF$2,FALSE),0)</f>
        <v>0</v>
      </c>
      <c r="AG15" s="372">
        <f>IFERROR(VLOOKUP($AE15,costs!$A$2:$I$2905,AG$2,FALSE),0)</f>
        <v>0</v>
      </c>
      <c r="AH15" s="372">
        <f>IFERROR(VLOOKUP($AE15,costs!$A$2:$I$2905,AH$2,FALSE),0)</f>
        <v>0</v>
      </c>
      <c r="AI15" s="372">
        <f>IFERROR(VLOOKUP($AE15,costs!$A$2:$I$2905,AI$2,FALSE),0)</f>
        <v>0</v>
      </c>
      <c r="AJ15" s="372">
        <f>IFERROR(VLOOKUP($AE15,costs!$A$2:$I$2905,AJ$2,FALSE),0)</f>
        <v>0</v>
      </c>
      <c r="AK15" s="372">
        <f>IFERROR(VLOOKUP($AE15,costs!$A$2:$I$2905,AK$2,FALSE),0)</f>
        <v>0</v>
      </c>
      <c r="AL15" s="372">
        <f>IFERROR(VLOOKUP($AE15,costs!$A$2:$I$2905,AL$2,FALSE),0)</f>
        <v>0</v>
      </c>
      <c r="AM15" s="372">
        <f>IFERROR(VLOOKUP($AE15,costs!$A$2:$I$2905,AM$2,FALSE),0)</f>
        <v>0</v>
      </c>
      <c r="AO15" s="40" t="s">
        <v>109</v>
      </c>
      <c r="AP15" s="372">
        <f>IFERROR(VLOOKUP($AO15,costs!$A$2:$I$2905,AP$2,FALSE),0)</f>
        <v>0</v>
      </c>
      <c r="AQ15" s="372">
        <f>IFERROR(VLOOKUP($AO15,costs!$A$2:$I$2905,AQ$2,FALSE),0)</f>
        <v>0</v>
      </c>
      <c r="AR15" s="372">
        <f>IFERROR(VLOOKUP($AO15,costs!$A$2:$I$2905,AR$2,FALSE),0)</f>
        <v>0</v>
      </c>
      <c r="AS15" s="372">
        <f>IFERROR(VLOOKUP($AO15,costs!$A$2:$I$2905,AS$2,FALSE),0)</f>
        <v>0</v>
      </c>
      <c r="AT15" s="372">
        <f>IFERROR(VLOOKUP($AO15,costs!$A$2:$I$2905,AT$2,FALSE),0)</f>
        <v>0</v>
      </c>
      <c r="AU15" s="372">
        <f>IFERROR(VLOOKUP($AO15,costs!$A$2:$I$2905,AU$2,FALSE),0)</f>
        <v>0</v>
      </c>
      <c r="AV15" s="372">
        <f>IFERROR(VLOOKUP($AO15,costs!$A$2:$I$2905,AV$2,FALSE),0)</f>
        <v>0</v>
      </c>
      <c r="AW15" s="372">
        <f>IFERROR(VLOOKUP($AO15,costs!$A$2:$I$2905,AW$2,FALSE),0)</f>
        <v>0</v>
      </c>
      <c r="AY15" s="40" t="s">
        <v>490</v>
      </c>
      <c r="AZ15" s="372">
        <f>IFERROR(VLOOKUP($AY15,costs!$A$2:$I$2905,AZ$2,FALSE),0)</f>
        <v>0</v>
      </c>
      <c r="BA15" s="372">
        <f>IFERROR(VLOOKUP($AY15,costs!$A$2:$I$2905,BA$2,FALSE),0)</f>
        <v>0</v>
      </c>
      <c r="BB15" s="372">
        <f>IFERROR(VLOOKUP($AY15,costs!$A$2:$I$2905,BB$2,FALSE),0)</f>
        <v>0</v>
      </c>
      <c r="BC15" s="372">
        <f>IFERROR(VLOOKUP($AY15,costs!$A$2:$I$2905,BC$2,FALSE),0)</f>
        <v>0</v>
      </c>
      <c r="BD15" s="372">
        <f>IFERROR(VLOOKUP($AY15,costs!$A$2:$I$2905,BD$2,FALSE),0)</f>
        <v>0</v>
      </c>
      <c r="BE15" s="372">
        <f>IFERROR(VLOOKUP($AY15,costs!$A$2:$I$2905,BE$2,FALSE),0)</f>
        <v>0</v>
      </c>
      <c r="BF15" s="372">
        <f>IFERROR(VLOOKUP($AY15,costs!$A$2:$I$2905,BF$2,FALSE),0)</f>
        <v>0</v>
      </c>
      <c r="BG15" s="372">
        <f>IFERROR(VLOOKUP($AY15,costs!$A$2:$I$2905,BG$2,FALSE),0)</f>
        <v>0</v>
      </c>
    </row>
    <row r="16" spans="1:59" x14ac:dyDescent="0.35">
      <c r="B16" s="900" t="s">
        <v>2029</v>
      </c>
      <c r="C16" s="900">
        <v>0</v>
      </c>
      <c r="D16" s="900" t="e">
        <f>D5-$C5</f>
        <v>#N/A</v>
      </c>
      <c r="E16" s="900" t="e">
        <f t="shared" si="9"/>
        <v>#N/A</v>
      </c>
      <c r="F16" s="900" t="e">
        <f t="shared" si="9"/>
        <v>#N/A</v>
      </c>
      <c r="G16" s="900" t="e">
        <f t="shared" si="9"/>
        <v>#N/A</v>
      </c>
      <c r="H16" s="900" t="e">
        <f t="shared" si="9"/>
        <v>#N/A</v>
      </c>
      <c r="I16" s="900" t="e">
        <f t="shared" si="9"/>
        <v>#N/A</v>
      </c>
      <c r="K16" s="269" t="s">
        <v>272</v>
      </c>
      <c r="L16" s="372">
        <f>IFERROR(VLOOKUP($K16,costs!$A$2:$I$2905,L$2,FALSE),0)</f>
        <v>0</v>
      </c>
      <c r="M16" s="372">
        <f>IFERROR(VLOOKUP($K16,costs!$A$2:$I$2905,M$2,FALSE),0)</f>
        <v>0</v>
      </c>
      <c r="N16" s="372">
        <f>IFERROR(VLOOKUP($K16,costs!$A$2:$I$2905,N$2,FALSE),0)</f>
        <v>0</v>
      </c>
      <c r="O16" s="372">
        <f>IFERROR(VLOOKUP($K16,costs!$A$2:$I$2905,O$2,FALSE),0)</f>
        <v>0</v>
      </c>
      <c r="P16" s="372">
        <f>IFERROR(VLOOKUP($K16,costs!$A$2:$I$2905,P$2,FALSE),0)</f>
        <v>0</v>
      </c>
      <c r="Q16" s="372">
        <f>IFERROR(VLOOKUP($K16,costs!$A$2:$I$2905,Q$2,FALSE),0)</f>
        <v>0</v>
      </c>
      <c r="R16" s="372">
        <f>IFERROR(VLOOKUP($K16,costs!$A$2:$I$2905,R$2,FALSE),0)</f>
        <v>0</v>
      </c>
      <c r="S16" s="372">
        <f>IFERROR(VLOOKUP($K16,costs!$A$2:$I$2905,S$2,FALSE),0)</f>
        <v>0</v>
      </c>
      <c r="U16" s="40" t="s">
        <v>2036</v>
      </c>
      <c r="V16" s="372">
        <f>IFERROR(VLOOKUP($U16,costs!$A$2:$I$2905,V$2,FALSE),0)</f>
        <v>0</v>
      </c>
      <c r="W16" s="372">
        <f>IFERROR(VLOOKUP($U16,costs!$A$2:$I$2905,W$2,FALSE),0)</f>
        <v>0</v>
      </c>
      <c r="X16" s="372">
        <f>IFERROR(VLOOKUP($U16,costs!$A$2:$I$2905,X$2,FALSE),0)</f>
        <v>0</v>
      </c>
      <c r="Y16" s="372">
        <f>IFERROR(VLOOKUP($U16,costs!$A$2:$I$2905,Y$2,FALSE),0)</f>
        <v>0</v>
      </c>
      <c r="Z16" s="372">
        <f>IFERROR(VLOOKUP($U16,costs!$A$2:$I$2905,Z$2,FALSE),0)</f>
        <v>0</v>
      </c>
      <c r="AA16" s="372">
        <f>IFERROR(VLOOKUP($U16,costs!$A$2:$I$2905,AA$2,FALSE),0)</f>
        <v>0</v>
      </c>
      <c r="AB16" s="372">
        <f>IFERROR(VLOOKUP($U16,costs!$A$2:$I$2905,AB$2,FALSE),0)</f>
        <v>0</v>
      </c>
      <c r="AC16" s="372">
        <f>IFERROR(VLOOKUP($U16,costs!$A$2:$I$2905,AC$2,FALSE),0)</f>
        <v>0</v>
      </c>
      <c r="AE16" s="40" t="s">
        <v>188</v>
      </c>
      <c r="AF16" s="372">
        <f>IFERROR(VLOOKUP($AE16,costs!$A$2:$I$2905,AF$2,FALSE),0)</f>
        <v>0</v>
      </c>
      <c r="AG16" s="372">
        <f>IFERROR(VLOOKUP($AE16,costs!$A$2:$I$2905,AG$2,FALSE),0)</f>
        <v>0</v>
      </c>
      <c r="AH16" s="372">
        <f>IFERROR(VLOOKUP($AE16,costs!$A$2:$I$2905,AH$2,FALSE),0)</f>
        <v>0</v>
      </c>
      <c r="AI16" s="372">
        <f>IFERROR(VLOOKUP($AE16,costs!$A$2:$I$2905,AI$2,FALSE),0)</f>
        <v>0</v>
      </c>
      <c r="AJ16" s="372">
        <f>IFERROR(VLOOKUP($AE16,costs!$A$2:$I$2905,AJ$2,FALSE),0)</f>
        <v>0</v>
      </c>
      <c r="AK16" s="372">
        <f>IFERROR(VLOOKUP($AE16,costs!$A$2:$I$2905,AK$2,FALSE),0)</f>
        <v>0</v>
      </c>
      <c r="AL16" s="372">
        <f>IFERROR(VLOOKUP($AE16,costs!$A$2:$I$2905,AL$2,FALSE),0)</f>
        <v>0</v>
      </c>
      <c r="AM16" s="372">
        <f>IFERROR(VLOOKUP($AE16,costs!$A$2:$I$2905,AM$2,FALSE),0)</f>
        <v>0</v>
      </c>
      <c r="AO16" s="40" t="s">
        <v>114</v>
      </c>
      <c r="AP16" s="372">
        <f>IFERROR(VLOOKUP($AO16,costs!$A$2:$I$2905,AP$2,FALSE),0)</f>
        <v>0</v>
      </c>
      <c r="AQ16" s="372">
        <f>IFERROR(VLOOKUP($AO16,costs!$A$2:$I$2905,AQ$2,FALSE),0)</f>
        <v>0</v>
      </c>
      <c r="AR16" s="372">
        <f>IFERROR(VLOOKUP($AO16,costs!$A$2:$I$2905,AR$2,FALSE),0)</f>
        <v>0</v>
      </c>
      <c r="AS16" s="372">
        <f>IFERROR(VLOOKUP($AO16,costs!$A$2:$I$2905,AS$2,FALSE),0)</f>
        <v>0</v>
      </c>
      <c r="AT16" s="372">
        <f>IFERROR(VLOOKUP($AO16,costs!$A$2:$I$2905,AT$2,FALSE),0)</f>
        <v>0</v>
      </c>
      <c r="AU16" s="372">
        <f>IFERROR(VLOOKUP($AO16,costs!$A$2:$I$2905,AU$2,FALSE),0)</f>
        <v>0</v>
      </c>
      <c r="AV16" s="372">
        <f>IFERROR(VLOOKUP($AO16,costs!$A$2:$I$2905,AV$2,FALSE),0)</f>
        <v>0</v>
      </c>
      <c r="AW16" s="372">
        <f>IFERROR(VLOOKUP($AO16,costs!$A$2:$I$2905,AW$2,FALSE),0)</f>
        <v>0</v>
      </c>
      <c r="AY16" s="949" t="s">
        <v>2078</v>
      </c>
      <c r="AZ16" s="372">
        <f>IFERROR(VLOOKUP($AY16,costs!$A$2:$I$2905,AZ$2,FALSE),0)</f>
        <v>0</v>
      </c>
      <c r="BA16" s="372">
        <f>IFERROR(VLOOKUP($AY16,costs!$A$2:$I$2905,BA$2,FALSE),0)</f>
        <v>0</v>
      </c>
      <c r="BB16" s="372">
        <f>IFERROR(VLOOKUP($AY16,costs!$A$2:$I$2905,BB$2,FALSE),0)</f>
        <v>0</v>
      </c>
      <c r="BC16" s="372">
        <f>IFERROR(VLOOKUP($AY16,costs!$A$2:$I$2905,BC$2,FALSE),0)</f>
        <v>0</v>
      </c>
      <c r="BD16" s="372">
        <f>IFERROR(VLOOKUP($AY16,costs!$A$2:$I$2905,BD$2,FALSE),0)</f>
        <v>0</v>
      </c>
      <c r="BE16" s="372">
        <f>IFERROR(VLOOKUP($AY16,costs!$A$2:$I$2905,BE$2,FALSE),0)</f>
        <v>0</v>
      </c>
      <c r="BF16" s="372">
        <f>IFERROR(VLOOKUP($AY16,costs!$A$2:$I$2905,BF$2,FALSE),0)</f>
        <v>0</v>
      </c>
      <c r="BG16" s="372">
        <f>IFERROR(VLOOKUP($AY16,costs!$A$2:$I$2905,BG$2,FALSE),0)</f>
        <v>0</v>
      </c>
    </row>
    <row r="17" spans="2:59" x14ac:dyDescent="0.35">
      <c r="B17" s="900" t="s">
        <v>1314</v>
      </c>
      <c r="C17" s="900">
        <v>0</v>
      </c>
      <c r="D17" s="900" t="e">
        <f t="shared" si="9"/>
        <v>#N/A</v>
      </c>
      <c r="E17" s="900" t="e">
        <f t="shared" si="9"/>
        <v>#N/A</v>
      </c>
      <c r="F17" s="900" t="e">
        <f t="shared" si="9"/>
        <v>#N/A</v>
      </c>
      <c r="G17" s="900" t="e">
        <f t="shared" si="9"/>
        <v>#N/A</v>
      </c>
      <c r="H17" s="900" t="e">
        <f t="shared" si="9"/>
        <v>#N/A</v>
      </c>
      <c r="I17" s="900" t="e">
        <f t="shared" si="9"/>
        <v>#N/A</v>
      </c>
      <c r="K17" s="268" t="s">
        <v>273</v>
      </c>
      <c r="L17" s="372">
        <f>IFERROR(VLOOKUP($K17,costs!$A$2:$I$2905,L$2,FALSE),0)</f>
        <v>0</v>
      </c>
      <c r="M17" s="372">
        <f>IFERROR(VLOOKUP($K17,costs!$A$2:$I$2905,M$2,FALSE),0)</f>
        <v>0</v>
      </c>
      <c r="N17" s="372">
        <f>IFERROR(VLOOKUP($K17,costs!$A$2:$I$2905,N$2,FALSE),0)</f>
        <v>0</v>
      </c>
      <c r="O17" s="372">
        <f>IFERROR(VLOOKUP($K17,costs!$A$2:$I$2905,O$2,FALSE),0)</f>
        <v>0</v>
      </c>
      <c r="P17" s="372">
        <f>IFERROR(VLOOKUP($K17,costs!$A$2:$I$2905,P$2,FALSE),0)</f>
        <v>0</v>
      </c>
      <c r="Q17" s="372">
        <f>IFERROR(VLOOKUP($K17,costs!$A$2:$I$2905,Q$2,FALSE),0)</f>
        <v>0</v>
      </c>
      <c r="R17" s="372">
        <f>IFERROR(VLOOKUP($K17,costs!$A$2:$I$2905,R$2,FALSE),0)</f>
        <v>0</v>
      </c>
      <c r="S17" s="372">
        <f>IFERROR(VLOOKUP($K17,costs!$A$2:$I$2905,S$2,FALSE),0)</f>
        <v>0</v>
      </c>
      <c r="U17" s="949" t="s">
        <v>174</v>
      </c>
      <c r="V17" s="372">
        <f>IFERROR(VLOOKUP($U17,costs!$A$2:$I$2905,V$2,FALSE),0)</f>
        <v>0</v>
      </c>
      <c r="W17" s="372">
        <f>IFERROR(VLOOKUP($U17,costs!$A$2:$I$2905,W$2,FALSE),0)</f>
        <v>0</v>
      </c>
      <c r="X17" s="372">
        <f>IFERROR(VLOOKUP($U17,costs!$A$2:$I$2905,X$2,FALSE),0)</f>
        <v>0</v>
      </c>
      <c r="Y17" s="372">
        <f>IFERROR(VLOOKUP($U17,costs!$A$2:$I$2905,Y$2,FALSE),0)</f>
        <v>0</v>
      </c>
      <c r="Z17" s="372">
        <f>IFERROR(VLOOKUP($U17,costs!$A$2:$I$2905,Z$2,FALSE),0)</f>
        <v>0</v>
      </c>
      <c r="AA17" s="372">
        <f>IFERROR(VLOOKUP($U17,costs!$A$2:$I$2905,AA$2,FALSE),0)</f>
        <v>0</v>
      </c>
      <c r="AB17" s="372">
        <f>IFERROR(VLOOKUP($U17,costs!$A$2:$I$2905,AB$2,FALSE),0)</f>
        <v>0</v>
      </c>
      <c r="AC17" s="372">
        <f>IFERROR(VLOOKUP($U17,costs!$A$2:$I$2905,AC$2,FALSE),0)</f>
        <v>0</v>
      </c>
      <c r="AE17" s="40" t="s">
        <v>192</v>
      </c>
      <c r="AF17" s="372">
        <f>IFERROR(VLOOKUP($AE17,costs!$A$2:$I$2905,AF$2,FALSE),0)</f>
        <v>0</v>
      </c>
      <c r="AG17" s="372">
        <f>IFERROR(VLOOKUP($AE17,costs!$A$2:$I$2905,AG$2,FALSE),0)</f>
        <v>0</v>
      </c>
      <c r="AH17" s="372">
        <f>IFERROR(VLOOKUP($AE17,costs!$A$2:$I$2905,AH$2,FALSE),0)</f>
        <v>0</v>
      </c>
      <c r="AI17" s="372">
        <f>IFERROR(VLOOKUP($AE17,costs!$A$2:$I$2905,AI$2,FALSE),0)</f>
        <v>0</v>
      </c>
      <c r="AJ17" s="372">
        <f>IFERROR(VLOOKUP($AE17,costs!$A$2:$I$2905,AJ$2,FALSE),0)</f>
        <v>0</v>
      </c>
      <c r="AK17" s="372">
        <f>IFERROR(VLOOKUP($AE17,costs!$A$2:$I$2905,AK$2,FALSE),0)</f>
        <v>0</v>
      </c>
      <c r="AL17" s="372">
        <f>IFERROR(VLOOKUP($AE17,costs!$A$2:$I$2905,AL$2,FALSE),0)</f>
        <v>0</v>
      </c>
      <c r="AM17" s="372">
        <f>IFERROR(VLOOKUP($AE17,costs!$A$2:$I$2905,AM$2,FALSE),0)</f>
        <v>0</v>
      </c>
      <c r="AO17" s="40" t="s">
        <v>110</v>
      </c>
      <c r="AP17" s="372">
        <f>IFERROR(VLOOKUP($AO17,costs!$A$2:$I$2905,AP$2,FALSE),0)</f>
        <v>0</v>
      </c>
      <c r="AQ17" s="372">
        <f>IFERROR(VLOOKUP($AO17,costs!$A$2:$I$2905,AQ$2,FALSE),0)</f>
        <v>0</v>
      </c>
      <c r="AR17" s="372">
        <f>IFERROR(VLOOKUP($AO17,costs!$A$2:$I$2905,AR$2,FALSE),0)</f>
        <v>0</v>
      </c>
      <c r="AS17" s="372">
        <f>IFERROR(VLOOKUP($AO17,costs!$A$2:$I$2905,AS$2,FALSE),0)</f>
        <v>0</v>
      </c>
      <c r="AT17" s="372">
        <f>IFERROR(VLOOKUP($AO17,costs!$A$2:$I$2905,AT$2,FALSE),0)</f>
        <v>0</v>
      </c>
      <c r="AU17" s="372">
        <f>IFERROR(VLOOKUP($AO17,costs!$A$2:$I$2905,AU$2,FALSE),0)</f>
        <v>0</v>
      </c>
      <c r="AV17" s="372">
        <f>IFERROR(VLOOKUP($AO17,costs!$A$2:$I$2905,AV$2,FALSE),0)</f>
        <v>0</v>
      </c>
      <c r="AW17" s="372">
        <f>IFERROR(VLOOKUP($AO17,costs!$A$2:$I$2905,AW$2,FALSE),0)</f>
        <v>0</v>
      </c>
      <c r="AY17" s="40" t="s">
        <v>409</v>
      </c>
      <c r="AZ17" s="372">
        <f>IFERROR(VLOOKUP($AY17,costs!$A$2:$I$2905,AZ$2,FALSE),0)</f>
        <v>0</v>
      </c>
      <c r="BA17" s="372">
        <f>IFERROR(VLOOKUP($AY17,costs!$A$2:$I$2905,BA$2,FALSE),0)</f>
        <v>0</v>
      </c>
      <c r="BB17" s="372">
        <f>IFERROR(VLOOKUP($AY17,costs!$A$2:$I$2905,BB$2,FALSE),0)</f>
        <v>0</v>
      </c>
      <c r="BC17" s="372">
        <f>IFERROR(VLOOKUP($AY17,costs!$A$2:$I$2905,BC$2,FALSE),0)</f>
        <v>0</v>
      </c>
      <c r="BD17" s="372">
        <f>IFERROR(VLOOKUP($AY17,costs!$A$2:$I$2905,BD$2,FALSE),0)</f>
        <v>0</v>
      </c>
      <c r="BE17" s="372">
        <f>IFERROR(VLOOKUP($AY17,costs!$A$2:$I$2905,BE$2,FALSE),0)</f>
        <v>0</v>
      </c>
      <c r="BF17" s="372">
        <f>IFERROR(VLOOKUP($AY17,costs!$A$2:$I$2905,BF$2,FALSE),0)</f>
        <v>0</v>
      </c>
      <c r="BG17" s="372">
        <f>IFERROR(VLOOKUP($AY17,costs!$A$2:$I$2905,BG$2,FALSE),0)</f>
        <v>0</v>
      </c>
    </row>
    <row r="18" spans="2:59" x14ac:dyDescent="0.35">
      <c r="B18" s="900" t="s">
        <v>2028</v>
      </c>
      <c r="C18" s="900">
        <v>0</v>
      </c>
      <c r="D18" s="900">
        <f t="shared" si="9"/>
        <v>0</v>
      </c>
      <c r="E18" s="900">
        <f>E7-$C7</f>
        <v>0</v>
      </c>
      <c r="F18" s="900">
        <f t="shared" si="9"/>
        <v>0</v>
      </c>
      <c r="G18" s="900">
        <f t="shared" si="9"/>
        <v>0</v>
      </c>
      <c r="H18" s="900">
        <f t="shared" si="9"/>
        <v>0</v>
      </c>
      <c r="I18" s="900">
        <f t="shared" si="9"/>
        <v>0</v>
      </c>
      <c r="K18" s="269" t="s">
        <v>293</v>
      </c>
      <c r="L18" s="372">
        <f>IFERROR(VLOOKUP($K18,costs!$A$2:$I$2905,L$2,FALSE),0)</f>
        <v>0</v>
      </c>
      <c r="M18" s="372">
        <f>IFERROR(VLOOKUP($K18,costs!$A$2:$I$2905,M$2,FALSE),0)</f>
        <v>0</v>
      </c>
      <c r="N18" s="372">
        <f>IFERROR(VLOOKUP($K18,costs!$A$2:$I$2905,N$2,FALSE),0)</f>
        <v>0</v>
      </c>
      <c r="O18" s="372">
        <f>IFERROR(VLOOKUP($K18,costs!$A$2:$I$2905,O$2,FALSE),0)</f>
        <v>0</v>
      </c>
      <c r="P18" s="372">
        <f>IFERROR(VLOOKUP($K18,costs!$A$2:$I$2905,P$2,FALSE),0)</f>
        <v>0</v>
      </c>
      <c r="Q18" s="372">
        <f>IFERROR(VLOOKUP($K18,costs!$A$2:$I$2905,Q$2,FALSE),0)</f>
        <v>0</v>
      </c>
      <c r="R18" s="372">
        <f>IFERROR(VLOOKUP($K18,costs!$A$2:$I$2905,R$2,FALSE),0)</f>
        <v>0</v>
      </c>
      <c r="S18" s="372">
        <f>IFERROR(VLOOKUP($K18,costs!$A$2:$I$2905,S$2,FALSE),0)</f>
        <v>0</v>
      </c>
      <c r="U18" s="40" t="s">
        <v>175</v>
      </c>
      <c r="V18" s="372">
        <f>IFERROR(VLOOKUP($U18,costs!$A$2:$I$2905,V$2,FALSE),0)</f>
        <v>0</v>
      </c>
      <c r="W18" s="372">
        <f>IFERROR(VLOOKUP($U18,costs!$A$2:$I$2905,W$2,FALSE),0)</f>
        <v>0</v>
      </c>
      <c r="X18" s="372">
        <f>IFERROR(VLOOKUP($U18,costs!$A$2:$I$2905,X$2,FALSE),0)</f>
        <v>0</v>
      </c>
      <c r="Y18" s="372">
        <f>IFERROR(VLOOKUP($U18,costs!$A$2:$I$2905,Y$2,FALSE),0)</f>
        <v>0</v>
      </c>
      <c r="Z18" s="372">
        <f>IFERROR(VLOOKUP($U18,costs!$A$2:$I$2905,Z$2,FALSE),0)</f>
        <v>0</v>
      </c>
      <c r="AA18" s="372">
        <f>IFERROR(VLOOKUP($U18,costs!$A$2:$I$2905,AA$2,FALSE),0)</f>
        <v>0</v>
      </c>
      <c r="AB18" s="372">
        <f>IFERROR(VLOOKUP($U18,costs!$A$2:$I$2905,AB$2,FALSE),0)</f>
        <v>0</v>
      </c>
      <c r="AC18" s="372">
        <f>IFERROR(VLOOKUP($U18,costs!$A$2:$I$2905,AC$2,FALSE),0)</f>
        <v>0</v>
      </c>
      <c r="AE18" s="40" t="s">
        <v>190</v>
      </c>
      <c r="AF18" s="372">
        <f>IFERROR(VLOOKUP($AE18,costs!$A$2:$I$2905,AF$2,FALSE),0)</f>
        <v>0</v>
      </c>
      <c r="AG18" s="372">
        <f>IFERROR(VLOOKUP($AE18,costs!$A$2:$I$2905,AG$2,FALSE),0)</f>
        <v>0</v>
      </c>
      <c r="AH18" s="372">
        <f>IFERROR(VLOOKUP($AE18,costs!$A$2:$I$2905,AH$2,FALSE),0)</f>
        <v>0</v>
      </c>
      <c r="AI18" s="372">
        <f>IFERROR(VLOOKUP($AE18,costs!$A$2:$I$2905,AI$2,FALSE),0)</f>
        <v>0</v>
      </c>
      <c r="AJ18" s="372">
        <f>IFERROR(VLOOKUP($AE18,costs!$A$2:$I$2905,AJ$2,FALSE),0)</f>
        <v>0</v>
      </c>
      <c r="AK18" s="372">
        <f>IFERROR(VLOOKUP($AE18,costs!$A$2:$I$2905,AK$2,FALSE),0)</f>
        <v>0</v>
      </c>
      <c r="AL18" s="372">
        <f>IFERROR(VLOOKUP($AE18,costs!$A$2:$I$2905,AL$2,FALSE),0)</f>
        <v>0</v>
      </c>
      <c r="AM18" s="372">
        <f>IFERROR(VLOOKUP($AE18,costs!$A$2:$I$2905,AM$2,FALSE),0)</f>
        <v>0</v>
      </c>
      <c r="AO18" s="40" t="s">
        <v>22</v>
      </c>
      <c r="AP18" s="372">
        <f>IFERROR(VLOOKUP($AO18,costs!$A$2:$I$2905,AP$2,FALSE),0)</f>
        <v>0</v>
      </c>
      <c r="AQ18" s="372">
        <f>IFERROR(VLOOKUP($AO18,costs!$A$2:$I$2905,AQ$2,FALSE),0)</f>
        <v>0</v>
      </c>
      <c r="AR18" s="372">
        <f>IFERROR(VLOOKUP($AO18,costs!$A$2:$I$2905,AR$2,FALSE),0)</f>
        <v>0</v>
      </c>
      <c r="AS18" s="372">
        <f>IFERROR(VLOOKUP($AO18,costs!$A$2:$I$2905,AS$2,FALSE),0)</f>
        <v>0</v>
      </c>
      <c r="AT18" s="372">
        <f>IFERROR(VLOOKUP($AO18,costs!$A$2:$I$2905,AT$2,FALSE),0)</f>
        <v>0</v>
      </c>
      <c r="AU18" s="372">
        <f>IFERROR(VLOOKUP($AO18,costs!$A$2:$I$2905,AU$2,FALSE),0)</f>
        <v>0</v>
      </c>
      <c r="AV18" s="372">
        <f>IFERROR(VLOOKUP($AO18,costs!$A$2:$I$2905,AV$2,FALSE),0)</f>
        <v>0</v>
      </c>
      <c r="AW18" s="372">
        <f>IFERROR(VLOOKUP($AO18,costs!$A$2:$I$2905,AW$2,FALSE),0)</f>
        <v>0</v>
      </c>
      <c r="AY18" s="949" t="s">
        <v>187</v>
      </c>
      <c r="AZ18" s="372">
        <f>IFERROR(VLOOKUP($AY18,costs!$A$2:$I$2905,AZ$2,FALSE),0)</f>
        <v>0</v>
      </c>
      <c r="BA18" s="372">
        <f>IFERROR(VLOOKUP($AY18,costs!$A$2:$I$2905,BA$2,FALSE),0)</f>
        <v>0</v>
      </c>
      <c r="BB18" s="372">
        <f>IFERROR(VLOOKUP($AY18,costs!$A$2:$I$2905,BB$2,FALSE),0)</f>
        <v>0</v>
      </c>
      <c r="BC18" s="372">
        <f>IFERROR(VLOOKUP($AY18,costs!$A$2:$I$2905,BC$2,FALSE),0)</f>
        <v>0</v>
      </c>
      <c r="BD18" s="372">
        <f>IFERROR(VLOOKUP($AY18,costs!$A$2:$I$2905,BD$2,FALSE),0)</f>
        <v>0</v>
      </c>
      <c r="BE18" s="372">
        <f>IFERROR(VLOOKUP($AY18,costs!$A$2:$I$2905,BE$2,FALSE),0)</f>
        <v>0</v>
      </c>
      <c r="BF18" s="372">
        <f>IFERROR(VLOOKUP($AY18,costs!$A$2:$I$2905,BF$2,FALSE),0)</f>
        <v>0</v>
      </c>
      <c r="BG18" s="372">
        <f>IFERROR(VLOOKUP($AY18,costs!$A$2:$I$2905,BG$2,FALSE),0)</f>
        <v>0</v>
      </c>
    </row>
    <row r="19" spans="2:59" x14ac:dyDescent="0.35">
      <c r="B19" s="900" t="s">
        <v>2030</v>
      </c>
      <c r="C19" s="900">
        <v>0</v>
      </c>
      <c r="D19" s="900">
        <f t="shared" si="9"/>
        <v>0</v>
      </c>
      <c r="E19" s="900">
        <f t="shared" si="9"/>
        <v>0</v>
      </c>
      <c r="F19" s="900">
        <f t="shared" si="9"/>
        <v>0</v>
      </c>
      <c r="G19" s="900">
        <f t="shared" si="9"/>
        <v>0</v>
      </c>
      <c r="H19" s="900">
        <f t="shared" si="9"/>
        <v>0</v>
      </c>
      <c r="I19" s="900">
        <f t="shared" si="9"/>
        <v>0</v>
      </c>
      <c r="K19" s="268" t="s">
        <v>294</v>
      </c>
      <c r="L19" s="372">
        <f>IFERROR(VLOOKUP($K19,costs!$A$2:$I$2905,L$2,FALSE),0)</f>
        <v>0</v>
      </c>
      <c r="M19" s="372">
        <f>IFERROR(VLOOKUP($K19,costs!$A$2:$I$2905,M$2,FALSE),0)</f>
        <v>0</v>
      </c>
      <c r="N19" s="372">
        <f>IFERROR(VLOOKUP($K19,costs!$A$2:$I$2905,N$2,FALSE),0)</f>
        <v>0</v>
      </c>
      <c r="O19" s="372">
        <f>IFERROR(VLOOKUP($K19,costs!$A$2:$I$2905,O$2,FALSE),0)</f>
        <v>0</v>
      </c>
      <c r="P19" s="372">
        <f>IFERROR(VLOOKUP($K19,costs!$A$2:$I$2905,P$2,FALSE),0)</f>
        <v>0</v>
      </c>
      <c r="Q19" s="372">
        <f>IFERROR(VLOOKUP($K19,costs!$A$2:$I$2905,Q$2,FALSE),0)</f>
        <v>0</v>
      </c>
      <c r="R19" s="372">
        <f>IFERROR(VLOOKUP($K19,costs!$A$2:$I$2905,R$2,FALSE),0)</f>
        <v>0</v>
      </c>
      <c r="S19" s="372">
        <f>IFERROR(VLOOKUP($K19,costs!$A$2:$I$2905,S$2,FALSE),0)</f>
        <v>0</v>
      </c>
      <c r="U19" s="949" t="s">
        <v>2037</v>
      </c>
      <c r="V19" s="372">
        <f>IFERROR(VLOOKUP($U19,costs!$A$2:$I$2905,V$2,FALSE),0)</f>
        <v>0</v>
      </c>
      <c r="W19" s="372">
        <f>IFERROR(VLOOKUP($U19,costs!$A$2:$I$2905,W$2,FALSE),0)</f>
        <v>0</v>
      </c>
      <c r="X19" s="372">
        <f>IFERROR(VLOOKUP($U19,costs!$A$2:$I$2905,X$2,FALSE),0)</f>
        <v>0</v>
      </c>
      <c r="Y19" s="372">
        <f>IFERROR(VLOOKUP($U19,costs!$A$2:$I$2905,Y$2,FALSE),0)</f>
        <v>0</v>
      </c>
      <c r="Z19" s="372">
        <f>IFERROR(VLOOKUP($U19,costs!$A$2:$I$2905,Z$2,FALSE),0)</f>
        <v>0</v>
      </c>
      <c r="AA19" s="372">
        <f>IFERROR(VLOOKUP($U19,costs!$A$2:$I$2905,AA$2,FALSE),0)</f>
        <v>0</v>
      </c>
      <c r="AB19" s="372">
        <f>IFERROR(VLOOKUP($U19,costs!$A$2:$I$2905,AB$2,FALSE),0)</f>
        <v>0</v>
      </c>
      <c r="AC19" s="372">
        <f>IFERROR(VLOOKUP($U19,costs!$A$2:$I$2905,AC$2,FALSE),0)</f>
        <v>0</v>
      </c>
      <c r="AE19" s="40" t="s">
        <v>193</v>
      </c>
      <c r="AF19" s="372">
        <f>IFERROR(VLOOKUP($AE19,costs!$A$2:$I$2905,AF$2,FALSE),0)</f>
        <v>0</v>
      </c>
      <c r="AG19" s="372">
        <f>IFERROR(VLOOKUP($AE19,costs!$A$2:$I$2905,AG$2,FALSE),0)</f>
        <v>0</v>
      </c>
      <c r="AH19" s="372">
        <f>IFERROR(VLOOKUP($AE19,costs!$A$2:$I$2905,AH$2,FALSE),0)</f>
        <v>0</v>
      </c>
      <c r="AI19" s="372">
        <f>IFERROR(VLOOKUP($AE19,costs!$A$2:$I$2905,AI$2,FALSE),0)</f>
        <v>0</v>
      </c>
      <c r="AJ19" s="372">
        <f>IFERROR(VLOOKUP($AE19,costs!$A$2:$I$2905,AJ$2,FALSE),0)</f>
        <v>0</v>
      </c>
      <c r="AK19" s="372">
        <f>IFERROR(VLOOKUP($AE19,costs!$A$2:$I$2905,AK$2,FALSE),0)</f>
        <v>0</v>
      </c>
      <c r="AL19" s="372">
        <f>IFERROR(VLOOKUP($AE19,costs!$A$2:$I$2905,AL$2,FALSE),0)</f>
        <v>0</v>
      </c>
      <c r="AM19" s="372">
        <f>IFERROR(VLOOKUP($AE19,costs!$A$2:$I$2905,AM$2,FALSE),0)</f>
        <v>0</v>
      </c>
      <c r="AO19" s="40" t="s">
        <v>111</v>
      </c>
      <c r="AP19" s="372">
        <f>IFERROR(VLOOKUP($AO19,costs!$A$2:$I$2905,AP$2,FALSE),0)</f>
        <v>0</v>
      </c>
      <c r="AQ19" s="372">
        <f>IFERROR(VLOOKUP($AO19,costs!$A$2:$I$2905,AQ$2,FALSE),0)</f>
        <v>0</v>
      </c>
      <c r="AR19" s="372">
        <f>IFERROR(VLOOKUP($AO19,costs!$A$2:$I$2905,AR$2,FALSE),0)</f>
        <v>0</v>
      </c>
      <c r="AS19" s="372">
        <f>IFERROR(VLOOKUP($AO19,costs!$A$2:$I$2905,AS$2,FALSE),0)</f>
        <v>0</v>
      </c>
      <c r="AT19" s="372">
        <f>IFERROR(VLOOKUP($AO19,costs!$A$2:$I$2905,AT$2,FALSE),0)</f>
        <v>0</v>
      </c>
      <c r="AU19" s="372">
        <f>IFERROR(VLOOKUP($AO19,costs!$A$2:$I$2905,AU$2,FALSE),0)</f>
        <v>0</v>
      </c>
      <c r="AV19" s="372">
        <f>IFERROR(VLOOKUP($AO19,costs!$A$2:$I$2905,AV$2,FALSE),0)</f>
        <v>0</v>
      </c>
      <c r="AW19" s="372">
        <f>IFERROR(VLOOKUP($AO19,costs!$A$2:$I$2905,AW$2,FALSE),0)</f>
        <v>0</v>
      </c>
      <c r="AY19" s="40" t="s">
        <v>496</v>
      </c>
      <c r="AZ19" s="372">
        <f>IFERROR(VLOOKUP($AY19,costs!$A$2:$I$2905,AZ$2,FALSE),0)</f>
        <v>0</v>
      </c>
      <c r="BA19" s="372">
        <f>IFERROR(VLOOKUP($AY19,costs!$A$2:$I$2905,BA$2,FALSE),0)</f>
        <v>0</v>
      </c>
      <c r="BB19" s="372">
        <f>IFERROR(VLOOKUP($AY19,costs!$A$2:$I$2905,BB$2,FALSE),0)</f>
        <v>0</v>
      </c>
      <c r="BC19" s="372">
        <f>IFERROR(VLOOKUP($AY19,costs!$A$2:$I$2905,BC$2,FALSE),0)</f>
        <v>0</v>
      </c>
      <c r="BD19" s="372">
        <f>IFERROR(VLOOKUP($AY19,costs!$A$2:$I$2905,BD$2,FALSE),0)</f>
        <v>0</v>
      </c>
      <c r="BE19" s="372">
        <f>IFERROR(VLOOKUP($AY19,costs!$A$2:$I$2905,BE$2,FALSE),0)</f>
        <v>0</v>
      </c>
      <c r="BF19" s="372">
        <f>IFERROR(VLOOKUP($AY19,costs!$A$2:$I$2905,BF$2,FALSE),0)</f>
        <v>0</v>
      </c>
      <c r="BG19" s="372">
        <f>IFERROR(VLOOKUP($AY19,costs!$A$2:$I$2905,BG$2,FALSE),0)</f>
        <v>0</v>
      </c>
    </row>
    <row r="20" spans="2:59" x14ac:dyDescent="0.35">
      <c r="B20" s="900" t="s">
        <v>2179</v>
      </c>
      <c r="C20" s="900">
        <v>0</v>
      </c>
      <c r="D20" s="900">
        <f t="shared" si="9"/>
        <v>0</v>
      </c>
      <c r="E20" s="900">
        <f t="shared" si="9"/>
        <v>0</v>
      </c>
      <c r="F20" s="900">
        <f t="shared" si="9"/>
        <v>0</v>
      </c>
      <c r="G20" s="900">
        <f t="shared" si="9"/>
        <v>0</v>
      </c>
      <c r="H20" s="900">
        <f>H9-$C9</f>
        <v>0</v>
      </c>
      <c r="I20" s="900">
        <f t="shared" si="9"/>
        <v>0</v>
      </c>
      <c r="K20" s="268" t="s">
        <v>226</v>
      </c>
      <c r="L20" s="372">
        <f>IFERROR(VLOOKUP($K20,costs!$A$2:$I$2905,L$2,FALSE),0)</f>
        <v>0</v>
      </c>
      <c r="M20" s="372">
        <f>IFERROR(VLOOKUP($K20,costs!$A$2:$I$2905,M$2,FALSE),0)</f>
        <v>0</v>
      </c>
      <c r="N20" s="372">
        <f>IFERROR(VLOOKUP($K20,costs!$A$2:$I$2905,N$2,FALSE),0)</f>
        <v>0</v>
      </c>
      <c r="O20" s="372">
        <f>IFERROR(VLOOKUP($K20,costs!$A$2:$I$2905,O$2,FALSE),0)</f>
        <v>0</v>
      </c>
      <c r="P20" s="372">
        <f>IFERROR(VLOOKUP($K20,costs!$A$2:$I$2905,P$2,FALSE),0)</f>
        <v>0</v>
      </c>
      <c r="Q20" s="372">
        <f>IFERROR(VLOOKUP($K20,costs!$A$2:$I$2905,Q$2,FALSE),0)</f>
        <v>0</v>
      </c>
      <c r="R20" s="372">
        <f>IFERROR(VLOOKUP($K20,costs!$A$2:$I$2905,R$2,FALSE),0)</f>
        <v>0</v>
      </c>
      <c r="S20" s="372">
        <f>IFERROR(VLOOKUP($K20,costs!$A$2:$I$2905,S$2,FALSE),0)</f>
        <v>0</v>
      </c>
      <c r="U20" s="40" t="s">
        <v>197</v>
      </c>
      <c r="V20" s="372">
        <f>IFERROR(VLOOKUP($U20,costs!$A$2:$I$2905,V$2,FALSE),0)</f>
        <v>0</v>
      </c>
      <c r="W20" s="372">
        <f>IFERROR(VLOOKUP($U20,costs!$A$2:$I$2905,W$2,FALSE),0)</f>
        <v>0</v>
      </c>
      <c r="X20" s="372">
        <f>IFERROR(VLOOKUP($U20,costs!$A$2:$I$2905,X$2,FALSE),0)</f>
        <v>0</v>
      </c>
      <c r="Y20" s="372">
        <f>IFERROR(VLOOKUP($U20,costs!$A$2:$I$2905,Y$2,FALSE),0)</f>
        <v>0</v>
      </c>
      <c r="Z20" s="372">
        <f>IFERROR(VLOOKUP($U20,costs!$A$2:$I$2905,Z$2,FALSE),0)</f>
        <v>0</v>
      </c>
      <c r="AA20" s="372">
        <f>IFERROR(VLOOKUP($U20,costs!$A$2:$I$2905,AA$2,FALSE),0)</f>
        <v>0</v>
      </c>
      <c r="AB20" s="372">
        <f>IFERROR(VLOOKUP($U20,costs!$A$2:$I$2905,AB$2,FALSE),0)</f>
        <v>0</v>
      </c>
      <c r="AC20" s="372">
        <f>IFERROR(VLOOKUP($U20,costs!$A$2:$I$2905,AC$2,FALSE),0)</f>
        <v>0</v>
      </c>
      <c r="AE20" s="40" t="s">
        <v>332</v>
      </c>
      <c r="AF20" s="372">
        <f>IFERROR(VLOOKUP($AE20,costs!$A$2:$I$2905,AF$2,FALSE),0)</f>
        <v>0</v>
      </c>
      <c r="AG20" s="372">
        <f>IFERROR(VLOOKUP($AE20,costs!$A$2:$I$2905,AG$2,FALSE),0)</f>
        <v>0</v>
      </c>
      <c r="AH20" s="372">
        <f>IFERROR(VLOOKUP($AE20,costs!$A$2:$I$2905,AH$2,FALSE),0)</f>
        <v>0</v>
      </c>
      <c r="AI20" s="372">
        <f>IFERROR(VLOOKUP($AE20,costs!$A$2:$I$2905,AI$2,FALSE),0)</f>
        <v>0</v>
      </c>
      <c r="AJ20" s="372">
        <f>IFERROR(VLOOKUP($AE20,costs!$A$2:$I$2905,AJ$2,FALSE),0)</f>
        <v>0</v>
      </c>
      <c r="AK20" s="372">
        <f>IFERROR(VLOOKUP($AE20,costs!$A$2:$I$2905,AK$2,FALSE),0)</f>
        <v>0</v>
      </c>
      <c r="AL20" s="372">
        <f>IFERROR(VLOOKUP($AE20,costs!$A$2:$I$2905,AL$2,FALSE),0)</f>
        <v>0</v>
      </c>
      <c r="AM20" s="372">
        <f>IFERROR(VLOOKUP($AE20,costs!$A$2:$I$2905,AM$2,FALSE),0)</f>
        <v>0</v>
      </c>
      <c r="AO20" s="40" t="s">
        <v>115</v>
      </c>
      <c r="AP20" s="372">
        <f>IFERROR(VLOOKUP($AO20,costs!$A$2:$I$2905,AP$2,FALSE),0)</f>
        <v>0</v>
      </c>
      <c r="AQ20" s="372">
        <f>IFERROR(VLOOKUP($AO20,costs!$A$2:$I$2905,AQ$2,FALSE),0)</f>
        <v>0</v>
      </c>
      <c r="AR20" s="372">
        <f>IFERROR(VLOOKUP($AO20,costs!$A$2:$I$2905,AR$2,FALSE),0)</f>
        <v>0</v>
      </c>
      <c r="AS20" s="372">
        <f>IFERROR(VLOOKUP($AO20,costs!$A$2:$I$2905,AS$2,FALSE),0)</f>
        <v>0</v>
      </c>
      <c r="AT20" s="372">
        <f>IFERROR(VLOOKUP($AO20,costs!$A$2:$I$2905,AT$2,FALSE),0)</f>
        <v>0</v>
      </c>
      <c r="AU20" s="372">
        <f>IFERROR(VLOOKUP($AO20,costs!$A$2:$I$2905,AU$2,FALSE),0)</f>
        <v>0</v>
      </c>
      <c r="AV20" s="372">
        <f>IFERROR(VLOOKUP($AO20,costs!$A$2:$I$2905,AV$2,FALSE),0)</f>
        <v>0</v>
      </c>
      <c r="AW20" s="372">
        <f>IFERROR(VLOOKUP($AO20,costs!$A$2:$I$2905,AW$2,FALSE),0)</f>
        <v>0</v>
      </c>
      <c r="AY20" s="949" t="s">
        <v>491</v>
      </c>
      <c r="AZ20" s="372">
        <f>IFERROR(VLOOKUP($AY20,costs!$A$2:$I$2905,AZ$2,FALSE),0)</f>
        <v>0</v>
      </c>
      <c r="BA20" s="372">
        <f>IFERROR(VLOOKUP($AY20,costs!$A$2:$I$2905,BA$2,FALSE),0)</f>
        <v>0</v>
      </c>
      <c r="BB20" s="372">
        <f>IFERROR(VLOOKUP($AY20,costs!$A$2:$I$2905,BB$2,FALSE),0)</f>
        <v>0</v>
      </c>
      <c r="BC20" s="372">
        <f>IFERROR(VLOOKUP($AY20,costs!$A$2:$I$2905,BC$2,FALSE),0)</f>
        <v>0</v>
      </c>
      <c r="BD20" s="372">
        <f>IFERROR(VLOOKUP($AY20,costs!$A$2:$I$2905,BD$2,FALSE),0)</f>
        <v>0</v>
      </c>
      <c r="BE20" s="372">
        <f>IFERROR(VLOOKUP($AY20,costs!$A$2:$I$2905,BE$2,FALSE),0)</f>
        <v>0</v>
      </c>
      <c r="BF20" s="372">
        <f>IFERROR(VLOOKUP($AY20,costs!$A$2:$I$2905,BF$2,FALSE),0)</f>
        <v>0</v>
      </c>
      <c r="BG20" s="372">
        <f>IFERROR(VLOOKUP($AY20,costs!$A$2:$I$2905,BG$2,FALSE),0)</f>
        <v>0</v>
      </c>
    </row>
    <row r="21" spans="2:59" x14ac:dyDescent="0.35">
      <c r="B21" s="900" t="s">
        <v>2288</v>
      </c>
      <c r="C21" s="900">
        <v>0</v>
      </c>
      <c r="D21" s="900">
        <f t="shared" si="9"/>
        <v>0</v>
      </c>
      <c r="E21" s="900">
        <f t="shared" si="9"/>
        <v>0</v>
      </c>
      <c r="F21" s="900">
        <f t="shared" si="9"/>
        <v>0</v>
      </c>
      <c r="G21" s="900">
        <f t="shared" si="9"/>
        <v>0</v>
      </c>
      <c r="H21" s="900">
        <f t="shared" si="9"/>
        <v>0</v>
      </c>
      <c r="I21" s="900">
        <f t="shared" si="9"/>
        <v>0</v>
      </c>
      <c r="K21" s="269" t="s">
        <v>235</v>
      </c>
      <c r="L21" s="372">
        <f>IFERROR(VLOOKUP($K21,costs!$A$2:$I$2905,L$2,FALSE),0)</f>
        <v>0</v>
      </c>
      <c r="M21" s="372">
        <f>IFERROR(VLOOKUP($K21,costs!$A$2:$I$2905,M$2,FALSE),0)</f>
        <v>0</v>
      </c>
      <c r="N21" s="372">
        <f>IFERROR(VLOOKUP($K21,costs!$A$2:$I$2905,N$2,FALSE),0)</f>
        <v>0</v>
      </c>
      <c r="O21" s="372">
        <f>IFERROR(VLOOKUP($K21,costs!$A$2:$I$2905,O$2,FALSE),0)</f>
        <v>0</v>
      </c>
      <c r="P21" s="372">
        <f>IFERROR(VLOOKUP($K21,costs!$A$2:$I$2905,P$2,FALSE),0)</f>
        <v>0</v>
      </c>
      <c r="Q21" s="372">
        <f>IFERROR(VLOOKUP($K21,costs!$A$2:$I$2905,Q$2,FALSE),0)</f>
        <v>0</v>
      </c>
      <c r="R21" s="372">
        <f>IFERROR(VLOOKUP($K21,costs!$A$2:$I$2905,R$2,FALSE),0)</f>
        <v>0</v>
      </c>
      <c r="S21" s="372">
        <f>IFERROR(VLOOKUP($K21,costs!$A$2:$I$2905,S$2,FALSE),0)</f>
        <v>0</v>
      </c>
      <c r="U21" s="949" t="s">
        <v>2038</v>
      </c>
      <c r="V21" s="372">
        <f>IFERROR(VLOOKUP($U21,costs!$A$2:$I$2905,V$2,FALSE),0)</f>
        <v>0</v>
      </c>
      <c r="W21" s="372">
        <f>IFERROR(VLOOKUP($U21,costs!$A$2:$I$2905,W$2,FALSE),0)</f>
        <v>0</v>
      </c>
      <c r="X21" s="372">
        <f>IFERROR(VLOOKUP($U21,costs!$A$2:$I$2905,X$2,FALSE),0)</f>
        <v>0</v>
      </c>
      <c r="Y21" s="372">
        <f>IFERROR(VLOOKUP($U21,costs!$A$2:$I$2905,Y$2,FALSE),0)</f>
        <v>0</v>
      </c>
      <c r="Z21" s="372">
        <f>IFERROR(VLOOKUP($U21,costs!$A$2:$I$2905,Z$2,FALSE),0)</f>
        <v>0</v>
      </c>
      <c r="AA21" s="372">
        <f>IFERROR(VLOOKUP($U21,costs!$A$2:$I$2905,AA$2,FALSE),0)</f>
        <v>0</v>
      </c>
      <c r="AB21" s="372">
        <f>IFERROR(VLOOKUP($U21,costs!$A$2:$I$2905,AB$2,FALSE),0)</f>
        <v>0</v>
      </c>
      <c r="AC21" s="372">
        <f>IFERROR(VLOOKUP($U21,costs!$A$2:$I$2905,AC$2,FALSE),0)</f>
        <v>0</v>
      </c>
      <c r="AE21" s="40" t="s">
        <v>336</v>
      </c>
      <c r="AF21" s="372">
        <f>IFERROR(VLOOKUP($AE21,costs!$A$2:$I$2905,AF$2,FALSE),0)</f>
        <v>0</v>
      </c>
      <c r="AG21" s="372">
        <f>IFERROR(VLOOKUP($AE21,costs!$A$2:$I$2905,AG$2,FALSE),0)</f>
        <v>0</v>
      </c>
      <c r="AH21" s="372">
        <f>IFERROR(VLOOKUP($AE21,costs!$A$2:$I$2905,AH$2,FALSE),0)</f>
        <v>0</v>
      </c>
      <c r="AI21" s="372">
        <f>IFERROR(VLOOKUP($AE21,costs!$A$2:$I$2905,AI$2,FALSE),0)</f>
        <v>0</v>
      </c>
      <c r="AJ21" s="372">
        <f>IFERROR(VLOOKUP($AE21,costs!$A$2:$I$2905,AJ$2,FALSE),0)</f>
        <v>0</v>
      </c>
      <c r="AK21" s="372">
        <f>IFERROR(VLOOKUP($AE21,costs!$A$2:$I$2905,AK$2,FALSE),0)</f>
        <v>0</v>
      </c>
      <c r="AL21" s="372">
        <f>IFERROR(VLOOKUP($AE21,costs!$A$2:$I$2905,AL$2,FALSE),0)</f>
        <v>0</v>
      </c>
      <c r="AM21" s="372">
        <f>IFERROR(VLOOKUP($AE21,costs!$A$2:$I$2905,AM$2,FALSE),0)</f>
        <v>0</v>
      </c>
      <c r="AO21" s="40" t="s">
        <v>108</v>
      </c>
      <c r="AP21" s="372">
        <f>IFERROR(VLOOKUP($AO21,costs!$A$2:$I$2905,AP$2,FALSE),0)</f>
        <v>0</v>
      </c>
      <c r="AQ21" s="372">
        <f>IFERROR(VLOOKUP($AO21,costs!$A$2:$I$2905,AQ$2,FALSE),0)</f>
        <v>0</v>
      </c>
      <c r="AR21" s="372">
        <f>IFERROR(VLOOKUP($AO21,costs!$A$2:$I$2905,AR$2,FALSE),0)</f>
        <v>0</v>
      </c>
      <c r="AS21" s="372">
        <f>IFERROR(VLOOKUP($AO21,costs!$A$2:$I$2905,AS$2,FALSE),0)</f>
        <v>0</v>
      </c>
      <c r="AT21" s="372">
        <f>IFERROR(VLOOKUP($AO21,costs!$A$2:$I$2905,AT$2,FALSE),0)</f>
        <v>0</v>
      </c>
      <c r="AU21" s="372">
        <f>IFERROR(VLOOKUP($AO21,costs!$A$2:$I$2905,AU$2,FALSE),0)</f>
        <v>0</v>
      </c>
      <c r="AV21" s="372">
        <f>IFERROR(VLOOKUP($AO21,costs!$A$2:$I$2905,AV$2,FALSE),0)</f>
        <v>0</v>
      </c>
      <c r="AW21" s="372">
        <f>IFERROR(VLOOKUP($AO21,costs!$A$2:$I$2905,AW$2,FALSE),0)</f>
        <v>0</v>
      </c>
      <c r="AY21" s="40" t="s">
        <v>213</v>
      </c>
      <c r="AZ21" s="372">
        <f>IFERROR(VLOOKUP($AY21,costs!$A$2:$I$2905,AZ$2,FALSE),0)</f>
        <v>0</v>
      </c>
      <c r="BA21" s="372">
        <f>IFERROR(VLOOKUP($AY21,costs!$A$2:$I$2905,BA$2,FALSE),0)</f>
        <v>0</v>
      </c>
      <c r="BB21" s="372">
        <f>IFERROR(VLOOKUP($AY21,costs!$A$2:$I$2905,BB$2,FALSE),0)</f>
        <v>0</v>
      </c>
      <c r="BC21" s="372">
        <f>IFERROR(VLOOKUP($AY21,costs!$A$2:$I$2905,BC$2,FALSE),0)</f>
        <v>0</v>
      </c>
      <c r="BD21" s="372">
        <f>IFERROR(VLOOKUP($AY21,costs!$A$2:$I$2905,BD$2,FALSE),0)</f>
        <v>0</v>
      </c>
      <c r="BE21" s="372">
        <f>IFERROR(VLOOKUP($AY21,costs!$A$2:$I$2905,BE$2,FALSE),0)</f>
        <v>0</v>
      </c>
      <c r="BF21" s="372">
        <f>IFERROR(VLOOKUP($AY21,costs!$A$2:$I$2905,BF$2,FALSE),0)</f>
        <v>0</v>
      </c>
      <c r="BG21" s="372">
        <f>IFERROR(VLOOKUP($AY21,costs!$A$2:$I$2905,BG$2,FALSE),0)</f>
        <v>0</v>
      </c>
    </row>
    <row r="22" spans="2:59" x14ac:dyDescent="0.35">
      <c r="B22" s="900" t="s">
        <v>2287</v>
      </c>
      <c r="C22" s="900">
        <v>0</v>
      </c>
      <c r="D22" s="900">
        <f t="shared" si="9"/>
        <v>0</v>
      </c>
      <c r="E22" s="900">
        <f t="shared" si="9"/>
        <v>0</v>
      </c>
      <c r="F22" s="900">
        <f t="shared" si="9"/>
        <v>0</v>
      </c>
      <c r="G22" s="900">
        <f t="shared" si="9"/>
        <v>0</v>
      </c>
      <c r="H22" s="900">
        <f t="shared" si="9"/>
        <v>0</v>
      </c>
      <c r="I22" s="900">
        <f>I11-$C11</f>
        <v>0</v>
      </c>
      <c r="K22" s="268" t="s">
        <v>236</v>
      </c>
      <c r="L22" s="372">
        <f>IFERROR(VLOOKUP($K22,costs!$A$2:$I$2905,L$2,FALSE),0)</f>
        <v>0</v>
      </c>
      <c r="M22" s="372">
        <f>IFERROR(VLOOKUP($K22,costs!$A$2:$I$2905,M$2,FALSE),0)</f>
        <v>0</v>
      </c>
      <c r="N22" s="372">
        <f>IFERROR(VLOOKUP($K22,costs!$A$2:$I$2905,N$2,FALSE),0)</f>
        <v>0</v>
      </c>
      <c r="O22" s="372">
        <f>IFERROR(VLOOKUP($K22,costs!$A$2:$I$2905,O$2,FALSE),0)</f>
        <v>0</v>
      </c>
      <c r="P22" s="372">
        <f>IFERROR(VLOOKUP($K22,costs!$A$2:$I$2905,P$2,FALSE),0)</f>
        <v>0</v>
      </c>
      <c r="Q22" s="372">
        <f>IFERROR(VLOOKUP($K22,costs!$A$2:$I$2905,Q$2,FALSE),0)</f>
        <v>0</v>
      </c>
      <c r="R22" s="372">
        <f>IFERROR(VLOOKUP($K22,costs!$A$2:$I$2905,R$2,FALSE),0)</f>
        <v>0</v>
      </c>
      <c r="S22" s="372">
        <f>IFERROR(VLOOKUP($K22,costs!$A$2:$I$2905,S$2,FALSE),0)</f>
        <v>0</v>
      </c>
      <c r="U22" s="40" t="s">
        <v>202</v>
      </c>
      <c r="V22" s="372">
        <f>IFERROR(VLOOKUP($U22,costs!$A$2:$I$2905,V$2,FALSE),0)</f>
        <v>0</v>
      </c>
      <c r="W22" s="372">
        <f>IFERROR(VLOOKUP($U22,costs!$A$2:$I$2905,W$2,FALSE),0)</f>
        <v>0</v>
      </c>
      <c r="X22" s="372">
        <f>IFERROR(VLOOKUP($U22,costs!$A$2:$I$2905,X$2,FALSE),0)</f>
        <v>0</v>
      </c>
      <c r="Y22" s="372">
        <f>IFERROR(VLOOKUP($U22,costs!$A$2:$I$2905,Y$2,FALSE),0)</f>
        <v>0</v>
      </c>
      <c r="Z22" s="372">
        <f>IFERROR(VLOOKUP($U22,costs!$A$2:$I$2905,Z$2,FALSE),0)</f>
        <v>0</v>
      </c>
      <c r="AA22" s="372">
        <f>IFERROR(VLOOKUP($U22,costs!$A$2:$I$2905,AA$2,FALSE),0)</f>
        <v>0</v>
      </c>
      <c r="AB22" s="372">
        <f>IFERROR(VLOOKUP($U22,costs!$A$2:$I$2905,AB$2,FALSE),0)</f>
        <v>0</v>
      </c>
      <c r="AC22" s="372">
        <f>IFERROR(VLOOKUP($U22,costs!$A$2:$I$2905,AC$2,FALSE),0)</f>
        <v>0</v>
      </c>
      <c r="AE22" s="40" t="s">
        <v>328</v>
      </c>
      <c r="AF22" s="372">
        <f>IFERROR(VLOOKUP($AE22,costs!$A$2:$I$2905,AF$2,FALSE),0)</f>
        <v>0</v>
      </c>
      <c r="AG22" s="372">
        <f>IFERROR(VLOOKUP($AE22,costs!$A$2:$I$2905,AG$2,FALSE),0)</f>
        <v>0</v>
      </c>
      <c r="AH22" s="372">
        <f>IFERROR(VLOOKUP($AE22,costs!$A$2:$I$2905,AH$2,FALSE),0)</f>
        <v>0</v>
      </c>
      <c r="AI22" s="372">
        <f>IFERROR(VLOOKUP($AE22,costs!$A$2:$I$2905,AI$2,FALSE),0)</f>
        <v>0</v>
      </c>
      <c r="AJ22" s="372">
        <f>IFERROR(VLOOKUP($AE22,costs!$A$2:$I$2905,AJ$2,FALSE),0)</f>
        <v>0</v>
      </c>
      <c r="AK22" s="372">
        <f>IFERROR(VLOOKUP($AE22,costs!$A$2:$I$2905,AK$2,FALSE),0)</f>
        <v>0</v>
      </c>
      <c r="AL22" s="372">
        <f>IFERROR(VLOOKUP($AE22,costs!$A$2:$I$2905,AL$2,FALSE),0)</f>
        <v>0</v>
      </c>
      <c r="AM22" s="372">
        <f>IFERROR(VLOOKUP($AE22,costs!$A$2:$I$2905,AM$2,FALSE),0)</f>
        <v>0</v>
      </c>
      <c r="AO22" s="40" t="s">
        <v>4106</v>
      </c>
      <c r="AP22" s="372">
        <f>IFERROR(VLOOKUP($AO22,costs!$A$2:$I$2905,AP$2,FALSE),0)</f>
        <v>0</v>
      </c>
      <c r="AQ22" s="372">
        <f>IFERROR(VLOOKUP($AO22,costs!$A$2:$I$2905,AQ$2,FALSE),0)</f>
        <v>0</v>
      </c>
      <c r="AR22" s="372">
        <f>IFERROR(VLOOKUP($AO22,costs!$A$2:$I$2905,AR$2,FALSE),0)</f>
        <v>0</v>
      </c>
      <c r="AS22" s="372">
        <f>IFERROR(VLOOKUP($AO22,costs!$A$2:$I$2905,AS$2,FALSE),0)</f>
        <v>0</v>
      </c>
      <c r="AT22" s="372">
        <f>IFERROR(VLOOKUP($AO22,costs!$A$2:$I$2905,AT$2,FALSE),0)</f>
        <v>0</v>
      </c>
      <c r="AU22" s="372">
        <f>IFERROR(VLOOKUP($AO22,costs!$A$2:$I$2905,AU$2,FALSE),0)</f>
        <v>0</v>
      </c>
      <c r="AV22" s="372">
        <f>IFERROR(VLOOKUP($AO22,costs!$A$2:$I$2905,AV$2,FALSE),0)</f>
        <v>0</v>
      </c>
      <c r="AW22" s="372">
        <f>IFERROR(VLOOKUP($AO22,costs!$A$2:$I$2905,AW$2,FALSE),0)</f>
        <v>0</v>
      </c>
      <c r="AY22" s="949" t="s">
        <v>2083</v>
      </c>
      <c r="AZ22" s="372">
        <f>IFERROR(VLOOKUP($AY22,costs!$A$2:$I$2905,AZ$2,FALSE),0)</f>
        <v>0</v>
      </c>
      <c r="BA22" s="372">
        <f>IFERROR(VLOOKUP($AY22,costs!$A$2:$I$2905,BA$2,FALSE),0)</f>
        <v>0</v>
      </c>
      <c r="BB22" s="372">
        <f>IFERROR(VLOOKUP($AY22,costs!$A$2:$I$2905,BB$2,FALSE),0)</f>
        <v>0</v>
      </c>
      <c r="BC22" s="372">
        <f>IFERROR(VLOOKUP($AY22,costs!$A$2:$I$2905,BC$2,FALSE),0)</f>
        <v>0</v>
      </c>
      <c r="BD22" s="372">
        <f>IFERROR(VLOOKUP($AY22,costs!$A$2:$I$2905,BD$2,FALSE),0)</f>
        <v>0</v>
      </c>
      <c r="BE22" s="372">
        <f>IFERROR(VLOOKUP($AY22,costs!$A$2:$I$2905,BE$2,FALSE),0)</f>
        <v>0</v>
      </c>
      <c r="BF22" s="372">
        <f>IFERROR(VLOOKUP($AY22,costs!$A$2:$I$2905,BF$2,FALSE),0)</f>
        <v>0</v>
      </c>
      <c r="BG22" s="372">
        <f>IFERROR(VLOOKUP($AY22,costs!$A$2:$I$2905,BG$2,FALSE),0)</f>
        <v>0</v>
      </c>
    </row>
    <row r="23" spans="2:59" x14ac:dyDescent="0.35">
      <c r="B23" s="133" t="s">
        <v>2027</v>
      </c>
      <c r="C23" s="133">
        <v>0</v>
      </c>
      <c r="D23" s="350" t="e">
        <f t="shared" si="9"/>
        <v>#N/A</v>
      </c>
      <c r="E23" s="350" t="e">
        <f t="shared" si="9"/>
        <v>#N/A</v>
      </c>
      <c r="F23" s="133" t="e">
        <f t="shared" si="9"/>
        <v>#N/A</v>
      </c>
      <c r="G23" s="133" t="e">
        <f t="shared" si="9"/>
        <v>#N/A</v>
      </c>
      <c r="H23" s="133" t="e">
        <f t="shared" si="9"/>
        <v>#N/A</v>
      </c>
      <c r="I23" s="133" t="e">
        <f t="shared" si="9"/>
        <v>#N/A</v>
      </c>
      <c r="K23" s="269" t="s">
        <v>269</v>
      </c>
      <c r="L23" s="372">
        <f>IFERROR(VLOOKUP($K23,costs!$A$2:$I$2905,L$2,FALSE),0)</f>
        <v>0</v>
      </c>
      <c r="M23" s="372">
        <f>IFERROR(VLOOKUP($K23,costs!$A$2:$I$2905,M$2,FALSE),0)</f>
        <v>0</v>
      </c>
      <c r="N23" s="372">
        <f>IFERROR(VLOOKUP($K23,costs!$A$2:$I$2905,N$2,FALSE),0)</f>
        <v>0</v>
      </c>
      <c r="O23" s="372">
        <f>IFERROR(VLOOKUP($K23,costs!$A$2:$I$2905,O$2,FALSE),0)</f>
        <v>0</v>
      </c>
      <c r="P23" s="372">
        <f>IFERROR(VLOOKUP($K23,costs!$A$2:$I$2905,P$2,FALSE),0)</f>
        <v>0</v>
      </c>
      <c r="Q23" s="372">
        <f>IFERROR(VLOOKUP($K23,costs!$A$2:$I$2905,Q$2,FALSE),0)</f>
        <v>0</v>
      </c>
      <c r="R23" s="372">
        <f>IFERROR(VLOOKUP($K23,costs!$A$2:$I$2905,R$2,FALSE),0)</f>
        <v>0</v>
      </c>
      <c r="S23" s="372">
        <f>IFERROR(VLOOKUP($K23,costs!$A$2:$I$2905,S$2,FALSE),0)</f>
        <v>0</v>
      </c>
      <c r="U23" s="949" t="s">
        <v>2039</v>
      </c>
      <c r="V23" s="372">
        <f>IFERROR(VLOOKUP($U23,costs!$A$2:$I$2905,V$2,FALSE),0)</f>
        <v>0</v>
      </c>
      <c r="W23" s="372">
        <f>IFERROR(VLOOKUP($U23,costs!$A$2:$I$2905,W$2,FALSE),0)</f>
        <v>0</v>
      </c>
      <c r="X23" s="372">
        <f>IFERROR(VLOOKUP($U23,costs!$A$2:$I$2905,X$2,FALSE),0)</f>
        <v>0</v>
      </c>
      <c r="Y23" s="372">
        <f>IFERROR(VLOOKUP($U23,costs!$A$2:$I$2905,Y$2,FALSE),0)</f>
        <v>0</v>
      </c>
      <c r="Z23" s="372">
        <f>IFERROR(VLOOKUP($U23,costs!$A$2:$I$2905,Z$2,FALSE),0)</f>
        <v>0</v>
      </c>
      <c r="AA23" s="372">
        <f>IFERROR(VLOOKUP($U23,costs!$A$2:$I$2905,AA$2,FALSE),0)</f>
        <v>0</v>
      </c>
      <c r="AB23" s="372">
        <f>IFERROR(VLOOKUP($U23,costs!$A$2:$I$2905,AB$2,FALSE),0)</f>
        <v>0</v>
      </c>
      <c r="AC23" s="372">
        <f>IFERROR(VLOOKUP($U23,costs!$A$2:$I$2905,AC$2,FALSE),0)</f>
        <v>0</v>
      </c>
      <c r="AE23" s="40" t="s">
        <v>327</v>
      </c>
      <c r="AF23" s="372">
        <f>IFERROR(VLOOKUP($AE23,costs!$A$2:$I$2905,AF$2,FALSE),0)</f>
        <v>0</v>
      </c>
      <c r="AG23" s="372">
        <f>IFERROR(VLOOKUP($AE23,costs!$A$2:$I$2905,AG$2,FALSE),0)</f>
        <v>0</v>
      </c>
      <c r="AH23" s="372">
        <f>IFERROR(VLOOKUP($AE23,costs!$A$2:$I$2905,AH$2,FALSE),0)</f>
        <v>0</v>
      </c>
      <c r="AI23" s="372">
        <f>IFERROR(VLOOKUP($AE23,costs!$A$2:$I$2905,AI$2,FALSE),0)</f>
        <v>0</v>
      </c>
      <c r="AJ23" s="372">
        <f>IFERROR(VLOOKUP($AE23,costs!$A$2:$I$2905,AJ$2,FALSE),0)</f>
        <v>0</v>
      </c>
      <c r="AK23" s="372">
        <f>IFERROR(VLOOKUP($AE23,costs!$A$2:$I$2905,AK$2,FALSE),0)</f>
        <v>0</v>
      </c>
      <c r="AL23" s="372">
        <f>IFERROR(VLOOKUP($AE23,costs!$A$2:$I$2905,AL$2,FALSE),0)</f>
        <v>0</v>
      </c>
      <c r="AM23" s="372">
        <f>IFERROR(VLOOKUP($AE23,costs!$A$2:$I$2905,AM$2,FALSE),0)</f>
        <v>0</v>
      </c>
      <c r="AO23" s="40" t="s">
        <v>4107</v>
      </c>
      <c r="AP23" s="372">
        <f>IFERROR(VLOOKUP($AO23,costs!$A$2:$I$2905,AP$2,FALSE),0)</f>
        <v>0</v>
      </c>
      <c r="AQ23" s="372">
        <f>IFERROR(VLOOKUP($AO23,costs!$A$2:$I$2905,AQ$2,FALSE),0)</f>
        <v>0</v>
      </c>
      <c r="AR23" s="372">
        <f>IFERROR(VLOOKUP($AO23,costs!$A$2:$I$2905,AR$2,FALSE),0)</f>
        <v>0</v>
      </c>
      <c r="AS23" s="372">
        <f>IFERROR(VLOOKUP($AO23,costs!$A$2:$I$2905,AS$2,FALSE),0)</f>
        <v>0</v>
      </c>
      <c r="AT23" s="372">
        <f>IFERROR(VLOOKUP($AO23,costs!$A$2:$I$2905,AT$2,FALSE),0)</f>
        <v>0</v>
      </c>
      <c r="AU23" s="372">
        <f>IFERROR(VLOOKUP($AO23,costs!$A$2:$I$2905,AU$2,FALSE),0)</f>
        <v>0</v>
      </c>
      <c r="AV23" s="372">
        <f>IFERROR(VLOOKUP($AO23,costs!$A$2:$I$2905,AV$2,FALSE),0)</f>
        <v>0</v>
      </c>
      <c r="AW23" s="372">
        <f>IFERROR(VLOOKUP($AO23,costs!$A$2:$I$2905,AW$2,FALSE),0)</f>
        <v>0</v>
      </c>
      <c r="AY23" s="40" t="s">
        <v>214</v>
      </c>
      <c r="AZ23" s="372">
        <f>IFERROR(VLOOKUP($AY23,costs!$A$2:$I$2905,AZ$2,FALSE),0)</f>
        <v>0</v>
      </c>
      <c r="BA23" s="372">
        <f>IFERROR(VLOOKUP($AY23,costs!$A$2:$I$2905,BA$2,FALSE),0)</f>
        <v>0</v>
      </c>
      <c r="BB23" s="372">
        <f>IFERROR(VLOOKUP($AY23,costs!$A$2:$I$2905,BB$2,FALSE),0)</f>
        <v>0</v>
      </c>
      <c r="BC23" s="372">
        <f>IFERROR(VLOOKUP($AY23,costs!$A$2:$I$2905,BC$2,FALSE),0)</f>
        <v>0</v>
      </c>
      <c r="BD23" s="372">
        <f>IFERROR(VLOOKUP($AY23,costs!$A$2:$I$2905,BD$2,FALSE),0)</f>
        <v>0</v>
      </c>
      <c r="BE23" s="372">
        <f>IFERROR(VLOOKUP($AY23,costs!$A$2:$I$2905,BE$2,FALSE),0)</f>
        <v>0</v>
      </c>
      <c r="BF23" s="372">
        <f>IFERROR(VLOOKUP($AY23,costs!$A$2:$I$2905,BF$2,FALSE),0)</f>
        <v>0</v>
      </c>
      <c r="BG23" s="372">
        <f>IFERROR(VLOOKUP($AY23,costs!$A$2:$I$2905,BG$2,FALSE),0)</f>
        <v>0</v>
      </c>
    </row>
    <row r="24" spans="2:59" x14ac:dyDescent="0.35">
      <c r="K24" s="268" t="s">
        <v>290</v>
      </c>
      <c r="L24" s="372">
        <f>IFERROR(VLOOKUP($K24,costs!$A$2:$I$2905,L$2,FALSE),0)</f>
        <v>0</v>
      </c>
      <c r="M24" s="372">
        <f>IFERROR(VLOOKUP($K24,costs!$A$2:$I$2905,M$2,FALSE),0)</f>
        <v>0</v>
      </c>
      <c r="N24" s="372">
        <f>IFERROR(VLOOKUP($K24,costs!$A$2:$I$2905,N$2,FALSE),0)</f>
        <v>0</v>
      </c>
      <c r="O24" s="372">
        <f>IFERROR(VLOOKUP($K24,costs!$A$2:$I$2905,O$2,FALSE),0)</f>
        <v>0</v>
      </c>
      <c r="P24" s="372">
        <f>IFERROR(VLOOKUP($K24,costs!$A$2:$I$2905,P$2,FALSE),0)</f>
        <v>0</v>
      </c>
      <c r="Q24" s="372">
        <f>IFERROR(VLOOKUP($K24,costs!$A$2:$I$2905,Q$2,FALSE),0)</f>
        <v>0</v>
      </c>
      <c r="R24" s="372">
        <f>IFERROR(VLOOKUP($K24,costs!$A$2:$I$2905,R$2,FALSE),0)</f>
        <v>0</v>
      </c>
      <c r="S24" s="372">
        <f>IFERROR(VLOOKUP($K24,costs!$A$2:$I$2905,S$2,FALSE),0)</f>
        <v>0</v>
      </c>
      <c r="U24" s="40" t="s">
        <v>410</v>
      </c>
      <c r="V24" s="372">
        <f>IFERROR(VLOOKUP($U24,costs!$A$2:$I$2905,V$2,FALSE),0)</f>
        <v>0</v>
      </c>
      <c r="W24" s="372">
        <f>IFERROR(VLOOKUP($U24,costs!$A$2:$I$2905,W$2,FALSE),0)</f>
        <v>0</v>
      </c>
      <c r="X24" s="372">
        <f>IFERROR(VLOOKUP($U24,costs!$A$2:$I$2905,X$2,FALSE),0)</f>
        <v>0</v>
      </c>
      <c r="Y24" s="372">
        <f>IFERROR(VLOOKUP($U24,costs!$A$2:$I$2905,Y$2,FALSE),0)</f>
        <v>0</v>
      </c>
      <c r="Z24" s="372">
        <f>IFERROR(VLOOKUP($U24,costs!$A$2:$I$2905,Z$2,FALSE),0)</f>
        <v>0</v>
      </c>
      <c r="AA24" s="372">
        <f>IFERROR(VLOOKUP($U24,costs!$A$2:$I$2905,AA$2,FALSE),0)</f>
        <v>0</v>
      </c>
      <c r="AB24" s="372">
        <f>IFERROR(VLOOKUP($U24,costs!$A$2:$I$2905,AB$2,FALSE),0)</f>
        <v>0</v>
      </c>
      <c r="AC24" s="372">
        <f>IFERROR(VLOOKUP($U24,costs!$A$2:$I$2905,AC$2,FALSE),0)</f>
        <v>0</v>
      </c>
      <c r="AE24" s="40" t="s">
        <v>334</v>
      </c>
      <c r="AF24" s="372">
        <f>IFERROR(VLOOKUP($AE24,costs!$A$2:$I$2905,AF$2,FALSE),0)</f>
        <v>0</v>
      </c>
      <c r="AG24" s="372">
        <f>IFERROR(VLOOKUP($AE24,costs!$A$2:$I$2905,AG$2,FALSE),0)</f>
        <v>0</v>
      </c>
      <c r="AH24" s="372">
        <f>IFERROR(VLOOKUP($AE24,costs!$A$2:$I$2905,AH$2,FALSE),0)</f>
        <v>0</v>
      </c>
      <c r="AI24" s="372">
        <f>IFERROR(VLOOKUP($AE24,costs!$A$2:$I$2905,AI$2,FALSE),0)</f>
        <v>0</v>
      </c>
      <c r="AJ24" s="372">
        <f>IFERROR(VLOOKUP($AE24,costs!$A$2:$I$2905,AJ$2,FALSE),0)</f>
        <v>0</v>
      </c>
      <c r="AK24" s="372">
        <f>IFERROR(VLOOKUP($AE24,costs!$A$2:$I$2905,AK$2,FALSE),0)</f>
        <v>0</v>
      </c>
      <c r="AL24" s="372">
        <f>IFERROR(VLOOKUP($AE24,costs!$A$2:$I$2905,AL$2,FALSE),0)</f>
        <v>0</v>
      </c>
      <c r="AM24" s="372">
        <f>IFERROR(VLOOKUP($AE24,costs!$A$2:$I$2905,AM$2,FALSE),0)</f>
        <v>0</v>
      </c>
      <c r="AO24" s="40" t="s">
        <v>107</v>
      </c>
      <c r="AP24" s="372">
        <f>IFERROR(VLOOKUP($AO24,costs!$A$2:$I$2905,AP$2,FALSE),0)</f>
        <v>0</v>
      </c>
      <c r="AQ24" s="372">
        <f>IFERROR(VLOOKUP($AO24,costs!$A$2:$I$2905,AQ$2,FALSE),0)</f>
        <v>0</v>
      </c>
      <c r="AR24" s="372">
        <f>IFERROR(VLOOKUP($AO24,costs!$A$2:$I$2905,AR$2,FALSE),0)</f>
        <v>0</v>
      </c>
      <c r="AS24" s="372">
        <f>IFERROR(VLOOKUP($AO24,costs!$A$2:$I$2905,AS$2,FALSE),0)</f>
        <v>0</v>
      </c>
      <c r="AT24" s="372">
        <f>IFERROR(VLOOKUP($AO24,costs!$A$2:$I$2905,AT$2,FALSE),0)</f>
        <v>0</v>
      </c>
      <c r="AU24" s="372">
        <f>IFERROR(VLOOKUP($AO24,costs!$A$2:$I$2905,AU$2,FALSE),0)</f>
        <v>0</v>
      </c>
      <c r="AV24" s="372">
        <f>IFERROR(VLOOKUP($AO24,costs!$A$2:$I$2905,AV$2,FALSE),0)</f>
        <v>0</v>
      </c>
      <c r="AW24" s="372">
        <f>IFERROR(VLOOKUP($AO24,costs!$A$2:$I$2905,AW$2,FALSE),0)</f>
        <v>0</v>
      </c>
      <c r="AY24" s="949" t="s">
        <v>345</v>
      </c>
      <c r="AZ24" s="372">
        <f>IFERROR(VLOOKUP($AY24,costs!$A$2:$I$2905,AZ$2,FALSE),0)</f>
        <v>0</v>
      </c>
      <c r="BA24" s="372">
        <f>IFERROR(VLOOKUP($AY24,costs!$A$2:$I$2905,BA$2,FALSE),0)</f>
        <v>0</v>
      </c>
      <c r="BB24" s="372">
        <f>IFERROR(VLOOKUP($AY24,costs!$A$2:$I$2905,BB$2,FALSE),0)</f>
        <v>0</v>
      </c>
      <c r="BC24" s="372">
        <f>IFERROR(VLOOKUP($AY24,costs!$A$2:$I$2905,BC$2,FALSE),0)</f>
        <v>0</v>
      </c>
      <c r="BD24" s="372">
        <f>IFERROR(VLOOKUP($AY24,costs!$A$2:$I$2905,BD$2,FALSE),0)</f>
        <v>0</v>
      </c>
      <c r="BE24" s="372">
        <f>IFERROR(VLOOKUP($AY24,costs!$A$2:$I$2905,BE$2,FALSE),0)</f>
        <v>0</v>
      </c>
      <c r="BF24" s="372">
        <f>IFERROR(VLOOKUP($AY24,costs!$A$2:$I$2905,BF$2,FALSE),0)</f>
        <v>0</v>
      </c>
      <c r="BG24" s="372">
        <f>IFERROR(VLOOKUP($AY24,costs!$A$2:$I$2905,BG$2,FALSE),0)</f>
        <v>0</v>
      </c>
    </row>
    <row r="25" spans="2:59" x14ac:dyDescent="0.35">
      <c r="B25" s="133" t="s">
        <v>2186</v>
      </c>
      <c r="C25" s="133">
        <v>2020</v>
      </c>
      <c r="D25" s="133">
        <v>2025</v>
      </c>
      <c r="E25" s="133">
        <v>2030</v>
      </c>
      <c r="F25" s="133">
        <v>2035</v>
      </c>
      <c r="G25" s="133">
        <v>2040</v>
      </c>
      <c r="H25" s="133">
        <v>2045</v>
      </c>
      <c r="I25" s="133">
        <v>2050</v>
      </c>
      <c r="K25" s="269" t="s">
        <v>229</v>
      </c>
      <c r="L25" s="372">
        <f>IFERROR(VLOOKUP($K25,costs!$A$2:$I$2905,L$2,FALSE),0)</f>
        <v>0</v>
      </c>
      <c r="M25" s="372">
        <f>IFERROR(VLOOKUP($K25,costs!$A$2:$I$2905,M$2,FALSE),0)</f>
        <v>0</v>
      </c>
      <c r="N25" s="372">
        <f>IFERROR(VLOOKUP($K25,costs!$A$2:$I$2905,N$2,FALSE),0)</f>
        <v>0</v>
      </c>
      <c r="O25" s="372">
        <f>IFERROR(VLOOKUP($K25,costs!$A$2:$I$2905,O$2,FALSE),0)</f>
        <v>0</v>
      </c>
      <c r="P25" s="372">
        <f>IFERROR(VLOOKUP($K25,costs!$A$2:$I$2905,P$2,FALSE),0)</f>
        <v>0</v>
      </c>
      <c r="Q25" s="372">
        <f>IFERROR(VLOOKUP($K25,costs!$A$2:$I$2905,Q$2,FALSE),0)</f>
        <v>0</v>
      </c>
      <c r="R25" s="372">
        <f>IFERROR(VLOOKUP($K25,costs!$A$2:$I$2905,R$2,FALSE),0)</f>
        <v>0</v>
      </c>
      <c r="S25" s="372">
        <f>IFERROR(VLOOKUP($K25,costs!$A$2:$I$2905,S$2,FALSE),0)</f>
        <v>0</v>
      </c>
      <c r="U25" s="949" t="s">
        <v>2040</v>
      </c>
      <c r="V25" s="372">
        <f>IFERROR(VLOOKUP($U25,costs!$A$2:$I$2905,V$2,FALSE),0)</f>
        <v>0</v>
      </c>
      <c r="W25" s="372">
        <f>IFERROR(VLOOKUP($U25,costs!$A$2:$I$2905,W$2,FALSE),0)</f>
        <v>0</v>
      </c>
      <c r="X25" s="372">
        <f>IFERROR(VLOOKUP($U25,costs!$A$2:$I$2905,X$2,FALSE),0)</f>
        <v>0</v>
      </c>
      <c r="Y25" s="372">
        <f>IFERROR(VLOOKUP($U25,costs!$A$2:$I$2905,Y$2,FALSE),0)</f>
        <v>0</v>
      </c>
      <c r="Z25" s="372">
        <f>IFERROR(VLOOKUP($U25,costs!$A$2:$I$2905,Z$2,FALSE),0)</f>
        <v>0</v>
      </c>
      <c r="AA25" s="372">
        <f>IFERROR(VLOOKUP($U25,costs!$A$2:$I$2905,AA$2,FALSE),0)</f>
        <v>0</v>
      </c>
      <c r="AB25" s="372">
        <f>IFERROR(VLOOKUP($U25,costs!$A$2:$I$2905,AB$2,FALSE),0)</f>
        <v>0</v>
      </c>
      <c r="AC25" s="372">
        <f>IFERROR(VLOOKUP($U25,costs!$A$2:$I$2905,AC$2,FALSE),0)</f>
        <v>0</v>
      </c>
      <c r="AE25" s="40" t="s">
        <v>337</v>
      </c>
      <c r="AF25" s="372">
        <f>IFERROR(VLOOKUP($AE25,costs!$A$2:$I$2905,AF$2,FALSE),0)</f>
        <v>0</v>
      </c>
      <c r="AG25" s="372">
        <f>IFERROR(VLOOKUP($AE25,costs!$A$2:$I$2905,AG$2,FALSE),0)</f>
        <v>0</v>
      </c>
      <c r="AH25" s="372">
        <f>IFERROR(VLOOKUP($AE25,costs!$A$2:$I$2905,AH$2,FALSE),0)</f>
        <v>0</v>
      </c>
      <c r="AI25" s="372">
        <f>IFERROR(VLOOKUP($AE25,costs!$A$2:$I$2905,AI$2,FALSE),0)</f>
        <v>0</v>
      </c>
      <c r="AJ25" s="372">
        <f>IFERROR(VLOOKUP($AE25,costs!$A$2:$I$2905,AJ$2,FALSE),0)</f>
        <v>0</v>
      </c>
      <c r="AK25" s="372">
        <f>IFERROR(VLOOKUP($AE25,costs!$A$2:$I$2905,AK$2,FALSE),0)</f>
        <v>0</v>
      </c>
      <c r="AL25" s="372">
        <f>IFERROR(VLOOKUP($AE25,costs!$A$2:$I$2905,AL$2,FALSE),0)</f>
        <v>0</v>
      </c>
      <c r="AM25" s="372">
        <f>IFERROR(VLOOKUP($AE25,costs!$A$2:$I$2905,AM$2,FALSE),0)</f>
        <v>0</v>
      </c>
      <c r="AO25" s="40" t="s">
        <v>2149</v>
      </c>
      <c r="AP25" s="372">
        <f>IFERROR(VLOOKUP($AO25,costs!$A$2:$I$2905,AP$2,FALSE),0)</f>
        <v>0</v>
      </c>
      <c r="AQ25" s="372">
        <f>IFERROR(VLOOKUP($AO25,costs!$A$2:$I$2905,AQ$2,FALSE),0)</f>
        <v>0</v>
      </c>
      <c r="AR25" s="372">
        <f>IFERROR(VLOOKUP($AO25,costs!$A$2:$I$2905,AR$2,FALSE),0)</f>
        <v>0</v>
      </c>
      <c r="AS25" s="372">
        <f>IFERROR(VLOOKUP($AO25,costs!$A$2:$I$2905,AS$2,FALSE),0)</f>
        <v>0</v>
      </c>
      <c r="AT25" s="372">
        <f>IFERROR(VLOOKUP($AO25,costs!$A$2:$I$2905,AT$2,FALSE),0)</f>
        <v>0</v>
      </c>
      <c r="AU25" s="372">
        <f>IFERROR(VLOOKUP($AO25,costs!$A$2:$I$2905,AU$2,FALSE),0)</f>
        <v>0</v>
      </c>
      <c r="AV25" s="372">
        <f>IFERROR(VLOOKUP($AO25,costs!$A$2:$I$2905,AV$2,FALSE),0)</f>
        <v>0</v>
      </c>
      <c r="AW25" s="372">
        <f>IFERROR(VLOOKUP($AO25,costs!$A$2:$I$2905,AW$2,FALSE),0)</f>
        <v>0</v>
      </c>
      <c r="AY25" s="40" t="s">
        <v>346</v>
      </c>
      <c r="AZ25" s="372">
        <f>IFERROR(VLOOKUP($AY25,costs!$A$2:$I$2905,AZ$2,FALSE),0)</f>
        <v>0</v>
      </c>
      <c r="BA25" s="372">
        <f>IFERROR(VLOOKUP($AY25,costs!$A$2:$I$2905,BA$2,FALSE),0)</f>
        <v>0</v>
      </c>
      <c r="BB25" s="372">
        <f>IFERROR(VLOOKUP($AY25,costs!$A$2:$I$2905,BB$2,FALSE),0)</f>
        <v>0</v>
      </c>
      <c r="BC25" s="372">
        <f>IFERROR(VLOOKUP($AY25,costs!$A$2:$I$2905,BC$2,FALSE),0)</f>
        <v>0</v>
      </c>
      <c r="BD25" s="372">
        <f>IFERROR(VLOOKUP($AY25,costs!$A$2:$I$2905,BD$2,FALSE),0)</f>
        <v>0</v>
      </c>
      <c r="BE25" s="372">
        <f>IFERROR(VLOOKUP($AY25,costs!$A$2:$I$2905,BE$2,FALSE),0)</f>
        <v>0</v>
      </c>
      <c r="BF25" s="372">
        <f>IFERROR(VLOOKUP($AY25,costs!$A$2:$I$2905,BF$2,FALSE),0)</f>
        <v>0</v>
      </c>
      <c r="BG25" s="372">
        <f>IFERROR(VLOOKUP($AY25,costs!$A$2:$I$2905,BG$2,FALSE),0)</f>
        <v>0</v>
      </c>
    </row>
    <row r="26" spans="2:59" x14ac:dyDescent="0.35">
      <c r="B26" s="900" t="s">
        <v>1313</v>
      </c>
      <c r="C26" s="348">
        <v>1</v>
      </c>
      <c r="D26" s="348" t="e">
        <f>D4/$C4</f>
        <v>#DIV/0!</v>
      </c>
      <c r="E26" s="348" t="e">
        <f t="shared" ref="D26:I30" si="10">E4/$C4</f>
        <v>#DIV/0!</v>
      </c>
      <c r="F26" s="348" t="e">
        <f t="shared" si="10"/>
        <v>#DIV/0!</v>
      </c>
      <c r="G26" s="348" t="e">
        <f t="shared" si="10"/>
        <v>#DIV/0!</v>
      </c>
      <c r="H26" s="348" t="e">
        <f t="shared" si="10"/>
        <v>#DIV/0!</v>
      </c>
      <c r="I26" s="348" t="e">
        <f t="shared" si="10"/>
        <v>#DIV/0!</v>
      </c>
      <c r="K26" s="268" t="s">
        <v>230</v>
      </c>
      <c r="L26" s="372">
        <f>IFERROR(VLOOKUP($K26,costs!$A$2:$I$2905,L$2,FALSE),0)</f>
        <v>0</v>
      </c>
      <c r="M26" s="372">
        <f>IFERROR(VLOOKUP($K26,costs!$A$2:$I$2905,M$2,FALSE),0)</f>
        <v>0</v>
      </c>
      <c r="N26" s="372">
        <f>IFERROR(VLOOKUP($K26,costs!$A$2:$I$2905,N$2,FALSE),0)</f>
        <v>0</v>
      </c>
      <c r="O26" s="372">
        <f>IFERROR(VLOOKUP($K26,costs!$A$2:$I$2905,O$2,FALSE),0)</f>
        <v>0</v>
      </c>
      <c r="P26" s="372">
        <f>IFERROR(VLOOKUP($K26,costs!$A$2:$I$2905,P$2,FALSE),0)</f>
        <v>0</v>
      </c>
      <c r="Q26" s="372">
        <f>IFERROR(VLOOKUP($K26,costs!$A$2:$I$2905,Q$2,FALSE),0)</f>
        <v>0</v>
      </c>
      <c r="R26" s="372">
        <f>IFERROR(VLOOKUP($K26,costs!$A$2:$I$2905,R$2,FALSE),0)</f>
        <v>0</v>
      </c>
      <c r="S26" s="372">
        <f>IFERROR(VLOOKUP($K26,costs!$A$2:$I$2905,S$2,FALSE),0)</f>
        <v>0</v>
      </c>
      <c r="U26" s="40" t="s">
        <v>317</v>
      </c>
      <c r="V26" s="372">
        <f>IFERROR(VLOOKUP($U26,costs!$A$2:$I$2905,V$2,FALSE),0)</f>
        <v>0</v>
      </c>
      <c r="W26" s="372">
        <f>IFERROR(VLOOKUP($U26,costs!$A$2:$I$2905,W$2,FALSE),0)</f>
        <v>0</v>
      </c>
      <c r="X26" s="372">
        <f>IFERROR(VLOOKUP($U26,costs!$A$2:$I$2905,X$2,FALSE),0)</f>
        <v>0</v>
      </c>
      <c r="Y26" s="372">
        <f>IFERROR(VLOOKUP($U26,costs!$A$2:$I$2905,Y$2,FALSE),0)</f>
        <v>0</v>
      </c>
      <c r="Z26" s="372">
        <f>IFERROR(VLOOKUP($U26,costs!$A$2:$I$2905,Z$2,FALSE),0)</f>
        <v>0</v>
      </c>
      <c r="AA26" s="372">
        <f>IFERROR(VLOOKUP($U26,costs!$A$2:$I$2905,AA$2,FALSE),0)</f>
        <v>0</v>
      </c>
      <c r="AB26" s="372">
        <f>IFERROR(VLOOKUP($U26,costs!$A$2:$I$2905,AB$2,FALSE),0)</f>
        <v>0</v>
      </c>
      <c r="AC26" s="372">
        <f>IFERROR(VLOOKUP($U26,costs!$A$2:$I$2905,AC$2,FALSE),0)</f>
        <v>0</v>
      </c>
      <c r="AE26" s="40" t="s">
        <v>329</v>
      </c>
      <c r="AF26" s="372">
        <f>IFERROR(VLOOKUP($AE26,costs!$A$2:$I$2905,AF$2,FALSE),0)</f>
        <v>0</v>
      </c>
      <c r="AG26" s="372">
        <f>IFERROR(VLOOKUP($AE26,costs!$A$2:$I$2905,AG$2,FALSE),0)</f>
        <v>0</v>
      </c>
      <c r="AH26" s="372">
        <f>IFERROR(VLOOKUP($AE26,costs!$A$2:$I$2905,AH$2,FALSE),0)</f>
        <v>0</v>
      </c>
      <c r="AI26" s="372">
        <f>IFERROR(VLOOKUP($AE26,costs!$A$2:$I$2905,AI$2,FALSE),0)</f>
        <v>0</v>
      </c>
      <c r="AJ26" s="372">
        <f>IFERROR(VLOOKUP($AE26,costs!$A$2:$I$2905,AJ$2,FALSE),0)</f>
        <v>0</v>
      </c>
      <c r="AK26" s="372">
        <f>IFERROR(VLOOKUP($AE26,costs!$A$2:$I$2905,AK$2,FALSE),0)</f>
        <v>0</v>
      </c>
      <c r="AL26" s="372">
        <f>IFERROR(VLOOKUP($AE26,costs!$A$2:$I$2905,AL$2,FALSE),0)</f>
        <v>0</v>
      </c>
      <c r="AM26" s="372">
        <f>IFERROR(VLOOKUP($AE26,costs!$A$2:$I$2905,AM$2,FALSE),0)</f>
        <v>0</v>
      </c>
      <c r="AO26" s="40" t="s">
        <v>116</v>
      </c>
      <c r="AP26" s="372">
        <f>IFERROR(VLOOKUP($AO26,costs!$A$2:$I$2905,AP$2,FALSE),0)</f>
        <v>0</v>
      </c>
      <c r="AQ26" s="372">
        <f>IFERROR(VLOOKUP($AO26,costs!$A$2:$I$2905,AQ$2,FALSE),0)</f>
        <v>0</v>
      </c>
      <c r="AR26" s="372">
        <f>IFERROR(VLOOKUP($AO26,costs!$A$2:$I$2905,AR$2,FALSE),0)</f>
        <v>0</v>
      </c>
      <c r="AS26" s="372">
        <f>IFERROR(VLOOKUP($AO26,costs!$A$2:$I$2905,AS$2,FALSE),0)</f>
        <v>0</v>
      </c>
      <c r="AT26" s="372">
        <f>IFERROR(VLOOKUP($AO26,costs!$A$2:$I$2905,AT$2,FALSE),0)</f>
        <v>0</v>
      </c>
      <c r="AU26" s="372">
        <f>IFERROR(VLOOKUP($AO26,costs!$A$2:$I$2905,AU$2,FALSE),0)</f>
        <v>0</v>
      </c>
      <c r="AV26" s="372">
        <f>IFERROR(VLOOKUP($AO26,costs!$A$2:$I$2905,AV$2,FALSE),0)</f>
        <v>0</v>
      </c>
      <c r="AW26" s="372">
        <f>IFERROR(VLOOKUP($AO26,costs!$A$2:$I$2905,AW$2,FALSE),0)</f>
        <v>0</v>
      </c>
      <c r="AY26" s="949" t="s">
        <v>310</v>
      </c>
      <c r="AZ26" s="372">
        <f>IFERROR(VLOOKUP($AY26,costs!$A$2:$I$2905,AZ$2,FALSE),0)</f>
        <v>0</v>
      </c>
      <c r="BA26" s="372">
        <f>IFERROR(VLOOKUP($AY26,costs!$A$2:$I$2905,BA$2,FALSE),0)</f>
        <v>0</v>
      </c>
      <c r="BB26" s="372">
        <f>IFERROR(VLOOKUP($AY26,costs!$A$2:$I$2905,BB$2,FALSE),0)</f>
        <v>0</v>
      </c>
      <c r="BC26" s="372">
        <f>IFERROR(VLOOKUP($AY26,costs!$A$2:$I$2905,BC$2,FALSE),0)</f>
        <v>0</v>
      </c>
      <c r="BD26" s="372">
        <f>IFERROR(VLOOKUP($AY26,costs!$A$2:$I$2905,BD$2,FALSE),0)</f>
        <v>0</v>
      </c>
      <c r="BE26" s="372">
        <f>IFERROR(VLOOKUP($AY26,costs!$A$2:$I$2905,BE$2,FALSE),0)</f>
        <v>0</v>
      </c>
      <c r="BF26" s="372">
        <f>IFERROR(VLOOKUP($AY26,costs!$A$2:$I$2905,BF$2,FALSE),0)</f>
        <v>0</v>
      </c>
      <c r="BG26" s="372">
        <f>IFERROR(VLOOKUP($AY26,costs!$A$2:$I$2905,BG$2,FALSE),0)</f>
        <v>0</v>
      </c>
    </row>
    <row r="27" spans="2:59" x14ac:dyDescent="0.35">
      <c r="B27" s="900" t="s">
        <v>2029</v>
      </c>
      <c r="C27" s="348">
        <v>1</v>
      </c>
      <c r="D27" s="348" t="e">
        <f t="shared" si="10"/>
        <v>#N/A</v>
      </c>
      <c r="E27" s="348" t="e">
        <f t="shared" si="10"/>
        <v>#N/A</v>
      </c>
      <c r="F27" s="348" t="e">
        <f t="shared" si="10"/>
        <v>#N/A</v>
      </c>
      <c r="G27" s="348" t="e">
        <f t="shared" si="10"/>
        <v>#N/A</v>
      </c>
      <c r="H27" s="348" t="e">
        <f t="shared" si="10"/>
        <v>#N/A</v>
      </c>
      <c r="I27" s="348" t="e">
        <f t="shared" si="10"/>
        <v>#N/A</v>
      </c>
      <c r="K27" s="269" t="s">
        <v>260</v>
      </c>
      <c r="L27" s="372">
        <f>IFERROR(VLOOKUP($K27,costs!$A$2:$I$2905,L$2,FALSE),0)</f>
        <v>0</v>
      </c>
      <c r="M27" s="372">
        <f>IFERROR(VLOOKUP($K27,costs!$A$2:$I$2905,M$2,FALSE),0)</f>
        <v>0</v>
      </c>
      <c r="N27" s="372">
        <f>IFERROR(VLOOKUP($K27,costs!$A$2:$I$2905,N$2,FALSE),0)</f>
        <v>0</v>
      </c>
      <c r="O27" s="372">
        <f>IFERROR(VLOOKUP($K27,costs!$A$2:$I$2905,O$2,FALSE),0)</f>
        <v>0</v>
      </c>
      <c r="P27" s="372">
        <f>IFERROR(VLOOKUP($K27,costs!$A$2:$I$2905,P$2,FALSE),0)</f>
        <v>0</v>
      </c>
      <c r="Q27" s="372">
        <f>IFERROR(VLOOKUP($K27,costs!$A$2:$I$2905,Q$2,FALSE),0)</f>
        <v>0</v>
      </c>
      <c r="R27" s="372">
        <f>IFERROR(VLOOKUP($K27,costs!$A$2:$I$2905,R$2,FALSE),0)</f>
        <v>0</v>
      </c>
      <c r="S27" s="372">
        <f>IFERROR(VLOOKUP($K27,costs!$A$2:$I$2905,S$2,FALSE),0)</f>
        <v>0</v>
      </c>
      <c r="U27" s="949" t="s">
        <v>2041</v>
      </c>
      <c r="V27" s="372">
        <f>IFERROR(VLOOKUP($U27,costs!$A$2:$I$2905,V$2,FALSE),0)</f>
        <v>0</v>
      </c>
      <c r="W27" s="372">
        <f>IFERROR(VLOOKUP($U27,costs!$A$2:$I$2905,W$2,FALSE),0)</f>
        <v>0</v>
      </c>
      <c r="X27" s="372">
        <f>IFERROR(VLOOKUP($U27,costs!$A$2:$I$2905,X$2,FALSE),0)</f>
        <v>0</v>
      </c>
      <c r="Y27" s="372">
        <f>IFERROR(VLOOKUP($U27,costs!$A$2:$I$2905,Y$2,FALSE),0)</f>
        <v>0</v>
      </c>
      <c r="Z27" s="372">
        <f>IFERROR(VLOOKUP($U27,costs!$A$2:$I$2905,Z$2,FALSE),0)</f>
        <v>0</v>
      </c>
      <c r="AA27" s="372">
        <f>IFERROR(VLOOKUP($U27,costs!$A$2:$I$2905,AA$2,FALSE),0)</f>
        <v>0</v>
      </c>
      <c r="AB27" s="372">
        <f>IFERROR(VLOOKUP($U27,costs!$A$2:$I$2905,AB$2,FALSE),0)</f>
        <v>0</v>
      </c>
      <c r="AC27" s="372">
        <f>IFERROR(VLOOKUP($U27,costs!$A$2:$I$2905,AC$2,FALSE),0)</f>
        <v>0</v>
      </c>
      <c r="AE27" s="40" t="s">
        <v>333</v>
      </c>
      <c r="AF27" s="372">
        <f>IFERROR(VLOOKUP($AE27,costs!$A$2:$I$2905,AF$2,FALSE),0)</f>
        <v>0</v>
      </c>
      <c r="AG27" s="372">
        <f>IFERROR(VLOOKUP($AE27,costs!$A$2:$I$2905,AG$2,FALSE),0)</f>
        <v>0</v>
      </c>
      <c r="AH27" s="372">
        <f>IFERROR(VLOOKUP($AE27,costs!$A$2:$I$2905,AH$2,FALSE),0)</f>
        <v>0</v>
      </c>
      <c r="AI27" s="372">
        <f>IFERROR(VLOOKUP($AE27,costs!$A$2:$I$2905,AI$2,FALSE),0)</f>
        <v>0</v>
      </c>
      <c r="AJ27" s="372">
        <f>IFERROR(VLOOKUP($AE27,costs!$A$2:$I$2905,AJ$2,FALSE),0)</f>
        <v>0</v>
      </c>
      <c r="AK27" s="372">
        <f>IFERROR(VLOOKUP($AE27,costs!$A$2:$I$2905,AK$2,FALSE),0)</f>
        <v>0</v>
      </c>
      <c r="AL27" s="372">
        <f>IFERROR(VLOOKUP($AE27,costs!$A$2:$I$2905,AL$2,FALSE),0)</f>
        <v>0</v>
      </c>
      <c r="AM27" s="372">
        <f>IFERROR(VLOOKUP($AE27,costs!$A$2:$I$2905,AM$2,FALSE),0)</f>
        <v>0</v>
      </c>
      <c r="AO27" s="40" t="s">
        <v>206</v>
      </c>
      <c r="AP27" s="372">
        <f>IFERROR(VLOOKUP($AO27,costs!$A$2:$I$2905,AP$2,FALSE),0)</f>
        <v>0</v>
      </c>
      <c r="AQ27" s="372">
        <f>IFERROR(VLOOKUP($AO27,costs!$A$2:$I$2905,AQ$2,FALSE),0)</f>
        <v>0</v>
      </c>
      <c r="AR27" s="372">
        <f>IFERROR(VLOOKUP($AO27,costs!$A$2:$I$2905,AR$2,FALSE),0)</f>
        <v>0</v>
      </c>
      <c r="AS27" s="372">
        <f>IFERROR(VLOOKUP($AO27,costs!$A$2:$I$2905,AS$2,FALSE),0)</f>
        <v>0</v>
      </c>
      <c r="AT27" s="372">
        <f>IFERROR(VLOOKUP($AO27,costs!$A$2:$I$2905,AT$2,FALSE),0)</f>
        <v>0</v>
      </c>
      <c r="AU27" s="372">
        <f>IFERROR(VLOOKUP($AO27,costs!$A$2:$I$2905,AU$2,FALSE),0)</f>
        <v>0</v>
      </c>
      <c r="AV27" s="372">
        <f>IFERROR(VLOOKUP($AO27,costs!$A$2:$I$2905,AV$2,FALSE),0)</f>
        <v>0</v>
      </c>
      <c r="AW27" s="372">
        <f>IFERROR(VLOOKUP($AO27,costs!$A$2:$I$2905,AW$2,FALSE),0)</f>
        <v>0</v>
      </c>
      <c r="AY27" s="40" t="s">
        <v>311</v>
      </c>
      <c r="AZ27" s="372">
        <f>IFERROR(VLOOKUP($AY27,costs!$A$2:$I$2905,AZ$2,FALSE),0)</f>
        <v>0</v>
      </c>
      <c r="BA27" s="372">
        <f>IFERROR(VLOOKUP($AY27,costs!$A$2:$I$2905,BA$2,FALSE),0)</f>
        <v>0</v>
      </c>
      <c r="BB27" s="372">
        <f>IFERROR(VLOOKUP($AY27,costs!$A$2:$I$2905,BB$2,FALSE),0)</f>
        <v>0</v>
      </c>
      <c r="BC27" s="372">
        <f>IFERROR(VLOOKUP($AY27,costs!$A$2:$I$2905,BC$2,FALSE),0)</f>
        <v>0</v>
      </c>
      <c r="BD27" s="372">
        <f>IFERROR(VLOOKUP($AY27,costs!$A$2:$I$2905,BD$2,FALSE),0)</f>
        <v>0</v>
      </c>
      <c r="BE27" s="372">
        <f>IFERROR(VLOOKUP($AY27,costs!$A$2:$I$2905,BE$2,FALSE),0)</f>
        <v>0</v>
      </c>
      <c r="BF27" s="372">
        <f>IFERROR(VLOOKUP($AY27,costs!$A$2:$I$2905,BF$2,FALSE),0)</f>
        <v>0</v>
      </c>
      <c r="BG27" s="372">
        <f>IFERROR(VLOOKUP($AY27,costs!$A$2:$I$2905,BG$2,FALSE),0)</f>
        <v>0</v>
      </c>
    </row>
    <row r="28" spans="2:59" x14ac:dyDescent="0.35">
      <c r="B28" s="900" t="s">
        <v>1314</v>
      </c>
      <c r="C28" s="348">
        <v>1</v>
      </c>
      <c r="D28" s="348" t="e">
        <f t="shared" si="10"/>
        <v>#N/A</v>
      </c>
      <c r="E28" s="348" t="e">
        <f t="shared" si="10"/>
        <v>#N/A</v>
      </c>
      <c r="F28" s="348" t="e">
        <f t="shared" si="10"/>
        <v>#N/A</v>
      </c>
      <c r="G28" s="348" t="e">
        <f t="shared" si="10"/>
        <v>#N/A</v>
      </c>
      <c r="H28" s="348" t="e">
        <f t="shared" si="10"/>
        <v>#N/A</v>
      </c>
      <c r="I28" s="348" t="e">
        <f t="shared" si="10"/>
        <v>#N/A</v>
      </c>
      <c r="K28" s="268" t="s">
        <v>261</v>
      </c>
      <c r="L28" s="372">
        <f>IFERROR(VLOOKUP($K28,costs!$A$2:$I$2905,L$2,FALSE),0)</f>
        <v>0</v>
      </c>
      <c r="M28" s="372">
        <f>IFERROR(VLOOKUP($K28,costs!$A$2:$I$2905,M$2,FALSE),0)</f>
        <v>0</v>
      </c>
      <c r="N28" s="372">
        <f>IFERROR(VLOOKUP($K28,costs!$A$2:$I$2905,N$2,FALSE),0)</f>
        <v>0</v>
      </c>
      <c r="O28" s="372">
        <f>IFERROR(VLOOKUP($K28,costs!$A$2:$I$2905,O$2,FALSE),0)</f>
        <v>0</v>
      </c>
      <c r="P28" s="372">
        <f>IFERROR(VLOOKUP($K28,costs!$A$2:$I$2905,P$2,FALSE),0)</f>
        <v>0</v>
      </c>
      <c r="Q28" s="372">
        <f>IFERROR(VLOOKUP($K28,costs!$A$2:$I$2905,Q$2,FALSE),0)</f>
        <v>0</v>
      </c>
      <c r="R28" s="372">
        <f>IFERROR(VLOOKUP($K28,costs!$A$2:$I$2905,R$2,FALSE),0)</f>
        <v>0</v>
      </c>
      <c r="S28" s="372">
        <f>IFERROR(VLOOKUP($K28,costs!$A$2:$I$2905,S$2,FALSE),0)</f>
        <v>0</v>
      </c>
      <c r="U28" s="40" t="s">
        <v>339</v>
      </c>
      <c r="V28" s="372">
        <f>IFERROR(VLOOKUP($U28,costs!$A$2:$I$2905,V$2,FALSE),0)</f>
        <v>0</v>
      </c>
      <c r="W28" s="372">
        <f>IFERROR(VLOOKUP($U28,costs!$A$2:$I$2905,W$2,FALSE),0)</f>
        <v>0</v>
      </c>
      <c r="X28" s="372">
        <f>IFERROR(VLOOKUP($U28,costs!$A$2:$I$2905,X$2,FALSE),0)</f>
        <v>0</v>
      </c>
      <c r="Y28" s="372">
        <f>IFERROR(VLOOKUP($U28,costs!$A$2:$I$2905,Y$2,FALSE),0)</f>
        <v>0</v>
      </c>
      <c r="Z28" s="372">
        <f>IFERROR(VLOOKUP($U28,costs!$A$2:$I$2905,Z$2,FALSE),0)</f>
        <v>0</v>
      </c>
      <c r="AA28" s="372">
        <f>IFERROR(VLOOKUP($U28,costs!$A$2:$I$2905,AA$2,FALSE),0)</f>
        <v>0</v>
      </c>
      <c r="AB28" s="372">
        <f>IFERROR(VLOOKUP($U28,costs!$A$2:$I$2905,AB$2,FALSE),0)</f>
        <v>0</v>
      </c>
      <c r="AC28" s="372">
        <f>IFERROR(VLOOKUP($U28,costs!$A$2:$I$2905,AC$2,FALSE),0)</f>
        <v>0</v>
      </c>
      <c r="AE28" s="40" t="s">
        <v>331</v>
      </c>
      <c r="AF28" s="372">
        <f>IFERROR(VLOOKUP($AE28,costs!$A$2:$I$2905,AF$2,FALSE),0)</f>
        <v>0</v>
      </c>
      <c r="AG28" s="372">
        <f>IFERROR(VLOOKUP($AE28,costs!$A$2:$I$2905,AG$2,FALSE),0)</f>
        <v>0</v>
      </c>
      <c r="AH28" s="372">
        <f>IFERROR(VLOOKUP($AE28,costs!$A$2:$I$2905,AH$2,FALSE),0)</f>
        <v>0</v>
      </c>
      <c r="AI28" s="372">
        <f>IFERROR(VLOOKUP($AE28,costs!$A$2:$I$2905,AI$2,FALSE),0)</f>
        <v>0</v>
      </c>
      <c r="AJ28" s="372">
        <f>IFERROR(VLOOKUP($AE28,costs!$A$2:$I$2905,AJ$2,FALSE),0)</f>
        <v>0</v>
      </c>
      <c r="AK28" s="372">
        <f>IFERROR(VLOOKUP($AE28,costs!$A$2:$I$2905,AK$2,FALSE),0)</f>
        <v>0</v>
      </c>
      <c r="AL28" s="372">
        <f>IFERROR(VLOOKUP($AE28,costs!$A$2:$I$2905,AL$2,FALSE),0)</f>
        <v>0</v>
      </c>
      <c r="AM28" s="372">
        <f>IFERROR(VLOOKUP($AE28,costs!$A$2:$I$2905,AM$2,FALSE),0)</f>
        <v>0</v>
      </c>
      <c r="AO28" s="40" t="s">
        <v>223</v>
      </c>
      <c r="AP28" s="372">
        <f>IFERROR(VLOOKUP($AO28,costs!$A$2:$I$2905,AP$2,FALSE),0)</f>
        <v>0</v>
      </c>
      <c r="AQ28" s="372">
        <f>IFERROR(VLOOKUP($AO28,costs!$A$2:$I$2905,AQ$2,FALSE),0)</f>
        <v>0</v>
      </c>
      <c r="AR28" s="372">
        <f>IFERROR(VLOOKUP($AO28,costs!$A$2:$I$2905,AR$2,FALSE),0)</f>
        <v>0</v>
      </c>
      <c r="AS28" s="372">
        <f>IFERROR(VLOOKUP($AO28,costs!$A$2:$I$2905,AS$2,FALSE),0)</f>
        <v>0</v>
      </c>
      <c r="AT28" s="372">
        <f>IFERROR(VLOOKUP($AO28,costs!$A$2:$I$2905,AT$2,FALSE),0)</f>
        <v>0</v>
      </c>
      <c r="AU28" s="372">
        <f>IFERROR(VLOOKUP($AO28,costs!$A$2:$I$2905,AU$2,FALSE),0)</f>
        <v>0</v>
      </c>
      <c r="AV28" s="372">
        <f>IFERROR(VLOOKUP($AO28,costs!$A$2:$I$2905,AV$2,FALSE),0)</f>
        <v>0</v>
      </c>
      <c r="AW28" s="372">
        <f>IFERROR(VLOOKUP($AO28,costs!$A$2:$I$2905,AW$2,FALSE),0)</f>
        <v>0</v>
      </c>
      <c r="AY28" s="949" t="s">
        <v>302</v>
      </c>
      <c r="AZ28" s="372">
        <f>IFERROR(VLOOKUP($AY28,costs!$A$2:$I$2905,AZ$2,FALSE),0)</f>
        <v>0</v>
      </c>
      <c r="BA28" s="372">
        <f>IFERROR(VLOOKUP($AY28,costs!$A$2:$I$2905,BA$2,FALSE),0)</f>
        <v>0</v>
      </c>
      <c r="BB28" s="372">
        <f>IFERROR(VLOOKUP($AY28,costs!$A$2:$I$2905,BB$2,FALSE),0)</f>
        <v>0</v>
      </c>
      <c r="BC28" s="372">
        <f>IFERROR(VLOOKUP($AY28,costs!$A$2:$I$2905,BC$2,FALSE),0)</f>
        <v>0</v>
      </c>
      <c r="BD28" s="372">
        <f>IFERROR(VLOOKUP($AY28,costs!$A$2:$I$2905,BD$2,FALSE),0)</f>
        <v>0</v>
      </c>
      <c r="BE28" s="372">
        <f>IFERROR(VLOOKUP($AY28,costs!$A$2:$I$2905,BE$2,FALSE),0)</f>
        <v>0</v>
      </c>
      <c r="BF28" s="372">
        <f>IFERROR(VLOOKUP($AY28,costs!$A$2:$I$2905,BF$2,FALSE),0)</f>
        <v>0</v>
      </c>
      <c r="BG28" s="372">
        <f>IFERROR(VLOOKUP($AY28,costs!$A$2:$I$2905,BG$2,FALSE),0)</f>
        <v>0</v>
      </c>
    </row>
    <row r="29" spans="2:59" x14ac:dyDescent="0.35">
      <c r="B29" s="900" t="s">
        <v>2028</v>
      </c>
      <c r="C29" s="348">
        <v>1</v>
      </c>
      <c r="D29" s="348" t="e">
        <f t="shared" si="10"/>
        <v>#DIV/0!</v>
      </c>
      <c r="E29" s="348" t="e">
        <f t="shared" si="10"/>
        <v>#DIV/0!</v>
      </c>
      <c r="F29" s="348" t="e">
        <f t="shared" si="10"/>
        <v>#DIV/0!</v>
      </c>
      <c r="G29" s="348" t="e">
        <f t="shared" si="10"/>
        <v>#DIV/0!</v>
      </c>
      <c r="H29" s="348" t="e">
        <f t="shared" si="10"/>
        <v>#DIV/0!</v>
      </c>
      <c r="I29" s="348" t="e">
        <f t="shared" si="10"/>
        <v>#DIV/0!</v>
      </c>
      <c r="K29" s="269" t="s">
        <v>270</v>
      </c>
      <c r="L29" s="372">
        <f>IFERROR(VLOOKUP($K29,costs!$A$2:$I$2905,L$2,FALSE),0)</f>
        <v>0</v>
      </c>
      <c r="M29" s="372">
        <f>IFERROR(VLOOKUP($K29,costs!$A$2:$I$2905,M$2,FALSE),0)</f>
        <v>0</v>
      </c>
      <c r="N29" s="372">
        <f>IFERROR(VLOOKUP($K29,costs!$A$2:$I$2905,N$2,FALSE),0)</f>
        <v>0</v>
      </c>
      <c r="O29" s="372">
        <f>IFERROR(VLOOKUP($K29,costs!$A$2:$I$2905,O$2,FALSE),0)</f>
        <v>0</v>
      </c>
      <c r="P29" s="372">
        <f>IFERROR(VLOOKUP($K29,costs!$A$2:$I$2905,P$2,FALSE),0)</f>
        <v>0</v>
      </c>
      <c r="Q29" s="372">
        <f>IFERROR(VLOOKUP($K29,costs!$A$2:$I$2905,Q$2,FALSE),0)</f>
        <v>0</v>
      </c>
      <c r="R29" s="372">
        <f>IFERROR(VLOOKUP($K29,costs!$A$2:$I$2905,R$2,FALSE),0)</f>
        <v>0</v>
      </c>
      <c r="S29" s="372">
        <f>IFERROR(VLOOKUP($K29,costs!$A$2:$I$2905,S$2,FALSE),0)</f>
        <v>0</v>
      </c>
      <c r="U29" s="949" t="s">
        <v>2042</v>
      </c>
      <c r="V29" s="372">
        <f>IFERROR(VLOOKUP($U29,costs!$A$2:$I$2905,V$2,FALSE),0)</f>
        <v>0</v>
      </c>
      <c r="W29" s="372">
        <f>IFERROR(VLOOKUP($U29,costs!$A$2:$I$2905,W$2,FALSE),0)</f>
        <v>0</v>
      </c>
      <c r="X29" s="372">
        <f>IFERROR(VLOOKUP($U29,costs!$A$2:$I$2905,X$2,FALSE),0)</f>
        <v>0</v>
      </c>
      <c r="Y29" s="372">
        <f>IFERROR(VLOOKUP($U29,costs!$A$2:$I$2905,Y$2,FALSE),0)</f>
        <v>0</v>
      </c>
      <c r="Z29" s="372">
        <f>IFERROR(VLOOKUP($U29,costs!$A$2:$I$2905,Z$2,FALSE),0)</f>
        <v>0</v>
      </c>
      <c r="AA29" s="372">
        <f>IFERROR(VLOOKUP($U29,costs!$A$2:$I$2905,AA$2,FALSE),0)</f>
        <v>0</v>
      </c>
      <c r="AB29" s="372">
        <f>IFERROR(VLOOKUP($U29,costs!$A$2:$I$2905,AB$2,FALSE),0)</f>
        <v>0</v>
      </c>
      <c r="AC29" s="372">
        <f>IFERROR(VLOOKUP($U29,costs!$A$2:$I$2905,AC$2,FALSE),0)</f>
        <v>0</v>
      </c>
      <c r="AE29" s="40" t="s">
        <v>330</v>
      </c>
      <c r="AF29" s="372">
        <f>IFERROR(VLOOKUP($AE29,costs!$A$2:$I$2905,AF$2,FALSE),0)</f>
        <v>0</v>
      </c>
      <c r="AG29" s="372">
        <f>IFERROR(VLOOKUP($AE29,costs!$A$2:$I$2905,AG$2,FALSE),0)</f>
        <v>0</v>
      </c>
      <c r="AH29" s="372">
        <f>IFERROR(VLOOKUP($AE29,costs!$A$2:$I$2905,AH$2,FALSE),0)</f>
        <v>0</v>
      </c>
      <c r="AI29" s="372">
        <f>IFERROR(VLOOKUP($AE29,costs!$A$2:$I$2905,AI$2,FALSE),0)</f>
        <v>0</v>
      </c>
      <c r="AJ29" s="372">
        <f>IFERROR(VLOOKUP($AE29,costs!$A$2:$I$2905,AJ$2,FALSE),0)</f>
        <v>0</v>
      </c>
      <c r="AK29" s="372">
        <f>IFERROR(VLOOKUP($AE29,costs!$A$2:$I$2905,AK$2,FALSE),0)</f>
        <v>0</v>
      </c>
      <c r="AL29" s="372">
        <f>IFERROR(VLOOKUP($AE29,costs!$A$2:$I$2905,AL$2,FALSE),0)</f>
        <v>0</v>
      </c>
      <c r="AM29" s="372">
        <f>IFERROR(VLOOKUP($AE29,costs!$A$2:$I$2905,AM$2,FALSE),0)</f>
        <v>0</v>
      </c>
      <c r="AO29" s="40" t="s">
        <v>518</v>
      </c>
      <c r="AP29" s="372">
        <f>IFERROR(VLOOKUP($AO29,costs!$A$2:$I$2905,AP$2,FALSE),0)</f>
        <v>0</v>
      </c>
      <c r="AQ29" s="372">
        <f>IFERROR(VLOOKUP($AO29,costs!$A$2:$I$2905,AQ$2,FALSE),0)</f>
        <v>0</v>
      </c>
      <c r="AR29" s="372">
        <f>IFERROR(VLOOKUP($AO29,costs!$A$2:$I$2905,AR$2,FALSE),0)</f>
        <v>0</v>
      </c>
      <c r="AS29" s="372">
        <f>IFERROR(VLOOKUP($AO29,costs!$A$2:$I$2905,AS$2,FALSE),0)</f>
        <v>0</v>
      </c>
      <c r="AT29" s="372">
        <f>IFERROR(VLOOKUP($AO29,costs!$A$2:$I$2905,AT$2,FALSE),0)</f>
        <v>0</v>
      </c>
      <c r="AU29" s="372">
        <f>IFERROR(VLOOKUP($AO29,costs!$A$2:$I$2905,AU$2,FALSE),0)</f>
        <v>0</v>
      </c>
      <c r="AV29" s="372">
        <f>IFERROR(VLOOKUP($AO29,costs!$A$2:$I$2905,AV$2,FALSE),0)</f>
        <v>0</v>
      </c>
      <c r="AW29" s="372">
        <f>IFERROR(VLOOKUP($AO29,costs!$A$2:$I$2905,AW$2,FALSE),0)</f>
        <v>0</v>
      </c>
      <c r="AY29" s="40" t="s">
        <v>2084</v>
      </c>
      <c r="AZ29" s="372">
        <f>IFERROR(VLOOKUP($AY29,costs!$A$2:$I$2905,AZ$2,FALSE),0)</f>
        <v>0</v>
      </c>
      <c r="BA29" s="372">
        <f>IFERROR(VLOOKUP($AY29,costs!$A$2:$I$2905,BA$2,FALSE),0)</f>
        <v>0</v>
      </c>
      <c r="BB29" s="372">
        <f>IFERROR(VLOOKUP($AY29,costs!$A$2:$I$2905,BB$2,FALSE),0)</f>
        <v>0</v>
      </c>
      <c r="BC29" s="372">
        <f>IFERROR(VLOOKUP($AY29,costs!$A$2:$I$2905,BC$2,FALSE),0)</f>
        <v>0</v>
      </c>
      <c r="BD29" s="372">
        <f>IFERROR(VLOOKUP($AY29,costs!$A$2:$I$2905,BD$2,FALSE),0)</f>
        <v>0</v>
      </c>
      <c r="BE29" s="372">
        <f>IFERROR(VLOOKUP($AY29,costs!$A$2:$I$2905,BE$2,FALSE),0)</f>
        <v>0</v>
      </c>
      <c r="BF29" s="372">
        <f>IFERROR(VLOOKUP($AY29,costs!$A$2:$I$2905,BF$2,FALSE),0)</f>
        <v>0</v>
      </c>
      <c r="BG29" s="372">
        <f>IFERROR(VLOOKUP($AY29,costs!$A$2:$I$2905,BG$2,FALSE),0)</f>
        <v>0</v>
      </c>
    </row>
    <row r="30" spans="2:59" x14ac:dyDescent="0.35">
      <c r="B30" s="900" t="s">
        <v>2030</v>
      </c>
      <c r="C30" s="348">
        <v>1</v>
      </c>
      <c r="D30" s="348" t="e">
        <f t="shared" si="10"/>
        <v>#DIV/0!</v>
      </c>
      <c r="E30" s="348" t="e">
        <f t="shared" si="10"/>
        <v>#DIV/0!</v>
      </c>
      <c r="F30" s="348" t="e">
        <f t="shared" si="10"/>
        <v>#DIV/0!</v>
      </c>
      <c r="G30" s="348" t="e">
        <f t="shared" si="10"/>
        <v>#DIV/0!</v>
      </c>
      <c r="H30" s="348" t="e">
        <f t="shared" si="10"/>
        <v>#DIV/0!</v>
      </c>
      <c r="I30" s="348" t="e">
        <f t="shared" si="10"/>
        <v>#DIV/0!</v>
      </c>
      <c r="K30" s="268" t="s">
        <v>271</v>
      </c>
      <c r="L30" s="372">
        <f>IFERROR(VLOOKUP($K30,costs!$A$2:$I$2905,L$2,FALSE),0)</f>
        <v>0</v>
      </c>
      <c r="M30" s="372">
        <f>IFERROR(VLOOKUP($K30,costs!$A$2:$I$2905,M$2,FALSE),0)</f>
        <v>0</v>
      </c>
      <c r="N30" s="372">
        <f>IFERROR(VLOOKUP($K30,costs!$A$2:$I$2905,N$2,FALSE),0)</f>
        <v>0</v>
      </c>
      <c r="O30" s="372">
        <f>IFERROR(VLOOKUP($K30,costs!$A$2:$I$2905,O$2,FALSE),0)</f>
        <v>0</v>
      </c>
      <c r="P30" s="372">
        <f>IFERROR(VLOOKUP($K30,costs!$A$2:$I$2905,P$2,FALSE),0)</f>
        <v>0</v>
      </c>
      <c r="Q30" s="372">
        <f>IFERROR(VLOOKUP($K30,costs!$A$2:$I$2905,Q$2,FALSE),0)</f>
        <v>0</v>
      </c>
      <c r="R30" s="372">
        <f>IFERROR(VLOOKUP($K30,costs!$A$2:$I$2905,R$2,FALSE),0)</f>
        <v>0</v>
      </c>
      <c r="S30" s="372">
        <f>IFERROR(VLOOKUP($K30,costs!$A$2:$I$2905,S$2,FALSE),0)</f>
        <v>0</v>
      </c>
      <c r="U30" s="40" t="s">
        <v>500</v>
      </c>
      <c r="V30" s="372">
        <f>IFERROR(VLOOKUP($U30,costs!$A$2:$I$2905,V$2,FALSE),0)</f>
        <v>0</v>
      </c>
      <c r="W30" s="372">
        <f>IFERROR(VLOOKUP($U30,costs!$A$2:$I$2905,W$2,FALSE),0)</f>
        <v>0</v>
      </c>
      <c r="X30" s="372">
        <f>IFERROR(VLOOKUP($U30,costs!$A$2:$I$2905,X$2,FALSE),0)</f>
        <v>0</v>
      </c>
      <c r="Y30" s="372">
        <f>IFERROR(VLOOKUP($U30,costs!$A$2:$I$2905,Y$2,FALSE),0)</f>
        <v>0</v>
      </c>
      <c r="Z30" s="372">
        <f>IFERROR(VLOOKUP($U30,costs!$A$2:$I$2905,Z$2,FALSE),0)</f>
        <v>0</v>
      </c>
      <c r="AA30" s="372">
        <f>IFERROR(VLOOKUP($U30,costs!$A$2:$I$2905,AA$2,FALSE),0)</f>
        <v>0</v>
      </c>
      <c r="AB30" s="372">
        <f>IFERROR(VLOOKUP($U30,costs!$A$2:$I$2905,AB$2,FALSE),0)</f>
        <v>0</v>
      </c>
      <c r="AC30" s="372">
        <f>IFERROR(VLOOKUP($U30,costs!$A$2:$I$2905,AC$2,FALSE),0)</f>
        <v>0</v>
      </c>
      <c r="AE30" s="40" t="s">
        <v>338</v>
      </c>
      <c r="AF30" s="372">
        <f>IFERROR(VLOOKUP($AE30,costs!$A$2:$I$2905,AF$2,FALSE),0)</f>
        <v>0</v>
      </c>
      <c r="AG30" s="372">
        <f>IFERROR(VLOOKUP($AE30,costs!$A$2:$I$2905,AG$2,FALSE),0)</f>
        <v>0</v>
      </c>
      <c r="AH30" s="372">
        <f>IFERROR(VLOOKUP($AE30,costs!$A$2:$I$2905,AH$2,FALSE),0)</f>
        <v>0</v>
      </c>
      <c r="AI30" s="372">
        <f>IFERROR(VLOOKUP($AE30,costs!$A$2:$I$2905,AI$2,FALSE),0)</f>
        <v>0</v>
      </c>
      <c r="AJ30" s="372">
        <f>IFERROR(VLOOKUP($AE30,costs!$A$2:$I$2905,AJ$2,FALSE),0)</f>
        <v>0</v>
      </c>
      <c r="AK30" s="372">
        <f>IFERROR(VLOOKUP($AE30,costs!$A$2:$I$2905,AK$2,FALSE),0)</f>
        <v>0</v>
      </c>
      <c r="AL30" s="372">
        <f>IFERROR(VLOOKUP($AE30,costs!$A$2:$I$2905,AL$2,FALSE),0)</f>
        <v>0</v>
      </c>
      <c r="AM30" s="372">
        <f>IFERROR(VLOOKUP($AE30,costs!$A$2:$I$2905,AM$2,FALSE),0)</f>
        <v>0</v>
      </c>
      <c r="AO30" s="40" t="s">
        <v>466</v>
      </c>
      <c r="AP30" s="372">
        <f>IFERROR(VLOOKUP($AO30,costs!$A$2:$I$2905,AP$2,FALSE),0)</f>
        <v>0</v>
      </c>
      <c r="AQ30" s="372">
        <f>IFERROR(VLOOKUP($AO30,costs!$A$2:$I$2905,AQ$2,FALSE),0)</f>
        <v>0</v>
      </c>
      <c r="AR30" s="372">
        <f>IFERROR(VLOOKUP($AO30,costs!$A$2:$I$2905,AR$2,FALSE),0)</f>
        <v>0</v>
      </c>
      <c r="AS30" s="372">
        <f>IFERROR(VLOOKUP($AO30,costs!$A$2:$I$2905,AS$2,FALSE),0)</f>
        <v>0</v>
      </c>
      <c r="AT30" s="372">
        <f>IFERROR(VLOOKUP($AO30,costs!$A$2:$I$2905,AT$2,FALSE),0)</f>
        <v>0</v>
      </c>
      <c r="AU30" s="372">
        <f>IFERROR(VLOOKUP($AO30,costs!$A$2:$I$2905,AU$2,FALSE),0)</f>
        <v>0</v>
      </c>
      <c r="AV30" s="372">
        <f>IFERROR(VLOOKUP($AO30,costs!$A$2:$I$2905,AV$2,FALSE),0)</f>
        <v>0</v>
      </c>
      <c r="AW30" s="372">
        <f>IFERROR(VLOOKUP($AO30,costs!$A$2:$I$2905,AW$2,FALSE),0)</f>
        <v>0</v>
      </c>
      <c r="AY30" s="949" t="s">
        <v>303</v>
      </c>
      <c r="AZ30" s="372">
        <f>IFERROR(VLOOKUP($AY30,costs!$A$2:$I$2905,AZ$2,FALSE),0)</f>
        <v>0</v>
      </c>
      <c r="BA30" s="372">
        <f>IFERROR(VLOOKUP($AY30,costs!$A$2:$I$2905,BA$2,FALSE),0)</f>
        <v>0</v>
      </c>
      <c r="BB30" s="372">
        <f>IFERROR(VLOOKUP($AY30,costs!$A$2:$I$2905,BB$2,FALSE),0)</f>
        <v>0</v>
      </c>
      <c r="BC30" s="372">
        <f>IFERROR(VLOOKUP($AY30,costs!$A$2:$I$2905,BC$2,FALSE),0)</f>
        <v>0</v>
      </c>
      <c r="BD30" s="372">
        <f>IFERROR(VLOOKUP($AY30,costs!$A$2:$I$2905,BD$2,FALSE),0)</f>
        <v>0</v>
      </c>
      <c r="BE30" s="372">
        <f>IFERROR(VLOOKUP($AY30,costs!$A$2:$I$2905,BE$2,FALSE),0)</f>
        <v>0</v>
      </c>
      <c r="BF30" s="372">
        <f>IFERROR(VLOOKUP($AY30,costs!$A$2:$I$2905,BF$2,FALSE),0)</f>
        <v>0</v>
      </c>
      <c r="BG30" s="372">
        <f>IFERROR(VLOOKUP($AY30,costs!$A$2:$I$2905,BG$2,FALSE),0)</f>
        <v>0</v>
      </c>
    </row>
    <row r="31" spans="2:59" x14ac:dyDescent="0.35">
      <c r="B31" s="900" t="s">
        <v>2288</v>
      </c>
      <c r="C31" s="348">
        <v>1</v>
      </c>
      <c r="D31" s="348" t="e">
        <f t="shared" ref="D31:I32" si="11">D10/$C10</f>
        <v>#DIV/0!</v>
      </c>
      <c r="E31" s="348" t="e">
        <f t="shared" si="11"/>
        <v>#DIV/0!</v>
      </c>
      <c r="F31" s="348" t="e">
        <f t="shared" si="11"/>
        <v>#DIV/0!</v>
      </c>
      <c r="G31" s="348" t="e">
        <f t="shared" si="11"/>
        <v>#DIV/0!</v>
      </c>
      <c r="H31" s="348" t="e">
        <f t="shared" si="11"/>
        <v>#DIV/0!</v>
      </c>
      <c r="I31" s="348" t="e">
        <f t="shared" si="11"/>
        <v>#DIV/0!</v>
      </c>
      <c r="K31" s="268" t="s">
        <v>442</v>
      </c>
      <c r="L31" s="372">
        <f>IFERROR(VLOOKUP($K31,costs!$A$2:$I$2905,L$2,FALSE),0)</f>
        <v>0</v>
      </c>
      <c r="M31" s="372">
        <f>IFERROR(VLOOKUP($K31,costs!$A$2:$I$2905,M$2,FALSE),0)</f>
        <v>0</v>
      </c>
      <c r="N31" s="372">
        <f>IFERROR(VLOOKUP($K31,costs!$A$2:$I$2905,N$2,FALSE),0)</f>
        <v>0</v>
      </c>
      <c r="O31" s="372">
        <f>IFERROR(VLOOKUP($K31,costs!$A$2:$I$2905,O$2,FALSE),0)</f>
        <v>0</v>
      </c>
      <c r="P31" s="372">
        <f>IFERROR(VLOOKUP($K31,costs!$A$2:$I$2905,P$2,FALSE),0)</f>
        <v>0</v>
      </c>
      <c r="Q31" s="372">
        <f>IFERROR(VLOOKUP($K31,costs!$A$2:$I$2905,Q$2,FALSE),0)</f>
        <v>0</v>
      </c>
      <c r="R31" s="372">
        <f>IFERROR(VLOOKUP($K31,costs!$A$2:$I$2905,R$2,FALSE),0)</f>
        <v>0</v>
      </c>
      <c r="S31" s="372">
        <f>IFERROR(VLOOKUP($K31,costs!$A$2:$I$2905,S$2,FALSE),0)</f>
        <v>0</v>
      </c>
      <c r="U31" s="949" t="s">
        <v>501</v>
      </c>
      <c r="V31" s="372">
        <f>IFERROR(VLOOKUP($U31,costs!$A$2:$I$2905,V$2,FALSE),0)</f>
        <v>0</v>
      </c>
      <c r="W31" s="372">
        <f>IFERROR(VLOOKUP($U31,costs!$A$2:$I$2905,W$2,FALSE),0)</f>
        <v>0</v>
      </c>
      <c r="X31" s="372">
        <f>IFERROR(VLOOKUP($U31,costs!$A$2:$I$2905,X$2,FALSE),0)</f>
        <v>0</v>
      </c>
      <c r="Y31" s="372">
        <f>IFERROR(VLOOKUP($U31,costs!$A$2:$I$2905,Y$2,FALSE),0)</f>
        <v>0</v>
      </c>
      <c r="Z31" s="372">
        <f>IFERROR(VLOOKUP($U31,costs!$A$2:$I$2905,Z$2,FALSE),0)</f>
        <v>0</v>
      </c>
      <c r="AA31" s="372">
        <f>IFERROR(VLOOKUP($U31,costs!$A$2:$I$2905,AA$2,FALSE),0)</f>
        <v>0</v>
      </c>
      <c r="AB31" s="372">
        <f>IFERROR(VLOOKUP($U31,costs!$A$2:$I$2905,AB$2,FALSE),0)</f>
        <v>0</v>
      </c>
      <c r="AC31" s="372">
        <f>IFERROR(VLOOKUP($U31,costs!$A$2:$I$2905,AC$2,FALSE),0)</f>
        <v>0</v>
      </c>
      <c r="AE31" s="40" t="s">
        <v>335</v>
      </c>
      <c r="AF31" s="372">
        <f>IFERROR(VLOOKUP($AE31,costs!$A$2:$I$2905,AF$2,FALSE),0)</f>
        <v>0</v>
      </c>
      <c r="AG31" s="372">
        <f>IFERROR(VLOOKUP($AE31,costs!$A$2:$I$2905,AG$2,FALSE),0)</f>
        <v>0</v>
      </c>
      <c r="AH31" s="372">
        <f>IFERROR(VLOOKUP($AE31,costs!$A$2:$I$2905,AH$2,FALSE),0)</f>
        <v>0</v>
      </c>
      <c r="AI31" s="372">
        <f>IFERROR(VLOOKUP($AE31,costs!$A$2:$I$2905,AI$2,FALSE),0)</f>
        <v>0</v>
      </c>
      <c r="AJ31" s="372">
        <f>IFERROR(VLOOKUP($AE31,costs!$A$2:$I$2905,AJ$2,FALSE),0)</f>
        <v>0</v>
      </c>
      <c r="AK31" s="372">
        <f>IFERROR(VLOOKUP($AE31,costs!$A$2:$I$2905,AK$2,FALSE),0)</f>
        <v>0</v>
      </c>
      <c r="AL31" s="372">
        <f>IFERROR(VLOOKUP($AE31,costs!$A$2:$I$2905,AL$2,FALSE),0)</f>
        <v>0</v>
      </c>
      <c r="AM31" s="372">
        <f>IFERROR(VLOOKUP($AE31,costs!$A$2:$I$2905,AM$2,FALSE),0)</f>
        <v>0</v>
      </c>
      <c r="AO31" s="40" t="s">
        <v>183</v>
      </c>
      <c r="AP31" s="372">
        <f>IFERROR(VLOOKUP($AO31,costs!$A$2:$I$2905,AP$2,FALSE),0)</f>
        <v>0</v>
      </c>
      <c r="AQ31" s="372">
        <f>IFERROR(VLOOKUP($AO31,costs!$A$2:$I$2905,AQ$2,FALSE),0)</f>
        <v>0</v>
      </c>
      <c r="AR31" s="372">
        <f>IFERROR(VLOOKUP($AO31,costs!$A$2:$I$2905,AR$2,FALSE),0)</f>
        <v>0</v>
      </c>
      <c r="AS31" s="372">
        <f>IFERROR(VLOOKUP($AO31,costs!$A$2:$I$2905,AS$2,FALSE),0)</f>
        <v>0</v>
      </c>
      <c r="AT31" s="372">
        <f>IFERROR(VLOOKUP($AO31,costs!$A$2:$I$2905,AT$2,FALSE),0)</f>
        <v>0</v>
      </c>
      <c r="AU31" s="372">
        <f>IFERROR(VLOOKUP($AO31,costs!$A$2:$I$2905,AU$2,FALSE),0)</f>
        <v>0</v>
      </c>
      <c r="AV31" s="372">
        <f>IFERROR(VLOOKUP($AO31,costs!$A$2:$I$2905,AV$2,FALSE),0)</f>
        <v>0</v>
      </c>
      <c r="AW31" s="372">
        <f>IFERROR(VLOOKUP($AO31,costs!$A$2:$I$2905,AW$2,FALSE),0)</f>
        <v>0</v>
      </c>
      <c r="AY31" s="40" t="s">
        <v>217</v>
      </c>
      <c r="AZ31" s="372">
        <f>IFERROR(VLOOKUP($AY31,costs!$A$2:$I$2905,AZ$2,FALSE),0)</f>
        <v>0</v>
      </c>
      <c r="BA31" s="372">
        <f>IFERROR(VLOOKUP($AY31,costs!$A$2:$I$2905,BA$2,FALSE),0)</f>
        <v>0</v>
      </c>
      <c r="BB31" s="372">
        <f>IFERROR(VLOOKUP($AY31,costs!$A$2:$I$2905,BB$2,FALSE),0)</f>
        <v>0</v>
      </c>
      <c r="BC31" s="372">
        <f>IFERROR(VLOOKUP($AY31,costs!$A$2:$I$2905,BC$2,FALSE),0)</f>
        <v>0</v>
      </c>
      <c r="BD31" s="372">
        <f>IFERROR(VLOOKUP($AY31,costs!$A$2:$I$2905,BD$2,FALSE),0)</f>
        <v>0</v>
      </c>
      <c r="BE31" s="372">
        <f>IFERROR(VLOOKUP($AY31,costs!$A$2:$I$2905,BE$2,FALSE),0)</f>
        <v>0</v>
      </c>
      <c r="BF31" s="372">
        <f>IFERROR(VLOOKUP($AY31,costs!$A$2:$I$2905,BF$2,FALSE),0)</f>
        <v>0</v>
      </c>
      <c r="BG31" s="372">
        <f>IFERROR(VLOOKUP($AY31,costs!$A$2:$I$2905,BG$2,FALSE),0)</f>
        <v>0</v>
      </c>
    </row>
    <row r="32" spans="2:59" x14ac:dyDescent="0.35">
      <c r="B32" s="900" t="s">
        <v>2287</v>
      </c>
      <c r="C32" s="348">
        <v>1</v>
      </c>
      <c r="D32" s="348" t="e">
        <f t="shared" si="11"/>
        <v>#DIV/0!</v>
      </c>
      <c r="E32" s="348" t="e">
        <f t="shared" si="11"/>
        <v>#DIV/0!</v>
      </c>
      <c r="F32" s="348" t="e">
        <f t="shared" si="11"/>
        <v>#DIV/0!</v>
      </c>
      <c r="G32" s="348" t="e">
        <f t="shared" si="11"/>
        <v>#DIV/0!</v>
      </c>
      <c r="H32" s="348" t="e">
        <f t="shared" si="11"/>
        <v>#DIV/0!</v>
      </c>
      <c r="I32" s="348" t="e">
        <f t="shared" si="11"/>
        <v>#DIV/0!</v>
      </c>
      <c r="K32" s="268" t="s">
        <v>417</v>
      </c>
      <c r="L32" s="372">
        <f>IFERROR(VLOOKUP($K32,costs!$A$2:$I$2905,L$2,FALSE),0)</f>
        <v>0</v>
      </c>
      <c r="M32" s="372">
        <f>IFERROR(VLOOKUP($K32,costs!$A$2:$I$2905,M$2,FALSE),0)</f>
        <v>0</v>
      </c>
      <c r="N32" s="372">
        <f>IFERROR(VLOOKUP($K32,costs!$A$2:$I$2905,N$2,FALSE),0)</f>
        <v>0</v>
      </c>
      <c r="O32" s="372">
        <f>IFERROR(VLOOKUP($K32,costs!$A$2:$I$2905,O$2,FALSE),0)</f>
        <v>0</v>
      </c>
      <c r="P32" s="372">
        <f>IFERROR(VLOOKUP($K32,costs!$A$2:$I$2905,P$2,FALSE),0)</f>
        <v>0</v>
      </c>
      <c r="Q32" s="372">
        <f>IFERROR(VLOOKUP($K32,costs!$A$2:$I$2905,Q$2,FALSE),0)</f>
        <v>0</v>
      </c>
      <c r="R32" s="372">
        <f>IFERROR(VLOOKUP($K32,costs!$A$2:$I$2905,R$2,FALSE),0)</f>
        <v>0</v>
      </c>
      <c r="S32" s="372">
        <f>IFERROR(VLOOKUP($K32,costs!$A$2:$I$2905,S$2,FALSE),0)</f>
        <v>0</v>
      </c>
      <c r="U32" s="40" t="s">
        <v>2043</v>
      </c>
      <c r="V32" s="372">
        <f>IFERROR(VLOOKUP($U32,costs!$A$2:$I$2905,V$2,FALSE),0)</f>
        <v>0</v>
      </c>
      <c r="W32" s="372">
        <f>IFERROR(VLOOKUP($U32,costs!$A$2:$I$2905,W$2,FALSE),0)</f>
        <v>0</v>
      </c>
      <c r="X32" s="372">
        <f>IFERROR(VLOOKUP($U32,costs!$A$2:$I$2905,X$2,FALSE),0)</f>
        <v>0</v>
      </c>
      <c r="Y32" s="372">
        <f>IFERROR(VLOOKUP($U32,costs!$A$2:$I$2905,Y$2,FALSE),0)</f>
        <v>0</v>
      </c>
      <c r="Z32" s="372">
        <f>IFERROR(VLOOKUP($U32,costs!$A$2:$I$2905,Z$2,FALSE),0)</f>
        <v>0</v>
      </c>
      <c r="AA32" s="372">
        <f>IFERROR(VLOOKUP($U32,costs!$A$2:$I$2905,AA$2,FALSE),0)</f>
        <v>0</v>
      </c>
      <c r="AB32" s="372">
        <f>IFERROR(VLOOKUP($U32,costs!$A$2:$I$2905,AB$2,FALSE),0)</f>
        <v>0</v>
      </c>
      <c r="AC32" s="372">
        <f>IFERROR(VLOOKUP($U32,costs!$A$2:$I$2905,AC$2,FALSE),0)</f>
        <v>0</v>
      </c>
      <c r="AE32" s="40" t="s">
        <v>475</v>
      </c>
      <c r="AF32" s="372">
        <f>IFERROR(VLOOKUP($AE32,costs!$A$2:$I$2905,AF$2,FALSE),0)</f>
        <v>0</v>
      </c>
      <c r="AG32" s="372">
        <f>IFERROR(VLOOKUP($AE32,costs!$A$2:$I$2905,AG$2,FALSE),0)</f>
        <v>0</v>
      </c>
      <c r="AH32" s="372">
        <f>IFERROR(VLOOKUP($AE32,costs!$A$2:$I$2905,AH$2,FALSE),0)</f>
        <v>0</v>
      </c>
      <c r="AI32" s="372">
        <f>IFERROR(VLOOKUP($AE32,costs!$A$2:$I$2905,AI$2,FALSE),0)</f>
        <v>0</v>
      </c>
      <c r="AJ32" s="372">
        <f>IFERROR(VLOOKUP($AE32,costs!$A$2:$I$2905,AJ$2,FALSE),0)</f>
        <v>0</v>
      </c>
      <c r="AK32" s="372">
        <f>IFERROR(VLOOKUP($AE32,costs!$A$2:$I$2905,AK$2,FALSE),0)</f>
        <v>0</v>
      </c>
      <c r="AL32" s="372">
        <f>IFERROR(VLOOKUP($AE32,costs!$A$2:$I$2905,AL$2,FALSE),0)</f>
        <v>0</v>
      </c>
      <c r="AM32" s="372">
        <f>IFERROR(VLOOKUP($AE32,costs!$A$2:$I$2905,AM$2,FALSE),0)</f>
        <v>0</v>
      </c>
      <c r="AO32" s="40" t="s">
        <v>106</v>
      </c>
      <c r="AP32" s="372">
        <f>IFERROR(VLOOKUP($AO32,costs!$A$2:$I$2905,AP$2,FALSE),0)</f>
        <v>0</v>
      </c>
      <c r="AQ32" s="372">
        <f>IFERROR(VLOOKUP($AO32,costs!$A$2:$I$2905,AQ$2,FALSE),0)</f>
        <v>0</v>
      </c>
      <c r="AR32" s="372">
        <f>IFERROR(VLOOKUP($AO32,costs!$A$2:$I$2905,AR$2,FALSE),0)</f>
        <v>0</v>
      </c>
      <c r="AS32" s="372">
        <f>IFERROR(VLOOKUP($AO32,costs!$A$2:$I$2905,AS$2,FALSE),0)</f>
        <v>0</v>
      </c>
      <c r="AT32" s="372">
        <f>IFERROR(VLOOKUP($AO32,costs!$A$2:$I$2905,AT$2,FALSE),0)</f>
        <v>0</v>
      </c>
      <c r="AU32" s="372">
        <f>IFERROR(VLOOKUP($AO32,costs!$A$2:$I$2905,AU$2,FALSE),0)</f>
        <v>0</v>
      </c>
      <c r="AV32" s="372">
        <f>IFERROR(VLOOKUP($AO32,costs!$A$2:$I$2905,AV$2,FALSE),0)</f>
        <v>0</v>
      </c>
      <c r="AW32" s="372">
        <f>IFERROR(VLOOKUP($AO32,costs!$A$2:$I$2905,AW$2,FALSE),0)</f>
        <v>0</v>
      </c>
      <c r="AY32" s="949" t="s">
        <v>2085</v>
      </c>
      <c r="AZ32" s="372">
        <f>IFERROR(VLOOKUP($AY32,costs!$A$2:$I$2905,AZ$2,FALSE),0)</f>
        <v>0</v>
      </c>
      <c r="BA32" s="372">
        <f>IFERROR(VLOOKUP($AY32,costs!$A$2:$I$2905,BA$2,FALSE),0)</f>
        <v>0</v>
      </c>
      <c r="BB32" s="372">
        <f>IFERROR(VLOOKUP($AY32,costs!$A$2:$I$2905,BB$2,FALSE),0)</f>
        <v>0</v>
      </c>
      <c r="BC32" s="372">
        <f>IFERROR(VLOOKUP($AY32,costs!$A$2:$I$2905,BC$2,FALSE),0)</f>
        <v>0</v>
      </c>
      <c r="BD32" s="372">
        <f>IFERROR(VLOOKUP($AY32,costs!$A$2:$I$2905,BD$2,FALSE),0)</f>
        <v>0</v>
      </c>
      <c r="BE32" s="372">
        <f>IFERROR(VLOOKUP($AY32,costs!$A$2:$I$2905,BE$2,FALSE),0)</f>
        <v>0</v>
      </c>
      <c r="BF32" s="372">
        <f>IFERROR(VLOOKUP($AY32,costs!$A$2:$I$2905,BF$2,FALSE),0)</f>
        <v>0</v>
      </c>
      <c r="BG32" s="372">
        <f>IFERROR(VLOOKUP($AY32,costs!$A$2:$I$2905,BG$2,FALSE),0)</f>
        <v>0</v>
      </c>
    </row>
    <row r="33" spans="2:59" x14ac:dyDescent="0.35">
      <c r="B33" s="900" t="s">
        <v>2179</v>
      </c>
      <c r="C33" s="348">
        <v>1</v>
      </c>
      <c r="D33" s="348" t="e">
        <f t="shared" ref="D33:I33" si="12">D9/$C9</f>
        <v>#DIV/0!</v>
      </c>
      <c r="E33" s="348" t="e">
        <f t="shared" si="12"/>
        <v>#DIV/0!</v>
      </c>
      <c r="F33" s="348" t="e">
        <f t="shared" si="12"/>
        <v>#DIV/0!</v>
      </c>
      <c r="G33" s="348" t="e">
        <f t="shared" si="12"/>
        <v>#DIV/0!</v>
      </c>
      <c r="H33" s="348" t="e">
        <f t="shared" si="12"/>
        <v>#DIV/0!</v>
      </c>
      <c r="I33" s="348" t="e">
        <f t="shared" si="12"/>
        <v>#DIV/0!</v>
      </c>
      <c r="K33" s="269" t="s">
        <v>418</v>
      </c>
      <c r="L33" s="372">
        <f>IFERROR(VLOOKUP($K33,costs!$A$2:$I$2905,L$2,FALSE),0)</f>
        <v>0</v>
      </c>
      <c r="M33" s="372">
        <f>IFERROR(VLOOKUP($K33,costs!$A$2:$I$2905,M$2,FALSE),0)</f>
        <v>0</v>
      </c>
      <c r="N33" s="372">
        <f>IFERROR(VLOOKUP($K33,costs!$A$2:$I$2905,N$2,FALSE),0)</f>
        <v>0</v>
      </c>
      <c r="O33" s="372">
        <f>IFERROR(VLOOKUP($K33,costs!$A$2:$I$2905,O$2,FALSE),0)</f>
        <v>0</v>
      </c>
      <c r="P33" s="372">
        <f>IFERROR(VLOOKUP($K33,costs!$A$2:$I$2905,P$2,FALSE),0)</f>
        <v>0</v>
      </c>
      <c r="Q33" s="372">
        <f>IFERROR(VLOOKUP($K33,costs!$A$2:$I$2905,Q$2,FALSE),0)</f>
        <v>0</v>
      </c>
      <c r="R33" s="372">
        <f>IFERROR(VLOOKUP($K33,costs!$A$2:$I$2905,R$2,FALSE),0)</f>
        <v>0</v>
      </c>
      <c r="S33" s="372">
        <f>IFERROR(VLOOKUP($K33,costs!$A$2:$I$2905,S$2,FALSE),0)</f>
        <v>0</v>
      </c>
      <c r="U33" s="949" t="s">
        <v>267</v>
      </c>
      <c r="V33" s="372">
        <f>IFERROR(VLOOKUP($U33,costs!$A$2:$I$2905,V$2,FALSE),0)</f>
        <v>0</v>
      </c>
      <c r="W33" s="372">
        <f>IFERROR(VLOOKUP($U33,costs!$A$2:$I$2905,W$2,FALSE),0)</f>
        <v>0</v>
      </c>
      <c r="X33" s="372">
        <f>IFERROR(VLOOKUP($U33,costs!$A$2:$I$2905,X$2,FALSE),0)</f>
        <v>0</v>
      </c>
      <c r="Y33" s="372">
        <f>IFERROR(VLOOKUP($U33,costs!$A$2:$I$2905,Y$2,FALSE),0)</f>
        <v>0</v>
      </c>
      <c r="Z33" s="372">
        <f>IFERROR(VLOOKUP($U33,costs!$A$2:$I$2905,Z$2,FALSE),0)</f>
        <v>0</v>
      </c>
      <c r="AA33" s="372">
        <f>IFERROR(VLOOKUP($U33,costs!$A$2:$I$2905,AA$2,FALSE),0)</f>
        <v>0</v>
      </c>
      <c r="AB33" s="372">
        <f>IFERROR(VLOOKUP($U33,costs!$A$2:$I$2905,AB$2,FALSE),0)</f>
        <v>0</v>
      </c>
      <c r="AC33" s="372">
        <f>IFERROR(VLOOKUP($U33,costs!$A$2:$I$2905,AC$2,FALSE),0)</f>
        <v>0</v>
      </c>
      <c r="AE33" s="40" t="s">
        <v>476</v>
      </c>
      <c r="AF33" s="372">
        <f>IFERROR(VLOOKUP($AE33,costs!$A$2:$I$2905,AF$2,FALSE),0)</f>
        <v>0</v>
      </c>
      <c r="AG33" s="372">
        <f>IFERROR(VLOOKUP($AE33,costs!$A$2:$I$2905,AG$2,FALSE),0)</f>
        <v>0</v>
      </c>
      <c r="AH33" s="372">
        <f>IFERROR(VLOOKUP($AE33,costs!$A$2:$I$2905,AH$2,FALSE),0)</f>
        <v>0</v>
      </c>
      <c r="AI33" s="372">
        <f>IFERROR(VLOOKUP($AE33,costs!$A$2:$I$2905,AI$2,FALSE),0)</f>
        <v>0</v>
      </c>
      <c r="AJ33" s="372">
        <f>IFERROR(VLOOKUP($AE33,costs!$A$2:$I$2905,AJ$2,FALSE),0)</f>
        <v>0</v>
      </c>
      <c r="AK33" s="372">
        <f>IFERROR(VLOOKUP($AE33,costs!$A$2:$I$2905,AK$2,FALSE),0)</f>
        <v>0</v>
      </c>
      <c r="AL33" s="372">
        <f>IFERROR(VLOOKUP($AE33,costs!$A$2:$I$2905,AL$2,FALSE),0)</f>
        <v>0</v>
      </c>
      <c r="AM33" s="372">
        <f>IFERROR(VLOOKUP($AE33,costs!$A$2:$I$2905,AM$2,FALSE),0)</f>
        <v>0</v>
      </c>
      <c r="AO33" s="40" t="s">
        <v>2220</v>
      </c>
      <c r="AP33" s="372">
        <f>IFERROR(VLOOKUP($AO33,costs!$A$2:$I$2905,AP$2,FALSE),0)</f>
        <v>0</v>
      </c>
      <c r="AQ33" s="372">
        <f>IFERROR(VLOOKUP($AO33,costs!$A$2:$I$2905,AQ$2,FALSE),0)</f>
        <v>0</v>
      </c>
      <c r="AR33" s="372">
        <f>IFERROR(VLOOKUP($AO33,costs!$A$2:$I$2905,AR$2,FALSE),0)</f>
        <v>0</v>
      </c>
      <c r="AS33" s="372">
        <f>IFERROR(VLOOKUP($AO33,costs!$A$2:$I$2905,AS$2,FALSE),0)</f>
        <v>0</v>
      </c>
      <c r="AT33" s="372">
        <f>IFERROR(VLOOKUP($AO33,costs!$A$2:$I$2905,AT$2,FALSE),0)</f>
        <v>0</v>
      </c>
      <c r="AU33" s="372">
        <f>IFERROR(VLOOKUP($AO33,costs!$A$2:$I$2905,AU$2,FALSE),0)</f>
        <v>0</v>
      </c>
      <c r="AV33" s="372">
        <f>IFERROR(VLOOKUP($AO33,costs!$A$2:$I$2905,AV$2,FALSE),0)</f>
        <v>0</v>
      </c>
      <c r="AW33" s="372">
        <f>IFERROR(VLOOKUP($AO33,costs!$A$2:$I$2905,AW$2,FALSE),0)</f>
        <v>0</v>
      </c>
      <c r="AY33" s="40" t="s">
        <v>218</v>
      </c>
      <c r="AZ33" s="372">
        <f>IFERROR(VLOOKUP($AY33,costs!$A$2:$I$2905,AZ$2,FALSE),0)</f>
        <v>0</v>
      </c>
      <c r="BA33" s="372">
        <f>IFERROR(VLOOKUP($AY33,costs!$A$2:$I$2905,BA$2,FALSE),0)</f>
        <v>0</v>
      </c>
      <c r="BB33" s="372">
        <f>IFERROR(VLOOKUP($AY33,costs!$A$2:$I$2905,BB$2,FALSE),0)</f>
        <v>0</v>
      </c>
      <c r="BC33" s="372">
        <f>IFERROR(VLOOKUP($AY33,costs!$A$2:$I$2905,BC$2,FALSE),0)</f>
        <v>0</v>
      </c>
      <c r="BD33" s="372">
        <f>IFERROR(VLOOKUP($AY33,costs!$A$2:$I$2905,BD$2,FALSE),0)</f>
        <v>0</v>
      </c>
      <c r="BE33" s="372">
        <f>IFERROR(VLOOKUP($AY33,costs!$A$2:$I$2905,BE$2,FALSE),0)</f>
        <v>0</v>
      </c>
      <c r="BF33" s="372">
        <f>IFERROR(VLOOKUP($AY33,costs!$A$2:$I$2905,BF$2,FALSE),0)</f>
        <v>0</v>
      </c>
      <c r="BG33" s="372">
        <f>IFERROR(VLOOKUP($AY33,costs!$A$2:$I$2905,BG$2,FALSE),0)</f>
        <v>0</v>
      </c>
    </row>
    <row r="34" spans="2:59" x14ac:dyDescent="0.35">
      <c r="B34" s="133" t="s">
        <v>2027</v>
      </c>
      <c r="C34" s="267">
        <v>1</v>
      </c>
      <c r="D34" s="267" t="e">
        <f t="shared" ref="D34:I34" si="13">D12/$C12</f>
        <v>#N/A</v>
      </c>
      <c r="E34" s="267" t="e">
        <f t="shared" si="13"/>
        <v>#N/A</v>
      </c>
      <c r="F34" s="267" t="e">
        <f t="shared" si="13"/>
        <v>#N/A</v>
      </c>
      <c r="G34" s="267" t="e">
        <f t="shared" si="13"/>
        <v>#N/A</v>
      </c>
      <c r="H34" s="267" t="e">
        <f t="shared" si="13"/>
        <v>#N/A</v>
      </c>
      <c r="I34" s="267" t="e">
        <f t="shared" si="13"/>
        <v>#N/A</v>
      </c>
      <c r="K34" s="268" t="s">
        <v>473</v>
      </c>
      <c r="L34" s="372">
        <f>IFERROR(VLOOKUP($K34,costs!$A$2:$I$2905,L$2,FALSE),0)</f>
        <v>0</v>
      </c>
      <c r="M34" s="372">
        <f>IFERROR(VLOOKUP($K34,costs!$A$2:$I$2905,M$2,FALSE),0)</f>
        <v>0</v>
      </c>
      <c r="N34" s="372">
        <f>IFERROR(VLOOKUP($K34,costs!$A$2:$I$2905,N$2,FALSE),0)</f>
        <v>0</v>
      </c>
      <c r="O34" s="372">
        <f>IFERROR(VLOOKUP($K34,costs!$A$2:$I$2905,O$2,FALSE),0)</f>
        <v>0</v>
      </c>
      <c r="P34" s="372">
        <f>IFERROR(VLOOKUP($K34,costs!$A$2:$I$2905,P$2,FALSE),0)</f>
        <v>0</v>
      </c>
      <c r="Q34" s="372">
        <f>IFERROR(VLOOKUP($K34,costs!$A$2:$I$2905,Q$2,FALSE),0)</f>
        <v>0</v>
      </c>
      <c r="R34" s="372">
        <f>IFERROR(VLOOKUP($K34,costs!$A$2:$I$2905,R$2,FALSE),0)</f>
        <v>0</v>
      </c>
      <c r="S34" s="372">
        <f>IFERROR(VLOOKUP($K34,costs!$A$2:$I$2905,S$2,FALSE),0)</f>
        <v>0</v>
      </c>
      <c r="U34" s="40" t="s">
        <v>2044</v>
      </c>
      <c r="V34" s="372">
        <f>IFERROR(VLOOKUP($U34,costs!$A$2:$I$2905,V$2,FALSE),0)</f>
        <v>0</v>
      </c>
      <c r="W34" s="372">
        <f>IFERROR(VLOOKUP($U34,costs!$A$2:$I$2905,W$2,FALSE),0)</f>
        <v>0</v>
      </c>
      <c r="X34" s="372">
        <f>IFERROR(VLOOKUP($U34,costs!$A$2:$I$2905,X$2,FALSE),0)</f>
        <v>0</v>
      </c>
      <c r="Y34" s="372">
        <f>IFERROR(VLOOKUP($U34,costs!$A$2:$I$2905,Y$2,FALSE),0)</f>
        <v>0</v>
      </c>
      <c r="Z34" s="372">
        <f>IFERROR(VLOOKUP($U34,costs!$A$2:$I$2905,Z$2,FALSE),0)</f>
        <v>0</v>
      </c>
      <c r="AA34" s="372">
        <f>IFERROR(VLOOKUP($U34,costs!$A$2:$I$2905,AA$2,FALSE),0)</f>
        <v>0</v>
      </c>
      <c r="AB34" s="372">
        <f>IFERROR(VLOOKUP($U34,costs!$A$2:$I$2905,AB$2,FALSE),0)</f>
        <v>0</v>
      </c>
      <c r="AC34" s="372">
        <f>IFERROR(VLOOKUP($U34,costs!$A$2:$I$2905,AC$2,FALSE),0)</f>
        <v>0</v>
      </c>
      <c r="AE34" s="40" t="s">
        <v>474</v>
      </c>
      <c r="AF34" s="372">
        <f>IFERROR(VLOOKUP($AE34,costs!$A$2:$I$2905,AF$2,FALSE),0)</f>
        <v>0</v>
      </c>
      <c r="AG34" s="372">
        <f>IFERROR(VLOOKUP($AE34,costs!$A$2:$I$2905,AG$2,FALSE),0)</f>
        <v>0</v>
      </c>
      <c r="AH34" s="372">
        <f>IFERROR(VLOOKUP($AE34,costs!$A$2:$I$2905,AH$2,FALSE),0)</f>
        <v>0</v>
      </c>
      <c r="AI34" s="372">
        <f>IFERROR(VLOOKUP($AE34,costs!$A$2:$I$2905,AI$2,FALSE),0)</f>
        <v>0</v>
      </c>
      <c r="AJ34" s="372">
        <f>IFERROR(VLOOKUP($AE34,costs!$A$2:$I$2905,AJ$2,FALSE),0)</f>
        <v>0</v>
      </c>
      <c r="AK34" s="372">
        <f>IFERROR(VLOOKUP($AE34,costs!$A$2:$I$2905,AK$2,FALSE),0)</f>
        <v>0</v>
      </c>
      <c r="AL34" s="372">
        <f>IFERROR(VLOOKUP($AE34,costs!$A$2:$I$2905,AL$2,FALSE),0)</f>
        <v>0</v>
      </c>
      <c r="AM34" s="372">
        <f>IFERROR(VLOOKUP($AE34,costs!$A$2:$I$2905,AM$2,FALSE),0)</f>
        <v>0</v>
      </c>
      <c r="AO34" s="278" t="s">
        <v>2182</v>
      </c>
      <c r="AP34" s="950">
        <f t="shared" ref="AP34:AW34" si="14">SUM(AP4:AP33)</f>
        <v>0</v>
      </c>
      <c r="AQ34" s="950">
        <f t="shared" si="14"/>
        <v>0</v>
      </c>
      <c r="AR34" s="950">
        <f t="shared" si="14"/>
        <v>0</v>
      </c>
      <c r="AS34" s="950">
        <f t="shared" si="14"/>
        <v>0</v>
      </c>
      <c r="AT34" s="950">
        <f t="shared" si="14"/>
        <v>0</v>
      </c>
      <c r="AU34" s="950">
        <f t="shared" si="14"/>
        <v>0</v>
      </c>
      <c r="AV34" s="950">
        <f>SUM(AV4:AV33)</f>
        <v>0</v>
      </c>
      <c r="AW34" s="950">
        <f t="shared" si="14"/>
        <v>0</v>
      </c>
      <c r="AY34" s="949" t="s">
        <v>349</v>
      </c>
      <c r="AZ34" s="372">
        <f>IFERROR(VLOOKUP($AY34,costs!$A$2:$I$2905,AZ$2,FALSE),0)</f>
        <v>0</v>
      </c>
      <c r="BA34" s="372">
        <f>IFERROR(VLOOKUP($AY34,costs!$A$2:$I$2905,BA$2,FALSE),0)</f>
        <v>0</v>
      </c>
      <c r="BB34" s="372">
        <f>IFERROR(VLOOKUP($AY34,costs!$A$2:$I$2905,BB$2,FALSE),0)</f>
        <v>0</v>
      </c>
      <c r="BC34" s="372">
        <f>IFERROR(VLOOKUP($AY34,costs!$A$2:$I$2905,BC$2,FALSE),0)</f>
        <v>0</v>
      </c>
      <c r="BD34" s="372">
        <f>IFERROR(VLOOKUP($AY34,costs!$A$2:$I$2905,BD$2,FALSE),0)</f>
        <v>0</v>
      </c>
      <c r="BE34" s="372">
        <f>IFERROR(VLOOKUP($AY34,costs!$A$2:$I$2905,BE$2,FALSE),0)</f>
        <v>0</v>
      </c>
      <c r="BF34" s="372">
        <f>IFERROR(VLOOKUP($AY34,costs!$A$2:$I$2905,BF$2,FALSE),0)</f>
        <v>0</v>
      </c>
      <c r="BG34" s="372">
        <f>IFERROR(VLOOKUP($AY34,costs!$A$2:$I$2905,BG$2,FALSE),0)</f>
        <v>0</v>
      </c>
    </row>
    <row r="35" spans="2:59" x14ac:dyDescent="0.35">
      <c r="K35" s="269" t="s">
        <v>477</v>
      </c>
      <c r="L35" s="372">
        <f>IFERROR(VLOOKUP($K35,costs!$A$2:$I$2905,L$2,FALSE),0)</f>
        <v>0</v>
      </c>
      <c r="M35" s="372">
        <f>IFERROR(VLOOKUP($K35,costs!$A$2:$I$2905,M$2,FALSE),0)</f>
        <v>0</v>
      </c>
      <c r="N35" s="372">
        <f>IFERROR(VLOOKUP($K35,costs!$A$2:$I$2905,N$2,FALSE),0)</f>
        <v>0</v>
      </c>
      <c r="O35" s="372">
        <f>IFERROR(VLOOKUP($K35,costs!$A$2:$I$2905,O$2,FALSE),0)</f>
        <v>0</v>
      </c>
      <c r="P35" s="372">
        <f>IFERROR(VLOOKUP($K35,costs!$A$2:$I$2905,P$2,FALSE),0)</f>
        <v>0</v>
      </c>
      <c r="Q35" s="372">
        <f>IFERROR(VLOOKUP($K35,costs!$A$2:$I$2905,Q$2,FALSE),0)</f>
        <v>0</v>
      </c>
      <c r="R35" s="372">
        <f>IFERROR(VLOOKUP($K35,costs!$A$2:$I$2905,R$2,FALSE),0)</f>
        <v>0</v>
      </c>
      <c r="S35" s="372">
        <f>IFERROR(VLOOKUP($K35,costs!$A$2:$I$2905,S$2,FALSE),0)</f>
        <v>0</v>
      </c>
      <c r="U35" s="949" t="s">
        <v>408</v>
      </c>
      <c r="V35" s="372">
        <f>IFERROR(VLOOKUP($U35,costs!$A$2:$I$2905,V$2,FALSE),0)</f>
        <v>0</v>
      </c>
      <c r="W35" s="372">
        <f>IFERROR(VLOOKUP($U35,costs!$A$2:$I$2905,W$2,FALSE),0)</f>
        <v>0</v>
      </c>
      <c r="X35" s="372">
        <f>IFERROR(VLOOKUP($U35,costs!$A$2:$I$2905,X$2,FALSE),0)</f>
        <v>0</v>
      </c>
      <c r="Y35" s="372">
        <f>IFERROR(VLOOKUP($U35,costs!$A$2:$I$2905,Y$2,FALSE),0)</f>
        <v>0</v>
      </c>
      <c r="Z35" s="372">
        <f>IFERROR(VLOOKUP($U35,costs!$A$2:$I$2905,Z$2,FALSE),0)</f>
        <v>0</v>
      </c>
      <c r="AA35" s="372">
        <f>IFERROR(VLOOKUP($U35,costs!$A$2:$I$2905,AA$2,FALSE),0)</f>
        <v>0</v>
      </c>
      <c r="AB35" s="372">
        <f>IFERROR(VLOOKUP($U35,costs!$A$2:$I$2905,AB$2,FALSE),0)</f>
        <v>0</v>
      </c>
      <c r="AC35" s="372">
        <f>IFERROR(VLOOKUP($U35,costs!$A$2:$I$2905,AC$2,FALSE),0)</f>
        <v>0</v>
      </c>
      <c r="AE35" s="40" t="s">
        <v>4036</v>
      </c>
      <c r="AF35" s="372">
        <f>Glasindustrie!E540</f>
        <v>0</v>
      </c>
      <c r="AG35" s="372">
        <f>Glasindustrie!F540</f>
        <v>0</v>
      </c>
      <c r="AH35" s="372">
        <f>Glasindustrie!G540</f>
        <v>0</v>
      </c>
      <c r="AI35" s="372">
        <f>Glasindustrie!H540</f>
        <v>0</v>
      </c>
      <c r="AJ35" s="372">
        <f>Glasindustrie!I540</f>
        <v>0</v>
      </c>
      <c r="AK35" s="372">
        <f>Glasindustrie!J540</f>
        <v>0</v>
      </c>
      <c r="AL35" s="372">
        <f>Glasindustrie!K540</f>
        <v>0</v>
      </c>
      <c r="AM35" s="372">
        <f>Glasindustrie!L540</f>
        <v>0</v>
      </c>
      <c r="AO35" s="99" t="s">
        <v>2180</v>
      </c>
      <c r="AP35" s="372"/>
      <c r="AQ35" s="372"/>
      <c r="AR35" s="372"/>
      <c r="AS35" s="372"/>
      <c r="AT35" s="372"/>
      <c r="AU35" s="372"/>
      <c r="AV35" s="372"/>
      <c r="AW35" s="372"/>
      <c r="AY35" s="40" t="s">
        <v>350</v>
      </c>
      <c r="AZ35" s="372">
        <f>IFERROR(VLOOKUP($AY35,costs!$A$2:$I$2905,AZ$2,FALSE),0)</f>
        <v>0</v>
      </c>
      <c r="BA35" s="372">
        <f>IFERROR(VLOOKUP($AY35,costs!$A$2:$I$2905,BA$2,FALSE),0)</f>
        <v>0</v>
      </c>
      <c r="BB35" s="372">
        <f>IFERROR(VLOOKUP($AY35,costs!$A$2:$I$2905,BB$2,FALSE),0)</f>
        <v>0</v>
      </c>
      <c r="BC35" s="372">
        <f>IFERROR(VLOOKUP($AY35,costs!$A$2:$I$2905,BC$2,FALSE),0)</f>
        <v>0</v>
      </c>
      <c r="BD35" s="372">
        <f>IFERROR(VLOOKUP($AY35,costs!$A$2:$I$2905,BD$2,FALSE),0)</f>
        <v>0</v>
      </c>
      <c r="BE35" s="372">
        <f>IFERROR(VLOOKUP($AY35,costs!$A$2:$I$2905,BE$2,FALSE),0)</f>
        <v>0</v>
      </c>
      <c r="BF35" s="372">
        <f>IFERROR(VLOOKUP($AY35,costs!$A$2:$I$2905,BF$2,FALSE),0)</f>
        <v>0</v>
      </c>
      <c r="BG35" s="372">
        <f>IFERROR(VLOOKUP($AY35,costs!$A$2:$I$2905,BG$2,FALSE),0)</f>
        <v>0</v>
      </c>
    </row>
    <row r="36" spans="2:59" ht="15" thickBot="1" x14ac:dyDescent="0.4">
      <c r="K36" s="270" t="s">
        <v>2031</v>
      </c>
      <c r="L36" s="103">
        <f>SUM(L4:L35)</f>
        <v>0</v>
      </c>
      <c r="M36" s="103">
        <f t="shared" ref="M36:S36" si="15">SUM(M4:M35)</f>
        <v>0</v>
      </c>
      <c r="N36" s="103">
        <f t="shared" si="15"/>
        <v>0</v>
      </c>
      <c r="O36" s="103">
        <f t="shared" si="15"/>
        <v>0</v>
      </c>
      <c r="P36" s="103">
        <f t="shared" si="15"/>
        <v>0</v>
      </c>
      <c r="Q36" s="103">
        <f t="shared" si="15"/>
        <v>0</v>
      </c>
      <c r="R36" s="103">
        <f t="shared" si="15"/>
        <v>0</v>
      </c>
      <c r="S36" s="103">
        <f t="shared" si="15"/>
        <v>0</v>
      </c>
      <c r="U36" s="40" t="s">
        <v>2045</v>
      </c>
      <c r="V36" s="372">
        <f>IFERROR(VLOOKUP($U36,costs!$A$2:$I$2905,V$2,FALSE),0)</f>
        <v>0</v>
      </c>
      <c r="W36" s="372">
        <f>IFERROR(VLOOKUP($U36,costs!$A$2:$I$2905,W$2,FALSE),0)</f>
        <v>0</v>
      </c>
      <c r="X36" s="372">
        <f>IFERROR(VLOOKUP($U36,costs!$A$2:$I$2905,X$2,FALSE),0)</f>
        <v>0</v>
      </c>
      <c r="Y36" s="372">
        <f>IFERROR(VLOOKUP($U36,costs!$A$2:$I$2905,Y$2,FALSE),0)</f>
        <v>0</v>
      </c>
      <c r="Z36" s="372">
        <f>IFERROR(VLOOKUP($U36,costs!$A$2:$I$2905,Z$2,FALSE),0)</f>
        <v>0</v>
      </c>
      <c r="AA36" s="372">
        <f>IFERROR(VLOOKUP($U36,costs!$A$2:$I$2905,AA$2,FALSE),0)</f>
        <v>0</v>
      </c>
      <c r="AB36" s="372">
        <f>IFERROR(VLOOKUP($U36,costs!$A$2:$I$2905,AB$2,FALSE),0)</f>
        <v>0</v>
      </c>
      <c r="AC36" s="372">
        <f>IFERROR(VLOOKUP($U36,costs!$A$2:$I$2905,AC$2,FALSE),0)</f>
        <v>0</v>
      </c>
      <c r="AE36" s="40" t="s">
        <v>3784</v>
      </c>
      <c r="AF36" s="372">
        <f>IFERROR(VLOOKUP($AE36,costs!$A$2:$I$2905,AF$2,FALSE),0)</f>
        <v>0</v>
      </c>
      <c r="AG36" s="372">
        <f>IFERROR(VLOOKUP($AE36,costs!$A$2:$I$2905,AG$2,FALSE),0)</f>
        <v>0</v>
      </c>
      <c r="AH36" s="372">
        <f>IFERROR(VLOOKUP($AE36,costs!$A$2:$I$2905,AH$2,FALSE),0)</f>
        <v>0</v>
      </c>
      <c r="AI36" s="372">
        <f>IFERROR(VLOOKUP($AE36,costs!$A$2:$I$2905,AI$2,FALSE),0)</f>
        <v>0</v>
      </c>
      <c r="AJ36" s="372">
        <f>IFERROR(VLOOKUP($AE36,costs!$A$2:$I$2905,AJ$2,FALSE),0)</f>
        <v>0</v>
      </c>
      <c r="AK36" s="372">
        <f>IFERROR(VLOOKUP($AE36,costs!$A$2:$I$2905,AK$2,FALSE),0)</f>
        <v>0</v>
      </c>
      <c r="AL36" s="372">
        <f>IFERROR(VLOOKUP($AE36,costs!$A$2:$I$2905,AL$2,FALSE),0)</f>
        <v>0</v>
      </c>
      <c r="AM36" s="372">
        <f>IFERROR(VLOOKUP($AE36,costs!$A$2:$I$2905,AM$2,FALSE),0)</f>
        <v>0</v>
      </c>
      <c r="AO36" s="951" t="s">
        <v>440</v>
      </c>
      <c r="AP36" s="905">
        <f>IFERROR(VLOOKUP($AO36,costs!$A$2:$I$2905,AP$2,FALSE),0)</f>
        <v>0</v>
      </c>
      <c r="AQ36" s="905">
        <f>IFERROR(VLOOKUP($AO36,costs!$A$2:$I$2905,AQ$2,FALSE),0)</f>
        <v>0</v>
      </c>
      <c r="AR36" s="905">
        <f>IFERROR(VLOOKUP($AO36,costs!$A$2:$I$2905,AR$2,FALSE),0)</f>
        <v>0</v>
      </c>
      <c r="AS36" s="905">
        <f>IFERROR(VLOOKUP($AO36,costs!$A$2:$I$2905,AS$2,FALSE),0)</f>
        <v>0</v>
      </c>
      <c r="AT36" s="905">
        <f>IFERROR(VLOOKUP($AO36,costs!$A$2:$I$2905,AT$2,FALSE),0)</f>
        <v>0</v>
      </c>
      <c r="AU36" s="905">
        <f>IFERROR(VLOOKUP($AO36,costs!$A$2:$I$2905,AU$2,FALSE),0)</f>
        <v>0</v>
      </c>
      <c r="AV36" s="905">
        <f>IFERROR(VLOOKUP($AO36,costs!$A$2:$I$2905,AV$2,FALSE),0)</f>
        <v>0</v>
      </c>
      <c r="AW36" s="905">
        <f>IFERROR(VLOOKUP($AO36,costs!$A$2:$I$2905,AW$2,FALSE),0)</f>
        <v>0</v>
      </c>
      <c r="AY36" s="949" t="s">
        <v>313</v>
      </c>
      <c r="AZ36" s="372">
        <f>IFERROR(VLOOKUP($AY36,costs!$A$2:$I$2905,AZ$2,FALSE),0)</f>
        <v>0</v>
      </c>
      <c r="BA36" s="372">
        <f>IFERROR(VLOOKUP($AY36,costs!$A$2:$I$2905,BA$2,FALSE),0)</f>
        <v>0</v>
      </c>
      <c r="BB36" s="372">
        <f>IFERROR(VLOOKUP($AY36,costs!$A$2:$I$2905,BB$2,FALSE),0)</f>
        <v>0</v>
      </c>
      <c r="BC36" s="372">
        <f>IFERROR(VLOOKUP($AY36,costs!$A$2:$I$2905,BC$2,FALSE),0)</f>
        <v>0</v>
      </c>
      <c r="BD36" s="372">
        <f>IFERROR(VLOOKUP($AY36,costs!$A$2:$I$2905,BD$2,FALSE),0)</f>
        <v>0</v>
      </c>
      <c r="BE36" s="372">
        <f>IFERROR(VLOOKUP($AY36,costs!$A$2:$I$2905,BE$2,FALSE),0)</f>
        <v>0</v>
      </c>
      <c r="BF36" s="372">
        <f>IFERROR(VLOOKUP($AY36,costs!$A$2:$I$2905,BF$2,FALSE),0)</f>
        <v>0</v>
      </c>
      <c r="BG36" s="372">
        <f>IFERROR(VLOOKUP($AY36,costs!$A$2:$I$2905,BG$2,FALSE),0)</f>
        <v>0</v>
      </c>
    </row>
    <row r="37" spans="2:59" x14ac:dyDescent="0.35">
      <c r="U37" s="949" t="s">
        <v>411</v>
      </c>
      <c r="V37" s="372">
        <f>IFERROR(VLOOKUP($U37,costs!$A$2:$I$2905,V$2,FALSE),0)</f>
        <v>0</v>
      </c>
      <c r="W37" s="372">
        <f>IFERROR(VLOOKUP($U37,costs!$A$2:$I$2905,W$2,FALSE),0)</f>
        <v>0</v>
      </c>
      <c r="X37" s="372">
        <f>IFERROR(VLOOKUP($U37,costs!$A$2:$I$2905,X$2,FALSE),0)</f>
        <v>0</v>
      </c>
      <c r="Y37" s="372">
        <f>IFERROR(VLOOKUP($U37,costs!$A$2:$I$2905,Y$2,FALSE),0)</f>
        <v>0</v>
      </c>
      <c r="Z37" s="372">
        <f>IFERROR(VLOOKUP($U37,costs!$A$2:$I$2905,Z$2,FALSE),0)</f>
        <v>0</v>
      </c>
      <c r="AA37" s="372">
        <f>IFERROR(VLOOKUP($U37,costs!$A$2:$I$2905,AA$2,FALSE),0)</f>
        <v>0</v>
      </c>
      <c r="AB37" s="372">
        <f>IFERROR(VLOOKUP($U37,costs!$A$2:$I$2905,AB$2,FALSE),0)</f>
        <v>0</v>
      </c>
      <c r="AC37" s="372">
        <f>IFERROR(VLOOKUP($U37,costs!$A$2:$I$2905,AC$2,FALSE),0)</f>
        <v>0</v>
      </c>
      <c r="AE37" s="40" t="s">
        <v>3884</v>
      </c>
      <c r="AF37" s="372">
        <f>IFERROR(VLOOKUP($AE37,costs!$A$2:$I$2905,AF$2,FALSE),0)</f>
        <v>0</v>
      </c>
      <c r="AG37" s="372">
        <f>IFERROR(VLOOKUP($AE37,costs!$A$2:$I$2905,AG$2,FALSE),0)</f>
        <v>0</v>
      </c>
      <c r="AH37" s="372">
        <f>IFERROR(VLOOKUP($AE37,costs!$A$2:$I$2905,AH$2,FALSE),0)</f>
        <v>0</v>
      </c>
      <c r="AI37" s="372">
        <f>IFERROR(VLOOKUP($AE37,costs!$A$2:$I$2905,AI$2,FALSE),0)</f>
        <v>0</v>
      </c>
      <c r="AJ37" s="372">
        <f>IFERROR(VLOOKUP($AE37,costs!$A$2:$I$2905,AJ$2,FALSE),0)</f>
        <v>0</v>
      </c>
      <c r="AK37" s="372">
        <f>IFERROR(VLOOKUP($AE37,costs!$A$2:$I$2905,AK$2,FALSE),0)</f>
        <v>0</v>
      </c>
      <c r="AL37" s="372">
        <f>IFERROR(VLOOKUP($AE37,costs!$A$2:$I$2905,AL$2,FALSE),0)</f>
        <v>0</v>
      </c>
      <c r="AM37" s="372">
        <f>IFERROR(VLOOKUP($AE37,costs!$A$2:$I$2905,AM$2,FALSE),0)</f>
        <v>0</v>
      </c>
      <c r="AO37" s="899" t="s">
        <v>356</v>
      </c>
      <c r="AP37" s="905">
        <f>IFERROR(VLOOKUP($AO37,costs!$A$2:$I$2905,AP$2,FALSE),0)</f>
        <v>0</v>
      </c>
      <c r="AQ37" s="905">
        <f>IFERROR(VLOOKUP($AO37,costs!$A$2:$I$2905,AQ$2,FALSE),0)</f>
        <v>0</v>
      </c>
      <c r="AR37" s="905">
        <f>IFERROR(VLOOKUP($AO37,costs!$A$2:$I$2905,AR$2,FALSE),0)</f>
        <v>0</v>
      </c>
      <c r="AS37" s="905">
        <f>IFERROR(VLOOKUP($AO37,costs!$A$2:$I$2905,AS$2,FALSE),0)</f>
        <v>0</v>
      </c>
      <c r="AT37" s="905">
        <f>IFERROR(VLOOKUP($AO37,costs!$A$2:$I$2905,AT$2,FALSE),0)</f>
        <v>0</v>
      </c>
      <c r="AU37" s="905">
        <f>IFERROR(VLOOKUP($AO37,costs!$A$2:$I$2905,AU$2,FALSE),0)</f>
        <v>0</v>
      </c>
      <c r="AV37" s="905">
        <f>IFERROR(VLOOKUP($AO37,costs!$A$2:$I$2905,AV$2,FALSE),0)</f>
        <v>0</v>
      </c>
      <c r="AW37" s="905">
        <f>IFERROR(VLOOKUP($AO37,costs!$A$2:$I$2905,AW$2,FALSE),0)</f>
        <v>0</v>
      </c>
      <c r="AY37" s="40" t="s">
        <v>314</v>
      </c>
      <c r="AZ37" s="372">
        <f>IFERROR(VLOOKUP($AY37,costs!$A$2:$I$2905,AZ$2,FALSE),0)</f>
        <v>0</v>
      </c>
      <c r="BA37" s="372">
        <f>IFERROR(VLOOKUP($AY37,costs!$A$2:$I$2905,BA$2,FALSE),0)</f>
        <v>0</v>
      </c>
      <c r="BB37" s="372">
        <f>IFERROR(VLOOKUP($AY37,costs!$A$2:$I$2905,BB$2,FALSE),0)</f>
        <v>0</v>
      </c>
      <c r="BC37" s="372">
        <f>IFERROR(VLOOKUP($AY37,costs!$A$2:$I$2905,BC$2,FALSE),0)</f>
        <v>0</v>
      </c>
      <c r="BD37" s="372">
        <f>IFERROR(VLOOKUP($AY37,costs!$A$2:$I$2905,BD$2,FALSE),0)</f>
        <v>0</v>
      </c>
      <c r="BE37" s="372">
        <f>IFERROR(VLOOKUP($AY37,costs!$A$2:$I$2905,BE$2,FALSE),0)</f>
        <v>0</v>
      </c>
      <c r="BF37" s="372">
        <f>IFERROR(VLOOKUP($AY37,costs!$A$2:$I$2905,BF$2,FALSE),0)</f>
        <v>0</v>
      </c>
      <c r="BG37" s="372">
        <f>IFERROR(VLOOKUP($AY37,costs!$A$2:$I$2905,BG$2,FALSE),0)</f>
        <v>0</v>
      </c>
    </row>
    <row r="38" spans="2:59" x14ac:dyDescent="0.35">
      <c r="U38" s="40" t="s">
        <v>412</v>
      </c>
      <c r="V38" s="372">
        <f>IFERROR(VLOOKUP($U38,costs!$A$2:$I$2905,V$2,FALSE),0)</f>
        <v>0</v>
      </c>
      <c r="W38" s="372">
        <f>IFERROR(VLOOKUP($U38,costs!$A$2:$I$2905,W$2,FALSE),0)</f>
        <v>0</v>
      </c>
      <c r="X38" s="372">
        <f>IFERROR(VLOOKUP($U38,costs!$A$2:$I$2905,X$2,FALSE),0)</f>
        <v>0</v>
      </c>
      <c r="Y38" s="372">
        <f>IFERROR(VLOOKUP($U38,costs!$A$2:$I$2905,Y$2,FALSE),0)</f>
        <v>0</v>
      </c>
      <c r="Z38" s="372">
        <f>IFERROR(VLOOKUP($U38,costs!$A$2:$I$2905,Z$2,FALSE),0)</f>
        <v>0</v>
      </c>
      <c r="AA38" s="372">
        <f>IFERROR(VLOOKUP($U38,costs!$A$2:$I$2905,AA$2,FALSE),0)</f>
        <v>0</v>
      </c>
      <c r="AB38" s="372">
        <f>IFERROR(VLOOKUP($U38,costs!$A$2:$I$2905,AB$2,FALSE),0)</f>
        <v>0</v>
      </c>
      <c r="AC38" s="372">
        <f>IFERROR(VLOOKUP($U38,costs!$A$2:$I$2905,AC$2,FALSE),0)</f>
        <v>0</v>
      </c>
      <c r="AE38" s="40" t="s">
        <v>3889</v>
      </c>
      <c r="AF38" s="372">
        <f>IFERROR(VLOOKUP($AE38,costs!$A$2:$I$2905,AF$2,FALSE),0)</f>
        <v>0</v>
      </c>
      <c r="AG38" s="372">
        <f>IFERROR(VLOOKUP($AE38,costs!$A$2:$I$2905,AG$2,FALSE),0)</f>
        <v>0</v>
      </c>
      <c r="AH38" s="372">
        <f>IFERROR(VLOOKUP($AE38,costs!$A$2:$I$2905,AH$2,FALSE),0)</f>
        <v>0</v>
      </c>
      <c r="AI38" s="372">
        <f>IFERROR(VLOOKUP($AE38,costs!$A$2:$I$2905,AI$2,FALSE),0)</f>
        <v>0</v>
      </c>
      <c r="AJ38" s="372">
        <f>IFERROR(VLOOKUP($AE38,costs!$A$2:$I$2905,AJ$2,FALSE),0)</f>
        <v>0</v>
      </c>
      <c r="AK38" s="372">
        <f>IFERROR(VLOOKUP($AE38,costs!$A$2:$I$2905,AK$2,FALSE),0)</f>
        <v>0</v>
      </c>
      <c r="AL38" s="372">
        <f>IFERROR(VLOOKUP($AE38,costs!$A$2:$I$2905,AL$2,FALSE),0)</f>
        <v>0</v>
      </c>
      <c r="AM38" s="372">
        <f>IFERROR(VLOOKUP($AE38,costs!$A$2:$I$2905,AM$2,FALSE),0)</f>
        <v>0</v>
      </c>
      <c r="AO38" s="899" t="s">
        <v>17</v>
      </c>
      <c r="AP38" s="905">
        <f>IFERROR(VLOOKUP($AO38,costs!$A$2:$I$2905,AP$2,FALSE),0)</f>
        <v>0</v>
      </c>
      <c r="AQ38" s="905">
        <f>IFERROR(VLOOKUP($AO38,costs!$A$2:$I$2905,AQ$2,FALSE),0)</f>
        <v>0</v>
      </c>
      <c r="AR38" s="905">
        <f>IFERROR(VLOOKUP($AO38,costs!$A$2:$I$2905,AR$2,FALSE),0)</f>
        <v>0</v>
      </c>
      <c r="AS38" s="905">
        <f>IFERROR(VLOOKUP($AO38,costs!$A$2:$I$2905,AS$2,FALSE),0)</f>
        <v>0</v>
      </c>
      <c r="AT38" s="905">
        <f>IFERROR(VLOOKUP($AO38,costs!$A$2:$I$2905,AT$2,FALSE),0)</f>
        <v>0</v>
      </c>
      <c r="AU38" s="905">
        <f>IFERROR(VLOOKUP($AO38,costs!$A$2:$I$2905,AU$2,FALSE),0)</f>
        <v>0</v>
      </c>
      <c r="AV38" s="905">
        <f>IFERROR(VLOOKUP($AO38,costs!$A$2:$I$2905,AV$2,FALSE),0)</f>
        <v>0</v>
      </c>
      <c r="AW38" s="905">
        <f>IFERROR(VLOOKUP($AO38,costs!$A$2:$I$2905,AW$2,FALSE),0)</f>
        <v>0</v>
      </c>
      <c r="AY38" s="949" t="s">
        <v>305</v>
      </c>
      <c r="AZ38" s="372">
        <f>IFERROR(VLOOKUP($AY38,costs!$A$2:$I$2905,AZ$2,FALSE),0)</f>
        <v>0</v>
      </c>
      <c r="BA38" s="372">
        <f>IFERROR(VLOOKUP($AY38,costs!$A$2:$I$2905,BA$2,FALSE),0)</f>
        <v>0</v>
      </c>
      <c r="BB38" s="372">
        <f>IFERROR(VLOOKUP($AY38,costs!$A$2:$I$2905,BB$2,FALSE),0)</f>
        <v>0</v>
      </c>
      <c r="BC38" s="372">
        <f>IFERROR(VLOOKUP($AY38,costs!$A$2:$I$2905,BC$2,FALSE),0)</f>
        <v>0</v>
      </c>
      <c r="BD38" s="372">
        <f>IFERROR(VLOOKUP($AY38,costs!$A$2:$I$2905,BD$2,FALSE),0)</f>
        <v>0</v>
      </c>
      <c r="BE38" s="372">
        <f>IFERROR(VLOOKUP($AY38,costs!$A$2:$I$2905,BE$2,FALSE),0)</f>
        <v>0</v>
      </c>
      <c r="BF38" s="372">
        <f>IFERROR(VLOOKUP($AY38,costs!$A$2:$I$2905,BF$2,FALSE),0)</f>
        <v>0</v>
      </c>
      <c r="BG38" s="372">
        <f>IFERROR(VLOOKUP($AY38,costs!$A$2:$I$2905,BG$2,FALSE),0)</f>
        <v>0</v>
      </c>
    </row>
    <row r="39" spans="2:59" x14ac:dyDescent="0.35">
      <c r="U39" s="949" t="s">
        <v>2046</v>
      </c>
      <c r="V39" s="372">
        <f>IFERROR(VLOOKUP($U39,costs!$A$2:$I$2905,V$2,FALSE),0)</f>
        <v>0</v>
      </c>
      <c r="W39" s="372">
        <f>IFERROR(VLOOKUP($U39,costs!$A$2:$I$2905,W$2,FALSE),0)</f>
        <v>0</v>
      </c>
      <c r="X39" s="372">
        <f>IFERROR(VLOOKUP($U39,costs!$A$2:$I$2905,X$2,FALSE),0)</f>
        <v>0</v>
      </c>
      <c r="Y39" s="372">
        <f>IFERROR(VLOOKUP($U39,costs!$A$2:$I$2905,Y$2,FALSE),0)</f>
        <v>0</v>
      </c>
      <c r="Z39" s="372">
        <f>IFERROR(VLOOKUP($U39,costs!$A$2:$I$2905,Z$2,FALSE),0)</f>
        <v>0</v>
      </c>
      <c r="AA39" s="372">
        <f>IFERROR(VLOOKUP($U39,costs!$A$2:$I$2905,AA$2,FALSE),0)</f>
        <v>0</v>
      </c>
      <c r="AB39" s="372">
        <f>IFERROR(VLOOKUP($U39,costs!$A$2:$I$2905,AB$2,FALSE),0)</f>
        <v>0</v>
      </c>
      <c r="AC39" s="372">
        <f>IFERROR(VLOOKUP($U39,costs!$A$2:$I$2905,AC$2,FALSE),0)</f>
        <v>0</v>
      </c>
      <c r="AE39" s="40" t="s">
        <v>355</v>
      </c>
      <c r="AF39" s="372">
        <f>IFERROR(VLOOKUP($AE39,costs!$A$2:$I$2905,AF$2,FALSE),0)</f>
        <v>0</v>
      </c>
      <c r="AG39" s="372">
        <f>IFERROR(VLOOKUP($AE39,costs!$A$2:$I$2905,AG$2,FALSE),0)</f>
        <v>0</v>
      </c>
      <c r="AH39" s="372">
        <f>IFERROR(VLOOKUP($AE39,costs!$A$2:$I$2905,AH$2,FALSE),0)</f>
        <v>0</v>
      </c>
      <c r="AI39" s="372">
        <f>IFERROR(VLOOKUP($AE39,costs!$A$2:$I$2905,AI$2,FALSE),0)</f>
        <v>0</v>
      </c>
      <c r="AJ39" s="372">
        <f>IFERROR(VLOOKUP($AE39,costs!$A$2:$I$2905,AJ$2,FALSE),0)</f>
        <v>0</v>
      </c>
      <c r="AK39" s="372">
        <f>IFERROR(VLOOKUP($AE39,costs!$A$2:$I$2905,AK$2,FALSE),0)</f>
        <v>0</v>
      </c>
      <c r="AL39" s="372">
        <f>IFERROR(VLOOKUP($AE39,costs!$A$2:$I$2905,AL$2,FALSE),0)</f>
        <v>0</v>
      </c>
      <c r="AM39" s="372">
        <f>IFERROR(VLOOKUP($AE39,costs!$A$2:$I$2905,AM$2,FALSE),0)</f>
        <v>0</v>
      </c>
      <c r="AO39" s="951" t="s">
        <v>16</v>
      </c>
      <c r="AP39" s="905">
        <f>IFERROR(VLOOKUP($AO39,costs!$A$2:$I$2905,AP$2,FALSE),0)</f>
        <v>0</v>
      </c>
      <c r="AQ39" s="905">
        <f>IFERROR(VLOOKUP($AO39,costs!$A$2:$I$2905,AQ$2,FALSE),0)</f>
        <v>0</v>
      </c>
      <c r="AR39" s="905">
        <f>IFERROR(VLOOKUP($AO39,costs!$A$2:$I$2905,AR$2,FALSE),0)</f>
        <v>0</v>
      </c>
      <c r="AS39" s="905">
        <f>IFERROR(VLOOKUP($AO39,costs!$A$2:$I$2905,AS$2,FALSE),0)</f>
        <v>0</v>
      </c>
      <c r="AT39" s="905">
        <f>IFERROR(VLOOKUP($AO39,costs!$A$2:$I$2905,AT$2,FALSE),0)</f>
        <v>0</v>
      </c>
      <c r="AU39" s="905">
        <f>IFERROR(VLOOKUP($AO39,costs!$A$2:$I$2905,AU$2,FALSE),0)</f>
        <v>0</v>
      </c>
      <c r="AV39" s="905">
        <f>IFERROR(VLOOKUP($AO39,costs!$A$2:$I$2905,AV$2,FALSE),0)</f>
        <v>0</v>
      </c>
      <c r="AW39" s="905">
        <f>IFERROR(VLOOKUP($AO39,costs!$A$2:$I$2905,AW$2,FALSE),0)</f>
        <v>0</v>
      </c>
      <c r="AY39" s="40" t="s">
        <v>2086</v>
      </c>
      <c r="AZ39" s="372">
        <f>IFERROR(VLOOKUP($AY39,costs!$A$2:$I$2905,AZ$2,FALSE),0)</f>
        <v>0</v>
      </c>
      <c r="BA39" s="372">
        <f>IFERROR(VLOOKUP($AY39,costs!$A$2:$I$2905,BA$2,FALSE),0)</f>
        <v>0</v>
      </c>
      <c r="BB39" s="372">
        <f>IFERROR(VLOOKUP($AY39,costs!$A$2:$I$2905,BB$2,FALSE),0)</f>
        <v>0</v>
      </c>
      <c r="BC39" s="372">
        <f>IFERROR(VLOOKUP($AY39,costs!$A$2:$I$2905,BC$2,FALSE),0)</f>
        <v>0</v>
      </c>
      <c r="BD39" s="372">
        <f>IFERROR(VLOOKUP($AY39,costs!$A$2:$I$2905,BD$2,FALSE),0)</f>
        <v>0</v>
      </c>
      <c r="BE39" s="372">
        <f>IFERROR(VLOOKUP($AY39,costs!$A$2:$I$2905,BE$2,FALSE),0)</f>
        <v>0</v>
      </c>
      <c r="BF39" s="372">
        <f>IFERROR(VLOOKUP($AY39,costs!$A$2:$I$2905,BF$2,FALSE),0)</f>
        <v>0</v>
      </c>
      <c r="BG39" s="372">
        <f>IFERROR(VLOOKUP($AY39,costs!$A$2:$I$2905,BG$2,FALSE),0)</f>
        <v>0</v>
      </c>
    </row>
    <row r="40" spans="2:59" x14ac:dyDescent="0.35">
      <c r="U40" s="40" t="s">
        <v>482</v>
      </c>
      <c r="V40" s="372">
        <f>IFERROR(VLOOKUP($U40,costs!$A$2:$I$2905,V$2,FALSE),0)</f>
        <v>0</v>
      </c>
      <c r="W40" s="372">
        <f>IFERROR(VLOOKUP($U40,costs!$A$2:$I$2905,W$2,FALSE),0)</f>
        <v>0</v>
      </c>
      <c r="X40" s="372">
        <f>IFERROR(VLOOKUP($U40,costs!$A$2:$I$2905,X$2,FALSE),0)</f>
        <v>0</v>
      </c>
      <c r="Y40" s="372">
        <f>IFERROR(VLOOKUP($U40,costs!$A$2:$I$2905,Y$2,FALSE),0)</f>
        <v>0</v>
      </c>
      <c r="Z40" s="372">
        <f>IFERROR(VLOOKUP($U40,costs!$A$2:$I$2905,Z$2,FALSE),0)</f>
        <v>0</v>
      </c>
      <c r="AA40" s="372">
        <f>IFERROR(VLOOKUP($U40,costs!$A$2:$I$2905,AA$2,FALSE),0)</f>
        <v>0</v>
      </c>
      <c r="AB40" s="372">
        <f>IFERROR(VLOOKUP($U40,costs!$A$2:$I$2905,AB$2,FALSE),0)</f>
        <v>0</v>
      </c>
      <c r="AC40" s="372">
        <f>IFERROR(VLOOKUP($U40,costs!$A$2:$I$2905,AC$2,FALSE),0)</f>
        <v>0</v>
      </c>
      <c r="AE40" s="40" t="s">
        <v>1147</v>
      </c>
      <c r="AF40" s="372">
        <f>IFERROR(VLOOKUP($AE40,costs!$A$2:$I$2905,AF$2,FALSE),0)</f>
        <v>0</v>
      </c>
      <c r="AG40" s="372">
        <f>IFERROR(VLOOKUP($AE40,costs!$A$2:$I$2905,AG$2,FALSE),0)</f>
        <v>0</v>
      </c>
      <c r="AH40" s="372">
        <f>IFERROR(VLOOKUP($AE40,costs!$A$2:$I$2905,AH$2,FALSE),0)</f>
        <v>0</v>
      </c>
      <c r="AI40" s="372">
        <f>IFERROR(VLOOKUP($AE40,costs!$A$2:$I$2905,AI$2,FALSE),0)</f>
        <v>0</v>
      </c>
      <c r="AJ40" s="372">
        <f>IFERROR(VLOOKUP($AE40,costs!$A$2:$I$2905,AJ$2,FALSE),0)</f>
        <v>0</v>
      </c>
      <c r="AK40" s="372">
        <f>IFERROR(VLOOKUP($AE40,costs!$A$2:$I$2905,AK$2,FALSE),0)</f>
        <v>0</v>
      </c>
      <c r="AL40" s="372">
        <f>IFERROR(VLOOKUP($AE40,costs!$A$2:$I$2905,AL$2,FALSE),0)</f>
        <v>0</v>
      </c>
      <c r="AM40" s="372">
        <f>IFERROR(VLOOKUP($AE40,costs!$A$2:$I$2905,AM$2,FALSE),0)</f>
        <v>0</v>
      </c>
      <c r="AO40" s="40" t="s">
        <v>278</v>
      </c>
      <c r="AP40" s="953">
        <f>IFERROR(VLOOKUP($AO40,costs!$A$2:$I$2905,AP$2,FALSE),0)</f>
        <v>0</v>
      </c>
      <c r="AQ40" s="953">
        <f>IFERROR(VLOOKUP($AO40,costs!$A$2:$I$2905,AQ$2,FALSE),0)</f>
        <v>0</v>
      </c>
      <c r="AR40" s="953">
        <f>IFERROR(VLOOKUP($AO40,costs!$A$2:$I$2905,AR$2,FALSE),0)</f>
        <v>0</v>
      </c>
      <c r="AS40" s="953">
        <f>IFERROR(VLOOKUP($AO40,costs!$A$2:$I$2905,AS$2,FALSE),0)</f>
        <v>0</v>
      </c>
      <c r="AT40" s="953">
        <f>IFERROR(VLOOKUP($AO40,costs!$A$2:$I$2905,AT$2,FALSE),0)</f>
        <v>0</v>
      </c>
      <c r="AU40" s="953">
        <f>IFERROR(VLOOKUP($AO40,costs!$A$2:$I$2905,AU$2,FALSE),0)</f>
        <v>0</v>
      </c>
      <c r="AV40" s="953">
        <f>IFERROR(VLOOKUP($AO40,costs!$A$2:$I$2905,AV$2,FALSE),0)</f>
        <v>0</v>
      </c>
      <c r="AW40" s="953">
        <f>IFERROR(VLOOKUP($AO40,costs!$A$2:$I$2905,AW$2,FALSE),0)</f>
        <v>0</v>
      </c>
      <c r="AY40" s="949" t="s">
        <v>306</v>
      </c>
      <c r="AZ40" s="372">
        <f>IFERROR(VLOOKUP($AY40,costs!$A$2:$I$2905,AZ$2,FALSE),0)</f>
        <v>0</v>
      </c>
      <c r="BA40" s="372">
        <f>IFERROR(VLOOKUP($AY40,costs!$A$2:$I$2905,BA$2,FALSE),0)</f>
        <v>0</v>
      </c>
      <c r="BB40" s="372">
        <f>IFERROR(VLOOKUP($AY40,costs!$A$2:$I$2905,BB$2,FALSE),0)</f>
        <v>0</v>
      </c>
      <c r="BC40" s="372">
        <f>IFERROR(VLOOKUP($AY40,costs!$A$2:$I$2905,BC$2,FALSE),0)</f>
        <v>0</v>
      </c>
      <c r="BD40" s="372">
        <f>IFERROR(VLOOKUP($AY40,costs!$A$2:$I$2905,BD$2,FALSE),0)</f>
        <v>0</v>
      </c>
      <c r="BE40" s="372">
        <f>IFERROR(VLOOKUP($AY40,costs!$A$2:$I$2905,BE$2,FALSE),0)</f>
        <v>0</v>
      </c>
      <c r="BF40" s="372">
        <f>IFERROR(VLOOKUP($AY40,costs!$A$2:$I$2905,BF$2,FALSE),0)</f>
        <v>0</v>
      </c>
      <c r="BG40" s="372">
        <f>IFERROR(VLOOKUP($AY40,costs!$A$2:$I$2905,BG$2,FALSE),0)</f>
        <v>0</v>
      </c>
    </row>
    <row r="41" spans="2:59" x14ac:dyDescent="0.35">
      <c r="U41" s="949" t="s">
        <v>483</v>
      </c>
      <c r="V41" s="372">
        <f>IFERROR(VLOOKUP($U41,costs!$A$2:$I$2905,V$2,FALSE),0)</f>
        <v>0</v>
      </c>
      <c r="W41" s="372">
        <f>IFERROR(VLOOKUP($U41,costs!$A$2:$I$2905,W$2,FALSE),0)</f>
        <v>0</v>
      </c>
      <c r="X41" s="372">
        <f>IFERROR(VLOOKUP($U41,costs!$A$2:$I$2905,X$2,FALSE),0)</f>
        <v>0</v>
      </c>
      <c r="Y41" s="372">
        <f>IFERROR(VLOOKUP($U41,costs!$A$2:$I$2905,Y$2,FALSE),0)</f>
        <v>0</v>
      </c>
      <c r="Z41" s="372">
        <f>IFERROR(VLOOKUP($U41,costs!$A$2:$I$2905,Z$2,FALSE),0)</f>
        <v>0</v>
      </c>
      <c r="AA41" s="372">
        <f>IFERROR(VLOOKUP($U41,costs!$A$2:$I$2905,AA$2,FALSE),0)</f>
        <v>0</v>
      </c>
      <c r="AB41" s="372">
        <f>IFERROR(VLOOKUP($U41,costs!$A$2:$I$2905,AB$2,FALSE),0)</f>
        <v>0</v>
      </c>
      <c r="AC41" s="372">
        <f>IFERROR(VLOOKUP($U41,costs!$A$2:$I$2905,AC$2,FALSE),0)</f>
        <v>0</v>
      </c>
      <c r="AE41" s="40" t="s">
        <v>478</v>
      </c>
      <c r="AF41" s="372">
        <f>IFERROR(VLOOKUP($AE41,costs!$A$2:$I$2905,AF$2,FALSE),0)</f>
        <v>0</v>
      </c>
      <c r="AG41" s="372">
        <f>IFERROR(VLOOKUP($AE41,costs!$A$2:$I$2905,AG$2,FALSE),0)</f>
        <v>0</v>
      </c>
      <c r="AH41" s="372">
        <f>IFERROR(VLOOKUP($AE41,costs!$A$2:$I$2905,AH$2,FALSE),0)</f>
        <v>0</v>
      </c>
      <c r="AI41" s="372">
        <f>IFERROR(VLOOKUP($AE41,costs!$A$2:$I$2905,AI$2,FALSE),0)</f>
        <v>0</v>
      </c>
      <c r="AJ41" s="372">
        <f>IFERROR(VLOOKUP($AE41,costs!$A$2:$I$2905,AJ$2,FALSE),0)</f>
        <v>0</v>
      </c>
      <c r="AK41" s="372">
        <f>IFERROR(VLOOKUP($AE41,costs!$A$2:$I$2905,AK$2,FALSE),0)</f>
        <v>0</v>
      </c>
      <c r="AL41" s="372">
        <f>IFERROR(VLOOKUP($AE41,costs!$A$2:$I$2905,AL$2,FALSE),0)</f>
        <v>0</v>
      </c>
      <c r="AM41" s="372">
        <f>IFERROR(VLOOKUP($AE41,costs!$A$2:$I$2905,AM$2,FALSE),0)</f>
        <v>0</v>
      </c>
      <c r="AO41" s="949" t="s">
        <v>279</v>
      </c>
      <c r="AP41" s="953">
        <f>IFERROR(VLOOKUP($AO41,costs!$A$2:$I$2905,AP$2,FALSE),0)</f>
        <v>0</v>
      </c>
      <c r="AQ41" s="953">
        <f>IFERROR(VLOOKUP($AO41,costs!$A$2:$I$2905,AQ$2,FALSE),0)</f>
        <v>0</v>
      </c>
      <c r="AR41" s="953">
        <f>IFERROR(VLOOKUP($AO41,costs!$A$2:$I$2905,AR$2,FALSE),0)</f>
        <v>0</v>
      </c>
      <c r="AS41" s="953">
        <f>IFERROR(VLOOKUP($AO41,costs!$A$2:$I$2905,AS$2,FALSE),0)</f>
        <v>0</v>
      </c>
      <c r="AT41" s="953">
        <f>IFERROR(VLOOKUP($AO41,costs!$A$2:$I$2905,AT$2,FALSE),0)</f>
        <v>0</v>
      </c>
      <c r="AU41" s="953">
        <f>IFERROR(VLOOKUP($AO41,costs!$A$2:$I$2905,AU$2,FALSE),0)</f>
        <v>0</v>
      </c>
      <c r="AV41" s="953">
        <f>IFERROR(VLOOKUP($AO41,costs!$A$2:$I$2905,AV$2,FALSE),0)</f>
        <v>0</v>
      </c>
      <c r="AW41" s="953">
        <f>IFERROR(VLOOKUP($AO41,costs!$A$2:$I$2905,AW$2,FALSE),0)</f>
        <v>0</v>
      </c>
      <c r="AY41" s="40" t="s">
        <v>215</v>
      </c>
      <c r="AZ41" s="372">
        <f>IFERROR(VLOOKUP($AY41,costs!$A$2:$I$2905,AZ$2,FALSE),0)</f>
        <v>0</v>
      </c>
      <c r="BA41" s="372">
        <f>IFERROR(VLOOKUP($AY41,costs!$A$2:$I$2905,BA$2,FALSE),0)</f>
        <v>0</v>
      </c>
      <c r="BB41" s="372">
        <f>IFERROR(VLOOKUP($AY41,costs!$A$2:$I$2905,BB$2,FALSE),0)</f>
        <v>0</v>
      </c>
      <c r="BC41" s="372">
        <f>IFERROR(VLOOKUP($AY41,costs!$A$2:$I$2905,BC$2,FALSE),0)</f>
        <v>0</v>
      </c>
      <c r="BD41" s="372">
        <f>IFERROR(VLOOKUP($AY41,costs!$A$2:$I$2905,BD$2,FALSE),0)</f>
        <v>0</v>
      </c>
      <c r="BE41" s="372">
        <f>IFERROR(VLOOKUP($AY41,costs!$A$2:$I$2905,BE$2,FALSE),0)</f>
        <v>0</v>
      </c>
      <c r="BF41" s="372">
        <f>IFERROR(VLOOKUP($AY41,costs!$A$2:$I$2905,BF$2,FALSE),0)</f>
        <v>0</v>
      </c>
      <c r="BG41" s="372">
        <f>IFERROR(VLOOKUP($AY41,costs!$A$2:$I$2905,BG$2,FALSE),0)</f>
        <v>0</v>
      </c>
    </row>
    <row r="42" spans="2:59" x14ac:dyDescent="0.35">
      <c r="U42" s="40" t="s">
        <v>2047</v>
      </c>
      <c r="V42" s="372">
        <f>IFERROR(VLOOKUP($U42,costs!$A$2:$I$2905,V$2,FALSE),0)</f>
        <v>0</v>
      </c>
      <c r="W42" s="372">
        <f>IFERROR(VLOOKUP($U42,costs!$A$2:$I$2905,W$2,FALSE),0)</f>
        <v>0</v>
      </c>
      <c r="X42" s="372">
        <f>IFERROR(VLOOKUP($U42,costs!$A$2:$I$2905,X$2,FALSE),0)</f>
        <v>0</v>
      </c>
      <c r="Y42" s="372">
        <f>IFERROR(VLOOKUP($U42,costs!$A$2:$I$2905,Y$2,FALSE),0)</f>
        <v>0</v>
      </c>
      <c r="Z42" s="372">
        <f>IFERROR(VLOOKUP($U42,costs!$A$2:$I$2905,Z$2,FALSE),0)</f>
        <v>0</v>
      </c>
      <c r="AA42" s="372">
        <f>IFERROR(VLOOKUP($U42,costs!$A$2:$I$2905,AA$2,FALSE),0)</f>
        <v>0</v>
      </c>
      <c r="AB42" s="372">
        <f>IFERROR(VLOOKUP($U42,costs!$A$2:$I$2905,AB$2,FALSE),0)</f>
        <v>0</v>
      </c>
      <c r="AC42" s="372">
        <f>IFERROR(VLOOKUP($U42,costs!$A$2:$I$2905,AC$2,FALSE),0)</f>
        <v>0</v>
      </c>
      <c r="AE42" s="40" t="s">
        <v>1679</v>
      </c>
      <c r="AF42" s="372">
        <f>IFERROR(VLOOKUP($AE42,costs!$A$2:$I$2905,AF$2,FALSE),0)</f>
        <v>0</v>
      </c>
      <c r="AG42" s="372">
        <f>IFERROR(VLOOKUP($AE42,costs!$A$2:$I$2905,AG$2,FALSE),0)</f>
        <v>0</v>
      </c>
      <c r="AH42" s="372">
        <f>IFERROR(VLOOKUP($AE42,costs!$A$2:$I$2905,AH$2,FALSE),0)</f>
        <v>0</v>
      </c>
      <c r="AI42" s="372">
        <f>IFERROR(VLOOKUP($AE42,costs!$A$2:$I$2905,AI$2,FALSE),0)</f>
        <v>0</v>
      </c>
      <c r="AJ42" s="372">
        <f>IFERROR(VLOOKUP($AE42,costs!$A$2:$I$2905,AJ$2,FALSE),0)</f>
        <v>0</v>
      </c>
      <c r="AK42" s="372">
        <f>IFERROR(VLOOKUP($AE42,costs!$A$2:$I$2905,AK$2,FALSE),0)</f>
        <v>0</v>
      </c>
      <c r="AL42" s="372">
        <f>IFERROR(VLOOKUP($AE42,costs!$A$2:$I$2905,AL$2,FALSE),0)</f>
        <v>0</v>
      </c>
      <c r="AM42" s="372">
        <f>IFERROR(VLOOKUP($AE42,costs!$A$2:$I$2905,AM$2,FALSE),0)</f>
        <v>0</v>
      </c>
      <c r="AO42" s="949" t="s">
        <v>3971</v>
      </c>
      <c r="AP42" s="953">
        <f>IFERROR(VLOOKUP($AO42,costs!$A$2:$I$2905,AP$2,FALSE),0)</f>
        <v>0</v>
      </c>
      <c r="AQ42" s="953">
        <f>IFERROR(VLOOKUP($AO42,costs!$A$2:$I$2905,AQ$2,FALSE),0)</f>
        <v>0</v>
      </c>
      <c r="AR42" s="953">
        <f>IFERROR(VLOOKUP($AO42,costs!$A$2:$I$2905,AR$2,FALSE),0)</f>
        <v>0</v>
      </c>
      <c r="AS42" s="953">
        <f>IFERROR(VLOOKUP($AO42,costs!$A$2:$I$2905,AS$2,FALSE),0)</f>
        <v>0</v>
      </c>
      <c r="AT42" s="953">
        <f>IFERROR(VLOOKUP($AO42,costs!$A$2:$I$2905,AT$2,FALSE),0)</f>
        <v>0</v>
      </c>
      <c r="AU42" s="953">
        <f>IFERROR(VLOOKUP($AO42,costs!$A$2:$I$2905,AU$2,FALSE),0)</f>
        <v>0</v>
      </c>
      <c r="AV42" s="953">
        <f>IFERROR(VLOOKUP($AO42,costs!$A$2:$I$2905,AV$2,FALSE),0)</f>
        <v>0</v>
      </c>
      <c r="AW42" s="953">
        <f>IFERROR(VLOOKUP($AO42,costs!$A$2:$I$2905,AW$2,FALSE),0)</f>
        <v>0</v>
      </c>
      <c r="AY42" s="949" t="s">
        <v>2087</v>
      </c>
      <c r="AZ42" s="372">
        <f>IFERROR(VLOOKUP($AY42,costs!$A$2:$I$2905,AZ$2,FALSE),0)</f>
        <v>0</v>
      </c>
      <c r="BA42" s="372">
        <f>IFERROR(VLOOKUP($AY42,costs!$A$2:$I$2905,BA$2,FALSE),0)</f>
        <v>0</v>
      </c>
      <c r="BB42" s="372">
        <f>IFERROR(VLOOKUP($AY42,costs!$A$2:$I$2905,BB$2,FALSE),0)</f>
        <v>0</v>
      </c>
      <c r="BC42" s="372">
        <f>IFERROR(VLOOKUP($AY42,costs!$A$2:$I$2905,BC$2,FALSE),0)</f>
        <v>0</v>
      </c>
      <c r="BD42" s="372">
        <f>IFERROR(VLOOKUP($AY42,costs!$A$2:$I$2905,BD$2,FALSE),0)</f>
        <v>0</v>
      </c>
      <c r="BE42" s="372">
        <f>IFERROR(VLOOKUP($AY42,costs!$A$2:$I$2905,BE$2,FALSE),0)</f>
        <v>0</v>
      </c>
      <c r="BF42" s="372">
        <f>IFERROR(VLOOKUP($AY42,costs!$A$2:$I$2905,BF$2,FALSE),0)</f>
        <v>0</v>
      </c>
      <c r="BG42" s="372">
        <f>IFERROR(VLOOKUP($AY42,costs!$A$2:$I$2905,BG$2,FALSE),0)</f>
        <v>0</v>
      </c>
    </row>
    <row r="43" spans="2:59" x14ac:dyDescent="0.35">
      <c r="U43" s="949" t="s">
        <v>484</v>
      </c>
      <c r="V43" s="372">
        <f>IFERROR(VLOOKUP($U43,costs!$A$2:$I$2905,V$2,FALSE),0)</f>
        <v>0</v>
      </c>
      <c r="W43" s="372">
        <f>IFERROR(VLOOKUP($U43,costs!$A$2:$I$2905,W$2,FALSE),0)</f>
        <v>0</v>
      </c>
      <c r="X43" s="372">
        <f>IFERROR(VLOOKUP($U43,costs!$A$2:$I$2905,X$2,FALSE),0)</f>
        <v>0</v>
      </c>
      <c r="Y43" s="372">
        <f>IFERROR(VLOOKUP($U43,costs!$A$2:$I$2905,Y$2,FALSE),0)</f>
        <v>0</v>
      </c>
      <c r="Z43" s="372">
        <f>IFERROR(VLOOKUP($U43,costs!$A$2:$I$2905,Z$2,FALSE),0)</f>
        <v>0</v>
      </c>
      <c r="AA43" s="372">
        <f>IFERROR(VLOOKUP($U43,costs!$A$2:$I$2905,AA$2,FALSE),0)</f>
        <v>0</v>
      </c>
      <c r="AB43" s="372">
        <f>IFERROR(VLOOKUP($U43,costs!$A$2:$I$2905,AB$2,FALSE),0)</f>
        <v>0</v>
      </c>
      <c r="AC43" s="372">
        <f>IFERROR(VLOOKUP($U43,costs!$A$2:$I$2905,AC$2,FALSE),0)</f>
        <v>0</v>
      </c>
      <c r="AE43" s="40" t="s">
        <v>2077</v>
      </c>
      <c r="AF43" s="372">
        <f>IFERROR(VLOOKUP($AE43,costs!$A$2:$I$2905,AF$2,FALSE),0)</f>
        <v>0</v>
      </c>
      <c r="AG43" s="372">
        <f>IFERROR(VLOOKUP($AE43,costs!$A$2:$I$2905,AG$2,FALSE),0)</f>
        <v>0</v>
      </c>
      <c r="AH43" s="372">
        <f>IFERROR(VLOOKUP($AE43,costs!$A$2:$I$2905,AH$2,FALSE),0)</f>
        <v>0</v>
      </c>
      <c r="AI43" s="372">
        <f>IFERROR(VLOOKUP($AE43,costs!$A$2:$I$2905,AI$2,FALSE),0)</f>
        <v>0</v>
      </c>
      <c r="AJ43" s="372">
        <f>IFERROR(VLOOKUP($AE43,costs!$A$2:$I$2905,AJ$2,FALSE),0)</f>
        <v>0</v>
      </c>
      <c r="AK43" s="372">
        <f>IFERROR(VLOOKUP($AE43,costs!$A$2:$I$2905,AK$2,FALSE),0)</f>
        <v>0</v>
      </c>
      <c r="AL43" s="372">
        <f>IFERROR(VLOOKUP($AE43,costs!$A$2:$I$2905,AL$2,FALSE),0)</f>
        <v>0</v>
      </c>
      <c r="AM43" s="372">
        <f>IFERROR(VLOOKUP($AE43,costs!$A$2:$I$2905,AM$2,FALSE),0)</f>
        <v>0</v>
      </c>
      <c r="AO43" s="40" t="s">
        <v>435</v>
      </c>
      <c r="AP43" s="953">
        <f>IFERROR(VLOOKUP($AO43,costs!$A$2:$I$2905,AP$2,FALSE),0)</f>
        <v>0</v>
      </c>
      <c r="AQ43" s="953">
        <f>IFERROR(VLOOKUP($AO43,costs!$A$2:$I$2905,AQ$2,FALSE),0)</f>
        <v>0</v>
      </c>
      <c r="AR43" s="953">
        <f>IFERROR(VLOOKUP($AO43,costs!$A$2:$I$2905,AR$2,FALSE),0)</f>
        <v>0</v>
      </c>
      <c r="AS43" s="953">
        <f>IFERROR(VLOOKUP($AO43,costs!$A$2:$I$2905,AS$2,FALSE),0)</f>
        <v>0</v>
      </c>
      <c r="AT43" s="953">
        <f>IFERROR(VLOOKUP($AO43,costs!$A$2:$I$2905,AT$2,FALSE),0)</f>
        <v>0</v>
      </c>
      <c r="AU43" s="953">
        <f>IFERROR(VLOOKUP($AO43,costs!$A$2:$I$2905,AU$2,FALSE),0)</f>
        <v>0</v>
      </c>
      <c r="AV43" s="953">
        <f>IFERROR(VLOOKUP($AO43,costs!$A$2:$I$2905,AV$2,FALSE),0)</f>
        <v>0</v>
      </c>
      <c r="AW43" s="953">
        <f>IFERROR(VLOOKUP($AO43,costs!$A$2:$I$2905,AW$2,FALSE),0)</f>
        <v>0</v>
      </c>
      <c r="AY43" s="40" t="s">
        <v>347</v>
      </c>
      <c r="AZ43" s="372">
        <f>IFERROR(VLOOKUP($AY43,costs!$A$2:$I$2905,AZ$2,FALSE),0)</f>
        <v>0</v>
      </c>
      <c r="BA43" s="372">
        <f>IFERROR(VLOOKUP($AY43,costs!$A$2:$I$2905,BA$2,FALSE),0)</f>
        <v>0</v>
      </c>
      <c r="BB43" s="372">
        <f>IFERROR(VLOOKUP($AY43,costs!$A$2:$I$2905,BB$2,FALSE),0)</f>
        <v>0</v>
      </c>
      <c r="BC43" s="372">
        <f>IFERROR(VLOOKUP($AY43,costs!$A$2:$I$2905,BC$2,FALSE),0)</f>
        <v>0</v>
      </c>
      <c r="BD43" s="372">
        <f>IFERROR(VLOOKUP($AY43,costs!$A$2:$I$2905,BD$2,FALSE),0)</f>
        <v>0</v>
      </c>
      <c r="BE43" s="372">
        <f>IFERROR(VLOOKUP($AY43,costs!$A$2:$I$2905,BE$2,FALSE),0)</f>
        <v>0</v>
      </c>
      <c r="BF43" s="372">
        <f>IFERROR(VLOOKUP($AY43,costs!$A$2:$I$2905,BF$2,FALSE),0)</f>
        <v>0</v>
      </c>
      <c r="BG43" s="372">
        <f>IFERROR(VLOOKUP($AY43,costs!$A$2:$I$2905,BG$2,FALSE),0)</f>
        <v>0</v>
      </c>
    </row>
    <row r="44" spans="2:59" x14ac:dyDescent="0.35">
      <c r="U44" s="40" t="s">
        <v>485</v>
      </c>
      <c r="V44" s="372">
        <f>IFERROR(VLOOKUP($U44,costs!$A$2:$I$2905,V$2,FALSE),0)</f>
        <v>0</v>
      </c>
      <c r="W44" s="372">
        <f>IFERROR(VLOOKUP($U44,costs!$A$2:$I$2905,W$2,FALSE),0)</f>
        <v>0</v>
      </c>
      <c r="X44" s="372">
        <f>IFERROR(VLOOKUP($U44,costs!$A$2:$I$2905,X$2,FALSE),0)</f>
        <v>0</v>
      </c>
      <c r="Y44" s="372">
        <f>IFERROR(VLOOKUP($U44,costs!$A$2:$I$2905,Y$2,FALSE),0)</f>
        <v>0</v>
      </c>
      <c r="Z44" s="372">
        <f>IFERROR(VLOOKUP($U44,costs!$A$2:$I$2905,Z$2,FALSE),0)</f>
        <v>0</v>
      </c>
      <c r="AA44" s="372">
        <f>IFERROR(VLOOKUP($U44,costs!$A$2:$I$2905,AA$2,FALSE),0)</f>
        <v>0</v>
      </c>
      <c r="AB44" s="372">
        <f>IFERROR(VLOOKUP($U44,costs!$A$2:$I$2905,AB$2,FALSE),0)</f>
        <v>0</v>
      </c>
      <c r="AC44" s="372">
        <f>IFERROR(VLOOKUP($U44,costs!$A$2:$I$2905,AC$2,FALSE),0)</f>
        <v>0</v>
      </c>
      <c r="AE44" s="949" t="s">
        <v>209</v>
      </c>
      <c r="AF44" s="372">
        <f>IFERROR(VLOOKUP($AE44,costs!$A$2:$I$2905,AF$2,FALSE),0)</f>
        <v>0</v>
      </c>
      <c r="AG44" s="372">
        <f>IFERROR(VLOOKUP($AE44,costs!$A$2:$I$2905,AG$2,FALSE),0)</f>
        <v>0</v>
      </c>
      <c r="AH44" s="372">
        <f>IFERROR(VLOOKUP($AE44,costs!$A$2:$I$2905,AH$2,FALSE),0)</f>
        <v>0</v>
      </c>
      <c r="AI44" s="372">
        <f>IFERROR(VLOOKUP($AE44,costs!$A$2:$I$2905,AI$2,FALSE),0)</f>
        <v>0</v>
      </c>
      <c r="AJ44" s="372">
        <f>IFERROR(VLOOKUP($AE44,costs!$A$2:$I$2905,AJ$2,FALSE),0)</f>
        <v>0</v>
      </c>
      <c r="AK44" s="372">
        <f>IFERROR(VLOOKUP($AE44,costs!$A$2:$I$2905,AK$2,FALSE),0)</f>
        <v>0</v>
      </c>
      <c r="AL44" s="372">
        <f>IFERROR(VLOOKUP($AE44,costs!$A$2:$I$2905,AL$2,FALSE),0)</f>
        <v>0</v>
      </c>
      <c r="AM44" s="372">
        <f>IFERROR(VLOOKUP($AE44,costs!$A$2:$I$2905,AM$2,FALSE),0)</f>
        <v>0</v>
      </c>
      <c r="AO44" s="40" t="s">
        <v>436</v>
      </c>
      <c r="AP44" s="953">
        <f>IFERROR(VLOOKUP($AO44,costs!$A$2:$I$2905,AP$2,FALSE),0)</f>
        <v>0</v>
      </c>
      <c r="AQ44" s="953">
        <f>IFERROR(VLOOKUP($AO44,costs!$A$2:$I$2905,AQ$2,FALSE),0)</f>
        <v>0</v>
      </c>
      <c r="AR44" s="953">
        <f>IFERROR(VLOOKUP($AO44,costs!$A$2:$I$2905,AR$2,FALSE),0)</f>
        <v>0</v>
      </c>
      <c r="AS44" s="953">
        <f>IFERROR(VLOOKUP($AO44,costs!$A$2:$I$2905,AS$2,FALSE),0)</f>
        <v>0</v>
      </c>
      <c r="AT44" s="953">
        <f>IFERROR(VLOOKUP($AO44,costs!$A$2:$I$2905,AT$2,FALSE),0)</f>
        <v>0</v>
      </c>
      <c r="AU44" s="953">
        <f>IFERROR(VLOOKUP($AO44,costs!$A$2:$I$2905,AU$2,FALSE),0)</f>
        <v>0</v>
      </c>
      <c r="AV44" s="953">
        <f>IFERROR(VLOOKUP($AO44,costs!$A$2:$I$2905,AV$2,FALSE),0)</f>
        <v>0</v>
      </c>
      <c r="AW44" s="953">
        <f>IFERROR(VLOOKUP($AO44,costs!$A$2:$I$2905,AW$2,FALSE),0)</f>
        <v>0</v>
      </c>
      <c r="AY44" s="949" t="s">
        <v>312</v>
      </c>
      <c r="AZ44" s="372">
        <f>IFERROR(VLOOKUP($AY44,costs!$A$2:$I$2905,AZ$2,FALSE),0)</f>
        <v>0</v>
      </c>
      <c r="BA44" s="372">
        <f>IFERROR(VLOOKUP($AY44,costs!$A$2:$I$2905,BA$2,FALSE),0)</f>
        <v>0</v>
      </c>
      <c r="BB44" s="372">
        <f>IFERROR(VLOOKUP($AY44,costs!$A$2:$I$2905,BB$2,FALSE),0)</f>
        <v>0</v>
      </c>
      <c r="BC44" s="372">
        <f>IFERROR(VLOOKUP($AY44,costs!$A$2:$I$2905,BC$2,FALSE),0)</f>
        <v>0</v>
      </c>
      <c r="BD44" s="372">
        <f>IFERROR(VLOOKUP($AY44,costs!$A$2:$I$2905,BD$2,FALSE),0)</f>
        <v>0</v>
      </c>
      <c r="BE44" s="372">
        <f>IFERROR(VLOOKUP($AY44,costs!$A$2:$I$2905,BE$2,FALSE),0)</f>
        <v>0</v>
      </c>
      <c r="BF44" s="372">
        <f>IFERROR(VLOOKUP($AY44,costs!$A$2:$I$2905,BF$2,FALSE),0)</f>
        <v>0</v>
      </c>
      <c r="BG44" s="372">
        <f>IFERROR(VLOOKUP($AY44,costs!$A$2:$I$2905,BG$2,FALSE),0)</f>
        <v>0</v>
      </c>
    </row>
    <row r="45" spans="2:59" x14ac:dyDescent="0.35">
      <c r="U45" s="949" t="s">
        <v>2048</v>
      </c>
      <c r="V45" s="372">
        <f>IFERROR(VLOOKUP($U45,costs!$A$2:$I$2905,V$2,FALSE),0)</f>
        <v>0</v>
      </c>
      <c r="W45" s="372">
        <f>IFERROR(VLOOKUP($U45,costs!$A$2:$I$2905,W$2,FALSE),0)</f>
        <v>0</v>
      </c>
      <c r="X45" s="372">
        <f>IFERROR(VLOOKUP($U45,costs!$A$2:$I$2905,X$2,FALSE),0)</f>
        <v>0</v>
      </c>
      <c r="Y45" s="372">
        <f>IFERROR(VLOOKUP($U45,costs!$A$2:$I$2905,Y$2,FALSE),0)</f>
        <v>0</v>
      </c>
      <c r="Z45" s="372">
        <f>IFERROR(VLOOKUP($U45,costs!$A$2:$I$2905,Z$2,FALSE),0)</f>
        <v>0</v>
      </c>
      <c r="AA45" s="372">
        <f>IFERROR(VLOOKUP($U45,costs!$A$2:$I$2905,AA$2,FALSE),0)</f>
        <v>0</v>
      </c>
      <c r="AB45" s="372">
        <f>IFERROR(VLOOKUP($U45,costs!$A$2:$I$2905,AB$2,FALSE),0)</f>
        <v>0</v>
      </c>
      <c r="AC45" s="372">
        <f>IFERROR(VLOOKUP($U45,costs!$A$2:$I$2905,AC$2,FALSE),0)</f>
        <v>0</v>
      </c>
      <c r="AE45" s="949" t="s">
        <v>288</v>
      </c>
      <c r="AF45" s="372">
        <f>IFERROR(VLOOKUP($AE45,costs!$A$2:$I$2905,AF$2,FALSE),0)</f>
        <v>0</v>
      </c>
      <c r="AG45" s="372">
        <f>IFERROR(VLOOKUP($AE45,costs!$A$2:$I$2905,AG$2,FALSE),0)</f>
        <v>0</v>
      </c>
      <c r="AH45" s="372">
        <f>IFERROR(VLOOKUP($AE45,costs!$A$2:$I$2905,AH$2,FALSE),0)</f>
        <v>0</v>
      </c>
      <c r="AI45" s="372">
        <f>IFERROR(VLOOKUP($AE45,costs!$A$2:$I$2905,AI$2,FALSE),0)</f>
        <v>0</v>
      </c>
      <c r="AJ45" s="372">
        <f>IFERROR(VLOOKUP($AE45,costs!$A$2:$I$2905,AJ$2,FALSE),0)</f>
        <v>0</v>
      </c>
      <c r="AK45" s="372">
        <f>IFERROR(VLOOKUP($AE45,costs!$A$2:$I$2905,AK$2,FALSE),0)</f>
        <v>0</v>
      </c>
      <c r="AL45" s="372">
        <f>IFERROR(VLOOKUP($AE45,costs!$A$2:$I$2905,AL$2,FALSE),0)</f>
        <v>0</v>
      </c>
      <c r="AM45" s="372">
        <f>IFERROR(VLOOKUP($AE45,costs!$A$2:$I$2905,AM$2,FALSE),0)</f>
        <v>0</v>
      </c>
      <c r="AO45" s="40" t="s">
        <v>434</v>
      </c>
      <c r="AP45" s="953">
        <f>IFERROR(VLOOKUP($AO45,costs!$A$2:$I$2905,AP$2,FALSE),0)</f>
        <v>0</v>
      </c>
      <c r="AQ45" s="953">
        <f>IFERROR(VLOOKUP($AO45,costs!$A$2:$I$2905,AQ$2,FALSE),0)</f>
        <v>0</v>
      </c>
      <c r="AR45" s="953">
        <f>IFERROR(VLOOKUP($AO45,costs!$A$2:$I$2905,AR$2,FALSE),0)</f>
        <v>0</v>
      </c>
      <c r="AS45" s="953">
        <f>IFERROR(VLOOKUP($AO45,costs!$A$2:$I$2905,AS$2,FALSE),0)</f>
        <v>0</v>
      </c>
      <c r="AT45" s="953">
        <f>IFERROR(VLOOKUP($AO45,costs!$A$2:$I$2905,AT$2,FALSE),0)</f>
        <v>0</v>
      </c>
      <c r="AU45" s="953">
        <f>IFERROR(VLOOKUP($AO45,costs!$A$2:$I$2905,AU$2,FALSE),0)</f>
        <v>0</v>
      </c>
      <c r="AV45" s="953">
        <f>IFERROR(VLOOKUP($AO45,costs!$A$2:$I$2905,AV$2,FALSE),0)</f>
        <v>0</v>
      </c>
      <c r="AW45" s="953">
        <f>IFERROR(VLOOKUP($AO45,costs!$A$2:$I$2905,AW$2,FALSE),0)</f>
        <v>0</v>
      </c>
      <c r="AY45" s="40" t="s">
        <v>304</v>
      </c>
      <c r="AZ45" s="372">
        <f>IFERROR(VLOOKUP($AY45,costs!$A$2:$I$2905,AZ$2,FALSE),0)</f>
        <v>0</v>
      </c>
      <c r="BA45" s="372">
        <f>IFERROR(VLOOKUP($AY45,costs!$A$2:$I$2905,BA$2,FALSE),0)</f>
        <v>0</v>
      </c>
      <c r="BB45" s="372">
        <f>IFERROR(VLOOKUP($AY45,costs!$A$2:$I$2905,BB$2,FALSE),0)</f>
        <v>0</v>
      </c>
      <c r="BC45" s="372">
        <f>IFERROR(VLOOKUP($AY45,costs!$A$2:$I$2905,BC$2,FALSE),0)</f>
        <v>0</v>
      </c>
      <c r="BD45" s="372">
        <f>IFERROR(VLOOKUP($AY45,costs!$A$2:$I$2905,BD$2,FALSE),0)</f>
        <v>0</v>
      </c>
      <c r="BE45" s="372">
        <f>IFERROR(VLOOKUP($AY45,costs!$A$2:$I$2905,BE$2,FALSE),0)</f>
        <v>0</v>
      </c>
      <c r="BF45" s="372">
        <f>IFERROR(VLOOKUP($AY45,costs!$A$2:$I$2905,BF$2,FALSE),0)</f>
        <v>0</v>
      </c>
      <c r="BG45" s="372">
        <f>IFERROR(VLOOKUP($AY45,costs!$A$2:$I$2905,BG$2,FALSE),0)</f>
        <v>0</v>
      </c>
    </row>
    <row r="46" spans="2:59" x14ac:dyDescent="0.35">
      <c r="U46" s="40" t="s">
        <v>486</v>
      </c>
      <c r="V46" s="372">
        <f>IFERROR(VLOOKUP($U46,costs!$A$2:$I$2905,V$2,FALSE),0)</f>
        <v>0</v>
      </c>
      <c r="W46" s="372">
        <f>IFERROR(VLOOKUP($U46,costs!$A$2:$I$2905,W$2,FALSE),0)</f>
        <v>0</v>
      </c>
      <c r="X46" s="372">
        <f>IFERROR(VLOOKUP($U46,costs!$A$2:$I$2905,X$2,FALSE),0)</f>
        <v>0</v>
      </c>
      <c r="Y46" s="372">
        <f>IFERROR(VLOOKUP($U46,costs!$A$2:$I$2905,Y$2,FALSE),0)</f>
        <v>0</v>
      </c>
      <c r="Z46" s="372">
        <f>IFERROR(VLOOKUP($U46,costs!$A$2:$I$2905,Z$2,FALSE),0)</f>
        <v>0</v>
      </c>
      <c r="AA46" s="372">
        <f>IFERROR(VLOOKUP($U46,costs!$A$2:$I$2905,AA$2,FALSE),0)</f>
        <v>0</v>
      </c>
      <c r="AB46" s="372">
        <f>IFERROR(VLOOKUP($U46,costs!$A$2:$I$2905,AB$2,FALSE),0)</f>
        <v>0</v>
      </c>
      <c r="AC46" s="372">
        <f>IFERROR(VLOOKUP($U46,costs!$A$2:$I$2905,AC$2,FALSE),0)</f>
        <v>0</v>
      </c>
      <c r="AE46" s="949" t="s">
        <v>300</v>
      </c>
      <c r="AF46" s="372">
        <f>IFERROR(VLOOKUP($AE46,costs!$A$2:$I$2905,AF$2,FALSE),0)</f>
        <v>0</v>
      </c>
      <c r="AG46" s="372">
        <f>IFERROR(VLOOKUP($AE46,costs!$A$2:$I$2905,AG$2,FALSE),0)</f>
        <v>0</v>
      </c>
      <c r="AH46" s="372">
        <f>IFERROR(VLOOKUP($AE46,costs!$A$2:$I$2905,AH$2,FALSE),0)</f>
        <v>0</v>
      </c>
      <c r="AI46" s="372">
        <f>IFERROR(VLOOKUP($AE46,costs!$A$2:$I$2905,AI$2,FALSE),0)</f>
        <v>0</v>
      </c>
      <c r="AJ46" s="372">
        <f>IFERROR(VLOOKUP($AE46,costs!$A$2:$I$2905,AJ$2,FALSE),0)</f>
        <v>0</v>
      </c>
      <c r="AK46" s="372">
        <f>IFERROR(VLOOKUP($AE46,costs!$A$2:$I$2905,AK$2,FALSE),0)</f>
        <v>0</v>
      </c>
      <c r="AL46" s="372">
        <f>IFERROR(VLOOKUP($AE46,costs!$A$2:$I$2905,AL$2,FALSE),0)</f>
        <v>0</v>
      </c>
      <c r="AM46" s="372">
        <f>IFERROR(VLOOKUP($AE46,costs!$A$2:$I$2905,AM$2,FALSE),0)</f>
        <v>0</v>
      </c>
      <c r="AO46" s="40" t="s">
        <v>479</v>
      </c>
      <c r="AP46" s="953">
        <f>IFERROR(VLOOKUP($AO46,costs!$A$2:$I$2905,AP$2,FALSE),0)</f>
        <v>0</v>
      </c>
      <c r="AQ46" s="953">
        <f>IFERROR(VLOOKUP($AO46,costs!$A$2:$I$2905,AQ$2,FALSE),0)</f>
        <v>0</v>
      </c>
      <c r="AR46" s="953">
        <f>IFERROR(VLOOKUP($AO46,costs!$A$2:$I$2905,AR$2,FALSE),0)</f>
        <v>0</v>
      </c>
      <c r="AS46" s="953">
        <f>IFERROR(VLOOKUP($AO46,costs!$A$2:$I$2905,AS$2,FALSE),0)</f>
        <v>0</v>
      </c>
      <c r="AT46" s="953">
        <f>IFERROR(VLOOKUP($AO46,costs!$A$2:$I$2905,AT$2,FALSE),0)</f>
        <v>0</v>
      </c>
      <c r="AU46" s="953">
        <f>IFERROR(VLOOKUP($AO46,costs!$A$2:$I$2905,AU$2,FALSE),0)</f>
        <v>0</v>
      </c>
      <c r="AV46" s="953">
        <f>IFERROR(VLOOKUP($AO46,costs!$A$2:$I$2905,AV$2,FALSE),0)</f>
        <v>0</v>
      </c>
      <c r="AW46" s="953">
        <f>IFERROR(VLOOKUP($AO46,costs!$A$2:$I$2905,AW$2,FALSE),0)</f>
        <v>0</v>
      </c>
      <c r="AY46" s="949" t="s">
        <v>2088</v>
      </c>
      <c r="AZ46" s="372">
        <f>IFERROR(VLOOKUP($AY46,costs!$A$2:$I$2905,AZ$2,FALSE),0)</f>
        <v>0</v>
      </c>
      <c r="BA46" s="372">
        <f>IFERROR(VLOOKUP($AY46,costs!$A$2:$I$2905,BA$2,FALSE),0)</f>
        <v>0</v>
      </c>
      <c r="BB46" s="372">
        <f>IFERROR(VLOOKUP($AY46,costs!$A$2:$I$2905,BB$2,FALSE),0)</f>
        <v>0</v>
      </c>
      <c r="BC46" s="372">
        <f>IFERROR(VLOOKUP($AY46,costs!$A$2:$I$2905,BC$2,FALSE),0)</f>
        <v>0</v>
      </c>
      <c r="BD46" s="372">
        <f>IFERROR(VLOOKUP($AY46,costs!$A$2:$I$2905,BD$2,FALSE),0)</f>
        <v>0</v>
      </c>
      <c r="BE46" s="372">
        <f>IFERROR(VLOOKUP($AY46,costs!$A$2:$I$2905,BE$2,FALSE),0)</f>
        <v>0</v>
      </c>
      <c r="BF46" s="372">
        <f>IFERROR(VLOOKUP($AY46,costs!$A$2:$I$2905,BF$2,FALSE),0)</f>
        <v>0</v>
      </c>
      <c r="BG46" s="372">
        <f>IFERROR(VLOOKUP($AY46,costs!$A$2:$I$2905,BG$2,FALSE),0)</f>
        <v>0</v>
      </c>
    </row>
    <row r="47" spans="2:59" x14ac:dyDescent="0.35">
      <c r="U47" s="949" t="s">
        <v>487</v>
      </c>
      <c r="V47" s="372">
        <f>IFERROR(VLOOKUP($U47,costs!$A$2:$I$2905,V$2,FALSE),0)</f>
        <v>0</v>
      </c>
      <c r="W47" s="372">
        <f>IFERROR(VLOOKUP($U47,costs!$A$2:$I$2905,W$2,FALSE),0)</f>
        <v>0</v>
      </c>
      <c r="X47" s="372">
        <f>IFERROR(VLOOKUP($U47,costs!$A$2:$I$2905,X$2,FALSE),0)</f>
        <v>0</v>
      </c>
      <c r="Y47" s="372">
        <f>IFERROR(VLOOKUP($U47,costs!$A$2:$I$2905,Y$2,FALSE),0)</f>
        <v>0</v>
      </c>
      <c r="Z47" s="372">
        <f>IFERROR(VLOOKUP($U47,costs!$A$2:$I$2905,Z$2,FALSE),0)</f>
        <v>0</v>
      </c>
      <c r="AA47" s="372">
        <f>IFERROR(VLOOKUP($U47,costs!$A$2:$I$2905,AA$2,FALSE),0)</f>
        <v>0</v>
      </c>
      <c r="AB47" s="372">
        <f>IFERROR(VLOOKUP($U47,costs!$A$2:$I$2905,AB$2,FALSE),0)</f>
        <v>0</v>
      </c>
      <c r="AC47" s="372">
        <f>IFERROR(VLOOKUP($U47,costs!$A$2:$I$2905,AC$2,FALSE),0)</f>
        <v>0</v>
      </c>
      <c r="AE47" s="40" t="s">
        <v>386</v>
      </c>
      <c r="AF47" s="372">
        <f>IFERROR(VLOOKUP($AE47,costs!$A$2:$I$2905,AF$2,FALSE),0)</f>
        <v>0</v>
      </c>
      <c r="AG47" s="372">
        <f>IFERROR(VLOOKUP($AE47,costs!$A$2:$I$2905,AG$2,FALSE),0)</f>
        <v>0</v>
      </c>
      <c r="AH47" s="372">
        <f>IFERROR(VLOOKUP($AE47,costs!$A$2:$I$2905,AH$2,FALSE),0)</f>
        <v>0</v>
      </c>
      <c r="AI47" s="372">
        <f>IFERROR(VLOOKUP($AE47,costs!$A$2:$I$2905,AI$2,FALSE),0)</f>
        <v>0</v>
      </c>
      <c r="AJ47" s="372">
        <f>IFERROR(VLOOKUP($AE47,costs!$A$2:$I$2905,AJ$2,FALSE),0)</f>
        <v>0</v>
      </c>
      <c r="AK47" s="372">
        <f>IFERROR(VLOOKUP($AE47,costs!$A$2:$I$2905,AK$2,FALSE),0)</f>
        <v>0</v>
      </c>
      <c r="AL47" s="372">
        <f>IFERROR(VLOOKUP($AE47,costs!$A$2:$I$2905,AL$2,FALSE),0)</f>
        <v>0</v>
      </c>
      <c r="AM47" s="372">
        <f>IFERROR(VLOOKUP($AE47,costs!$A$2:$I$2905,AM$2,FALSE),0)</f>
        <v>0</v>
      </c>
      <c r="AO47" s="40" t="s">
        <v>4104</v>
      </c>
      <c r="AP47" s="953">
        <f>IFERROR(VLOOKUP($AO47,costs!$A$2:$I$2905,AP$2,FALSE),0)</f>
        <v>0</v>
      </c>
      <c r="AQ47" s="953">
        <f>IFERROR(VLOOKUP($AO47,costs!$A$2:$I$2905,AQ$2,FALSE),0)</f>
        <v>0</v>
      </c>
      <c r="AR47" s="953">
        <f>IFERROR(VLOOKUP($AO47,costs!$A$2:$I$2905,AR$2,FALSE),0)</f>
        <v>0</v>
      </c>
      <c r="AS47" s="953">
        <f>IFERROR(VLOOKUP($AO47,costs!$A$2:$I$2905,AS$2,FALSE),0)</f>
        <v>0</v>
      </c>
      <c r="AT47" s="953">
        <f>IFERROR(VLOOKUP($AO47,costs!$A$2:$I$2905,AT$2,FALSE),0)</f>
        <v>0</v>
      </c>
      <c r="AU47" s="953">
        <f>IFERROR(VLOOKUP($AO47,costs!$A$2:$I$2905,AU$2,FALSE),0)</f>
        <v>0</v>
      </c>
      <c r="AV47" s="953">
        <f>IFERROR(VLOOKUP($AO47,costs!$A$2:$I$2905,AV$2,FALSE),0)</f>
        <v>0</v>
      </c>
      <c r="AW47" s="953">
        <f>IFERROR(VLOOKUP($AO47,costs!$A$2:$I$2905,AW$2,FALSE),0)</f>
        <v>0</v>
      </c>
      <c r="AY47" s="40" t="s">
        <v>219</v>
      </c>
      <c r="AZ47" s="372">
        <f>IFERROR(VLOOKUP($AY47,costs!$A$2:$I$2905,AZ$2,FALSE),0)</f>
        <v>0</v>
      </c>
      <c r="BA47" s="372">
        <f>IFERROR(VLOOKUP($AY47,costs!$A$2:$I$2905,BA$2,FALSE),0)</f>
        <v>0</v>
      </c>
      <c r="BB47" s="372">
        <f>IFERROR(VLOOKUP($AY47,costs!$A$2:$I$2905,BB$2,FALSE),0)</f>
        <v>0</v>
      </c>
      <c r="BC47" s="372">
        <f>IFERROR(VLOOKUP($AY47,costs!$A$2:$I$2905,BC$2,FALSE),0)</f>
        <v>0</v>
      </c>
      <c r="BD47" s="372">
        <f>IFERROR(VLOOKUP($AY47,costs!$A$2:$I$2905,BD$2,FALSE),0)</f>
        <v>0</v>
      </c>
      <c r="BE47" s="372">
        <f>IFERROR(VLOOKUP($AY47,costs!$A$2:$I$2905,BE$2,FALSE),0)</f>
        <v>0</v>
      </c>
      <c r="BF47" s="372">
        <f>IFERROR(VLOOKUP($AY47,costs!$A$2:$I$2905,BF$2,FALSE),0)</f>
        <v>0</v>
      </c>
      <c r="BG47" s="372">
        <f>IFERROR(VLOOKUP($AY47,costs!$A$2:$I$2905,BG$2,FALSE),0)</f>
        <v>0</v>
      </c>
    </row>
    <row r="48" spans="2:59" x14ac:dyDescent="0.35">
      <c r="U48" s="40" t="s">
        <v>2049</v>
      </c>
      <c r="V48" s="372">
        <f>IFERROR(VLOOKUP($U48,costs!$A$2:$I$2905,V$2,FALSE),0)</f>
        <v>0</v>
      </c>
      <c r="W48" s="372">
        <f>IFERROR(VLOOKUP($U48,costs!$A$2:$I$2905,W$2,FALSE),0)</f>
        <v>0</v>
      </c>
      <c r="X48" s="372">
        <f>IFERROR(VLOOKUP($U48,costs!$A$2:$I$2905,X$2,FALSE),0)</f>
        <v>0</v>
      </c>
      <c r="Y48" s="372">
        <f>IFERROR(VLOOKUP($U48,costs!$A$2:$I$2905,Y$2,FALSE),0)</f>
        <v>0</v>
      </c>
      <c r="Z48" s="372">
        <f>IFERROR(VLOOKUP($U48,costs!$A$2:$I$2905,Z$2,FALSE),0)</f>
        <v>0</v>
      </c>
      <c r="AA48" s="372">
        <f>IFERROR(VLOOKUP($U48,costs!$A$2:$I$2905,AA$2,FALSE),0)</f>
        <v>0</v>
      </c>
      <c r="AB48" s="372">
        <f>IFERROR(VLOOKUP($U48,costs!$A$2:$I$2905,AB$2,FALSE),0)</f>
        <v>0</v>
      </c>
      <c r="AC48" s="372">
        <f>IFERROR(VLOOKUP($U48,costs!$A$2:$I$2905,AC$2,FALSE),0)</f>
        <v>0</v>
      </c>
      <c r="AE48" s="40" t="s">
        <v>178</v>
      </c>
      <c r="AF48" s="372">
        <f>IFERROR(VLOOKUP($AE48,costs!$A$2:$I$2905,AF$2,FALSE),0)</f>
        <v>0</v>
      </c>
      <c r="AG48" s="372">
        <f>IFERROR(VLOOKUP($AE48,costs!$A$2:$I$2905,AG$2,FALSE),0)</f>
        <v>0</v>
      </c>
      <c r="AH48" s="372">
        <f>IFERROR(VLOOKUP($AE48,costs!$A$2:$I$2905,AH$2,FALSE),0)</f>
        <v>0</v>
      </c>
      <c r="AI48" s="372">
        <f>IFERROR(VLOOKUP($AE48,costs!$A$2:$I$2905,AI$2,FALSE),0)</f>
        <v>0</v>
      </c>
      <c r="AJ48" s="372">
        <f>IFERROR(VLOOKUP($AE48,costs!$A$2:$I$2905,AJ$2,FALSE),0)</f>
        <v>0</v>
      </c>
      <c r="AK48" s="372">
        <f>IFERROR(VLOOKUP($AE48,costs!$A$2:$I$2905,AK$2,FALSE),0)</f>
        <v>0</v>
      </c>
      <c r="AL48" s="372">
        <f>IFERROR(VLOOKUP($AE48,costs!$A$2:$I$2905,AL$2,FALSE),0)</f>
        <v>0</v>
      </c>
      <c r="AM48" s="372">
        <f>IFERROR(VLOOKUP($AE48,costs!$A$2:$I$2905,AM$2,FALSE),0)</f>
        <v>0</v>
      </c>
      <c r="AO48" s="40" t="s">
        <v>4105</v>
      </c>
      <c r="AP48" s="953">
        <f>IFERROR(VLOOKUP($AO48,costs!$A$2:$I$2905,AP$2,FALSE),0)</f>
        <v>0</v>
      </c>
      <c r="AQ48" s="953">
        <f>IFERROR(VLOOKUP($AO48,costs!$A$2:$I$2905,AQ$2,FALSE),0)</f>
        <v>0</v>
      </c>
      <c r="AR48" s="953">
        <f>IFERROR(VLOOKUP($AO48,costs!$A$2:$I$2905,AR$2,FALSE),0)</f>
        <v>0</v>
      </c>
      <c r="AS48" s="953">
        <f>IFERROR(VLOOKUP($AO48,costs!$A$2:$I$2905,AS$2,FALSE),0)</f>
        <v>0</v>
      </c>
      <c r="AT48" s="953">
        <f>IFERROR(VLOOKUP($AO48,costs!$A$2:$I$2905,AT$2,FALSE),0)</f>
        <v>0</v>
      </c>
      <c r="AU48" s="953">
        <f>IFERROR(VLOOKUP($AO48,costs!$A$2:$I$2905,AU$2,FALSE),0)</f>
        <v>0</v>
      </c>
      <c r="AV48" s="953">
        <f>IFERROR(VLOOKUP($AO48,costs!$A$2:$I$2905,AV$2,FALSE),0)</f>
        <v>0</v>
      </c>
      <c r="AW48" s="953">
        <f>IFERROR(VLOOKUP($AO48,costs!$A$2:$I$2905,AW$2,FALSE),0)</f>
        <v>0</v>
      </c>
      <c r="AY48" s="949" t="s">
        <v>2089</v>
      </c>
      <c r="AZ48" s="372">
        <f>IFERROR(VLOOKUP($AY48,costs!$A$2:$I$2905,AZ$2,FALSE),0)</f>
        <v>0</v>
      </c>
      <c r="BA48" s="372">
        <f>IFERROR(VLOOKUP($AY48,costs!$A$2:$I$2905,BA$2,FALSE),0)</f>
        <v>0</v>
      </c>
      <c r="BB48" s="372">
        <f>IFERROR(VLOOKUP($AY48,costs!$A$2:$I$2905,BB$2,FALSE),0)</f>
        <v>0</v>
      </c>
      <c r="BC48" s="372">
        <f>IFERROR(VLOOKUP($AY48,costs!$A$2:$I$2905,BC$2,FALSE),0)</f>
        <v>0</v>
      </c>
      <c r="BD48" s="372">
        <f>IFERROR(VLOOKUP($AY48,costs!$A$2:$I$2905,BD$2,FALSE),0)</f>
        <v>0</v>
      </c>
      <c r="BE48" s="372">
        <f>IFERROR(VLOOKUP($AY48,costs!$A$2:$I$2905,BE$2,FALSE),0)</f>
        <v>0</v>
      </c>
      <c r="BF48" s="372">
        <f>IFERROR(VLOOKUP($AY48,costs!$A$2:$I$2905,BF$2,FALSE),0)</f>
        <v>0</v>
      </c>
      <c r="BG48" s="372">
        <f>IFERROR(VLOOKUP($AY48,costs!$A$2:$I$2905,BG$2,FALSE),0)</f>
        <v>0</v>
      </c>
    </row>
    <row r="49" spans="21:59" x14ac:dyDescent="0.35">
      <c r="U49" s="949" t="s">
        <v>502</v>
      </c>
      <c r="V49" s="372">
        <f>IFERROR(VLOOKUP($U49,costs!$A$2:$I$2905,V$2,FALSE),0)</f>
        <v>0</v>
      </c>
      <c r="W49" s="372">
        <f>IFERROR(VLOOKUP($U49,costs!$A$2:$I$2905,W$2,FALSE),0)</f>
        <v>0</v>
      </c>
      <c r="X49" s="372">
        <f>IFERROR(VLOOKUP($U49,costs!$A$2:$I$2905,X$2,FALSE),0)</f>
        <v>0</v>
      </c>
      <c r="Y49" s="372">
        <f>IFERROR(VLOOKUP($U49,costs!$A$2:$I$2905,Y$2,FALSE),0)</f>
        <v>0</v>
      </c>
      <c r="Z49" s="372">
        <f>IFERROR(VLOOKUP($U49,costs!$A$2:$I$2905,Z$2,FALSE),0)</f>
        <v>0</v>
      </c>
      <c r="AA49" s="372">
        <f>IFERROR(VLOOKUP($U49,costs!$A$2:$I$2905,AA$2,FALSE),0)</f>
        <v>0</v>
      </c>
      <c r="AB49" s="372">
        <f>IFERROR(VLOOKUP($U49,costs!$A$2:$I$2905,AB$2,FALSE),0)</f>
        <v>0</v>
      </c>
      <c r="AC49" s="372">
        <f>IFERROR(VLOOKUP($U49,costs!$A$2:$I$2905,AC$2,FALSE),0)</f>
        <v>0</v>
      </c>
      <c r="AE49" s="40" t="s">
        <v>208</v>
      </c>
      <c r="AF49" s="372">
        <f>IFERROR(VLOOKUP($AE49,costs!$A$2:$I$2905,AF$2,FALSE),0)</f>
        <v>0</v>
      </c>
      <c r="AG49" s="372">
        <f>IFERROR(VLOOKUP($AE49,costs!$A$2:$I$2905,AG$2,FALSE),0)</f>
        <v>0</v>
      </c>
      <c r="AH49" s="372">
        <f>IFERROR(VLOOKUP($AE49,costs!$A$2:$I$2905,AH$2,FALSE),0)</f>
        <v>0</v>
      </c>
      <c r="AI49" s="372">
        <f>IFERROR(VLOOKUP($AE49,costs!$A$2:$I$2905,AI$2,FALSE),0)</f>
        <v>0</v>
      </c>
      <c r="AJ49" s="372">
        <f>IFERROR(VLOOKUP($AE49,costs!$A$2:$I$2905,AJ$2,FALSE),0)</f>
        <v>0</v>
      </c>
      <c r="AK49" s="372">
        <f>IFERROR(VLOOKUP($AE49,costs!$A$2:$I$2905,AK$2,FALSE),0)</f>
        <v>0</v>
      </c>
      <c r="AL49" s="372">
        <f>IFERROR(VLOOKUP($AE49,costs!$A$2:$I$2905,AL$2,FALSE),0)</f>
        <v>0</v>
      </c>
      <c r="AM49" s="372">
        <f>IFERROR(VLOOKUP($AE49,costs!$A$2:$I$2905,AM$2,FALSE),0)</f>
        <v>0</v>
      </c>
      <c r="AO49" s="40" t="s">
        <v>1146</v>
      </c>
      <c r="AP49" s="953">
        <f>IFERROR(VLOOKUP($AO49,costs!$A$2:$I$2905,AP$2,FALSE),0)</f>
        <v>0</v>
      </c>
      <c r="AQ49" s="953">
        <f>IFERROR(VLOOKUP($AO49,costs!$A$2:$I$2905,AQ$2,FALSE),0)</f>
        <v>0</v>
      </c>
      <c r="AR49" s="953">
        <f>IFERROR(VLOOKUP($AO49,costs!$A$2:$I$2905,AR$2,FALSE),0)</f>
        <v>0</v>
      </c>
      <c r="AS49" s="953">
        <f>IFERROR(VLOOKUP($AO49,costs!$A$2:$I$2905,AS$2,FALSE),0)</f>
        <v>0</v>
      </c>
      <c r="AT49" s="953">
        <f>IFERROR(VLOOKUP($AO49,costs!$A$2:$I$2905,AT$2,FALSE),0)</f>
        <v>0</v>
      </c>
      <c r="AU49" s="953">
        <f>IFERROR(VLOOKUP($AO49,costs!$A$2:$I$2905,AU$2,FALSE),0)</f>
        <v>0</v>
      </c>
      <c r="AV49" s="953">
        <f>IFERROR(VLOOKUP($AO49,costs!$A$2:$I$2905,AV$2,FALSE),0)</f>
        <v>0</v>
      </c>
      <c r="AW49" s="953">
        <f>IFERROR(VLOOKUP($AO49,costs!$A$2:$I$2905,AW$2,FALSE),0)</f>
        <v>0</v>
      </c>
      <c r="AY49" s="40" t="s">
        <v>220</v>
      </c>
      <c r="AZ49" s="372">
        <f>IFERROR(VLOOKUP($AY49,costs!$A$2:$I$2905,AZ$2,FALSE),0)</f>
        <v>0</v>
      </c>
      <c r="BA49" s="372">
        <f>IFERROR(VLOOKUP($AY49,costs!$A$2:$I$2905,BA$2,FALSE),0)</f>
        <v>0</v>
      </c>
      <c r="BB49" s="372">
        <f>IFERROR(VLOOKUP($AY49,costs!$A$2:$I$2905,BB$2,FALSE),0)</f>
        <v>0</v>
      </c>
      <c r="BC49" s="372">
        <f>IFERROR(VLOOKUP($AY49,costs!$A$2:$I$2905,BC$2,FALSE),0)</f>
        <v>0</v>
      </c>
      <c r="BD49" s="372">
        <f>IFERROR(VLOOKUP($AY49,costs!$A$2:$I$2905,BD$2,FALSE),0)</f>
        <v>0</v>
      </c>
      <c r="BE49" s="372">
        <f>IFERROR(VLOOKUP($AY49,costs!$A$2:$I$2905,BE$2,FALSE),0)</f>
        <v>0</v>
      </c>
      <c r="BF49" s="372">
        <f>IFERROR(VLOOKUP($AY49,costs!$A$2:$I$2905,BF$2,FALSE),0)</f>
        <v>0</v>
      </c>
      <c r="BG49" s="372">
        <f>IFERROR(VLOOKUP($AY49,costs!$A$2:$I$2905,BG$2,FALSE),0)</f>
        <v>0</v>
      </c>
    </row>
    <row r="50" spans="21:59" x14ac:dyDescent="0.35">
      <c r="U50" s="40" t="s">
        <v>2050</v>
      </c>
      <c r="V50" s="372">
        <f>IFERROR(VLOOKUP($U50,costs!$A$2:$I$2905,V$2,FALSE),0)</f>
        <v>0</v>
      </c>
      <c r="W50" s="372">
        <f>IFERROR(VLOOKUP($U50,costs!$A$2:$I$2905,W$2,FALSE),0)</f>
        <v>0</v>
      </c>
      <c r="X50" s="372">
        <f>IFERROR(VLOOKUP($U50,costs!$A$2:$I$2905,X$2,FALSE),0)</f>
        <v>0</v>
      </c>
      <c r="Y50" s="372">
        <f>IFERROR(VLOOKUP($U50,costs!$A$2:$I$2905,Y$2,FALSE),0)</f>
        <v>0</v>
      </c>
      <c r="Z50" s="372">
        <f>IFERROR(VLOOKUP($U50,costs!$A$2:$I$2905,Z$2,FALSE),0)</f>
        <v>0</v>
      </c>
      <c r="AA50" s="372">
        <f>IFERROR(VLOOKUP($U50,costs!$A$2:$I$2905,AA$2,FALSE),0)</f>
        <v>0</v>
      </c>
      <c r="AB50" s="372">
        <f>IFERROR(VLOOKUP($U50,costs!$A$2:$I$2905,AB$2,FALSE),0)</f>
        <v>0</v>
      </c>
      <c r="AC50" s="372">
        <f>IFERROR(VLOOKUP($U50,costs!$A$2:$I$2905,AC$2,FALSE),0)</f>
        <v>0</v>
      </c>
      <c r="AE50" s="40" t="s">
        <v>287</v>
      </c>
      <c r="AF50" s="372">
        <f>IFERROR(VLOOKUP($AE50,costs!$A$2:$I$2905,AF$2,FALSE),0)</f>
        <v>0</v>
      </c>
      <c r="AG50" s="372">
        <f>IFERROR(VLOOKUP($AE50,costs!$A$2:$I$2905,AG$2,FALSE),0)</f>
        <v>0</v>
      </c>
      <c r="AH50" s="372">
        <f>IFERROR(VLOOKUP($AE50,costs!$A$2:$I$2905,AH$2,FALSE),0)</f>
        <v>0</v>
      </c>
      <c r="AI50" s="372">
        <f>IFERROR(VLOOKUP($AE50,costs!$A$2:$I$2905,AI$2,FALSE),0)</f>
        <v>0</v>
      </c>
      <c r="AJ50" s="372">
        <f>IFERROR(VLOOKUP($AE50,costs!$A$2:$I$2905,AJ$2,FALSE),0)</f>
        <v>0</v>
      </c>
      <c r="AK50" s="372">
        <f>IFERROR(VLOOKUP($AE50,costs!$A$2:$I$2905,AK$2,FALSE),0)</f>
        <v>0</v>
      </c>
      <c r="AL50" s="372">
        <f>IFERROR(VLOOKUP($AE50,costs!$A$2:$I$2905,AL$2,FALSE),0)</f>
        <v>0</v>
      </c>
      <c r="AM50" s="372">
        <f>IFERROR(VLOOKUP($AE50,costs!$A$2:$I$2905,AM$2,FALSE),0)</f>
        <v>0</v>
      </c>
      <c r="AO50" s="40" t="s">
        <v>441</v>
      </c>
      <c r="AP50" s="953">
        <f>IFERROR(VLOOKUP($AO50,costs!$A$2:$I$2905,AP$2,FALSE),0)</f>
        <v>0</v>
      </c>
      <c r="AQ50" s="953">
        <f>IFERROR(VLOOKUP($AO50,costs!$A$2:$I$2905,AQ$2,FALSE),0)</f>
        <v>0</v>
      </c>
      <c r="AR50" s="953">
        <f>IFERROR(VLOOKUP($AO50,costs!$A$2:$I$2905,AR$2,FALSE),0)</f>
        <v>0</v>
      </c>
      <c r="AS50" s="953">
        <f>IFERROR(VLOOKUP($AO50,costs!$A$2:$I$2905,AS$2,FALSE),0)</f>
        <v>0</v>
      </c>
      <c r="AT50" s="953">
        <f>IFERROR(VLOOKUP($AO50,costs!$A$2:$I$2905,AT$2,FALSE),0)</f>
        <v>0</v>
      </c>
      <c r="AU50" s="953">
        <f>IFERROR(VLOOKUP($AO50,costs!$A$2:$I$2905,AU$2,FALSE),0)</f>
        <v>0</v>
      </c>
      <c r="AV50" s="953">
        <f>IFERROR(VLOOKUP($AO50,costs!$A$2:$I$2905,AV$2,FALSE),0)</f>
        <v>0</v>
      </c>
      <c r="AW50" s="953">
        <f>IFERROR(VLOOKUP($AO50,costs!$A$2:$I$2905,AW$2,FALSE),0)</f>
        <v>0</v>
      </c>
      <c r="AY50" s="949" t="s">
        <v>351</v>
      </c>
      <c r="AZ50" s="372">
        <f>IFERROR(VLOOKUP($AY50,costs!$A$2:$I$2905,AZ$2,FALSE),0)</f>
        <v>0</v>
      </c>
      <c r="BA50" s="372">
        <f>IFERROR(VLOOKUP($AY50,costs!$A$2:$I$2905,BA$2,FALSE),0)</f>
        <v>0</v>
      </c>
      <c r="BB50" s="372">
        <f>IFERROR(VLOOKUP($AY50,costs!$A$2:$I$2905,BB$2,FALSE),0)</f>
        <v>0</v>
      </c>
      <c r="BC50" s="372">
        <f>IFERROR(VLOOKUP($AY50,costs!$A$2:$I$2905,BC$2,FALSE),0)</f>
        <v>0</v>
      </c>
      <c r="BD50" s="372">
        <f>IFERROR(VLOOKUP($AY50,costs!$A$2:$I$2905,BD$2,FALSE),0)</f>
        <v>0</v>
      </c>
      <c r="BE50" s="372">
        <f>IFERROR(VLOOKUP($AY50,costs!$A$2:$I$2905,BE$2,FALSE),0)</f>
        <v>0</v>
      </c>
      <c r="BF50" s="372">
        <f>IFERROR(VLOOKUP($AY50,costs!$A$2:$I$2905,BF$2,FALSE),0)</f>
        <v>0</v>
      </c>
      <c r="BG50" s="372">
        <f>IFERROR(VLOOKUP($AY50,costs!$A$2:$I$2905,BG$2,FALSE),0)</f>
        <v>0</v>
      </c>
    </row>
    <row r="51" spans="21:59" x14ac:dyDescent="0.35">
      <c r="U51" s="949" t="s">
        <v>419</v>
      </c>
      <c r="V51" s="372">
        <f>IFERROR(VLOOKUP($U51,costs!$A$2:$I$2905,V$2,FALSE),0)</f>
        <v>0</v>
      </c>
      <c r="W51" s="372">
        <f>IFERROR(VLOOKUP($U51,costs!$A$2:$I$2905,W$2,FALSE),0)</f>
        <v>0</v>
      </c>
      <c r="X51" s="372">
        <f>IFERROR(VLOOKUP($U51,costs!$A$2:$I$2905,X$2,FALSE),0)</f>
        <v>0</v>
      </c>
      <c r="Y51" s="372">
        <f>IFERROR(VLOOKUP($U51,costs!$A$2:$I$2905,Y$2,FALSE),0)</f>
        <v>0</v>
      </c>
      <c r="Z51" s="372">
        <f>IFERROR(VLOOKUP($U51,costs!$A$2:$I$2905,Z$2,FALSE),0)</f>
        <v>0</v>
      </c>
      <c r="AA51" s="372">
        <f>IFERROR(VLOOKUP($U51,costs!$A$2:$I$2905,AA$2,FALSE),0)</f>
        <v>0</v>
      </c>
      <c r="AB51" s="372">
        <f>IFERROR(VLOOKUP($U51,costs!$A$2:$I$2905,AB$2,FALSE),0)</f>
        <v>0</v>
      </c>
      <c r="AC51" s="372">
        <f>IFERROR(VLOOKUP($U51,costs!$A$2:$I$2905,AC$2,FALSE),0)</f>
        <v>0</v>
      </c>
      <c r="AE51" s="949" t="s">
        <v>53</v>
      </c>
      <c r="AF51" s="372">
        <f>IFERROR(VLOOKUP($AE51,costs!$A$2:$I$2905,AF$2,FALSE),0)</f>
        <v>0</v>
      </c>
      <c r="AG51" s="372">
        <f>IFERROR(VLOOKUP($AE51,costs!$A$2:$I$2905,AG$2,FALSE),0)</f>
        <v>0</v>
      </c>
      <c r="AH51" s="372">
        <f>IFERROR(VLOOKUP($AE51,costs!$A$2:$I$2905,AH$2,FALSE),0)</f>
        <v>0</v>
      </c>
      <c r="AI51" s="372">
        <f>IFERROR(VLOOKUP($AE51,costs!$A$2:$I$2905,AI$2,FALSE),0)</f>
        <v>0</v>
      </c>
      <c r="AJ51" s="372">
        <f>IFERROR(VLOOKUP($AE51,costs!$A$2:$I$2905,AJ$2,FALSE),0)</f>
        <v>0</v>
      </c>
      <c r="AK51" s="372">
        <f>IFERROR(VLOOKUP($AE51,costs!$A$2:$I$2905,AK$2,FALSE),0)</f>
        <v>0</v>
      </c>
      <c r="AL51" s="372">
        <f>IFERROR(VLOOKUP($AE51,costs!$A$2:$I$2905,AL$2,FALSE),0)</f>
        <v>0</v>
      </c>
      <c r="AM51" s="372">
        <f>IFERROR(VLOOKUP($AE51,costs!$A$2:$I$2905,AM$2,FALSE),0)</f>
        <v>0</v>
      </c>
      <c r="AO51" s="949" t="s">
        <v>13</v>
      </c>
      <c r="AP51" s="953">
        <f>IFERROR(VLOOKUP($AO51,costs!$A$2:$I$2905,AP$2,FALSE),0)</f>
        <v>0</v>
      </c>
      <c r="AQ51" s="953">
        <f>IFERROR(VLOOKUP($AO51,costs!$A$2:$I$2905,AQ$2,FALSE),0)</f>
        <v>0</v>
      </c>
      <c r="AR51" s="953">
        <f>IFERROR(VLOOKUP($AO51,costs!$A$2:$I$2905,AR$2,FALSE),0)</f>
        <v>0</v>
      </c>
      <c r="AS51" s="953">
        <f>IFERROR(VLOOKUP($AO51,costs!$A$2:$I$2905,AS$2,FALSE),0)</f>
        <v>0</v>
      </c>
      <c r="AT51" s="953">
        <f>IFERROR(VLOOKUP($AO51,costs!$A$2:$I$2905,AT$2,FALSE),0)</f>
        <v>0</v>
      </c>
      <c r="AU51" s="953">
        <f>IFERROR(VLOOKUP($AO51,costs!$A$2:$I$2905,AU$2,FALSE),0)</f>
        <v>0</v>
      </c>
      <c r="AV51" s="953">
        <f>IFERROR(VLOOKUP($AO51,costs!$A$2:$I$2905,AV$2,FALSE),0)</f>
        <v>0</v>
      </c>
      <c r="AW51" s="953">
        <f>IFERROR(VLOOKUP($AO51,costs!$A$2:$I$2905,AW$2,FALSE),0)</f>
        <v>0</v>
      </c>
      <c r="AY51" s="40" t="s">
        <v>352</v>
      </c>
      <c r="AZ51" s="372">
        <f>IFERROR(VLOOKUP($AY51,costs!$A$2:$I$2905,AZ$2,FALSE),0)</f>
        <v>0</v>
      </c>
      <c r="BA51" s="372">
        <f>IFERROR(VLOOKUP($AY51,costs!$A$2:$I$2905,BA$2,FALSE),0)</f>
        <v>0</v>
      </c>
      <c r="BB51" s="372">
        <f>IFERROR(VLOOKUP($AY51,costs!$A$2:$I$2905,BB$2,FALSE),0)</f>
        <v>0</v>
      </c>
      <c r="BC51" s="372">
        <f>IFERROR(VLOOKUP($AY51,costs!$A$2:$I$2905,BC$2,FALSE),0)</f>
        <v>0</v>
      </c>
      <c r="BD51" s="372">
        <f>IFERROR(VLOOKUP($AY51,costs!$A$2:$I$2905,BD$2,FALSE),0)</f>
        <v>0</v>
      </c>
      <c r="BE51" s="372">
        <f>IFERROR(VLOOKUP($AY51,costs!$A$2:$I$2905,BE$2,FALSE),0)</f>
        <v>0</v>
      </c>
      <c r="BF51" s="372">
        <f>IFERROR(VLOOKUP($AY51,costs!$A$2:$I$2905,BF$2,FALSE),0)</f>
        <v>0</v>
      </c>
      <c r="BG51" s="372">
        <f>IFERROR(VLOOKUP($AY51,costs!$A$2:$I$2905,BG$2,FALSE),0)</f>
        <v>0</v>
      </c>
    </row>
    <row r="52" spans="21:59" x14ac:dyDescent="0.35">
      <c r="U52" s="40" t="s">
        <v>2051</v>
      </c>
      <c r="V52" s="372">
        <f>IFERROR(VLOOKUP($U52,costs!$A$2:$I$2905,V$2,FALSE),0)</f>
        <v>0</v>
      </c>
      <c r="W52" s="372">
        <f>IFERROR(VLOOKUP($U52,costs!$A$2:$I$2905,W$2,FALSE),0)</f>
        <v>0</v>
      </c>
      <c r="X52" s="372">
        <f>IFERROR(VLOOKUP($U52,costs!$A$2:$I$2905,X$2,FALSE),0)</f>
        <v>0</v>
      </c>
      <c r="Y52" s="372">
        <f>IFERROR(VLOOKUP($U52,costs!$A$2:$I$2905,Y$2,FALSE),0)</f>
        <v>0</v>
      </c>
      <c r="Z52" s="372">
        <f>IFERROR(VLOOKUP($U52,costs!$A$2:$I$2905,Z$2,FALSE),0)</f>
        <v>0</v>
      </c>
      <c r="AA52" s="372">
        <f>IFERROR(VLOOKUP($U52,costs!$A$2:$I$2905,AA$2,FALSE),0)</f>
        <v>0</v>
      </c>
      <c r="AB52" s="372">
        <f>IFERROR(VLOOKUP($U52,costs!$A$2:$I$2905,AB$2,FALSE),0)</f>
        <v>0</v>
      </c>
      <c r="AC52" s="372">
        <f>IFERROR(VLOOKUP($U52,costs!$A$2:$I$2905,AC$2,FALSE),0)</f>
        <v>0</v>
      </c>
      <c r="AE52" s="949" t="s">
        <v>385</v>
      </c>
      <c r="AF52" s="372">
        <f>IFERROR(VLOOKUP($AE52,costs!$A$2:$I$2905,AF$2,FALSE),0)</f>
        <v>0</v>
      </c>
      <c r="AG52" s="372">
        <f>IFERROR(VLOOKUP($AE52,costs!$A$2:$I$2905,AG$2,FALSE),0)</f>
        <v>0</v>
      </c>
      <c r="AH52" s="372">
        <f>IFERROR(VLOOKUP($AE52,costs!$A$2:$I$2905,AH$2,FALSE),0)</f>
        <v>0</v>
      </c>
      <c r="AI52" s="372">
        <f>IFERROR(VLOOKUP($AE52,costs!$A$2:$I$2905,AI$2,FALSE),0)</f>
        <v>0</v>
      </c>
      <c r="AJ52" s="372">
        <f>IFERROR(VLOOKUP($AE52,costs!$A$2:$I$2905,AJ$2,FALSE),0)</f>
        <v>0</v>
      </c>
      <c r="AK52" s="372">
        <f>IFERROR(VLOOKUP($AE52,costs!$A$2:$I$2905,AK$2,FALSE),0)</f>
        <v>0</v>
      </c>
      <c r="AL52" s="372">
        <f>IFERROR(VLOOKUP($AE52,costs!$A$2:$I$2905,AL$2,FALSE),0)</f>
        <v>0</v>
      </c>
      <c r="AM52" s="372">
        <f>IFERROR(VLOOKUP($AE52,costs!$A$2:$I$2905,AM$2,FALSE),0)</f>
        <v>0</v>
      </c>
      <c r="AO52" s="949" t="s">
        <v>4245</v>
      </c>
      <c r="AP52" s="953">
        <f>IFERROR(VLOOKUP($AO52,costs!$A$2:$I$2905,AP$2,FALSE),0)</f>
        <v>0</v>
      </c>
      <c r="AQ52" s="953">
        <f>IFERROR(VLOOKUP($AO52,costs!$A$2:$I$2905,AQ$2,FALSE),0)</f>
        <v>0</v>
      </c>
      <c r="AR52" s="953">
        <f>IFERROR(VLOOKUP($AO52,costs!$A$2:$I$2905,AR$2,FALSE),0)</f>
        <v>0</v>
      </c>
      <c r="AS52" s="953">
        <f>IFERROR(VLOOKUP($AO52,costs!$A$2:$I$2905,AS$2,FALSE),0)</f>
        <v>0</v>
      </c>
      <c r="AT52" s="953">
        <f>IFERROR(VLOOKUP($AO52,costs!$A$2:$I$2905,AT$2,FALSE),0)</f>
        <v>0</v>
      </c>
      <c r="AU52" s="953">
        <f>IFERROR(VLOOKUP($AO52,costs!$A$2:$I$2905,AU$2,FALSE),0)</f>
        <v>0</v>
      </c>
      <c r="AV52" s="953">
        <f>IFERROR(VLOOKUP($AO52,costs!$A$2:$I$2905,AV$2,FALSE),0)</f>
        <v>0</v>
      </c>
      <c r="AW52" s="953">
        <f>IFERROR(VLOOKUP($AO52,costs!$A$2:$I$2905,AW$2,FALSE),0)</f>
        <v>0</v>
      </c>
      <c r="AY52" s="949" t="s">
        <v>315</v>
      </c>
      <c r="AZ52" s="372">
        <f>IFERROR(VLOOKUP($AY52,costs!$A$2:$I$2905,AZ$2,FALSE),0)</f>
        <v>0</v>
      </c>
      <c r="BA52" s="372">
        <f>IFERROR(VLOOKUP($AY52,costs!$A$2:$I$2905,BA$2,FALSE),0)</f>
        <v>0</v>
      </c>
      <c r="BB52" s="372">
        <f>IFERROR(VLOOKUP($AY52,costs!$A$2:$I$2905,BB$2,FALSE),0)</f>
        <v>0</v>
      </c>
      <c r="BC52" s="372">
        <f>IFERROR(VLOOKUP($AY52,costs!$A$2:$I$2905,BC$2,FALSE),0)</f>
        <v>0</v>
      </c>
      <c r="BD52" s="372">
        <f>IFERROR(VLOOKUP($AY52,costs!$A$2:$I$2905,BD$2,FALSE),0)</f>
        <v>0</v>
      </c>
      <c r="BE52" s="372">
        <f>IFERROR(VLOOKUP($AY52,costs!$A$2:$I$2905,BE$2,FALSE),0)</f>
        <v>0</v>
      </c>
      <c r="BF52" s="372">
        <f>IFERROR(VLOOKUP($AY52,costs!$A$2:$I$2905,BF$2,FALSE),0)</f>
        <v>0</v>
      </c>
      <c r="BG52" s="372">
        <f>IFERROR(VLOOKUP($AY52,costs!$A$2:$I$2905,BG$2,FALSE),0)</f>
        <v>0</v>
      </c>
    </row>
    <row r="53" spans="21:59" x14ac:dyDescent="0.35">
      <c r="U53" s="949" t="s">
        <v>318</v>
      </c>
      <c r="V53" s="372">
        <f>IFERROR(VLOOKUP($U53,costs!$A$2:$I$2905,V$2,FALSE),0)</f>
        <v>0</v>
      </c>
      <c r="W53" s="372">
        <f>IFERROR(VLOOKUP($U53,costs!$A$2:$I$2905,W$2,FALSE),0)</f>
        <v>0</v>
      </c>
      <c r="X53" s="372">
        <f>IFERROR(VLOOKUP($U53,costs!$A$2:$I$2905,X$2,FALSE),0)</f>
        <v>0</v>
      </c>
      <c r="Y53" s="372">
        <f>IFERROR(VLOOKUP($U53,costs!$A$2:$I$2905,Y$2,FALSE),0)</f>
        <v>0</v>
      </c>
      <c r="Z53" s="372">
        <f>IFERROR(VLOOKUP($U53,costs!$A$2:$I$2905,Z$2,FALSE),0)</f>
        <v>0</v>
      </c>
      <c r="AA53" s="372">
        <f>IFERROR(VLOOKUP($U53,costs!$A$2:$I$2905,AA$2,FALSE),0)</f>
        <v>0</v>
      </c>
      <c r="AB53" s="372">
        <f>IFERROR(VLOOKUP($U53,costs!$A$2:$I$2905,AB$2,FALSE),0)</f>
        <v>0</v>
      </c>
      <c r="AC53" s="372">
        <f>IFERROR(VLOOKUP($U53,costs!$A$2:$I$2905,AC$2,FALSE),0)</f>
        <v>0</v>
      </c>
      <c r="AE53" s="949" t="s">
        <v>463</v>
      </c>
      <c r="AF53" s="372">
        <f>IFERROR(VLOOKUP($AE53,costs!$A$2:$I$2905,AF$2,FALSE),0)</f>
        <v>0</v>
      </c>
      <c r="AG53" s="372">
        <f>IFERROR(VLOOKUP($AE53,costs!$A$2:$I$2905,AG$2,FALSE),0)</f>
        <v>0</v>
      </c>
      <c r="AH53" s="372">
        <f>IFERROR(VLOOKUP($AE53,costs!$A$2:$I$2905,AH$2,FALSE),0)</f>
        <v>0</v>
      </c>
      <c r="AI53" s="372">
        <f>IFERROR(VLOOKUP($AE53,costs!$A$2:$I$2905,AI$2,FALSE),0)</f>
        <v>0</v>
      </c>
      <c r="AJ53" s="372">
        <f>IFERROR(VLOOKUP($AE53,costs!$A$2:$I$2905,AJ$2,FALSE),0)</f>
        <v>0</v>
      </c>
      <c r="AK53" s="372">
        <f>IFERROR(VLOOKUP($AE53,costs!$A$2:$I$2905,AK$2,FALSE),0)</f>
        <v>0</v>
      </c>
      <c r="AL53" s="372">
        <f>IFERROR(VLOOKUP($AE53,costs!$A$2:$I$2905,AL$2,FALSE),0)</f>
        <v>0</v>
      </c>
      <c r="AM53" s="372">
        <f>IFERROR(VLOOKUP($AE53,costs!$A$2:$I$2905,AM$2,FALSE),0)</f>
        <v>0</v>
      </c>
      <c r="AO53" s="949" t="s">
        <v>4244</v>
      </c>
      <c r="AP53" s="953">
        <f>IFERROR(VLOOKUP($AO53,costs!$A$2:$I$2905,AP$2,FALSE),0)</f>
        <v>0</v>
      </c>
      <c r="AQ53" s="953">
        <f>IFERROR(VLOOKUP($AO53,costs!$A$2:$I$2905,AQ$2,FALSE),0)</f>
        <v>0</v>
      </c>
      <c r="AR53" s="953">
        <f>IFERROR(VLOOKUP($AO53,costs!$A$2:$I$2905,AR$2,FALSE),0)</f>
        <v>0</v>
      </c>
      <c r="AS53" s="953">
        <f>IFERROR(VLOOKUP($AO53,costs!$A$2:$I$2905,AS$2,FALSE),0)</f>
        <v>0</v>
      </c>
      <c r="AT53" s="953">
        <f>IFERROR(VLOOKUP($AO53,costs!$A$2:$I$2905,AT$2,FALSE),0)</f>
        <v>0</v>
      </c>
      <c r="AU53" s="953">
        <f>IFERROR(VLOOKUP($AO53,costs!$A$2:$I$2905,AU$2,FALSE),0)</f>
        <v>0</v>
      </c>
      <c r="AV53" s="953">
        <f>IFERROR(VLOOKUP($AO53,costs!$A$2:$I$2905,AV$2,FALSE),0)</f>
        <v>0</v>
      </c>
      <c r="AW53" s="953">
        <f>IFERROR(VLOOKUP($AO53,costs!$A$2:$I$2905,AW$2,FALSE),0)</f>
        <v>0</v>
      </c>
      <c r="AY53" s="40" t="s">
        <v>316</v>
      </c>
      <c r="AZ53" s="372">
        <f>IFERROR(VLOOKUP($AY53,costs!$A$2:$I$2905,AZ$2,FALSE),0)</f>
        <v>0</v>
      </c>
      <c r="BA53" s="372">
        <f>IFERROR(VLOOKUP($AY53,costs!$A$2:$I$2905,BA$2,FALSE),0)</f>
        <v>0</v>
      </c>
      <c r="BB53" s="372">
        <f>IFERROR(VLOOKUP($AY53,costs!$A$2:$I$2905,BB$2,FALSE),0)</f>
        <v>0</v>
      </c>
      <c r="BC53" s="372">
        <f>IFERROR(VLOOKUP($AY53,costs!$A$2:$I$2905,BC$2,FALSE),0)</f>
        <v>0</v>
      </c>
      <c r="BD53" s="372">
        <f>IFERROR(VLOOKUP($AY53,costs!$A$2:$I$2905,BD$2,FALSE),0)</f>
        <v>0</v>
      </c>
      <c r="BE53" s="372">
        <f>IFERROR(VLOOKUP($AY53,costs!$A$2:$I$2905,BE$2,FALSE),0)</f>
        <v>0</v>
      </c>
      <c r="BF53" s="372">
        <f>IFERROR(VLOOKUP($AY53,costs!$A$2:$I$2905,BF$2,FALSE),0)</f>
        <v>0</v>
      </c>
      <c r="BG53" s="372">
        <f>IFERROR(VLOOKUP($AY53,costs!$A$2:$I$2905,BG$2,FALSE),0)</f>
        <v>0</v>
      </c>
    </row>
    <row r="54" spans="21:59" x14ac:dyDescent="0.35">
      <c r="U54" s="40" t="s">
        <v>319</v>
      </c>
      <c r="V54" s="372">
        <f>IFERROR(VLOOKUP($U54,costs!$A$2:$I$2905,V$2,FALSE),0)</f>
        <v>0</v>
      </c>
      <c r="W54" s="372">
        <f>IFERROR(VLOOKUP($U54,costs!$A$2:$I$2905,W$2,FALSE),0)</f>
        <v>0</v>
      </c>
      <c r="X54" s="372">
        <f>IFERROR(VLOOKUP($U54,costs!$A$2:$I$2905,X$2,FALSE),0)</f>
        <v>0</v>
      </c>
      <c r="Y54" s="372">
        <f>IFERROR(VLOOKUP($U54,costs!$A$2:$I$2905,Y$2,FALSE),0)</f>
        <v>0</v>
      </c>
      <c r="Z54" s="372">
        <f>IFERROR(VLOOKUP($U54,costs!$A$2:$I$2905,Z$2,FALSE),0)</f>
        <v>0</v>
      </c>
      <c r="AA54" s="372">
        <f>IFERROR(VLOOKUP($U54,costs!$A$2:$I$2905,AA$2,FALSE),0)</f>
        <v>0</v>
      </c>
      <c r="AB54" s="372">
        <f>IFERROR(VLOOKUP($U54,costs!$A$2:$I$2905,AB$2,FALSE),0)</f>
        <v>0</v>
      </c>
      <c r="AC54" s="372">
        <f>IFERROR(VLOOKUP($U54,costs!$A$2:$I$2905,AC$2,FALSE),0)</f>
        <v>0</v>
      </c>
      <c r="AE54" s="40" t="s">
        <v>469</v>
      </c>
      <c r="AF54" s="372">
        <f>IFERROR(VLOOKUP($AE54,costs!$A$2:$I$2905,AF$2,FALSE),0)</f>
        <v>0</v>
      </c>
      <c r="AG54" s="372">
        <f>IFERROR(VLOOKUP($AE54,costs!$A$2:$I$2905,AG$2,FALSE),0)</f>
        <v>0</v>
      </c>
      <c r="AH54" s="372">
        <f>IFERROR(VLOOKUP($AE54,costs!$A$2:$I$2905,AH$2,FALSE),0)</f>
        <v>0</v>
      </c>
      <c r="AI54" s="372">
        <f>IFERROR(VLOOKUP($AE54,costs!$A$2:$I$2905,AI$2,FALSE),0)</f>
        <v>0</v>
      </c>
      <c r="AJ54" s="372">
        <f>IFERROR(VLOOKUP($AE54,costs!$A$2:$I$2905,AJ$2,FALSE),0)</f>
        <v>0</v>
      </c>
      <c r="AK54" s="372">
        <f>IFERROR(VLOOKUP($AE54,costs!$A$2:$I$2905,AK$2,FALSE),0)</f>
        <v>0</v>
      </c>
      <c r="AL54" s="372">
        <f>IFERROR(VLOOKUP($AE54,costs!$A$2:$I$2905,AL$2,FALSE),0)</f>
        <v>0</v>
      </c>
      <c r="AM54" s="372">
        <f>IFERROR(VLOOKUP($AE54,costs!$A$2:$I$2905,AM$2,FALSE),0)</f>
        <v>0</v>
      </c>
      <c r="AO54" s="40" t="s">
        <v>14</v>
      </c>
      <c r="AP54" s="953">
        <f>IFERROR(VLOOKUP($AO54,costs!$A$2:$I$2905,AP$2,FALSE),0)</f>
        <v>0</v>
      </c>
      <c r="AQ54" s="953">
        <f>IFERROR(VLOOKUP($AO54,costs!$A$2:$I$2905,AQ$2,FALSE),0)</f>
        <v>0</v>
      </c>
      <c r="AR54" s="953">
        <f>IFERROR(VLOOKUP($AO54,costs!$A$2:$I$2905,AR$2,FALSE),0)</f>
        <v>0</v>
      </c>
      <c r="AS54" s="953">
        <f>IFERROR(VLOOKUP($AO54,costs!$A$2:$I$2905,AS$2,FALSE),0)</f>
        <v>0</v>
      </c>
      <c r="AT54" s="953">
        <f>IFERROR(VLOOKUP($AO54,costs!$A$2:$I$2905,AT$2,FALSE),0)</f>
        <v>0</v>
      </c>
      <c r="AU54" s="953">
        <f>IFERROR(VLOOKUP($AO54,costs!$A$2:$I$2905,AU$2,FALSE),0)</f>
        <v>0</v>
      </c>
      <c r="AV54" s="953">
        <f>IFERROR(VLOOKUP($AO54,costs!$A$2:$I$2905,AV$2,FALSE),0)</f>
        <v>0</v>
      </c>
      <c r="AW54" s="953">
        <f>IFERROR(VLOOKUP($AO54,costs!$A$2:$I$2905,AW$2,FALSE),0)</f>
        <v>0</v>
      </c>
      <c r="AY54" s="949" t="s">
        <v>307</v>
      </c>
      <c r="AZ54" s="372">
        <f>IFERROR(VLOOKUP($AY54,costs!$A$2:$I$2905,AZ$2,FALSE),0)</f>
        <v>0</v>
      </c>
      <c r="BA54" s="372">
        <f>IFERROR(VLOOKUP($AY54,costs!$A$2:$I$2905,BA$2,FALSE),0)</f>
        <v>0</v>
      </c>
      <c r="BB54" s="372">
        <f>IFERROR(VLOOKUP($AY54,costs!$A$2:$I$2905,BB$2,FALSE),0)</f>
        <v>0</v>
      </c>
      <c r="BC54" s="372">
        <f>IFERROR(VLOOKUP($AY54,costs!$A$2:$I$2905,BC$2,FALSE),0)</f>
        <v>0</v>
      </c>
      <c r="BD54" s="372">
        <f>IFERROR(VLOOKUP($AY54,costs!$A$2:$I$2905,BD$2,FALSE),0)</f>
        <v>0</v>
      </c>
      <c r="BE54" s="372">
        <f>IFERROR(VLOOKUP($AY54,costs!$A$2:$I$2905,BE$2,FALSE),0)</f>
        <v>0</v>
      </c>
      <c r="BF54" s="372">
        <f>IFERROR(VLOOKUP($AY54,costs!$A$2:$I$2905,BF$2,FALSE),0)</f>
        <v>0</v>
      </c>
      <c r="BG54" s="372">
        <f>IFERROR(VLOOKUP($AY54,costs!$A$2:$I$2905,BG$2,FALSE),0)</f>
        <v>0</v>
      </c>
    </row>
    <row r="55" spans="21:59" x14ac:dyDescent="0.35">
      <c r="U55" s="949" t="s">
        <v>2052</v>
      </c>
      <c r="V55" s="372">
        <f>IFERROR(VLOOKUP($U55,costs!$A$2:$I$2905,V$2,FALSE),0)</f>
        <v>0</v>
      </c>
      <c r="W55" s="372">
        <f>IFERROR(VLOOKUP($U55,costs!$A$2:$I$2905,W$2,FALSE),0)</f>
        <v>0</v>
      </c>
      <c r="X55" s="372">
        <f>IFERROR(VLOOKUP($U55,costs!$A$2:$I$2905,X$2,FALSE),0)</f>
        <v>0</v>
      </c>
      <c r="Y55" s="372">
        <f>IFERROR(VLOOKUP($U55,costs!$A$2:$I$2905,Y$2,FALSE),0)</f>
        <v>0</v>
      </c>
      <c r="Z55" s="372">
        <f>IFERROR(VLOOKUP($U55,costs!$A$2:$I$2905,Z$2,FALSE),0)</f>
        <v>0</v>
      </c>
      <c r="AA55" s="372">
        <f>IFERROR(VLOOKUP($U55,costs!$A$2:$I$2905,AA$2,FALSE),0)</f>
        <v>0</v>
      </c>
      <c r="AB55" s="372">
        <f>IFERROR(VLOOKUP($U55,costs!$A$2:$I$2905,AB$2,FALSE),0)</f>
        <v>0</v>
      </c>
      <c r="AC55" s="372">
        <f>IFERROR(VLOOKUP($U55,costs!$A$2:$I$2905,AC$2,FALSE),0)</f>
        <v>0</v>
      </c>
      <c r="AE55" s="40" t="s">
        <v>516</v>
      </c>
      <c r="AF55" s="372">
        <f>IFERROR(VLOOKUP($AE55,costs!$A$2:$I$2905,AF$2,FALSE),0)</f>
        <v>0</v>
      </c>
      <c r="AG55" s="372">
        <f>IFERROR(VLOOKUP($AE55,costs!$A$2:$I$2905,AG$2,FALSE),0)</f>
        <v>0</v>
      </c>
      <c r="AH55" s="372">
        <f>IFERROR(VLOOKUP($AE55,costs!$A$2:$I$2905,AH$2,FALSE),0)</f>
        <v>0</v>
      </c>
      <c r="AI55" s="372">
        <f>IFERROR(VLOOKUP($AE55,costs!$A$2:$I$2905,AI$2,FALSE),0)</f>
        <v>0</v>
      </c>
      <c r="AJ55" s="372">
        <f>IFERROR(VLOOKUP($AE55,costs!$A$2:$I$2905,AJ$2,FALSE),0)</f>
        <v>0</v>
      </c>
      <c r="AK55" s="372">
        <f>IFERROR(VLOOKUP($AE55,costs!$A$2:$I$2905,AK$2,FALSE),0)</f>
        <v>0</v>
      </c>
      <c r="AL55" s="372">
        <f>IFERROR(VLOOKUP($AE55,costs!$A$2:$I$2905,AL$2,FALSE),0)</f>
        <v>0</v>
      </c>
      <c r="AM55" s="372">
        <f>IFERROR(VLOOKUP($AE55,costs!$A$2:$I$2905,AM$2,FALSE),0)</f>
        <v>0</v>
      </c>
      <c r="AO55" s="949" t="s">
        <v>464</v>
      </c>
      <c r="AP55" s="953">
        <f>IFERROR(VLOOKUP($AO55,costs!$A$2:$I$2905,AP$2,FALSE),0)</f>
        <v>0</v>
      </c>
      <c r="AQ55" s="953">
        <f>IFERROR(VLOOKUP($AO55,costs!$A$2:$I$2905,AQ$2,FALSE),0)</f>
        <v>0</v>
      </c>
      <c r="AR55" s="953">
        <f>IFERROR(VLOOKUP($AO55,costs!$A$2:$I$2905,AR$2,FALSE),0)</f>
        <v>0</v>
      </c>
      <c r="AS55" s="953">
        <f>IFERROR(VLOOKUP($AO55,costs!$A$2:$I$2905,AS$2,FALSE),0)</f>
        <v>0</v>
      </c>
      <c r="AT55" s="953">
        <f>IFERROR(VLOOKUP($AO55,costs!$A$2:$I$2905,AT$2,FALSE),0)</f>
        <v>0</v>
      </c>
      <c r="AU55" s="953">
        <f>IFERROR(VLOOKUP($AO55,costs!$A$2:$I$2905,AU$2,FALSE),0)</f>
        <v>0</v>
      </c>
      <c r="AV55" s="953">
        <f>IFERROR(VLOOKUP($AO55,costs!$A$2:$I$2905,AV$2,FALSE),0)</f>
        <v>0</v>
      </c>
      <c r="AW55" s="953">
        <f>IFERROR(VLOOKUP($AO55,costs!$A$2:$I$2905,AW$2,FALSE),0)</f>
        <v>0</v>
      </c>
      <c r="AY55" s="40" t="s">
        <v>2090</v>
      </c>
      <c r="AZ55" s="372">
        <f>IFERROR(VLOOKUP($AY55,costs!$A$2:$I$2905,AZ$2,FALSE),0)</f>
        <v>0</v>
      </c>
      <c r="BA55" s="372">
        <f>IFERROR(VLOOKUP($AY55,costs!$A$2:$I$2905,BA$2,FALSE),0)</f>
        <v>0</v>
      </c>
      <c r="BB55" s="372">
        <f>IFERROR(VLOOKUP($AY55,costs!$A$2:$I$2905,BB$2,FALSE),0)</f>
        <v>0</v>
      </c>
      <c r="BC55" s="372">
        <f>IFERROR(VLOOKUP($AY55,costs!$A$2:$I$2905,BC$2,FALSE),0)</f>
        <v>0</v>
      </c>
      <c r="BD55" s="372">
        <f>IFERROR(VLOOKUP($AY55,costs!$A$2:$I$2905,BD$2,FALSE),0)</f>
        <v>0</v>
      </c>
      <c r="BE55" s="372">
        <f>IFERROR(VLOOKUP($AY55,costs!$A$2:$I$2905,BE$2,FALSE),0)</f>
        <v>0</v>
      </c>
      <c r="BF55" s="372">
        <f>IFERROR(VLOOKUP($AY55,costs!$A$2:$I$2905,BF$2,FALSE),0)</f>
        <v>0</v>
      </c>
      <c r="BG55" s="372">
        <f>IFERROR(VLOOKUP($AY55,costs!$A$2:$I$2905,BG$2,FALSE),0)</f>
        <v>0</v>
      </c>
    </row>
    <row r="56" spans="21:59" x14ac:dyDescent="0.35">
      <c r="U56" s="40" t="s">
        <v>375</v>
      </c>
      <c r="V56" s="372">
        <f>IFERROR(VLOOKUP($U56,costs!$A$2:$I$2905,V$2,FALSE),0)</f>
        <v>0</v>
      </c>
      <c r="W56" s="372">
        <f>IFERROR(VLOOKUP($U56,costs!$A$2:$I$2905,W$2,FALSE),0)</f>
        <v>0</v>
      </c>
      <c r="X56" s="372">
        <f>IFERROR(VLOOKUP($U56,costs!$A$2:$I$2905,X$2,FALSE),0)</f>
        <v>0</v>
      </c>
      <c r="Y56" s="372">
        <f>IFERROR(VLOOKUP($U56,costs!$A$2:$I$2905,Y$2,FALSE),0)</f>
        <v>0</v>
      </c>
      <c r="Z56" s="372">
        <f>IFERROR(VLOOKUP($U56,costs!$A$2:$I$2905,Z$2,FALSE),0)</f>
        <v>0</v>
      </c>
      <c r="AA56" s="372">
        <f>IFERROR(VLOOKUP($U56,costs!$A$2:$I$2905,AA$2,FALSE),0)</f>
        <v>0</v>
      </c>
      <c r="AB56" s="372">
        <f>IFERROR(VLOOKUP($U56,costs!$A$2:$I$2905,AB$2,FALSE),0)</f>
        <v>0</v>
      </c>
      <c r="AC56" s="372">
        <f>IFERROR(VLOOKUP($U56,costs!$A$2:$I$2905,AC$2,FALSE),0)</f>
        <v>0</v>
      </c>
      <c r="AE56" s="949" t="s">
        <v>415</v>
      </c>
      <c r="AF56" s="372">
        <f>IFERROR(VLOOKUP($AE56,costs!$A$2:$I$2905,AF$2,FALSE),0)</f>
        <v>0</v>
      </c>
      <c r="AG56" s="372">
        <f>IFERROR(VLOOKUP($AE56,costs!$A$2:$I$2905,AG$2,FALSE),0)</f>
        <v>0</v>
      </c>
      <c r="AH56" s="372">
        <f>IFERROR(VLOOKUP($AE56,costs!$A$2:$I$2905,AH$2,FALSE),0)</f>
        <v>0</v>
      </c>
      <c r="AI56" s="372">
        <f>IFERROR(VLOOKUP($AE56,costs!$A$2:$I$2905,AI$2,FALSE),0)</f>
        <v>0</v>
      </c>
      <c r="AJ56" s="372">
        <f>IFERROR(VLOOKUP($AE56,costs!$A$2:$I$2905,AJ$2,FALSE),0)</f>
        <v>0</v>
      </c>
      <c r="AK56" s="372">
        <f>IFERROR(VLOOKUP($AE56,costs!$A$2:$I$2905,AK$2,FALSE),0)</f>
        <v>0</v>
      </c>
      <c r="AL56" s="372">
        <f>IFERROR(VLOOKUP($AE56,costs!$A$2:$I$2905,AL$2,FALSE),0)</f>
        <v>0</v>
      </c>
      <c r="AM56" s="372">
        <f>IFERROR(VLOOKUP($AE56,costs!$A$2:$I$2905,AM$2,FALSE),0)</f>
        <v>0</v>
      </c>
      <c r="AO56" s="40" t="s">
        <v>462</v>
      </c>
      <c r="AP56" s="953">
        <f>IFERROR(VLOOKUP($AO56,costs!$A$2:$I$2905,AP$2,FALSE),0)</f>
        <v>0</v>
      </c>
      <c r="AQ56" s="953">
        <f>IFERROR(VLOOKUP($AO56,costs!$A$2:$I$2905,AQ$2,FALSE),0)</f>
        <v>0</v>
      </c>
      <c r="AR56" s="953">
        <f>IFERROR(VLOOKUP($AO56,costs!$A$2:$I$2905,AR$2,FALSE),0)</f>
        <v>0</v>
      </c>
      <c r="AS56" s="953">
        <f>IFERROR(VLOOKUP($AO56,costs!$A$2:$I$2905,AS$2,FALSE),0)</f>
        <v>0</v>
      </c>
      <c r="AT56" s="953">
        <f>IFERROR(VLOOKUP($AO56,costs!$A$2:$I$2905,AT$2,FALSE),0)</f>
        <v>0</v>
      </c>
      <c r="AU56" s="953">
        <f>IFERROR(VLOOKUP($AO56,costs!$A$2:$I$2905,AU$2,FALSE),0)</f>
        <v>0</v>
      </c>
      <c r="AV56" s="953">
        <f>IFERROR(VLOOKUP($AO56,costs!$A$2:$I$2905,AV$2,FALSE),0)</f>
        <v>0</v>
      </c>
      <c r="AW56" s="953">
        <f>IFERROR(VLOOKUP($AO56,costs!$A$2:$I$2905,AW$2,FALSE),0)</f>
        <v>0</v>
      </c>
      <c r="AY56" s="949" t="s">
        <v>308</v>
      </c>
      <c r="AZ56" s="372">
        <f>IFERROR(VLOOKUP($AY56,costs!$A$2:$I$2905,AZ$2,FALSE),0)</f>
        <v>0</v>
      </c>
      <c r="BA56" s="372">
        <f>IFERROR(VLOOKUP($AY56,costs!$A$2:$I$2905,BA$2,FALSE),0)</f>
        <v>0</v>
      </c>
      <c r="BB56" s="372">
        <f>IFERROR(VLOOKUP($AY56,costs!$A$2:$I$2905,BB$2,FALSE),0)</f>
        <v>0</v>
      </c>
      <c r="BC56" s="372">
        <f>IFERROR(VLOOKUP($AY56,costs!$A$2:$I$2905,BC$2,FALSE),0)</f>
        <v>0</v>
      </c>
      <c r="BD56" s="372">
        <f>IFERROR(VLOOKUP($AY56,costs!$A$2:$I$2905,BD$2,FALSE),0)</f>
        <v>0</v>
      </c>
      <c r="BE56" s="372">
        <f>IFERROR(VLOOKUP($AY56,costs!$A$2:$I$2905,BE$2,FALSE),0)</f>
        <v>0</v>
      </c>
      <c r="BF56" s="372">
        <f>IFERROR(VLOOKUP($AY56,costs!$A$2:$I$2905,BF$2,FALSE),0)</f>
        <v>0</v>
      </c>
      <c r="BG56" s="372">
        <f>IFERROR(VLOOKUP($AY56,costs!$A$2:$I$2905,BG$2,FALSE),0)</f>
        <v>0</v>
      </c>
    </row>
    <row r="57" spans="21:59" x14ac:dyDescent="0.35">
      <c r="U57" s="949" t="s">
        <v>376</v>
      </c>
      <c r="V57" s="372">
        <f>IFERROR(VLOOKUP($U57,costs!$A$2:$I$2905,V$2,FALSE),0)</f>
        <v>0</v>
      </c>
      <c r="W57" s="372">
        <f>IFERROR(VLOOKUP($U57,costs!$A$2:$I$2905,W$2,FALSE),0)</f>
        <v>0</v>
      </c>
      <c r="X57" s="372">
        <f>IFERROR(VLOOKUP($U57,costs!$A$2:$I$2905,X$2,FALSE),0)</f>
        <v>0</v>
      </c>
      <c r="Y57" s="372">
        <f>IFERROR(VLOOKUP($U57,costs!$A$2:$I$2905,Y$2,FALSE),0)</f>
        <v>0</v>
      </c>
      <c r="Z57" s="372">
        <f>IFERROR(VLOOKUP($U57,costs!$A$2:$I$2905,Z$2,FALSE),0)</f>
        <v>0</v>
      </c>
      <c r="AA57" s="372">
        <f>IFERROR(VLOOKUP($U57,costs!$A$2:$I$2905,AA$2,FALSE),0)</f>
        <v>0</v>
      </c>
      <c r="AB57" s="372">
        <f>IFERROR(VLOOKUP($U57,costs!$A$2:$I$2905,AB$2,FALSE),0)</f>
        <v>0</v>
      </c>
      <c r="AC57" s="372">
        <f>IFERROR(VLOOKUP($U57,costs!$A$2:$I$2905,AC$2,FALSE),0)</f>
        <v>0</v>
      </c>
      <c r="AE57" s="949" t="s">
        <v>524</v>
      </c>
      <c r="AF57" s="372">
        <f>IFERROR(VLOOKUP($AE57,costs!$A$2:$I$2905,AF$2,FALSE),0)</f>
        <v>0</v>
      </c>
      <c r="AG57" s="372">
        <f>IFERROR(VLOOKUP($AE57,costs!$A$2:$I$2905,AG$2,FALSE),0)</f>
        <v>0</v>
      </c>
      <c r="AH57" s="372">
        <f>IFERROR(VLOOKUP($AE57,costs!$A$2:$I$2905,AH$2,FALSE),0)</f>
        <v>0</v>
      </c>
      <c r="AI57" s="372">
        <f>IFERROR(VLOOKUP($AE57,costs!$A$2:$I$2905,AI$2,FALSE),0)</f>
        <v>0</v>
      </c>
      <c r="AJ57" s="372">
        <f>IFERROR(VLOOKUP($AE57,costs!$A$2:$I$2905,AJ$2,FALSE),0)</f>
        <v>0</v>
      </c>
      <c r="AK57" s="372">
        <f>IFERROR(VLOOKUP($AE57,costs!$A$2:$I$2905,AK$2,FALSE),0)</f>
        <v>0</v>
      </c>
      <c r="AL57" s="372">
        <f>IFERROR(VLOOKUP($AE57,costs!$A$2:$I$2905,AL$2,FALSE),0)</f>
        <v>0</v>
      </c>
      <c r="AM57" s="372">
        <f>IFERROR(VLOOKUP($AE57,costs!$A$2:$I$2905,AM$2,FALSE),0)</f>
        <v>0</v>
      </c>
      <c r="AO57" s="949" t="s">
        <v>467</v>
      </c>
      <c r="AP57" s="953">
        <f>IFERROR(VLOOKUP($AO57,costs!$A$2:$I$2905,AP$2,FALSE),0)</f>
        <v>0</v>
      </c>
      <c r="AQ57" s="953">
        <f>IFERROR(VLOOKUP($AO57,costs!$A$2:$I$2905,AQ$2,FALSE),0)</f>
        <v>0</v>
      </c>
      <c r="AR57" s="953">
        <f>IFERROR(VLOOKUP($AO57,costs!$A$2:$I$2905,AR$2,FALSE),0)</f>
        <v>0</v>
      </c>
      <c r="AS57" s="953">
        <f>IFERROR(VLOOKUP($AO57,costs!$A$2:$I$2905,AS$2,FALSE),0)</f>
        <v>0</v>
      </c>
      <c r="AT57" s="953">
        <f>IFERROR(VLOOKUP($AO57,costs!$A$2:$I$2905,AT$2,FALSE),0)</f>
        <v>0</v>
      </c>
      <c r="AU57" s="953">
        <f>IFERROR(VLOOKUP($AO57,costs!$A$2:$I$2905,AU$2,FALSE),0)</f>
        <v>0</v>
      </c>
      <c r="AV57" s="953">
        <f>IFERROR(VLOOKUP($AO57,costs!$A$2:$I$2905,AV$2,FALSE),0)</f>
        <v>0</v>
      </c>
      <c r="AW57" s="953">
        <f>IFERROR(VLOOKUP($AO57,costs!$A$2:$I$2905,AW$2,FALSE),0)</f>
        <v>0</v>
      </c>
      <c r="AY57" s="40" t="s">
        <v>216</v>
      </c>
      <c r="AZ57" s="372">
        <f>IFERROR(VLOOKUP($AY57,costs!$A$2:$I$2905,AZ$2,FALSE),0)</f>
        <v>0</v>
      </c>
      <c r="BA57" s="372">
        <f>IFERROR(VLOOKUP($AY57,costs!$A$2:$I$2905,BA$2,FALSE),0)</f>
        <v>0</v>
      </c>
      <c r="BB57" s="372">
        <f>IFERROR(VLOOKUP($AY57,costs!$A$2:$I$2905,BB$2,FALSE),0)</f>
        <v>0</v>
      </c>
      <c r="BC57" s="372">
        <f>IFERROR(VLOOKUP($AY57,costs!$A$2:$I$2905,BC$2,FALSE),0)</f>
        <v>0</v>
      </c>
      <c r="BD57" s="372">
        <f>IFERROR(VLOOKUP($AY57,costs!$A$2:$I$2905,BD$2,FALSE),0)</f>
        <v>0</v>
      </c>
      <c r="BE57" s="372">
        <f>IFERROR(VLOOKUP($AY57,costs!$A$2:$I$2905,BE$2,FALSE),0)</f>
        <v>0</v>
      </c>
      <c r="BF57" s="372">
        <f>IFERROR(VLOOKUP($AY57,costs!$A$2:$I$2905,BF$2,FALSE),0)</f>
        <v>0</v>
      </c>
      <c r="BG57" s="372">
        <f>IFERROR(VLOOKUP($AY57,costs!$A$2:$I$2905,BG$2,FALSE),0)</f>
        <v>0</v>
      </c>
    </row>
    <row r="58" spans="21:59" x14ac:dyDescent="0.35">
      <c r="U58" s="40" t="s">
        <v>2053</v>
      </c>
      <c r="V58" s="372">
        <f>IFERROR(VLOOKUP($U58,costs!$A$2:$I$2905,V$2,FALSE),0)</f>
        <v>0</v>
      </c>
      <c r="W58" s="372">
        <f>IFERROR(VLOOKUP($U58,costs!$A$2:$I$2905,W$2,FALSE),0)</f>
        <v>0</v>
      </c>
      <c r="X58" s="372">
        <f>IFERROR(VLOOKUP($U58,costs!$A$2:$I$2905,X$2,FALSE),0)</f>
        <v>0</v>
      </c>
      <c r="Y58" s="372">
        <f>IFERROR(VLOOKUP($U58,costs!$A$2:$I$2905,Y$2,FALSE),0)</f>
        <v>0</v>
      </c>
      <c r="Z58" s="372">
        <f>IFERROR(VLOOKUP($U58,costs!$A$2:$I$2905,Z$2,FALSE),0)</f>
        <v>0</v>
      </c>
      <c r="AA58" s="372">
        <f>IFERROR(VLOOKUP($U58,costs!$A$2:$I$2905,AA$2,FALSE),0)</f>
        <v>0</v>
      </c>
      <c r="AB58" s="372">
        <f>IFERROR(VLOOKUP($U58,costs!$A$2:$I$2905,AB$2,FALSE),0)</f>
        <v>0</v>
      </c>
      <c r="AC58" s="372">
        <f>IFERROR(VLOOKUP($U58,costs!$A$2:$I$2905,AC$2,FALSE),0)</f>
        <v>0</v>
      </c>
      <c r="AE58" s="40" t="s">
        <v>177</v>
      </c>
      <c r="AF58" s="372">
        <f>IFERROR(VLOOKUP($AE58,costs!$A$2:$I$2905,AF$2,FALSE),0)</f>
        <v>0</v>
      </c>
      <c r="AG58" s="372">
        <f>IFERROR(VLOOKUP($AE58,costs!$A$2:$I$2905,AG$2,FALSE),0)</f>
        <v>0</v>
      </c>
      <c r="AH58" s="372">
        <f>IFERROR(VLOOKUP($AE58,costs!$A$2:$I$2905,AH$2,FALSE),0)</f>
        <v>0</v>
      </c>
      <c r="AI58" s="372">
        <f>IFERROR(VLOOKUP($AE58,costs!$A$2:$I$2905,AI$2,FALSE),0)</f>
        <v>0</v>
      </c>
      <c r="AJ58" s="372">
        <f>IFERROR(VLOOKUP($AE58,costs!$A$2:$I$2905,AJ$2,FALSE),0)</f>
        <v>0</v>
      </c>
      <c r="AK58" s="372">
        <f>IFERROR(VLOOKUP($AE58,costs!$A$2:$I$2905,AK$2,FALSE),0)</f>
        <v>0</v>
      </c>
      <c r="AL58" s="372">
        <f>IFERROR(VLOOKUP($AE58,costs!$A$2:$I$2905,AL$2,FALSE),0)</f>
        <v>0</v>
      </c>
      <c r="AM58" s="372">
        <f>IFERROR(VLOOKUP($AE58,costs!$A$2:$I$2905,AM$2,FALSE),0)</f>
        <v>0</v>
      </c>
      <c r="AO58" s="40" t="s">
        <v>468</v>
      </c>
      <c r="AP58" s="953">
        <f>IFERROR(VLOOKUP($AO58,costs!$A$2:$I$2905,AP$2,FALSE),0)</f>
        <v>0</v>
      </c>
      <c r="AQ58" s="953">
        <f>IFERROR(VLOOKUP($AO58,costs!$A$2:$I$2905,AQ$2,FALSE),0)</f>
        <v>0</v>
      </c>
      <c r="AR58" s="953">
        <f>IFERROR(VLOOKUP($AO58,costs!$A$2:$I$2905,AR$2,FALSE),0)</f>
        <v>0</v>
      </c>
      <c r="AS58" s="953">
        <f>IFERROR(VLOOKUP($AO58,costs!$A$2:$I$2905,AS$2,FALSE),0)</f>
        <v>0</v>
      </c>
      <c r="AT58" s="953">
        <f>IFERROR(VLOOKUP($AO58,costs!$A$2:$I$2905,AT$2,FALSE),0)</f>
        <v>0</v>
      </c>
      <c r="AU58" s="953">
        <f>IFERROR(VLOOKUP($AO58,costs!$A$2:$I$2905,AU$2,FALSE),0)</f>
        <v>0</v>
      </c>
      <c r="AV58" s="953">
        <f>IFERROR(VLOOKUP($AO58,costs!$A$2:$I$2905,AV$2,FALSE),0)</f>
        <v>0</v>
      </c>
      <c r="AW58" s="953">
        <f>IFERROR(VLOOKUP($AO58,costs!$A$2:$I$2905,AW$2,FALSE),0)</f>
        <v>0</v>
      </c>
      <c r="AY58" s="949" t="s">
        <v>348</v>
      </c>
      <c r="AZ58" s="372">
        <f>IFERROR(VLOOKUP($AY58,costs!$A$2:$I$2905,AZ$2,FALSE),0)</f>
        <v>0</v>
      </c>
      <c r="BA58" s="372">
        <f>IFERROR(VLOOKUP($AY58,costs!$A$2:$I$2905,BA$2,FALSE),0)</f>
        <v>0</v>
      </c>
      <c r="BB58" s="372">
        <f>IFERROR(VLOOKUP($AY58,costs!$A$2:$I$2905,BB$2,FALSE),0)</f>
        <v>0</v>
      </c>
      <c r="BC58" s="372">
        <f>IFERROR(VLOOKUP($AY58,costs!$A$2:$I$2905,BC$2,FALSE),0)</f>
        <v>0</v>
      </c>
      <c r="BD58" s="372">
        <f>IFERROR(VLOOKUP($AY58,costs!$A$2:$I$2905,BD$2,FALSE),0)</f>
        <v>0</v>
      </c>
      <c r="BE58" s="372">
        <f>IFERROR(VLOOKUP($AY58,costs!$A$2:$I$2905,BE$2,FALSE),0)</f>
        <v>0</v>
      </c>
      <c r="BF58" s="372">
        <f>IFERROR(VLOOKUP($AY58,costs!$A$2:$I$2905,BF$2,FALSE),0)</f>
        <v>0</v>
      </c>
      <c r="BG58" s="372">
        <f>IFERROR(VLOOKUP($AY58,costs!$A$2:$I$2905,BG$2,FALSE),0)</f>
        <v>0</v>
      </c>
    </row>
    <row r="59" spans="21:59" x14ac:dyDescent="0.35">
      <c r="U59" s="949" t="s">
        <v>364</v>
      </c>
      <c r="V59" s="372">
        <f>IFERROR(VLOOKUP($U59,costs!$A$2:$I$2905,V$2,FALSE),0)</f>
        <v>0</v>
      </c>
      <c r="W59" s="372">
        <f>IFERROR(VLOOKUP($U59,costs!$A$2:$I$2905,W$2,FALSE),0)</f>
        <v>0</v>
      </c>
      <c r="X59" s="372">
        <f>IFERROR(VLOOKUP($U59,costs!$A$2:$I$2905,X$2,FALSE),0)</f>
        <v>0</v>
      </c>
      <c r="Y59" s="372">
        <f>IFERROR(VLOOKUP($U59,costs!$A$2:$I$2905,Y$2,FALSE),0)</f>
        <v>0</v>
      </c>
      <c r="Z59" s="372">
        <f>IFERROR(VLOOKUP($U59,costs!$A$2:$I$2905,Z$2,FALSE),0)</f>
        <v>0</v>
      </c>
      <c r="AA59" s="372">
        <f>IFERROR(VLOOKUP($U59,costs!$A$2:$I$2905,AA$2,FALSE),0)</f>
        <v>0</v>
      </c>
      <c r="AB59" s="372">
        <f>IFERROR(VLOOKUP($U59,costs!$A$2:$I$2905,AB$2,FALSE),0)</f>
        <v>0</v>
      </c>
      <c r="AC59" s="372">
        <f>IFERROR(VLOOKUP($U59,costs!$A$2:$I$2905,AC$2,FALSE),0)</f>
        <v>0</v>
      </c>
      <c r="AE59" s="40" t="s">
        <v>2453</v>
      </c>
      <c r="AF59" s="372">
        <f>IFERROR(VLOOKUP($AE59,costs!$A$2:$I$2905,AF$2,FALSE),0)</f>
        <v>0</v>
      </c>
      <c r="AG59" s="372">
        <f>IFERROR(VLOOKUP($AE59,costs!$A$2:$I$2905,AG$2,FALSE),0)</f>
        <v>0</v>
      </c>
      <c r="AH59" s="372">
        <f>IFERROR(VLOOKUP($AE59,costs!$A$2:$I$2905,AH$2,FALSE),0)</f>
        <v>0</v>
      </c>
      <c r="AI59" s="372">
        <f>IFERROR(VLOOKUP($AE59,costs!$A$2:$I$2905,AI$2,FALSE),0)</f>
        <v>0</v>
      </c>
      <c r="AJ59" s="372">
        <f>IFERROR(VLOOKUP($AE59,costs!$A$2:$I$2905,AJ$2,FALSE),0)</f>
        <v>0</v>
      </c>
      <c r="AK59" s="372">
        <f>IFERROR(VLOOKUP($AE59,costs!$A$2:$I$2905,AK$2,FALSE),0)</f>
        <v>0</v>
      </c>
      <c r="AL59" s="372">
        <f>IFERROR(VLOOKUP($AE59,costs!$A$2:$I$2905,AL$2,FALSE),0)</f>
        <v>0</v>
      </c>
      <c r="AM59" s="372">
        <f>IFERROR(VLOOKUP($AE59,costs!$A$2:$I$2905,AM$2,FALSE),0)</f>
        <v>0</v>
      </c>
      <c r="AO59" s="949" t="s">
        <v>184</v>
      </c>
      <c r="AP59" s="953">
        <f>IFERROR(VLOOKUP($AO59,costs!$A$2:$I$2905,AP$2,FALSE),0)</f>
        <v>0</v>
      </c>
      <c r="AQ59" s="953">
        <f>IFERROR(VLOOKUP($AO59,costs!$A$2:$I$2905,AQ$2,FALSE),0)</f>
        <v>0</v>
      </c>
      <c r="AR59" s="953">
        <f>IFERROR(VLOOKUP($AO59,costs!$A$2:$I$2905,AR$2,FALSE),0)</f>
        <v>0</v>
      </c>
      <c r="AS59" s="953">
        <f>IFERROR(VLOOKUP($AO59,costs!$A$2:$I$2905,AS$2,FALSE),0)</f>
        <v>0</v>
      </c>
      <c r="AT59" s="953">
        <f>IFERROR(VLOOKUP($AO59,costs!$A$2:$I$2905,AT$2,FALSE),0)</f>
        <v>0</v>
      </c>
      <c r="AU59" s="953">
        <f>IFERROR(VLOOKUP($AO59,costs!$A$2:$I$2905,AU$2,FALSE),0)</f>
        <v>0</v>
      </c>
      <c r="AV59" s="953">
        <f>IFERROR(VLOOKUP($AO59,costs!$A$2:$I$2905,AV$2,FALSE),0)</f>
        <v>0</v>
      </c>
      <c r="AW59" s="953">
        <f>IFERROR(VLOOKUP($AO59,costs!$A$2:$I$2905,AW$2,FALSE),0)</f>
        <v>0</v>
      </c>
      <c r="AY59" s="949" t="s">
        <v>320</v>
      </c>
      <c r="AZ59" s="372">
        <f>IFERROR(VLOOKUP($AY59,costs!$A$2:$I$2905,AZ$2,FALSE),0)</f>
        <v>0</v>
      </c>
      <c r="BA59" s="372">
        <f>IFERROR(VLOOKUP($AY59,costs!$A$2:$I$2905,BA$2,FALSE),0)</f>
        <v>0</v>
      </c>
      <c r="BB59" s="372">
        <f>IFERROR(VLOOKUP($AY59,costs!$A$2:$I$2905,BB$2,FALSE),0)</f>
        <v>0</v>
      </c>
      <c r="BC59" s="372">
        <f>IFERROR(VLOOKUP($AY59,costs!$A$2:$I$2905,BC$2,FALSE),0)</f>
        <v>0</v>
      </c>
      <c r="BD59" s="372">
        <f>IFERROR(VLOOKUP($AY59,costs!$A$2:$I$2905,BD$2,FALSE),0)</f>
        <v>0</v>
      </c>
      <c r="BE59" s="372">
        <f>IFERROR(VLOOKUP($AY59,costs!$A$2:$I$2905,BE$2,FALSE),0)</f>
        <v>0</v>
      </c>
      <c r="BF59" s="372">
        <f>IFERROR(VLOOKUP($AY59,costs!$A$2:$I$2905,BF$2,FALSE),0)</f>
        <v>0</v>
      </c>
      <c r="BG59" s="372">
        <f>IFERROR(VLOOKUP($AY59,costs!$A$2:$I$2905,BG$2,FALSE),0)</f>
        <v>0</v>
      </c>
    </row>
    <row r="60" spans="21:59" x14ac:dyDescent="0.35">
      <c r="U60" s="40" t="s">
        <v>2054</v>
      </c>
      <c r="V60" s="372">
        <f>IFERROR(VLOOKUP($U60,costs!$A$2:$I$2905,V$2,FALSE),0)</f>
        <v>0</v>
      </c>
      <c r="W60" s="372">
        <f>IFERROR(VLOOKUP($U60,costs!$A$2:$I$2905,W$2,FALSE),0)</f>
        <v>0</v>
      </c>
      <c r="X60" s="372">
        <f>IFERROR(VLOOKUP($U60,costs!$A$2:$I$2905,X$2,FALSE),0)</f>
        <v>0</v>
      </c>
      <c r="Y60" s="372">
        <f>IFERROR(VLOOKUP($U60,costs!$A$2:$I$2905,Y$2,FALSE),0)</f>
        <v>0</v>
      </c>
      <c r="Z60" s="372">
        <f>IFERROR(VLOOKUP($U60,costs!$A$2:$I$2905,Z$2,FALSE),0)</f>
        <v>0</v>
      </c>
      <c r="AA60" s="372">
        <f>IFERROR(VLOOKUP($U60,costs!$A$2:$I$2905,AA$2,FALSE),0)</f>
        <v>0</v>
      </c>
      <c r="AB60" s="372">
        <f>IFERROR(VLOOKUP($U60,costs!$A$2:$I$2905,AB$2,FALSE),0)</f>
        <v>0</v>
      </c>
      <c r="AC60" s="372">
        <f>IFERROR(VLOOKUP($U60,costs!$A$2:$I$2905,AC$2,FALSE),0)</f>
        <v>0</v>
      </c>
      <c r="AE60" s="40" t="s">
        <v>2556</v>
      </c>
      <c r="AF60" s="372">
        <f>IFERROR(VLOOKUP($AE60,costs!$A$2:$I$2905,AF$2,FALSE),0)</f>
        <v>0</v>
      </c>
      <c r="AG60" s="372">
        <f>IFERROR(VLOOKUP($AE60,costs!$A$2:$I$2905,AG$2,FALSE),0)</f>
        <v>0</v>
      </c>
      <c r="AH60" s="372">
        <f>IFERROR(VLOOKUP($AE60,costs!$A$2:$I$2905,AH$2,FALSE),0)</f>
        <v>0</v>
      </c>
      <c r="AI60" s="372">
        <f>IFERROR(VLOOKUP($AE60,costs!$A$2:$I$2905,AI$2,FALSE),0)</f>
        <v>0</v>
      </c>
      <c r="AJ60" s="372">
        <f>IFERROR(VLOOKUP($AE60,costs!$A$2:$I$2905,AJ$2,FALSE),0)</f>
        <v>0</v>
      </c>
      <c r="AK60" s="372">
        <f>IFERROR(VLOOKUP($AE60,costs!$A$2:$I$2905,AK$2,FALSE),0)</f>
        <v>0</v>
      </c>
      <c r="AL60" s="372">
        <f>IFERROR(VLOOKUP($AE60,costs!$A$2:$I$2905,AL$2,FALSE),0)</f>
        <v>0</v>
      </c>
      <c r="AM60" s="372">
        <f>IFERROR(VLOOKUP($AE60,costs!$A$2:$I$2905,AM$2,FALSE),0)</f>
        <v>0</v>
      </c>
      <c r="AO60" s="40" t="s">
        <v>2102</v>
      </c>
      <c r="AP60" s="953">
        <f>IFERROR(VLOOKUP($AO60,costs!$A$2:$I$2905,AP$2,FALSE),0)</f>
        <v>0</v>
      </c>
      <c r="AQ60" s="953">
        <f>IFERROR(VLOOKUP($AO60,costs!$A$2:$I$2905,AQ$2,FALSE),0)</f>
        <v>0</v>
      </c>
      <c r="AR60" s="953">
        <f>IFERROR(VLOOKUP($AO60,costs!$A$2:$I$2905,AR$2,FALSE),0)</f>
        <v>0</v>
      </c>
      <c r="AS60" s="953">
        <f>IFERROR(VLOOKUP($AO60,costs!$A$2:$I$2905,AS$2,FALSE),0)</f>
        <v>0</v>
      </c>
      <c r="AT60" s="953">
        <f>IFERROR(VLOOKUP($AO60,costs!$A$2:$I$2905,AT$2,FALSE),0)</f>
        <v>0</v>
      </c>
      <c r="AU60" s="953">
        <f>IFERROR(VLOOKUP($AO60,costs!$A$2:$I$2905,AU$2,FALSE),0)</f>
        <v>0</v>
      </c>
      <c r="AV60" s="953">
        <f>IFERROR(VLOOKUP($AO60,costs!$A$2:$I$2905,AV$2,FALSE),0)</f>
        <v>0</v>
      </c>
      <c r="AW60" s="953">
        <f>IFERROR(VLOOKUP($AO60,costs!$A$2:$I$2905,AW$2,FALSE),0)</f>
        <v>0</v>
      </c>
      <c r="AY60" s="949" t="s">
        <v>224</v>
      </c>
      <c r="AZ60" s="372">
        <f>IFERROR(VLOOKUP($AY60,costs!$A$2:$I$2905,AZ$2,FALSE),0)</f>
        <v>0</v>
      </c>
      <c r="BA60" s="372">
        <f>IFERROR(VLOOKUP($AY60,costs!$A$2:$I$2905,BA$2,FALSE),0)</f>
        <v>0</v>
      </c>
      <c r="BB60" s="372">
        <f>IFERROR(VLOOKUP($AY60,costs!$A$2:$I$2905,BB$2,FALSE),0)</f>
        <v>0</v>
      </c>
      <c r="BC60" s="372">
        <f>IFERROR(VLOOKUP($AY60,costs!$A$2:$I$2905,BC$2,FALSE),0)</f>
        <v>0</v>
      </c>
      <c r="BD60" s="372">
        <f>IFERROR(VLOOKUP($AY60,costs!$A$2:$I$2905,BD$2,FALSE),0)</f>
        <v>0</v>
      </c>
      <c r="BE60" s="372">
        <f>IFERROR(VLOOKUP($AY60,costs!$A$2:$I$2905,BE$2,FALSE),0)</f>
        <v>0</v>
      </c>
      <c r="BF60" s="372">
        <f>IFERROR(VLOOKUP($AY60,costs!$A$2:$I$2905,BF$2,FALSE),0)</f>
        <v>0</v>
      </c>
      <c r="BG60" s="372">
        <f>IFERROR(VLOOKUP($AY60,costs!$A$2:$I$2905,BG$2,FALSE),0)</f>
        <v>0</v>
      </c>
    </row>
    <row r="61" spans="21:59" x14ac:dyDescent="0.35">
      <c r="U61" s="949" t="s">
        <v>342</v>
      </c>
      <c r="V61" s="372">
        <f>IFERROR(VLOOKUP($U61,costs!$A$2:$I$2905,V$2,FALSE),0)</f>
        <v>0</v>
      </c>
      <c r="W61" s="372">
        <f>IFERROR(VLOOKUP($U61,costs!$A$2:$I$2905,W$2,FALSE),0)</f>
        <v>0</v>
      </c>
      <c r="X61" s="372">
        <f>IFERROR(VLOOKUP($U61,costs!$A$2:$I$2905,X$2,FALSE),0)</f>
        <v>0</v>
      </c>
      <c r="Y61" s="372">
        <f>IFERROR(VLOOKUP($U61,costs!$A$2:$I$2905,Y$2,FALSE),0)</f>
        <v>0</v>
      </c>
      <c r="Z61" s="372">
        <f>IFERROR(VLOOKUP($U61,costs!$A$2:$I$2905,Z$2,FALSE),0)</f>
        <v>0</v>
      </c>
      <c r="AA61" s="372">
        <f>IFERROR(VLOOKUP($U61,costs!$A$2:$I$2905,AA$2,FALSE),0)</f>
        <v>0</v>
      </c>
      <c r="AB61" s="372">
        <f>IFERROR(VLOOKUP($U61,costs!$A$2:$I$2905,AB$2,FALSE),0)</f>
        <v>0</v>
      </c>
      <c r="AC61" s="372">
        <f>IFERROR(VLOOKUP($U61,costs!$A$2:$I$2905,AC$2,FALSE),0)</f>
        <v>0</v>
      </c>
      <c r="AE61" s="40" t="s">
        <v>2454</v>
      </c>
      <c r="AF61" s="372">
        <f>IFERROR(VLOOKUP($AE61,costs!$A$2:$I$2905,AF$2,FALSE),0)</f>
        <v>0</v>
      </c>
      <c r="AG61" s="372">
        <f>IFERROR(VLOOKUP($AE61,costs!$A$2:$I$2905,AG$2,FALSE),0)</f>
        <v>0</v>
      </c>
      <c r="AH61" s="372">
        <f>IFERROR(VLOOKUP($AE61,costs!$A$2:$I$2905,AH$2,FALSE),0)</f>
        <v>0</v>
      </c>
      <c r="AI61" s="372">
        <f>IFERROR(VLOOKUP($AE61,costs!$A$2:$I$2905,AI$2,FALSE),0)</f>
        <v>0</v>
      </c>
      <c r="AJ61" s="372">
        <f>IFERROR(VLOOKUP($AE61,costs!$A$2:$I$2905,AJ$2,FALSE),0)</f>
        <v>0</v>
      </c>
      <c r="AK61" s="372">
        <f>IFERROR(VLOOKUP($AE61,costs!$A$2:$I$2905,AK$2,FALSE),0)</f>
        <v>0</v>
      </c>
      <c r="AL61" s="372">
        <f>IFERROR(VLOOKUP($AE61,costs!$A$2:$I$2905,AL$2,FALSE),0)</f>
        <v>0</v>
      </c>
      <c r="AM61" s="372">
        <f>IFERROR(VLOOKUP($AE61,costs!$A$2:$I$2905,AM$2,FALSE),0)</f>
        <v>0</v>
      </c>
      <c r="AO61" s="949" t="s">
        <v>1681</v>
      </c>
      <c r="AP61" s="953">
        <f>IFERROR(VLOOKUP($AO61,costs!$A$2:$I$2905,AP$2,FALSE),0)</f>
        <v>0</v>
      </c>
      <c r="AQ61" s="953">
        <f>IFERROR(VLOOKUP($AO61,costs!$A$2:$I$2905,AQ$2,FALSE),0)</f>
        <v>0</v>
      </c>
      <c r="AR61" s="953">
        <f>IFERROR(VLOOKUP($AO61,costs!$A$2:$I$2905,AR$2,FALSE),0)</f>
        <v>0</v>
      </c>
      <c r="AS61" s="953">
        <f>IFERROR(VLOOKUP($AO61,costs!$A$2:$I$2905,AS$2,FALSE),0)</f>
        <v>0</v>
      </c>
      <c r="AT61" s="953">
        <f>IFERROR(VLOOKUP($AO61,costs!$A$2:$I$2905,AT$2,FALSE),0)</f>
        <v>0</v>
      </c>
      <c r="AU61" s="953">
        <f>IFERROR(VLOOKUP($AO61,costs!$A$2:$I$2905,AU$2,FALSE),0)</f>
        <v>0</v>
      </c>
      <c r="AV61" s="953">
        <f>IFERROR(VLOOKUP($AO61,costs!$A$2:$I$2905,AV$2,FALSE),0)</f>
        <v>0</v>
      </c>
      <c r="AW61" s="953">
        <f>IFERROR(VLOOKUP($AO61,costs!$A$2:$I$2905,AW$2,FALSE),0)</f>
        <v>0</v>
      </c>
      <c r="AY61" s="40" t="s">
        <v>309</v>
      </c>
      <c r="AZ61" s="372">
        <f>IFERROR(VLOOKUP($AY61,costs!$A$2:$I$2905,AZ$2,FALSE),0)</f>
        <v>0</v>
      </c>
      <c r="BA61" s="372">
        <f>IFERROR(VLOOKUP($AY61,costs!$A$2:$I$2905,BA$2,FALSE),0)</f>
        <v>0</v>
      </c>
      <c r="BB61" s="372">
        <f>IFERROR(VLOOKUP($AY61,costs!$A$2:$I$2905,BB$2,FALSE),0)</f>
        <v>0</v>
      </c>
      <c r="BC61" s="372">
        <f>IFERROR(VLOOKUP($AY61,costs!$A$2:$I$2905,BC$2,FALSE),0)</f>
        <v>0</v>
      </c>
      <c r="BD61" s="372">
        <f>IFERROR(VLOOKUP($AY61,costs!$A$2:$I$2905,BD$2,FALSE),0)</f>
        <v>0</v>
      </c>
      <c r="BE61" s="372">
        <f>IFERROR(VLOOKUP($AY61,costs!$A$2:$I$2905,BE$2,FALSE),0)</f>
        <v>0</v>
      </c>
      <c r="BF61" s="372">
        <f>IFERROR(VLOOKUP($AY61,costs!$A$2:$I$2905,BF$2,FALSE),0)</f>
        <v>0</v>
      </c>
      <c r="BG61" s="372">
        <f>IFERROR(VLOOKUP($AY61,costs!$A$2:$I$2905,BG$2,FALSE),0)</f>
        <v>0</v>
      </c>
    </row>
    <row r="62" spans="21:59" x14ac:dyDescent="0.35">
      <c r="U62" s="40" t="s">
        <v>2055</v>
      </c>
      <c r="V62" s="372">
        <f>IFERROR(VLOOKUP($U62,costs!$A$2:$I$2905,V$2,FALSE),0)</f>
        <v>0</v>
      </c>
      <c r="W62" s="372">
        <f>IFERROR(VLOOKUP($U62,costs!$A$2:$I$2905,W$2,FALSE),0)</f>
        <v>0</v>
      </c>
      <c r="X62" s="372">
        <f>IFERROR(VLOOKUP($U62,costs!$A$2:$I$2905,X$2,FALSE),0)</f>
        <v>0</v>
      </c>
      <c r="Y62" s="372">
        <f>IFERROR(VLOOKUP($U62,costs!$A$2:$I$2905,Y$2,FALSE),0)</f>
        <v>0</v>
      </c>
      <c r="Z62" s="372">
        <f>IFERROR(VLOOKUP($U62,costs!$A$2:$I$2905,Z$2,FALSE),0)</f>
        <v>0</v>
      </c>
      <c r="AA62" s="372">
        <f>IFERROR(VLOOKUP($U62,costs!$A$2:$I$2905,AA$2,FALSE),0)</f>
        <v>0</v>
      </c>
      <c r="AB62" s="372">
        <f>IFERROR(VLOOKUP($U62,costs!$A$2:$I$2905,AB$2,FALSE),0)</f>
        <v>0</v>
      </c>
      <c r="AC62" s="372">
        <f>IFERROR(VLOOKUP($U62,costs!$A$2:$I$2905,AC$2,FALSE),0)</f>
        <v>0</v>
      </c>
      <c r="AE62" s="40" t="s">
        <v>2557</v>
      </c>
      <c r="AF62" s="372">
        <f>IFERROR(VLOOKUP($AE62,costs!$A$2:$I$2905,AF$2,FALSE),0)</f>
        <v>0</v>
      </c>
      <c r="AG62" s="372">
        <f>IFERROR(VLOOKUP($AE62,costs!$A$2:$I$2905,AG$2,FALSE),0)</f>
        <v>0</v>
      </c>
      <c r="AH62" s="372">
        <f>IFERROR(VLOOKUP($AE62,costs!$A$2:$I$2905,AH$2,FALSE),0)</f>
        <v>0</v>
      </c>
      <c r="AI62" s="372">
        <f>IFERROR(VLOOKUP($AE62,costs!$A$2:$I$2905,AI$2,FALSE),0)</f>
        <v>0</v>
      </c>
      <c r="AJ62" s="372">
        <f>IFERROR(VLOOKUP($AE62,costs!$A$2:$I$2905,AJ$2,FALSE),0)</f>
        <v>0</v>
      </c>
      <c r="AK62" s="372">
        <f>IFERROR(VLOOKUP($AE62,costs!$A$2:$I$2905,AK$2,FALSE),0)</f>
        <v>0</v>
      </c>
      <c r="AL62" s="372">
        <f>IFERROR(VLOOKUP($AE62,costs!$A$2:$I$2905,AL$2,FALSE),0)</f>
        <v>0</v>
      </c>
      <c r="AM62" s="372">
        <f>IFERROR(VLOOKUP($AE62,costs!$A$2:$I$2905,AM$2,FALSE),0)</f>
        <v>0</v>
      </c>
      <c r="AO62" s="40" t="s">
        <v>1678</v>
      </c>
      <c r="AP62" s="953">
        <f>IFERROR(VLOOKUP($AO62,costs!$A$2:$I$2905,AP$2,FALSE),0)</f>
        <v>0</v>
      </c>
      <c r="AQ62" s="953">
        <f>IFERROR(VLOOKUP($AO62,costs!$A$2:$I$2905,AQ$2,FALSE),0)</f>
        <v>0</v>
      </c>
      <c r="AR62" s="953">
        <f>IFERROR(VLOOKUP($AO62,costs!$A$2:$I$2905,AR$2,FALSE),0)</f>
        <v>0</v>
      </c>
      <c r="AS62" s="953">
        <f>IFERROR(VLOOKUP($AO62,costs!$A$2:$I$2905,AS$2,FALSE),0)</f>
        <v>0</v>
      </c>
      <c r="AT62" s="953">
        <f>IFERROR(VLOOKUP($AO62,costs!$A$2:$I$2905,AT$2,FALSE),0)</f>
        <v>0</v>
      </c>
      <c r="AU62" s="953">
        <f>IFERROR(VLOOKUP($AO62,costs!$A$2:$I$2905,AU$2,FALSE),0)</f>
        <v>0</v>
      </c>
      <c r="AV62" s="953">
        <f>IFERROR(VLOOKUP($AO62,costs!$A$2:$I$2905,AV$2,FALSE),0)</f>
        <v>0</v>
      </c>
      <c r="AW62" s="953">
        <f>IFERROR(VLOOKUP($AO62,costs!$A$2:$I$2905,AW$2,FALSE),0)</f>
        <v>0</v>
      </c>
      <c r="AY62" s="949" t="s">
        <v>489</v>
      </c>
      <c r="AZ62" s="372">
        <f>IFERROR(VLOOKUP($AY62,costs!$A$2:$I$2905,AZ$2,FALSE),0)</f>
        <v>0</v>
      </c>
      <c r="BA62" s="372">
        <f>IFERROR(VLOOKUP($AY62,costs!$A$2:$I$2905,BA$2,FALSE),0)</f>
        <v>0</v>
      </c>
      <c r="BB62" s="372">
        <f>IFERROR(VLOOKUP($AY62,costs!$A$2:$I$2905,BB$2,FALSE),0)</f>
        <v>0</v>
      </c>
      <c r="BC62" s="372">
        <f>IFERROR(VLOOKUP($AY62,costs!$A$2:$I$2905,BC$2,FALSE),0)</f>
        <v>0</v>
      </c>
      <c r="BD62" s="372">
        <f>IFERROR(VLOOKUP($AY62,costs!$A$2:$I$2905,BD$2,FALSE),0)</f>
        <v>0</v>
      </c>
      <c r="BE62" s="372">
        <f>IFERROR(VLOOKUP($AY62,costs!$A$2:$I$2905,BE$2,FALSE),0)</f>
        <v>0</v>
      </c>
      <c r="BF62" s="372">
        <f>IFERROR(VLOOKUP($AY62,costs!$A$2:$I$2905,BF$2,FALSE),0)</f>
        <v>0</v>
      </c>
      <c r="BG62" s="372">
        <f>IFERROR(VLOOKUP($AY62,costs!$A$2:$I$2905,BG$2,FALSE),0)</f>
        <v>0</v>
      </c>
    </row>
    <row r="63" spans="21:59" x14ac:dyDescent="0.35">
      <c r="U63" s="949" t="s">
        <v>437</v>
      </c>
      <c r="V63" s="372">
        <f>IFERROR(VLOOKUP($U63,costs!$A$2:$I$2905,V$2,FALSE),0)</f>
        <v>0</v>
      </c>
      <c r="W63" s="372">
        <f>IFERROR(VLOOKUP($U63,costs!$A$2:$I$2905,W$2,FALSE),0)</f>
        <v>0</v>
      </c>
      <c r="X63" s="372">
        <f>IFERROR(VLOOKUP($U63,costs!$A$2:$I$2905,X$2,FALSE),0)</f>
        <v>0</v>
      </c>
      <c r="Y63" s="372">
        <f>IFERROR(VLOOKUP($U63,costs!$A$2:$I$2905,Y$2,FALSE),0)</f>
        <v>0</v>
      </c>
      <c r="Z63" s="372">
        <f>IFERROR(VLOOKUP($U63,costs!$A$2:$I$2905,Z$2,FALSE),0)</f>
        <v>0</v>
      </c>
      <c r="AA63" s="372">
        <f>IFERROR(VLOOKUP($U63,costs!$A$2:$I$2905,AA$2,FALSE),0)</f>
        <v>0</v>
      </c>
      <c r="AB63" s="372">
        <f>IFERROR(VLOOKUP($U63,costs!$A$2:$I$2905,AB$2,FALSE),0)</f>
        <v>0</v>
      </c>
      <c r="AC63" s="372">
        <f>IFERROR(VLOOKUP($U63,costs!$A$2:$I$2905,AC$2,FALSE),0)</f>
        <v>0</v>
      </c>
      <c r="AE63" s="40" t="s">
        <v>2558</v>
      </c>
      <c r="AF63" s="372">
        <f>IFERROR(VLOOKUP($AE63,costs!$A$2:$I$2905,AF$2,FALSE),0)</f>
        <v>0</v>
      </c>
      <c r="AG63" s="372">
        <f>IFERROR(VLOOKUP($AE63,costs!$A$2:$I$2905,AG$2,FALSE),0)</f>
        <v>0</v>
      </c>
      <c r="AH63" s="372">
        <f>IFERROR(VLOOKUP($AE63,costs!$A$2:$I$2905,AH$2,FALSE),0)</f>
        <v>0</v>
      </c>
      <c r="AI63" s="372">
        <f>IFERROR(VLOOKUP($AE63,costs!$A$2:$I$2905,AI$2,FALSE),0)</f>
        <v>0</v>
      </c>
      <c r="AJ63" s="372">
        <f>IFERROR(VLOOKUP($AE63,costs!$A$2:$I$2905,AJ$2,FALSE),0)</f>
        <v>0</v>
      </c>
      <c r="AK63" s="372">
        <f>IFERROR(VLOOKUP($AE63,costs!$A$2:$I$2905,AK$2,FALSE),0)</f>
        <v>0</v>
      </c>
      <c r="AL63" s="372">
        <f>IFERROR(VLOOKUP($AE63,costs!$A$2:$I$2905,AL$2,FALSE),0)</f>
        <v>0</v>
      </c>
      <c r="AM63" s="372">
        <f>IFERROR(VLOOKUP($AE63,costs!$A$2:$I$2905,AM$2,FALSE),0)</f>
        <v>0</v>
      </c>
      <c r="AO63" s="949" t="s">
        <v>1683</v>
      </c>
      <c r="AP63" s="953">
        <f>IFERROR(VLOOKUP($AO63,costs!$A$2:$I$2905,AP$2,FALSE),0)</f>
        <v>0</v>
      </c>
      <c r="AQ63" s="953">
        <f>IFERROR(VLOOKUP($AO63,costs!$A$2:$I$2905,AQ$2,FALSE),0)</f>
        <v>0</v>
      </c>
      <c r="AR63" s="953">
        <f>IFERROR(VLOOKUP($AO63,costs!$A$2:$I$2905,AR$2,FALSE),0)</f>
        <v>0</v>
      </c>
      <c r="AS63" s="953">
        <f>IFERROR(VLOOKUP($AO63,costs!$A$2:$I$2905,AS$2,FALSE),0)</f>
        <v>0</v>
      </c>
      <c r="AT63" s="953">
        <f>IFERROR(VLOOKUP($AO63,costs!$A$2:$I$2905,AT$2,FALSE),0)</f>
        <v>0</v>
      </c>
      <c r="AU63" s="953">
        <f>IFERROR(VLOOKUP($AO63,costs!$A$2:$I$2905,AU$2,FALSE),0)</f>
        <v>0</v>
      </c>
      <c r="AV63" s="953">
        <f>IFERROR(VLOOKUP($AO63,costs!$A$2:$I$2905,AV$2,FALSE),0)</f>
        <v>0</v>
      </c>
      <c r="AW63" s="953">
        <f>IFERROR(VLOOKUP($AO63,costs!$A$2:$I$2905,AW$2,FALSE),0)</f>
        <v>0</v>
      </c>
      <c r="AY63" s="40" t="s">
        <v>488</v>
      </c>
      <c r="AZ63" s="372">
        <f>IFERROR(VLOOKUP($AY63,costs!$A$2:$I$2905,AZ$2,FALSE),0)</f>
        <v>0</v>
      </c>
      <c r="BA63" s="372">
        <f>IFERROR(VLOOKUP($AY63,costs!$A$2:$I$2905,BA$2,FALSE),0)</f>
        <v>0</v>
      </c>
      <c r="BB63" s="372">
        <f>IFERROR(VLOOKUP($AY63,costs!$A$2:$I$2905,BB$2,FALSE),0)</f>
        <v>0</v>
      </c>
      <c r="BC63" s="372">
        <f>IFERROR(VLOOKUP($AY63,costs!$A$2:$I$2905,BC$2,FALSE),0)</f>
        <v>0</v>
      </c>
      <c r="BD63" s="372">
        <f>IFERROR(VLOOKUP($AY63,costs!$A$2:$I$2905,BD$2,FALSE),0)</f>
        <v>0</v>
      </c>
      <c r="BE63" s="372">
        <f>IFERROR(VLOOKUP($AY63,costs!$A$2:$I$2905,BE$2,FALSE),0)</f>
        <v>0</v>
      </c>
      <c r="BF63" s="372">
        <f>IFERROR(VLOOKUP($AY63,costs!$A$2:$I$2905,BF$2,FALSE),0)</f>
        <v>0</v>
      </c>
      <c r="BG63" s="372">
        <f>IFERROR(VLOOKUP($AY63,costs!$A$2:$I$2905,BG$2,FALSE),0)</f>
        <v>0</v>
      </c>
    </row>
    <row r="64" spans="21:59" x14ac:dyDescent="0.35">
      <c r="U64" s="40" t="s">
        <v>2056</v>
      </c>
      <c r="V64" s="372">
        <f>IFERROR(VLOOKUP($U64,costs!$A$2:$I$2905,V$2,FALSE),0)</f>
        <v>0</v>
      </c>
      <c r="W64" s="372">
        <f>IFERROR(VLOOKUP($U64,costs!$A$2:$I$2905,W$2,FALSE),0)</f>
        <v>0</v>
      </c>
      <c r="X64" s="372">
        <f>IFERROR(VLOOKUP($U64,costs!$A$2:$I$2905,X$2,FALSE),0)</f>
        <v>0</v>
      </c>
      <c r="Y64" s="372">
        <f>IFERROR(VLOOKUP($U64,costs!$A$2:$I$2905,Y$2,FALSE),0)</f>
        <v>0</v>
      </c>
      <c r="Z64" s="372">
        <f>IFERROR(VLOOKUP($U64,costs!$A$2:$I$2905,Z$2,FALSE),0)</f>
        <v>0</v>
      </c>
      <c r="AA64" s="372">
        <f>IFERROR(VLOOKUP($U64,costs!$A$2:$I$2905,AA$2,FALSE),0)</f>
        <v>0</v>
      </c>
      <c r="AB64" s="372">
        <f>IFERROR(VLOOKUP($U64,costs!$A$2:$I$2905,AB$2,FALSE),0)</f>
        <v>0</v>
      </c>
      <c r="AC64" s="372">
        <f>IFERROR(VLOOKUP($U64,costs!$A$2:$I$2905,AC$2,FALSE),0)</f>
        <v>0</v>
      </c>
      <c r="AE64" s="40" t="s">
        <v>2559</v>
      </c>
      <c r="AF64" s="372">
        <f>IFERROR(VLOOKUP($AE64,costs!$A$2:$I$2905,AF$2,FALSE),0)</f>
        <v>0</v>
      </c>
      <c r="AG64" s="372">
        <f>IFERROR(VLOOKUP($AE64,costs!$A$2:$I$2905,AG$2,FALSE),0)</f>
        <v>0</v>
      </c>
      <c r="AH64" s="372">
        <f>IFERROR(VLOOKUP($AE64,costs!$A$2:$I$2905,AH$2,FALSE),0)</f>
        <v>0</v>
      </c>
      <c r="AI64" s="372">
        <f>IFERROR(VLOOKUP($AE64,costs!$A$2:$I$2905,AI$2,FALSE),0)</f>
        <v>0</v>
      </c>
      <c r="AJ64" s="372">
        <f>IFERROR(VLOOKUP($AE64,costs!$A$2:$I$2905,AJ$2,FALSE),0)</f>
        <v>0</v>
      </c>
      <c r="AK64" s="372">
        <f>IFERROR(VLOOKUP($AE64,costs!$A$2:$I$2905,AK$2,FALSE),0)</f>
        <v>0</v>
      </c>
      <c r="AL64" s="372">
        <f>IFERROR(VLOOKUP($AE64,costs!$A$2:$I$2905,AL$2,FALSE),0)</f>
        <v>0</v>
      </c>
      <c r="AM64" s="372">
        <f>IFERROR(VLOOKUP($AE64,costs!$A$2:$I$2905,AM$2,FALSE),0)</f>
        <v>0</v>
      </c>
      <c r="AO64" s="40" t="s">
        <v>2103</v>
      </c>
      <c r="AP64" s="953">
        <f>IFERROR(VLOOKUP($AO64,costs!$A$2:$I$2905,AP$2,FALSE),0)</f>
        <v>0</v>
      </c>
      <c r="AQ64" s="953">
        <f>IFERROR(VLOOKUP($AO64,costs!$A$2:$I$2905,AQ$2,FALSE),0)</f>
        <v>0</v>
      </c>
      <c r="AR64" s="953">
        <f>IFERROR(VLOOKUP($AO64,costs!$A$2:$I$2905,AR$2,FALSE),0)</f>
        <v>0</v>
      </c>
      <c r="AS64" s="953">
        <f>IFERROR(VLOOKUP($AO64,costs!$A$2:$I$2905,AS$2,FALSE),0)</f>
        <v>0</v>
      </c>
      <c r="AT64" s="953">
        <f>IFERROR(VLOOKUP($AO64,costs!$A$2:$I$2905,AT$2,FALSE),0)</f>
        <v>0</v>
      </c>
      <c r="AU64" s="953">
        <f>IFERROR(VLOOKUP($AO64,costs!$A$2:$I$2905,AU$2,FALSE),0)</f>
        <v>0</v>
      </c>
      <c r="AV64" s="953">
        <f>IFERROR(VLOOKUP($AO64,costs!$A$2:$I$2905,AV$2,FALSE),0)</f>
        <v>0</v>
      </c>
      <c r="AW64" s="953">
        <f>IFERROR(VLOOKUP($AO64,costs!$A$2:$I$2905,AW$2,FALSE),0)</f>
        <v>0</v>
      </c>
      <c r="AY64" s="949" t="s">
        <v>528</v>
      </c>
      <c r="AZ64" s="372">
        <f>IFERROR(VLOOKUP($AY64,costs!$A$2:$I$2905,AZ$2,FALSE),0)</f>
        <v>0</v>
      </c>
      <c r="BA64" s="372">
        <f>IFERROR(VLOOKUP($AY64,costs!$A$2:$I$2905,BA$2,FALSE),0)</f>
        <v>0</v>
      </c>
      <c r="BB64" s="372">
        <f>IFERROR(VLOOKUP($AY64,costs!$A$2:$I$2905,BB$2,FALSE),0)</f>
        <v>0</v>
      </c>
      <c r="BC64" s="372">
        <f>IFERROR(VLOOKUP($AY64,costs!$A$2:$I$2905,BC$2,FALSE),0)</f>
        <v>0</v>
      </c>
      <c r="BD64" s="372">
        <f>IFERROR(VLOOKUP($AY64,costs!$A$2:$I$2905,BD$2,FALSE),0)</f>
        <v>0</v>
      </c>
      <c r="BE64" s="372">
        <f>IFERROR(VLOOKUP($AY64,costs!$A$2:$I$2905,BE$2,FALSE),0)</f>
        <v>0</v>
      </c>
      <c r="BF64" s="372">
        <f>IFERROR(VLOOKUP($AY64,costs!$A$2:$I$2905,BF$2,FALSE),0)</f>
        <v>0</v>
      </c>
      <c r="BG64" s="372">
        <f>IFERROR(VLOOKUP($AY64,costs!$A$2:$I$2905,BG$2,FALSE),0)</f>
        <v>0</v>
      </c>
    </row>
    <row r="65" spans="2:59" x14ac:dyDescent="0.35">
      <c r="U65" s="949" t="s">
        <v>221</v>
      </c>
      <c r="V65" s="372">
        <f>IFERROR(VLOOKUP($U65,costs!$A$2:$I$2905,V$2,FALSE),0)</f>
        <v>0</v>
      </c>
      <c r="W65" s="372">
        <f>IFERROR(VLOOKUP($U65,costs!$A$2:$I$2905,W$2,FALSE),0)</f>
        <v>0</v>
      </c>
      <c r="X65" s="372">
        <f>IFERROR(VLOOKUP($U65,costs!$A$2:$I$2905,X$2,FALSE),0)</f>
        <v>0</v>
      </c>
      <c r="Y65" s="372">
        <f>IFERROR(VLOOKUP($U65,costs!$A$2:$I$2905,Y$2,FALSE),0)</f>
        <v>0</v>
      </c>
      <c r="Z65" s="372">
        <f>IFERROR(VLOOKUP($U65,costs!$A$2:$I$2905,Z$2,FALSE),0)</f>
        <v>0</v>
      </c>
      <c r="AA65" s="372">
        <f>IFERROR(VLOOKUP($U65,costs!$A$2:$I$2905,AA$2,FALSE),0)</f>
        <v>0</v>
      </c>
      <c r="AB65" s="372">
        <f>IFERROR(VLOOKUP($U65,costs!$A$2:$I$2905,AB$2,FALSE),0)</f>
        <v>0</v>
      </c>
      <c r="AC65" s="372">
        <f>IFERROR(VLOOKUP($U65,costs!$A$2:$I$2905,AC$2,FALSE),0)</f>
        <v>0</v>
      </c>
      <c r="AE65" s="40" t="s">
        <v>2560</v>
      </c>
      <c r="AF65" s="372">
        <f>IFERROR(VLOOKUP($AE65,costs!$A$2:$I$2905,AF$2,FALSE),0)</f>
        <v>0</v>
      </c>
      <c r="AG65" s="372">
        <f>IFERROR(VLOOKUP($AE65,costs!$A$2:$I$2905,AG$2,FALSE),0)</f>
        <v>0</v>
      </c>
      <c r="AH65" s="372">
        <f>IFERROR(VLOOKUP($AE65,costs!$A$2:$I$2905,AH$2,FALSE),0)</f>
        <v>0</v>
      </c>
      <c r="AI65" s="372">
        <f>IFERROR(VLOOKUP($AE65,costs!$A$2:$I$2905,AI$2,FALSE),0)</f>
        <v>0</v>
      </c>
      <c r="AJ65" s="372">
        <f>IFERROR(VLOOKUP($AE65,costs!$A$2:$I$2905,AJ$2,FALSE),0)</f>
        <v>0</v>
      </c>
      <c r="AK65" s="372">
        <f>IFERROR(VLOOKUP($AE65,costs!$A$2:$I$2905,AK$2,FALSE),0)</f>
        <v>0</v>
      </c>
      <c r="AL65" s="372">
        <f>IFERROR(VLOOKUP($AE65,costs!$A$2:$I$2905,AL$2,FALSE),0)</f>
        <v>0</v>
      </c>
      <c r="AM65" s="372">
        <f>IFERROR(VLOOKUP($AE65,costs!$A$2:$I$2905,AM$2,FALSE),0)</f>
        <v>0</v>
      </c>
      <c r="AO65" s="949" t="s">
        <v>1682</v>
      </c>
      <c r="AP65" s="953">
        <f>IFERROR(VLOOKUP($AO65,costs!$A$2:$I$2905,AP$2,FALSE),0)</f>
        <v>0</v>
      </c>
      <c r="AQ65" s="953">
        <f>IFERROR(VLOOKUP($AO65,costs!$A$2:$I$2905,AQ$2,FALSE),0)</f>
        <v>0</v>
      </c>
      <c r="AR65" s="953">
        <f>IFERROR(VLOOKUP($AO65,costs!$A$2:$I$2905,AR$2,FALSE),0)</f>
        <v>0</v>
      </c>
      <c r="AS65" s="953">
        <f>IFERROR(VLOOKUP($AO65,costs!$A$2:$I$2905,AS$2,FALSE),0)</f>
        <v>0</v>
      </c>
      <c r="AT65" s="953">
        <f>IFERROR(VLOOKUP($AO65,costs!$A$2:$I$2905,AT$2,FALSE),0)</f>
        <v>0</v>
      </c>
      <c r="AU65" s="953">
        <f>IFERROR(VLOOKUP($AO65,costs!$A$2:$I$2905,AU$2,FALSE),0)</f>
        <v>0</v>
      </c>
      <c r="AV65" s="953">
        <f>IFERROR(VLOOKUP($AO65,costs!$A$2:$I$2905,AV$2,FALSE),0)</f>
        <v>0</v>
      </c>
      <c r="AW65" s="953">
        <f>IFERROR(VLOOKUP($AO65,costs!$A$2:$I$2905,AW$2,FALSE),0)</f>
        <v>0</v>
      </c>
      <c r="AY65" s="40" t="s">
        <v>2120</v>
      </c>
      <c r="AZ65" s="372">
        <f>IFERROR(VLOOKUP($AY65,costs!$A$2:$I$2905,AZ$2,FALSE),0)</f>
        <v>0</v>
      </c>
      <c r="BA65" s="372">
        <f>IFERROR(VLOOKUP($AY65,costs!$A$2:$I$2905,BA$2,FALSE),0)</f>
        <v>0</v>
      </c>
      <c r="BB65" s="372">
        <f>IFERROR(VLOOKUP($AY65,costs!$A$2:$I$2905,BB$2,FALSE),0)</f>
        <v>0</v>
      </c>
      <c r="BC65" s="372">
        <f>IFERROR(VLOOKUP($AY65,costs!$A$2:$I$2905,BC$2,FALSE),0)</f>
        <v>0</v>
      </c>
      <c r="BD65" s="372">
        <f>IFERROR(VLOOKUP($AY65,costs!$A$2:$I$2905,BD$2,FALSE),0)</f>
        <v>0</v>
      </c>
      <c r="BE65" s="372">
        <f>IFERROR(VLOOKUP($AY65,costs!$A$2:$I$2905,BE$2,FALSE),0)</f>
        <v>0</v>
      </c>
      <c r="BF65" s="372">
        <f>IFERROR(VLOOKUP($AY65,costs!$A$2:$I$2905,BF$2,FALSE),0)</f>
        <v>0</v>
      </c>
      <c r="BG65" s="372">
        <f>IFERROR(VLOOKUP($AY65,costs!$A$2:$I$2905,BG$2,FALSE),0)</f>
        <v>0</v>
      </c>
    </row>
    <row r="66" spans="2:59" x14ac:dyDescent="0.35">
      <c r="U66" s="40" t="s">
        <v>222</v>
      </c>
      <c r="V66" s="372">
        <f>IFERROR(VLOOKUP($U66,costs!$A$2:$I$2905,V$2,FALSE),0)</f>
        <v>0</v>
      </c>
      <c r="W66" s="372">
        <f>IFERROR(VLOOKUP($U66,costs!$A$2:$I$2905,W$2,FALSE),0)</f>
        <v>0</v>
      </c>
      <c r="X66" s="372">
        <f>IFERROR(VLOOKUP($U66,costs!$A$2:$I$2905,X$2,FALSE),0)</f>
        <v>0</v>
      </c>
      <c r="Y66" s="372">
        <f>IFERROR(VLOOKUP($U66,costs!$A$2:$I$2905,Y$2,FALSE),0)</f>
        <v>0</v>
      </c>
      <c r="Z66" s="372">
        <f>IFERROR(VLOOKUP($U66,costs!$A$2:$I$2905,Z$2,FALSE),0)</f>
        <v>0</v>
      </c>
      <c r="AA66" s="372">
        <f>IFERROR(VLOOKUP($U66,costs!$A$2:$I$2905,AA$2,FALSE),0)</f>
        <v>0</v>
      </c>
      <c r="AB66" s="372">
        <f>IFERROR(VLOOKUP($U66,costs!$A$2:$I$2905,AB$2,FALSE),0)</f>
        <v>0</v>
      </c>
      <c r="AC66" s="372">
        <f>IFERROR(VLOOKUP($U66,costs!$A$2:$I$2905,AC$2,FALSE),0)</f>
        <v>0</v>
      </c>
      <c r="AE66" s="40" t="s">
        <v>4136</v>
      </c>
      <c r="AF66" s="372">
        <f>IFERROR(VLOOKUP($AE66,costs!$A$2:$I$2905,AF$2,FALSE),0)</f>
        <v>0</v>
      </c>
      <c r="AG66" s="372">
        <f>IFERROR(VLOOKUP($AE66,costs!$A$2:$I$2905,AG$2,FALSE),0)</f>
        <v>0</v>
      </c>
      <c r="AH66" s="372">
        <f>IFERROR(VLOOKUP($AE66,costs!$A$2:$I$2905,AH$2,FALSE),0)</f>
        <v>0</v>
      </c>
      <c r="AI66" s="372">
        <f>IFERROR(VLOOKUP($AE66,costs!$A$2:$I$2905,AI$2,FALSE),0)</f>
        <v>0</v>
      </c>
      <c r="AJ66" s="372">
        <f>IFERROR(VLOOKUP($AE66,costs!$A$2:$I$2905,AJ$2,FALSE),0)</f>
        <v>0</v>
      </c>
      <c r="AK66" s="372">
        <f>IFERROR(VLOOKUP($AE66,costs!$A$2:$I$2905,AK$2,FALSE),0)</f>
        <v>0</v>
      </c>
      <c r="AL66" s="372">
        <f>IFERROR(VLOOKUP($AE66,costs!$A$2:$I$2905,AL$2,FALSE),0)</f>
        <v>0</v>
      </c>
      <c r="AM66" s="372">
        <f>IFERROR(VLOOKUP($AE66,costs!$A$2:$I$2905,AM$2,FALSE),0)</f>
        <v>0</v>
      </c>
      <c r="AO66" s="40" t="s">
        <v>2104</v>
      </c>
      <c r="AP66" s="953">
        <f>IFERROR(VLOOKUP($AO66,costs!$A$2:$I$2905,AP$2,FALSE),0)</f>
        <v>0</v>
      </c>
      <c r="AQ66" s="953">
        <f>IFERROR(VLOOKUP($AO66,costs!$A$2:$I$2905,AQ$2,FALSE),0)</f>
        <v>0</v>
      </c>
      <c r="AR66" s="953">
        <f>IFERROR(VLOOKUP($AO66,costs!$A$2:$I$2905,AR$2,FALSE),0)</f>
        <v>0</v>
      </c>
      <c r="AS66" s="953">
        <f>IFERROR(VLOOKUP($AO66,costs!$A$2:$I$2905,AS$2,FALSE),0)</f>
        <v>0</v>
      </c>
      <c r="AT66" s="953">
        <f>IFERROR(VLOOKUP($AO66,costs!$A$2:$I$2905,AT$2,FALSE),0)</f>
        <v>0</v>
      </c>
      <c r="AU66" s="953">
        <f>IFERROR(VLOOKUP($AO66,costs!$A$2:$I$2905,AU$2,FALSE),0)</f>
        <v>0</v>
      </c>
      <c r="AV66" s="953">
        <f>IFERROR(VLOOKUP($AO66,costs!$A$2:$I$2905,AV$2,FALSE),0)</f>
        <v>0</v>
      </c>
      <c r="AW66" s="953">
        <f>IFERROR(VLOOKUP($AO66,costs!$A$2:$I$2905,AW$2,FALSE),0)</f>
        <v>0</v>
      </c>
      <c r="AY66" s="949" t="s">
        <v>1153</v>
      </c>
      <c r="AZ66" s="372">
        <f>IFERROR(VLOOKUP($AY66,costs!$A$2:$I$2905,AZ$2,FALSE),0)</f>
        <v>0</v>
      </c>
      <c r="BA66" s="372">
        <f>IFERROR(VLOOKUP($AY66,costs!$A$2:$I$2905,BA$2,FALSE),0)</f>
        <v>0</v>
      </c>
      <c r="BB66" s="372">
        <f>IFERROR(VLOOKUP($AY66,costs!$A$2:$I$2905,BB$2,FALSE),0)</f>
        <v>0</v>
      </c>
      <c r="BC66" s="372">
        <f>IFERROR(VLOOKUP($AY66,costs!$A$2:$I$2905,BC$2,FALSE),0)</f>
        <v>0</v>
      </c>
      <c r="BD66" s="372">
        <f>IFERROR(VLOOKUP($AY66,costs!$A$2:$I$2905,BD$2,FALSE),0)</f>
        <v>0</v>
      </c>
      <c r="BE66" s="372">
        <f>IFERROR(VLOOKUP($AY66,costs!$A$2:$I$2905,BE$2,FALSE),0)</f>
        <v>0</v>
      </c>
      <c r="BF66" s="372">
        <f>IFERROR(VLOOKUP($AY66,costs!$A$2:$I$2905,BF$2,FALSE),0)</f>
        <v>0</v>
      </c>
      <c r="BG66" s="372">
        <f>IFERROR(VLOOKUP($AY66,costs!$A$2:$I$2905,BG$2,FALSE),0)</f>
        <v>0</v>
      </c>
    </row>
    <row r="67" spans="2:59" x14ac:dyDescent="0.35">
      <c r="U67" s="949" t="s">
        <v>2057</v>
      </c>
      <c r="V67" s="372">
        <f>IFERROR(VLOOKUP($U67,costs!$A$2:$I$2905,V$2,FALSE),0)</f>
        <v>0</v>
      </c>
      <c r="W67" s="372">
        <f>IFERROR(VLOOKUP($U67,costs!$A$2:$I$2905,W$2,FALSE),0)</f>
        <v>0</v>
      </c>
      <c r="X67" s="372">
        <f>IFERROR(VLOOKUP($U67,costs!$A$2:$I$2905,X$2,FALSE),0)</f>
        <v>0</v>
      </c>
      <c r="Y67" s="372">
        <f>IFERROR(VLOOKUP($U67,costs!$A$2:$I$2905,Y$2,FALSE),0)</f>
        <v>0</v>
      </c>
      <c r="Z67" s="372">
        <f>IFERROR(VLOOKUP($U67,costs!$A$2:$I$2905,Z$2,FALSE),0)</f>
        <v>0</v>
      </c>
      <c r="AA67" s="372">
        <f>IFERROR(VLOOKUP($U67,costs!$A$2:$I$2905,AA$2,FALSE),0)</f>
        <v>0</v>
      </c>
      <c r="AB67" s="372">
        <f>IFERROR(VLOOKUP($U67,costs!$A$2:$I$2905,AB$2,FALSE),0)</f>
        <v>0</v>
      </c>
      <c r="AC67" s="372">
        <f>IFERROR(VLOOKUP($U67,costs!$A$2:$I$2905,AC$2,FALSE),0)</f>
        <v>0</v>
      </c>
      <c r="AE67" s="40" t="s">
        <v>2561</v>
      </c>
      <c r="AF67" s="372">
        <f>IFERROR(VLOOKUP($AE67,costs!$A$2:$I$2905,AF$2,FALSE),0)</f>
        <v>0</v>
      </c>
      <c r="AG67" s="372">
        <f>IFERROR(VLOOKUP($AE67,costs!$A$2:$I$2905,AG$2,FALSE),0)</f>
        <v>0</v>
      </c>
      <c r="AH67" s="372">
        <f>IFERROR(VLOOKUP($AE67,costs!$A$2:$I$2905,AH$2,FALSE),0)</f>
        <v>0</v>
      </c>
      <c r="AI67" s="372">
        <f>IFERROR(VLOOKUP($AE67,costs!$A$2:$I$2905,AI$2,FALSE),0)</f>
        <v>0</v>
      </c>
      <c r="AJ67" s="372">
        <f>IFERROR(VLOOKUP($AE67,costs!$A$2:$I$2905,AJ$2,FALSE),0)</f>
        <v>0</v>
      </c>
      <c r="AK67" s="372">
        <f>IFERROR(VLOOKUP($AE67,costs!$A$2:$I$2905,AK$2,FALSE),0)</f>
        <v>0</v>
      </c>
      <c r="AL67" s="372">
        <f>IFERROR(VLOOKUP($AE67,costs!$A$2:$I$2905,AL$2,FALSE),0)</f>
        <v>0</v>
      </c>
      <c r="AM67" s="372">
        <f>IFERROR(VLOOKUP($AE67,costs!$A$2:$I$2905,AM$2,FALSE),0)</f>
        <v>0</v>
      </c>
      <c r="AO67" s="949" t="s">
        <v>1680</v>
      </c>
      <c r="AP67" s="953">
        <f>IFERROR(VLOOKUP($AO67,costs!$A$2:$I$2905,AP$2,FALSE),0)</f>
        <v>0</v>
      </c>
      <c r="AQ67" s="953">
        <f>IFERROR(VLOOKUP($AO67,costs!$A$2:$I$2905,AQ$2,FALSE),0)</f>
        <v>0</v>
      </c>
      <c r="AR67" s="953">
        <f>IFERROR(VLOOKUP($AO67,costs!$A$2:$I$2905,AR$2,FALSE),0)</f>
        <v>0</v>
      </c>
      <c r="AS67" s="953">
        <f>IFERROR(VLOOKUP($AO67,costs!$A$2:$I$2905,AS$2,FALSE),0)</f>
        <v>0</v>
      </c>
      <c r="AT67" s="953">
        <f>IFERROR(VLOOKUP($AO67,costs!$A$2:$I$2905,AT$2,FALSE),0)</f>
        <v>0</v>
      </c>
      <c r="AU67" s="953">
        <f>IFERROR(VLOOKUP($AO67,costs!$A$2:$I$2905,AU$2,FALSE),0)</f>
        <v>0</v>
      </c>
      <c r="AV67" s="953">
        <f>IFERROR(VLOOKUP($AO67,costs!$A$2:$I$2905,AV$2,FALSE),0)</f>
        <v>0</v>
      </c>
      <c r="AW67" s="953">
        <f>IFERROR(VLOOKUP($AO67,costs!$A$2:$I$2905,AW$2,FALSE),0)</f>
        <v>0</v>
      </c>
      <c r="AY67" s="40" t="s">
        <v>398</v>
      </c>
      <c r="AZ67" s="372">
        <f>IFERROR(VLOOKUP($AY67,costs!$A$2:$I$2905,AZ$2,FALSE),0)</f>
        <v>0</v>
      </c>
      <c r="BA67" s="372">
        <f>IFERROR(VLOOKUP($AY67,costs!$A$2:$I$2905,BA$2,FALSE),0)</f>
        <v>0</v>
      </c>
      <c r="BB67" s="372">
        <f>IFERROR(VLOOKUP($AY67,costs!$A$2:$I$2905,BB$2,FALSE),0)</f>
        <v>0</v>
      </c>
      <c r="BC67" s="372">
        <f>IFERROR(VLOOKUP($AY67,costs!$A$2:$I$2905,BC$2,FALSE),0)</f>
        <v>0</v>
      </c>
      <c r="BD67" s="372">
        <f>IFERROR(VLOOKUP($AY67,costs!$A$2:$I$2905,BD$2,FALSE),0)</f>
        <v>0</v>
      </c>
      <c r="BE67" s="372">
        <f>IFERROR(VLOOKUP($AY67,costs!$A$2:$I$2905,BE$2,FALSE),0)</f>
        <v>0</v>
      </c>
      <c r="BF67" s="372">
        <f>IFERROR(VLOOKUP($AY67,costs!$A$2:$I$2905,BF$2,FALSE),0)</f>
        <v>0</v>
      </c>
      <c r="BG67" s="372">
        <f>IFERROR(VLOOKUP($AY67,costs!$A$2:$I$2905,BG$2,FALSE),0)</f>
        <v>0</v>
      </c>
    </row>
    <row r="68" spans="2:59" x14ac:dyDescent="0.35">
      <c r="U68" s="40" t="s">
        <v>480</v>
      </c>
      <c r="V68" s="372">
        <f>IFERROR(VLOOKUP($U68,costs!$A$2:$I$2905,V$2,FALSE),0)</f>
        <v>0</v>
      </c>
      <c r="W68" s="372">
        <f>IFERROR(VLOOKUP($U68,costs!$A$2:$I$2905,W$2,FALSE),0)</f>
        <v>0</v>
      </c>
      <c r="X68" s="372">
        <f>IFERROR(VLOOKUP($U68,costs!$A$2:$I$2905,X$2,FALSE),0)</f>
        <v>0</v>
      </c>
      <c r="Y68" s="372">
        <f>IFERROR(VLOOKUP($U68,costs!$A$2:$I$2905,Y$2,FALSE),0)</f>
        <v>0</v>
      </c>
      <c r="Z68" s="372">
        <f>IFERROR(VLOOKUP($U68,costs!$A$2:$I$2905,Z$2,FALSE),0)</f>
        <v>0</v>
      </c>
      <c r="AA68" s="372">
        <f>IFERROR(VLOOKUP($U68,costs!$A$2:$I$2905,AA$2,FALSE),0)</f>
        <v>0</v>
      </c>
      <c r="AB68" s="372">
        <f>IFERROR(VLOOKUP($U68,costs!$A$2:$I$2905,AB$2,FALSE),0)</f>
        <v>0</v>
      </c>
      <c r="AC68" s="372">
        <f>IFERROR(VLOOKUP($U68,costs!$A$2:$I$2905,AC$2,FALSE),0)</f>
        <v>0</v>
      </c>
      <c r="AE68" s="40" t="s">
        <v>2562</v>
      </c>
      <c r="AF68" s="372">
        <f>IFERROR(VLOOKUP($AE68,costs!$A$2:$I$2905,AF$2,FALSE),0)</f>
        <v>0</v>
      </c>
      <c r="AG68" s="372">
        <f>IFERROR(VLOOKUP($AE68,costs!$A$2:$I$2905,AG$2,FALSE),0)</f>
        <v>0</v>
      </c>
      <c r="AH68" s="372">
        <f>IFERROR(VLOOKUP($AE68,costs!$A$2:$I$2905,AH$2,FALSE),0)</f>
        <v>0</v>
      </c>
      <c r="AI68" s="372">
        <f>IFERROR(VLOOKUP($AE68,costs!$A$2:$I$2905,AI$2,FALSE),0)</f>
        <v>0</v>
      </c>
      <c r="AJ68" s="372">
        <f>IFERROR(VLOOKUP($AE68,costs!$A$2:$I$2905,AJ$2,FALSE),0)</f>
        <v>0</v>
      </c>
      <c r="AK68" s="372">
        <f>IFERROR(VLOOKUP($AE68,costs!$A$2:$I$2905,AK$2,FALSE),0)</f>
        <v>0</v>
      </c>
      <c r="AL68" s="372">
        <f>IFERROR(VLOOKUP($AE68,costs!$A$2:$I$2905,AL$2,FALSE),0)</f>
        <v>0</v>
      </c>
      <c r="AM68" s="372">
        <f>IFERROR(VLOOKUP($AE68,costs!$A$2:$I$2905,AM$2,FALSE),0)</f>
        <v>0</v>
      </c>
      <c r="AO68" s="40" t="s">
        <v>1684</v>
      </c>
      <c r="AP68" s="953">
        <f>IFERROR(VLOOKUP($AO68,costs!$A$2:$I$2905,AP$2,FALSE),0)</f>
        <v>0</v>
      </c>
      <c r="AQ68" s="953">
        <f>IFERROR(VLOOKUP($AO68,costs!$A$2:$I$2905,AQ$2,FALSE),0)</f>
        <v>0</v>
      </c>
      <c r="AR68" s="953">
        <f>IFERROR(VLOOKUP($AO68,costs!$A$2:$I$2905,AR$2,FALSE),0)</f>
        <v>0</v>
      </c>
      <c r="AS68" s="953">
        <f>IFERROR(VLOOKUP($AO68,costs!$A$2:$I$2905,AS$2,FALSE),0)</f>
        <v>0</v>
      </c>
      <c r="AT68" s="953">
        <f>IFERROR(VLOOKUP($AO68,costs!$A$2:$I$2905,AT$2,FALSE),0)</f>
        <v>0</v>
      </c>
      <c r="AU68" s="953">
        <f>IFERROR(VLOOKUP($AO68,costs!$A$2:$I$2905,AU$2,FALSE),0)</f>
        <v>0</v>
      </c>
      <c r="AV68" s="953">
        <f>IFERROR(VLOOKUP($AO68,costs!$A$2:$I$2905,AV$2,FALSE),0)</f>
        <v>0</v>
      </c>
      <c r="AW68" s="953">
        <f>IFERROR(VLOOKUP($AO68,costs!$A$2:$I$2905,AW$2,FALSE),0)</f>
        <v>0</v>
      </c>
      <c r="AY68" s="949" t="s">
        <v>2121</v>
      </c>
      <c r="AZ68" s="372">
        <f>IFERROR(VLOOKUP($AY68,costs!$A$2:$I$2905,AZ$2,FALSE),0)</f>
        <v>0</v>
      </c>
      <c r="BA68" s="372">
        <f>IFERROR(VLOOKUP($AY68,costs!$A$2:$I$2905,BA$2,FALSE),0)</f>
        <v>0</v>
      </c>
      <c r="BB68" s="372">
        <f>IFERROR(VLOOKUP($AY68,costs!$A$2:$I$2905,BB$2,FALSE),0)</f>
        <v>0</v>
      </c>
      <c r="BC68" s="372">
        <f>IFERROR(VLOOKUP($AY68,costs!$A$2:$I$2905,BC$2,FALSE),0)</f>
        <v>0</v>
      </c>
      <c r="BD68" s="372">
        <f>IFERROR(VLOOKUP($AY68,costs!$A$2:$I$2905,BD$2,FALSE),0)</f>
        <v>0</v>
      </c>
      <c r="BE68" s="372">
        <f>IFERROR(VLOOKUP($AY68,costs!$A$2:$I$2905,BE$2,FALSE),0)</f>
        <v>0</v>
      </c>
      <c r="BF68" s="372">
        <f>IFERROR(VLOOKUP($AY68,costs!$A$2:$I$2905,BF$2,FALSE),0)</f>
        <v>0</v>
      </c>
      <c r="BG68" s="372">
        <f>IFERROR(VLOOKUP($AY68,costs!$A$2:$I$2905,BG$2,FALSE),0)</f>
        <v>0</v>
      </c>
    </row>
    <row r="69" spans="2:59" x14ac:dyDescent="0.35">
      <c r="U69" s="949" t="s">
        <v>481</v>
      </c>
      <c r="V69" s="372">
        <f>IFERROR(VLOOKUP($U69,costs!$A$2:$I$2905,V$2,FALSE),0)</f>
        <v>0</v>
      </c>
      <c r="W69" s="372">
        <f>IFERROR(VLOOKUP($U69,costs!$A$2:$I$2905,W$2,FALSE),0)</f>
        <v>0</v>
      </c>
      <c r="X69" s="372">
        <f>IFERROR(VLOOKUP($U69,costs!$A$2:$I$2905,X$2,FALSE),0)</f>
        <v>0</v>
      </c>
      <c r="Y69" s="372">
        <f>IFERROR(VLOOKUP($U69,costs!$A$2:$I$2905,Y$2,FALSE),0)</f>
        <v>0</v>
      </c>
      <c r="Z69" s="372">
        <f>IFERROR(VLOOKUP($U69,costs!$A$2:$I$2905,Z$2,FALSE),0)</f>
        <v>0</v>
      </c>
      <c r="AA69" s="372">
        <f>IFERROR(VLOOKUP($U69,costs!$A$2:$I$2905,AA$2,FALSE),0)</f>
        <v>0</v>
      </c>
      <c r="AB69" s="372">
        <f>IFERROR(VLOOKUP($U69,costs!$A$2:$I$2905,AB$2,FALSE),0)</f>
        <v>0</v>
      </c>
      <c r="AC69" s="372">
        <f>IFERROR(VLOOKUP($U69,costs!$A$2:$I$2905,AC$2,FALSE),0)</f>
        <v>0</v>
      </c>
      <c r="AE69" s="40" t="s">
        <v>2563</v>
      </c>
      <c r="AF69" s="372">
        <f>IFERROR(VLOOKUP($AE69,costs!$A$2:$I$2905,AF$2,FALSE),0)</f>
        <v>0</v>
      </c>
      <c r="AG69" s="372">
        <f>IFERROR(VLOOKUP($AE69,costs!$A$2:$I$2905,AG$2,FALSE),0)</f>
        <v>0</v>
      </c>
      <c r="AH69" s="372">
        <f>IFERROR(VLOOKUP($AE69,costs!$A$2:$I$2905,AH$2,FALSE),0)</f>
        <v>0</v>
      </c>
      <c r="AI69" s="372">
        <f>IFERROR(VLOOKUP($AE69,costs!$A$2:$I$2905,AI$2,FALSE),0)</f>
        <v>0</v>
      </c>
      <c r="AJ69" s="372">
        <f>IFERROR(VLOOKUP($AE69,costs!$A$2:$I$2905,AJ$2,FALSE),0)</f>
        <v>0</v>
      </c>
      <c r="AK69" s="372">
        <f>IFERROR(VLOOKUP($AE69,costs!$A$2:$I$2905,AK$2,FALSE),0)</f>
        <v>0</v>
      </c>
      <c r="AL69" s="372">
        <f>IFERROR(VLOOKUP($AE69,costs!$A$2:$I$2905,AL$2,FALSE),0)</f>
        <v>0</v>
      </c>
      <c r="AM69" s="372">
        <f>IFERROR(VLOOKUP($AE69,costs!$A$2:$I$2905,AM$2,FALSE),0)</f>
        <v>0</v>
      </c>
      <c r="AO69" s="949" t="s">
        <v>2105</v>
      </c>
      <c r="AP69" s="953">
        <f>IFERROR(VLOOKUP($AO69,costs!$A$2:$I$2905,AP$2,FALSE),0)</f>
        <v>0</v>
      </c>
      <c r="AQ69" s="953">
        <f>IFERROR(VLOOKUP($AO69,costs!$A$2:$I$2905,AQ$2,FALSE),0)</f>
        <v>0</v>
      </c>
      <c r="AR69" s="953">
        <f>IFERROR(VLOOKUP($AO69,costs!$A$2:$I$2905,AR$2,FALSE),0)</f>
        <v>0</v>
      </c>
      <c r="AS69" s="953">
        <f>IFERROR(VLOOKUP($AO69,costs!$A$2:$I$2905,AS$2,FALSE),0)</f>
        <v>0</v>
      </c>
      <c r="AT69" s="953">
        <f>IFERROR(VLOOKUP($AO69,costs!$A$2:$I$2905,AT$2,FALSE),0)</f>
        <v>0</v>
      </c>
      <c r="AU69" s="953">
        <f>IFERROR(VLOOKUP($AO69,costs!$A$2:$I$2905,AU$2,FALSE),0)</f>
        <v>0</v>
      </c>
      <c r="AV69" s="953">
        <f>IFERROR(VLOOKUP($AO69,costs!$A$2:$I$2905,AV$2,FALSE),0)</f>
        <v>0</v>
      </c>
      <c r="AW69" s="953">
        <f>IFERROR(VLOOKUP($AO69,costs!$A$2:$I$2905,AW$2,FALSE),0)</f>
        <v>0</v>
      </c>
      <c r="AY69" s="40" t="s">
        <v>399</v>
      </c>
      <c r="AZ69" s="372">
        <f>IFERROR(VLOOKUP($AY69,costs!$A$2:$I$2905,AZ$2,FALSE),0)</f>
        <v>0</v>
      </c>
      <c r="BA69" s="372">
        <f>IFERROR(VLOOKUP($AY69,costs!$A$2:$I$2905,BA$2,FALSE),0)</f>
        <v>0</v>
      </c>
      <c r="BB69" s="372">
        <f>IFERROR(VLOOKUP($AY69,costs!$A$2:$I$2905,BB$2,FALSE),0)</f>
        <v>0</v>
      </c>
      <c r="BC69" s="372">
        <f>IFERROR(VLOOKUP($AY69,costs!$A$2:$I$2905,BC$2,FALSE),0)</f>
        <v>0</v>
      </c>
      <c r="BD69" s="372">
        <f>IFERROR(VLOOKUP($AY69,costs!$A$2:$I$2905,BD$2,FALSE),0)</f>
        <v>0</v>
      </c>
      <c r="BE69" s="372">
        <f>IFERROR(VLOOKUP($AY69,costs!$A$2:$I$2905,BE$2,FALSE),0)</f>
        <v>0</v>
      </c>
      <c r="BF69" s="372">
        <f>IFERROR(VLOOKUP($AY69,costs!$A$2:$I$2905,BF$2,FALSE),0)</f>
        <v>0</v>
      </c>
      <c r="BG69" s="372">
        <f>IFERROR(VLOOKUP($AY69,costs!$A$2:$I$2905,BG$2,FALSE),0)</f>
        <v>0</v>
      </c>
    </row>
    <row r="70" spans="2:59" x14ac:dyDescent="0.35">
      <c r="U70" s="40" t="s">
        <v>2058</v>
      </c>
      <c r="V70" s="372">
        <f>IFERROR(VLOOKUP($U70,costs!$A$2:$I$2905,V$2,FALSE),0)</f>
        <v>0</v>
      </c>
      <c r="W70" s="372">
        <f>IFERROR(VLOOKUP($U70,costs!$A$2:$I$2905,W$2,FALSE),0)</f>
        <v>0</v>
      </c>
      <c r="X70" s="372">
        <f>IFERROR(VLOOKUP($U70,costs!$A$2:$I$2905,X$2,FALSE),0)</f>
        <v>0</v>
      </c>
      <c r="Y70" s="372">
        <f>IFERROR(VLOOKUP($U70,costs!$A$2:$I$2905,Y$2,FALSE),0)</f>
        <v>0</v>
      </c>
      <c r="Z70" s="372">
        <f>IFERROR(VLOOKUP($U70,costs!$A$2:$I$2905,Z$2,FALSE),0)</f>
        <v>0</v>
      </c>
      <c r="AA70" s="372">
        <f>IFERROR(VLOOKUP($U70,costs!$A$2:$I$2905,AA$2,FALSE),0)</f>
        <v>0</v>
      </c>
      <c r="AB70" s="372">
        <f>IFERROR(VLOOKUP($U70,costs!$A$2:$I$2905,AB$2,FALSE),0)</f>
        <v>0</v>
      </c>
      <c r="AC70" s="372">
        <f>IFERROR(VLOOKUP($U70,costs!$A$2:$I$2905,AC$2,FALSE),0)</f>
        <v>0</v>
      </c>
      <c r="AE70" s="40" t="s">
        <v>4134</v>
      </c>
      <c r="AF70" s="372">
        <f>IFERROR(VLOOKUP($AE70,costs!$A$2:$I$2905,AF$2,FALSE),0)</f>
        <v>0</v>
      </c>
      <c r="AG70" s="372">
        <f>IFERROR(VLOOKUP($AE70,costs!$A$2:$I$2905,AG$2,FALSE),0)</f>
        <v>0</v>
      </c>
      <c r="AH70" s="372">
        <f>IFERROR(VLOOKUP($AE70,costs!$A$2:$I$2905,AH$2,FALSE),0)</f>
        <v>0</v>
      </c>
      <c r="AI70" s="372">
        <f>IFERROR(VLOOKUP($AE70,costs!$A$2:$I$2905,AI$2,FALSE),0)</f>
        <v>0</v>
      </c>
      <c r="AJ70" s="372">
        <f>IFERROR(VLOOKUP($AE70,costs!$A$2:$I$2905,AJ$2,FALSE),0)</f>
        <v>0</v>
      </c>
      <c r="AK70" s="372">
        <f>IFERROR(VLOOKUP($AE70,costs!$A$2:$I$2905,AK$2,FALSE),0)</f>
        <v>0</v>
      </c>
      <c r="AL70" s="372">
        <f>IFERROR(VLOOKUP($AE70,costs!$A$2:$I$2905,AL$2,FALSE),0)</f>
        <v>0</v>
      </c>
      <c r="AM70" s="372">
        <f>IFERROR(VLOOKUP($AE70,costs!$A$2:$I$2905,AM$2,FALSE),0)</f>
        <v>0</v>
      </c>
      <c r="AO70" s="40" t="s">
        <v>180</v>
      </c>
      <c r="AP70" s="953">
        <f>IFERROR(VLOOKUP($AO70,costs!$A$2:$I$2905,AP$2,FALSE),0)</f>
        <v>0</v>
      </c>
      <c r="AQ70" s="953">
        <f>IFERROR(VLOOKUP($AO70,costs!$A$2:$I$2905,AQ$2,FALSE),0)</f>
        <v>0</v>
      </c>
      <c r="AR70" s="953">
        <f>IFERROR(VLOOKUP($AO70,costs!$A$2:$I$2905,AR$2,FALSE),0)</f>
        <v>0</v>
      </c>
      <c r="AS70" s="953">
        <f>IFERROR(VLOOKUP($AO70,costs!$A$2:$I$2905,AS$2,FALSE),0)</f>
        <v>0</v>
      </c>
      <c r="AT70" s="953">
        <f>IFERROR(VLOOKUP($AO70,costs!$A$2:$I$2905,AT$2,FALSE),0)</f>
        <v>0</v>
      </c>
      <c r="AU70" s="953">
        <f>IFERROR(VLOOKUP($AO70,costs!$A$2:$I$2905,AU$2,FALSE),0)</f>
        <v>0</v>
      </c>
      <c r="AV70" s="953">
        <f>IFERROR(VLOOKUP($AO70,costs!$A$2:$I$2905,AV$2,FALSE),0)</f>
        <v>0</v>
      </c>
      <c r="AW70" s="953">
        <f>IFERROR(VLOOKUP($AO70,costs!$A$2:$I$2905,AW$2,FALSE),0)</f>
        <v>0</v>
      </c>
      <c r="AY70" s="949" t="s">
        <v>400</v>
      </c>
      <c r="AZ70" s="372">
        <f>IFERROR(VLOOKUP($AY70,costs!$A$2:$I$2905,AZ$2,FALSE),0)</f>
        <v>0</v>
      </c>
      <c r="BA70" s="372">
        <f>IFERROR(VLOOKUP($AY70,costs!$A$2:$I$2905,BA$2,FALSE),0)</f>
        <v>0</v>
      </c>
      <c r="BB70" s="372">
        <f>IFERROR(VLOOKUP($AY70,costs!$A$2:$I$2905,BB$2,FALSE),0)</f>
        <v>0</v>
      </c>
      <c r="BC70" s="372">
        <f>IFERROR(VLOOKUP($AY70,costs!$A$2:$I$2905,BC$2,FALSE),0)</f>
        <v>0</v>
      </c>
      <c r="BD70" s="372">
        <f>IFERROR(VLOOKUP($AY70,costs!$A$2:$I$2905,BD$2,FALSE),0)</f>
        <v>0</v>
      </c>
      <c r="BE70" s="372">
        <f>IFERROR(VLOOKUP($AY70,costs!$A$2:$I$2905,BE$2,FALSE),0)</f>
        <v>0</v>
      </c>
      <c r="BF70" s="372">
        <f>IFERROR(VLOOKUP($AY70,costs!$A$2:$I$2905,BF$2,FALSE),0)</f>
        <v>0</v>
      </c>
      <c r="BG70" s="372">
        <f>IFERROR(VLOOKUP($AY70,costs!$A$2:$I$2905,BG$2,FALSE),0)</f>
        <v>0</v>
      </c>
    </row>
    <row r="71" spans="2:59" x14ac:dyDescent="0.35">
      <c r="U71" s="949" t="s">
        <v>505</v>
      </c>
      <c r="V71" s="372">
        <f>IFERROR(VLOOKUP($U71,costs!$A$2:$I$2905,V$2,FALSE),0)</f>
        <v>0</v>
      </c>
      <c r="W71" s="372">
        <f>IFERROR(VLOOKUP($U71,costs!$A$2:$I$2905,W$2,FALSE),0)</f>
        <v>0</v>
      </c>
      <c r="X71" s="372">
        <f>IFERROR(VLOOKUP($U71,costs!$A$2:$I$2905,X$2,FALSE),0)</f>
        <v>0</v>
      </c>
      <c r="Y71" s="372">
        <f>IFERROR(VLOOKUP($U71,costs!$A$2:$I$2905,Y$2,FALSE),0)</f>
        <v>0</v>
      </c>
      <c r="Z71" s="372">
        <f>IFERROR(VLOOKUP($U71,costs!$A$2:$I$2905,Z$2,FALSE),0)</f>
        <v>0</v>
      </c>
      <c r="AA71" s="372">
        <f>IFERROR(VLOOKUP($U71,costs!$A$2:$I$2905,AA$2,FALSE),0)</f>
        <v>0</v>
      </c>
      <c r="AB71" s="372">
        <f>IFERROR(VLOOKUP($U71,costs!$A$2:$I$2905,AB$2,FALSE),0)</f>
        <v>0</v>
      </c>
      <c r="AC71" s="372">
        <f>IFERROR(VLOOKUP($U71,costs!$A$2:$I$2905,AC$2,FALSE),0)</f>
        <v>0</v>
      </c>
      <c r="AE71" s="40" t="s">
        <v>2564</v>
      </c>
      <c r="AF71" s="372">
        <f>IFERROR(VLOOKUP($AE71,costs!$A$2:$I$2905,AF$2,FALSE),0)</f>
        <v>0</v>
      </c>
      <c r="AG71" s="372">
        <f>IFERROR(VLOOKUP($AE71,costs!$A$2:$I$2905,AG$2,FALSE),0)</f>
        <v>0</v>
      </c>
      <c r="AH71" s="372">
        <f>IFERROR(VLOOKUP($AE71,costs!$A$2:$I$2905,AH$2,FALSE),0)</f>
        <v>0</v>
      </c>
      <c r="AI71" s="372">
        <f>IFERROR(VLOOKUP($AE71,costs!$A$2:$I$2905,AI$2,FALSE),0)</f>
        <v>0</v>
      </c>
      <c r="AJ71" s="372">
        <f>IFERROR(VLOOKUP($AE71,costs!$A$2:$I$2905,AJ$2,FALSE),0)</f>
        <v>0</v>
      </c>
      <c r="AK71" s="372">
        <f>IFERROR(VLOOKUP($AE71,costs!$A$2:$I$2905,AK$2,FALSE),0)</f>
        <v>0</v>
      </c>
      <c r="AL71" s="372">
        <f>IFERROR(VLOOKUP($AE71,costs!$A$2:$I$2905,AL$2,FALSE),0)</f>
        <v>0</v>
      </c>
      <c r="AM71" s="372">
        <f>IFERROR(VLOOKUP($AE71,costs!$A$2:$I$2905,AM$2,FALSE),0)</f>
        <v>0</v>
      </c>
      <c r="AO71" s="949" t="s">
        <v>2106</v>
      </c>
      <c r="AP71" s="953">
        <f>IFERROR(VLOOKUP($AO71,costs!$A$2:$I$2905,AP$2,FALSE),0)</f>
        <v>0</v>
      </c>
      <c r="AQ71" s="953">
        <f>IFERROR(VLOOKUP($AO71,costs!$A$2:$I$2905,AQ$2,FALSE),0)</f>
        <v>0</v>
      </c>
      <c r="AR71" s="953">
        <f>IFERROR(VLOOKUP($AO71,costs!$A$2:$I$2905,AR$2,FALSE),0)</f>
        <v>0</v>
      </c>
      <c r="AS71" s="953">
        <f>IFERROR(VLOOKUP($AO71,costs!$A$2:$I$2905,AS$2,FALSE),0)</f>
        <v>0</v>
      </c>
      <c r="AT71" s="953">
        <f>IFERROR(VLOOKUP($AO71,costs!$A$2:$I$2905,AT$2,FALSE),0)</f>
        <v>0</v>
      </c>
      <c r="AU71" s="953">
        <f>IFERROR(VLOOKUP($AO71,costs!$A$2:$I$2905,AU$2,FALSE),0)</f>
        <v>0</v>
      </c>
      <c r="AV71" s="953">
        <f>IFERROR(VLOOKUP($AO71,costs!$A$2:$I$2905,AV$2,FALSE),0)</f>
        <v>0</v>
      </c>
      <c r="AW71" s="953">
        <f>IFERROR(VLOOKUP($AO71,costs!$A$2:$I$2905,AW$2,FALSE),0)</f>
        <v>0</v>
      </c>
      <c r="AY71" s="40" t="s">
        <v>2122</v>
      </c>
      <c r="AZ71" s="372">
        <f>IFERROR(VLOOKUP($AY71,costs!$A$2:$I$2905,AZ$2,FALSE),0)</f>
        <v>0</v>
      </c>
      <c r="BA71" s="372">
        <f>IFERROR(VLOOKUP($AY71,costs!$A$2:$I$2905,BA$2,FALSE),0)</f>
        <v>0</v>
      </c>
      <c r="BB71" s="372">
        <f>IFERROR(VLOOKUP($AY71,costs!$A$2:$I$2905,BB$2,FALSE),0)</f>
        <v>0</v>
      </c>
      <c r="BC71" s="372">
        <f>IFERROR(VLOOKUP($AY71,costs!$A$2:$I$2905,BC$2,FALSE),0)</f>
        <v>0</v>
      </c>
      <c r="BD71" s="372">
        <f>IFERROR(VLOOKUP($AY71,costs!$A$2:$I$2905,BD$2,FALSE),0)</f>
        <v>0</v>
      </c>
      <c r="BE71" s="372">
        <f>IFERROR(VLOOKUP($AY71,costs!$A$2:$I$2905,BE$2,FALSE),0)</f>
        <v>0</v>
      </c>
      <c r="BF71" s="372">
        <f>IFERROR(VLOOKUP($AY71,costs!$A$2:$I$2905,BF$2,FALSE),0)</f>
        <v>0</v>
      </c>
      <c r="BG71" s="372">
        <f>IFERROR(VLOOKUP($AY71,costs!$A$2:$I$2905,BG$2,FALSE),0)</f>
        <v>0</v>
      </c>
    </row>
    <row r="72" spans="2:59" x14ac:dyDescent="0.35">
      <c r="U72" s="40" t="s">
        <v>506</v>
      </c>
      <c r="V72" s="372">
        <f>IFERROR(VLOOKUP($U72,costs!$A$2:$I$2905,V$2,FALSE),0)</f>
        <v>0</v>
      </c>
      <c r="W72" s="372">
        <f>IFERROR(VLOOKUP($U72,costs!$A$2:$I$2905,W$2,FALSE),0)</f>
        <v>0</v>
      </c>
      <c r="X72" s="372">
        <f>IFERROR(VLOOKUP($U72,costs!$A$2:$I$2905,X$2,FALSE),0)</f>
        <v>0</v>
      </c>
      <c r="Y72" s="372">
        <f>IFERROR(VLOOKUP($U72,costs!$A$2:$I$2905,Y$2,FALSE),0)</f>
        <v>0</v>
      </c>
      <c r="Z72" s="372">
        <f>IFERROR(VLOOKUP($U72,costs!$A$2:$I$2905,Z$2,FALSE),0)</f>
        <v>0</v>
      </c>
      <c r="AA72" s="372">
        <f>IFERROR(VLOOKUP($U72,costs!$A$2:$I$2905,AA$2,FALSE),0)</f>
        <v>0</v>
      </c>
      <c r="AB72" s="372">
        <f>IFERROR(VLOOKUP($U72,costs!$A$2:$I$2905,AB$2,FALSE),0)</f>
        <v>0</v>
      </c>
      <c r="AC72" s="372">
        <f>IFERROR(VLOOKUP($U72,costs!$A$2:$I$2905,AC$2,FALSE),0)</f>
        <v>0</v>
      </c>
      <c r="AE72" s="40" t="s">
        <v>2565</v>
      </c>
      <c r="AF72" s="372">
        <f>IFERROR(VLOOKUP($AE72,costs!$A$2:$I$2905,AF$2,FALSE),0)</f>
        <v>0</v>
      </c>
      <c r="AG72" s="372">
        <f>IFERROR(VLOOKUP($AE72,costs!$A$2:$I$2905,AG$2,FALSE),0)</f>
        <v>0</v>
      </c>
      <c r="AH72" s="372">
        <f>IFERROR(VLOOKUP($AE72,costs!$A$2:$I$2905,AH$2,FALSE),0)</f>
        <v>0</v>
      </c>
      <c r="AI72" s="372">
        <f>IFERROR(VLOOKUP($AE72,costs!$A$2:$I$2905,AI$2,FALSE),0)</f>
        <v>0</v>
      </c>
      <c r="AJ72" s="372">
        <f>IFERROR(VLOOKUP($AE72,costs!$A$2:$I$2905,AJ$2,FALSE),0)</f>
        <v>0</v>
      </c>
      <c r="AK72" s="372">
        <f>IFERROR(VLOOKUP($AE72,costs!$A$2:$I$2905,AK$2,FALSE),0)</f>
        <v>0</v>
      </c>
      <c r="AL72" s="372">
        <f>IFERROR(VLOOKUP($AE72,costs!$A$2:$I$2905,AL$2,FALSE),0)</f>
        <v>0</v>
      </c>
      <c r="AM72" s="372">
        <f>IFERROR(VLOOKUP($AE72,costs!$A$2:$I$2905,AM$2,FALSE),0)</f>
        <v>0</v>
      </c>
      <c r="AO72" s="40" t="s">
        <v>179</v>
      </c>
      <c r="AP72" s="953">
        <f>IFERROR(VLOOKUP($AO72,costs!$A$2:$I$2905,AP$2,FALSE),0)</f>
        <v>0</v>
      </c>
      <c r="AQ72" s="953">
        <f>IFERROR(VLOOKUP($AO72,costs!$A$2:$I$2905,AQ$2,FALSE),0)</f>
        <v>0</v>
      </c>
      <c r="AR72" s="953">
        <f>IFERROR(VLOOKUP($AO72,costs!$A$2:$I$2905,AR$2,FALSE),0)</f>
        <v>0</v>
      </c>
      <c r="AS72" s="953">
        <f>IFERROR(VLOOKUP($AO72,costs!$A$2:$I$2905,AS$2,FALSE),0)</f>
        <v>0</v>
      </c>
      <c r="AT72" s="953">
        <f>IFERROR(VLOOKUP($AO72,costs!$A$2:$I$2905,AT$2,FALSE),0)</f>
        <v>0</v>
      </c>
      <c r="AU72" s="953">
        <f>IFERROR(VLOOKUP($AO72,costs!$A$2:$I$2905,AU$2,FALSE),0)</f>
        <v>0</v>
      </c>
      <c r="AV72" s="953">
        <f>IFERROR(VLOOKUP($AO72,costs!$A$2:$I$2905,AV$2,FALSE),0)</f>
        <v>0</v>
      </c>
      <c r="AW72" s="953">
        <f>IFERROR(VLOOKUP($AO72,costs!$A$2:$I$2905,AW$2,FALSE),0)</f>
        <v>0</v>
      </c>
      <c r="AY72" s="949" t="s">
        <v>401</v>
      </c>
      <c r="AZ72" s="372">
        <f>IFERROR(VLOOKUP($AY72,costs!$A$2:$I$2905,AZ$2,FALSE),0)</f>
        <v>0</v>
      </c>
      <c r="BA72" s="372">
        <f>IFERROR(VLOOKUP($AY72,costs!$A$2:$I$2905,BA$2,FALSE),0)</f>
        <v>0</v>
      </c>
      <c r="BB72" s="372">
        <f>IFERROR(VLOOKUP($AY72,costs!$A$2:$I$2905,BB$2,FALSE),0)</f>
        <v>0</v>
      </c>
      <c r="BC72" s="372">
        <f>IFERROR(VLOOKUP($AY72,costs!$A$2:$I$2905,BC$2,FALSE),0)</f>
        <v>0</v>
      </c>
      <c r="BD72" s="372">
        <f>IFERROR(VLOOKUP($AY72,costs!$A$2:$I$2905,BD$2,FALSE),0)</f>
        <v>0</v>
      </c>
      <c r="BE72" s="372">
        <f>IFERROR(VLOOKUP($AY72,costs!$A$2:$I$2905,BE$2,FALSE),0)</f>
        <v>0</v>
      </c>
      <c r="BF72" s="372">
        <f>IFERROR(VLOOKUP($AY72,costs!$A$2:$I$2905,BF$2,FALSE),0)</f>
        <v>0</v>
      </c>
      <c r="BG72" s="372">
        <f>IFERROR(VLOOKUP($AY72,costs!$A$2:$I$2905,BG$2,FALSE),0)</f>
        <v>0</v>
      </c>
    </row>
    <row r="73" spans="2:59" x14ac:dyDescent="0.35">
      <c r="U73" s="949" t="s">
        <v>2059</v>
      </c>
      <c r="V73" s="372">
        <f>IFERROR(VLOOKUP($U73,costs!$A$2:$I$2905,V$2,FALSE),0)</f>
        <v>0</v>
      </c>
      <c r="W73" s="372">
        <f>IFERROR(VLOOKUP($U73,costs!$A$2:$I$2905,W$2,FALSE),0)</f>
        <v>0</v>
      </c>
      <c r="X73" s="372">
        <f>IFERROR(VLOOKUP($U73,costs!$A$2:$I$2905,X$2,FALSE),0)</f>
        <v>0</v>
      </c>
      <c r="Y73" s="372">
        <f>IFERROR(VLOOKUP($U73,costs!$A$2:$I$2905,Y$2,FALSE),0)</f>
        <v>0</v>
      </c>
      <c r="Z73" s="372">
        <f>IFERROR(VLOOKUP($U73,costs!$A$2:$I$2905,Z$2,FALSE),0)</f>
        <v>0</v>
      </c>
      <c r="AA73" s="372">
        <f>IFERROR(VLOOKUP($U73,costs!$A$2:$I$2905,AA$2,FALSE),0)</f>
        <v>0</v>
      </c>
      <c r="AB73" s="372">
        <f>IFERROR(VLOOKUP($U73,costs!$A$2:$I$2905,AB$2,FALSE),0)</f>
        <v>0</v>
      </c>
      <c r="AC73" s="372">
        <f>IFERROR(VLOOKUP($U73,costs!$A$2:$I$2905,AC$2,FALSE),0)</f>
        <v>0</v>
      </c>
      <c r="AE73" s="40" t="s">
        <v>4341</v>
      </c>
      <c r="AF73" s="372">
        <f>IFERROR(VLOOKUP($AE73,costs!$A$2:$I$2905,AF$2,FALSE),0)</f>
        <v>0</v>
      </c>
      <c r="AG73" s="372">
        <f>IFERROR(VLOOKUP($AE73,costs!$A$2:$I$2905,AG$2,FALSE),0)</f>
        <v>0</v>
      </c>
      <c r="AH73" s="372">
        <f>IFERROR(VLOOKUP($AE73,costs!$A$2:$I$2905,AH$2,FALSE),0)</f>
        <v>0</v>
      </c>
      <c r="AI73" s="372">
        <f>IFERROR(VLOOKUP($AE73,costs!$A$2:$I$2905,AI$2,FALSE),0)</f>
        <v>0</v>
      </c>
      <c r="AJ73" s="372">
        <f>IFERROR(VLOOKUP($AE73,costs!$A$2:$I$2905,AJ$2,FALSE),0)</f>
        <v>0</v>
      </c>
      <c r="AK73" s="372">
        <f>IFERROR(VLOOKUP($AE73,costs!$A$2:$I$2905,AK$2,FALSE),0)</f>
        <v>0</v>
      </c>
      <c r="AL73" s="372">
        <f>IFERROR(VLOOKUP($AE73,costs!$A$2:$I$2905,AL$2,FALSE),0)</f>
        <v>0</v>
      </c>
      <c r="AM73" s="372">
        <f>IFERROR(VLOOKUP($AE73,costs!$A$2:$I$2905,AM$2,FALSE),0)</f>
        <v>0</v>
      </c>
      <c r="AO73" s="949" t="s">
        <v>2107</v>
      </c>
      <c r="AP73" s="953">
        <f>IFERROR(VLOOKUP($AO73,costs!$A$2:$I$2905,AP$2,FALSE),0)</f>
        <v>0</v>
      </c>
      <c r="AQ73" s="953">
        <f>IFERROR(VLOOKUP($AO73,costs!$A$2:$I$2905,AQ$2,FALSE),0)</f>
        <v>0</v>
      </c>
      <c r="AR73" s="953">
        <f>IFERROR(VLOOKUP($AO73,costs!$A$2:$I$2905,AR$2,FALSE),0)</f>
        <v>0</v>
      </c>
      <c r="AS73" s="953">
        <f>IFERROR(VLOOKUP($AO73,costs!$A$2:$I$2905,AS$2,FALSE),0)</f>
        <v>0</v>
      </c>
      <c r="AT73" s="953">
        <f>IFERROR(VLOOKUP($AO73,costs!$A$2:$I$2905,AT$2,FALSE),0)</f>
        <v>0</v>
      </c>
      <c r="AU73" s="953">
        <f>IFERROR(VLOOKUP($AO73,costs!$A$2:$I$2905,AU$2,FALSE),0)</f>
        <v>0</v>
      </c>
      <c r="AV73" s="953">
        <f>IFERROR(VLOOKUP($AO73,costs!$A$2:$I$2905,AV$2,FALSE),0)</f>
        <v>0</v>
      </c>
      <c r="AW73" s="953">
        <f>IFERROR(VLOOKUP($AO73,costs!$A$2:$I$2905,AW$2,FALSE),0)</f>
        <v>0</v>
      </c>
      <c r="AY73" s="40" t="s">
        <v>402</v>
      </c>
      <c r="AZ73" s="372">
        <f>IFERROR(VLOOKUP($AY73,costs!$A$2:$I$2905,AZ$2,FALSE),0)</f>
        <v>0</v>
      </c>
      <c r="BA73" s="372">
        <f>IFERROR(VLOOKUP($AY73,costs!$A$2:$I$2905,BA$2,FALSE),0)</f>
        <v>0</v>
      </c>
      <c r="BB73" s="372">
        <f>IFERROR(VLOOKUP($AY73,costs!$A$2:$I$2905,BB$2,FALSE),0)</f>
        <v>0</v>
      </c>
      <c r="BC73" s="372">
        <f>IFERROR(VLOOKUP($AY73,costs!$A$2:$I$2905,BC$2,FALSE),0)</f>
        <v>0</v>
      </c>
      <c r="BD73" s="372">
        <f>IFERROR(VLOOKUP($AY73,costs!$A$2:$I$2905,BD$2,FALSE),0)</f>
        <v>0</v>
      </c>
      <c r="BE73" s="372">
        <f>IFERROR(VLOOKUP($AY73,costs!$A$2:$I$2905,BE$2,FALSE),0)</f>
        <v>0</v>
      </c>
      <c r="BF73" s="372">
        <f>IFERROR(VLOOKUP($AY73,costs!$A$2:$I$2905,BF$2,FALSE),0)</f>
        <v>0</v>
      </c>
      <c r="BG73" s="372">
        <f>IFERROR(VLOOKUP($AY73,costs!$A$2:$I$2905,BG$2,FALSE),0)</f>
        <v>0</v>
      </c>
    </row>
    <row r="74" spans="2:59" x14ac:dyDescent="0.35">
      <c r="U74" s="40" t="s">
        <v>503</v>
      </c>
      <c r="V74" s="372">
        <f>IFERROR(VLOOKUP($U74,costs!$A$2:$I$2905,V$2,FALSE),0)</f>
        <v>0</v>
      </c>
      <c r="W74" s="372">
        <f>IFERROR(VLOOKUP($U74,costs!$A$2:$I$2905,W$2,FALSE),0)</f>
        <v>0</v>
      </c>
      <c r="X74" s="372">
        <f>IFERROR(VLOOKUP($U74,costs!$A$2:$I$2905,X$2,FALSE),0)</f>
        <v>0</v>
      </c>
      <c r="Y74" s="372">
        <f>IFERROR(VLOOKUP($U74,costs!$A$2:$I$2905,Y$2,FALSE),0)</f>
        <v>0</v>
      </c>
      <c r="Z74" s="372">
        <f>IFERROR(VLOOKUP($U74,costs!$A$2:$I$2905,Z$2,FALSE),0)</f>
        <v>0</v>
      </c>
      <c r="AA74" s="372">
        <f>IFERROR(VLOOKUP($U74,costs!$A$2:$I$2905,AA$2,FALSE),0)</f>
        <v>0</v>
      </c>
      <c r="AB74" s="372">
        <f>IFERROR(VLOOKUP($U74,costs!$A$2:$I$2905,AB$2,FALSE),0)</f>
        <v>0</v>
      </c>
      <c r="AC74" s="372">
        <f>IFERROR(VLOOKUP($U74,costs!$A$2:$I$2905,AC$2,FALSE),0)</f>
        <v>0</v>
      </c>
      <c r="AE74" s="40" t="s">
        <v>2566</v>
      </c>
      <c r="AF74" s="372">
        <f>IFERROR(VLOOKUP($AE74,costs!$A$2:$I$2905,AF$2,FALSE),0)</f>
        <v>0</v>
      </c>
      <c r="AG74" s="372">
        <f>IFERROR(VLOOKUP($AE74,costs!$A$2:$I$2905,AG$2,FALSE),0)</f>
        <v>0</v>
      </c>
      <c r="AH74" s="372">
        <f>IFERROR(VLOOKUP($AE74,costs!$A$2:$I$2905,AH$2,FALSE),0)</f>
        <v>0</v>
      </c>
      <c r="AI74" s="372">
        <f>IFERROR(VLOOKUP($AE74,costs!$A$2:$I$2905,AI$2,FALSE),0)</f>
        <v>0</v>
      </c>
      <c r="AJ74" s="372">
        <f>IFERROR(VLOOKUP($AE74,costs!$A$2:$I$2905,AJ$2,FALSE),0)</f>
        <v>0</v>
      </c>
      <c r="AK74" s="372">
        <f>IFERROR(VLOOKUP($AE74,costs!$A$2:$I$2905,AK$2,FALSE),0)</f>
        <v>0</v>
      </c>
      <c r="AL74" s="372">
        <f>IFERROR(VLOOKUP($AE74,costs!$A$2:$I$2905,AL$2,FALSE),0)</f>
        <v>0</v>
      </c>
      <c r="AM74" s="372">
        <f>IFERROR(VLOOKUP($AE74,costs!$A$2:$I$2905,AM$2,FALSE),0)</f>
        <v>0</v>
      </c>
      <c r="AO74" s="40" t="s">
        <v>470</v>
      </c>
      <c r="AP74" s="953">
        <f>IFERROR(VLOOKUP($AO74,costs!$A$2:$I$2905,AP$2,FALSE),0)</f>
        <v>0</v>
      </c>
      <c r="AQ74" s="953">
        <f>IFERROR(VLOOKUP($AO74,costs!$A$2:$I$2905,AQ$2,FALSE),0)</f>
        <v>0</v>
      </c>
      <c r="AR74" s="953">
        <f>IFERROR(VLOOKUP($AO74,costs!$A$2:$I$2905,AR$2,FALSE),0)</f>
        <v>0</v>
      </c>
      <c r="AS74" s="953">
        <f>IFERROR(VLOOKUP($AO74,costs!$A$2:$I$2905,AS$2,FALSE),0)</f>
        <v>0</v>
      </c>
      <c r="AT74" s="953">
        <f>IFERROR(VLOOKUP($AO74,costs!$A$2:$I$2905,AT$2,FALSE),0)</f>
        <v>0</v>
      </c>
      <c r="AU74" s="953">
        <f>IFERROR(VLOOKUP($AO74,costs!$A$2:$I$2905,AU$2,FALSE),0)</f>
        <v>0</v>
      </c>
      <c r="AV74" s="953">
        <f>IFERROR(VLOOKUP($AO74,costs!$A$2:$I$2905,AV$2,FALSE),0)</f>
        <v>0</v>
      </c>
      <c r="AW74" s="953">
        <f>IFERROR(VLOOKUP($AO74,costs!$A$2:$I$2905,AW$2,FALSE),0)</f>
        <v>0</v>
      </c>
      <c r="AY74" s="949" t="s">
        <v>2123</v>
      </c>
      <c r="AZ74" s="372">
        <f>IFERROR(VLOOKUP($AY74,costs!$A$2:$I$2905,AZ$2,FALSE),0)</f>
        <v>0</v>
      </c>
      <c r="BA74" s="372">
        <f>IFERROR(VLOOKUP($AY74,costs!$A$2:$I$2905,BA$2,FALSE),0)</f>
        <v>0</v>
      </c>
      <c r="BB74" s="372">
        <f>IFERROR(VLOOKUP($AY74,costs!$A$2:$I$2905,BB$2,FALSE),0)</f>
        <v>0</v>
      </c>
      <c r="BC74" s="372">
        <f>IFERROR(VLOOKUP($AY74,costs!$A$2:$I$2905,BC$2,FALSE),0)</f>
        <v>0</v>
      </c>
      <c r="BD74" s="372">
        <f>IFERROR(VLOOKUP($AY74,costs!$A$2:$I$2905,BD$2,FALSE),0)</f>
        <v>0</v>
      </c>
      <c r="BE74" s="372">
        <f>IFERROR(VLOOKUP($AY74,costs!$A$2:$I$2905,BE$2,FALSE),0)</f>
        <v>0</v>
      </c>
      <c r="BF74" s="372">
        <f>IFERROR(VLOOKUP($AY74,costs!$A$2:$I$2905,BF$2,FALSE),0)</f>
        <v>0</v>
      </c>
      <c r="BG74" s="372">
        <f>IFERROR(VLOOKUP($AY74,costs!$A$2:$I$2905,BG$2,FALSE),0)</f>
        <v>0</v>
      </c>
    </row>
    <row r="75" spans="2:59" x14ac:dyDescent="0.35">
      <c r="U75" s="949" t="s">
        <v>504</v>
      </c>
      <c r="V75" s="372">
        <f>IFERROR(VLOOKUP($U75,costs!$A$2:$I$2905,V$2,FALSE),0)</f>
        <v>0</v>
      </c>
      <c r="W75" s="372">
        <f>IFERROR(VLOOKUP($U75,costs!$A$2:$I$2905,W$2,FALSE),0)</f>
        <v>0</v>
      </c>
      <c r="X75" s="372">
        <f>IFERROR(VLOOKUP($U75,costs!$A$2:$I$2905,X$2,FALSE),0)</f>
        <v>0</v>
      </c>
      <c r="Y75" s="372">
        <f>IFERROR(VLOOKUP($U75,costs!$A$2:$I$2905,Y$2,FALSE),0)</f>
        <v>0</v>
      </c>
      <c r="Z75" s="372">
        <f>IFERROR(VLOOKUP($U75,costs!$A$2:$I$2905,Z$2,FALSE),0)</f>
        <v>0</v>
      </c>
      <c r="AA75" s="372">
        <f>IFERROR(VLOOKUP($U75,costs!$A$2:$I$2905,AA$2,FALSE),0)</f>
        <v>0</v>
      </c>
      <c r="AB75" s="372">
        <f>IFERROR(VLOOKUP($U75,costs!$A$2:$I$2905,AB$2,FALSE),0)</f>
        <v>0</v>
      </c>
      <c r="AC75" s="372">
        <f>IFERROR(VLOOKUP($U75,costs!$A$2:$I$2905,AC$2,FALSE),0)</f>
        <v>0</v>
      </c>
      <c r="AE75" s="40" t="s">
        <v>2567</v>
      </c>
      <c r="AF75" s="372">
        <f>IFERROR(VLOOKUP($AE75,costs!$A$2:$I$2905,AF$2,FALSE),0)</f>
        <v>0</v>
      </c>
      <c r="AG75" s="372">
        <f>IFERROR(VLOOKUP($AE75,costs!$A$2:$I$2905,AG$2,FALSE),0)</f>
        <v>0</v>
      </c>
      <c r="AH75" s="372">
        <f>IFERROR(VLOOKUP($AE75,costs!$A$2:$I$2905,AH$2,FALSE),0)</f>
        <v>0</v>
      </c>
      <c r="AI75" s="372">
        <f>IFERROR(VLOOKUP($AE75,costs!$A$2:$I$2905,AI$2,FALSE),0)</f>
        <v>0</v>
      </c>
      <c r="AJ75" s="372">
        <f>IFERROR(VLOOKUP($AE75,costs!$A$2:$I$2905,AJ$2,FALSE),0)</f>
        <v>0</v>
      </c>
      <c r="AK75" s="372">
        <f>IFERROR(VLOOKUP($AE75,costs!$A$2:$I$2905,AK$2,FALSE),0)</f>
        <v>0</v>
      </c>
      <c r="AL75" s="372">
        <f>IFERROR(VLOOKUP($AE75,costs!$A$2:$I$2905,AL$2,FALSE),0)</f>
        <v>0</v>
      </c>
      <c r="AM75" s="372">
        <f>IFERROR(VLOOKUP($AE75,costs!$A$2:$I$2905,AM$2,FALSE),0)</f>
        <v>0</v>
      </c>
      <c r="AO75" s="40" t="s">
        <v>471</v>
      </c>
      <c r="AP75" s="953">
        <f>IFERROR(VLOOKUP($AO75,costs!$A$2:$I$2905,AP$2,FALSE),0)</f>
        <v>0</v>
      </c>
      <c r="AQ75" s="953">
        <f>IFERROR(VLOOKUP($AO75,costs!$A$2:$I$2905,AQ$2,FALSE),0)</f>
        <v>0</v>
      </c>
      <c r="AR75" s="953">
        <f>IFERROR(VLOOKUP($AO75,costs!$A$2:$I$2905,AR$2,FALSE),0)</f>
        <v>0</v>
      </c>
      <c r="AS75" s="953">
        <f>IFERROR(VLOOKUP($AO75,costs!$A$2:$I$2905,AS$2,FALSE),0)</f>
        <v>0</v>
      </c>
      <c r="AT75" s="953">
        <f>IFERROR(VLOOKUP($AO75,costs!$A$2:$I$2905,AT$2,FALSE),0)</f>
        <v>0</v>
      </c>
      <c r="AU75" s="953">
        <f>IFERROR(VLOOKUP($AO75,costs!$A$2:$I$2905,AU$2,FALSE),0)</f>
        <v>0</v>
      </c>
      <c r="AV75" s="953">
        <f>IFERROR(VLOOKUP($AO75,costs!$A$2:$I$2905,AV$2,FALSE),0)</f>
        <v>0</v>
      </c>
      <c r="AW75" s="953">
        <f>IFERROR(VLOOKUP($AO75,costs!$A$2:$I$2905,AW$2,FALSE),0)</f>
        <v>0</v>
      </c>
      <c r="AY75" s="40" t="s">
        <v>403</v>
      </c>
      <c r="AZ75" s="372">
        <f>IFERROR(VLOOKUP($AY75,costs!$A$2:$I$2905,AZ$2,FALSE),0)</f>
        <v>0</v>
      </c>
      <c r="BA75" s="372">
        <f>IFERROR(VLOOKUP($AY75,costs!$A$2:$I$2905,BA$2,FALSE),0)</f>
        <v>0</v>
      </c>
      <c r="BB75" s="372">
        <f>IFERROR(VLOOKUP($AY75,costs!$A$2:$I$2905,BB$2,FALSE),0)</f>
        <v>0</v>
      </c>
      <c r="BC75" s="372">
        <f>IFERROR(VLOOKUP($AY75,costs!$A$2:$I$2905,BC$2,FALSE),0)</f>
        <v>0</v>
      </c>
      <c r="BD75" s="372">
        <f>IFERROR(VLOOKUP($AY75,costs!$A$2:$I$2905,BD$2,FALSE),0)</f>
        <v>0</v>
      </c>
      <c r="BE75" s="372">
        <f>IFERROR(VLOOKUP($AY75,costs!$A$2:$I$2905,BE$2,FALSE),0)</f>
        <v>0</v>
      </c>
      <c r="BF75" s="372">
        <f>IFERROR(VLOOKUP($AY75,costs!$A$2:$I$2905,BF$2,FALSE),0)</f>
        <v>0</v>
      </c>
      <c r="BG75" s="372">
        <f>IFERROR(VLOOKUP($AY75,costs!$A$2:$I$2905,BG$2,FALSE),0)</f>
        <v>0</v>
      </c>
    </row>
    <row r="76" spans="2:59" x14ac:dyDescent="0.35">
      <c r="U76" s="40" t="s">
        <v>2060</v>
      </c>
      <c r="V76" s="372">
        <f>IFERROR(VLOOKUP($U76,costs!$A$2:$I$2905,V$2,FALSE),0)</f>
        <v>0</v>
      </c>
      <c r="W76" s="372">
        <f>IFERROR(VLOOKUP($U76,costs!$A$2:$I$2905,W$2,FALSE),0)</f>
        <v>0</v>
      </c>
      <c r="X76" s="372">
        <f>IFERROR(VLOOKUP($U76,costs!$A$2:$I$2905,X$2,FALSE),0)</f>
        <v>0</v>
      </c>
      <c r="Y76" s="372">
        <f>IFERROR(VLOOKUP($U76,costs!$A$2:$I$2905,Y$2,FALSE),0)</f>
        <v>0</v>
      </c>
      <c r="Z76" s="372">
        <f>IFERROR(VLOOKUP($U76,costs!$A$2:$I$2905,Z$2,FALSE),0)</f>
        <v>0</v>
      </c>
      <c r="AA76" s="372">
        <f>IFERROR(VLOOKUP($U76,costs!$A$2:$I$2905,AA$2,FALSE),0)</f>
        <v>0</v>
      </c>
      <c r="AB76" s="372">
        <f>IFERROR(VLOOKUP($U76,costs!$A$2:$I$2905,AB$2,FALSE),0)</f>
        <v>0</v>
      </c>
      <c r="AC76" s="372">
        <f>IFERROR(VLOOKUP($U76,costs!$A$2:$I$2905,AC$2,FALSE),0)</f>
        <v>0</v>
      </c>
      <c r="AE76" s="40" t="s">
        <v>2568</v>
      </c>
      <c r="AF76" s="372">
        <f>IFERROR(VLOOKUP($AE76,costs!$A$2:$I$2905,AF$2,FALSE),0)</f>
        <v>0</v>
      </c>
      <c r="AG76" s="372">
        <f>IFERROR(VLOOKUP($AE76,costs!$A$2:$I$2905,AG$2,FALSE),0)</f>
        <v>0</v>
      </c>
      <c r="AH76" s="372">
        <f>IFERROR(VLOOKUP($AE76,costs!$A$2:$I$2905,AH$2,FALSE),0)</f>
        <v>0</v>
      </c>
      <c r="AI76" s="372">
        <f>IFERROR(VLOOKUP($AE76,costs!$A$2:$I$2905,AI$2,FALSE),0)</f>
        <v>0</v>
      </c>
      <c r="AJ76" s="372">
        <f>IFERROR(VLOOKUP($AE76,costs!$A$2:$I$2905,AJ$2,FALSE),0)</f>
        <v>0</v>
      </c>
      <c r="AK76" s="372">
        <f>IFERROR(VLOOKUP($AE76,costs!$A$2:$I$2905,AK$2,FALSE),0)</f>
        <v>0</v>
      </c>
      <c r="AL76" s="372">
        <f>IFERROR(VLOOKUP($AE76,costs!$A$2:$I$2905,AL$2,FALSE),0)</f>
        <v>0</v>
      </c>
      <c r="AM76" s="372">
        <f>IFERROR(VLOOKUP($AE76,costs!$A$2:$I$2905,AM$2,FALSE),0)</f>
        <v>0</v>
      </c>
      <c r="AO76" s="949" t="s">
        <v>472</v>
      </c>
      <c r="AP76" s="953">
        <f>IFERROR(VLOOKUP($AO76,costs!$A$2:$I$2905,AP$2,FALSE),0)</f>
        <v>0</v>
      </c>
      <c r="AQ76" s="953">
        <f>IFERROR(VLOOKUP($AO76,costs!$A$2:$I$2905,AQ$2,FALSE),0)</f>
        <v>0</v>
      </c>
      <c r="AR76" s="953">
        <f>IFERROR(VLOOKUP($AO76,costs!$A$2:$I$2905,AR$2,FALSE),0)</f>
        <v>0</v>
      </c>
      <c r="AS76" s="953">
        <f>IFERROR(VLOOKUP($AO76,costs!$A$2:$I$2905,AS$2,FALSE),0)</f>
        <v>0</v>
      </c>
      <c r="AT76" s="953">
        <f>IFERROR(VLOOKUP($AO76,costs!$A$2:$I$2905,AT$2,FALSE),0)</f>
        <v>0</v>
      </c>
      <c r="AU76" s="953">
        <f>IFERROR(VLOOKUP($AO76,costs!$A$2:$I$2905,AU$2,FALSE),0)</f>
        <v>0</v>
      </c>
      <c r="AV76" s="953">
        <f>IFERROR(VLOOKUP($AO76,costs!$A$2:$I$2905,AV$2,FALSE),0)</f>
        <v>0</v>
      </c>
      <c r="AW76" s="953">
        <f>IFERROR(VLOOKUP($AO76,costs!$A$2:$I$2905,AW$2,FALSE),0)</f>
        <v>0</v>
      </c>
      <c r="AY76" s="949" t="s">
        <v>2124</v>
      </c>
      <c r="AZ76" s="372">
        <f>IFERROR(VLOOKUP($AY76,costs!$A$2:$I$2905,AZ$2,FALSE),0)</f>
        <v>0</v>
      </c>
      <c r="BA76" s="372">
        <f>IFERROR(VLOOKUP($AY76,costs!$A$2:$I$2905,BA$2,FALSE),0)</f>
        <v>0</v>
      </c>
      <c r="BB76" s="372">
        <f>IFERROR(VLOOKUP($AY76,costs!$A$2:$I$2905,BB$2,FALSE),0)</f>
        <v>0</v>
      </c>
      <c r="BC76" s="372">
        <f>IFERROR(VLOOKUP($AY76,costs!$A$2:$I$2905,BC$2,FALSE),0)</f>
        <v>0</v>
      </c>
      <c r="BD76" s="372">
        <f>IFERROR(VLOOKUP($AY76,costs!$A$2:$I$2905,BD$2,FALSE),0)</f>
        <v>0</v>
      </c>
      <c r="BE76" s="372">
        <f>IFERROR(VLOOKUP($AY76,costs!$A$2:$I$2905,BE$2,FALSE),0)</f>
        <v>0</v>
      </c>
      <c r="BF76" s="372">
        <f>IFERROR(VLOOKUP($AY76,costs!$A$2:$I$2905,BF$2,FALSE),0)</f>
        <v>0</v>
      </c>
      <c r="BG76" s="372">
        <f>IFERROR(VLOOKUP($AY76,costs!$A$2:$I$2905,BG$2,FALSE),0)</f>
        <v>0</v>
      </c>
    </row>
    <row r="77" spans="2:59" x14ac:dyDescent="0.35">
      <c r="U77" s="949" t="s">
        <v>357</v>
      </c>
      <c r="V77" s="372">
        <f>IFERROR(VLOOKUP($U77,costs!$A$2:$I$2905,V$2,FALSE),0)</f>
        <v>0</v>
      </c>
      <c r="W77" s="372">
        <f>IFERROR(VLOOKUP($U77,costs!$A$2:$I$2905,W$2,FALSE),0)</f>
        <v>0</v>
      </c>
      <c r="X77" s="372">
        <f>IFERROR(VLOOKUP($U77,costs!$A$2:$I$2905,X$2,FALSE),0)</f>
        <v>0</v>
      </c>
      <c r="Y77" s="372">
        <f>IFERROR(VLOOKUP($U77,costs!$A$2:$I$2905,Y$2,FALSE),0)</f>
        <v>0</v>
      </c>
      <c r="Z77" s="372">
        <f>IFERROR(VLOOKUP($U77,costs!$A$2:$I$2905,Z$2,FALSE),0)</f>
        <v>0</v>
      </c>
      <c r="AA77" s="372">
        <f>IFERROR(VLOOKUP($U77,costs!$A$2:$I$2905,AA$2,FALSE),0)</f>
        <v>0</v>
      </c>
      <c r="AB77" s="372">
        <f>IFERROR(VLOOKUP($U77,costs!$A$2:$I$2905,AB$2,FALSE),0)</f>
        <v>0</v>
      </c>
      <c r="AC77" s="372">
        <f>IFERROR(VLOOKUP($U77,costs!$A$2:$I$2905,AC$2,FALSE),0)</f>
        <v>0</v>
      </c>
      <c r="AE77" s="40" t="s">
        <v>2569</v>
      </c>
      <c r="AF77" s="372">
        <f>IFERROR(VLOOKUP($AE77,costs!$A$2:$I$2905,AF$2,FALSE),0)</f>
        <v>0</v>
      </c>
      <c r="AG77" s="372">
        <f>IFERROR(VLOOKUP($AE77,costs!$A$2:$I$2905,AG$2,FALSE),0)</f>
        <v>0</v>
      </c>
      <c r="AH77" s="372">
        <f>IFERROR(VLOOKUP($AE77,costs!$A$2:$I$2905,AH$2,FALSE),0)</f>
        <v>0</v>
      </c>
      <c r="AI77" s="372">
        <f>IFERROR(VLOOKUP($AE77,costs!$A$2:$I$2905,AI$2,FALSE),0)</f>
        <v>0</v>
      </c>
      <c r="AJ77" s="372">
        <f>IFERROR(VLOOKUP($AE77,costs!$A$2:$I$2905,AJ$2,FALSE),0)</f>
        <v>0</v>
      </c>
      <c r="AK77" s="372">
        <f>IFERROR(VLOOKUP($AE77,costs!$A$2:$I$2905,AK$2,FALSE),0)</f>
        <v>0</v>
      </c>
      <c r="AL77" s="372">
        <f>IFERROR(VLOOKUP($AE77,costs!$A$2:$I$2905,AL$2,FALSE),0)</f>
        <v>0</v>
      </c>
      <c r="AM77" s="372">
        <f>IFERROR(VLOOKUP($AE77,costs!$A$2:$I$2905,AM$2,FALSE),0)</f>
        <v>0</v>
      </c>
      <c r="AO77" s="949" t="s">
        <v>519</v>
      </c>
      <c r="AP77" s="953">
        <f>IFERROR(VLOOKUP($AO77,costs!$A$2:$I$2905,AP$2,FALSE),0)</f>
        <v>0</v>
      </c>
      <c r="AQ77" s="953">
        <f>IFERROR(VLOOKUP($AO77,costs!$A$2:$I$2905,AQ$2,FALSE),0)</f>
        <v>0</v>
      </c>
      <c r="AR77" s="953">
        <f>IFERROR(VLOOKUP($AO77,costs!$A$2:$I$2905,AR$2,FALSE),0)</f>
        <v>0</v>
      </c>
      <c r="AS77" s="953">
        <f>IFERROR(VLOOKUP($AO77,costs!$A$2:$I$2905,AS$2,FALSE),0)</f>
        <v>0</v>
      </c>
      <c r="AT77" s="953">
        <f>IFERROR(VLOOKUP($AO77,costs!$A$2:$I$2905,AT$2,FALSE),0)</f>
        <v>0</v>
      </c>
      <c r="AU77" s="953">
        <f>IFERROR(VLOOKUP($AO77,costs!$A$2:$I$2905,AU$2,FALSE),0)</f>
        <v>0</v>
      </c>
      <c r="AV77" s="953">
        <f>IFERROR(VLOOKUP($AO77,costs!$A$2:$I$2905,AV$2,FALSE),0)</f>
        <v>0</v>
      </c>
      <c r="AW77" s="953">
        <f>IFERROR(VLOOKUP($AO77,costs!$A$2:$I$2905,AW$2,FALSE),0)</f>
        <v>0</v>
      </c>
      <c r="AY77" s="40" t="s">
        <v>404</v>
      </c>
      <c r="AZ77" s="372">
        <f>IFERROR(VLOOKUP($AY77,costs!$A$2:$I$2905,AZ$2,FALSE),0)</f>
        <v>0</v>
      </c>
      <c r="BA77" s="372">
        <f>IFERROR(VLOOKUP($AY77,costs!$A$2:$I$2905,BA$2,FALSE),0)</f>
        <v>0</v>
      </c>
      <c r="BB77" s="372">
        <f>IFERROR(VLOOKUP($AY77,costs!$A$2:$I$2905,BB$2,FALSE),0)</f>
        <v>0</v>
      </c>
      <c r="BC77" s="372">
        <f>IFERROR(VLOOKUP($AY77,costs!$A$2:$I$2905,BC$2,FALSE),0)</f>
        <v>0</v>
      </c>
      <c r="BD77" s="372">
        <f>IFERROR(VLOOKUP($AY77,costs!$A$2:$I$2905,BD$2,FALSE),0)</f>
        <v>0</v>
      </c>
      <c r="BE77" s="372">
        <f>IFERROR(VLOOKUP($AY77,costs!$A$2:$I$2905,BE$2,FALSE),0)</f>
        <v>0</v>
      </c>
      <c r="BF77" s="372">
        <f>IFERROR(VLOOKUP($AY77,costs!$A$2:$I$2905,BF$2,FALSE),0)</f>
        <v>0</v>
      </c>
      <c r="BG77" s="372">
        <f>IFERROR(VLOOKUP($AY77,costs!$A$2:$I$2905,BG$2,FALSE),0)</f>
        <v>0</v>
      </c>
    </row>
    <row r="78" spans="2:59" x14ac:dyDescent="0.35">
      <c r="B78" s="900" t="str">
        <f t="shared" ref="B78:I80" si="16">B3</f>
        <v>TargetYear</v>
      </c>
      <c r="C78" s="900">
        <f t="shared" si="16"/>
        <v>2020</v>
      </c>
      <c r="D78" s="900">
        <f t="shared" si="16"/>
        <v>2025</v>
      </c>
      <c r="E78" s="900">
        <f t="shared" si="16"/>
        <v>2030</v>
      </c>
      <c r="F78" s="900">
        <f t="shared" si="16"/>
        <v>2035</v>
      </c>
      <c r="G78" s="900">
        <f t="shared" si="16"/>
        <v>2040</v>
      </c>
      <c r="H78" s="900">
        <f t="shared" si="16"/>
        <v>2045</v>
      </c>
      <c r="I78" s="900">
        <f t="shared" si="16"/>
        <v>2050</v>
      </c>
      <c r="J78" s="900" t="s">
        <v>4054</v>
      </c>
      <c r="U78" s="40" t="s">
        <v>358</v>
      </c>
      <c r="V78" s="372">
        <f>IFERROR(VLOOKUP($U78,costs!$A$2:$I$2905,V$2,FALSE),0)</f>
        <v>0</v>
      </c>
      <c r="W78" s="372">
        <f>IFERROR(VLOOKUP($U78,costs!$A$2:$I$2905,W$2,FALSE),0)</f>
        <v>0</v>
      </c>
      <c r="X78" s="372">
        <f>IFERROR(VLOOKUP($U78,costs!$A$2:$I$2905,X$2,FALSE),0)</f>
        <v>0</v>
      </c>
      <c r="Y78" s="372">
        <f>IFERROR(VLOOKUP($U78,costs!$A$2:$I$2905,Y$2,FALSE),0)</f>
        <v>0</v>
      </c>
      <c r="Z78" s="372">
        <f>IFERROR(VLOOKUP($U78,costs!$A$2:$I$2905,Z$2,FALSE),0)</f>
        <v>0</v>
      </c>
      <c r="AA78" s="372">
        <f>IFERROR(VLOOKUP($U78,costs!$A$2:$I$2905,AA$2,FALSE),0)</f>
        <v>0</v>
      </c>
      <c r="AB78" s="372">
        <f>IFERROR(VLOOKUP($U78,costs!$A$2:$I$2905,AB$2,FALSE),0)</f>
        <v>0</v>
      </c>
      <c r="AC78" s="372">
        <f>IFERROR(VLOOKUP($U78,costs!$A$2:$I$2905,AC$2,FALSE),0)</f>
        <v>0</v>
      </c>
      <c r="AE78" s="40" t="s">
        <v>4135</v>
      </c>
      <c r="AF78" s="372">
        <f>IFERROR(VLOOKUP($AE78,costs!$A$2:$I$2905,AF$2,FALSE),0)</f>
        <v>0</v>
      </c>
      <c r="AG78" s="372">
        <f>IFERROR(VLOOKUP($AE78,costs!$A$2:$I$2905,AG$2,FALSE),0)</f>
        <v>0</v>
      </c>
      <c r="AH78" s="372">
        <f>IFERROR(VLOOKUP($AE78,costs!$A$2:$I$2905,AH$2,FALSE),0)</f>
        <v>0</v>
      </c>
      <c r="AI78" s="372">
        <f>IFERROR(VLOOKUP($AE78,costs!$A$2:$I$2905,AI$2,FALSE),0)</f>
        <v>0</v>
      </c>
      <c r="AJ78" s="372">
        <f>IFERROR(VLOOKUP($AE78,costs!$A$2:$I$2905,AJ$2,FALSE),0)</f>
        <v>0</v>
      </c>
      <c r="AK78" s="372">
        <f>IFERROR(VLOOKUP($AE78,costs!$A$2:$I$2905,AK$2,FALSE),0)</f>
        <v>0</v>
      </c>
      <c r="AL78" s="372">
        <f>IFERROR(VLOOKUP($AE78,costs!$A$2:$I$2905,AL$2,FALSE),0)</f>
        <v>0</v>
      </c>
      <c r="AM78" s="372">
        <f>IFERROR(VLOOKUP($AE78,costs!$A$2:$I$2905,AM$2,FALSE),0)</f>
        <v>0</v>
      </c>
      <c r="AO78" s="40" t="s">
        <v>2109</v>
      </c>
      <c r="AP78" s="953">
        <f>IFERROR(VLOOKUP($AO78,costs!$A$2:$I$2905,AP$2,FALSE),0)</f>
        <v>0</v>
      </c>
      <c r="AQ78" s="953">
        <f>IFERROR(VLOOKUP($AO78,costs!$A$2:$I$2905,AQ$2,FALSE),0)</f>
        <v>0</v>
      </c>
      <c r="AR78" s="953">
        <f>IFERROR(VLOOKUP($AO78,costs!$A$2:$I$2905,AR$2,FALSE),0)</f>
        <v>0</v>
      </c>
      <c r="AS78" s="953">
        <f>IFERROR(VLOOKUP($AO78,costs!$A$2:$I$2905,AS$2,FALSE),0)</f>
        <v>0</v>
      </c>
      <c r="AT78" s="953">
        <f>IFERROR(VLOOKUP($AO78,costs!$A$2:$I$2905,AT$2,FALSE),0)</f>
        <v>0</v>
      </c>
      <c r="AU78" s="953">
        <f>IFERROR(VLOOKUP($AO78,costs!$A$2:$I$2905,AU$2,FALSE),0)</f>
        <v>0</v>
      </c>
      <c r="AV78" s="953">
        <f>IFERROR(VLOOKUP($AO78,costs!$A$2:$I$2905,AV$2,FALSE),0)</f>
        <v>0</v>
      </c>
      <c r="AW78" s="953">
        <f>IFERROR(VLOOKUP($AO78,costs!$A$2:$I$2905,AW$2,FALSE),0)</f>
        <v>0</v>
      </c>
      <c r="AY78" s="949" t="s">
        <v>405</v>
      </c>
      <c r="AZ78" s="372">
        <f>IFERROR(VLOOKUP($AY78,costs!$A$2:$I$2905,AZ$2,FALSE),0)</f>
        <v>0</v>
      </c>
      <c r="BA78" s="372">
        <f>IFERROR(VLOOKUP($AY78,costs!$A$2:$I$2905,BA$2,FALSE),0)</f>
        <v>0</v>
      </c>
      <c r="BB78" s="372">
        <f>IFERROR(VLOOKUP($AY78,costs!$A$2:$I$2905,BB$2,FALSE),0)</f>
        <v>0</v>
      </c>
      <c r="BC78" s="372">
        <f>IFERROR(VLOOKUP($AY78,costs!$A$2:$I$2905,BC$2,FALSE),0)</f>
        <v>0</v>
      </c>
      <c r="BD78" s="372">
        <f>IFERROR(VLOOKUP($AY78,costs!$A$2:$I$2905,BD$2,FALSE),0)</f>
        <v>0</v>
      </c>
      <c r="BE78" s="372">
        <f>IFERROR(VLOOKUP($AY78,costs!$A$2:$I$2905,BE$2,FALSE),0)</f>
        <v>0</v>
      </c>
      <c r="BF78" s="372">
        <f>IFERROR(VLOOKUP($AY78,costs!$A$2:$I$2905,BF$2,FALSE),0)</f>
        <v>0</v>
      </c>
      <c r="BG78" s="372">
        <f>IFERROR(VLOOKUP($AY78,costs!$A$2:$I$2905,BG$2,FALSE),0)</f>
        <v>0</v>
      </c>
    </row>
    <row r="79" spans="2:59" x14ac:dyDescent="0.35">
      <c r="B79" s="900" t="s">
        <v>1165</v>
      </c>
      <c r="C79" s="900">
        <f t="shared" si="16"/>
        <v>0</v>
      </c>
      <c r="D79" s="900">
        <f t="shared" si="16"/>
        <v>0</v>
      </c>
      <c r="E79" s="900">
        <f t="shared" si="16"/>
        <v>0</v>
      </c>
      <c r="F79" s="900">
        <f t="shared" si="16"/>
        <v>0</v>
      </c>
      <c r="G79" s="900">
        <f t="shared" si="16"/>
        <v>0</v>
      </c>
      <c r="H79" s="900">
        <f t="shared" si="16"/>
        <v>0</v>
      </c>
      <c r="I79" s="900">
        <f t="shared" si="16"/>
        <v>0</v>
      </c>
      <c r="J79" s="900">
        <v>205576.23223365983</v>
      </c>
      <c r="U79" s="949" t="s">
        <v>2061</v>
      </c>
      <c r="V79" s="372">
        <f>IFERROR(VLOOKUP($U79,costs!$A$2:$I$2905,V$2,FALSE),0)</f>
        <v>0</v>
      </c>
      <c r="W79" s="372">
        <f>IFERROR(VLOOKUP($U79,costs!$A$2:$I$2905,W$2,FALSE),0)</f>
        <v>0</v>
      </c>
      <c r="X79" s="372">
        <f>IFERROR(VLOOKUP($U79,costs!$A$2:$I$2905,X$2,FALSE),0)</f>
        <v>0</v>
      </c>
      <c r="Y79" s="372">
        <f>IFERROR(VLOOKUP($U79,costs!$A$2:$I$2905,Y$2,FALSE),0)</f>
        <v>0</v>
      </c>
      <c r="Z79" s="372">
        <f>IFERROR(VLOOKUP($U79,costs!$A$2:$I$2905,Z$2,FALSE),0)</f>
        <v>0</v>
      </c>
      <c r="AA79" s="372">
        <f>IFERROR(VLOOKUP($U79,costs!$A$2:$I$2905,AA$2,FALSE),0)</f>
        <v>0</v>
      </c>
      <c r="AB79" s="372">
        <f>IFERROR(VLOOKUP($U79,costs!$A$2:$I$2905,AB$2,FALSE),0)</f>
        <v>0</v>
      </c>
      <c r="AC79" s="372">
        <f>IFERROR(VLOOKUP($U79,costs!$A$2:$I$2905,AC$2,FALSE),0)</f>
        <v>0</v>
      </c>
      <c r="AE79" s="40" t="s">
        <v>2570</v>
      </c>
      <c r="AF79" s="372">
        <f>IFERROR(VLOOKUP($AE79,costs!$A$2:$I$2905,AF$2,FALSE),0)</f>
        <v>0</v>
      </c>
      <c r="AG79" s="372">
        <f>IFERROR(VLOOKUP($AE79,costs!$A$2:$I$2905,AG$2,FALSE),0)</f>
        <v>0</v>
      </c>
      <c r="AH79" s="372">
        <f>IFERROR(VLOOKUP($AE79,costs!$A$2:$I$2905,AH$2,FALSE),0)</f>
        <v>0</v>
      </c>
      <c r="AI79" s="372">
        <f>IFERROR(VLOOKUP($AE79,costs!$A$2:$I$2905,AI$2,FALSE),0)</f>
        <v>0</v>
      </c>
      <c r="AJ79" s="372">
        <f>IFERROR(VLOOKUP($AE79,costs!$A$2:$I$2905,AJ$2,FALSE),0)</f>
        <v>0</v>
      </c>
      <c r="AK79" s="372">
        <f>IFERROR(VLOOKUP($AE79,costs!$A$2:$I$2905,AK$2,FALSE),0)</f>
        <v>0</v>
      </c>
      <c r="AL79" s="372">
        <f>IFERROR(VLOOKUP($AE79,costs!$A$2:$I$2905,AL$2,FALSE),0)</f>
        <v>0</v>
      </c>
      <c r="AM79" s="372">
        <f>IFERROR(VLOOKUP($AE79,costs!$A$2:$I$2905,AM$2,FALSE),0)</f>
        <v>0</v>
      </c>
      <c r="AO79" s="949" t="s">
        <v>520</v>
      </c>
      <c r="AP79" s="953">
        <f>IFERROR(VLOOKUP($AO79,costs!$A$2:$I$2905,AP$2,FALSE),0)</f>
        <v>0</v>
      </c>
      <c r="AQ79" s="953">
        <f>IFERROR(VLOOKUP($AO79,costs!$A$2:$I$2905,AQ$2,FALSE),0)</f>
        <v>0</v>
      </c>
      <c r="AR79" s="953">
        <f>IFERROR(VLOOKUP($AO79,costs!$A$2:$I$2905,AR$2,FALSE),0)</f>
        <v>0</v>
      </c>
      <c r="AS79" s="953">
        <f>IFERROR(VLOOKUP($AO79,costs!$A$2:$I$2905,AS$2,FALSE),0)</f>
        <v>0</v>
      </c>
      <c r="AT79" s="953">
        <f>IFERROR(VLOOKUP($AO79,costs!$A$2:$I$2905,AT$2,FALSE),0)</f>
        <v>0</v>
      </c>
      <c r="AU79" s="953">
        <f>IFERROR(VLOOKUP($AO79,costs!$A$2:$I$2905,AU$2,FALSE),0)</f>
        <v>0</v>
      </c>
      <c r="AV79" s="953">
        <f>IFERROR(VLOOKUP($AO79,costs!$A$2:$I$2905,AV$2,FALSE),0)</f>
        <v>0</v>
      </c>
      <c r="AW79" s="953">
        <f>IFERROR(VLOOKUP($AO79,costs!$A$2:$I$2905,AW$2,FALSE),0)</f>
        <v>0</v>
      </c>
      <c r="AY79" s="40" t="s">
        <v>2125</v>
      </c>
      <c r="AZ79" s="372">
        <f>IFERROR(VLOOKUP($AY79,costs!$A$2:$I$2905,AZ$2,FALSE),0)</f>
        <v>0</v>
      </c>
      <c r="BA79" s="372">
        <f>IFERROR(VLOOKUP($AY79,costs!$A$2:$I$2905,BA$2,FALSE),0)</f>
        <v>0</v>
      </c>
      <c r="BB79" s="372">
        <f>IFERROR(VLOOKUP($AY79,costs!$A$2:$I$2905,BB$2,FALSE),0)</f>
        <v>0</v>
      </c>
      <c r="BC79" s="372">
        <f>IFERROR(VLOOKUP($AY79,costs!$A$2:$I$2905,BC$2,FALSE),0)</f>
        <v>0</v>
      </c>
      <c r="BD79" s="372">
        <f>IFERROR(VLOOKUP($AY79,costs!$A$2:$I$2905,BD$2,FALSE),0)</f>
        <v>0</v>
      </c>
      <c r="BE79" s="372">
        <f>IFERROR(VLOOKUP($AY79,costs!$A$2:$I$2905,BE$2,FALSE),0)</f>
        <v>0</v>
      </c>
      <c r="BF79" s="372">
        <f>IFERROR(VLOOKUP($AY79,costs!$A$2:$I$2905,BF$2,FALSE),0)</f>
        <v>0</v>
      </c>
      <c r="BG79" s="372">
        <f>IFERROR(VLOOKUP($AY79,costs!$A$2:$I$2905,BG$2,FALSE),0)</f>
        <v>0</v>
      </c>
    </row>
    <row r="80" spans="2:59" x14ac:dyDescent="0.35">
      <c r="B80" s="900" t="s">
        <v>1528</v>
      </c>
      <c r="C80" s="900" t="e">
        <f>C5</f>
        <v>#N/A</v>
      </c>
      <c r="D80" s="900" t="e">
        <f t="shared" si="16"/>
        <v>#N/A</v>
      </c>
      <c r="E80" s="900" t="e">
        <f t="shared" si="16"/>
        <v>#N/A</v>
      </c>
      <c r="F80" s="900" t="e">
        <f t="shared" si="16"/>
        <v>#N/A</v>
      </c>
      <c r="G80" s="900" t="e">
        <f t="shared" si="16"/>
        <v>#N/A</v>
      </c>
      <c r="H80" s="900" t="e">
        <f t="shared" si="16"/>
        <v>#N/A</v>
      </c>
      <c r="I80" s="900" t="e">
        <f t="shared" si="16"/>
        <v>#N/A</v>
      </c>
      <c r="J80" s="900">
        <v>177127.75661793374</v>
      </c>
      <c r="U80" s="40" t="s">
        <v>359</v>
      </c>
      <c r="V80" s="372">
        <f>IFERROR(VLOOKUP($U80,costs!$A$2:$I$2905,V$2,FALSE),0)</f>
        <v>0</v>
      </c>
      <c r="W80" s="372">
        <f>IFERROR(VLOOKUP($U80,costs!$A$2:$I$2905,W$2,FALSE),0)</f>
        <v>0</v>
      </c>
      <c r="X80" s="372">
        <f>IFERROR(VLOOKUP($U80,costs!$A$2:$I$2905,X$2,FALSE),0)</f>
        <v>0</v>
      </c>
      <c r="Y80" s="372">
        <f>IFERROR(VLOOKUP($U80,costs!$A$2:$I$2905,Y$2,FALSE),0)</f>
        <v>0</v>
      </c>
      <c r="Z80" s="372">
        <f>IFERROR(VLOOKUP($U80,costs!$A$2:$I$2905,Z$2,FALSE),0)</f>
        <v>0</v>
      </c>
      <c r="AA80" s="372">
        <f>IFERROR(VLOOKUP($U80,costs!$A$2:$I$2905,AA$2,FALSE),0)</f>
        <v>0</v>
      </c>
      <c r="AB80" s="372">
        <f>IFERROR(VLOOKUP($U80,costs!$A$2:$I$2905,AB$2,FALSE),0)</f>
        <v>0</v>
      </c>
      <c r="AC80" s="372">
        <f>IFERROR(VLOOKUP($U80,costs!$A$2:$I$2905,AC$2,FALSE),0)</f>
        <v>0</v>
      </c>
      <c r="AE80" s="40" t="s">
        <v>2874</v>
      </c>
      <c r="AF80" s="372">
        <f>IFERROR(VLOOKUP($AE80,costs!$A$2:$I$2905,AF$2,FALSE),0)</f>
        <v>0</v>
      </c>
      <c r="AG80" s="372">
        <f>IFERROR(VLOOKUP($AE80,costs!$A$2:$I$2905,AG$2,FALSE),0)</f>
        <v>0</v>
      </c>
      <c r="AH80" s="372">
        <f>IFERROR(VLOOKUP($AE80,costs!$A$2:$I$2905,AH$2,FALSE),0)</f>
        <v>0</v>
      </c>
      <c r="AI80" s="372">
        <f>IFERROR(VLOOKUP($AE80,costs!$A$2:$I$2905,AI$2,FALSE),0)</f>
        <v>0</v>
      </c>
      <c r="AJ80" s="372">
        <f>IFERROR(VLOOKUP($AE80,costs!$A$2:$I$2905,AJ$2,FALSE),0)</f>
        <v>0</v>
      </c>
      <c r="AK80" s="372">
        <f>IFERROR(VLOOKUP($AE80,costs!$A$2:$I$2905,AK$2,FALSE),0)</f>
        <v>0</v>
      </c>
      <c r="AL80" s="372">
        <f>IFERROR(VLOOKUP($AE80,costs!$A$2:$I$2905,AL$2,FALSE),0)</f>
        <v>0</v>
      </c>
      <c r="AM80" s="372">
        <f>IFERROR(VLOOKUP($AE80,costs!$A$2:$I$2905,AM$2,FALSE),0)</f>
        <v>0</v>
      </c>
      <c r="AO80" s="949" t="s">
        <v>522</v>
      </c>
      <c r="AP80" s="953">
        <f>IFERROR(VLOOKUP($AO80,costs!$A$2:$I$2905,AP$2,FALSE),0)</f>
        <v>0</v>
      </c>
      <c r="AQ80" s="953">
        <f>IFERROR(VLOOKUP($AO80,costs!$A$2:$I$2905,AQ$2,FALSE),0)</f>
        <v>0</v>
      </c>
      <c r="AR80" s="953">
        <f>IFERROR(VLOOKUP($AO80,costs!$A$2:$I$2905,AR$2,FALSE),0)</f>
        <v>0</v>
      </c>
      <c r="AS80" s="953">
        <f>IFERROR(VLOOKUP($AO80,costs!$A$2:$I$2905,AS$2,FALSE),0)</f>
        <v>0</v>
      </c>
      <c r="AT80" s="953">
        <f>IFERROR(VLOOKUP($AO80,costs!$A$2:$I$2905,AT$2,FALSE),0)</f>
        <v>0</v>
      </c>
      <c r="AU80" s="953">
        <f>IFERROR(VLOOKUP($AO80,costs!$A$2:$I$2905,AU$2,FALSE),0)</f>
        <v>0</v>
      </c>
      <c r="AV80" s="953">
        <f>IFERROR(VLOOKUP($AO80,costs!$A$2:$I$2905,AV$2,FALSE),0)</f>
        <v>0</v>
      </c>
      <c r="AW80" s="953">
        <f>IFERROR(VLOOKUP($AO80,costs!$A$2:$I$2905,AW$2,FALSE),0)</f>
        <v>0</v>
      </c>
      <c r="AY80" s="949" t="s">
        <v>406</v>
      </c>
      <c r="AZ80" s="372">
        <f>IFERROR(VLOOKUP($AY80,costs!$A$2:$I$2905,AZ$2,FALSE),0)</f>
        <v>0</v>
      </c>
      <c r="BA80" s="372">
        <f>IFERROR(VLOOKUP($AY80,costs!$A$2:$I$2905,BA$2,FALSE),0)</f>
        <v>0</v>
      </c>
      <c r="BB80" s="372">
        <f>IFERROR(VLOOKUP($AY80,costs!$A$2:$I$2905,BB$2,FALSE),0)</f>
        <v>0</v>
      </c>
      <c r="BC80" s="372">
        <f>IFERROR(VLOOKUP($AY80,costs!$A$2:$I$2905,BC$2,FALSE),0)</f>
        <v>0</v>
      </c>
      <c r="BD80" s="372">
        <f>IFERROR(VLOOKUP($AY80,costs!$A$2:$I$2905,BD$2,FALSE),0)</f>
        <v>0</v>
      </c>
      <c r="BE80" s="372">
        <f>IFERROR(VLOOKUP($AY80,costs!$A$2:$I$2905,BE$2,FALSE),0)</f>
        <v>0</v>
      </c>
      <c r="BF80" s="372">
        <f>IFERROR(VLOOKUP($AY80,costs!$A$2:$I$2905,BF$2,FALSE),0)</f>
        <v>0</v>
      </c>
      <c r="BG80" s="372">
        <f>IFERROR(VLOOKUP($AY80,costs!$A$2:$I$2905,BG$2,FALSE),0)</f>
        <v>0</v>
      </c>
    </row>
    <row r="81" spans="2:59" x14ac:dyDescent="0.35">
      <c r="B81" s="900" t="s">
        <v>1468</v>
      </c>
      <c r="C81" s="900" t="e">
        <f t="shared" ref="C81:I87" si="17">C6</f>
        <v>#N/A</v>
      </c>
      <c r="D81" s="900" t="e">
        <f t="shared" si="17"/>
        <v>#N/A</v>
      </c>
      <c r="E81" s="900" t="e">
        <f t="shared" si="17"/>
        <v>#N/A</v>
      </c>
      <c r="F81" s="900" t="e">
        <f t="shared" si="17"/>
        <v>#N/A</v>
      </c>
      <c r="G81" s="900" t="e">
        <f t="shared" si="17"/>
        <v>#N/A</v>
      </c>
      <c r="H81" s="900" t="e">
        <f t="shared" si="17"/>
        <v>#N/A</v>
      </c>
      <c r="I81" s="900" t="e">
        <f t="shared" si="17"/>
        <v>#N/A</v>
      </c>
      <c r="J81" s="900">
        <v>21319.037541379748</v>
      </c>
      <c r="U81" s="949" t="s">
        <v>360</v>
      </c>
      <c r="V81" s="372">
        <f>IFERROR(VLOOKUP($U81,costs!$A$2:$I$2905,V$2,FALSE),0)</f>
        <v>0</v>
      </c>
      <c r="W81" s="372">
        <f>IFERROR(VLOOKUP($U81,costs!$A$2:$I$2905,W$2,FALSE),0)</f>
        <v>0</v>
      </c>
      <c r="X81" s="372">
        <f>IFERROR(VLOOKUP($U81,costs!$A$2:$I$2905,X$2,FALSE),0)</f>
        <v>0</v>
      </c>
      <c r="Y81" s="372">
        <f>IFERROR(VLOOKUP($U81,costs!$A$2:$I$2905,Y$2,FALSE),0)</f>
        <v>0</v>
      </c>
      <c r="Z81" s="372">
        <f>IFERROR(VLOOKUP($U81,costs!$A$2:$I$2905,Z$2,FALSE),0)</f>
        <v>0</v>
      </c>
      <c r="AA81" s="372">
        <f>IFERROR(VLOOKUP($U81,costs!$A$2:$I$2905,AA$2,FALSE),0)</f>
        <v>0</v>
      </c>
      <c r="AB81" s="372">
        <f>IFERROR(VLOOKUP($U81,costs!$A$2:$I$2905,AB$2,FALSE),0)</f>
        <v>0</v>
      </c>
      <c r="AC81" s="372">
        <f>IFERROR(VLOOKUP($U81,costs!$A$2:$I$2905,AC$2,FALSE),0)</f>
        <v>0</v>
      </c>
      <c r="AE81" s="40" t="s">
        <v>2830</v>
      </c>
      <c r="AF81" s="372">
        <f>IFERROR(VLOOKUP($AE81,costs!$A$2:$I$2905,AF$2,FALSE),0)</f>
        <v>0</v>
      </c>
      <c r="AG81" s="372">
        <f>IFERROR(VLOOKUP($AE81,costs!$A$2:$I$2905,AG$2,FALSE),0)</f>
        <v>0</v>
      </c>
      <c r="AH81" s="372">
        <f>IFERROR(VLOOKUP($AE81,costs!$A$2:$I$2905,AH$2,FALSE),0)</f>
        <v>0</v>
      </c>
      <c r="AI81" s="372">
        <f>IFERROR(VLOOKUP($AE81,costs!$A$2:$I$2905,AI$2,FALSE),0)</f>
        <v>0</v>
      </c>
      <c r="AJ81" s="372">
        <f>IFERROR(VLOOKUP($AE81,costs!$A$2:$I$2905,AJ$2,FALSE),0)</f>
        <v>0</v>
      </c>
      <c r="AK81" s="372">
        <f>IFERROR(VLOOKUP($AE81,costs!$A$2:$I$2905,AK$2,FALSE),0)</f>
        <v>0</v>
      </c>
      <c r="AL81" s="372">
        <f>IFERROR(VLOOKUP($AE81,costs!$A$2:$I$2905,AL$2,FALSE),0)</f>
        <v>0</v>
      </c>
      <c r="AM81" s="372">
        <f>IFERROR(VLOOKUP($AE81,costs!$A$2:$I$2905,AM$2,FALSE),0)</f>
        <v>0</v>
      </c>
      <c r="AO81" s="40" t="s">
        <v>523</v>
      </c>
      <c r="AP81" s="953">
        <f>IFERROR(VLOOKUP($AO81,costs!$A$2:$I$2905,AP$2,FALSE),0)</f>
        <v>0</v>
      </c>
      <c r="AQ81" s="953">
        <f>IFERROR(VLOOKUP($AO81,costs!$A$2:$I$2905,AQ$2,FALSE),0)</f>
        <v>0</v>
      </c>
      <c r="AR81" s="953">
        <f>IFERROR(VLOOKUP($AO81,costs!$A$2:$I$2905,AR$2,FALSE),0)</f>
        <v>0</v>
      </c>
      <c r="AS81" s="953">
        <f>IFERROR(VLOOKUP($AO81,costs!$A$2:$I$2905,AS$2,FALSE),0)</f>
        <v>0</v>
      </c>
      <c r="AT81" s="953">
        <f>IFERROR(VLOOKUP($AO81,costs!$A$2:$I$2905,AT$2,FALSE),0)</f>
        <v>0</v>
      </c>
      <c r="AU81" s="953">
        <f>IFERROR(VLOOKUP($AO81,costs!$A$2:$I$2905,AU$2,FALSE),0)</f>
        <v>0</v>
      </c>
      <c r="AV81" s="953">
        <f>IFERROR(VLOOKUP($AO81,costs!$A$2:$I$2905,AV$2,FALSE),0)</f>
        <v>0</v>
      </c>
      <c r="AW81" s="953">
        <f>IFERROR(VLOOKUP($AO81,costs!$A$2:$I$2905,AW$2,FALSE),0)</f>
        <v>0</v>
      </c>
      <c r="AY81" s="40" t="s">
        <v>2126</v>
      </c>
      <c r="AZ81" s="372">
        <f>IFERROR(VLOOKUP($AY81,costs!$A$2:$I$2905,AZ$2,FALSE),0)</f>
        <v>0</v>
      </c>
      <c r="BA81" s="372">
        <f>IFERROR(VLOOKUP($AY81,costs!$A$2:$I$2905,BA$2,FALSE),0)</f>
        <v>0</v>
      </c>
      <c r="BB81" s="372">
        <f>IFERROR(VLOOKUP($AY81,costs!$A$2:$I$2905,BB$2,FALSE),0)</f>
        <v>0</v>
      </c>
      <c r="BC81" s="372">
        <f>IFERROR(VLOOKUP($AY81,costs!$A$2:$I$2905,BC$2,FALSE),0)</f>
        <v>0</v>
      </c>
      <c r="BD81" s="372">
        <f>IFERROR(VLOOKUP($AY81,costs!$A$2:$I$2905,BD$2,FALSE),0)</f>
        <v>0</v>
      </c>
      <c r="BE81" s="372">
        <f>IFERROR(VLOOKUP($AY81,costs!$A$2:$I$2905,BE$2,FALSE),0)</f>
        <v>0</v>
      </c>
      <c r="BF81" s="372">
        <f>IFERROR(VLOOKUP($AY81,costs!$A$2:$I$2905,BF$2,FALSE),0)</f>
        <v>0</v>
      </c>
      <c r="BG81" s="372">
        <f>IFERROR(VLOOKUP($AY81,costs!$A$2:$I$2905,BG$2,FALSE),0)</f>
        <v>0</v>
      </c>
    </row>
    <row r="82" spans="2:59" x14ac:dyDescent="0.35">
      <c r="B82" s="900" t="s">
        <v>2289</v>
      </c>
      <c r="C82" s="900">
        <f t="shared" si="17"/>
        <v>0</v>
      </c>
      <c r="D82" s="900">
        <f t="shared" si="17"/>
        <v>0</v>
      </c>
      <c r="E82" s="900">
        <f t="shared" si="17"/>
        <v>0</v>
      </c>
      <c r="F82" s="900">
        <f t="shared" si="17"/>
        <v>0</v>
      </c>
      <c r="G82" s="900">
        <f t="shared" si="17"/>
        <v>0</v>
      </c>
      <c r="H82" s="900">
        <f t="shared" si="17"/>
        <v>0</v>
      </c>
      <c r="I82" s="900">
        <f t="shared" si="17"/>
        <v>0</v>
      </c>
      <c r="J82" s="900">
        <v>83184.489882799244</v>
      </c>
      <c r="U82" s="99" t="s">
        <v>2031</v>
      </c>
      <c r="V82" s="133">
        <f>SUM(V4:V81)</f>
        <v>0</v>
      </c>
      <c r="W82" s="133">
        <f t="shared" ref="W82:AC82" si="18">SUM(W4:W81)</f>
        <v>0</v>
      </c>
      <c r="X82" s="133">
        <f t="shared" si="18"/>
        <v>0</v>
      </c>
      <c r="Y82" s="133">
        <f t="shared" si="18"/>
        <v>0</v>
      </c>
      <c r="Z82" s="133">
        <f t="shared" si="18"/>
        <v>0</v>
      </c>
      <c r="AA82" s="133">
        <f t="shared" si="18"/>
        <v>0</v>
      </c>
      <c r="AB82" s="133">
        <f t="shared" si="18"/>
        <v>0</v>
      </c>
      <c r="AC82" s="133">
        <f t="shared" si="18"/>
        <v>0</v>
      </c>
      <c r="AE82" s="40" t="s">
        <v>3999</v>
      </c>
      <c r="AF82" s="372">
        <f>IFERROR(VLOOKUP($AE82,costs!$A$2:$I$2905,AF$2,FALSE),0)</f>
        <v>0</v>
      </c>
      <c r="AG82" s="372">
        <f>IFERROR(VLOOKUP($AE82,costs!$A$2:$I$2905,AG$2,FALSE),0)</f>
        <v>0</v>
      </c>
      <c r="AH82" s="372">
        <f>IFERROR(VLOOKUP($AE82,costs!$A$2:$I$2905,AH$2,FALSE),0)</f>
        <v>0</v>
      </c>
      <c r="AI82" s="372">
        <f>IFERROR(VLOOKUP($AE82,costs!$A$2:$I$2905,AI$2,FALSE),0)</f>
        <v>0</v>
      </c>
      <c r="AJ82" s="372">
        <f>IFERROR(VLOOKUP($AE82,costs!$A$2:$I$2905,AJ$2,FALSE),0)</f>
        <v>0</v>
      </c>
      <c r="AK82" s="372">
        <f>IFERROR(VLOOKUP($AE82,costs!$A$2:$I$2905,AK$2,FALSE),0)</f>
        <v>0</v>
      </c>
      <c r="AL82" s="372">
        <f>IFERROR(VLOOKUP($AE82,costs!$A$2:$I$2905,AL$2,FALSE),0)</f>
        <v>0</v>
      </c>
      <c r="AM82" s="372">
        <f>IFERROR(VLOOKUP($AE82,costs!$A$2:$I$2905,AM$2,FALSE),0)</f>
        <v>0</v>
      </c>
      <c r="AO82" s="949" t="s">
        <v>515</v>
      </c>
      <c r="AP82" s="953">
        <f>IFERROR(VLOOKUP($AO82,costs!$A$2:$I$2905,AP$2,FALSE),0)</f>
        <v>0</v>
      </c>
      <c r="AQ82" s="953">
        <f>IFERROR(VLOOKUP($AO82,costs!$A$2:$I$2905,AQ$2,FALSE),0)</f>
        <v>0</v>
      </c>
      <c r="AR82" s="953">
        <f>IFERROR(VLOOKUP($AO82,costs!$A$2:$I$2905,AR$2,FALSE),0)</f>
        <v>0</v>
      </c>
      <c r="AS82" s="953">
        <f>IFERROR(VLOOKUP($AO82,costs!$A$2:$I$2905,AS$2,FALSE),0)</f>
        <v>0</v>
      </c>
      <c r="AT82" s="953">
        <f>IFERROR(VLOOKUP($AO82,costs!$A$2:$I$2905,AT$2,FALSE),0)</f>
        <v>0</v>
      </c>
      <c r="AU82" s="953">
        <f>IFERROR(VLOOKUP($AO82,costs!$A$2:$I$2905,AU$2,FALSE),0)</f>
        <v>0</v>
      </c>
      <c r="AV82" s="953">
        <f>IFERROR(VLOOKUP($AO82,costs!$A$2:$I$2905,AV$2,FALSE),0)</f>
        <v>0</v>
      </c>
      <c r="AW82" s="953">
        <f>IFERROR(VLOOKUP($AO82,costs!$A$2:$I$2905,AW$2,FALSE),0)</f>
        <v>0</v>
      </c>
      <c r="AY82" s="949" t="s">
        <v>407</v>
      </c>
      <c r="AZ82" s="372">
        <f>IFERROR(VLOOKUP($AY82,costs!$A$2:$I$2905,AZ$2,FALSE),0)</f>
        <v>0</v>
      </c>
      <c r="BA82" s="372">
        <f>IFERROR(VLOOKUP($AY82,costs!$A$2:$I$2905,BA$2,FALSE),0)</f>
        <v>0</v>
      </c>
      <c r="BB82" s="372">
        <f>IFERROR(VLOOKUP($AY82,costs!$A$2:$I$2905,BB$2,FALSE),0)</f>
        <v>0</v>
      </c>
      <c r="BC82" s="372">
        <f>IFERROR(VLOOKUP($AY82,costs!$A$2:$I$2905,BC$2,FALSE),0)</f>
        <v>0</v>
      </c>
      <c r="BD82" s="372">
        <f>IFERROR(VLOOKUP($AY82,costs!$A$2:$I$2905,BD$2,FALSE),0)</f>
        <v>0</v>
      </c>
      <c r="BE82" s="372">
        <f>IFERROR(VLOOKUP($AY82,costs!$A$2:$I$2905,BE$2,FALSE),0)</f>
        <v>0</v>
      </c>
      <c r="BF82" s="372">
        <f>IFERROR(VLOOKUP($AY82,costs!$A$2:$I$2905,BF$2,FALSE),0)</f>
        <v>0</v>
      </c>
      <c r="BG82" s="372">
        <f>IFERROR(VLOOKUP($AY82,costs!$A$2:$I$2905,BG$2,FALSE),0)</f>
        <v>0</v>
      </c>
    </row>
    <row r="83" spans="2:59" x14ac:dyDescent="0.35">
      <c r="B83" s="900" t="s">
        <v>2290</v>
      </c>
      <c r="C83" s="900">
        <f t="shared" si="17"/>
        <v>0</v>
      </c>
      <c r="D83" s="900">
        <f t="shared" si="17"/>
        <v>0</v>
      </c>
      <c r="E83" s="900">
        <f t="shared" si="17"/>
        <v>0</v>
      </c>
      <c r="F83" s="900">
        <f t="shared" si="17"/>
        <v>0</v>
      </c>
      <c r="G83" s="900">
        <f t="shared" si="17"/>
        <v>0</v>
      </c>
      <c r="H83" s="900">
        <f t="shared" si="17"/>
        <v>0</v>
      </c>
      <c r="I83" s="900">
        <f t="shared" si="17"/>
        <v>0</v>
      </c>
      <c r="J83" s="900">
        <v>46119.51331729762</v>
      </c>
      <c r="U83" s="40"/>
      <c r="AE83" s="40" t="s">
        <v>4000</v>
      </c>
      <c r="AF83" s="372">
        <f>IFERROR(VLOOKUP($AE83,costs!$A$2:$I$2905,AF$2,FALSE),0)</f>
        <v>0</v>
      </c>
      <c r="AG83" s="372">
        <f>IFERROR(VLOOKUP($AE83,costs!$A$2:$I$2905,AG$2,FALSE),0)</f>
        <v>0</v>
      </c>
      <c r="AH83" s="372">
        <f>IFERROR(VLOOKUP($AE83,costs!$A$2:$I$2905,AH$2,FALSE),0)</f>
        <v>0</v>
      </c>
      <c r="AI83" s="372">
        <f>IFERROR(VLOOKUP($AE83,costs!$A$2:$I$2905,AI$2,FALSE),0)</f>
        <v>0</v>
      </c>
      <c r="AJ83" s="372">
        <f>IFERROR(VLOOKUP($AE83,costs!$A$2:$I$2905,AJ$2,FALSE),0)</f>
        <v>0</v>
      </c>
      <c r="AK83" s="372">
        <f>IFERROR(VLOOKUP($AE83,costs!$A$2:$I$2905,AK$2,FALSE),0)</f>
        <v>0</v>
      </c>
      <c r="AL83" s="372">
        <f>IFERROR(VLOOKUP($AE83,costs!$A$2:$I$2905,AL$2,FALSE),0)</f>
        <v>0</v>
      </c>
      <c r="AM83" s="372">
        <f>IFERROR(VLOOKUP($AE83,costs!$A$2:$I$2905,AM$2,FALSE),0)</f>
        <v>0</v>
      </c>
      <c r="AO83" s="949" t="s">
        <v>2456</v>
      </c>
      <c r="AP83" s="953">
        <f>IFERROR(VLOOKUP($AO83,costs!$A$2:$I$2905,AP$2,FALSE),0)</f>
        <v>0</v>
      </c>
      <c r="AQ83" s="953">
        <f>IFERROR(VLOOKUP($AO83,costs!$A$2:$I$2905,AQ$2,FALSE),0)</f>
        <v>0</v>
      </c>
      <c r="AR83" s="953">
        <f>IFERROR(VLOOKUP($AO83,costs!$A$2:$I$2905,AR$2,FALSE),0)</f>
        <v>0</v>
      </c>
      <c r="AS83" s="953">
        <f>IFERROR(VLOOKUP($AO83,costs!$A$2:$I$2905,AS$2,FALSE),0)</f>
        <v>0</v>
      </c>
      <c r="AT83" s="953">
        <f>IFERROR(VLOOKUP($AO83,costs!$A$2:$I$2905,AT$2,FALSE),0)</f>
        <v>0</v>
      </c>
      <c r="AU83" s="953">
        <f>IFERROR(VLOOKUP($AO83,costs!$A$2:$I$2905,AU$2,FALSE),0)</f>
        <v>0</v>
      </c>
      <c r="AV83" s="953">
        <f>IFERROR(VLOOKUP($AO83,costs!$A$2:$I$2905,AV$2,FALSE),0)</f>
        <v>0</v>
      </c>
      <c r="AW83" s="953">
        <f>IFERROR(VLOOKUP($AO83,costs!$A$2:$I$2905,AW$2,FALSE),0)</f>
        <v>0</v>
      </c>
      <c r="AY83" s="40" t="s">
        <v>2127</v>
      </c>
      <c r="AZ83" s="372">
        <f>IFERROR(VLOOKUP($AY83,costs!$A$2:$I$2905,AZ$2,FALSE),0)</f>
        <v>0</v>
      </c>
      <c r="BA83" s="372">
        <f>IFERROR(VLOOKUP($AY83,costs!$A$2:$I$2905,BA$2,FALSE),0)</f>
        <v>0</v>
      </c>
      <c r="BB83" s="372">
        <f>IFERROR(VLOOKUP($AY83,costs!$A$2:$I$2905,BB$2,FALSE),0)</f>
        <v>0</v>
      </c>
      <c r="BC83" s="372">
        <f>IFERROR(VLOOKUP($AY83,costs!$A$2:$I$2905,BC$2,FALSE),0)</f>
        <v>0</v>
      </c>
      <c r="BD83" s="372">
        <f>IFERROR(VLOOKUP($AY83,costs!$A$2:$I$2905,BD$2,FALSE),0)</f>
        <v>0</v>
      </c>
      <c r="BE83" s="372">
        <f>IFERROR(VLOOKUP($AY83,costs!$A$2:$I$2905,BE$2,FALSE),0)</f>
        <v>0</v>
      </c>
      <c r="BF83" s="372">
        <f>IFERROR(VLOOKUP($AY83,costs!$A$2:$I$2905,BF$2,FALSE),0)</f>
        <v>0</v>
      </c>
      <c r="BG83" s="372">
        <f>IFERROR(VLOOKUP($AY83,costs!$A$2:$I$2905,BG$2,FALSE),0)</f>
        <v>0</v>
      </c>
    </row>
    <row r="84" spans="2:59" x14ac:dyDescent="0.35">
      <c r="B84" s="900" t="s">
        <v>2291</v>
      </c>
      <c r="C84" s="900">
        <f t="shared" si="17"/>
        <v>0</v>
      </c>
      <c r="D84" s="900">
        <f t="shared" si="17"/>
        <v>0</v>
      </c>
      <c r="E84" s="900">
        <f t="shared" si="17"/>
        <v>0</v>
      </c>
      <c r="F84" s="900">
        <f t="shared" si="17"/>
        <v>0</v>
      </c>
      <c r="G84" s="900">
        <f t="shared" si="17"/>
        <v>0</v>
      </c>
      <c r="H84" s="900">
        <f t="shared" si="17"/>
        <v>0</v>
      </c>
      <c r="I84" s="900">
        <f t="shared" si="17"/>
        <v>0</v>
      </c>
      <c r="J84" s="900">
        <v>13443.035457218863</v>
      </c>
      <c r="U84" s="40" t="s">
        <v>2062</v>
      </c>
      <c r="V84" s="372">
        <f>IFERROR(VLOOKUP($U84,costs!$A$2:$I$2905,V$2,FALSE),0)</f>
        <v>0</v>
      </c>
      <c r="W84" s="372">
        <f>IFERROR(VLOOKUP($U84,costs!$A$2:$I$2905,W$2,FALSE),0)</f>
        <v>0</v>
      </c>
      <c r="X84" s="372">
        <f>IFERROR(VLOOKUP($U84,costs!$A$2:$I$2905,X$2,FALSE),0)</f>
        <v>0</v>
      </c>
      <c r="Y84" s="372">
        <f>IFERROR(VLOOKUP($U84,costs!$A$2:$I$2905,Y$2,FALSE),0)</f>
        <v>0</v>
      </c>
      <c r="Z84" s="372">
        <f>IFERROR(VLOOKUP($U84,costs!$A$2:$I$2905,Z$2,FALSE),0)</f>
        <v>0</v>
      </c>
      <c r="AA84" s="372">
        <f>IFERROR(VLOOKUP($U84,costs!$A$2:$I$2905,AA$2,FALSE),0)</f>
        <v>0</v>
      </c>
      <c r="AB84" s="372">
        <f>IFERROR(VLOOKUP($U84,costs!$A$2:$I$2905,AB$2,FALSE),0)</f>
        <v>0</v>
      </c>
      <c r="AC84" s="372">
        <f>IFERROR(VLOOKUP($U84,costs!$A$2:$I$2905,AC$2,FALSE),0)</f>
        <v>0</v>
      </c>
      <c r="AE84" s="40" t="s">
        <v>3926</v>
      </c>
      <c r="AF84" s="372">
        <f>IFERROR(VLOOKUP($AE84,costs!$A$2:$I$2905,AF$2,FALSE),0)</f>
        <v>0</v>
      </c>
      <c r="AG84" s="372">
        <f>IFERROR(VLOOKUP($AE84,costs!$A$2:$I$2905,AG$2,FALSE),0)</f>
        <v>0</v>
      </c>
      <c r="AH84" s="372">
        <f>IFERROR(VLOOKUP($AE84,costs!$A$2:$I$2905,AH$2,FALSE),0)</f>
        <v>0</v>
      </c>
      <c r="AI84" s="372">
        <f>IFERROR(VLOOKUP($AE84,costs!$A$2:$I$2905,AI$2,FALSE),0)</f>
        <v>0</v>
      </c>
      <c r="AJ84" s="372">
        <f>IFERROR(VLOOKUP($AE84,costs!$A$2:$I$2905,AJ$2,FALSE),0)</f>
        <v>0</v>
      </c>
      <c r="AK84" s="372">
        <f>IFERROR(VLOOKUP($AE84,costs!$A$2:$I$2905,AK$2,FALSE),0)</f>
        <v>0</v>
      </c>
      <c r="AL84" s="372">
        <f>IFERROR(VLOOKUP($AE84,costs!$A$2:$I$2905,AL$2,FALSE),0)</f>
        <v>0</v>
      </c>
      <c r="AM84" s="372">
        <f>IFERROR(VLOOKUP($AE84,costs!$A$2:$I$2905,AM$2,FALSE),0)</f>
        <v>0</v>
      </c>
      <c r="AO84" s="278" t="s">
        <v>2182</v>
      </c>
      <c r="AP84" s="950">
        <f t="shared" ref="AP84:AW84" si="19">SUM(AP36:AP83)</f>
        <v>0</v>
      </c>
      <c r="AQ84" s="950">
        <f t="shared" si="19"/>
        <v>0</v>
      </c>
      <c r="AR84" s="950">
        <f t="shared" si="19"/>
        <v>0</v>
      </c>
      <c r="AS84" s="950">
        <f t="shared" si="19"/>
        <v>0</v>
      </c>
      <c r="AT84" s="950">
        <f t="shared" si="19"/>
        <v>0</v>
      </c>
      <c r="AU84" s="950">
        <f t="shared" si="19"/>
        <v>0</v>
      </c>
      <c r="AV84" s="950">
        <f t="shared" si="19"/>
        <v>0</v>
      </c>
      <c r="AW84" s="950">
        <f t="shared" si="19"/>
        <v>0</v>
      </c>
      <c r="AY84" s="949" t="s">
        <v>527</v>
      </c>
      <c r="AZ84" s="372">
        <f>IFERROR(VLOOKUP($AY84,costs!$A$2:$I$2905,AZ$2,FALSE),0)</f>
        <v>0</v>
      </c>
      <c r="BA84" s="372">
        <f>IFERROR(VLOOKUP($AY84,costs!$A$2:$I$2905,BA$2,FALSE),0)</f>
        <v>0</v>
      </c>
      <c r="BB84" s="372">
        <f>IFERROR(VLOOKUP($AY84,costs!$A$2:$I$2905,BB$2,FALSE),0)</f>
        <v>0</v>
      </c>
      <c r="BC84" s="372">
        <f>IFERROR(VLOOKUP($AY84,costs!$A$2:$I$2905,BC$2,FALSE),0)</f>
        <v>0</v>
      </c>
      <c r="BD84" s="372">
        <f>IFERROR(VLOOKUP($AY84,costs!$A$2:$I$2905,BD$2,FALSE),0)</f>
        <v>0</v>
      </c>
      <c r="BE84" s="372">
        <f>IFERROR(VLOOKUP($AY84,costs!$A$2:$I$2905,BE$2,FALSE),0)</f>
        <v>0</v>
      </c>
      <c r="BF84" s="372">
        <f>IFERROR(VLOOKUP($AY84,costs!$A$2:$I$2905,BF$2,FALSE),0)</f>
        <v>0</v>
      </c>
      <c r="BG84" s="372">
        <f>IFERROR(VLOOKUP($AY84,costs!$A$2:$I$2905,BG$2,FALSE),0)</f>
        <v>0</v>
      </c>
    </row>
    <row r="85" spans="2:59" x14ac:dyDescent="0.35">
      <c r="B85" s="900" t="s">
        <v>2292</v>
      </c>
      <c r="C85" s="900">
        <f t="shared" si="17"/>
        <v>0</v>
      </c>
      <c r="D85" s="900">
        <f t="shared" si="17"/>
        <v>0</v>
      </c>
      <c r="E85" s="900">
        <f>E10</f>
        <v>0</v>
      </c>
      <c r="F85" s="900">
        <f t="shared" si="17"/>
        <v>0</v>
      </c>
      <c r="G85" s="900">
        <f t="shared" si="17"/>
        <v>0</v>
      </c>
      <c r="H85" s="900">
        <f t="shared" si="17"/>
        <v>0</v>
      </c>
      <c r="I85" s="900">
        <f t="shared" si="17"/>
        <v>0</v>
      </c>
      <c r="J85" s="900">
        <v>44668.618602135641</v>
      </c>
      <c r="U85" s="949" t="s">
        <v>0</v>
      </c>
      <c r="V85" s="372">
        <f>IFERROR(VLOOKUP($U85,costs!$A$2:$I$2905,V$2,FALSE),0)</f>
        <v>0</v>
      </c>
      <c r="W85" s="372">
        <f>IFERROR(VLOOKUP($U85,costs!$A$2:$I$2905,W$2,FALSE),0)</f>
        <v>0</v>
      </c>
      <c r="X85" s="372">
        <f>IFERROR(VLOOKUP($U85,costs!$A$2:$I$2905,X$2,FALSE),0)</f>
        <v>0</v>
      </c>
      <c r="Y85" s="372">
        <f>IFERROR(VLOOKUP($U85,costs!$A$2:$I$2905,Y$2,FALSE),0)</f>
        <v>0</v>
      </c>
      <c r="Z85" s="372">
        <f>IFERROR(VLOOKUP($U85,costs!$A$2:$I$2905,Z$2,FALSE),0)</f>
        <v>0</v>
      </c>
      <c r="AA85" s="372">
        <f>IFERROR(VLOOKUP($U85,costs!$A$2:$I$2905,AA$2,FALSE),0)</f>
        <v>0</v>
      </c>
      <c r="AB85" s="372">
        <f>IFERROR(VLOOKUP($U85,costs!$A$2:$I$2905,AB$2,FALSE),0)</f>
        <v>0</v>
      </c>
      <c r="AC85" s="372">
        <f>IFERROR(VLOOKUP($U85,costs!$A$2:$I$2905,AC$2,FALSE),0)</f>
        <v>0</v>
      </c>
      <c r="AE85" s="40" t="s">
        <v>4137</v>
      </c>
      <c r="AF85" s="372">
        <f>IFERROR(VLOOKUP($AE85,costs!$A$2:$I$2905,AF$2,FALSE),0)</f>
        <v>0</v>
      </c>
      <c r="AG85" s="372">
        <f>IFERROR(VLOOKUP($AE85,costs!$A$2:$I$2905,AG$2,FALSE),0)</f>
        <v>0</v>
      </c>
      <c r="AH85" s="372">
        <f>IFERROR(VLOOKUP($AE85,costs!$A$2:$I$2905,AH$2,FALSE),0)</f>
        <v>0</v>
      </c>
      <c r="AI85" s="372">
        <f>IFERROR(VLOOKUP($AE85,costs!$A$2:$I$2905,AI$2,FALSE),0)</f>
        <v>0</v>
      </c>
      <c r="AJ85" s="372">
        <f>IFERROR(VLOOKUP($AE85,costs!$A$2:$I$2905,AJ$2,FALSE),0)</f>
        <v>0</v>
      </c>
      <c r="AK85" s="372">
        <f>IFERROR(VLOOKUP($AE85,costs!$A$2:$I$2905,AK$2,FALSE),0)</f>
        <v>0</v>
      </c>
      <c r="AL85" s="372">
        <f>IFERROR(VLOOKUP($AE85,costs!$A$2:$I$2905,AL$2,FALSE),0)</f>
        <v>0</v>
      </c>
      <c r="AM85" s="372">
        <f>IFERROR(VLOOKUP($AE85,costs!$A$2:$I$2905,AM$2,FALSE),0)</f>
        <v>0</v>
      </c>
      <c r="AO85" s="275" t="s">
        <v>2181</v>
      </c>
      <c r="AP85" s="372"/>
      <c r="AQ85" s="372"/>
      <c r="AR85" s="372"/>
      <c r="AS85" s="372"/>
      <c r="AT85" s="372"/>
      <c r="AU85" s="372"/>
      <c r="AV85" s="372"/>
      <c r="AW85" s="372"/>
      <c r="AY85" s="40" t="s">
        <v>2128</v>
      </c>
      <c r="AZ85" s="372">
        <f>IFERROR(VLOOKUP($AY85,costs!$A$2:$I$2905,AZ$2,FALSE),0)</f>
        <v>0</v>
      </c>
      <c r="BA85" s="372">
        <f>IFERROR(VLOOKUP($AY85,costs!$A$2:$I$2905,BA$2,FALSE),0)</f>
        <v>0</v>
      </c>
      <c r="BB85" s="372">
        <f>IFERROR(VLOOKUP($AY85,costs!$A$2:$I$2905,BB$2,FALSE),0)</f>
        <v>0</v>
      </c>
      <c r="BC85" s="372">
        <f>IFERROR(VLOOKUP($AY85,costs!$A$2:$I$2905,BC$2,FALSE),0)</f>
        <v>0</v>
      </c>
      <c r="BD85" s="372">
        <f>IFERROR(VLOOKUP($AY85,costs!$A$2:$I$2905,BD$2,FALSE),0)</f>
        <v>0</v>
      </c>
      <c r="BE85" s="372">
        <f>IFERROR(VLOOKUP($AY85,costs!$A$2:$I$2905,BE$2,FALSE),0)</f>
        <v>0</v>
      </c>
      <c r="BF85" s="372">
        <f>IFERROR(VLOOKUP($AY85,costs!$A$2:$I$2905,BF$2,FALSE),0)</f>
        <v>0</v>
      </c>
      <c r="BG85" s="372">
        <f>IFERROR(VLOOKUP($AY85,costs!$A$2:$I$2905,BG$2,FALSE),0)</f>
        <v>0</v>
      </c>
    </row>
    <row r="86" spans="2:59" x14ac:dyDescent="0.35">
      <c r="B86" s="900" t="s">
        <v>2293</v>
      </c>
      <c r="C86" s="900">
        <f t="shared" si="17"/>
        <v>0</v>
      </c>
      <c r="D86" s="900">
        <f t="shared" si="17"/>
        <v>0</v>
      </c>
      <c r="E86" s="900">
        <f t="shared" si="17"/>
        <v>0</v>
      </c>
      <c r="F86" s="900">
        <f t="shared" si="17"/>
        <v>0</v>
      </c>
      <c r="G86" s="900">
        <f t="shared" si="17"/>
        <v>0</v>
      </c>
      <c r="H86" s="900">
        <f t="shared" si="17"/>
        <v>0</v>
      </c>
      <c r="I86" s="900">
        <f t="shared" si="17"/>
        <v>0</v>
      </c>
      <c r="J86" s="900">
        <v>117.38053412233118</v>
      </c>
      <c r="U86" s="40" t="s">
        <v>60</v>
      </c>
      <c r="V86" s="372">
        <f>IFERROR(VLOOKUP($U86,costs!$A$2:$I$2905,V$2,FALSE),0)</f>
        <v>0</v>
      </c>
      <c r="W86" s="372">
        <f>IFERROR(VLOOKUP($U86,costs!$A$2:$I$2905,W$2,FALSE),0)</f>
        <v>0</v>
      </c>
      <c r="X86" s="372">
        <f>IFERROR(VLOOKUP($U86,costs!$A$2:$I$2905,X$2,FALSE),0)</f>
        <v>0</v>
      </c>
      <c r="Y86" s="372">
        <f>IFERROR(VLOOKUP($U86,costs!$A$2:$I$2905,Y$2,FALSE),0)</f>
        <v>0</v>
      </c>
      <c r="Z86" s="372">
        <f>IFERROR(VLOOKUP($U86,costs!$A$2:$I$2905,Z$2,FALSE),0)</f>
        <v>0</v>
      </c>
      <c r="AA86" s="372">
        <f>IFERROR(VLOOKUP($U86,costs!$A$2:$I$2905,AA$2,FALSE),0)</f>
        <v>0</v>
      </c>
      <c r="AB86" s="372">
        <f>IFERROR(VLOOKUP($U86,costs!$A$2:$I$2905,AB$2,FALSE),0)</f>
        <v>0</v>
      </c>
      <c r="AC86" s="372">
        <f>IFERROR(VLOOKUP($U86,costs!$A$2:$I$2905,AC$2,FALSE),0)</f>
        <v>0</v>
      </c>
      <c r="AE86" s="40" t="s">
        <v>3927</v>
      </c>
      <c r="AF86" s="372">
        <f>IFERROR(VLOOKUP($AE86,costs!$A$2:$I$2905,AF$2,FALSE),0)</f>
        <v>0</v>
      </c>
      <c r="AG86" s="372">
        <f>IFERROR(VLOOKUP($AE86,costs!$A$2:$I$2905,AG$2,FALSE),0)</f>
        <v>0</v>
      </c>
      <c r="AH86" s="372">
        <f>IFERROR(VLOOKUP($AE86,costs!$A$2:$I$2905,AH$2,FALSE),0)</f>
        <v>0</v>
      </c>
      <c r="AI86" s="372">
        <f>IFERROR(VLOOKUP($AE86,costs!$A$2:$I$2905,AI$2,FALSE),0)</f>
        <v>0</v>
      </c>
      <c r="AJ86" s="372">
        <f>IFERROR(VLOOKUP($AE86,costs!$A$2:$I$2905,AJ$2,FALSE),0)</f>
        <v>0</v>
      </c>
      <c r="AK86" s="372">
        <f>IFERROR(VLOOKUP($AE86,costs!$A$2:$I$2905,AK$2,FALSE),0)</f>
        <v>0</v>
      </c>
      <c r="AL86" s="372">
        <f>IFERROR(VLOOKUP($AE86,costs!$A$2:$I$2905,AL$2,FALSE),0)</f>
        <v>0</v>
      </c>
      <c r="AM86" s="372">
        <f>IFERROR(VLOOKUP($AE86,costs!$A$2:$I$2905,AM$2,FALSE),0)</f>
        <v>0</v>
      </c>
      <c r="AO86" s="40" t="s">
        <v>15</v>
      </c>
      <c r="AP86" s="372">
        <f>IFERROR(VLOOKUP($AO86,costs!$A$2:$I$2905,AP$2,FALSE),0)</f>
        <v>0</v>
      </c>
      <c r="AQ86" s="372">
        <f>IFERROR(VLOOKUP($AO86,costs!$A$2:$I$2905,AQ$2,FALSE),0)</f>
        <v>0</v>
      </c>
      <c r="AR86" s="372">
        <f>IFERROR(VLOOKUP($AO86,costs!$A$2:$I$2905,AR$2,FALSE),0)</f>
        <v>0</v>
      </c>
      <c r="AS86" s="372">
        <f>IFERROR(VLOOKUP($AO86,costs!$A$2:$I$2905,AS$2,FALSE),0)</f>
        <v>0</v>
      </c>
      <c r="AT86" s="372">
        <f>IFERROR(VLOOKUP($AO86,costs!$A$2:$I$2905,AT$2,FALSE),0)</f>
        <v>0</v>
      </c>
      <c r="AU86" s="372">
        <f>IFERROR(VLOOKUP($AO86,costs!$A$2:$I$2905,AU$2,FALSE),0)</f>
        <v>0</v>
      </c>
      <c r="AV86" s="372">
        <f>IFERROR(VLOOKUP($AO86,costs!$A$2:$I$2905,AV$2,FALSE),0)</f>
        <v>0</v>
      </c>
      <c r="AW86" s="372">
        <f>IFERROR(VLOOKUP($AO86,costs!$A$2:$I$2905,AW$2,FALSE),0)</f>
        <v>0</v>
      </c>
      <c r="AY86" s="949" t="s">
        <v>381</v>
      </c>
      <c r="AZ86" s="372">
        <f>IFERROR(VLOOKUP($AY86,costs!$A$2:$I$2905,AZ$2,FALSE),0)</f>
        <v>0</v>
      </c>
      <c r="BA86" s="372">
        <f>IFERROR(VLOOKUP($AY86,costs!$A$2:$I$2905,BA$2,FALSE),0)</f>
        <v>0</v>
      </c>
      <c r="BB86" s="372">
        <f>IFERROR(VLOOKUP($AY86,costs!$A$2:$I$2905,BB$2,FALSE),0)</f>
        <v>0</v>
      </c>
      <c r="BC86" s="372">
        <f>IFERROR(VLOOKUP($AY86,costs!$A$2:$I$2905,BC$2,FALSE),0)</f>
        <v>0</v>
      </c>
      <c r="BD86" s="372">
        <f>IFERROR(VLOOKUP($AY86,costs!$A$2:$I$2905,BD$2,FALSE),0)</f>
        <v>0</v>
      </c>
      <c r="BE86" s="372">
        <f>IFERROR(VLOOKUP($AY86,costs!$A$2:$I$2905,BE$2,FALSE),0)</f>
        <v>0</v>
      </c>
      <c r="BF86" s="372">
        <f>IFERROR(VLOOKUP($AY86,costs!$A$2:$I$2905,BF$2,FALSE),0)</f>
        <v>0</v>
      </c>
      <c r="BG86" s="372">
        <f>IFERROR(VLOOKUP($AY86,costs!$A$2:$I$2905,BG$2,FALSE),0)</f>
        <v>0</v>
      </c>
    </row>
    <row r="87" spans="2:59" x14ac:dyDescent="0.35">
      <c r="B87" s="900" t="str">
        <f>A12</f>
        <v>Total System Costs</v>
      </c>
      <c r="C87" s="900" t="e">
        <f t="shared" si="17"/>
        <v>#N/A</v>
      </c>
      <c r="D87" s="900" t="e">
        <f t="shared" si="17"/>
        <v>#N/A</v>
      </c>
      <c r="E87" s="900" t="e">
        <f t="shared" si="17"/>
        <v>#N/A</v>
      </c>
      <c r="F87" s="900" t="e">
        <f t="shared" si="17"/>
        <v>#N/A</v>
      </c>
      <c r="G87" s="900" t="e">
        <f t="shared" si="17"/>
        <v>#N/A</v>
      </c>
      <c r="H87" s="900" t="e">
        <f t="shared" si="17"/>
        <v>#N/A</v>
      </c>
      <c r="I87" s="900" t="e">
        <f t="shared" si="17"/>
        <v>#N/A</v>
      </c>
      <c r="U87" s="949" t="s">
        <v>61</v>
      </c>
      <c r="V87" s="372">
        <f>IFERROR(VLOOKUP($U87,costs!$A$2:$I$2905,V$2,FALSE),0)</f>
        <v>0</v>
      </c>
      <c r="W87" s="372">
        <f>IFERROR(VLOOKUP($U87,costs!$A$2:$I$2905,W$2,FALSE),0)</f>
        <v>0</v>
      </c>
      <c r="X87" s="372">
        <f>IFERROR(VLOOKUP($U87,costs!$A$2:$I$2905,X$2,FALSE),0)</f>
        <v>0</v>
      </c>
      <c r="Y87" s="372">
        <f>IFERROR(VLOOKUP($U87,costs!$A$2:$I$2905,Y$2,FALSE),0)</f>
        <v>0</v>
      </c>
      <c r="Z87" s="372">
        <f>IFERROR(VLOOKUP($U87,costs!$A$2:$I$2905,Z$2,FALSE),0)</f>
        <v>0</v>
      </c>
      <c r="AA87" s="372">
        <f>IFERROR(VLOOKUP($U87,costs!$A$2:$I$2905,AA$2,FALSE),0)</f>
        <v>0</v>
      </c>
      <c r="AB87" s="372">
        <f>IFERROR(VLOOKUP($U87,costs!$A$2:$I$2905,AB$2,FALSE),0)</f>
        <v>0</v>
      </c>
      <c r="AC87" s="372">
        <f>IFERROR(VLOOKUP($U87,costs!$A$2:$I$2905,AC$2,FALSE),0)</f>
        <v>0</v>
      </c>
      <c r="AE87" s="40" t="s">
        <v>3912</v>
      </c>
      <c r="AF87" s="372">
        <f>IFERROR(VLOOKUP($AE87,costs!$A$2:$I$2905,AF$2,FALSE),0)</f>
        <v>0</v>
      </c>
      <c r="AG87" s="372">
        <f>IFERROR(VLOOKUP($AE87,costs!$A$2:$I$2905,AG$2,FALSE),0)</f>
        <v>0</v>
      </c>
      <c r="AH87" s="372">
        <f>IFERROR(VLOOKUP($AE87,costs!$A$2:$I$2905,AH$2,FALSE),0)</f>
        <v>0</v>
      </c>
      <c r="AI87" s="372">
        <f>IFERROR(VLOOKUP($AE87,costs!$A$2:$I$2905,AI$2,FALSE),0)</f>
        <v>0</v>
      </c>
      <c r="AJ87" s="372">
        <f>IFERROR(VLOOKUP($AE87,costs!$A$2:$I$2905,AJ$2,FALSE),0)</f>
        <v>0</v>
      </c>
      <c r="AK87" s="372">
        <f>IFERROR(VLOOKUP($AE87,costs!$A$2:$I$2905,AK$2,FALSE),0)</f>
        <v>0</v>
      </c>
      <c r="AL87" s="372">
        <f>IFERROR(VLOOKUP($AE87,costs!$A$2:$I$2905,AL$2,FALSE),0)</f>
        <v>0</v>
      </c>
      <c r="AM87" s="372">
        <f>IFERROR(VLOOKUP($AE87,costs!$A$2:$I$2905,AM$2,FALSE),0)</f>
        <v>0</v>
      </c>
      <c r="AO87" s="40" t="s">
        <v>295</v>
      </c>
      <c r="AP87" s="372">
        <f>IFERROR(VLOOKUP($AO87,costs!$A$2:$I$2905,AP$2,FALSE),0)</f>
        <v>0</v>
      </c>
      <c r="AQ87" s="372">
        <f>IFERROR(VLOOKUP($AO87,costs!$A$2:$I$2905,AQ$2,FALSE),0)</f>
        <v>0</v>
      </c>
      <c r="AR87" s="372">
        <f>IFERROR(VLOOKUP($AO87,costs!$A$2:$I$2905,AR$2,FALSE),0)</f>
        <v>0</v>
      </c>
      <c r="AS87" s="372">
        <f>IFERROR(VLOOKUP($AO87,costs!$A$2:$I$2905,AS$2,FALSE),0)</f>
        <v>0</v>
      </c>
      <c r="AT87" s="372">
        <f>IFERROR(VLOOKUP($AO87,costs!$A$2:$I$2905,AT$2,FALSE),0)</f>
        <v>0</v>
      </c>
      <c r="AU87" s="372">
        <f>IFERROR(VLOOKUP($AO87,costs!$A$2:$I$2905,AU$2,FALSE),0)</f>
        <v>0</v>
      </c>
      <c r="AV87" s="372">
        <f>IFERROR(VLOOKUP($AO87,costs!$A$2:$I$2905,AV$2,FALSE),0)</f>
        <v>0</v>
      </c>
      <c r="AW87" s="372">
        <f>IFERROR(VLOOKUP($AO87,costs!$A$2:$I$2905,AW$2,FALSE),0)</f>
        <v>0</v>
      </c>
      <c r="AY87" s="40" t="s">
        <v>2129</v>
      </c>
      <c r="AZ87" s="372">
        <f>IFERROR(VLOOKUP($AY87,costs!$A$2:$I$2905,AZ$2,FALSE),0)</f>
        <v>0</v>
      </c>
      <c r="BA87" s="372">
        <f>IFERROR(VLOOKUP($AY87,costs!$A$2:$I$2905,BA$2,FALSE),0)</f>
        <v>0</v>
      </c>
      <c r="BB87" s="372">
        <f>IFERROR(VLOOKUP($AY87,costs!$A$2:$I$2905,BB$2,FALSE),0)</f>
        <v>0</v>
      </c>
      <c r="BC87" s="372">
        <f>IFERROR(VLOOKUP($AY87,costs!$A$2:$I$2905,BC$2,FALSE),0)</f>
        <v>0</v>
      </c>
      <c r="BD87" s="372">
        <f>IFERROR(VLOOKUP($AY87,costs!$A$2:$I$2905,BD$2,FALSE),0)</f>
        <v>0</v>
      </c>
      <c r="BE87" s="372">
        <f>IFERROR(VLOOKUP($AY87,costs!$A$2:$I$2905,BE$2,FALSE),0)</f>
        <v>0</v>
      </c>
      <c r="BF87" s="372">
        <f>IFERROR(VLOOKUP($AY87,costs!$A$2:$I$2905,BF$2,FALSE),0)</f>
        <v>0</v>
      </c>
      <c r="BG87" s="372">
        <f>IFERROR(VLOOKUP($AY87,costs!$A$2:$I$2905,BG$2,FALSE),0)</f>
        <v>0</v>
      </c>
    </row>
    <row r="88" spans="2:59" x14ac:dyDescent="0.35">
      <c r="B88" s="900">
        <f t="shared" ref="B88:I98" si="20">B13</f>
        <v>0</v>
      </c>
      <c r="C88" s="900">
        <f t="shared" si="20"/>
        <v>0</v>
      </c>
      <c r="D88" s="900">
        <f t="shared" si="20"/>
        <v>0</v>
      </c>
      <c r="E88" s="900">
        <f t="shared" si="20"/>
        <v>0</v>
      </c>
      <c r="F88" s="900">
        <f t="shared" si="20"/>
        <v>0</v>
      </c>
      <c r="G88" s="900">
        <f t="shared" si="20"/>
        <v>0</v>
      </c>
      <c r="H88" s="900">
        <f t="shared" si="20"/>
        <v>0</v>
      </c>
      <c r="I88" s="900">
        <f t="shared" si="20"/>
        <v>0</v>
      </c>
      <c r="U88" s="40" t="s">
        <v>2063</v>
      </c>
      <c r="V88" s="372">
        <f>IFERROR(VLOOKUP($U88,costs!$A$2:$I$2905,V$2,FALSE),0)</f>
        <v>0</v>
      </c>
      <c r="W88" s="372">
        <f>IFERROR(VLOOKUP($U88,costs!$A$2:$I$2905,W$2,FALSE),0)</f>
        <v>0</v>
      </c>
      <c r="X88" s="372">
        <f>IFERROR(VLOOKUP($U88,costs!$A$2:$I$2905,X$2,FALSE),0)</f>
        <v>0</v>
      </c>
      <c r="Y88" s="372">
        <f>IFERROR(VLOOKUP($U88,costs!$A$2:$I$2905,Y$2,FALSE),0)</f>
        <v>0</v>
      </c>
      <c r="Z88" s="372">
        <f>IFERROR(VLOOKUP($U88,costs!$A$2:$I$2905,Z$2,FALSE),0)</f>
        <v>0</v>
      </c>
      <c r="AA88" s="372">
        <f>IFERROR(VLOOKUP($U88,costs!$A$2:$I$2905,AA$2,FALSE),0)</f>
        <v>0</v>
      </c>
      <c r="AB88" s="372">
        <f>IFERROR(VLOOKUP($U88,costs!$A$2:$I$2905,AB$2,FALSE),0)</f>
        <v>0</v>
      </c>
      <c r="AC88" s="372">
        <f>IFERROR(VLOOKUP($U88,costs!$A$2:$I$2905,AC$2,FALSE),0)</f>
        <v>0</v>
      </c>
      <c r="AE88" s="40" t="s">
        <v>3913</v>
      </c>
      <c r="AF88" s="372">
        <f>IFERROR(VLOOKUP($AE88,costs!$A$2:$I$2905,AF$2,FALSE),0)</f>
        <v>0</v>
      </c>
      <c r="AG88" s="372">
        <f>IFERROR(VLOOKUP($AE88,costs!$A$2:$I$2905,AG$2,FALSE),0)</f>
        <v>0</v>
      </c>
      <c r="AH88" s="372">
        <f>IFERROR(VLOOKUP($AE88,costs!$A$2:$I$2905,AH$2,FALSE),0)</f>
        <v>0</v>
      </c>
      <c r="AI88" s="372">
        <f>IFERROR(VLOOKUP($AE88,costs!$A$2:$I$2905,AI$2,FALSE),0)</f>
        <v>0</v>
      </c>
      <c r="AJ88" s="372">
        <f>IFERROR(VLOOKUP($AE88,costs!$A$2:$I$2905,AJ$2,FALSE),0)</f>
        <v>0</v>
      </c>
      <c r="AK88" s="372">
        <f>IFERROR(VLOOKUP($AE88,costs!$A$2:$I$2905,AK$2,FALSE),0)</f>
        <v>0</v>
      </c>
      <c r="AL88" s="372">
        <f>IFERROR(VLOOKUP($AE88,costs!$A$2:$I$2905,AL$2,FALSE),0)</f>
        <v>0</v>
      </c>
      <c r="AM88" s="372">
        <f>IFERROR(VLOOKUP($AE88,costs!$A$2:$I$2905,AM$2,FALSE),0)</f>
        <v>0</v>
      </c>
      <c r="AO88" s="949" t="s">
        <v>2093</v>
      </c>
      <c r="AP88" s="372">
        <f>IFERROR(VLOOKUP($AO88,costs!$A$2:$I$2905,AP$2,FALSE),0)</f>
        <v>0</v>
      </c>
      <c r="AQ88" s="372">
        <f>IFERROR(VLOOKUP($AO88,costs!$A$2:$I$2905,AQ$2,FALSE),0)</f>
        <v>0</v>
      </c>
      <c r="AR88" s="372">
        <f>IFERROR(VLOOKUP($AO88,costs!$A$2:$I$2905,AR$2,FALSE),0)</f>
        <v>0</v>
      </c>
      <c r="AS88" s="372">
        <f>IFERROR(VLOOKUP($AO88,costs!$A$2:$I$2905,AS$2,FALSE),0)</f>
        <v>0</v>
      </c>
      <c r="AT88" s="372">
        <f>IFERROR(VLOOKUP($AO88,costs!$A$2:$I$2905,AT$2,FALSE),0)</f>
        <v>0</v>
      </c>
      <c r="AU88" s="372">
        <f>IFERROR(VLOOKUP($AO88,costs!$A$2:$I$2905,AU$2,FALSE),0)</f>
        <v>0</v>
      </c>
      <c r="AV88" s="372">
        <f>IFERROR(VLOOKUP($AO88,costs!$A$2:$I$2905,AV$2,FALSE),0)</f>
        <v>0</v>
      </c>
      <c r="AW88" s="372">
        <f>IFERROR(VLOOKUP($AO88,costs!$A$2:$I$2905,AW$2,FALSE),0)</f>
        <v>0</v>
      </c>
      <c r="AY88" s="949" t="s">
        <v>382</v>
      </c>
      <c r="AZ88" s="372">
        <f>IFERROR(VLOOKUP($AY88,costs!$A$2:$I$2905,AZ$2,FALSE),0)</f>
        <v>0</v>
      </c>
      <c r="BA88" s="372">
        <f>IFERROR(VLOOKUP($AY88,costs!$A$2:$I$2905,BA$2,FALSE),0)</f>
        <v>0</v>
      </c>
      <c r="BB88" s="372">
        <f>IFERROR(VLOOKUP($AY88,costs!$A$2:$I$2905,BB$2,FALSE),0)</f>
        <v>0</v>
      </c>
      <c r="BC88" s="372">
        <f>IFERROR(VLOOKUP($AY88,costs!$A$2:$I$2905,BC$2,FALSE),0)</f>
        <v>0</v>
      </c>
      <c r="BD88" s="372">
        <f>IFERROR(VLOOKUP($AY88,costs!$A$2:$I$2905,BD$2,FALSE),0)</f>
        <v>0</v>
      </c>
      <c r="BE88" s="372">
        <f>IFERROR(VLOOKUP($AY88,costs!$A$2:$I$2905,BE$2,FALSE),0)</f>
        <v>0</v>
      </c>
      <c r="BF88" s="372">
        <f>IFERROR(VLOOKUP($AY88,costs!$A$2:$I$2905,BF$2,FALSE),0)</f>
        <v>0</v>
      </c>
      <c r="BG88" s="372">
        <f>IFERROR(VLOOKUP($AY88,costs!$A$2:$I$2905,BG$2,FALSE),0)</f>
        <v>0</v>
      </c>
    </row>
    <row r="89" spans="2:59" x14ac:dyDescent="0.35">
      <c r="B89" s="900" t="str">
        <f t="shared" si="20"/>
        <v>Abs. Deviation</v>
      </c>
      <c r="C89" s="900">
        <f t="shared" si="20"/>
        <v>2020</v>
      </c>
      <c r="D89" s="900">
        <f t="shared" si="20"/>
        <v>2025</v>
      </c>
      <c r="E89" s="900">
        <f t="shared" si="20"/>
        <v>2030</v>
      </c>
      <c r="F89" s="900">
        <f t="shared" si="20"/>
        <v>2035</v>
      </c>
      <c r="G89" s="900">
        <f t="shared" si="20"/>
        <v>2040</v>
      </c>
      <c r="H89" s="900">
        <f t="shared" si="20"/>
        <v>2045</v>
      </c>
      <c r="I89" s="900">
        <f t="shared" si="20"/>
        <v>2050</v>
      </c>
      <c r="U89" s="949" t="s">
        <v>1</v>
      </c>
      <c r="V89" s="372">
        <f>IFERROR(VLOOKUP($U89,costs!$A$2:$I$2905,V$2,FALSE),0)</f>
        <v>0</v>
      </c>
      <c r="W89" s="372">
        <f>IFERROR(VLOOKUP($U89,costs!$A$2:$I$2905,W$2,FALSE),0)</f>
        <v>0</v>
      </c>
      <c r="X89" s="372">
        <f>IFERROR(VLOOKUP($U89,costs!$A$2:$I$2905,X$2,FALSE),0)</f>
        <v>0</v>
      </c>
      <c r="Y89" s="372">
        <f>IFERROR(VLOOKUP($U89,costs!$A$2:$I$2905,Y$2,FALSE),0)</f>
        <v>0</v>
      </c>
      <c r="Z89" s="372">
        <f>IFERROR(VLOOKUP($U89,costs!$A$2:$I$2905,Z$2,FALSE),0)</f>
        <v>0</v>
      </c>
      <c r="AA89" s="372">
        <f>IFERROR(VLOOKUP($U89,costs!$A$2:$I$2905,AA$2,FALSE),0)</f>
        <v>0</v>
      </c>
      <c r="AB89" s="372">
        <f>IFERROR(VLOOKUP($U89,costs!$A$2:$I$2905,AB$2,FALSE),0)</f>
        <v>0</v>
      </c>
      <c r="AC89" s="372">
        <f>IFERROR(VLOOKUP($U89,costs!$A$2:$I$2905,AC$2,FALSE),0)</f>
        <v>0</v>
      </c>
      <c r="AE89" s="40" t="s">
        <v>2828</v>
      </c>
      <c r="AF89" s="372">
        <f>IFERROR(VLOOKUP($AE89,costs!$A$2:$I$2905,AF$2,FALSE),0)</f>
        <v>0</v>
      </c>
      <c r="AG89" s="372">
        <f>IFERROR(VLOOKUP($AE89,costs!$A$2:$I$2905,AG$2,FALSE),0)</f>
        <v>0</v>
      </c>
      <c r="AH89" s="372">
        <f>IFERROR(VLOOKUP($AE89,costs!$A$2:$I$2905,AH$2,FALSE),0)</f>
        <v>0</v>
      </c>
      <c r="AI89" s="372">
        <f>IFERROR(VLOOKUP($AE89,costs!$A$2:$I$2905,AI$2,FALSE),0)</f>
        <v>0</v>
      </c>
      <c r="AJ89" s="372">
        <f>IFERROR(VLOOKUP($AE89,costs!$A$2:$I$2905,AJ$2,FALSE),0)</f>
        <v>0</v>
      </c>
      <c r="AK89" s="372">
        <f>IFERROR(VLOOKUP($AE89,costs!$A$2:$I$2905,AK$2,FALSE),0)</f>
        <v>0</v>
      </c>
      <c r="AL89" s="372">
        <f>IFERROR(VLOOKUP($AE89,costs!$A$2:$I$2905,AL$2,FALSE),0)</f>
        <v>0</v>
      </c>
      <c r="AM89" s="372">
        <f>IFERROR(VLOOKUP($AE89,costs!$A$2:$I$2905,AM$2,FALSE),0)</f>
        <v>0</v>
      </c>
      <c r="AO89" s="40" t="s">
        <v>525</v>
      </c>
      <c r="AP89" s="372">
        <f>IFERROR(VLOOKUP($AO89,costs!$A$2:$I$2905,AP$2,FALSE),0)</f>
        <v>0</v>
      </c>
      <c r="AQ89" s="372">
        <f>IFERROR(VLOOKUP($AO89,costs!$A$2:$I$2905,AQ$2,FALSE),0)</f>
        <v>0</v>
      </c>
      <c r="AR89" s="372">
        <f>IFERROR(VLOOKUP($AO89,costs!$A$2:$I$2905,AR$2,FALSE),0)</f>
        <v>0</v>
      </c>
      <c r="AS89" s="372">
        <f>IFERROR(VLOOKUP($AO89,costs!$A$2:$I$2905,AS$2,FALSE),0)</f>
        <v>0</v>
      </c>
      <c r="AT89" s="372">
        <f>IFERROR(VLOOKUP($AO89,costs!$A$2:$I$2905,AT$2,FALSE),0)</f>
        <v>0</v>
      </c>
      <c r="AU89" s="372">
        <f>IFERROR(VLOOKUP($AO89,costs!$A$2:$I$2905,AU$2,FALSE),0)</f>
        <v>0</v>
      </c>
      <c r="AV89" s="372">
        <f>IFERROR(VLOOKUP($AO89,costs!$A$2:$I$2905,AV$2,FALSE),0)</f>
        <v>0</v>
      </c>
      <c r="AW89" s="372">
        <f>IFERROR(VLOOKUP($AO89,costs!$A$2:$I$2905,AW$2,FALSE),0)</f>
        <v>0</v>
      </c>
      <c r="AY89" s="40" t="s">
        <v>2130</v>
      </c>
      <c r="AZ89" s="372">
        <f>IFERROR(VLOOKUP($AY89,costs!$A$2:$I$2905,AZ$2,FALSE),0)</f>
        <v>0</v>
      </c>
      <c r="BA89" s="372">
        <f>IFERROR(VLOOKUP($AY89,costs!$A$2:$I$2905,BA$2,FALSE),0)</f>
        <v>0</v>
      </c>
      <c r="BB89" s="372">
        <f>IFERROR(VLOOKUP($AY89,costs!$A$2:$I$2905,BB$2,FALSE),0)</f>
        <v>0</v>
      </c>
      <c r="BC89" s="372">
        <f>IFERROR(VLOOKUP($AY89,costs!$A$2:$I$2905,BC$2,FALSE),0)</f>
        <v>0</v>
      </c>
      <c r="BD89" s="372">
        <f>IFERROR(VLOOKUP($AY89,costs!$A$2:$I$2905,BD$2,FALSE),0)</f>
        <v>0</v>
      </c>
      <c r="BE89" s="372">
        <f>IFERROR(VLOOKUP($AY89,costs!$A$2:$I$2905,BE$2,FALSE),0)</f>
        <v>0</v>
      </c>
      <c r="BF89" s="372">
        <f>IFERROR(VLOOKUP($AY89,costs!$A$2:$I$2905,BF$2,FALSE),0)</f>
        <v>0</v>
      </c>
      <c r="BG89" s="372">
        <f>IFERROR(VLOOKUP($AY89,costs!$A$2:$I$2905,BG$2,FALSE),0)</f>
        <v>0</v>
      </c>
    </row>
    <row r="90" spans="2:59" x14ac:dyDescent="0.35">
      <c r="B90" s="900" t="s">
        <v>1165</v>
      </c>
      <c r="C90" s="900">
        <f t="shared" si="20"/>
        <v>0</v>
      </c>
      <c r="D90" s="900">
        <f t="shared" si="20"/>
        <v>0</v>
      </c>
      <c r="E90" s="900">
        <f t="shared" si="20"/>
        <v>0</v>
      </c>
      <c r="F90" s="900">
        <f t="shared" si="20"/>
        <v>0</v>
      </c>
      <c r="G90" s="900">
        <f t="shared" si="20"/>
        <v>0</v>
      </c>
      <c r="H90" s="900">
        <f t="shared" si="20"/>
        <v>0</v>
      </c>
      <c r="I90" s="900">
        <f t="shared" si="20"/>
        <v>0</v>
      </c>
      <c r="U90" s="40" t="s">
        <v>62</v>
      </c>
      <c r="V90" s="372">
        <f>IFERROR(VLOOKUP($U90,costs!$A$2:$I$2905,V$2,FALSE),0)</f>
        <v>0</v>
      </c>
      <c r="W90" s="372">
        <f>IFERROR(VLOOKUP($U90,costs!$A$2:$I$2905,W$2,FALSE),0)</f>
        <v>0</v>
      </c>
      <c r="X90" s="372">
        <f>IFERROR(VLOOKUP($U90,costs!$A$2:$I$2905,X$2,FALSE),0)</f>
        <v>0</v>
      </c>
      <c r="Y90" s="372">
        <f>IFERROR(VLOOKUP($U90,costs!$A$2:$I$2905,Y$2,FALSE),0)</f>
        <v>0</v>
      </c>
      <c r="Z90" s="372">
        <f>IFERROR(VLOOKUP($U90,costs!$A$2:$I$2905,Z$2,FALSE),0)</f>
        <v>0</v>
      </c>
      <c r="AA90" s="372">
        <f>IFERROR(VLOOKUP($U90,costs!$A$2:$I$2905,AA$2,FALSE),0)</f>
        <v>0</v>
      </c>
      <c r="AB90" s="372">
        <f>IFERROR(VLOOKUP($U90,costs!$A$2:$I$2905,AB$2,FALSE),0)</f>
        <v>0</v>
      </c>
      <c r="AC90" s="372">
        <f>IFERROR(VLOOKUP($U90,costs!$A$2:$I$2905,AC$2,FALSE),0)</f>
        <v>0</v>
      </c>
      <c r="AE90" s="40" t="s">
        <v>4037</v>
      </c>
      <c r="AF90" s="372">
        <f>IFERROR(VLOOKUP($AE90,costs!$A$2:$I$2905,AF$2,FALSE),0)</f>
        <v>0</v>
      </c>
      <c r="AG90" s="372">
        <f>IFERROR(VLOOKUP($AE90,costs!$A$2:$I$2905,AG$2,FALSE),0)</f>
        <v>0</v>
      </c>
      <c r="AH90" s="372">
        <f>IFERROR(VLOOKUP($AE90,costs!$A$2:$I$2905,AH$2,FALSE),0)</f>
        <v>0</v>
      </c>
      <c r="AI90" s="372">
        <f>IFERROR(VLOOKUP($AE90,costs!$A$2:$I$2905,AI$2,FALSE),0)</f>
        <v>0</v>
      </c>
      <c r="AJ90" s="372">
        <f>IFERROR(VLOOKUP($AE90,costs!$A$2:$I$2905,AJ$2,FALSE),0)</f>
        <v>0</v>
      </c>
      <c r="AK90" s="372">
        <f>IFERROR(VLOOKUP($AE90,costs!$A$2:$I$2905,AK$2,FALSE),0)</f>
        <v>0</v>
      </c>
      <c r="AL90" s="372">
        <f>IFERROR(VLOOKUP($AE90,costs!$A$2:$I$2905,AL$2,FALSE),0)</f>
        <v>0</v>
      </c>
      <c r="AM90" s="372">
        <f>IFERROR(VLOOKUP($AE90,costs!$A$2:$I$2905,AM$2,FALSE),0)</f>
        <v>0</v>
      </c>
      <c r="AO90" s="949" t="s">
        <v>2094</v>
      </c>
      <c r="AP90" s="372">
        <f>IFERROR(VLOOKUP($AO90,costs!$A$2:$I$2905,AP$2,FALSE),0)</f>
        <v>0</v>
      </c>
      <c r="AQ90" s="372">
        <f>IFERROR(VLOOKUP($AO90,costs!$A$2:$I$2905,AQ$2,FALSE),0)</f>
        <v>0</v>
      </c>
      <c r="AR90" s="372">
        <f>IFERROR(VLOOKUP($AO90,costs!$A$2:$I$2905,AR$2,FALSE),0)</f>
        <v>0</v>
      </c>
      <c r="AS90" s="372">
        <f>IFERROR(VLOOKUP($AO90,costs!$A$2:$I$2905,AS$2,FALSE),0)</f>
        <v>0</v>
      </c>
      <c r="AT90" s="372">
        <f>IFERROR(VLOOKUP($AO90,costs!$A$2:$I$2905,AT$2,FALSE),0)</f>
        <v>0</v>
      </c>
      <c r="AU90" s="372">
        <f>IFERROR(VLOOKUP($AO90,costs!$A$2:$I$2905,AU$2,FALSE),0)</f>
        <v>0</v>
      </c>
      <c r="AV90" s="372">
        <f>IFERROR(VLOOKUP($AO90,costs!$A$2:$I$2905,AV$2,FALSE),0)</f>
        <v>0</v>
      </c>
      <c r="AW90" s="372">
        <f>IFERROR(VLOOKUP($AO90,costs!$A$2:$I$2905,AW$2,FALSE),0)</f>
        <v>0</v>
      </c>
      <c r="AY90" s="949" t="s">
        <v>529</v>
      </c>
      <c r="AZ90" s="372">
        <f>IFERROR(VLOOKUP($AY90,costs!$A$2:$I$2905,AZ$2,FALSE),0)</f>
        <v>0</v>
      </c>
      <c r="BA90" s="372">
        <f>IFERROR(VLOOKUP($AY90,costs!$A$2:$I$2905,BA$2,FALSE),0)</f>
        <v>0</v>
      </c>
      <c r="BB90" s="372">
        <f>IFERROR(VLOOKUP($AY90,costs!$A$2:$I$2905,BB$2,FALSE),0)</f>
        <v>0</v>
      </c>
      <c r="BC90" s="372">
        <f>IFERROR(VLOOKUP($AY90,costs!$A$2:$I$2905,BC$2,FALSE),0)</f>
        <v>0</v>
      </c>
      <c r="BD90" s="372">
        <f>IFERROR(VLOOKUP($AY90,costs!$A$2:$I$2905,BD$2,FALSE),0)</f>
        <v>0</v>
      </c>
      <c r="BE90" s="372">
        <f>IFERROR(VLOOKUP($AY90,costs!$A$2:$I$2905,BE$2,FALSE),0)</f>
        <v>0</v>
      </c>
      <c r="BF90" s="372">
        <f>IFERROR(VLOOKUP($AY90,costs!$A$2:$I$2905,BF$2,FALSE),0)</f>
        <v>0</v>
      </c>
      <c r="BG90" s="372">
        <f>IFERROR(VLOOKUP($AY90,costs!$A$2:$I$2905,BG$2,FALSE),0)</f>
        <v>0</v>
      </c>
    </row>
    <row r="91" spans="2:59" x14ac:dyDescent="0.35">
      <c r="B91" s="900" t="s">
        <v>1528</v>
      </c>
      <c r="C91" s="900">
        <f t="shared" si="20"/>
        <v>0</v>
      </c>
      <c r="D91" s="900" t="e">
        <f t="shared" si="20"/>
        <v>#N/A</v>
      </c>
      <c r="E91" s="900" t="e">
        <f t="shared" si="20"/>
        <v>#N/A</v>
      </c>
      <c r="F91" s="900" t="e">
        <f t="shared" si="20"/>
        <v>#N/A</v>
      </c>
      <c r="G91" s="900" t="e">
        <f t="shared" si="20"/>
        <v>#N/A</v>
      </c>
      <c r="H91" s="900" t="e">
        <f t="shared" si="20"/>
        <v>#N/A</v>
      </c>
      <c r="I91" s="900" t="e">
        <f t="shared" si="20"/>
        <v>#N/A</v>
      </c>
      <c r="U91" s="949" t="s">
        <v>63</v>
      </c>
      <c r="V91" s="372">
        <f>IFERROR(VLOOKUP($U91,costs!$A$2:$I$2905,V$2,FALSE),0)</f>
        <v>0</v>
      </c>
      <c r="W91" s="372">
        <f>IFERROR(VLOOKUP($U91,costs!$A$2:$I$2905,W$2,FALSE),0)</f>
        <v>0</v>
      </c>
      <c r="X91" s="372">
        <f>IFERROR(VLOOKUP($U91,costs!$A$2:$I$2905,X$2,FALSE),0)</f>
        <v>0</v>
      </c>
      <c r="Y91" s="372">
        <f>IFERROR(VLOOKUP($U91,costs!$A$2:$I$2905,Y$2,FALSE),0)</f>
        <v>0</v>
      </c>
      <c r="Z91" s="372">
        <f>IFERROR(VLOOKUP($U91,costs!$A$2:$I$2905,Z$2,FALSE),0)</f>
        <v>0</v>
      </c>
      <c r="AA91" s="372">
        <f>IFERROR(VLOOKUP($U91,costs!$A$2:$I$2905,AA$2,FALSE),0)</f>
        <v>0</v>
      </c>
      <c r="AB91" s="372">
        <f>IFERROR(VLOOKUP($U91,costs!$A$2:$I$2905,AB$2,FALSE),0)</f>
        <v>0</v>
      </c>
      <c r="AC91" s="372">
        <f>IFERROR(VLOOKUP($U91,costs!$A$2:$I$2905,AC$2,FALSE),0)</f>
        <v>0</v>
      </c>
      <c r="AE91" s="40" t="s">
        <v>2884</v>
      </c>
      <c r="AF91" s="372">
        <f>IFERROR(VLOOKUP($AE91,costs!$A$2:$I$2905,AF$2,FALSE),0)</f>
        <v>0</v>
      </c>
      <c r="AG91" s="372">
        <f>IFERROR(VLOOKUP($AE91,costs!$A$2:$I$2905,AG$2,FALSE),0)</f>
        <v>0</v>
      </c>
      <c r="AH91" s="372">
        <f>IFERROR(VLOOKUP($AE91,costs!$A$2:$I$2905,AH$2,FALSE),0)</f>
        <v>0</v>
      </c>
      <c r="AI91" s="372">
        <f>IFERROR(VLOOKUP($AE91,costs!$A$2:$I$2905,AI$2,FALSE),0)</f>
        <v>0</v>
      </c>
      <c r="AJ91" s="372">
        <f>IFERROR(VLOOKUP($AE91,costs!$A$2:$I$2905,AJ$2,FALSE),0)</f>
        <v>0</v>
      </c>
      <c r="AK91" s="372">
        <f>IFERROR(VLOOKUP($AE91,costs!$A$2:$I$2905,AK$2,FALSE),0)</f>
        <v>0</v>
      </c>
      <c r="AL91" s="372">
        <f>IFERROR(VLOOKUP($AE91,costs!$A$2:$I$2905,AL$2,FALSE),0)</f>
        <v>0</v>
      </c>
      <c r="AM91" s="372">
        <f>IFERROR(VLOOKUP($AE91,costs!$A$2:$I$2905,AM$2,FALSE),0)</f>
        <v>0</v>
      </c>
      <c r="AO91" s="40" t="s">
        <v>289</v>
      </c>
      <c r="AP91" s="372">
        <f>IFERROR(VLOOKUP($AO91,costs!$A$2:$I$2905,AP$2,FALSE),0)</f>
        <v>0</v>
      </c>
      <c r="AQ91" s="372">
        <f>IFERROR(VLOOKUP($AO91,costs!$A$2:$I$2905,AQ$2,FALSE),0)</f>
        <v>0</v>
      </c>
      <c r="AR91" s="372">
        <f>IFERROR(VLOOKUP($AO91,costs!$A$2:$I$2905,AR$2,FALSE),0)</f>
        <v>0</v>
      </c>
      <c r="AS91" s="372">
        <f>IFERROR(VLOOKUP($AO91,costs!$A$2:$I$2905,AS$2,FALSE),0)</f>
        <v>0</v>
      </c>
      <c r="AT91" s="372">
        <f>IFERROR(VLOOKUP($AO91,costs!$A$2:$I$2905,AT$2,FALSE),0)</f>
        <v>0</v>
      </c>
      <c r="AU91" s="372">
        <f>IFERROR(VLOOKUP($AO91,costs!$A$2:$I$2905,AU$2,FALSE),0)</f>
        <v>0</v>
      </c>
      <c r="AV91" s="372">
        <f>IFERROR(VLOOKUP($AO91,costs!$A$2:$I$2905,AV$2,FALSE),0)</f>
        <v>0</v>
      </c>
      <c r="AW91" s="372">
        <f>IFERROR(VLOOKUP($AO91,costs!$A$2:$I$2905,AW$2,FALSE),0)</f>
        <v>0</v>
      </c>
      <c r="AY91" s="40" t="s">
        <v>2131</v>
      </c>
      <c r="AZ91" s="372">
        <f>IFERROR(VLOOKUP($AY91,costs!$A$2:$I$2905,AZ$2,FALSE),0)</f>
        <v>0</v>
      </c>
      <c r="BA91" s="372">
        <f>IFERROR(VLOOKUP($AY91,costs!$A$2:$I$2905,BA$2,FALSE),0)</f>
        <v>0</v>
      </c>
      <c r="BB91" s="372">
        <f>IFERROR(VLOOKUP($AY91,costs!$A$2:$I$2905,BB$2,FALSE),0)</f>
        <v>0</v>
      </c>
      <c r="BC91" s="372">
        <f>IFERROR(VLOOKUP($AY91,costs!$A$2:$I$2905,BC$2,FALSE),0)</f>
        <v>0</v>
      </c>
      <c r="BD91" s="372">
        <f>IFERROR(VLOOKUP($AY91,costs!$A$2:$I$2905,BD$2,FALSE),0)</f>
        <v>0</v>
      </c>
      <c r="BE91" s="372">
        <f>IFERROR(VLOOKUP($AY91,costs!$A$2:$I$2905,BE$2,FALSE),0)</f>
        <v>0</v>
      </c>
      <c r="BF91" s="372">
        <f>IFERROR(VLOOKUP($AY91,costs!$A$2:$I$2905,BF$2,FALSE),0)</f>
        <v>0</v>
      </c>
      <c r="BG91" s="372">
        <f>IFERROR(VLOOKUP($AY91,costs!$A$2:$I$2905,BG$2,FALSE),0)</f>
        <v>0</v>
      </c>
    </row>
    <row r="92" spans="2:59" x14ac:dyDescent="0.35">
      <c r="B92" s="900" t="s">
        <v>1468</v>
      </c>
      <c r="C92" s="900">
        <f t="shared" si="20"/>
        <v>0</v>
      </c>
      <c r="D92" s="900" t="e">
        <f t="shared" si="20"/>
        <v>#N/A</v>
      </c>
      <c r="E92" s="900" t="e">
        <f t="shared" si="20"/>
        <v>#N/A</v>
      </c>
      <c r="F92" s="900" t="e">
        <f t="shared" si="20"/>
        <v>#N/A</v>
      </c>
      <c r="G92" s="900" t="e">
        <f t="shared" si="20"/>
        <v>#N/A</v>
      </c>
      <c r="H92" s="900" t="e">
        <f t="shared" si="20"/>
        <v>#N/A</v>
      </c>
      <c r="I92" s="900" t="e">
        <f t="shared" si="20"/>
        <v>#N/A</v>
      </c>
      <c r="U92" s="40" t="s">
        <v>2064</v>
      </c>
      <c r="V92" s="372">
        <f>IFERROR(VLOOKUP($U92,costs!$A$2:$I$2905,V$2,FALSE),0)</f>
        <v>0</v>
      </c>
      <c r="W92" s="372">
        <f>IFERROR(VLOOKUP($U92,costs!$A$2:$I$2905,W$2,FALSE),0)</f>
        <v>0</v>
      </c>
      <c r="X92" s="372">
        <f>IFERROR(VLOOKUP($U92,costs!$A$2:$I$2905,X$2,FALSE),0)</f>
        <v>0</v>
      </c>
      <c r="Y92" s="372">
        <f>IFERROR(VLOOKUP($U92,costs!$A$2:$I$2905,Y$2,FALSE),0)</f>
        <v>0</v>
      </c>
      <c r="Z92" s="372">
        <f>IFERROR(VLOOKUP($U92,costs!$A$2:$I$2905,Z$2,FALSE),0)</f>
        <v>0</v>
      </c>
      <c r="AA92" s="372">
        <f>IFERROR(VLOOKUP($U92,costs!$A$2:$I$2905,AA$2,FALSE),0)</f>
        <v>0</v>
      </c>
      <c r="AB92" s="372">
        <f>IFERROR(VLOOKUP($U92,costs!$A$2:$I$2905,AB$2,FALSE),0)</f>
        <v>0</v>
      </c>
      <c r="AC92" s="372">
        <f>IFERROR(VLOOKUP($U92,costs!$A$2:$I$2905,AC$2,FALSE),0)</f>
        <v>0</v>
      </c>
      <c r="AE92" s="40" t="s">
        <v>2882</v>
      </c>
      <c r="AF92" s="372">
        <f>IFERROR(VLOOKUP($AE92,costs!$A$2:$I$2905,AF$2,FALSE),0)</f>
        <v>0</v>
      </c>
      <c r="AG92" s="372">
        <f>IFERROR(VLOOKUP($AE92,costs!$A$2:$I$2905,AG$2,FALSE),0)</f>
        <v>0</v>
      </c>
      <c r="AH92" s="372">
        <f>IFERROR(VLOOKUP($AE92,costs!$A$2:$I$2905,AH$2,FALSE),0)</f>
        <v>0</v>
      </c>
      <c r="AI92" s="372">
        <f>IFERROR(VLOOKUP($AE92,costs!$A$2:$I$2905,AI$2,FALSE),0)</f>
        <v>0</v>
      </c>
      <c r="AJ92" s="372">
        <f>IFERROR(VLOOKUP($AE92,costs!$A$2:$I$2905,AJ$2,FALSE),0)</f>
        <v>0</v>
      </c>
      <c r="AK92" s="372">
        <f>IFERROR(VLOOKUP($AE92,costs!$A$2:$I$2905,AK$2,FALSE),0)</f>
        <v>0</v>
      </c>
      <c r="AL92" s="372">
        <f>IFERROR(VLOOKUP($AE92,costs!$A$2:$I$2905,AL$2,FALSE),0)</f>
        <v>0</v>
      </c>
      <c r="AM92" s="372">
        <f>IFERROR(VLOOKUP($AE92,costs!$A$2:$I$2905,AM$2,FALSE),0)</f>
        <v>0</v>
      </c>
      <c r="AO92" s="949" t="s">
        <v>2095</v>
      </c>
      <c r="AP92" s="372">
        <f>IFERROR(VLOOKUP($AO92,costs!$A$2:$I$2905,AP$2,FALSE),0)</f>
        <v>0</v>
      </c>
      <c r="AQ92" s="372">
        <f>IFERROR(VLOOKUP($AO92,costs!$A$2:$I$2905,AQ$2,FALSE),0)</f>
        <v>0</v>
      </c>
      <c r="AR92" s="372">
        <f>IFERROR(VLOOKUP($AO92,costs!$A$2:$I$2905,AR$2,FALSE),0)</f>
        <v>0</v>
      </c>
      <c r="AS92" s="372">
        <f>IFERROR(VLOOKUP($AO92,costs!$A$2:$I$2905,AS$2,FALSE),0)</f>
        <v>0</v>
      </c>
      <c r="AT92" s="372">
        <f>IFERROR(VLOOKUP($AO92,costs!$A$2:$I$2905,AT$2,FALSE),0)</f>
        <v>0</v>
      </c>
      <c r="AU92" s="372">
        <f>IFERROR(VLOOKUP($AO92,costs!$A$2:$I$2905,AU$2,FALSE),0)</f>
        <v>0</v>
      </c>
      <c r="AV92" s="372">
        <f>IFERROR(VLOOKUP($AO92,costs!$A$2:$I$2905,AV$2,FALSE),0)</f>
        <v>0</v>
      </c>
      <c r="AW92" s="372">
        <f>IFERROR(VLOOKUP($AO92,costs!$A$2:$I$2905,AW$2,FALSE),0)</f>
        <v>0</v>
      </c>
      <c r="AY92" s="949" t="s">
        <v>1154</v>
      </c>
      <c r="AZ92" s="372">
        <f>IFERROR(VLOOKUP($AY92,costs!$A$2:$I$2905,AZ$2,FALSE),0)</f>
        <v>0</v>
      </c>
      <c r="BA92" s="372">
        <f>IFERROR(VLOOKUP($AY92,costs!$A$2:$I$2905,BA$2,FALSE),0)</f>
        <v>0</v>
      </c>
      <c r="BB92" s="372">
        <f>IFERROR(VLOOKUP($AY92,costs!$A$2:$I$2905,BB$2,FALSE),0)</f>
        <v>0</v>
      </c>
      <c r="BC92" s="372">
        <f>IFERROR(VLOOKUP($AY92,costs!$A$2:$I$2905,BC$2,FALSE),0)</f>
        <v>0</v>
      </c>
      <c r="BD92" s="372">
        <f>IFERROR(VLOOKUP($AY92,costs!$A$2:$I$2905,BD$2,FALSE),0)</f>
        <v>0</v>
      </c>
      <c r="BE92" s="372">
        <f>IFERROR(VLOOKUP($AY92,costs!$A$2:$I$2905,BE$2,FALSE),0)</f>
        <v>0</v>
      </c>
      <c r="BF92" s="372">
        <f>IFERROR(VLOOKUP($AY92,costs!$A$2:$I$2905,BF$2,FALSE),0)</f>
        <v>0</v>
      </c>
      <c r="BG92" s="372">
        <f>IFERROR(VLOOKUP($AY92,costs!$A$2:$I$2905,BG$2,FALSE),0)</f>
        <v>0</v>
      </c>
    </row>
    <row r="93" spans="2:59" x14ac:dyDescent="0.35">
      <c r="B93" s="900" t="s">
        <v>2289</v>
      </c>
      <c r="C93" s="900">
        <f t="shared" si="20"/>
        <v>0</v>
      </c>
      <c r="D93" s="900">
        <f t="shared" si="20"/>
        <v>0</v>
      </c>
      <c r="E93" s="900">
        <f t="shared" si="20"/>
        <v>0</v>
      </c>
      <c r="F93" s="900">
        <f>F18</f>
        <v>0</v>
      </c>
      <c r="G93" s="900">
        <f t="shared" si="20"/>
        <v>0</v>
      </c>
      <c r="H93" s="900">
        <f t="shared" si="20"/>
        <v>0</v>
      </c>
      <c r="I93" s="900">
        <f t="shared" si="20"/>
        <v>0</v>
      </c>
      <c r="U93" s="949" t="s">
        <v>2</v>
      </c>
      <c r="V93" s="372">
        <f>IFERROR(VLOOKUP($U93,costs!$A$2:$I$2905,V$2,FALSE),0)</f>
        <v>0</v>
      </c>
      <c r="W93" s="372">
        <f>IFERROR(VLOOKUP($U93,costs!$A$2:$I$2905,W$2,FALSE),0)</f>
        <v>0</v>
      </c>
      <c r="X93" s="372">
        <f>IFERROR(VLOOKUP($U93,costs!$A$2:$I$2905,X$2,FALSE),0)</f>
        <v>0</v>
      </c>
      <c r="Y93" s="372">
        <f>IFERROR(VLOOKUP($U93,costs!$A$2:$I$2905,Y$2,FALSE),0)</f>
        <v>0</v>
      </c>
      <c r="Z93" s="372">
        <f>IFERROR(VLOOKUP($U93,costs!$A$2:$I$2905,Z$2,FALSE),0)</f>
        <v>0</v>
      </c>
      <c r="AA93" s="372">
        <f>IFERROR(VLOOKUP($U93,costs!$A$2:$I$2905,AA$2,FALSE),0)</f>
        <v>0</v>
      </c>
      <c r="AB93" s="372">
        <f>IFERROR(VLOOKUP($U93,costs!$A$2:$I$2905,AB$2,FALSE),0)</f>
        <v>0</v>
      </c>
      <c r="AC93" s="372">
        <f>IFERROR(VLOOKUP($U93,costs!$A$2:$I$2905,AC$2,FALSE),0)</f>
        <v>0</v>
      </c>
      <c r="AE93" s="40" t="s">
        <v>2888</v>
      </c>
      <c r="AF93" s="372">
        <f>IFERROR(VLOOKUP($AE93,costs!$A$2:$I$2905,AF$2,FALSE),0)</f>
        <v>0</v>
      </c>
      <c r="AG93" s="372">
        <f>IFERROR(VLOOKUP($AE93,costs!$A$2:$I$2905,AG$2,FALSE),0)</f>
        <v>0</v>
      </c>
      <c r="AH93" s="372">
        <f>IFERROR(VLOOKUP($AE93,costs!$A$2:$I$2905,AH$2,FALSE),0)</f>
        <v>0</v>
      </c>
      <c r="AI93" s="372">
        <f>IFERROR(VLOOKUP($AE93,costs!$A$2:$I$2905,AI$2,FALSE),0)</f>
        <v>0</v>
      </c>
      <c r="AJ93" s="372">
        <f>IFERROR(VLOOKUP($AE93,costs!$A$2:$I$2905,AJ$2,FALSE),0)</f>
        <v>0</v>
      </c>
      <c r="AK93" s="372">
        <f>IFERROR(VLOOKUP($AE93,costs!$A$2:$I$2905,AK$2,FALSE),0)</f>
        <v>0</v>
      </c>
      <c r="AL93" s="372">
        <f>IFERROR(VLOOKUP($AE93,costs!$A$2:$I$2905,AL$2,FALSE),0)</f>
        <v>0</v>
      </c>
      <c r="AM93" s="372">
        <f>IFERROR(VLOOKUP($AE93,costs!$A$2:$I$2905,AM$2,FALSE),0)</f>
        <v>0</v>
      </c>
      <c r="AO93" s="40" t="s">
        <v>55</v>
      </c>
      <c r="AP93" s="372">
        <f>IFERROR(VLOOKUP($AO93,costs!$A$2:$I$2905,AP$2,FALSE),0)</f>
        <v>0</v>
      </c>
      <c r="AQ93" s="372">
        <f>IFERROR(VLOOKUP($AO93,costs!$A$2:$I$2905,AQ$2,FALSE),0)</f>
        <v>0</v>
      </c>
      <c r="AR93" s="372">
        <f>IFERROR(VLOOKUP($AO93,costs!$A$2:$I$2905,AR$2,FALSE),0)</f>
        <v>0</v>
      </c>
      <c r="AS93" s="372">
        <f>IFERROR(VLOOKUP($AO93,costs!$A$2:$I$2905,AS$2,FALSE),0)</f>
        <v>0</v>
      </c>
      <c r="AT93" s="372">
        <f>IFERROR(VLOOKUP($AO93,costs!$A$2:$I$2905,AT$2,FALSE),0)</f>
        <v>0</v>
      </c>
      <c r="AU93" s="372">
        <f>IFERROR(VLOOKUP($AO93,costs!$A$2:$I$2905,AU$2,FALSE),0)</f>
        <v>0</v>
      </c>
      <c r="AV93" s="372">
        <f>IFERROR(VLOOKUP($AO93,costs!$A$2:$I$2905,AV$2,FALSE),0)</f>
        <v>0</v>
      </c>
      <c r="AW93" s="372">
        <f>IFERROR(VLOOKUP($AO93,costs!$A$2:$I$2905,AW$2,FALSE),0)</f>
        <v>0</v>
      </c>
      <c r="AY93" s="40" t="s">
        <v>420</v>
      </c>
      <c r="AZ93" s="372">
        <f>IFERROR(VLOOKUP($AY93,costs!$A$2:$I$2905,AZ$2,FALSE),0)</f>
        <v>0</v>
      </c>
      <c r="BA93" s="372">
        <f>IFERROR(VLOOKUP($AY93,costs!$A$2:$I$2905,BA$2,FALSE),0)</f>
        <v>0</v>
      </c>
      <c r="BB93" s="372">
        <f>IFERROR(VLOOKUP($AY93,costs!$A$2:$I$2905,BB$2,FALSE),0)</f>
        <v>0</v>
      </c>
      <c r="BC93" s="372">
        <f>IFERROR(VLOOKUP($AY93,costs!$A$2:$I$2905,BC$2,FALSE),0)</f>
        <v>0</v>
      </c>
      <c r="BD93" s="372">
        <f>IFERROR(VLOOKUP($AY93,costs!$A$2:$I$2905,BD$2,FALSE),0)</f>
        <v>0</v>
      </c>
      <c r="BE93" s="372">
        <f>IFERROR(VLOOKUP($AY93,costs!$A$2:$I$2905,BE$2,FALSE),0)</f>
        <v>0</v>
      </c>
      <c r="BF93" s="372">
        <f>IFERROR(VLOOKUP($AY93,costs!$A$2:$I$2905,BF$2,FALSE),0)</f>
        <v>0</v>
      </c>
      <c r="BG93" s="372">
        <f>IFERROR(VLOOKUP($AY93,costs!$A$2:$I$2905,BG$2,FALSE),0)</f>
        <v>0</v>
      </c>
    </row>
    <row r="94" spans="2:59" x14ac:dyDescent="0.35">
      <c r="B94" s="900" t="s">
        <v>2290</v>
      </c>
      <c r="C94" s="900">
        <f t="shared" si="20"/>
        <v>0</v>
      </c>
      <c r="D94" s="900">
        <f t="shared" si="20"/>
        <v>0</v>
      </c>
      <c r="E94" s="900">
        <f t="shared" si="20"/>
        <v>0</v>
      </c>
      <c r="F94" s="900">
        <f t="shared" si="20"/>
        <v>0</v>
      </c>
      <c r="G94" s="900">
        <f t="shared" si="20"/>
        <v>0</v>
      </c>
      <c r="H94" s="900">
        <f t="shared" si="20"/>
        <v>0</v>
      </c>
      <c r="I94" s="900">
        <f t="shared" si="20"/>
        <v>0</v>
      </c>
      <c r="U94" s="40" t="s">
        <v>64</v>
      </c>
      <c r="V94" s="372">
        <f>IFERROR(VLOOKUP($U94,costs!$A$2:$I$2905,V$2,FALSE),0)</f>
        <v>0</v>
      </c>
      <c r="W94" s="372">
        <f>IFERROR(VLOOKUP($U94,costs!$A$2:$I$2905,W$2,FALSE),0)</f>
        <v>0</v>
      </c>
      <c r="X94" s="372">
        <f>IFERROR(VLOOKUP($U94,costs!$A$2:$I$2905,X$2,FALSE),0)</f>
        <v>0</v>
      </c>
      <c r="Y94" s="372">
        <f>IFERROR(VLOOKUP($U94,costs!$A$2:$I$2905,Y$2,FALSE),0)</f>
        <v>0</v>
      </c>
      <c r="Z94" s="372">
        <f>IFERROR(VLOOKUP($U94,costs!$A$2:$I$2905,Z$2,FALSE),0)</f>
        <v>0</v>
      </c>
      <c r="AA94" s="372">
        <f>IFERROR(VLOOKUP($U94,costs!$A$2:$I$2905,AA$2,FALSE),0)</f>
        <v>0</v>
      </c>
      <c r="AB94" s="372">
        <f>IFERROR(VLOOKUP($U94,costs!$A$2:$I$2905,AB$2,FALSE),0)</f>
        <v>0</v>
      </c>
      <c r="AC94" s="372">
        <f>IFERROR(VLOOKUP($U94,costs!$A$2:$I$2905,AC$2,FALSE),0)</f>
        <v>0</v>
      </c>
      <c r="AE94" s="40" t="s">
        <v>2883</v>
      </c>
      <c r="AF94" s="372">
        <f>IFERROR(VLOOKUP($AE94,costs!$A$2:$I$2905,AF$2,FALSE),0)</f>
        <v>0</v>
      </c>
      <c r="AG94" s="372">
        <f>IFERROR(VLOOKUP($AE94,costs!$A$2:$I$2905,AG$2,FALSE),0)</f>
        <v>0</v>
      </c>
      <c r="AH94" s="372">
        <f>IFERROR(VLOOKUP($AE94,costs!$A$2:$I$2905,AH$2,FALSE),0)</f>
        <v>0</v>
      </c>
      <c r="AI94" s="372">
        <f>IFERROR(VLOOKUP($AE94,costs!$A$2:$I$2905,AI$2,FALSE),0)</f>
        <v>0</v>
      </c>
      <c r="AJ94" s="372">
        <f>IFERROR(VLOOKUP($AE94,costs!$A$2:$I$2905,AJ$2,FALSE),0)</f>
        <v>0</v>
      </c>
      <c r="AK94" s="372">
        <f>IFERROR(VLOOKUP($AE94,costs!$A$2:$I$2905,AK$2,FALSE),0)</f>
        <v>0</v>
      </c>
      <c r="AL94" s="372">
        <f>IFERROR(VLOOKUP($AE94,costs!$A$2:$I$2905,AL$2,FALSE),0)</f>
        <v>0</v>
      </c>
      <c r="AM94" s="372">
        <f>IFERROR(VLOOKUP($AE94,costs!$A$2:$I$2905,AM$2,FALSE),0)</f>
        <v>0</v>
      </c>
      <c r="AO94" s="949" t="s">
        <v>2096</v>
      </c>
      <c r="AP94" s="372">
        <f>IFERROR(VLOOKUP($AO94,costs!$A$2:$I$2905,AP$2,FALSE),0)</f>
        <v>0</v>
      </c>
      <c r="AQ94" s="372">
        <f>IFERROR(VLOOKUP($AO94,costs!$A$2:$I$2905,AQ$2,FALSE),0)</f>
        <v>0</v>
      </c>
      <c r="AR94" s="372">
        <f>IFERROR(VLOOKUP($AO94,costs!$A$2:$I$2905,AR$2,FALSE),0)</f>
        <v>0</v>
      </c>
      <c r="AS94" s="372">
        <f>IFERROR(VLOOKUP($AO94,costs!$A$2:$I$2905,AS$2,FALSE),0)</f>
        <v>0</v>
      </c>
      <c r="AT94" s="372">
        <f>IFERROR(VLOOKUP($AO94,costs!$A$2:$I$2905,AT$2,FALSE),0)</f>
        <v>0</v>
      </c>
      <c r="AU94" s="372">
        <f>IFERROR(VLOOKUP($AO94,costs!$A$2:$I$2905,AU$2,FALSE),0)</f>
        <v>0</v>
      </c>
      <c r="AV94" s="372">
        <f>IFERROR(VLOOKUP($AO94,costs!$A$2:$I$2905,AV$2,FALSE),0)</f>
        <v>0</v>
      </c>
      <c r="AW94" s="372">
        <f>IFERROR(VLOOKUP($AO94,costs!$A$2:$I$2905,AW$2,FALSE),0)</f>
        <v>0</v>
      </c>
      <c r="AY94" s="949" t="s">
        <v>2132</v>
      </c>
      <c r="AZ94" s="372">
        <f>IFERROR(VLOOKUP($AY94,costs!$A$2:$I$2905,AZ$2,FALSE),0)</f>
        <v>0</v>
      </c>
      <c r="BA94" s="372">
        <f>IFERROR(VLOOKUP($AY94,costs!$A$2:$I$2905,BA$2,FALSE),0)</f>
        <v>0</v>
      </c>
      <c r="BB94" s="372">
        <f>IFERROR(VLOOKUP($AY94,costs!$A$2:$I$2905,BB$2,FALSE),0)</f>
        <v>0</v>
      </c>
      <c r="BC94" s="372">
        <f>IFERROR(VLOOKUP($AY94,costs!$A$2:$I$2905,BC$2,FALSE),0)</f>
        <v>0</v>
      </c>
      <c r="BD94" s="372">
        <f>IFERROR(VLOOKUP($AY94,costs!$A$2:$I$2905,BD$2,FALSE),0)</f>
        <v>0</v>
      </c>
      <c r="BE94" s="372">
        <f>IFERROR(VLOOKUP($AY94,costs!$A$2:$I$2905,BE$2,FALSE),0)</f>
        <v>0</v>
      </c>
      <c r="BF94" s="372">
        <f>IFERROR(VLOOKUP($AY94,costs!$A$2:$I$2905,BF$2,FALSE),0)</f>
        <v>0</v>
      </c>
      <c r="BG94" s="372">
        <f>IFERROR(VLOOKUP($AY94,costs!$A$2:$I$2905,BG$2,FALSE),0)</f>
        <v>0</v>
      </c>
    </row>
    <row r="95" spans="2:59" x14ac:dyDescent="0.35">
      <c r="B95" s="900" t="s">
        <v>2291</v>
      </c>
      <c r="C95" s="900">
        <f t="shared" si="20"/>
        <v>0</v>
      </c>
      <c r="D95" s="900">
        <f t="shared" si="20"/>
        <v>0</v>
      </c>
      <c r="E95" s="900">
        <f t="shared" si="20"/>
        <v>0</v>
      </c>
      <c r="F95" s="900">
        <f t="shared" si="20"/>
        <v>0</v>
      </c>
      <c r="G95" s="900">
        <f t="shared" si="20"/>
        <v>0</v>
      </c>
      <c r="H95" s="900">
        <f t="shared" si="20"/>
        <v>0</v>
      </c>
      <c r="I95" s="900">
        <f t="shared" si="20"/>
        <v>0</v>
      </c>
      <c r="U95" s="949" t="s">
        <v>65</v>
      </c>
      <c r="V95" s="372">
        <f>IFERROR(VLOOKUP($U95,costs!$A$2:$I$2905,V$2,FALSE),0)</f>
        <v>0</v>
      </c>
      <c r="W95" s="372">
        <f>IFERROR(VLOOKUP($U95,costs!$A$2:$I$2905,W$2,FALSE),0)</f>
        <v>0</v>
      </c>
      <c r="X95" s="372">
        <f>IFERROR(VLOOKUP($U95,costs!$A$2:$I$2905,X$2,FALSE),0)</f>
        <v>0</v>
      </c>
      <c r="Y95" s="372">
        <f>IFERROR(VLOOKUP($U95,costs!$A$2:$I$2905,Y$2,FALSE),0)</f>
        <v>0</v>
      </c>
      <c r="Z95" s="372">
        <f>IFERROR(VLOOKUP($U95,costs!$A$2:$I$2905,Z$2,FALSE),0)</f>
        <v>0</v>
      </c>
      <c r="AA95" s="372">
        <f>IFERROR(VLOOKUP($U95,costs!$A$2:$I$2905,AA$2,FALSE),0)</f>
        <v>0</v>
      </c>
      <c r="AB95" s="372">
        <f>IFERROR(VLOOKUP($U95,costs!$A$2:$I$2905,AB$2,FALSE),0)</f>
        <v>0</v>
      </c>
      <c r="AC95" s="372">
        <f>IFERROR(VLOOKUP($U95,costs!$A$2:$I$2905,AC$2,FALSE),0)</f>
        <v>0</v>
      </c>
      <c r="AE95" s="40" t="s">
        <v>2885</v>
      </c>
      <c r="AF95" s="372">
        <f>IFERROR(VLOOKUP($AE95,costs!$A$2:$I$2905,AF$2,FALSE),0)</f>
        <v>0</v>
      </c>
      <c r="AG95" s="372">
        <f>IFERROR(VLOOKUP($AE95,costs!$A$2:$I$2905,AG$2,FALSE),0)</f>
        <v>0</v>
      </c>
      <c r="AH95" s="372">
        <f>IFERROR(VLOOKUP($AE95,costs!$A$2:$I$2905,AH$2,FALSE),0)</f>
        <v>0</v>
      </c>
      <c r="AI95" s="372">
        <f>IFERROR(VLOOKUP($AE95,costs!$A$2:$I$2905,AI$2,FALSE),0)</f>
        <v>0</v>
      </c>
      <c r="AJ95" s="372">
        <f>IFERROR(VLOOKUP($AE95,costs!$A$2:$I$2905,AJ$2,FALSE),0)</f>
        <v>0</v>
      </c>
      <c r="AK95" s="372">
        <f>IFERROR(VLOOKUP($AE95,costs!$A$2:$I$2905,AK$2,FALSE),0)</f>
        <v>0</v>
      </c>
      <c r="AL95" s="372">
        <f>IFERROR(VLOOKUP($AE95,costs!$A$2:$I$2905,AL$2,FALSE),0)</f>
        <v>0</v>
      </c>
      <c r="AM95" s="372">
        <f>IFERROR(VLOOKUP($AE95,costs!$A$2:$I$2905,AM$2,FALSE),0)</f>
        <v>0</v>
      </c>
      <c r="AO95" s="40" t="s">
        <v>196</v>
      </c>
      <c r="AP95" s="372">
        <f>IFERROR(VLOOKUP($AO95,costs!$A$2:$I$2905,AP$2,FALSE),0)</f>
        <v>0</v>
      </c>
      <c r="AQ95" s="372">
        <f>IFERROR(VLOOKUP($AO95,costs!$A$2:$I$2905,AQ$2,FALSE),0)</f>
        <v>0</v>
      </c>
      <c r="AR95" s="372">
        <f>IFERROR(VLOOKUP($AO95,costs!$A$2:$I$2905,AR$2,FALSE),0)</f>
        <v>0</v>
      </c>
      <c r="AS95" s="372">
        <f>IFERROR(VLOOKUP($AO95,costs!$A$2:$I$2905,AS$2,FALSE),0)</f>
        <v>0</v>
      </c>
      <c r="AT95" s="372">
        <f>IFERROR(VLOOKUP($AO95,costs!$A$2:$I$2905,AT$2,FALSE),0)</f>
        <v>0</v>
      </c>
      <c r="AU95" s="372">
        <f>IFERROR(VLOOKUP($AO95,costs!$A$2:$I$2905,AU$2,FALSE),0)</f>
        <v>0</v>
      </c>
      <c r="AV95" s="372">
        <f>IFERROR(VLOOKUP($AO95,costs!$A$2:$I$2905,AV$2,FALSE),0)</f>
        <v>0</v>
      </c>
      <c r="AW95" s="372">
        <f>IFERROR(VLOOKUP($AO95,costs!$A$2:$I$2905,AW$2,FALSE),0)</f>
        <v>0</v>
      </c>
      <c r="AY95" s="40" t="s">
        <v>421</v>
      </c>
      <c r="AZ95" s="372">
        <f>IFERROR(VLOOKUP($AY95,costs!$A$2:$I$2905,AZ$2,FALSE),0)</f>
        <v>0</v>
      </c>
      <c r="BA95" s="372">
        <f>IFERROR(VLOOKUP($AY95,costs!$A$2:$I$2905,BA$2,FALSE),0)</f>
        <v>0</v>
      </c>
      <c r="BB95" s="372">
        <f>IFERROR(VLOOKUP($AY95,costs!$A$2:$I$2905,BB$2,FALSE),0)</f>
        <v>0</v>
      </c>
      <c r="BC95" s="372">
        <f>IFERROR(VLOOKUP($AY95,costs!$A$2:$I$2905,BC$2,FALSE),0)</f>
        <v>0</v>
      </c>
      <c r="BD95" s="372">
        <f>IFERROR(VLOOKUP($AY95,costs!$A$2:$I$2905,BD$2,FALSE),0)</f>
        <v>0</v>
      </c>
      <c r="BE95" s="372">
        <f>IFERROR(VLOOKUP($AY95,costs!$A$2:$I$2905,BE$2,FALSE),0)</f>
        <v>0</v>
      </c>
      <c r="BF95" s="372">
        <f>IFERROR(VLOOKUP($AY95,costs!$A$2:$I$2905,BF$2,FALSE),0)</f>
        <v>0</v>
      </c>
      <c r="BG95" s="372">
        <f>IFERROR(VLOOKUP($AY95,costs!$A$2:$I$2905,BG$2,FALSE),0)</f>
        <v>0</v>
      </c>
    </row>
    <row r="96" spans="2:59" x14ac:dyDescent="0.35">
      <c r="B96" s="900" t="s">
        <v>2292</v>
      </c>
      <c r="C96" s="900">
        <f t="shared" si="20"/>
        <v>0</v>
      </c>
      <c r="D96" s="900">
        <f t="shared" si="20"/>
        <v>0</v>
      </c>
      <c r="E96" s="900">
        <f t="shared" si="20"/>
        <v>0</v>
      </c>
      <c r="F96" s="900">
        <f t="shared" si="20"/>
        <v>0</v>
      </c>
      <c r="G96" s="900">
        <f t="shared" si="20"/>
        <v>0</v>
      </c>
      <c r="H96" s="900">
        <f t="shared" si="20"/>
        <v>0</v>
      </c>
      <c r="I96" s="900">
        <f t="shared" si="20"/>
        <v>0</v>
      </c>
      <c r="U96" s="40" t="s">
        <v>3</v>
      </c>
      <c r="V96" s="372">
        <f>IFERROR(VLOOKUP($U96,costs!$A$2:$I$2905,V$2,FALSE),0)</f>
        <v>0</v>
      </c>
      <c r="W96" s="372">
        <f>IFERROR(VLOOKUP($U96,costs!$A$2:$I$2905,W$2,FALSE),0)</f>
        <v>0</v>
      </c>
      <c r="X96" s="372">
        <f>IFERROR(VLOOKUP($U96,costs!$A$2:$I$2905,X$2,FALSE),0)</f>
        <v>0</v>
      </c>
      <c r="Y96" s="372">
        <f>IFERROR(VLOOKUP($U96,costs!$A$2:$I$2905,Y$2,FALSE),0)</f>
        <v>0</v>
      </c>
      <c r="Z96" s="372">
        <f>IFERROR(VLOOKUP($U96,costs!$A$2:$I$2905,Z$2,FALSE),0)</f>
        <v>0</v>
      </c>
      <c r="AA96" s="372">
        <f>IFERROR(VLOOKUP($U96,costs!$A$2:$I$2905,AA$2,FALSE),0)</f>
        <v>0</v>
      </c>
      <c r="AB96" s="372">
        <f>IFERROR(VLOOKUP($U96,costs!$A$2:$I$2905,AB$2,FALSE),0)</f>
        <v>0</v>
      </c>
      <c r="AC96" s="372">
        <f>IFERROR(VLOOKUP($U96,costs!$A$2:$I$2905,AC$2,FALSE),0)</f>
        <v>0</v>
      </c>
      <c r="AE96" s="40" t="s">
        <v>2886</v>
      </c>
      <c r="AF96" s="372">
        <f>IFERROR(VLOOKUP($AE96,costs!$A$2:$I$2905,AF$2,FALSE),0)</f>
        <v>0</v>
      </c>
      <c r="AG96" s="372">
        <f>IFERROR(VLOOKUP($AE96,costs!$A$2:$I$2905,AG$2,FALSE),0)</f>
        <v>0</v>
      </c>
      <c r="AH96" s="372">
        <f>IFERROR(VLOOKUP($AE96,costs!$A$2:$I$2905,AH$2,FALSE),0)</f>
        <v>0</v>
      </c>
      <c r="AI96" s="372">
        <f>IFERROR(VLOOKUP($AE96,costs!$A$2:$I$2905,AI$2,FALSE),0)</f>
        <v>0</v>
      </c>
      <c r="AJ96" s="372">
        <f>IFERROR(VLOOKUP($AE96,costs!$A$2:$I$2905,AJ$2,FALSE),0)</f>
        <v>0</v>
      </c>
      <c r="AK96" s="372">
        <f>IFERROR(VLOOKUP($AE96,costs!$A$2:$I$2905,AK$2,FALSE),0)</f>
        <v>0</v>
      </c>
      <c r="AL96" s="372">
        <f>IFERROR(VLOOKUP($AE96,costs!$A$2:$I$2905,AL$2,FALSE),0)</f>
        <v>0</v>
      </c>
      <c r="AM96" s="372">
        <f>IFERROR(VLOOKUP($AE96,costs!$A$2:$I$2905,AM$2,FALSE),0)</f>
        <v>0</v>
      </c>
      <c r="AO96" s="949" t="s">
        <v>2097</v>
      </c>
      <c r="AP96" s="372">
        <f>IFERROR(VLOOKUP($AO96,costs!$A$2:$I$2905,AP$2,FALSE),0)</f>
        <v>0</v>
      </c>
      <c r="AQ96" s="372">
        <f>IFERROR(VLOOKUP($AO96,costs!$A$2:$I$2905,AQ$2,FALSE),0)</f>
        <v>0</v>
      </c>
      <c r="AR96" s="372">
        <f>IFERROR(VLOOKUP($AO96,costs!$A$2:$I$2905,AR$2,FALSE),0)</f>
        <v>0</v>
      </c>
      <c r="AS96" s="372">
        <f>IFERROR(VLOOKUP($AO96,costs!$A$2:$I$2905,AS$2,FALSE),0)</f>
        <v>0</v>
      </c>
      <c r="AT96" s="372">
        <f>IFERROR(VLOOKUP($AO96,costs!$A$2:$I$2905,AT$2,FALSE),0)</f>
        <v>0</v>
      </c>
      <c r="AU96" s="372">
        <f>IFERROR(VLOOKUP($AO96,costs!$A$2:$I$2905,AU$2,FALSE),0)</f>
        <v>0</v>
      </c>
      <c r="AV96" s="372">
        <f>IFERROR(VLOOKUP($AO96,costs!$A$2:$I$2905,AV$2,FALSE),0)</f>
        <v>0</v>
      </c>
      <c r="AW96" s="372">
        <f>IFERROR(VLOOKUP($AO96,costs!$A$2:$I$2905,AW$2,FALSE),0)</f>
        <v>0</v>
      </c>
      <c r="AY96" s="949" t="s">
        <v>422</v>
      </c>
      <c r="AZ96" s="372">
        <f>IFERROR(VLOOKUP($AY96,costs!$A$2:$I$2905,AZ$2,FALSE),0)</f>
        <v>0</v>
      </c>
      <c r="BA96" s="372">
        <f>IFERROR(VLOOKUP($AY96,costs!$A$2:$I$2905,BA$2,FALSE),0)</f>
        <v>0</v>
      </c>
      <c r="BB96" s="372">
        <f>IFERROR(VLOOKUP($AY96,costs!$A$2:$I$2905,BB$2,FALSE),0)</f>
        <v>0</v>
      </c>
      <c r="BC96" s="372">
        <f>IFERROR(VLOOKUP($AY96,costs!$A$2:$I$2905,BC$2,FALSE),0)</f>
        <v>0</v>
      </c>
      <c r="BD96" s="372">
        <f>IFERROR(VLOOKUP($AY96,costs!$A$2:$I$2905,BD$2,FALSE),0)</f>
        <v>0</v>
      </c>
      <c r="BE96" s="372">
        <f>IFERROR(VLOOKUP($AY96,costs!$A$2:$I$2905,BE$2,FALSE),0)</f>
        <v>0</v>
      </c>
      <c r="BF96" s="372">
        <f>IFERROR(VLOOKUP($AY96,costs!$A$2:$I$2905,BF$2,FALSE),0)</f>
        <v>0</v>
      </c>
      <c r="BG96" s="372">
        <f>IFERROR(VLOOKUP($AY96,costs!$A$2:$I$2905,BG$2,FALSE),0)</f>
        <v>0</v>
      </c>
    </row>
    <row r="97" spans="2:59" x14ac:dyDescent="0.35">
      <c r="B97" s="900" t="s">
        <v>2293</v>
      </c>
      <c r="C97" s="900">
        <f t="shared" si="20"/>
        <v>0</v>
      </c>
      <c r="D97" s="900">
        <f t="shared" si="20"/>
        <v>0</v>
      </c>
      <c r="E97" s="900">
        <f t="shared" si="20"/>
        <v>0</v>
      </c>
      <c r="F97" s="900">
        <f t="shared" si="20"/>
        <v>0</v>
      </c>
      <c r="G97" s="900">
        <f t="shared" si="20"/>
        <v>0</v>
      </c>
      <c r="H97" s="900">
        <f t="shared" si="20"/>
        <v>0</v>
      </c>
      <c r="I97" s="900">
        <f t="shared" si="20"/>
        <v>0</v>
      </c>
      <c r="U97" s="949" t="s">
        <v>66</v>
      </c>
      <c r="V97" s="372">
        <f>IFERROR(VLOOKUP($U97,costs!$A$2:$I$2905,V$2,FALSE),0)</f>
        <v>0</v>
      </c>
      <c r="W97" s="372">
        <f>IFERROR(VLOOKUP($U97,costs!$A$2:$I$2905,W$2,FALSE),0)</f>
        <v>0</v>
      </c>
      <c r="X97" s="372">
        <f>IFERROR(VLOOKUP($U97,costs!$A$2:$I$2905,X$2,FALSE),0)</f>
        <v>0</v>
      </c>
      <c r="Y97" s="372">
        <f>IFERROR(VLOOKUP($U97,costs!$A$2:$I$2905,Y$2,FALSE),0)</f>
        <v>0</v>
      </c>
      <c r="Z97" s="372">
        <f>IFERROR(VLOOKUP($U97,costs!$A$2:$I$2905,Z$2,FALSE),0)</f>
        <v>0</v>
      </c>
      <c r="AA97" s="372">
        <f>IFERROR(VLOOKUP($U97,costs!$A$2:$I$2905,AA$2,FALSE),0)</f>
        <v>0</v>
      </c>
      <c r="AB97" s="372">
        <f>IFERROR(VLOOKUP($U97,costs!$A$2:$I$2905,AB$2,FALSE),0)</f>
        <v>0</v>
      </c>
      <c r="AC97" s="372">
        <f>IFERROR(VLOOKUP($U97,costs!$A$2:$I$2905,AC$2,FALSE),0)</f>
        <v>0</v>
      </c>
      <c r="AE97" s="40" t="s">
        <v>2887</v>
      </c>
      <c r="AF97" s="372">
        <f>IFERROR(VLOOKUP($AE97,costs!$A$2:$I$2905,AF$2,FALSE),0)</f>
        <v>0</v>
      </c>
      <c r="AG97" s="372">
        <f>IFERROR(VLOOKUP($AE97,costs!$A$2:$I$2905,AG$2,FALSE),0)</f>
        <v>0</v>
      </c>
      <c r="AH97" s="372">
        <f>IFERROR(VLOOKUP($AE97,costs!$A$2:$I$2905,AH$2,FALSE),0)</f>
        <v>0</v>
      </c>
      <c r="AI97" s="372">
        <f>IFERROR(VLOOKUP($AE97,costs!$A$2:$I$2905,AI$2,FALSE),0)</f>
        <v>0</v>
      </c>
      <c r="AJ97" s="372">
        <f>IFERROR(VLOOKUP($AE97,costs!$A$2:$I$2905,AJ$2,FALSE),0)</f>
        <v>0</v>
      </c>
      <c r="AK97" s="372">
        <f>IFERROR(VLOOKUP($AE97,costs!$A$2:$I$2905,AK$2,FALSE),0)</f>
        <v>0</v>
      </c>
      <c r="AL97" s="372">
        <f>IFERROR(VLOOKUP($AE97,costs!$A$2:$I$2905,AL$2,FALSE),0)</f>
        <v>0</v>
      </c>
      <c r="AM97" s="372">
        <f>IFERROR(VLOOKUP($AE97,costs!$A$2:$I$2905,AM$2,FALSE),0)</f>
        <v>0</v>
      </c>
      <c r="AO97" s="40" t="s">
        <v>20</v>
      </c>
      <c r="AP97" s="372">
        <f>IFERROR(VLOOKUP($AO97,costs!$A$2:$I$2905,AP$2,FALSE),0)</f>
        <v>0</v>
      </c>
      <c r="AQ97" s="372">
        <f>IFERROR(VLOOKUP($AO97,costs!$A$2:$I$2905,AQ$2,FALSE),0)</f>
        <v>0</v>
      </c>
      <c r="AR97" s="372">
        <f>IFERROR(VLOOKUP($AO97,costs!$A$2:$I$2905,AR$2,FALSE),0)</f>
        <v>0</v>
      </c>
      <c r="AS97" s="372">
        <f>IFERROR(VLOOKUP($AO97,costs!$A$2:$I$2905,AS$2,FALSE),0)</f>
        <v>0</v>
      </c>
      <c r="AT97" s="372">
        <f>IFERROR(VLOOKUP($AO97,costs!$A$2:$I$2905,AT$2,FALSE),0)</f>
        <v>0</v>
      </c>
      <c r="AU97" s="372">
        <f>IFERROR(VLOOKUP($AO97,costs!$A$2:$I$2905,AU$2,FALSE),0)</f>
        <v>0</v>
      </c>
      <c r="AV97" s="372">
        <f>IFERROR(VLOOKUP($AO97,costs!$A$2:$I$2905,AV$2,FALSE),0)</f>
        <v>0</v>
      </c>
      <c r="AW97" s="372">
        <f>IFERROR(VLOOKUP($AO97,costs!$A$2:$I$2905,AW$2,FALSE),0)</f>
        <v>0</v>
      </c>
      <c r="AY97" s="40" t="s">
        <v>2133</v>
      </c>
      <c r="AZ97" s="372">
        <f>IFERROR(VLOOKUP($AY97,costs!$A$2:$I$2905,AZ$2,FALSE),0)</f>
        <v>0</v>
      </c>
      <c r="BA97" s="372">
        <f>IFERROR(VLOOKUP($AY97,costs!$A$2:$I$2905,BA$2,FALSE),0)</f>
        <v>0</v>
      </c>
      <c r="BB97" s="372">
        <f>IFERROR(VLOOKUP($AY97,costs!$A$2:$I$2905,BB$2,FALSE),0)</f>
        <v>0</v>
      </c>
      <c r="BC97" s="372">
        <f>IFERROR(VLOOKUP($AY97,costs!$A$2:$I$2905,BC$2,FALSE),0)</f>
        <v>0</v>
      </c>
      <c r="BD97" s="372">
        <f>IFERROR(VLOOKUP($AY97,costs!$A$2:$I$2905,BD$2,FALSE),0)</f>
        <v>0</v>
      </c>
      <c r="BE97" s="372">
        <f>IFERROR(VLOOKUP($AY97,costs!$A$2:$I$2905,BE$2,FALSE),0)</f>
        <v>0</v>
      </c>
      <c r="BF97" s="372">
        <f>IFERROR(VLOOKUP($AY97,costs!$A$2:$I$2905,BF$2,FALSE),0)</f>
        <v>0</v>
      </c>
      <c r="BG97" s="372">
        <f>IFERROR(VLOOKUP($AY97,costs!$A$2:$I$2905,BG$2,FALSE),0)</f>
        <v>0</v>
      </c>
    </row>
    <row r="98" spans="2:59" x14ac:dyDescent="0.35">
      <c r="B98" s="900" t="s">
        <v>2342</v>
      </c>
      <c r="C98" s="900">
        <f t="shared" si="20"/>
        <v>0</v>
      </c>
      <c r="D98" s="900" t="e">
        <f t="shared" si="20"/>
        <v>#N/A</v>
      </c>
      <c r="E98" s="900" t="e">
        <f t="shared" si="20"/>
        <v>#N/A</v>
      </c>
      <c r="F98" s="900" t="e">
        <f t="shared" si="20"/>
        <v>#N/A</v>
      </c>
      <c r="G98" s="900" t="e">
        <f t="shared" si="20"/>
        <v>#N/A</v>
      </c>
      <c r="H98" s="900" t="e">
        <f t="shared" si="20"/>
        <v>#N/A</v>
      </c>
      <c r="I98" s="900" t="e">
        <f t="shared" si="20"/>
        <v>#N/A</v>
      </c>
      <c r="U98" s="40" t="s">
        <v>67</v>
      </c>
      <c r="V98" s="372">
        <f>IFERROR(VLOOKUP($U98,costs!$A$2:$I$2905,V$2,FALSE),0)</f>
        <v>0</v>
      </c>
      <c r="W98" s="372">
        <f>IFERROR(VLOOKUP($U98,costs!$A$2:$I$2905,W$2,FALSE),0)</f>
        <v>0</v>
      </c>
      <c r="X98" s="372">
        <f>IFERROR(VLOOKUP($U98,costs!$A$2:$I$2905,X$2,FALSE),0)</f>
        <v>0</v>
      </c>
      <c r="Y98" s="372">
        <f>IFERROR(VLOOKUP($U98,costs!$A$2:$I$2905,Y$2,FALSE),0)</f>
        <v>0</v>
      </c>
      <c r="Z98" s="372">
        <f>IFERROR(VLOOKUP($U98,costs!$A$2:$I$2905,Z$2,FALSE),0)</f>
        <v>0</v>
      </c>
      <c r="AA98" s="372">
        <f>IFERROR(VLOOKUP($U98,costs!$A$2:$I$2905,AA$2,FALSE),0)</f>
        <v>0</v>
      </c>
      <c r="AB98" s="372">
        <f>IFERROR(VLOOKUP($U98,costs!$A$2:$I$2905,AB$2,FALSE),0)</f>
        <v>0</v>
      </c>
      <c r="AC98" s="372">
        <f>IFERROR(VLOOKUP($U98,costs!$A$2:$I$2905,AC$2,FALSE),0)</f>
        <v>0</v>
      </c>
      <c r="AE98" s="40" t="s">
        <v>2957</v>
      </c>
      <c r="AF98" s="372">
        <f>IFERROR(VLOOKUP($AE98,costs!$A$2:$I$2905,AF$2,FALSE),0)</f>
        <v>0</v>
      </c>
      <c r="AG98" s="372">
        <f>IFERROR(VLOOKUP($AE98,costs!$A$2:$I$2905,AG$2,FALSE),0)</f>
        <v>0</v>
      </c>
      <c r="AH98" s="372">
        <f>IFERROR(VLOOKUP($AE98,costs!$A$2:$I$2905,AH$2,FALSE),0)</f>
        <v>0</v>
      </c>
      <c r="AI98" s="372">
        <f>IFERROR(VLOOKUP($AE98,costs!$A$2:$I$2905,AI$2,FALSE),0)</f>
        <v>0</v>
      </c>
      <c r="AJ98" s="372">
        <f>IFERROR(VLOOKUP($AE98,costs!$A$2:$I$2905,AJ$2,FALSE),0)</f>
        <v>0</v>
      </c>
      <c r="AK98" s="372">
        <f>IFERROR(VLOOKUP($AE98,costs!$A$2:$I$2905,AK$2,FALSE),0)</f>
        <v>0</v>
      </c>
      <c r="AL98" s="372">
        <f>IFERROR(VLOOKUP($AE98,costs!$A$2:$I$2905,AL$2,FALSE),0)</f>
        <v>0</v>
      </c>
      <c r="AM98" s="372">
        <f>IFERROR(VLOOKUP($AE98,costs!$A$2:$I$2905,AM$2,FALSE),0)</f>
        <v>0</v>
      </c>
      <c r="AO98" s="949" t="s">
        <v>2098</v>
      </c>
      <c r="AP98" s="372">
        <f>IFERROR(VLOOKUP($AO98,costs!$A$2:$I$2905,AP$2,FALSE),0)</f>
        <v>0</v>
      </c>
      <c r="AQ98" s="372">
        <f>IFERROR(VLOOKUP($AO98,costs!$A$2:$I$2905,AQ$2,FALSE),0)</f>
        <v>0</v>
      </c>
      <c r="AR98" s="372">
        <f>IFERROR(VLOOKUP($AO98,costs!$A$2:$I$2905,AR$2,FALSE),0)</f>
        <v>0</v>
      </c>
      <c r="AS98" s="372">
        <f>IFERROR(VLOOKUP($AO98,costs!$A$2:$I$2905,AS$2,FALSE),0)</f>
        <v>0</v>
      </c>
      <c r="AT98" s="372">
        <f>IFERROR(VLOOKUP($AO98,costs!$A$2:$I$2905,AT$2,FALSE),0)</f>
        <v>0</v>
      </c>
      <c r="AU98" s="372">
        <f>IFERROR(VLOOKUP($AO98,costs!$A$2:$I$2905,AU$2,FALSE),0)</f>
        <v>0</v>
      </c>
      <c r="AV98" s="372">
        <f>IFERROR(VLOOKUP($AO98,costs!$A$2:$I$2905,AV$2,FALSE),0)</f>
        <v>0</v>
      </c>
      <c r="AW98" s="372">
        <f>IFERROR(VLOOKUP($AO98,costs!$A$2:$I$2905,AW$2,FALSE),0)</f>
        <v>0</v>
      </c>
      <c r="AY98" s="949" t="s">
        <v>423</v>
      </c>
      <c r="AZ98" s="372">
        <f>IFERROR(VLOOKUP($AY98,costs!$A$2:$I$2905,AZ$2,FALSE),0)</f>
        <v>0</v>
      </c>
      <c r="BA98" s="372">
        <f>IFERROR(VLOOKUP($AY98,costs!$A$2:$I$2905,BA$2,FALSE),0)</f>
        <v>0</v>
      </c>
      <c r="BB98" s="372">
        <f>IFERROR(VLOOKUP($AY98,costs!$A$2:$I$2905,BB$2,FALSE),0)</f>
        <v>0</v>
      </c>
      <c r="BC98" s="372">
        <f>IFERROR(VLOOKUP($AY98,costs!$A$2:$I$2905,BC$2,FALSE),0)</f>
        <v>0</v>
      </c>
      <c r="BD98" s="372">
        <f>IFERROR(VLOOKUP($AY98,costs!$A$2:$I$2905,BD$2,FALSE),0)</f>
        <v>0</v>
      </c>
      <c r="BE98" s="372">
        <f>IFERROR(VLOOKUP($AY98,costs!$A$2:$I$2905,BE$2,FALSE),0)</f>
        <v>0</v>
      </c>
      <c r="BF98" s="372">
        <f>IFERROR(VLOOKUP($AY98,costs!$A$2:$I$2905,BF$2,FALSE),0)</f>
        <v>0</v>
      </c>
      <c r="BG98" s="372">
        <f>IFERROR(VLOOKUP($AY98,costs!$A$2:$I$2905,BG$2,FALSE),0)</f>
        <v>0</v>
      </c>
    </row>
    <row r="99" spans="2:59" x14ac:dyDescent="0.35">
      <c r="B99" s="900">
        <f t="shared" ref="B99:I109" si="21">B24</f>
        <v>0</v>
      </c>
      <c r="C99" s="900">
        <f t="shared" si="21"/>
        <v>0</v>
      </c>
      <c r="D99" s="900">
        <f t="shared" si="21"/>
        <v>0</v>
      </c>
      <c r="E99" s="900">
        <f t="shared" si="21"/>
        <v>0</v>
      </c>
      <c r="F99" s="900">
        <f t="shared" si="21"/>
        <v>0</v>
      </c>
      <c r="G99" s="900">
        <f t="shared" si="21"/>
        <v>0</v>
      </c>
      <c r="H99" s="900">
        <f t="shared" si="21"/>
        <v>0</v>
      </c>
      <c r="I99" s="900">
        <f t="shared" si="21"/>
        <v>0</v>
      </c>
      <c r="U99" s="949" t="s">
        <v>2065</v>
      </c>
      <c r="V99" s="372">
        <f>IFERROR(VLOOKUP($U99,costs!$A$2:$I$2905,V$2,FALSE),0)</f>
        <v>0</v>
      </c>
      <c r="W99" s="372">
        <f>IFERROR(VLOOKUP($U99,costs!$A$2:$I$2905,W$2,FALSE),0)</f>
        <v>0</v>
      </c>
      <c r="X99" s="372">
        <f>IFERROR(VLOOKUP($U99,costs!$A$2:$I$2905,X$2,FALSE),0)</f>
        <v>0</v>
      </c>
      <c r="Y99" s="372">
        <f>IFERROR(VLOOKUP($U99,costs!$A$2:$I$2905,Y$2,FALSE),0)</f>
        <v>0</v>
      </c>
      <c r="Z99" s="372">
        <f>IFERROR(VLOOKUP($U99,costs!$A$2:$I$2905,Z$2,FALSE),0)</f>
        <v>0</v>
      </c>
      <c r="AA99" s="372">
        <f>IFERROR(VLOOKUP($U99,costs!$A$2:$I$2905,AA$2,FALSE),0)</f>
        <v>0</v>
      </c>
      <c r="AB99" s="372">
        <f>IFERROR(VLOOKUP($U99,costs!$A$2:$I$2905,AB$2,FALSE),0)</f>
        <v>0</v>
      </c>
      <c r="AC99" s="372">
        <f>IFERROR(VLOOKUP($U99,costs!$A$2:$I$2905,AC$2,FALSE),0)</f>
        <v>0</v>
      </c>
      <c r="AE99" s="40" t="s">
        <v>2962</v>
      </c>
      <c r="AF99" s="372">
        <f>IFERROR(VLOOKUP($AE99,costs!$A$2:$I$2905,AF$2,FALSE),0)</f>
        <v>0</v>
      </c>
      <c r="AG99" s="372">
        <f>IFERROR(VLOOKUP($AE99,costs!$A$2:$I$2905,AG$2,FALSE),0)</f>
        <v>0</v>
      </c>
      <c r="AH99" s="372">
        <f>IFERROR(VLOOKUP($AE99,costs!$A$2:$I$2905,AH$2,FALSE),0)</f>
        <v>0</v>
      </c>
      <c r="AI99" s="372">
        <f>IFERROR(VLOOKUP($AE99,costs!$A$2:$I$2905,AI$2,FALSE),0)</f>
        <v>0</v>
      </c>
      <c r="AJ99" s="372">
        <f>IFERROR(VLOOKUP($AE99,costs!$A$2:$I$2905,AJ$2,FALSE),0)</f>
        <v>0</v>
      </c>
      <c r="AK99" s="372">
        <f>IFERROR(VLOOKUP($AE99,costs!$A$2:$I$2905,AK$2,FALSE),0)</f>
        <v>0</v>
      </c>
      <c r="AL99" s="372">
        <f>IFERROR(VLOOKUP($AE99,costs!$A$2:$I$2905,AL$2,FALSE),0)</f>
        <v>0</v>
      </c>
      <c r="AM99" s="372">
        <f>IFERROR(VLOOKUP($AE99,costs!$A$2:$I$2905,AM$2,FALSE),0)</f>
        <v>0</v>
      </c>
      <c r="AO99" s="40" t="s">
        <v>507</v>
      </c>
      <c r="AP99" s="372">
        <f>IFERROR(VLOOKUP($AO99,costs!$A$2:$I$2905,AP$2,FALSE),0)</f>
        <v>0</v>
      </c>
      <c r="AQ99" s="372">
        <f>IFERROR(VLOOKUP($AO99,costs!$A$2:$I$2905,AQ$2,FALSE),0)</f>
        <v>0</v>
      </c>
      <c r="AR99" s="372">
        <f>IFERROR(VLOOKUP($AO99,costs!$A$2:$I$2905,AR$2,FALSE),0)</f>
        <v>0</v>
      </c>
      <c r="AS99" s="372">
        <f>IFERROR(VLOOKUP($AO99,costs!$A$2:$I$2905,AS$2,FALSE),0)</f>
        <v>0</v>
      </c>
      <c r="AT99" s="372">
        <f>IFERROR(VLOOKUP($AO99,costs!$A$2:$I$2905,AT$2,FALSE),0)</f>
        <v>0</v>
      </c>
      <c r="AU99" s="372">
        <f>IFERROR(VLOOKUP($AO99,costs!$A$2:$I$2905,AU$2,FALSE),0)</f>
        <v>0</v>
      </c>
      <c r="AV99" s="372">
        <f>IFERROR(VLOOKUP($AO99,costs!$A$2:$I$2905,AV$2,FALSE),0)</f>
        <v>0</v>
      </c>
      <c r="AW99" s="372">
        <f>IFERROR(VLOOKUP($AO99,costs!$A$2:$I$2905,AW$2,FALSE),0)</f>
        <v>0</v>
      </c>
      <c r="AY99" s="40" t="s">
        <v>424</v>
      </c>
      <c r="AZ99" s="372">
        <f>IFERROR(VLOOKUP($AY99,costs!$A$2:$I$2905,AZ$2,FALSE),0)</f>
        <v>0</v>
      </c>
      <c r="BA99" s="372">
        <f>IFERROR(VLOOKUP($AY99,costs!$A$2:$I$2905,BA$2,FALSE),0)</f>
        <v>0</v>
      </c>
      <c r="BB99" s="372">
        <f>IFERROR(VLOOKUP($AY99,costs!$A$2:$I$2905,BB$2,FALSE),0)</f>
        <v>0</v>
      </c>
      <c r="BC99" s="372">
        <f>IFERROR(VLOOKUP($AY99,costs!$A$2:$I$2905,BC$2,FALSE),0)</f>
        <v>0</v>
      </c>
      <c r="BD99" s="372">
        <f>IFERROR(VLOOKUP($AY99,costs!$A$2:$I$2905,BD$2,FALSE),0)</f>
        <v>0</v>
      </c>
      <c r="BE99" s="372">
        <f>IFERROR(VLOOKUP($AY99,costs!$A$2:$I$2905,BE$2,FALSE),0)</f>
        <v>0</v>
      </c>
      <c r="BF99" s="372">
        <f>IFERROR(VLOOKUP($AY99,costs!$A$2:$I$2905,BF$2,FALSE),0)</f>
        <v>0</v>
      </c>
      <c r="BG99" s="372">
        <f>IFERROR(VLOOKUP($AY99,costs!$A$2:$I$2905,BG$2,FALSE),0)</f>
        <v>0</v>
      </c>
    </row>
    <row r="100" spans="2:59" x14ac:dyDescent="0.35">
      <c r="B100" s="900" t="str">
        <f t="shared" si="21"/>
        <v>Rel. Deviation</v>
      </c>
      <c r="C100" s="900">
        <f t="shared" si="21"/>
        <v>2020</v>
      </c>
      <c r="D100" s="900">
        <f t="shared" si="21"/>
        <v>2025</v>
      </c>
      <c r="E100" s="900">
        <f t="shared" si="21"/>
        <v>2030</v>
      </c>
      <c r="F100" s="900">
        <f t="shared" si="21"/>
        <v>2035</v>
      </c>
      <c r="G100" s="900">
        <f t="shared" si="21"/>
        <v>2040</v>
      </c>
      <c r="H100" s="900">
        <f t="shared" si="21"/>
        <v>2045</v>
      </c>
      <c r="I100" s="900">
        <f t="shared" si="21"/>
        <v>2050</v>
      </c>
      <c r="U100" s="40" t="s">
        <v>4</v>
      </c>
      <c r="V100" s="372">
        <f>IFERROR(VLOOKUP($U100,costs!$A$2:$I$2905,V$2,FALSE),0)</f>
        <v>0</v>
      </c>
      <c r="W100" s="372">
        <f>IFERROR(VLOOKUP($U100,costs!$A$2:$I$2905,W$2,FALSE),0)</f>
        <v>0</v>
      </c>
      <c r="X100" s="372">
        <f>IFERROR(VLOOKUP($U100,costs!$A$2:$I$2905,X$2,FALSE),0)</f>
        <v>0</v>
      </c>
      <c r="Y100" s="372">
        <f>IFERROR(VLOOKUP($U100,costs!$A$2:$I$2905,Y$2,FALSE),0)</f>
        <v>0</v>
      </c>
      <c r="Z100" s="372">
        <f>IFERROR(VLOOKUP($U100,costs!$A$2:$I$2905,Z$2,FALSE),0)</f>
        <v>0</v>
      </c>
      <c r="AA100" s="372">
        <f>IFERROR(VLOOKUP($U100,costs!$A$2:$I$2905,AA$2,FALSE),0)</f>
        <v>0</v>
      </c>
      <c r="AB100" s="372">
        <f>IFERROR(VLOOKUP($U100,costs!$A$2:$I$2905,AB$2,FALSE),0)</f>
        <v>0</v>
      </c>
      <c r="AC100" s="372">
        <f>IFERROR(VLOOKUP($U100,costs!$A$2:$I$2905,AC$2,FALSE),0)</f>
        <v>0</v>
      </c>
      <c r="AE100" s="40" t="s">
        <v>2958</v>
      </c>
      <c r="AF100" s="372">
        <f>IFERROR(VLOOKUP($AE100,costs!$A$2:$I$2905,AF$2,FALSE),0)</f>
        <v>0</v>
      </c>
      <c r="AG100" s="372">
        <f>IFERROR(VLOOKUP($AE100,costs!$A$2:$I$2905,AG$2,FALSE),0)</f>
        <v>0</v>
      </c>
      <c r="AH100" s="372">
        <f>IFERROR(VLOOKUP($AE100,costs!$A$2:$I$2905,AH$2,FALSE),0)</f>
        <v>0</v>
      </c>
      <c r="AI100" s="372">
        <f>IFERROR(VLOOKUP($AE100,costs!$A$2:$I$2905,AI$2,FALSE),0)</f>
        <v>0</v>
      </c>
      <c r="AJ100" s="372">
        <f>IFERROR(VLOOKUP($AE100,costs!$A$2:$I$2905,AJ$2,FALSE),0)</f>
        <v>0</v>
      </c>
      <c r="AK100" s="372">
        <f>IFERROR(VLOOKUP($AE100,costs!$A$2:$I$2905,AK$2,FALSE),0)</f>
        <v>0</v>
      </c>
      <c r="AL100" s="372">
        <f>IFERROR(VLOOKUP($AE100,costs!$A$2:$I$2905,AL$2,FALSE),0)</f>
        <v>0</v>
      </c>
      <c r="AM100" s="372">
        <f>IFERROR(VLOOKUP($AE100,costs!$A$2:$I$2905,AM$2,FALSE),0)</f>
        <v>0</v>
      </c>
      <c r="AO100" s="949" t="s">
        <v>2099</v>
      </c>
      <c r="AP100" s="372">
        <f>IFERROR(VLOOKUP($AO100,costs!$A$2:$I$2905,AP$2,FALSE),0)</f>
        <v>0</v>
      </c>
      <c r="AQ100" s="372">
        <f>IFERROR(VLOOKUP($AO100,costs!$A$2:$I$2905,AQ$2,FALSE),0)</f>
        <v>0</v>
      </c>
      <c r="AR100" s="372">
        <f>IFERROR(VLOOKUP($AO100,costs!$A$2:$I$2905,AR$2,FALSE),0)</f>
        <v>0</v>
      </c>
      <c r="AS100" s="372">
        <f>IFERROR(VLOOKUP($AO100,costs!$A$2:$I$2905,AS$2,FALSE),0)</f>
        <v>0</v>
      </c>
      <c r="AT100" s="372">
        <f>IFERROR(VLOOKUP($AO100,costs!$A$2:$I$2905,AT$2,FALSE),0)</f>
        <v>0</v>
      </c>
      <c r="AU100" s="372">
        <f>IFERROR(VLOOKUP($AO100,costs!$A$2:$I$2905,AU$2,FALSE),0)</f>
        <v>0</v>
      </c>
      <c r="AV100" s="372">
        <f>IFERROR(VLOOKUP($AO100,costs!$A$2:$I$2905,AV$2,FALSE),0)</f>
        <v>0</v>
      </c>
      <c r="AW100" s="372">
        <f>IFERROR(VLOOKUP($AO100,costs!$A$2:$I$2905,AW$2,FALSE),0)</f>
        <v>0</v>
      </c>
      <c r="AY100" s="949" t="s">
        <v>2134</v>
      </c>
      <c r="AZ100" s="372">
        <f>IFERROR(VLOOKUP($AY100,costs!$A$2:$I$2905,AZ$2,FALSE),0)</f>
        <v>0</v>
      </c>
      <c r="BA100" s="372">
        <f>IFERROR(VLOOKUP($AY100,costs!$A$2:$I$2905,BA$2,FALSE),0)</f>
        <v>0</v>
      </c>
      <c r="BB100" s="372">
        <f>IFERROR(VLOOKUP($AY100,costs!$A$2:$I$2905,BB$2,FALSE),0)</f>
        <v>0</v>
      </c>
      <c r="BC100" s="372">
        <f>IFERROR(VLOOKUP($AY100,costs!$A$2:$I$2905,BC$2,FALSE),0)</f>
        <v>0</v>
      </c>
      <c r="BD100" s="372">
        <f>IFERROR(VLOOKUP($AY100,costs!$A$2:$I$2905,BD$2,FALSE),0)</f>
        <v>0</v>
      </c>
      <c r="BE100" s="372">
        <f>IFERROR(VLOOKUP($AY100,costs!$A$2:$I$2905,BE$2,FALSE),0)</f>
        <v>0</v>
      </c>
      <c r="BF100" s="372">
        <f>IFERROR(VLOOKUP($AY100,costs!$A$2:$I$2905,BF$2,FALSE),0)</f>
        <v>0</v>
      </c>
      <c r="BG100" s="372">
        <f>IFERROR(VLOOKUP($AY100,costs!$A$2:$I$2905,BG$2,FALSE),0)</f>
        <v>0</v>
      </c>
    </row>
    <row r="101" spans="2:59" x14ac:dyDescent="0.35">
      <c r="B101" s="900" t="s">
        <v>1165</v>
      </c>
      <c r="C101" s="348">
        <f t="shared" si="21"/>
        <v>1</v>
      </c>
      <c r="D101" s="348" t="e">
        <f t="shared" si="21"/>
        <v>#DIV/0!</v>
      </c>
      <c r="E101" s="348" t="e">
        <f t="shared" si="21"/>
        <v>#DIV/0!</v>
      </c>
      <c r="F101" s="348" t="e">
        <f t="shared" si="21"/>
        <v>#DIV/0!</v>
      </c>
      <c r="G101" s="348" t="e">
        <f t="shared" si="21"/>
        <v>#DIV/0!</v>
      </c>
      <c r="H101" s="348" t="e">
        <f t="shared" si="21"/>
        <v>#DIV/0!</v>
      </c>
      <c r="I101" s="348" t="e">
        <f t="shared" si="21"/>
        <v>#DIV/0!</v>
      </c>
      <c r="U101" s="949" t="s">
        <v>74</v>
      </c>
      <c r="V101" s="372">
        <f>IFERROR(VLOOKUP($U101,costs!$A$2:$I$2905,V$2,FALSE),0)</f>
        <v>0</v>
      </c>
      <c r="W101" s="372">
        <f>IFERROR(VLOOKUP($U101,costs!$A$2:$I$2905,W$2,FALSE),0)</f>
        <v>0</v>
      </c>
      <c r="X101" s="372">
        <f>IFERROR(VLOOKUP($U101,costs!$A$2:$I$2905,X$2,FALSE),0)</f>
        <v>0</v>
      </c>
      <c r="Y101" s="372">
        <f>IFERROR(VLOOKUP($U101,costs!$A$2:$I$2905,Y$2,FALSE),0)</f>
        <v>0</v>
      </c>
      <c r="Z101" s="372">
        <f>IFERROR(VLOOKUP($U101,costs!$A$2:$I$2905,Z$2,FALSE),0)</f>
        <v>0</v>
      </c>
      <c r="AA101" s="372">
        <f>IFERROR(VLOOKUP($U101,costs!$A$2:$I$2905,AA$2,FALSE),0)</f>
        <v>0</v>
      </c>
      <c r="AB101" s="372">
        <f>IFERROR(VLOOKUP($U101,costs!$A$2:$I$2905,AB$2,FALSE),0)</f>
        <v>0</v>
      </c>
      <c r="AC101" s="372">
        <f>IFERROR(VLOOKUP($U101,costs!$A$2:$I$2905,AC$2,FALSE),0)</f>
        <v>0</v>
      </c>
      <c r="AE101" s="40" t="s">
        <v>2959</v>
      </c>
      <c r="AF101" s="372">
        <f>IFERROR(VLOOKUP($AE101,costs!$A$2:$I$2905,AF$2,FALSE),0)</f>
        <v>0</v>
      </c>
      <c r="AG101" s="372">
        <f>IFERROR(VLOOKUP($AE101,costs!$A$2:$I$2905,AG$2,FALSE),0)</f>
        <v>0</v>
      </c>
      <c r="AH101" s="372">
        <f>IFERROR(VLOOKUP($AE101,costs!$A$2:$I$2905,AH$2,FALSE),0)</f>
        <v>0</v>
      </c>
      <c r="AI101" s="372">
        <f>IFERROR(VLOOKUP($AE101,costs!$A$2:$I$2905,AI$2,FALSE),0)</f>
        <v>0</v>
      </c>
      <c r="AJ101" s="372">
        <f>IFERROR(VLOOKUP($AE101,costs!$A$2:$I$2905,AJ$2,FALSE),0)</f>
        <v>0</v>
      </c>
      <c r="AK101" s="372">
        <f>IFERROR(VLOOKUP($AE101,costs!$A$2:$I$2905,AK$2,FALSE),0)</f>
        <v>0</v>
      </c>
      <c r="AL101" s="372">
        <f>IFERROR(VLOOKUP($AE101,costs!$A$2:$I$2905,AL$2,FALSE),0)</f>
        <v>0</v>
      </c>
      <c r="AM101" s="372">
        <f>IFERROR(VLOOKUP($AE101,costs!$A$2:$I$2905,AM$2,FALSE),0)</f>
        <v>0</v>
      </c>
      <c r="AO101" s="40" t="s">
        <v>59</v>
      </c>
      <c r="AP101" s="372">
        <f>IFERROR(VLOOKUP($AO101,costs!$A$2:$I$2905,AP$2,FALSE),0)</f>
        <v>0</v>
      </c>
      <c r="AQ101" s="372">
        <f>IFERROR(VLOOKUP($AO101,costs!$A$2:$I$2905,AQ$2,FALSE),0)</f>
        <v>0</v>
      </c>
      <c r="AR101" s="372">
        <f>IFERROR(VLOOKUP($AO101,costs!$A$2:$I$2905,AR$2,FALSE),0)</f>
        <v>0</v>
      </c>
      <c r="AS101" s="372">
        <f>IFERROR(VLOOKUP($AO101,costs!$A$2:$I$2905,AS$2,FALSE),0)</f>
        <v>0</v>
      </c>
      <c r="AT101" s="372">
        <f>IFERROR(VLOOKUP($AO101,costs!$A$2:$I$2905,AT$2,FALSE),0)</f>
        <v>0</v>
      </c>
      <c r="AU101" s="372">
        <f>IFERROR(VLOOKUP($AO101,costs!$A$2:$I$2905,AU$2,FALSE),0)</f>
        <v>0</v>
      </c>
      <c r="AV101" s="372">
        <f>IFERROR(VLOOKUP($AO101,costs!$A$2:$I$2905,AV$2,FALSE),0)</f>
        <v>0</v>
      </c>
      <c r="AW101" s="372">
        <f>IFERROR(VLOOKUP($AO101,costs!$A$2:$I$2905,AW$2,FALSE),0)</f>
        <v>0</v>
      </c>
      <c r="AY101" s="40" t="s">
        <v>425</v>
      </c>
      <c r="AZ101" s="372">
        <f>IFERROR(VLOOKUP($AY101,costs!$A$2:$I$2905,AZ$2,FALSE),0)</f>
        <v>0</v>
      </c>
      <c r="BA101" s="372">
        <f>IFERROR(VLOOKUP($AY101,costs!$A$2:$I$2905,BA$2,FALSE),0)</f>
        <v>0</v>
      </c>
      <c r="BB101" s="372">
        <f>IFERROR(VLOOKUP($AY101,costs!$A$2:$I$2905,BB$2,FALSE),0)</f>
        <v>0</v>
      </c>
      <c r="BC101" s="372">
        <f>IFERROR(VLOOKUP($AY101,costs!$A$2:$I$2905,BC$2,FALSE),0)</f>
        <v>0</v>
      </c>
      <c r="BD101" s="372">
        <f>IFERROR(VLOOKUP($AY101,costs!$A$2:$I$2905,BD$2,FALSE),0)</f>
        <v>0</v>
      </c>
      <c r="BE101" s="372">
        <f>IFERROR(VLOOKUP($AY101,costs!$A$2:$I$2905,BE$2,FALSE),0)</f>
        <v>0</v>
      </c>
      <c r="BF101" s="372">
        <f>IFERROR(VLOOKUP($AY101,costs!$A$2:$I$2905,BF$2,FALSE),0)</f>
        <v>0</v>
      </c>
      <c r="BG101" s="372">
        <f>IFERROR(VLOOKUP($AY101,costs!$A$2:$I$2905,BG$2,FALSE),0)</f>
        <v>0</v>
      </c>
    </row>
    <row r="102" spans="2:59" x14ac:dyDescent="0.35">
      <c r="B102" s="900" t="s">
        <v>1528</v>
      </c>
      <c r="C102" s="348">
        <f t="shared" si="21"/>
        <v>1</v>
      </c>
      <c r="D102" s="348" t="e">
        <f t="shared" si="21"/>
        <v>#N/A</v>
      </c>
      <c r="E102" s="348" t="e">
        <f t="shared" si="21"/>
        <v>#N/A</v>
      </c>
      <c r="F102" s="348" t="e">
        <f t="shared" si="21"/>
        <v>#N/A</v>
      </c>
      <c r="G102" s="348" t="e">
        <f t="shared" si="21"/>
        <v>#N/A</v>
      </c>
      <c r="H102" s="348" t="e">
        <f t="shared" si="21"/>
        <v>#N/A</v>
      </c>
      <c r="I102" s="348" t="e">
        <f t="shared" si="21"/>
        <v>#N/A</v>
      </c>
      <c r="U102" s="40" t="s">
        <v>75</v>
      </c>
      <c r="V102" s="372">
        <f>IFERROR(VLOOKUP($U102,costs!$A$2:$I$2905,V$2,FALSE),0)</f>
        <v>0</v>
      </c>
      <c r="W102" s="372">
        <f>IFERROR(VLOOKUP($U102,costs!$A$2:$I$2905,W$2,FALSE),0)</f>
        <v>0</v>
      </c>
      <c r="X102" s="372">
        <f>IFERROR(VLOOKUP($U102,costs!$A$2:$I$2905,X$2,FALSE),0)</f>
        <v>0</v>
      </c>
      <c r="Y102" s="372">
        <f>IFERROR(VLOOKUP($U102,costs!$A$2:$I$2905,Y$2,FALSE),0)</f>
        <v>0</v>
      </c>
      <c r="Z102" s="372">
        <f>IFERROR(VLOOKUP($U102,costs!$A$2:$I$2905,Z$2,FALSE),0)</f>
        <v>0</v>
      </c>
      <c r="AA102" s="372">
        <f>IFERROR(VLOOKUP($U102,costs!$A$2:$I$2905,AA$2,FALSE),0)</f>
        <v>0</v>
      </c>
      <c r="AB102" s="372">
        <f>IFERROR(VLOOKUP($U102,costs!$A$2:$I$2905,AB$2,FALSE),0)</f>
        <v>0</v>
      </c>
      <c r="AC102" s="372">
        <f>IFERROR(VLOOKUP($U102,costs!$A$2:$I$2905,AC$2,FALSE),0)</f>
        <v>0</v>
      </c>
      <c r="AE102" s="40" t="s">
        <v>2955</v>
      </c>
      <c r="AF102" s="372">
        <f>IFERROR(VLOOKUP($AE102,costs!$A$2:$I$2905,AF$2,FALSE),0)</f>
        <v>0</v>
      </c>
      <c r="AG102" s="372">
        <f>IFERROR(VLOOKUP($AE102,costs!$A$2:$I$2905,AG$2,FALSE),0)</f>
        <v>0</v>
      </c>
      <c r="AH102" s="372">
        <f>IFERROR(VLOOKUP($AE102,costs!$A$2:$I$2905,AH$2,FALSE),0)</f>
        <v>0</v>
      </c>
      <c r="AI102" s="372">
        <f>IFERROR(VLOOKUP($AE102,costs!$A$2:$I$2905,AI$2,FALSE),0)</f>
        <v>0</v>
      </c>
      <c r="AJ102" s="372">
        <f>IFERROR(VLOOKUP($AE102,costs!$A$2:$I$2905,AJ$2,FALSE),0)</f>
        <v>0</v>
      </c>
      <c r="AK102" s="372">
        <f>IFERROR(VLOOKUP($AE102,costs!$A$2:$I$2905,AK$2,FALSE),0)</f>
        <v>0</v>
      </c>
      <c r="AL102" s="372">
        <f>IFERROR(VLOOKUP($AE102,costs!$A$2:$I$2905,AL$2,FALSE),0)</f>
        <v>0</v>
      </c>
      <c r="AM102" s="372">
        <f>IFERROR(VLOOKUP($AE102,costs!$A$2:$I$2905,AM$2,FALSE),0)</f>
        <v>0</v>
      </c>
      <c r="AO102" s="949" t="s">
        <v>387</v>
      </c>
      <c r="AP102" s="372">
        <f>IFERROR(VLOOKUP($AO102,costs!$A$2:$I$2905,AP$2,FALSE),0)</f>
        <v>0</v>
      </c>
      <c r="AQ102" s="372">
        <f>IFERROR(VLOOKUP($AO102,costs!$A$2:$I$2905,AQ$2,FALSE),0)</f>
        <v>0</v>
      </c>
      <c r="AR102" s="372">
        <f>IFERROR(VLOOKUP($AO102,costs!$A$2:$I$2905,AR$2,FALSE),0)</f>
        <v>0</v>
      </c>
      <c r="AS102" s="372">
        <f>IFERROR(VLOOKUP($AO102,costs!$A$2:$I$2905,AS$2,FALSE),0)</f>
        <v>0</v>
      </c>
      <c r="AT102" s="372">
        <f>IFERROR(VLOOKUP($AO102,costs!$A$2:$I$2905,AT$2,FALSE),0)</f>
        <v>0</v>
      </c>
      <c r="AU102" s="372">
        <f>IFERROR(VLOOKUP($AO102,costs!$A$2:$I$2905,AU$2,FALSE),0)</f>
        <v>0</v>
      </c>
      <c r="AV102" s="372">
        <f>IFERROR(VLOOKUP($AO102,costs!$A$2:$I$2905,AV$2,FALSE),0)</f>
        <v>0</v>
      </c>
      <c r="AW102" s="372">
        <f>IFERROR(VLOOKUP($AO102,costs!$A$2:$I$2905,AW$2,FALSE),0)</f>
        <v>0</v>
      </c>
      <c r="AY102" s="949" t="s">
        <v>426</v>
      </c>
      <c r="AZ102" s="372">
        <f>IFERROR(VLOOKUP($AY102,costs!$A$2:$I$2905,AZ$2,FALSE),0)</f>
        <v>0</v>
      </c>
      <c r="BA102" s="372">
        <f>IFERROR(VLOOKUP($AY102,costs!$A$2:$I$2905,BA$2,FALSE),0)</f>
        <v>0</v>
      </c>
      <c r="BB102" s="372">
        <f>IFERROR(VLOOKUP($AY102,costs!$A$2:$I$2905,BB$2,FALSE),0)</f>
        <v>0</v>
      </c>
      <c r="BC102" s="372">
        <f>IFERROR(VLOOKUP($AY102,costs!$A$2:$I$2905,BC$2,FALSE),0)</f>
        <v>0</v>
      </c>
      <c r="BD102" s="372">
        <f>IFERROR(VLOOKUP($AY102,costs!$A$2:$I$2905,BD$2,FALSE),0)</f>
        <v>0</v>
      </c>
      <c r="BE102" s="372">
        <f>IFERROR(VLOOKUP($AY102,costs!$A$2:$I$2905,BE$2,FALSE),0)</f>
        <v>0</v>
      </c>
      <c r="BF102" s="372">
        <f>IFERROR(VLOOKUP($AY102,costs!$A$2:$I$2905,BF$2,FALSE),0)</f>
        <v>0</v>
      </c>
      <c r="BG102" s="372">
        <f>IFERROR(VLOOKUP($AY102,costs!$A$2:$I$2905,BG$2,FALSE),0)</f>
        <v>0</v>
      </c>
    </row>
    <row r="103" spans="2:59" x14ac:dyDescent="0.35">
      <c r="B103" s="900" t="s">
        <v>1468</v>
      </c>
      <c r="C103" s="348">
        <f t="shared" si="21"/>
        <v>1</v>
      </c>
      <c r="D103" s="348" t="e">
        <f t="shared" si="21"/>
        <v>#N/A</v>
      </c>
      <c r="E103" s="348" t="e">
        <f t="shared" si="21"/>
        <v>#N/A</v>
      </c>
      <c r="F103" s="348" t="e">
        <f t="shared" si="21"/>
        <v>#N/A</v>
      </c>
      <c r="G103" s="348" t="e">
        <f t="shared" si="21"/>
        <v>#N/A</v>
      </c>
      <c r="H103" s="348" t="e">
        <f t="shared" si="21"/>
        <v>#N/A</v>
      </c>
      <c r="I103" s="348" t="e">
        <f t="shared" si="21"/>
        <v>#N/A</v>
      </c>
      <c r="U103" s="949" t="s">
        <v>2066</v>
      </c>
      <c r="V103" s="372">
        <f>IFERROR(VLOOKUP($U103,costs!$A$2:$I$2905,V$2,FALSE),0)</f>
        <v>0</v>
      </c>
      <c r="W103" s="372">
        <f>IFERROR(VLOOKUP($U103,costs!$A$2:$I$2905,W$2,FALSE),0)</f>
        <v>0</v>
      </c>
      <c r="X103" s="372">
        <f>IFERROR(VLOOKUP($U103,costs!$A$2:$I$2905,X$2,FALSE),0)</f>
        <v>0</v>
      </c>
      <c r="Y103" s="372">
        <f>IFERROR(VLOOKUP($U103,costs!$A$2:$I$2905,Y$2,FALSE),0)</f>
        <v>0</v>
      </c>
      <c r="Z103" s="372">
        <f>IFERROR(VLOOKUP($U103,costs!$A$2:$I$2905,Z$2,FALSE),0)</f>
        <v>0</v>
      </c>
      <c r="AA103" s="372">
        <f>IFERROR(VLOOKUP($U103,costs!$A$2:$I$2905,AA$2,FALSE),0)</f>
        <v>0</v>
      </c>
      <c r="AB103" s="372">
        <f>IFERROR(VLOOKUP($U103,costs!$A$2:$I$2905,AB$2,FALSE),0)</f>
        <v>0</v>
      </c>
      <c r="AC103" s="372">
        <f>IFERROR(VLOOKUP($U103,costs!$A$2:$I$2905,AC$2,FALSE),0)</f>
        <v>0</v>
      </c>
      <c r="AE103" s="40" t="s">
        <v>2961</v>
      </c>
      <c r="AF103" s="372">
        <f>IFERROR(VLOOKUP($AE103,costs!$A$2:$I$2905,AF$2,FALSE),0)</f>
        <v>0</v>
      </c>
      <c r="AG103" s="372">
        <f>IFERROR(VLOOKUP($AE103,costs!$A$2:$I$2905,AG$2,FALSE),0)</f>
        <v>0</v>
      </c>
      <c r="AH103" s="372">
        <f>IFERROR(VLOOKUP($AE103,costs!$A$2:$I$2905,AH$2,FALSE),0)</f>
        <v>0</v>
      </c>
      <c r="AI103" s="372">
        <f>IFERROR(VLOOKUP($AE103,costs!$A$2:$I$2905,AI$2,FALSE),0)</f>
        <v>0</v>
      </c>
      <c r="AJ103" s="372">
        <f>IFERROR(VLOOKUP($AE103,costs!$A$2:$I$2905,AJ$2,FALSE),0)</f>
        <v>0</v>
      </c>
      <c r="AK103" s="372">
        <f>IFERROR(VLOOKUP($AE103,costs!$A$2:$I$2905,AK$2,FALSE),0)</f>
        <v>0</v>
      </c>
      <c r="AL103" s="372">
        <f>IFERROR(VLOOKUP($AE103,costs!$A$2:$I$2905,AL$2,FALSE),0)</f>
        <v>0</v>
      </c>
      <c r="AM103" s="372">
        <f>IFERROR(VLOOKUP($AE103,costs!$A$2:$I$2905,AM$2,FALSE),0)</f>
        <v>0</v>
      </c>
      <c r="AO103" s="40" t="s">
        <v>2100</v>
      </c>
      <c r="AP103" s="372">
        <f>IFERROR(VLOOKUP($AO103,costs!$A$2:$I$2905,AP$2,FALSE),0)</f>
        <v>0</v>
      </c>
      <c r="AQ103" s="372">
        <f>IFERROR(VLOOKUP($AO103,costs!$A$2:$I$2905,AQ$2,FALSE),0)</f>
        <v>0</v>
      </c>
      <c r="AR103" s="372">
        <f>IFERROR(VLOOKUP($AO103,costs!$A$2:$I$2905,AR$2,FALSE),0)</f>
        <v>0</v>
      </c>
      <c r="AS103" s="372">
        <f>IFERROR(VLOOKUP($AO103,costs!$A$2:$I$2905,AS$2,FALSE),0)</f>
        <v>0</v>
      </c>
      <c r="AT103" s="372">
        <f>IFERROR(VLOOKUP($AO103,costs!$A$2:$I$2905,AT$2,FALSE),0)</f>
        <v>0</v>
      </c>
      <c r="AU103" s="372">
        <f>IFERROR(VLOOKUP($AO103,costs!$A$2:$I$2905,AU$2,FALSE),0)</f>
        <v>0</v>
      </c>
      <c r="AV103" s="372">
        <f>IFERROR(VLOOKUP($AO103,costs!$A$2:$I$2905,AV$2,FALSE),0)</f>
        <v>0</v>
      </c>
      <c r="AW103" s="372">
        <f>IFERROR(VLOOKUP($AO103,costs!$A$2:$I$2905,AW$2,FALSE),0)</f>
        <v>0</v>
      </c>
      <c r="AY103" s="40" t="s">
        <v>2135</v>
      </c>
      <c r="AZ103" s="372">
        <f>IFERROR(VLOOKUP($AY103,costs!$A$2:$I$2905,AZ$2,FALSE),0)</f>
        <v>0</v>
      </c>
      <c r="BA103" s="372">
        <f>IFERROR(VLOOKUP($AY103,costs!$A$2:$I$2905,BA$2,FALSE),0)</f>
        <v>0</v>
      </c>
      <c r="BB103" s="372">
        <f>IFERROR(VLOOKUP($AY103,costs!$A$2:$I$2905,BB$2,FALSE),0)</f>
        <v>0</v>
      </c>
      <c r="BC103" s="372">
        <f>IFERROR(VLOOKUP($AY103,costs!$A$2:$I$2905,BC$2,FALSE),0)</f>
        <v>0</v>
      </c>
      <c r="BD103" s="372">
        <f>IFERROR(VLOOKUP($AY103,costs!$A$2:$I$2905,BD$2,FALSE),0)</f>
        <v>0</v>
      </c>
      <c r="BE103" s="372">
        <f>IFERROR(VLOOKUP($AY103,costs!$A$2:$I$2905,BE$2,FALSE),0)</f>
        <v>0</v>
      </c>
      <c r="BF103" s="372">
        <f>IFERROR(VLOOKUP($AY103,costs!$A$2:$I$2905,BF$2,FALSE),0)</f>
        <v>0</v>
      </c>
      <c r="BG103" s="372">
        <f>IFERROR(VLOOKUP($AY103,costs!$A$2:$I$2905,BG$2,FALSE),0)</f>
        <v>0</v>
      </c>
    </row>
    <row r="104" spans="2:59" x14ac:dyDescent="0.35">
      <c r="B104" s="900" t="s">
        <v>2289</v>
      </c>
      <c r="C104" s="348">
        <f t="shared" si="21"/>
        <v>1</v>
      </c>
      <c r="D104" s="348" t="e">
        <f t="shared" si="21"/>
        <v>#DIV/0!</v>
      </c>
      <c r="E104" s="348" t="e">
        <f t="shared" si="21"/>
        <v>#DIV/0!</v>
      </c>
      <c r="F104" s="348" t="e">
        <f t="shared" si="21"/>
        <v>#DIV/0!</v>
      </c>
      <c r="G104" s="348" t="e">
        <f t="shared" si="21"/>
        <v>#DIV/0!</v>
      </c>
      <c r="H104" s="348" t="e">
        <f t="shared" si="21"/>
        <v>#DIV/0!</v>
      </c>
      <c r="I104" s="348" t="e">
        <f t="shared" si="21"/>
        <v>#DIV/0!</v>
      </c>
      <c r="U104" s="40" t="s">
        <v>5</v>
      </c>
      <c r="V104" s="372">
        <f>IFERROR(VLOOKUP($U104,costs!$A$2:$I$2905,V$2,FALSE),0)</f>
        <v>0</v>
      </c>
      <c r="W104" s="372">
        <f>IFERROR(VLOOKUP($U104,costs!$A$2:$I$2905,W$2,FALSE),0)</f>
        <v>0</v>
      </c>
      <c r="X104" s="372">
        <f>IFERROR(VLOOKUP($U104,costs!$A$2:$I$2905,X$2,FALSE),0)</f>
        <v>0</v>
      </c>
      <c r="Y104" s="372">
        <f>IFERROR(VLOOKUP($U104,costs!$A$2:$I$2905,Y$2,FALSE),0)</f>
        <v>0</v>
      </c>
      <c r="Z104" s="372">
        <f>IFERROR(VLOOKUP($U104,costs!$A$2:$I$2905,Z$2,FALSE),0)</f>
        <v>0</v>
      </c>
      <c r="AA104" s="372">
        <f>IFERROR(VLOOKUP($U104,costs!$A$2:$I$2905,AA$2,FALSE),0)</f>
        <v>0</v>
      </c>
      <c r="AB104" s="372">
        <f>IFERROR(VLOOKUP($U104,costs!$A$2:$I$2905,AB$2,FALSE),0)</f>
        <v>0</v>
      </c>
      <c r="AC104" s="372">
        <f>IFERROR(VLOOKUP($U104,costs!$A$2:$I$2905,AC$2,FALSE),0)</f>
        <v>0</v>
      </c>
      <c r="AE104" s="40" t="s">
        <v>2956</v>
      </c>
      <c r="AF104" s="372">
        <f>IFERROR(VLOOKUP($AE104,costs!$A$2:$I$2905,AF$2,FALSE),0)</f>
        <v>0</v>
      </c>
      <c r="AG104" s="372">
        <f>IFERROR(VLOOKUP($AE104,costs!$A$2:$I$2905,AG$2,FALSE),0)</f>
        <v>0</v>
      </c>
      <c r="AH104" s="372">
        <f>IFERROR(VLOOKUP($AE104,costs!$A$2:$I$2905,AH$2,FALSE),0)</f>
        <v>0</v>
      </c>
      <c r="AI104" s="372">
        <f>IFERROR(VLOOKUP($AE104,costs!$A$2:$I$2905,AI$2,FALSE),0)</f>
        <v>0</v>
      </c>
      <c r="AJ104" s="372">
        <f>IFERROR(VLOOKUP($AE104,costs!$A$2:$I$2905,AJ$2,FALSE),0)</f>
        <v>0</v>
      </c>
      <c r="AK104" s="372">
        <f>IFERROR(VLOOKUP($AE104,costs!$A$2:$I$2905,AK$2,FALSE),0)</f>
        <v>0</v>
      </c>
      <c r="AL104" s="372">
        <f>IFERROR(VLOOKUP($AE104,costs!$A$2:$I$2905,AL$2,FALSE),0)</f>
        <v>0</v>
      </c>
      <c r="AM104" s="372">
        <f>IFERROR(VLOOKUP($AE104,costs!$A$2:$I$2905,AM$2,FALSE),0)</f>
        <v>0</v>
      </c>
      <c r="AO104" s="949" t="s">
        <v>207</v>
      </c>
      <c r="AP104" s="372">
        <f>IFERROR(VLOOKUP($AO104,costs!$A$2:$I$2905,AP$2,FALSE),0)</f>
        <v>0</v>
      </c>
      <c r="AQ104" s="372">
        <f>IFERROR(VLOOKUP($AO104,costs!$A$2:$I$2905,AQ$2,FALSE),0)</f>
        <v>0</v>
      </c>
      <c r="AR104" s="372">
        <f>IFERROR(VLOOKUP($AO104,costs!$A$2:$I$2905,AR$2,FALSE),0)</f>
        <v>0</v>
      </c>
      <c r="AS104" s="372">
        <f>IFERROR(VLOOKUP($AO104,costs!$A$2:$I$2905,AS$2,FALSE),0)</f>
        <v>0</v>
      </c>
      <c r="AT104" s="372">
        <f>IFERROR(VLOOKUP($AO104,costs!$A$2:$I$2905,AT$2,FALSE),0)</f>
        <v>0</v>
      </c>
      <c r="AU104" s="372">
        <f>IFERROR(VLOOKUP($AO104,costs!$A$2:$I$2905,AU$2,FALSE),0)</f>
        <v>0</v>
      </c>
      <c r="AV104" s="372">
        <f>IFERROR(VLOOKUP($AO104,costs!$A$2:$I$2905,AV$2,FALSE),0)</f>
        <v>0</v>
      </c>
      <c r="AW104" s="372">
        <f>IFERROR(VLOOKUP($AO104,costs!$A$2:$I$2905,AW$2,FALSE),0)</f>
        <v>0</v>
      </c>
      <c r="AY104" s="949" t="s">
        <v>427</v>
      </c>
      <c r="AZ104" s="372">
        <f>IFERROR(VLOOKUP($AY104,costs!$A$2:$I$2905,AZ$2,FALSE),0)</f>
        <v>0</v>
      </c>
      <c r="BA104" s="372">
        <f>IFERROR(VLOOKUP($AY104,costs!$A$2:$I$2905,BA$2,FALSE),0)</f>
        <v>0</v>
      </c>
      <c r="BB104" s="372">
        <f>IFERROR(VLOOKUP($AY104,costs!$A$2:$I$2905,BB$2,FALSE),0)</f>
        <v>0</v>
      </c>
      <c r="BC104" s="372">
        <f>IFERROR(VLOOKUP($AY104,costs!$A$2:$I$2905,BC$2,FALSE),0)</f>
        <v>0</v>
      </c>
      <c r="BD104" s="372">
        <f>IFERROR(VLOOKUP($AY104,costs!$A$2:$I$2905,BD$2,FALSE),0)</f>
        <v>0</v>
      </c>
      <c r="BE104" s="372">
        <f>IFERROR(VLOOKUP($AY104,costs!$A$2:$I$2905,BE$2,FALSE),0)</f>
        <v>0</v>
      </c>
      <c r="BF104" s="372">
        <f>IFERROR(VLOOKUP($AY104,costs!$A$2:$I$2905,BF$2,FALSE),0)</f>
        <v>0</v>
      </c>
      <c r="BG104" s="372">
        <f>IFERROR(VLOOKUP($AY104,costs!$A$2:$I$2905,BG$2,FALSE),0)</f>
        <v>0</v>
      </c>
    </row>
    <row r="105" spans="2:59" x14ac:dyDescent="0.35">
      <c r="B105" s="900" t="s">
        <v>2290</v>
      </c>
      <c r="C105" s="348">
        <f t="shared" si="21"/>
        <v>1</v>
      </c>
      <c r="D105" s="348" t="e">
        <f t="shared" si="21"/>
        <v>#DIV/0!</v>
      </c>
      <c r="E105" s="348" t="e">
        <f t="shared" si="21"/>
        <v>#DIV/0!</v>
      </c>
      <c r="F105" s="348" t="e">
        <f t="shared" si="21"/>
        <v>#DIV/0!</v>
      </c>
      <c r="G105" s="348" t="e">
        <f t="shared" si="21"/>
        <v>#DIV/0!</v>
      </c>
      <c r="H105" s="348" t="e">
        <f t="shared" si="21"/>
        <v>#DIV/0!</v>
      </c>
      <c r="I105" s="348" t="e">
        <f t="shared" si="21"/>
        <v>#DIV/0!</v>
      </c>
      <c r="U105" s="949" t="s">
        <v>76</v>
      </c>
      <c r="V105" s="372">
        <f>IFERROR(VLOOKUP($U105,costs!$A$2:$I$2905,V$2,FALSE),0)</f>
        <v>0</v>
      </c>
      <c r="W105" s="372">
        <f>IFERROR(VLOOKUP($U105,costs!$A$2:$I$2905,W$2,FALSE),0)</f>
        <v>0</v>
      </c>
      <c r="X105" s="372">
        <f>IFERROR(VLOOKUP($U105,costs!$A$2:$I$2905,X$2,FALSE),0)</f>
        <v>0</v>
      </c>
      <c r="Y105" s="372">
        <f>IFERROR(VLOOKUP($U105,costs!$A$2:$I$2905,Y$2,FALSE),0)</f>
        <v>0</v>
      </c>
      <c r="Z105" s="372">
        <f>IFERROR(VLOOKUP($U105,costs!$A$2:$I$2905,Z$2,FALSE),0)</f>
        <v>0</v>
      </c>
      <c r="AA105" s="372">
        <f>IFERROR(VLOOKUP($U105,costs!$A$2:$I$2905,AA$2,FALSE),0)</f>
        <v>0</v>
      </c>
      <c r="AB105" s="372">
        <f>IFERROR(VLOOKUP($U105,costs!$A$2:$I$2905,AB$2,FALSE),0)</f>
        <v>0</v>
      </c>
      <c r="AC105" s="372">
        <f>IFERROR(VLOOKUP($U105,costs!$A$2:$I$2905,AC$2,FALSE),0)</f>
        <v>0</v>
      </c>
      <c r="AE105" s="40" t="s">
        <v>2960</v>
      </c>
      <c r="AF105" s="372">
        <f>IFERROR(VLOOKUP($AE105,costs!$A$2:$I$2905,AF$2,FALSE),0)</f>
        <v>0</v>
      </c>
      <c r="AG105" s="372">
        <f>IFERROR(VLOOKUP($AE105,costs!$A$2:$I$2905,AG$2,FALSE),0)</f>
        <v>0</v>
      </c>
      <c r="AH105" s="372">
        <f>IFERROR(VLOOKUP($AE105,costs!$A$2:$I$2905,AH$2,FALSE),0)</f>
        <v>0</v>
      </c>
      <c r="AI105" s="372">
        <f>IFERROR(VLOOKUP($AE105,costs!$A$2:$I$2905,AI$2,FALSE),0)</f>
        <v>0</v>
      </c>
      <c r="AJ105" s="372">
        <f>IFERROR(VLOOKUP($AE105,costs!$A$2:$I$2905,AJ$2,FALSE),0)</f>
        <v>0</v>
      </c>
      <c r="AK105" s="372">
        <f>IFERROR(VLOOKUP($AE105,costs!$A$2:$I$2905,AK$2,FALSE),0)</f>
        <v>0</v>
      </c>
      <c r="AL105" s="372">
        <f>IFERROR(VLOOKUP($AE105,costs!$A$2:$I$2905,AL$2,FALSE),0)</f>
        <v>0</v>
      </c>
      <c r="AM105" s="372">
        <f>IFERROR(VLOOKUP($AE105,costs!$A$2:$I$2905,AM$2,FALSE),0)</f>
        <v>0</v>
      </c>
      <c r="AO105" s="40" t="s">
        <v>285</v>
      </c>
      <c r="AP105" s="372">
        <f>IFERROR(VLOOKUP($AO105,costs!$A$2:$I$2905,AP$2,FALSE),0)</f>
        <v>0</v>
      </c>
      <c r="AQ105" s="372">
        <f>IFERROR(VLOOKUP($AO105,costs!$A$2:$I$2905,AQ$2,FALSE),0)</f>
        <v>0</v>
      </c>
      <c r="AR105" s="372">
        <f>IFERROR(VLOOKUP($AO105,costs!$A$2:$I$2905,AR$2,FALSE),0)</f>
        <v>0</v>
      </c>
      <c r="AS105" s="372">
        <f>IFERROR(VLOOKUP($AO105,costs!$A$2:$I$2905,AS$2,FALSE),0)</f>
        <v>0</v>
      </c>
      <c r="AT105" s="372">
        <f>IFERROR(VLOOKUP($AO105,costs!$A$2:$I$2905,AT$2,FALSE),0)</f>
        <v>0</v>
      </c>
      <c r="AU105" s="372">
        <f>IFERROR(VLOOKUP($AO105,costs!$A$2:$I$2905,AU$2,FALSE),0)</f>
        <v>0</v>
      </c>
      <c r="AV105" s="372">
        <f>IFERROR(VLOOKUP($AO105,costs!$A$2:$I$2905,AV$2,FALSE),0)</f>
        <v>0</v>
      </c>
      <c r="AW105" s="372">
        <f>IFERROR(VLOOKUP($AO105,costs!$A$2:$I$2905,AW$2,FALSE),0)</f>
        <v>0</v>
      </c>
      <c r="AY105" s="40" t="s">
        <v>428</v>
      </c>
      <c r="AZ105" s="372">
        <f>IFERROR(VLOOKUP($AY105,costs!$A$2:$I$2905,AZ$2,FALSE),0)</f>
        <v>0</v>
      </c>
      <c r="BA105" s="372">
        <f>IFERROR(VLOOKUP($AY105,costs!$A$2:$I$2905,BA$2,FALSE),0)</f>
        <v>0</v>
      </c>
      <c r="BB105" s="372">
        <f>IFERROR(VLOOKUP($AY105,costs!$A$2:$I$2905,BB$2,FALSE),0)</f>
        <v>0</v>
      </c>
      <c r="BC105" s="372">
        <f>IFERROR(VLOOKUP($AY105,costs!$A$2:$I$2905,BC$2,FALSE),0)</f>
        <v>0</v>
      </c>
      <c r="BD105" s="372">
        <f>IFERROR(VLOOKUP($AY105,costs!$A$2:$I$2905,BD$2,FALSE),0)</f>
        <v>0</v>
      </c>
      <c r="BE105" s="372">
        <f>IFERROR(VLOOKUP($AY105,costs!$A$2:$I$2905,BE$2,FALSE),0)</f>
        <v>0</v>
      </c>
      <c r="BF105" s="372">
        <f>IFERROR(VLOOKUP($AY105,costs!$A$2:$I$2905,BF$2,FALSE),0)</f>
        <v>0</v>
      </c>
      <c r="BG105" s="372">
        <f>IFERROR(VLOOKUP($AY105,costs!$A$2:$I$2905,BG$2,FALSE),0)</f>
        <v>0</v>
      </c>
    </row>
    <row r="106" spans="2:59" x14ac:dyDescent="0.35">
      <c r="B106" s="900" t="s">
        <v>2292</v>
      </c>
      <c r="C106" s="348">
        <f t="shared" si="21"/>
        <v>1</v>
      </c>
      <c r="D106" s="348" t="e">
        <f t="shared" si="21"/>
        <v>#DIV/0!</v>
      </c>
      <c r="E106" s="348" t="e">
        <f t="shared" si="21"/>
        <v>#DIV/0!</v>
      </c>
      <c r="F106" s="348" t="e">
        <f t="shared" si="21"/>
        <v>#DIV/0!</v>
      </c>
      <c r="G106" s="348" t="e">
        <f t="shared" si="21"/>
        <v>#DIV/0!</v>
      </c>
      <c r="H106" s="348" t="e">
        <f t="shared" si="21"/>
        <v>#DIV/0!</v>
      </c>
      <c r="I106" s="348" t="e">
        <f t="shared" si="21"/>
        <v>#DIV/0!</v>
      </c>
      <c r="U106" s="40" t="s">
        <v>77</v>
      </c>
      <c r="V106" s="372">
        <f>IFERROR(VLOOKUP($U106,costs!$A$2:$I$2905,V$2,FALSE),0)</f>
        <v>0</v>
      </c>
      <c r="W106" s="372">
        <f>IFERROR(VLOOKUP($U106,costs!$A$2:$I$2905,W$2,FALSE),0)</f>
        <v>0</v>
      </c>
      <c r="X106" s="372">
        <f>IFERROR(VLOOKUP($U106,costs!$A$2:$I$2905,X$2,FALSE),0)</f>
        <v>0</v>
      </c>
      <c r="Y106" s="372">
        <f>IFERROR(VLOOKUP($U106,costs!$A$2:$I$2905,Y$2,FALSE),0)</f>
        <v>0</v>
      </c>
      <c r="Z106" s="372">
        <f>IFERROR(VLOOKUP($U106,costs!$A$2:$I$2905,Z$2,FALSE),0)</f>
        <v>0</v>
      </c>
      <c r="AA106" s="372">
        <f>IFERROR(VLOOKUP($U106,costs!$A$2:$I$2905,AA$2,FALSE),0)</f>
        <v>0</v>
      </c>
      <c r="AB106" s="372">
        <f>IFERROR(VLOOKUP($U106,costs!$A$2:$I$2905,AB$2,FALSE),0)</f>
        <v>0</v>
      </c>
      <c r="AC106" s="372">
        <f>IFERROR(VLOOKUP($U106,costs!$A$2:$I$2905,AC$2,FALSE),0)</f>
        <v>0</v>
      </c>
      <c r="AE106" s="40" t="s">
        <v>2926</v>
      </c>
      <c r="AF106" s="372">
        <f>IFERROR(VLOOKUP($AE106,costs!$A$2:$I$2905,AF$2,FALSE),0)</f>
        <v>0</v>
      </c>
      <c r="AG106" s="372">
        <f>IFERROR(VLOOKUP($AE106,costs!$A$2:$I$2905,AG$2,FALSE),0)</f>
        <v>0</v>
      </c>
      <c r="AH106" s="372">
        <f>IFERROR(VLOOKUP($AE106,costs!$A$2:$I$2905,AH$2,FALSE),0)</f>
        <v>0</v>
      </c>
      <c r="AI106" s="372">
        <f>IFERROR(VLOOKUP($AE106,costs!$A$2:$I$2905,AI$2,FALSE),0)</f>
        <v>0</v>
      </c>
      <c r="AJ106" s="372">
        <f>IFERROR(VLOOKUP($AE106,costs!$A$2:$I$2905,AJ$2,FALSE),0)</f>
        <v>0</v>
      </c>
      <c r="AK106" s="372">
        <f>IFERROR(VLOOKUP($AE106,costs!$A$2:$I$2905,AK$2,FALSE),0)</f>
        <v>0</v>
      </c>
      <c r="AL106" s="372">
        <f>IFERROR(VLOOKUP($AE106,costs!$A$2:$I$2905,AL$2,FALSE),0)</f>
        <v>0</v>
      </c>
      <c r="AM106" s="372">
        <f>IFERROR(VLOOKUP($AE106,costs!$A$2:$I$2905,AM$2,FALSE),0)</f>
        <v>0</v>
      </c>
      <c r="AO106" s="949" t="s">
        <v>361</v>
      </c>
      <c r="AP106" s="372">
        <f>IFERROR(VLOOKUP($AO106,costs!$A$2:$I$2905,AP$2,FALSE),0)</f>
        <v>0</v>
      </c>
      <c r="AQ106" s="372">
        <f>IFERROR(VLOOKUP($AO106,costs!$A$2:$I$2905,AQ$2,FALSE),0)</f>
        <v>0</v>
      </c>
      <c r="AR106" s="372">
        <f>IFERROR(VLOOKUP($AO106,costs!$A$2:$I$2905,AR$2,FALSE),0)</f>
        <v>0</v>
      </c>
      <c r="AS106" s="372">
        <f>IFERROR(VLOOKUP($AO106,costs!$A$2:$I$2905,AS$2,FALSE),0)</f>
        <v>0</v>
      </c>
      <c r="AT106" s="372">
        <f>IFERROR(VLOOKUP($AO106,costs!$A$2:$I$2905,AT$2,FALSE),0)</f>
        <v>0</v>
      </c>
      <c r="AU106" s="372">
        <f>IFERROR(VLOOKUP($AO106,costs!$A$2:$I$2905,AU$2,FALSE),0)</f>
        <v>0</v>
      </c>
      <c r="AV106" s="372">
        <f>IFERROR(VLOOKUP($AO106,costs!$A$2:$I$2905,AV$2,FALSE),0)</f>
        <v>0</v>
      </c>
      <c r="AW106" s="372">
        <f>IFERROR(VLOOKUP($AO106,costs!$A$2:$I$2905,AW$2,FALSE),0)</f>
        <v>0</v>
      </c>
      <c r="AY106" s="949" t="s">
        <v>2136</v>
      </c>
      <c r="AZ106" s="372">
        <f>IFERROR(VLOOKUP($AY106,costs!$A$2:$I$2905,AZ$2,FALSE),0)</f>
        <v>0</v>
      </c>
      <c r="BA106" s="372">
        <f>IFERROR(VLOOKUP($AY106,costs!$A$2:$I$2905,BA$2,FALSE),0)</f>
        <v>0</v>
      </c>
      <c r="BB106" s="372">
        <f>IFERROR(VLOOKUP($AY106,costs!$A$2:$I$2905,BB$2,FALSE),0)</f>
        <v>0</v>
      </c>
      <c r="BC106" s="372">
        <f>IFERROR(VLOOKUP($AY106,costs!$A$2:$I$2905,BC$2,FALSE),0)</f>
        <v>0</v>
      </c>
      <c r="BD106" s="372">
        <f>IFERROR(VLOOKUP($AY106,costs!$A$2:$I$2905,BD$2,FALSE),0)</f>
        <v>0</v>
      </c>
      <c r="BE106" s="372">
        <f>IFERROR(VLOOKUP($AY106,costs!$A$2:$I$2905,BE$2,FALSE),0)</f>
        <v>0</v>
      </c>
      <c r="BF106" s="372">
        <f>IFERROR(VLOOKUP($AY106,costs!$A$2:$I$2905,BF$2,FALSE),0)</f>
        <v>0</v>
      </c>
      <c r="BG106" s="372">
        <f>IFERROR(VLOOKUP($AY106,costs!$A$2:$I$2905,BG$2,FALSE),0)</f>
        <v>0</v>
      </c>
    </row>
    <row r="107" spans="2:59" x14ac:dyDescent="0.35">
      <c r="B107" s="900" t="s">
        <v>2293</v>
      </c>
      <c r="C107" s="348">
        <f t="shared" si="21"/>
        <v>1</v>
      </c>
      <c r="D107" s="348" t="e">
        <f>D32</f>
        <v>#DIV/0!</v>
      </c>
      <c r="E107" s="348" t="e">
        <f t="shared" si="21"/>
        <v>#DIV/0!</v>
      </c>
      <c r="F107" s="348" t="e">
        <f t="shared" si="21"/>
        <v>#DIV/0!</v>
      </c>
      <c r="G107" s="348" t="e">
        <f t="shared" si="21"/>
        <v>#DIV/0!</v>
      </c>
      <c r="H107" s="348" t="e">
        <f t="shared" si="21"/>
        <v>#DIV/0!</v>
      </c>
      <c r="I107" s="348" t="e">
        <f t="shared" si="21"/>
        <v>#DIV/0!</v>
      </c>
      <c r="U107" s="949" t="s">
        <v>2067</v>
      </c>
      <c r="V107" s="372">
        <f>IFERROR(VLOOKUP($U107,costs!$A$2:$I$2905,V$2,FALSE),0)</f>
        <v>0</v>
      </c>
      <c r="W107" s="372">
        <f>IFERROR(VLOOKUP($U107,costs!$A$2:$I$2905,W$2,FALSE),0)</f>
        <v>0</v>
      </c>
      <c r="X107" s="372">
        <f>IFERROR(VLOOKUP($U107,costs!$A$2:$I$2905,X$2,FALSE),0)</f>
        <v>0</v>
      </c>
      <c r="Y107" s="372">
        <f>IFERROR(VLOOKUP($U107,costs!$A$2:$I$2905,Y$2,FALSE),0)</f>
        <v>0</v>
      </c>
      <c r="Z107" s="372">
        <f>IFERROR(VLOOKUP($U107,costs!$A$2:$I$2905,Z$2,FALSE),0)</f>
        <v>0</v>
      </c>
      <c r="AA107" s="372">
        <f>IFERROR(VLOOKUP($U107,costs!$A$2:$I$2905,AA$2,FALSE),0)</f>
        <v>0</v>
      </c>
      <c r="AB107" s="372">
        <f>IFERROR(VLOOKUP($U107,costs!$A$2:$I$2905,AB$2,FALSE),0)</f>
        <v>0</v>
      </c>
      <c r="AC107" s="372">
        <f>IFERROR(VLOOKUP($U107,costs!$A$2:$I$2905,AC$2,FALSE),0)</f>
        <v>0</v>
      </c>
      <c r="AE107" s="40" t="s">
        <v>2889</v>
      </c>
      <c r="AF107" s="372">
        <f>IFERROR(VLOOKUP($AE107,costs!$A$2:$I$2905,AF$2,FALSE),0)</f>
        <v>0</v>
      </c>
      <c r="AG107" s="372">
        <f>IFERROR(VLOOKUP($AE107,costs!$A$2:$I$2905,AG$2,FALSE),0)</f>
        <v>0</v>
      </c>
      <c r="AH107" s="372">
        <f>IFERROR(VLOOKUP($AE107,costs!$A$2:$I$2905,AH$2,FALSE),0)</f>
        <v>0</v>
      </c>
      <c r="AI107" s="372">
        <f>IFERROR(VLOOKUP($AE107,costs!$A$2:$I$2905,AI$2,FALSE),0)</f>
        <v>0</v>
      </c>
      <c r="AJ107" s="372">
        <f>IFERROR(VLOOKUP($AE107,costs!$A$2:$I$2905,AJ$2,FALSE),0)</f>
        <v>0</v>
      </c>
      <c r="AK107" s="372">
        <f>IFERROR(VLOOKUP($AE107,costs!$A$2:$I$2905,AK$2,FALSE),0)</f>
        <v>0</v>
      </c>
      <c r="AL107" s="372">
        <f>IFERROR(VLOOKUP($AE107,costs!$A$2:$I$2905,AL$2,FALSE),0)</f>
        <v>0</v>
      </c>
      <c r="AM107" s="372">
        <f>IFERROR(VLOOKUP($AE107,costs!$A$2:$I$2905,AM$2,FALSE),0)</f>
        <v>0</v>
      </c>
      <c r="AO107" s="40" t="s">
        <v>2113</v>
      </c>
      <c r="AP107" s="372">
        <f>IFERROR(VLOOKUP($AO107,costs!$A$2:$I$2905,AP$2,FALSE),0)</f>
        <v>0</v>
      </c>
      <c r="AQ107" s="372">
        <f>IFERROR(VLOOKUP($AO107,costs!$A$2:$I$2905,AQ$2,FALSE),0)</f>
        <v>0</v>
      </c>
      <c r="AR107" s="372">
        <f>IFERROR(VLOOKUP($AO107,costs!$A$2:$I$2905,AR$2,FALSE),0)</f>
        <v>0</v>
      </c>
      <c r="AS107" s="372">
        <f>IFERROR(VLOOKUP($AO107,costs!$A$2:$I$2905,AS$2,FALSE),0)</f>
        <v>0</v>
      </c>
      <c r="AT107" s="372">
        <f>IFERROR(VLOOKUP($AO107,costs!$A$2:$I$2905,AT$2,FALSE),0)</f>
        <v>0</v>
      </c>
      <c r="AU107" s="372">
        <f>IFERROR(VLOOKUP($AO107,costs!$A$2:$I$2905,AU$2,FALSE),0)</f>
        <v>0</v>
      </c>
      <c r="AV107" s="372">
        <f>IFERROR(VLOOKUP($AO107,costs!$A$2:$I$2905,AV$2,FALSE),0)</f>
        <v>0</v>
      </c>
      <c r="AW107" s="372">
        <f>IFERROR(VLOOKUP($AO107,costs!$A$2:$I$2905,AW$2,FALSE),0)</f>
        <v>0</v>
      </c>
      <c r="AY107" s="40" t="s">
        <v>429</v>
      </c>
      <c r="AZ107" s="372">
        <f>IFERROR(VLOOKUP($AY107,costs!$A$2:$I$2905,AZ$2,FALSE),0)</f>
        <v>0</v>
      </c>
      <c r="BA107" s="372">
        <f>IFERROR(VLOOKUP($AY107,costs!$A$2:$I$2905,BA$2,FALSE),0)</f>
        <v>0</v>
      </c>
      <c r="BB107" s="372">
        <f>IFERROR(VLOOKUP($AY107,costs!$A$2:$I$2905,BB$2,FALSE),0)</f>
        <v>0</v>
      </c>
      <c r="BC107" s="372">
        <f>IFERROR(VLOOKUP($AY107,costs!$A$2:$I$2905,BC$2,FALSE),0)</f>
        <v>0</v>
      </c>
      <c r="BD107" s="372">
        <f>IFERROR(VLOOKUP($AY107,costs!$A$2:$I$2905,BD$2,FALSE),0)</f>
        <v>0</v>
      </c>
      <c r="BE107" s="372">
        <f>IFERROR(VLOOKUP($AY107,costs!$A$2:$I$2905,BE$2,FALSE),0)</f>
        <v>0</v>
      </c>
      <c r="BF107" s="372">
        <f>IFERROR(VLOOKUP($AY107,costs!$A$2:$I$2905,BF$2,FALSE),0)</f>
        <v>0</v>
      </c>
      <c r="BG107" s="372">
        <f>IFERROR(VLOOKUP($AY107,costs!$A$2:$I$2905,BG$2,FALSE),0)</f>
        <v>0</v>
      </c>
    </row>
    <row r="108" spans="2:59" x14ac:dyDescent="0.35">
      <c r="B108" s="900" t="s">
        <v>2291</v>
      </c>
      <c r="C108" s="348">
        <f>C33</f>
        <v>1</v>
      </c>
      <c r="D108" s="348" t="e">
        <f>D33</f>
        <v>#DIV/0!</v>
      </c>
      <c r="E108" s="348" t="e">
        <f t="shared" si="21"/>
        <v>#DIV/0!</v>
      </c>
      <c r="F108" s="348" t="e">
        <f t="shared" si="21"/>
        <v>#DIV/0!</v>
      </c>
      <c r="G108" s="348" t="e">
        <f t="shared" si="21"/>
        <v>#DIV/0!</v>
      </c>
      <c r="H108" s="348" t="e">
        <f t="shared" si="21"/>
        <v>#DIV/0!</v>
      </c>
      <c r="I108" s="348" t="e">
        <f t="shared" si="21"/>
        <v>#DIV/0!</v>
      </c>
      <c r="U108" s="40" t="s">
        <v>6</v>
      </c>
      <c r="V108" s="372">
        <f>IFERROR(VLOOKUP($U108,costs!$A$2:$I$2905,V$2,FALSE),0)</f>
        <v>0</v>
      </c>
      <c r="W108" s="372">
        <f>IFERROR(VLOOKUP($U108,costs!$A$2:$I$2905,W$2,FALSE),0)</f>
        <v>0</v>
      </c>
      <c r="X108" s="372">
        <f>IFERROR(VLOOKUP($U108,costs!$A$2:$I$2905,X$2,FALSE),0)</f>
        <v>0</v>
      </c>
      <c r="Y108" s="372">
        <f>IFERROR(VLOOKUP($U108,costs!$A$2:$I$2905,Y$2,FALSE),0)</f>
        <v>0</v>
      </c>
      <c r="Z108" s="372">
        <f>IFERROR(VLOOKUP($U108,costs!$A$2:$I$2905,Z$2,FALSE),0)</f>
        <v>0</v>
      </c>
      <c r="AA108" s="372">
        <f>IFERROR(VLOOKUP($U108,costs!$A$2:$I$2905,AA$2,FALSE),0)</f>
        <v>0</v>
      </c>
      <c r="AB108" s="372">
        <f>IFERROR(VLOOKUP($U108,costs!$A$2:$I$2905,AB$2,FALSE),0)</f>
        <v>0</v>
      </c>
      <c r="AC108" s="372">
        <f>IFERROR(VLOOKUP($U108,costs!$A$2:$I$2905,AC$2,FALSE),0)</f>
        <v>0</v>
      </c>
      <c r="AE108" s="99" t="s">
        <v>2031</v>
      </c>
      <c r="AF108" s="133">
        <f t="shared" ref="AF108:AM108" si="22">SUM(AF4:AF107)</f>
        <v>0</v>
      </c>
      <c r="AG108" s="133">
        <f t="shared" si="22"/>
        <v>0</v>
      </c>
      <c r="AH108" s="133">
        <f t="shared" si="22"/>
        <v>0</v>
      </c>
      <c r="AI108" s="133">
        <f t="shared" si="22"/>
        <v>0</v>
      </c>
      <c r="AJ108" s="133">
        <f t="shared" si="22"/>
        <v>0</v>
      </c>
      <c r="AK108" s="133">
        <f t="shared" si="22"/>
        <v>0</v>
      </c>
      <c r="AL108" s="133">
        <f t="shared" si="22"/>
        <v>0</v>
      </c>
      <c r="AM108" s="133">
        <f t="shared" si="22"/>
        <v>0</v>
      </c>
      <c r="AO108" s="40" t="s">
        <v>210</v>
      </c>
      <c r="AP108" s="372">
        <f>IFERROR(VLOOKUP($AO108,costs!$A$2:$I$2905,AP$2,FALSE),0)</f>
        <v>0</v>
      </c>
      <c r="AQ108" s="372">
        <f>IFERROR(VLOOKUP($AO108,costs!$A$2:$I$2905,AQ$2,FALSE),0)</f>
        <v>0</v>
      </c>
      <c r="AR108" s="372">
        <f>IFERROR(VLOOKUP($AO108,costs!$A$2:$I$2905,AR$2,FALSE),0)</f>
        <v>0</v>
      </c>
      <c r="AS108" s="372">
        <f>IFERROR(VLOOKUP($AO108,costs!$A$2:$I$2905,AS$2,FALSE),0)</f>
        <v>0</v>
      </c>
      <c r="AT108" s="372">
        <f>IFERROR(VLOOKUP($AO108,costs!$A$2:$I$2905,AT$2,FALSE),0)</f>
        <v>0</v>
      </c>
      <c r="AU108" s="372">
        <f>IFERROR(VLOOKUP($AO108,costs!$A$2:$I$2905,AU$2,FALSE),0)</f>
        <v>0</v>
      </c>
      <c r="AV108" s="372">
        <f>IFERROR(VLOOKUP($AO108,costs!$A$2:$I$2905,AV$2,FALSE),0)</f>
        <v>0</v>
      </c>
      <c r="AW108" s="372">
        <f>IFERROR(VLOOKUP($AO108,costs!$A$2:$I$2905,AW$2,FALSE),0)</f>
        <v>0</v>
      </c>
      <c r="AY108" s="949" t="s">
        <v>430</v>
      </c>
      <c r="AZ108" s="372">
        <f>IFERROR(VLOOKUP($AY108,costs!$A$2:$I$2905,AZ$2,FALSE),0)</f>
        <v>0</v>
      </c>
      <c r="BA108" s="372">
        <f>IFERROR(VLOOKUP($AY108,costs!$A$2:$I$2905,BA$2,FALSE),0)</f>
        <v>0</v>
      </c>
      <c r="BB108" s="372">
        <f>IFERROR(VLOOKUP($AY108,costs!$A$2:$I$2905,BB$2,FALSE),0)</f>
        <v>0</v>
      </c>
      <c r="BC108" s="372">
        <f>IFERROR(VLOOKUP($AY108,costs!$A$2:$I$2905,BC$2,FALSE),0)</f>
        <v>0</v>
      </c>
      <c r="BD108" s="372">
        <f>IFERROR(VLOOKUP($AY108,costs!$A$2:$I$2905,BD$2,FALSE),0)</f>
        <v>0</v>
      </c>
      <c r="BE108" s="372">
        <f>IFERROR(VLOOKUP($AY108,costs!$A$2:$I$2905,BE$2,FALSE),0)</f>
        <v>0</v>
      </c>
      <c r="BF108" s="372">
        <f>IFERROR(VLOOKUP($AY108,costs!$A$2:$I$2905,BF$2,FALSE),0)</f>
        <v>0</v>
      </c>
      <c r="BG108" s="372">
        <f>IFERROR(VLOOKUP($AY108,costs!$A$2:$I$2905,BG$2,FALSE),0)</f>
        <v>0</v>
      </c>
    </row>
    <row r="109" spans="2:59" x14ac:dyDescent="0.35">
      <c r="B109" s="900" t="str">
        <f>B34</f>
        <v>Total System Costs</v>
      </c>
      <c r="C109" s="348">
        <f>C34</f>
        <v>1</v>
      </c>
      <c r="D109" s="348" t="e">
        <f>D34</f>
        <v>#N/A</v>
      </c>
      <c r="E109" s="348" t="e">
        <f t="shared" si="21"/>
        <v>#N/A</v>
      </c>
      <c r="F109" s="348" t="e">
        <f t="shared" si="21"/>
        <v>#N/A</v>
      </c>
      <c r="G109" s="348" t="e">
        <f t="shared" si="21"/>
        <v>#N/A</v>
      </c>
      <c r="H109" s="348" t="e">
        <f t="shared" si="21"/>
        <v>#N/A</v>
      </c>
      <c r="I109" s="348" t="e">
        <f t="shared" si="21"/>
        <v>#N/A</v>
      </c>
      <c r="U109" s="949" t="s">
        <v>78</v>
      </c>
      <c r="V109" s="372">
        <f>IFERROR(VLOOKUP($U109,costs!$A$2:$I$2905,V$2,FALSE),0)</f>
        <v>0</v>
      </c>
      <c r="W109" s="372">
        <f>IFERROR(VLOOKUP($U109,costs!$A$2:$I$2905,W$2,FALSE),0)</f>
        <v>0</v>
      </c>
      <c r="X109" s="372">
        <f>IFERROR(VLOOKUP($U109,costs!$A$2:$I$2905,X$2,FALSE),0)</f>
        <v>0</v>
      </c>
      <c r="Y109" s="372">
        <f>IFERROR(VLOOKUP($U109,costs!$A$2:$I$2905,Y$2,FALSE),0)</f>
        <v>0</v>
      </c>
      <c r="Z109" s="372">
        <f>IFERROR(VLOOKUP($U109,costs!$A$2:$I$2905,Z$2,FALSE),0)</f>
        <v>0</v>
      </c>
      <c r="AA109" s="372">
        <f>IFERROR(VLOOKUP($U109,costs!$A$2:$I$2905,AA$2,FALSE),0)</f>
        <v>0</v>
      </c>
      <c r="AB109" s="372">
        <f>IFERROR(VLOOKUP($U109,costs!$A$2:$I$2905,AB$2,FALSE),0)</f>
        <v>0</v>
      </c>
      <c r="AC109" s="372">
        <f>IFERROR(VLOOKUP($U109,costs!$A$2:$I$2905,AC$2,FALSE),0)</f>
        <v>0</v>
      </c>
      <c r="AE109" s="40"/>
      <c r="AO109" s="40" t="s">
        <v>54</v>
      </c>
      <c r="AP109" s="372">
        <f>IFERROR(VLOOKUP($AO109,costs!$A$2:$I$2905,AP$2,FALSE),0)</f>
        <v>0</v>
      </c>
      <c r="AQ109" s="372">
        <f>IFERROR(VLOOKUP($AO109,costs!$A$2:$I$2905,AQ$2,FALSE),0)</f>
        <v>0</v>
      </c>
      <c r="AR109" s="372">
        <f>IFERROR(VLOOKUP($AO109,costs!$A$2:$I$2905,AR$2,FALSE),0)</f>
        <v>0</v>
      </c>
      <c r="AS109" s="372">
        <f>IFERROR(VLOOKUP($AO109,costs!$A$2:$I$2905,AS$2,FALSE),0)</f>
        <v>0</v>
      </c>
      <c r="AT109" s="372">
        <f>IFERROR(VLOOKUP($AO109,costs!$A$2:$I$2905,AT$2,FALSE),0)</f>
        <v>0</v>
      </c>
      <c r="AU109" s="372">
        <f>IFERROR(VLOOKUP($AO109,costs!$A$2:$I$2905,AU$2,FALSE),0)</f>
        <v>0</v>
      </c>
      <c r="AV109" s="372">
        <f>IFERROR(VLOOKUP($AO109,costs!$A$2:$I$2905,AV$2,FALSE),0)</f>
        <v>0</v>
      </c>
      <c r="AW109" s="372">
        <f>IFERROR(VLOOKUP($AO109,costs!$A$2:$I$2905,AW$2,FALSE),0)</f>
        <v>0</v>
      </c>
      <c r="AY109" s="40" t="s">
        <v>2137</v>
      </c>
      <c r="AZ109" s="372">
        <f>IFERROR(VLOOKUP($AY109,costs!$A$2:$I$2905,AZ$2,FALSE),0)</f>
        <v>0</v>
      </c>
      <c r="BA109" s="372">
        <f>IFERROR(VLOOKUP($AY109,costs!$A$2:$I$2905,BA$2,FALSE),0)</f>
        <v>0</v>
      </c>
      <c r="BB109" s="372">
        <f>IFERROR(VLOOKUP($AY109,costs!$A$2:$I$2905,BB$2,FALSE),0)</f>
        <v>0</v>
      </c>
      <c r="BC109" s="372">
        <f>IFERROR(VLOOKUP($AY109,costs!$A$2:$I$2905,BC$2,FALSE),0)</f>
        <v>0</v>
      </c>
      <c r="BD109" s="372">
        <f>IFERROR(VLOOKUP($AY109,costs!$A$2:$I$2905,BD$2,FALSE),0)</f>
        <v>0</v>
      </c>
      <c r="BE109" s="372">
        <f>IFERROR(VLOOKUP($AY109,costs!$A$2:$I$2905,BE$2,FALSE),0)</f>
        <v>0</v>
      </c>
      <c r="BF109" s="372">
        <f>IFERROR(VLOOKUP($AY109,costs!$A$2:$I$2905,BF$2,FALSE),0)</f>
        <v>0</v>
      </c>
      <c r="BG109" s="372">
        <f>IFERROR(VLOOKUP($AY109,costs!$A$2:$I$2905,BG$2,FALSE),0)</f>
        <v>0</v>
      </c>
    </row>
    <row r="110" spans="2:59" x14ac:dyDescent="0.35">
      <c r="U110" s="40" t="s">
        <v>79</v>
      </c>
      <c r="V110" s="372">
        <f>IFERROR(VLOOKUP($U110,costs!$A$2:$I$2905,V$2,FALSE),0)</f>
        <v>0</v>
      </c>
      <c r="W110" s="372">
        <f>IFERROR(VLOOKUP($U110,costs!$A$2:$I$2905,W$2,FALSE),0)</f>
        <v>0</v>
      </c>
      <c r="X110" s="372">
        <f>IFERROR(VLOOKUP($U110,costs!$A$2:$I$2905,X$2,FALSE),0)</f>
        <v>0</v>
      </c>
      <c r="Y110" s="372">
        <f>IFERROR(VLOOKUP($U110,costs!$A$2:$I$2905,Y$2,FALSE),0)</f>
        <v>0</v>
      </c>
      <c r="Z110" s="372">
        <f>IFERROR(VLOOKUP($U110,costs!$A$2:$I$2905,Z$2,FALSE),0)</f>
        <v>0</v>
      </c>
      <c r="AA110" s="372">
        <f>IFERROR(VLOOKUP($U110,costs!$A$2:$I$2905,AA$2,FALSE),0)</f>
        <v>0</v>
      </c>
      <c r="AB110" s="372">
        <f>IFERROR(VLOOKUP($U110,costs!$A$2:$I$2905,AB$2,FALSE),0)</f>
        <v>0</v>
      </c>
      <c r="AC110" s="372">
        <f>IFERROR(VLOOKUP($U110,costs!$A$2:$I$2905,AC$2,FALSE),0)</f>
        <v>0</v>
      </c>
      <c r="AE110" s="99" t="s">
        <v>2183</v>
      </c>
      <c r="AF110" s="277" t="e">
        <f>'Wärme - Gesamtverbrauch'!Q12/('Wärme - Gesamtverbrauch'!Q12+'Wärme - Gesamtverbrauch'!D5)</f>
        <v>#N/A</v>
      </c>
      <c r="AG110" s="277" t="e">
        <f>'Wärme - Gesamtverbrauch'!R12/('Wärme - Gesamtverbrauch'!R12+'Wärme - Gesamtverbrauch'!E5)</f>
        <v>#N/A</v>
      </c>
      <c r="AH110" s="277" t="e">
        <f>'Wärme - Gesamtverbrauch'!S12/('Wärme - Gesamtverbrauch'!S12+'Wärme - Gesamtverbrauch'!F5)</f>
        <v>#N/A</v>
      </c>
      <c r="AI110" s="277" t="e">
        <f>'Wärme - Gesamtverbrauch'!T12/('Wärme - Gesamtverbrauch'!T12+'Wärme - Gesamtverbrauch'!G5)</f>
        <v>#N/A</v>
      </c>
      <c r="AJ110" s="277" t="e">
        <f>'Wärme - Gesamtverbrauch'!U12/('Wärme - Gesamtverbrauch'!U12+'Wärme - Gesamtverbrauch'!H5)</f>
        <v>#N/A</v>
      </c>
      <c r="AK110" s="277" t="e">
        <f>'Wärme - Gesamtverbrauch'!V12/('Wärme - Gesamtverbrauch'!V12+'Wärme - Gesamtverbrauch'!I5)</f>
        <v>#N/A</v>
      </c>
      <c r="AL110" s="277" t="e">
        <f>'Wärme - Gesamtverbrauch'!W12/('Wärme - Gesamtverbrauch'!W12+'Wärme - Gesamtverbrauch'!J5)</f>
        <v>#N/A</v>
      </c>
      <c r="AM110" s="277" t="e">
        <f>'Wärme - Gesamtverbrauch'!X12/('Wärme - Gesamtverbrauch'!X12+'Wärme - Gesamtverbrauch'!K5)</f>
        <v>#N/A</v>
      </c>
      <c r="AO110" s="40" t="s">
        <v>2114</v>
      </c>
      <c r="AP110" s="372">
        <f>IFERROR(VLOOKUP($AO110,costs!$A$2:$I$2905,AP$2,FALSE),0)</f>
        <v>0</v>
      </c>
      <c r="AQ110" s="372">
        <f>IFERROR(VLOOKUP($AO110,costs!$A$2:$I$2905,AQ$2,FALSE),0)</f>
        <v>0</v>
      </c>
      <c r="AR110" s="372">
        <f>IFERROR(VLOOKUP($AO110,costs!$A$2:$I$2905,AR$2,FALSE),0)</f>
        <v>0</v>
      </c>
      <c r="AS110" s="372">
        <f>IFERROR(VLOOKUP($AO110,costs!$A$2:$I$2905,AS$2,FALSE),0)</f>
        <v>0</v>
      </c>
      <c r="AT110" s="372">
        <f>IFERROR(VLOOKUP($AO110,costs!$A$2:$I$2905,AT$2,FALSE),0)</f>
        <v>0</v>
      </c>
      <c r="AU110" s="372">
        <f>IFERROR(VLOOKUP($AO110,costs!$A$2:$I$2905,AU$2,FALSE),0)</f>
        <v>0</v>
      </c>
      <c r="AV110" s="372">
        <f>IFERROR(VLOOKUP($AO110,costs!$A$2:$I$2905,AV$2,FALSE),0)</f>
        <v>0</v>
      </c>
      <c r="AW110" s="372">
        <f>IFERROR(VLOOKUP($AO110,costs!$A$2:$I$2905,AW$2,FALSE),0)</f>
        <v>0</v>
      </c>
      <c r="AY110" s="949" t="s">
        <v>431</v>
      </c>
      <c r="AZ110" s="372">
        <f>IFERROR(VLOOKUP($AY110,costs!$A$2:$I$2905,AZ$2,FALSE),0)</f>
        <v>0</v>
      </c>
      <c r="BA110" s="372">
        <f>IFERROR(VLOOKUP($AY110,costs!$A$2:$I$2905,BA$2,FALSE),0)</f>
        <v>0</v>
      </c>
      <c r="BB110" s="372">
        <f>IFERROR(VLOOKUP($AY110,costs!$A$2:$I$2905,BB$2,FALSE),0)</f>
        <v>0</v>
      </c>
      <c r="BC110" s="372">
        <f>IFERROR(VLOOKUP($AY110,costs!$A$2:$I$2905,BC$2,FALSE),0)</f>
        <v>0</v>
      </c>
      <c r="BD110" s="372">
        <f>IFERROR(VLOOKUP($AY110,costs!$A$2:$I$2905,BD$2,FALSE),0)</f>
        <v>0</v>
      </c>
      <c r="BE110" s="372">
        <f>IFERROR(VLOOKUP($AY110,costs!$A$2:$I$2905,BE$2,FALSE),0)</f>
        <v>0</v>
      </c>
      <c r="BF110" s="372">
        <f>IFERROR(VLOOKUP($AY110,costs!$A$2:$I$2905,BF$2,FALSE),0)</f>
        <v>0</v>
      </c>
      <c r="BG110" s="372">
        <f>IFERROR(VLOOKUP($AY110,costs!$A$2:$I$2905,BG$2,FALSE),0)</f>
        <v>0</v>
      </c>
    </row>
    <row r="111" spans="2:59" x14ac:dyDescent="0.35">
      <c r="U111" s="949" t="s">
        <v>7</v>
      </c>
      <c r="V111" s="372">
        <f>IFERROR(VLOOKUP($U111,costs!$A$2:$I$2905,V$2,FALSE),0)</f>
        <v>0</v>
      </c>
      <c r="W111" s="372">
        <f>IFERROR(VLOOKUP($U111,costs!$A$2:$I$2905,W$2,FALSE),0)</f>
        <v>0</v>
      </c>
      <c r="X111" s="372">
        <f>IFERROR(VLOOKUP($U111,costs!$A$2:$I$2905,X$2,FALSE),0)</f>
        <v>0</v>
      </c>
      <c r="Y111" s="372">
        <f>IFERROR(VLOOKUP($U111,costs!$A$2:$I$2905,Y$2,FALSE),0)</f>
        <v>0</v>
      </c>
      <c r="Z111" s="372">
        <f>IFERROR(VLOOKUP($U111,costs!$A$2:$I$2905,Z$2,FALSE),0)</f>
        <v>0</v>
      </c>
      <c r="AA111" s="372">
        <f>IFERROR(VLOOKUP($U111,costs!$A$2:$I$2905,AA$2,FALSE),0)</f>
        <v>0</v>
      </c>
      <c r="AB111" s="372">
        <f>IFERROR(VLOOKUP($U111,costs!$A$2:$I$2905,AB$2,FALSE),0)</f>
        <v>0</v>
      </c>
      <c r="AC111" s="372">
        <f>IFERROR(VLOOKUP($U111,costs!$A$2:$I$2905,AC$2,FALSE),0)</f>
        <v>0</v>
      </c>
      <c r="AE111" s="99" t="s">
        <v>2178</v>
      </c>
      <c r="AF111" s="133" t="e">
        <f t="shared" ref="AF111:AM111" si="23">AF110*AP267</f>
        <v>#N/A</v>
      </c>
      <c r="AG111" s="133" t="e">
        <f t="shared" si="23"/>
        <v>#N/A</v>
      </c>
      <c r="AH111" s="133" t="e">
        <f t="shared" si="23"/>
        <v>#N/A</v>
      </c>
      <c r="AI111" s="133" t="e">
        <f t="shared" si="23"/>
        <v>#N/A</v>
      </c>
      <c r="AJ111" s="133" t="e">
        <f t="shared" si="23"/>
        <v>#N/A</v>
      </c>
      <c r="AK111" s="133" t="e">
        <f t="shared" si="23"/>
        <v>#N/A</v>
      </c>
      <c r="AL111" s="133" t="e">
        <f t="shared" si="23"/>
        <v>#N/A</v>
      </c>
      <c r="AM111" s="133" t="e">
        <f t="shared" si="23"/>
        <v>#N/A</v>
      </c>
      <c r="AO111" s="40" t="s">
        <v>2115</v>
      </c>
      <c r="AP111" s="372">
        <f>IFERROR(VLOOKUP($AO111,costs!$A$2:$I$2905,AP$2,FALSE),0)</f>
        <v>0</v>
      </c>
      <c r="AQ111" s="372">
        <f>IFERROR(VLOOKUP($AO111,costs!$A$2:$I$2905,AQ$2,FALSE),0)</f>
        <v>0</v>
      </c>
      <c r="AR111" s="372">
        <f>IFERROR(VLOOKUP($AO111,costs!$A$2:$I$2905,AR$2,FALSE),0)</f>
        <v>0</v>
      </c>
      <c r="AS111" s="372">
        <f>IFERROR(VLOOKUP($AO111,costs!$A$2:$I$2905,AS$2,FALSE),0)</f>
        <v>0</v>
      </c>
      <c r="AT111" s="372">
        <f>IFERROR(VLOOKUP($AO111,costs!$A$2:$I$2905,AT$2,FALSE),0)</f>
        <v>0</v>
      </c>
      <c r="AU111" s="372">
        <f>IFERROR(VLOOKUP($AO111,costs!$A$2:$I$2905,AU$2,FALSE),0)</f>
        <v>0</v>
      </c>
      <c r="AV111" s="372">
        <f>IFERROR(VLOOKUP($AO111,costs!$A$2:$I$2905,AV$2,FALSE),0)</f>
        <v>0</v>
      </c>
      <c r="AW111" s="372">
        <f>IFERROR(VLOOKUP($AO111,costs!$A$2:$I$2905,AW$2,FALSE),0)</f>
        <v>0</v>
      </c>
      <c r="AY111" s="40" t="s">
        <v>432</v>
      </c>
      <c r="AZ111" s="372">
        <f>IFERROR(VLOOKUP($AY111,costs!$A$2:$I$2905,AZ$2,FALSE),0)</f>
        <v>0</v>
      </c>
      <c r="BA111" s="372">
        <f>IFERROR(VLOOKUP($AY111,costs!$A$2:$I$2905,BA$2,FALSE),0)</f>
        <v>0</v>
      </c>
      <c r="BB111" s="372">
        <f>IFERROR(VLOOKUP($AY111,costs!$A$2:$I$2905,BB$2,FALSE),0)</f>
        <v>0</v>
      </c>
      <c r="BC111" s="372">
        <f>IFERROR(VLOOKUP($AY111,costs!$A$2:$I$2905,BC$2,FALSE),0)</f>
        <v>0</v>
      </c>
      <c r="BD111" s="372">
        <f>IFERROR(VLOOKUP($AY111,costs!$A$2:$I$2905,BD$2,FALSE),0)</f>
        <v>0</v>
      </c>
      <c r="BE111" s="372">
        <f>IFERROR(VLOOKUP($AY111,costs!$A$2:$I$2905,BE$2,FALSE),0)</f>
        <v>0</v>
      </c>
      <c r="BF111" s="372">
        <f>IFERROR(VLOOKUP($AY111,costs!$A$2:$I$2905,BF$2,FALSE),0)</f>
        <v>0</v>
      </c>
      <c r="BG111" s="372">
        <f>IFERROR(VLOOKUP($AY111,costs!$A$2:$I$2905,BG$2,FALSE),0)</f>
        <v>0</v>
      </c>
    </row>
    <row r="112" spans="2:59" x14ac:dyDescent="0.35">
      <c r="U112" s="40" t="s">
        <v>80</v>
      </c>
      <c r="V112" s="372">
        <f>IFERROR(VLOOKUP($U112,costs!$A$2:$I$2905,V$2,FALSE),0)</f>
        <v>0</v>
      </c>
      <c r="W112" s="372">
        <f>IFERROR(VLOOKUP($U112,costs!$A$2:$I$2905,W$2,FALSE),0)</f>
        <v>0</v>
      </c>
      <c r="X112" s="372">
        <f>IFERROR(VLOOKUP($U112,costs!$A$2:$I$2905,X$2,FALSE),0)</f>
        <v>0</v>
      </c>
      <c r="Y112" s="372">
        <f>IFERROR(VLOOKUP($U112,costs!$A$2:$I$2905,Y$2,FALSE),0)</f>
        <v>0</v>
      </c>
      <c r="Z112" s="372">
        <f>IFERROR(VLOOKUP($U112,costs!$A$2:$I$2905,Z$2,FALSE),0)</f>
        <v>0</v>
      </c>
      <c r="AA112" s="372">
        <f>IFERROR(VLOOKUP($U112,costs!$A$2:$I$2905,AA$2,FALSE),0)</f>
        <v>0</v>
      </c>
      <c r="AB112" s="372">
        <f>IFERROR(VLOOKUP($U112,costs!$A$2:$I$2905,AB$2,FALSE),0)</f>
        <v>0</v>
      </c>
      <c r="AC112" s="372">
        <f>IFERROR(VLOOKUP($U112,costs!$A$2:$I$2905,AC$2,FALSE),0)</f>
        <v>0</v>
      </c>
      <c r="AE112" s="40"/>
      <c r="AO112" s="40" t="s">
        <v>362</v>
      </c>
      <c r="AP112" s="372">
        <f>IFERROR(VLOOKUP($AO112,costs!$A$2:$I$2905,AP$2,FALSE),0)</f>
        <v>0</v>
      </c>
      <c r="AQ112" s="372">
        <f>IFERROR(VLOOKUP($AO112,costs!$A$2:$I$2905,AQ$2,FALSE),0)</f>
        <v>0</v>
      </c>
      <c r="AR112" s="372">
        <f>IFERROR(VLOOKUP($AO112,costs!$A$2:$I$2905,AR$2,FALSE),0)</f>
        <v>0</v>
      </c>
      <c r="AS112" s="372">
        <f>IFERROR(VLOOKUP($AO112,costs!$A$2:$I$2905,AS$2,FALSE),0)</f>
        <v>0</v>
      </c>
      <c r="AT112" s="372">
        <f>IFERROR(VLOOKUP($AO112,costs!$A$2:$I$2905,AT$2,FALSE),0)</f>
        <v>0</v>
      </c>
      <c r="AU112" s="372">
        <f>IFERROR(VLOOKUP($AO112,costs!$A$2:$I$2905,AU$2,FALSE),0)</f>
        <v>0</v>
      </c>
      <c r="AV112" s="372">
        <f>IFERROR(VLOOKUP($AO112,costs!$A$2:$I$2905,AV$2,FALSE),0)</f>
        <v>0</v>
      </c>
      <c r="AW112" s="372">
        <f>IFERROR(VLOOKUP($AO112,costs!$A$2:$I$2905,AW$2,FALSE),0)</f>
        <v>0</v>
      </c>
      <c r="AY112" s="949" t="s">
        <v>2138</v>
      </c>
      <c r="AZ112" s="372">
        <f>IFERROR(VLOOKUP($AY112,costs!$A$2:$I$2905,AZ$2,FALSE),0)</f>
        <v>0</v>
      </c>
      <c r="BA112" s="372">
        <f>IFERROR(VLOOKUP($AY112,costs!$A$2:$I$2905,BA$2,FALSE),0)</f>
        <v>0</v>
      </c>
      <c r="BB112" s="372">
        <f>IFERROR(VLOOKUP($AY112,costs!$A$2:$I$2905,BB$2,FALSE),0)</f>
        <v>0</v>
      </c>
      <c r="BC112" s="372">
        <f>IFERROR(VLOOKUP($AY112,costs!$A$2:$I$2905,BC$2,FALSE),0)</f>
        <v>0</v>
      </c>
      <c r="BD112" s="372">
        <f>IFERROR(VLOOKUP($AY112,costs!$A$2:$I$2905,BD$2,FALSE),0)</f>
        <v>0</v>
      </c>
      <c r="BE112" s="372">
        <f>IFERROR(VLOOKUP($AY112,costs!$A$2:$I$2905,BE$2,FALSE),0)</f>
        <v>0</v>
      </c>
      <c r="BF112" s="372">
        <f>IFERROR(VLOOKUP($AY112,costs!$A$2:$I$2905,BF$2,FALSE),0)</f>
        <v>0</v>
      </c>
      <c r="BG112" s="372">
        <f>IFERROR(VLOOKUP($AY112,costs!$A$2:$I$2905,BG$2,FALSE),0)</f>
        <v>0</v>
      </c>
    </row>
    <row r="113" spans="21:59" x14ac:dyDescent="0.35">
      <c r="U113" s="949" t="s">
        <v>81</v>
      </c>
      <c r="V113" s="372">
        <f>IFERROR(VLOOKUP($U113,costs!$A$2:$I$2905,V$2,FALSE),0)</f>
        <v>0</v>
      </c>
      <c r="W113" s="372">
        <f>IFERROR(VLOOKUP($U113,costs!$A$2:$I$2905,W$2,FALSE),0)</f>
        <v>0</v>
      </c>
      <c r="X113" s="372">
        <f>IFERROR(VLOOKUP($U113,costs!$A$2:$I$2905,X$2,FALSE),0)</f>
        <v>0</v>
      </c>
      <c r="Y113" s="372">
        <f>IFERROR(VLOOKUP($U113,costs!$A$2:$I$2905,Y$2,FALSE),0)</f>
        <v>0</v>
      </c>
      <c r="Z113" s="372">
        <f>IFERROR(VLOOKUP($U113,costs!$A$2:$I$2905,Z$2,FALSE),0)</f>
        <v>0</v>
      </c>
      <c r="AA113" s="372">
        <f>IFERROR(VLOOKUP($U113,costs!$A$2:$I$2905,AA$2,FALSE),0)</f>
        <v>0</v>
      </c>
      <c r="AB113" s="372">
        <f>IFERROR(VLOOKUP($U113,costs!$A$2:$I$2905,AB$2,FALSE),0)</f>
        <v>0</v>
      </c>
      <c r="AC113" s="372">
        <f>IFERROR(VLOOKUP($U113,costs!$A$2:$I$2905,AC$2,FALSE),0)</f>
        <v>0</v>
      </c>
      <c r="AE113" s="99" t="s">
        <v>1229</v>
      </c>
      <c r="AF113" s="133" t="e">
        <f>AF111+AF108</f>
        <v>#N/A</v>
      </c>
      <c r="AG113" s="133" t="e">
        <f t="shared" ref="AG113:AM113" si="24">AG111+AG108</f>
        <v>#N/A</v>
      </c>
      <c r="AH113" s="133" t="e">
        <f>AH111+AH108</f>
        <v>#N/A</v>
      </c>
      <c r="AI113" s="133" t="e">
        <f>AI111+AI108</f>
        <v>#N/A</v>
      </c>
      <c r="AJ113" s="133" t="e">
        <f t="shared" si="24"/>
        <v>#N/A</v>
      </c>
      <c r="AK113" s="133" t="e">
        <f t="shared" si="24"/>
        <v>#N/A</v>
      </c>
      <c r="AL113" s="133" t="e">
        <f t="shared" si="24"/>
        <v>#N/A</v>
      </c>
      <c r="AM113" s="133" t="e">
        <f t="shared" si="24"/>
        <v>#N/A</v>
      </c>
      <c r="AO113" s="40" t="s">
        <v>57</v>
      </c>
      <c r="AP113" s="372">
        <f>IFERROR(VLOOKUP($AO113,costs!$A$2:$I$2905,AP$2,FALSE),0)</f>
        <v>0</v>
      </c>
      <c r="AQ113" s="372">
        <f>IFERROR(VLOOKUP($AO113,costs!$A$2:$I$2905,AQ$2,FALSE),0)</f>
        <v>0</v>
      </c>
      <c r="AR113" s="372">
        <f>IFERROR(VLOOKUP($AO113,costs!$A$2:$I$2905,AR$2,FALSE),0)</f>
        <v>0</v>
      </c>
      <c r="AS113" s="372">
        <f>IFERROR(VLOOKUP($AO113,costs!$A$2:$I$2905,AS$2,FALSE),0)</f>
        <v>0</v>
      </c>
      <c r="AT113" s="372">
        <f>IFERROR(VLOOKUP($AO113,costs!$A$2:$I$2905,AT$2,FALSE),0)</f>
        <v>0</v>
      </c>
      <c r="AU113" s="372">
        <f>IFERROR(VLOOKUP($AO113,costs!$A$2:$I$2905,AU$2,FALSE),0)</f>
        <v>0</v>
      </c>
      <c r="AV113" s="372">
        <f>IFERROR(VLOOKUP($AO113,costs!$A$2:$I$2905,AV$2,FALSE),0)</f>
        <v>0</v>
      </c>
      <c r="AW113" s="372">
        <f>IFERROR(VLOOKUP($AO113,costs!$A$2:$I$2905,AW$2,FALSE),0)</f>
        <v>0</v>
      </c>
      <c r="AY113" s="40" t="s">
        <v>433</v>
      </c>
      <c r="AZ113" s="372">
        <f>IFERROR(VLOOKUP($AY113,costs!$A$2:$I$2905,AZ$2,FALSE),0)</f>
        <v>0</v>
      </c>
      <c r="BA113" s="372">
        <f>IFERROR(VLOOKUP($AY113,costs!$A$2:$I$2905,BA$2,FALSE),0)</f>
        <v>0</v>
      </c>
      <c r="BB113" s="372">
        <f>IFERROR(VLOOKUP($AY113,costs!$A$2:$I$2905,BB$2,FALSE),0)</f>
        <v>0</v>
      </c>
      <c r="BC113" s="372">
        <f>IFERROR(VLOOKUP($AY113,costs!$A$2:$I$2905,BC$2,FALSE),0)</f>
        <v>0</v>
      </c>
      <c r="BD113" s="372">
        <f>IFERROR(VLOOKUP($AY113,costs!$A$2:$I$2905,BD$2,FALSE),0)</f>
        <v>0</v>
      </c>
      <c r="BE113" s="372">
        <f>IFERROR(VLOOKUP($AY113,costs!$A$2:$I$2905,BE$2,FALSE),0)</f>
        <v>0</v>
      </c>
      <c r="BF113" s="372">
        <f>IFERROR(VLOOKUP($AY113,costs!$A$2:$I$2905,BF$2,FALSE),0)</f>
        <v>0</v>
      </c>
      <c r="BG113" s="372">
        <f>IFERROR(VLOOKUP($AY113,costs!$A$2:$I$2905,BG$2,FALSE),0)</f>
        <v>0</v>
      </c>
    </row>
    <row r="114" spans="21:59" ht="15" thickBot="1" x14ac:dyDescent="0.4">
      <c r="U114" s="40" t="s">
        <v>2068</v>
      </c>
      <c r="V114" s="372">
        <f>IFERROR(VLOOKUP($U114,costs!$A$2:$I$2905,V$2,FALSE),0)</f>
        <v>0</v>
      </c>
      <c r="W114" s="372">
        <f>IFERROR(VLOOKUP($U114,costs!$A$2:$I$2905,W$2,FALSE),0)</f>
        <v>0</v>
      </c>
      <c r="X114" s="372">
        <f>IFERROR(VLOOKUP($U114,costs!$A$2:$I$2905,X$2,FALSE),0)</f>
        <v>0</v>
      </c>
      <c r="Y114" s="372">
        <f>IFERROR(VLOOKUP($U114,costs!$A$2:$I$2905,Y$2,FALSE),0)</f>
        <v>0</v>
      </c>
      <c r="Z114" s="372">
        <f>IFERROR(VLOOKUP($U114,costs!$A$2:$I$2905,Z$2,FALSE),0)</f>
        <v>0</v>
      </c>
      <c r="AA114" s="372">
        <f>IFERROR(VLOOKUP($U114,costs!$A$2:$I$2905,AA$2,FALSE),0)</f>
        <v>0</v>
      </c>
      <c r="AB114" s="372">
        <f>IFERROR(VLOOKUP($U114,costs!$A$2:$I$2905,AB$2,FALSE),0)</f>
        <v>0</v>
      </c>
      <c r="AC114" s="372">
        <f>IFERROR(VLOOKUP($U114,costs!$A$2:$I$2905,AC$2,FALSE),0)</f>
        <v>0</v>
      </c>
      <c r="AE114" s="41"/>
      <c r="AF114" s="77"/>
      <c r="AG114" s="77"/>
      <c r="AH114" s="77"/>
      <c r="AI114" s="77"/>
      <c r="AJ114" s="77"/>
      <c r="AK114" s="77"/>
      <c r="AL114" s="77"/>
      <c r="AM114" s="77"/>
      <c r="AO114" s="40" t="s">
        <v>2116</v>
      </c>
      <c r="AP114" s="372">
        <f>IFERROR(VLOOKUP($AO114,costs!$A$2:$I$2905,AP$2,FALSE),0)</f>
        <v>0</v>
      </c>
      <c r="AQ114" s="372">
        <f>IFERROR(VLOOKUP($AO114,costs!$A$2:$I$2905,AQ$2,FALSE),0)</f>
        <v>0</v>
      </c>
      <c r="AR114" s="372">
        <f>IFERROR(VLOOKUP($AO114,costs!$A$2:$I$2905,AR$2,FALSE),0)</f>
        <v>0</v>
      </c>
      <c r="AS114" s="372">
        <f>IFERROR(VLOOKUP($AO114,costs!$A$2:$I$2905,AS$2,FALSE),0)</f>
        <v>0</v>
      </c>
      <c r="AT114" s="372">
        <f>IFERROR(VLOOKUP($AO114,costs!$A$2:$I$2905,AT$2,FALSE),0)</f>
        <v>0</v>
      </c>
      <c r="AU114" s="372">
        <f>IFERROR(VLOOKUP($AO114,costs!$A$2:$I$2905,AU$2,FALSE),0)</f>
        <v>0</v>
      </c>
      <c r="AV114" s="372">
        <f>IFERROR(VLOOKUP($AO114,costs!$A$2:$I$2905,AV$2,FALSE),0)</f>
        <v>0</v>
      </c>
      <c r="AW114" s="372">
        <f>IFERROR(VLOOKUP($AO114,costs!$A$2:$I$2905,AW$2,FALSE),0)</f>
        <v>0</v>
      </c>
      <c r="AY114" s="949" t="s">
        <v>526</v>
      </c>
      <c r="AZ114" s="372">
        <f>IFERROR(VLOOKUP($AY114,costs!$A$2:$I$2905,AZ$2,FALSE),0)</f>
        <v>0</v>
      </c>
      <c r="BA114" s="372">
        <f>IFERROR(VLOOKUP($AY114,costs!$A$2:$I$2905,BA$2,FALSE),0)</f>
        <v>0</v>
      </c>
      <c r="BB114" s="372">
        <f>IFERROR(VLOOKUP($AY114,costs!$A$2:$I$2905,BB$2,FALSE),0)</f>
        <v>0</v>
      </c>
      <c r="BC114" s="372">
        <f>IFERROR(VLOOKUP($AY114,costs!$A$2:$I$2905,BC$2,FALSE),0)</f>
        <v>0</v>
      </c>
      <c r="BD114" s="372">
        <f>IFERROR(VLOOKUP($AY114,costs!$A$2:$I$2905,BD$2,FALSE),0)</f>
        <v>0</v>
      </c>
      <c r="BE114" s="372">
        <f>IFERROR(VLOOKUP($AY114,costs!$A$2:$I$2905,BE$2,FALSE),0)</f>
        <v>0</v>
      </c>
      <c r="BF114" s="372">
        <f>IFERROR(VLOOKUP($AY114,costs!$A$2:$I$2905,BF$2,FALSE),0)</f>
        <v>0</v>
      </c>
      <c r="BG114" s="372">
        <f>IFERROR(VLOOKUP($AY114,costs!$A$2:$I$2905,BG$2,FALSE),0)</f>
        <v>0</v>
      </c>
    </row>
    <row r="115" spans="21:59" x14ac:dyDescent="0.35">
      <c r="U115" s="949" t="s">
        <v>8</v>
      </c>
      <c r="V115" s="372">
        <f>IFERROR(VLOOKUP($U115,costs!$A$2:$I$2905,V$2,FALSE),0)</f>
        <v>0</v>
      </c>
      <c r="W115" s="372">
        <f>IFERROR(VLOOKUP($U115,costs!$A$2:$I$2905,W$2,FALSE),0)</f>
        <v>0</v>
      </c>
      <c r="X115" s="372">
        <f>IFERROR(VLOOKUP($U115,costs!$A$2:$I$2905,X$2,FALSE),0)</f>
        <v>0</v>
      </c>
      <c r="Y115" s="372">
        <f>IFERROR(VLOOKUP($U115,costs!$A$2:$I$2905,Y$2,FALSE),0)</f>
        <v>0</v>
      </c>
      <c r="Z115" s="372">
        <f>IFERROR(VLOOKUP($U115,costs!$A$2:$I$2905,Z$2,FALSE),0)</f>
        <v>0</v>
      </c>
      <c r="AA115" s="372">
        <f>IFERROR(VLOOKUP($U115,costs!$A$2:$I$2905,AA$2,FALSE),0)</f>
        <v>0</v>
      </c>
      <c r="AB115" s="372">
        <f>IFERROR(VLOOKUP($U115,costs!$A$2:$I$2905,AB$2,FALSE),0)</f>
        <v>0</v>
      </c>
      <c r="AC115" s="372">
        <f>IFERROR(VLOOKUP($U115,costs!$A$2:$I$2905,AC$2,FALSE),0)</f>
        <v>0</v>
      </c>
      <c r="AO115" s="40" t="s">
        <v>324</v>
      </c>
      <c r="AP115" s="372">
        <f>IFERROR(VLOOKUP($AO115,costs!$A$2:$I$2905,AP$2,FALSE),0)</f>
        <v>0</v>
      </c>
      <c r="AQ115" s="372">
        <f>IFERROR(VLOOKUP($AO115,costs!$A$2:$I$2905,AQ$2,FALSE),0)</f>
        <v>0</v>
      </c>
      <c r="AR115" s="372">
        <f>IFERROR(VLOOKUP($AO115,costs!$A$2:$I$2905,AR$2,FALSE),0)</f>
        <v>0</v>
      </c>
      <c r="AS115" s="372">
        <f>IFERROR(VLOOKUP($AO115,costs!$A$2:$I$2905,AS$2,FALSE),0)</f>
        <v>0</v>
      </c>
      <c r="AT115" s="372">
        <f>IFERROR(VLOOKUP($AO115,costs!$A$2:$I$2905,AT$2,FALSE),0)</f>
        <v>0</v>
      </c>
      <c r="AU115" s="372">
        <f>IFERROR(VLOOKUP($AO115,costs!$A$2:$I$2905,AU$2,FALSE),0)</f>
        <v>0</v>
      </c>
      <c r="AV115" s="372">
        <f>IFERROR(VLOOKUP($AO115,costs!$A$2:$I$2905,AV$2,FALSE),0)</f>
        <v>0</v>
      </c>
      <c r="AW115" s="372">
        <f>IFERROR(VLOOKUP($AO115,costs!$A$2:$I$2905,AW$2,FALSE),0)</f>
        <v>0</v>
      </c>
      <c r="AY115" s="40" t="s">
        <v>2139</v>
      </c>
      <c r="AZ115" s="372">
        <f>IFERROR(VLOOKUP($AY115,costs!$A$2:$I$2905,AZ$2,FALSE),0)</f>
        <v>0</v>
      </c>
      <c r="BA115" s="372">
        <f>IFERROR(VLOOKUP($AY115,costs!$A$2:$I$2905,BA$2,FALSE),0)</f>
        <v>0</v>
      </c>
      <c r="BB115" s="372">
        <f>IFERROR(VLOOKUP($AY115,costs!$A$2:$I$2905,BB$2,FALSE),0)</f>
        <v>0</v>
      </c>
      <c r="BC115" s="372">
        <f>IFERROR(VLOOKUP($AY115,costs!$A$2:$I$2905,BC$2,FALSE),0)</f>
        <v>0</v>
      </c>
      <c r="BD115" s="372">
        <f>IFERROR(VLOOKUP($AY115,costs!$A$2:$I$2905,BD$2,FALSE),0)</f>
        <v>0</v>
      </c>
      <c r="BE115" s="372">
        <f>IFERROR(VLOOKUP($AY115,costs!$A$2:$I$2905,BE$2,FALSE),0)</f>
        <v>0</v>
      </c>
      <c r="BF115" s="372">
        <f>IFERROR(VLOOKUP($AY115,costs!$A$2:$I$2905,BF$2,FALSE),0)</f>
        <v>0</v>
      </c>
      <c r="BG115" s="372">
        <f>IFERROR(VLOOKUP($AY115,costs!$A$2:$I$2905,BG$2,FALSE),0)</f>
        <v>0</v>
      </c>
    </row>
    <row r="116" spans="21:59" x14ac:dyDescent="0.35">
      <c r="U116" s="40" t="s">
        <v>68</v>
      </c>
      <c r="V116" s="372">
        <f>IFERROR(VLOOKUP($U116,costs!$A$2:$I$2905,V$2,FALSE),0)</f>
        <v>0</v>
      </c>
      <c r="W116" s="372">
        <f>IFERROR(VLOOKUP($U116,costs!$A$2:$I$2905,W$2,FALSE),0)</f>
        <v>0</v>
      </c>
      <c r="X116" s="372">
        <f>IFERROR(VLOOKUP($U116,costs!$A$2:$I$2905,X$2,FALSE),0)</f>
        <v>0</v>
      </c>
      <c r="Y116" s="372">
        <f>IFERROR(VLOOKUP($U116,costs!$A$2:$I$2905,Y$2,FALSE),0)</f>
        <v>0</v>
      </c>
      <c r="Z116" s="372">
        <f>IFERROR(VLOOKUP($U116,costs!$A$2:$I$2905,Z$2,FALSE),0)</f>
        <v>0</v>
      </c>
      <c r="AA116" s="372">
        <f>IFERROR(VLOOKUP($U116,costs!$A$2:$I$2905,AA$2,FALSE),0)</f>
        <v>0</v>
      </c>
      <c r="AB116" s="372">
        <f>IFERROR(VLOOKUP($U116,costs!$A$2:$I$2905,AB$2,FALSE),0)</f>
        <v>0</v>
      </c>
      <c r="AC116" s="372">
        <f>IFERROR(VLOOKUP($U116,costs!$A$2:$I$2905,AC$2,FALSE),0)</f>
        <v>0</v>
      </c>
      <c r="AO116" s="40" t="s">
        <v>2117</v>
      </c>
      <c r="AP116" s="372">
        <f>IFERROR(VLOOKUP($AO116,costs!$A$2:$I$2905,AP$2,FALSE),0)</f>
        <v>0</v>
      </c>
      <c r="AQ116" s="372">
        <f>IFERROR(VLOOKUP($AO116,costs!$A$2:$I$2905,AQ$2,FALSE),0)</f>
        <v>0</v>
      </c>
      <c r="AR116" s="372">
        <f>IFERROR(VLOOKUP($AO116,costs!$A$2:$I$2905,AR$2,FALSE),0)</f>
        <v>0</v>
      </c>
      <c r="AS116" s="372">
        <f>IFERROR(VLOOKUP($AO116,costs!$A$2:$I$2905,AS$2,FALSE),0)</f>
        <v>0</v>
      </c>
      <c r="AT116" s="372">
        <f>IFERROR(VLOOKUP($AO116,costs!$A$2:$I$2905,AT$2,FALSE),0)</f>
        <v>0</v>
      </c>
      <c r="AU116" s="372">
        <f>IFERROR(VLOOKUP($AO116,costs!$A$2:$I$2905,AU$2,FALSE),0)</f>
        <v>0</v>
      </c>
      <c r="AV116" s="372">
        <f>IFERROR(VLOOKUP($AO116,costs!$A$2:$I$2905,AV$2,FALSE),0)</f>
        <v>0</v>
      </c>
      <c r="AW116" s="372">
        <f>IFERROR(VLOOKUP($AO116,costs!$A$2:$I$2905,AW$2,FALSE),0)</f>
        <v>0</v>
      </c>
      <c r="AY116" s="949" t="s">
        <v>368</v>
      </c>
      <c r="AZ116" s="372">
        <f>IFERROR(VLOOKUP($AY116,costs!$A$2:$I$2905,AZ$2,FALSE),0)</f>
        <v>0</v>
      </c>
      <c r="BA116" s="372">
        <f>IFERROR(VLOOKUP($AY116,costs!$A$2:$I$2905,BA$2,FALSE),0)</f>
        <v>0</v>
      </c>
      <c r="BB116" s="372">
        <f>IFERROR(VLOOKUP($AY116,costs!$A$2:$I$2905,BB$2,FALSE),0)</f>
        <v>0</v>
      </c>
      <c r="BC116" s="372">
        <f>IFERROR(VLOOKUP($AY116,costs!$A$2:$I$2905,BC$2,FALSE),0)</f>
        <v>0</v>
      </c>
      <c r="BD116" s="372">
        <f>IFERROR(VLOOKUP($AY116,costs!$A$2:$I$2905,BD$2,FALSE),0)</f>
        <v>0</v>
      </c>
      <c r="BE116" s="372">
        <f>IFERROR(VLOOKUP($AY116,costs!$A$2:$I$2905,BE$2,FALSE),0)</f>
        <v>0</v>
      </c>
      <c r="BF116" s="372">
        <f>IFERROR(VLOOKUP($AY116,costs!$A$2:$I$2905,BF$2,FALSE),0)</f>
        <v>0</v>
      </c>
      <c r="BG116" s="372">
        <f>IFERROR(VLOOKUP($AY116,costs!$A$2:$I$2905,BG$2,FALSE),0)</f>
        <v>0</v>
      </c>
    </row>
    <row r="117" spans="21:59" x14ac:dyDescent="0.35">
      <c r="U117" s="949" t="s">
        <v>69</v>
      </c>
      <c r="V117" s="372">
        <f>IFERROR(VLOOKUP($U117,costs!$A$2:$I$2905,V$2,FALSE),0)</f>
        <v>0</v>
      </c>
      <c r="W117" s="372">
        <f>IFERROR(VLOOKUP($U117,costs!$A$2:$I$2905,W$2,FALSE),0)</f>
        <v>0</v>
      </c>
      <c r="X117" s="372">
        <f>IFERROR(VLOOKUP($U117,costs!$A$2:$I$2905,X$2,FALSE),0)</f>
        <v>0</v>
      </c>
      <c r="Y117" s="372">
        <f>IFERROR(VLOOKUP($U117,costs!$A$2:$I$2905,Y$2,FALSE),0)</f>
        <v>0</v>
      </c>
      <c r="Z117" s="372">
        <f>IFERROR(VLOOKUP($U117,costs!$A$2:$I$2905,Z$2,FALSE),0)</f>
        <v>0</v>
      </c>
      <c r="AA117" s="372">
        <f>IFERROR(VLOOKUP($U117,costs!$A$2:$I$2905,AA$2,FALSE),0)</f>
        <v>0</v>
      </c>
      <c r="AB117" s="372">
        <f>IFERROR(VLOOKUP($U117,costs!$A$2:$I$2905,AB$2,FALSE),0)</f>
        <v>0</v>
      </c>
      <c r="AC117" s="372">
        <f>IFERROR(VLOOKUP($U117,costs!$A$2:$I$2905,AC$2,FALSE),0)</f>
        <v>0</v>
      </c>
      <c r="AO117" s="40" t="s">
        <v>325</v>
      </c>
      <c r="AP117" s="372">
        <f>IFERROR(VLOOKUP($AO117,costs!$A$2:$I$2905,AP$2,FALSE),0)</f>
        <v>0</v>
      </c>
      <c r="AQ117" s="372">
        <f>IFERROR(VLOOKUP($AO117,costs!$A$2:$I$2905,AQ$2,FALSE),0)</f>
        <v>0</v>
      </c>
      <c r="AR117" s="372">
        <f>IFERROR(VLOOKUP($AO117,costs!$A$2:$I$2905,AR$2,FALSE),0)</f>
        <v>0</v>
      </c>
      <c r="AS117" s="372">
        <f>IFERROR(VLOOKUP($AO117,costs!$A$2:$I$2905,AS$2,FALSE),0)</f>
        <v>0</v>
      </c>
      <c r="AT117" s="372">
        <f>IFERROR(VLOOKUP($AO117,costs!$A$2:$I$2905,AT$2,FALSE),0)</f>
        <v>0</v>
      </c>
      <c r="AU117" s="372">
        <f>IFERROR(VLOOKUP($AO117,costs!$A$2:$I$2905,AU$2,FALSE),0)</f>
        <v>0</v>
      </c>
      <c r="AV117" s="372">
        <f>IFERROR(VLOOKUP($AO117,costs!$A$2:$I$2905,AV$2,FALSE),0)</f>
        <v>0</v>
      </c>
      <c r="AW117" s="372">
        <f>IFERROR(VLOOKUP($AO117,costs!$A$2:$I$2905,AW$2,FALSE),0)</f>
        <v>0</v>
      </c>
      <c r="AY117" s="40" t="s">
        <v>2140</v>
      </c>
      <c r="AZ117" s="372">
        <f>IFERROR(VLOOKUP($AY117,costs!$A$2:$I$2905,AZ$2,FALSE),0)</f>
        <v>0</v>
      </c>
      <c r="BA117" s="372">
        <f>IFERROR(VLOOKUP($AY117,costs!$A$2:$I$2905,BA$2,FALSE),0)</f>
        <v>0</v>
      </c>
      <c r="BB117" s="372">
        <f>IFERROR(VLOOKUP($AY117,costs!$A$2:$I$2905,BB$2,FALSE),0)</f>
        <v>0</v>
      </c>
      <c r="BC117" s="372">
        <f>IFERROR(VLOOKUP($AY117,costs!$A$2:$I$2905,BC$2,FALSE),0)</f>
        <v>0</v>
      </c>
      <c r="BD117" s="372">
        <f>IFERROR(VLOOKUP($AY117,costs!$A$2:$I$2905,BD$2,FALSE),0)</f>
        <v>0</v>
      </c>
      <c r="BE117" s="372">
        <f>IFERROR(VLOOKUP($AY117,costs!$A$2:$I$2905,BE$2,FALSE),0)</f>
        <v>0</v>
      </c>
      <c r="BF117" s="372">
        <f>IFERROR(VLOOKUP($AY117,costs!$A$2:$I$2905,BF$2,FALSE),0)</f>
        <v>0</v>
      </c>
      <c r="BG117" s="372">
        <f>IFERROR(VLOOKUP($AY117,costs!$A$2:$I$2905,BG$2,FALSE),0)</f>
        <v>0</v>
      </c>
    </row>
    <row r="118" spans="21:59" x14ac:dyDescent="0.35">
      <c r="U118" s="40" t="s">
        <v>2069</v>
      </c>
      <c r="V118" s="372">
        <f>IFERROR(VLOOKUP($U118,costs!$A$2:$I$2905,V$2,FALSE),0)</f>
        <v>0</v>
      </c>
      <c r="W118" s="372">
        <f>IFERROR(VLOOKUP($U118,costs!$A$2:$I$2905,W$2,FALSE),0)</f>
        <v>0</v>
      </c>
      <c r="X118" s="372">
        <f>IFERROR(VLOOKUP($U118,costs!$A$2:$I$2905,X$2,FALSE),0)</f>
        <v>0</v>
      </c>
      <c r="Y118" s="372">
        <f>IFERROR(VLOOKUP($U118,costs!$A$2:$I$2905,Y$2,FALSE),0)</f>
        <v>0</v>
      </c>
      <c r="Z118" s="372">
        <f>IFERROR(VLOOKUP($U118,costs!$A$2:$I$2905,Z$2,FALSE),0)</f>
        <v>0</v>
      </c>
      <c r="AA118" s="372">
        <f>IFERROR(VLOOKUP($U118,costs!$A$2:$I$2905,AA$2,FALSE),0)</f>
        <v>0</v>
      </c>
      <c r="AB118" s="372">
        <f>IFERROR(VLOOKUP($U118,costs!$A$2:$I$2905,AB$2,FALSE),0)</f>
        <v>0</v>
      </c>
      <c r="AC118" s="372">
        <f>IFERROR(VLOOKUP($U118,costs!$A$2:$I$2905,AC$2,FALSE),0)</f>
        <v>0</v>
      </c>
      <c r="AO118" s="40" t="s">
        <v>2118</v>
      </c>
      <c r="AP118" s="372">
        <f>IFERROR(VLOOKUP($AO118,costs!$A$2:$I$2905,AP$2,FALSE),0)</f>
        <v>0</v>
      </c>
      <c r="AQ118" s="372">
        <f>IFERROR(VLOOKUP($AO118,costs!$A$2:$I$2905,AQ$2,FALSE),0)</f>
        <v>0</v>
      </c>
      <c r="AR118" s="372">
        <f>IFERROR(VLOOKUP($AO118,costs!$A$2:$I$2905,AR$2,FALSE),0)</f>
        <v>0</v>
      </c>
      <c r="AS118" s="372">
        <f>IFERROR(VLOOKUP($AO118,costs!$A$2:$I$2905,AS$2,FALSE),0)</f>
        <v>0</v>
      </c>
      <c r="AT118" s="372">
        <f>IFERROR(VLOOKUP($AO118,costs!$A$2:$I$2905,AT$2,FALSE),0)</f>
        <v>0</v>
      </c>
      <c r="AU118" s="372">
        <f>IFERROR(VLOOKUP($AO118,costs!$A$2:$I$2905,AU$2,FALSE),0)</f>
        <v>0</v>
      </c>
      <c r="AV118" s="372">
        <f>IFERROR(VLOOKUP($AO118,costs!$A$2:$I$2905,AV$2,FALSE),0)</f>
        <v>0</v>
      </c>
      <c r="AW118" s="372">
        <f>IFERROR(VLOOKUP($AO118,costs!$A$2:$I$2905,AW$2,FALSE),0)</f>
        <v>0</v>
      </c>
      <c r="AY118" s="949" t="s">
        <v>369</v>
      </c>
      <c r="AZ118" s="372">
        <f>IFERROR(VLOOKUP($AY118,costs!$A$2:$I$2905,AZ$2,FALSE),0)</f>
        <v>0</v>
      </c>
      <c r="BA118" s="372">
        <f>IFERROR(VLOOKUP($AY118,costs!$A$2:$I$2905,BA$2,FALSE),0)</f>
        <v>0</v>
      </c>
      <c r="BB118" s="372">
        <f>IFERROR(VLOOKUP($AY118,costs!$A$2:$I$2905,BB$2,FALSE),0)</f>
        <v>0</v>
      </c>
      <c r="BC118" s="372">
        <f>IFERROR(VLOOKUP($AY118,costs!$A$2:$I$2905,BC$2,FALSE),0)</f>
        <v>0</v>
      </c>
      <c r="BD118" s="372">
        <f>IFERROR(VLOOKUP($AY118,costs!$A$2:$I$2905,BD$2,FALSE),0)</f>
        <v>0</v>
      </c>
      <c r="BE118" s="372">
        <f>IFERROR(VLOOKUP($AY118,costs!$A$2:$I$2905,BE$2,FALSE),0)</f>
        <v>0</v>
      </c>
      <c r="BF118" s="372">
        <f>IFERROR(VLOOKUP($AY118,costs!$A$2:$I$2905,BF$2,FALSE),0)</f>
        <v>0</v>
      </c>
      <c r="BG118" s="372">
        <f>IFERROR(VLOOKUP($AY118,costs!$A$2:$I$2905,BG$2,FALSE),0)</f>
        <v>0</v>
      </c>
    </row>
    <row r="119" spans="21:59" x14ac:dyDescent="0.35">
      <c r="U119" s="949" t="s">
        <v>9</v>
      </c>
      <c r="V119" s="372">
        <f>IFERROR(VLOOKUP($U119,costs!$A$2:$I$2905,V$2,FALSE),0)</f>
        <v>0</v>
      </c>
      <c r="W119" s="372">
        <f>IFERROR(VLOOKUP($U119,costs!$A$2:$I$2905,W$2,FALSE),0)</f>
        <v>0</v>
      </c>
      <c r="X119" s="372">
        <f>IFERROR(VLOOKUP($U119,costs!$A$2:$I$2905,X$2,FALSE),0)</f>
        <v>0</v>
      </c>
      <c r="Y119" s="372">
        <f>IFERROR(VLOOKUP($U119,costs!$A$2:$I$2905,Y$2,FALSE),0)</f>
        <v>0</v>
      </c>
      <c r="Z119" s="372">
        <f>IFERROR(VLOOKUP($U119,costs!$A$2:$I$2905,Z$2,FALSE),0)</f>
        <v>0</v>
      </c>
      <c r="AA119" s="372">
        <f>IFERROR(VLOOKUP($U119,costs!$A$2:$I$2905,AA$2,FALSE),0)</f>
        <v>0</v>
      </c>
      <c r="AB119" s="372">
        <f>IFERROR(VLOOKUP($U119,costs!$A$2:$I$2905,AB$2,FALSE),0)</f>
        <v>0</v>
      </c>
      <c r="AC119" s="372">
        <f>IFERROR(VLOOKUP($U119,costs!$A$2:$I$2905,AC$2,FALSE),0)</f>
        <v>0</v>
      </c>
      <c r="AO119" s="40" t="s">
        <v>326</v>
      </c>
      <c r="AP119" s="372">
        <f>IFERROR(VLOOKUP($AO119,costs!$A$2:$I$2905,AP$2,FALSE),0)</f>
        <v>0</v>
      </c>
      <c r="AQ119" s="372">
        <f>IFERROR(VLOOKUP($AO119,costs!$A$2:$I$2905,AQ$2,FALSE),0)</f>
        <v>0</v>
      </c>
      <c r="AR119" s="372">
        <f>IFERROR(VLOOKUP($AO119,costs!$A$2:$I$2905,AR$2,FALSE),0)</f>
        <v>0</v>
      </c>
      <c r="AS119" s="372">
        <f>IFERROR(VLOOKUP($AO119,costs!$A$2:$I$2905,AS$2,FALSE),0)</f>
        <v>0</v>
      </c>
      <c r="AT119" s="372">
        <f>IFERROR(VLOOKUP($AO119,costs!$A$2:$I$2905,AT$2,FALSE),0)</f>
        <v>0</v>
      </c>
      <c r="AU119" s="372">
        <f>IFERROR(VLOOKUP($AO119,costs!$A$2:$I$2905,AU$2,FALSE),0)</f>
        <v>0</v>
      </c>
      <c r="AV119" s="372">
        <f>IFERROR(VLOOKUP($AO119,costs!$A$2:$I$2905,AV$2,FALSE),0)</f>
        <v>0</v>
      </c>
      <c r="AW119" s="372">
        <f>IFERROR(VLOOKUP($AO119,costs!$A$2:$I$2905,AW$2,FALSE),0)</f>
        <v>0</v>
      </c>
      <c r="AY119" s="40" t="s">
        <v>2141</v>
      </c>
      <c r="AZ119" s="372">
        <f>IFERROR(VLOOKUP($AY119,costs!$A$2:$I$2905,AZ$2,FALSE),0)</f>
        <v>0</v>
      </c>
      <c r="BA119" s="372">
        <f>IFERROR(VLOOKUP($AY119,costs!$A$2:$I$2905,BA$2,FALSE),0)</f>
        <v>0</v>
      </c>
      <c r="BB119" s="372">
        <f>IFERROR(VLOOKUP($AY119,costs!$A$2:$I$2905,BB$2,FALSE),0)</f>
        <v>0</v>
      </c>
      <c r="BC119" s="372">
        <f>IFERROR(VLOOKUP($AY119,costs!$A$2:$I$2905,BC$2,FALSE),0)</f>
        <v>0</v>
      </c>
      <c r="BD119" s="372">
        <f>IFERROR(VLOOKUP($AY119,costs!$A$2:$I$2905,BD$2,FALSE),0)</f>
        <v>0</v>
      </c>
      <c r="BE119" s="372">
        <f>IFERROR(VLOOKUP($AY119,costs!$A$2:$I$2905,BE$2,FALSE),0)</f>
        <v>0</v>
      </c>
      <c r="BF119" s="372">
        <f>IFERROR(VLOOKUP($AY119,costs!$A$2:$I$2905,BF$2,FALSE),0)</f>
        <v>0</v>
      </c>
      <c r="BG119" s="372">
        <f>IFERROR(VLOOKUP($AY119,costs!$A$2:$I$2905,BG$2,FALSE),0)</f>
        <v>0</v>
      </c>
    </row>
    <row r="120" spans="21:59" x14ac:dyDescent="0.35">
      <c r="U120" s="40" t="s">
        <v>70</v>
      </c>
      <c r="V120" s="372">
        <f>IFERROR(VLOOKUP($U120,costs!$A$2:$I$2905,V$2,FALSE),0)</f>
        <v>0</v>
      </c>
      <c r="W120" s="372">
        <f>IFERROR(VLOOKUP($U120,costs!$A$2:$I$2905,W$2,FALSE),0)</f>
        <v>0</v>
      </c>
      <c r="X120" s="372">
        <f>IFERROR(VLOOKUP($U120,costs!$A$2:$I$2905,X$2,FALSE),0)</f>
        <v>0</v>
      </c>
      <c r="Y120" s="372">
        <f>IFERROR(VLOOKUP($U120,costs!$A$2:$I$2905,Y$2,FALSE),0)</f>
        <v>0</v>
      </c>
      <c r="Z120" s="372">
        <f>IFERROR(VLOOKUP($U120,costs!$A$2:$I$2905,Z$2,FALSE),0)</f>
        <v>0</v>
      </c>
      <c r="AA120" s="372">
        <f>IFERROR(VLOOKUP($U120,costs!$A$2:$I$2905,AA$2,FALSE),0)</f>
        <v>0</v>
      </c>
      <c r="AB120" s="372">
        <f>IFERROR(VLOOKUP($U120,costs!$A$2:$I$2905,AB$2,FALSE),0)</f>
        <v>0</v>
      </c>
      <c r="AC120" s="372">
        <f>IFERROR(VLOOKUP($U120,costs!$A$2:$I$2905,AC$2,FALSE),0)</f>
        <v>0</v>
      </c>
      <c r="AO120" s="40" t="s">
        <v>2119</v>
      </c>
      <c r="AP120" s="372">
        <f>IFERROR(VLOOKUP($AO120,costs!$A$2:$I$2905,AP$2,FALSE),0)</f>
        <v>0</v>
      </c>
      <c r="AQ120" s="372">
        <f>IFERROR(VLOOKUP($AO120,costs!$A$2:$I$2905,AQ$2,FALSE),0)</f>
        <v>0</v>
      </c>
      <c r="AR120" s="372">
        <f>IFERROR(VLOOKUP($AO120,costs!$A$2:$I$2905,AR$2,FALSE),0)</f>
        <v>0</v>
      </c>
      <c r="AS120" s="372">
        <f>IFERROR(VLOOKUP($AO120,costs!$A$2:$I$2905,AS$2,FALSE),0)</f>
        <v>0</v>
      </c>
      <c r="AT120" s="372">
        <f>IFERROR(VLOOKUP($AO120,costs!$A$2:$I$2905,AT$2,FALSE),0)</f>
        <v>0</v>
      </c>
      <c r="AU120" s="372">
        <f>IFERROR(VLOOKUP($AO120,costs!$A$2:$I$2905,AU$2,FALSE),0)</f>
        <v>0</v>
      </c>
      <c r="AV120" s="372">
        <f>IFERROR(VLOOKUP($AO120,costs!$A$2:$I$2905,AV$2,FALSE),0)</f>
        <v>0</v>
      </c>
      <c r="AW120" s="372">
        <f>IFERROR(VLOOKUP($AO120,costs!$A$2:$I$2905,AW$2,FALSE),0)</f>
        <v>0</v>
      </c>
      <c r="AY120" s="949" t="s">
        <v>370</v>
      </c>
      <c r="AZ120" s="372">
        <f>IFERROR(VLOOKUP($AY120,costs!$A$2:$I$2905,AZ$2,FALSE),0)</f>
        <v>0</v>
      </c>
      <c r="BA120" s="372">
        <f>IFERROR(VLOOKUP($AY120,costs!$A$2:$I$2905,BA$2,FALSE),0)</f>
        <v>0</v>
      </c>
      <c r="BB120" s="372">
        <f>IFERROR(VLOOKUP($AY120,costs!$A$2:$I$2905,BB$2,FALSE),0)</f>
        <v>0</v>
      </c>
      <c r="BC120" s="372">
        <f>IFERROR(VLOOKUP($AY120,costs!$A$2:$I$2905,BC$2,FALSE),0)</f>
        <v>0</v>
      </c>
      <c r="BD120" s="372">
        <f>IFERROR(VLOOKUP($AY120,costs!$A$2:$I$2905,BD$2,FALSE),0)</f>
        <v>0</v>
      </c>
      <c r="BE120" s="372">
        <f>IFERROR(VLOOKUP($AY120,costs!$A$2:$I$2905,BE$2,FALSE),0)</f>
        <v>0</v>
      </c>
      <c r="BF120" s="372">
        <f>IFERROR(VLOOKUP($AY120,costs!$A$2:$I$2905,BF$2,FALSE),0)</f>
        <v>0</v>
      </c>
      <c r="BG120" s="372">
        <f>IFERROR(VLOOKUP($AY120,costs!$A$2:$I$2905,BG$2,FALSE),0)</f>
        <v>0</v>
      </c>
    </row>
    <row r="121" spans="21:59" x14ac:dyDescent="0.35">
      <c r="U121" s="949" t="s">
        <v>71</v>
      </c>
      <c r="V121" s="372">
        <f>IFERROR(VLOOKUP($U121,costs!$A$2:$I$2905,V$2,FALSE),0)</f>
        <v>0</v>
      </c>
      <c r="W121" s="372">
        <f>IFERROR(VLOOKUP($U121,costs!$A$2:$I$2905,W$2,FALSE),0)</f>
        <v>0</v>
      </c>
      <c r="X121" s="372">
        <f>IFERROR(VLOOKUP($U121,costs!$A$2:$I$2905,X$2,FALSE),0)</f>
        <v>0</v>
      </c>
      <c r="Y121" s="372">
        <f>IFERROR(VLOOKUP($U121,costs!$A$2:$I$2905,Y$2,FALSE),0)</f>
        <v>0</v>
      </c>
      <c r="Z121" s="372">
        <f>IFERROR(VLOOKUP($U121,costs!$A$2:$I$2905,Z$2,FALSE),0)</f>
        <v>0</v>
      </c>
      <c r="AA121" s="372">
        <f>IFERROR(VLOOKUP($U121,costs!$A$2:$I$2905,AA$2,FALSE),0)</f>
        <v>0</v>
      </c>
      <c r="AB121" s="372">
        <f>IFERROR(VLOOKUP($U121,costs!$A$2:$I$2905,AB$2,FALSE),0)</f>
        <v>0</v>
      </c>
      <c r="AC121" s="372">
        <f>IFERROR(VLOOKUP($U121,costs!$A$2:$I$2905,AC$2,FALSE),0)</f>
        <v>0</v>
      </c>
      <c r="AO121" s="40" t="s">
        <v>1152</v>
      </c>
      <c r="AP121" s="372">
        <f>IFERROR(VLOOKUP($AO121,costs!$A$2:$I$2905,AP$2,FALSE),0)</f>
        <v>0</v>
      </c>
      <c r="AQ121" s="372">
        <f>IFERROR(VLOOKUP($AO121,costs!$A$2:$I$2905,AQ$2,FALSE),0)</f>
        <v>0</v>
      </c>
      <c r="AR121" s="372">
        <f>IFERROR(VLOOKUP($AO121,costs!$A$2:$I$2905,AR$2,FALSE),0)</f>
        <v>0</v>
      </c>
      <c r="AS121" s="372">
        <f>IFERROR(VLOOKUP($AO121,costs!$A$2:$I$2905,AS$2,FALSE),0)</f>
        <v>0</v>
      </c>
      <c r="AT121" s="372">
        <f>IFERROR(VLOOKUP($AO121,costs!$A$2:$I$2905,AT$2,FALSE),0)</f>
        <v>0</v>
      </c>
      <c r="AU121" s="372">
        <f>IFERROR(VLOOKUP($AO121,costs!$A$2:$I$2905,AU$2,FALSE),0)</f>
        <v>0</v>
      </c>
      <c r="AV121" s="372">
        <f>IFERROR(VLOOKUP($AO121,costs!$A$2:$I$2905,AV$2,FALSE),0)</f>
        <v>0</v>
      </c>
      <c r="AW121" s="372">
        <f>IFERROR(VLOOKUP($AO121,costs!$A$2:$I$2905,AW$2,FALSE),0)</f>
        <v>0</v>
      </c>
      <c r="AY121" s="40" t="s">
        <v>2142</v>
      </c>
      <c r="AZ121" s="372">
        <f>IFERROR(VLOOKUP($AY121,costs!$A$2:$I$2905,AZ$2,FALSE),0)</f>
        <v>0</v>
      </c>
      <c r="BA121" s="372">
        <f>IFERROR(VLOOKUP($AY121,costs!$A$2:$I$2905,BA$2,FALSE),0)</f>
        <v>0</v>
      </c>
      <c r="BB121" s="372">
        <f>IFERROR(VLOOKUP($AY121,costs!$A$2:$I$2905,BB$2,FALSE),0)</f>
        <v>0</v>
      </c>
      <c r="BC121" s="372">
        <f>IFERROR(VLOOKUP($AY121,costs!$A$2:$I$2905,BC$2,FALSE),0)</f>
        <v>0</v>
      </c>
      <c r="BD121" s="372">
        <f>IFERROR(VLOOKUP($AY121,costs!$A$2:$I$2905,BD$2,FALSE),0)</f>
        <v>0</v>
      </c>
      <c r="BE121" s="372">
        <f>IFERROR(VLOOKUP($AY121,costs!$A$2:$I$2905,BE$2,FALSE),0)</f>
        <v>0</v>
      </c>
      <c r="BF121" s="372">
        <f>IFERROR(VLOOKUP($AY121,costs!$A$2:$I$2905,BF$2,FALSE),0)</f>
        <v>0</v>
      </c>
      <c r="BG121" s="372">
        <f>IFERROR(VLOOKUP($AY121,costs!$A$2:$I$2905,BG$2,FALSE),0)</f>
        <v>0</v>
      </c>
    </row>
    <row r="122" spans="21:59" x14ac:dyDescent="0.35">
      <c r="U122" s="40" t="s">
        <v>2070</v>
      </c>
      <c r="V122" s="372">
        <f>IFERROR(VLOOKUP($U122,costs!$A$2:$I$2905,V$2,FALSE),0)</f>
        <v>0</v>
      </c>
      <c r="W122" s="372">
        <f>IFERROR(VLOOKUP($U122,costs!$A$2:$I$2905,W$2,FALSE),0)</f>
        <v>0</v>
      </c>
      <c r="X122" s="372">
        <f>IFERROR(VLOOKUP($U122,costs!$A$2:$I$2905,X$2,FALSE),0)</f>
        <v>0</v>
      </c>
      <c r="Y122" s="372">
        <f>IFERROR(VLOOKUP($U122,costs!$A$2:$I$2905,Y$2,FALSE),0)</f>
        <v>0</v>
      </c>
      <c r="Z122" s="372">
        <f>IFERROR(VLOOKUP($U122,costs!$A$2:$I$2905,Z$2,FALSE),0)</f>
        <v>0</v>
      </c>
      <c r="AA122" s="372">
        <f>IFERROR(VLOOKUP($U122,costs!$A$2:$I$2905,AA$2,FALSE),0)</f>
        <v>0</v>
      </c>
      <c r="AB122" s="372">
        <f>IFERROR(VLOOKUP($U122,costs!$A$2:$I$2905,AB$2,FALSE),0)</f>
        <v>0</v>
      </c>
      <c r="AC122" s="372">
        <f>IFERROR(VLOOKUP($U122,costs!$A$2:$I$2905,AC$2,FALSE),0)</f>
        <v>0</v>
      </c>
      <c r="AO122" s="40" t="s">
        <v>2150</v>
      </c>
      <c r="AP122" s="372">
        <f>IFERROR(VLOOKUP($AO122,costs!$A$2:$I$2905,AP$2,FALSE),0)</f>
        <v>0</v>
      </c>
      <c r="AQ122" s="372">
        <f>IFERROR(VLOOKUP($AO122,costs!$A$2:$I$2905,AQ$2,FALSE),0)</f>
        <v>0</v>
      </c>
      <c r="AR122" s="372">
        <f>IFERROR(VLOOKUP($AO122,costs!$A$2:$I$2905,AR$2,FALSE),0)</f>
        <v>0</v>
      </c>
      <c r="AS122" s="372">
        <f>IFERROR(VLOOKUP($AO122,costs!$A$2:$I$2905,AS$2,FALSE),0)</f>
        <v>0</v>
      </c>
      <c r="AT122" s="372">
        <f>IFERROR(VLOOKUP($AO122,costs!$A$2:$I$2905,AT$2,FALSE),0)</f>
        <v>0</v>
      </c>
      <c r="AU122" s="372">
        <f>IFERROR(VLOOKUP($AO122,costs!$A$2:$I$2905,AU$2,FALSE),0)</f>
        <v>0</v>
      </c>
      <c r="AV122" s="372">
        <f>IFERROR(VLOOKUP($AO122,costs!$A$2:$I$2905,AV$2,FALSE),0)</f>
        <v>0</v>
      </c>
      <c r="AW122" s="372">
        <f>IFERROR(VLOOKUP($AO122,costs!$A$2:$I$2905,AW$2,FALSE),0)</f>
        <v>0</v>
      </c>
      <c r="AY122" s="949" t="s">
        <v>371</v>
      </c>
      <c r="AZ122" s="372">
        <f>IFERROR(VLOOKUP($AY122,costs!$A$2:$I$2905,AZ$2,FALSE),0)</f>
        <v>0</v>
      </c>
      <c r="BA122" s="372">
        <f>IFERROR(VLOOKUP($AY122,costs!$A$2:$I$2905,BA$2,FALSE),0)</f>
        <v>0</v>
      </c>
      <c r="BB122" s="372">
        <f>IFERROR(VLOOKUP($AY122,costs!$A$2:$I$2905,BB$2,FALSE),0)</f>
        <v>0</v>
      </c>
      <c r="BC122" s="372">
        <f>IFERROR(VLOOKUP($AY122,costs!$A$2:$I$2905,BC$2,FALSE),0)</f>
        <v>0</v>
      </c>
      <c r="BD122" s="372">
        <f>IFERROR(VLOOKUP($AY122,costs!$A$2:$I$2905,BD$2,FALSE),0)</f>
        <v>0</v>
      </c>
      <c r="BE122" s="372">
        <f>IFERROR(VLOOKUP($AY122,costs!$A$2:$I$2905,BE$2,FALSE),0)</f>
        <v>0</v>
      </c>
      <c r="BF122" s="372">
        <f>IFERROR(VLOOKUP($AY122,costs!$A$2:$I$2905,BF$2,FALSE),0)</f>
        <v>0</v>
      </c>
      <c r="BG122" s="372">
        <f>IFERROR(VLOOKUP($AY122,costs!$A$2:$I$2905,BG$2,FALSE),0)</f>
        <v>0</v>
      </c>
    </row>
    <row r="123" spans="21:59" x14ac:dyDescent="0.35">
      <c r="U123" s="949" t="s">
        <v>10</v>
      </c>
      <c r="V123" s="372">
        <f>IFERROR(VLOOKUP($U123,costs!$A$2:$I$2905,V$2,FALSE),0)</f>
        <v>0</v>
      </c>
      <c r="W123" s="372">
        <f>IFERROR(VLOOKUP($U123,costs!$A$2:$I$2905,W$2,FALSE),0)</f>
        <v>0</v>
      </c>
      <c r="X123" s="372">
        <f>IFERROR(VLOOKUP($U123,costs!$A$2:$I$2905,X$2,FALSE),0)</f>
        <v>0</v>
      </c>
      <c r="Y123" s="372">
        <f>IFERROR(VLOOKUP($U123,costs!$A$2:$I$2905,Y$2,FALSE),0)</f>
        <v>0</v>
      </c>
      <c r="Z123" s="372">
        <f>IFERROR(VLOOKUP($U123,costs!$A$2:$I$2905,Z$2,FALSE),0)</f>
        <v>0</v>
      </c>
      <c r="AA123" s="372">
        <f>IFERROR(VLOOKUP($U123,costs!$A$2:$I$2905,AA$2,FALSE),0)</f>
        <v>0</v>
      </c>
      <c r="AB123" s="372">
        <f>IFERROR(VLOOKUP($U123,costs!$A$2:$I$2905,AB$2,FALSE),0)</f>
        <v>0</v>
      </c>
      <c r="AC123" s="372">
        <f>IFERROR(VLOOKUP($U123,costs!$A$2:$I$2905,AC$2,FALSE),0)</f>
        <v>0</v>
      </c>
      <c r="AO123" s="40" t="s">
        <v>391</v>
      </c>
      <c r="AP123" s="372">
        <f>IFERROR(VLOOKUP($AO123,costs!$A$2:$I$2905,AP$2,FALSE),0)</f>
        <v>0</v>
      </c>
      <c r="AQ123" s="372">
        <f>IFERROR(VLOOKUP($AO123,costs!$A$2:$I$2905,AQ$2,FALSE),0)</f>
        <v>0</v>
      </c>
      <c r="AR123" s="372">
        <f>IFERROR(VLOOKUP($AO123,costs!$A$2:$I$2905,AR$2,FALSE),0)</f>
        <v>0</v>
      </c>
      <c r="AS123" s="372">
        <f>IFERROR(VLOOKUP($AO123,costs!$A$2:$I$2905,AS$2,FALSE),0)</f>
        <v>0</v>
      </c>
      <c r="AT123" s="372">
        <f>IFERROR(VLOOKUP($AO123,costs!$A$2:$I$2905,AT$2,FALSE),0)</f>
        <v>0</v>
      </c>
      <c r="AU123" s="372">
        <f>IFERROR(VLOOKUP($AO123,costs!$A$2:$I$2905,AU$2,FALSE),0)</f>
        <v>0</v>
      </c>
      <c r="AV123" s="372">
        <f>IFERROR(VLOOKUP($AO123,costs!$A$2:$I$2905,AV$2,FALSE),0)</f>
        <v>0</v>
      </c>
      <c r="AW123" s="372">
        <f>IFERROR(VLOOKUP($AO123,costs!$A$2:$I$2905,AW$2,FALSE),0)</f>
        <v>0</v>
      </c>
      <c r="AY123" s="40" t="s">
        <v>2143</v>
      </c>
      <c r="AZ123" s="372">
        <f>IFERROR(VLOOKUP($AY123,costs!$A$2:$I$2905,AZ$2,FALSE),0)</f>
        <v>0</v>
      </c>
      <c r="BA123" s="372">
        <f>IFERROR(VLOOKUP($AY123,costs!$A$2:$I$2905,BA$2,FALSE),0)</f>
        <v>0</v>
      </c>
      <c r="BB123" s="372">
        <f>IFERROR(VLOOKUP($AY123,costs!$A$2:$I$2905,BB$2,FALSE),0)</f>
        <v>0</v>
      </c>
      <c r="BC123" s="372">
        <f>IFERROR(VLOOKUP($AY123,costs!$A$2:$I$2905,BC$2,FALSE),0)</f>
        <v>0</v>
      </c>
      <c r="BD123" s="372">
        <f>IFERROR(VLOOKUP($AY123,costs!$A$2:$I$2905,BD$2,FALSE),0)</f>
        <v>0</v>
      </c>
      <c r="BE123" s="372">
        <f>IFERROR(VLOOKUP($AY123,costs!$A$2:$I$2905,BE$2,FALSE),0)</f>
        <v>0</v>
      </c>
      <c r="BF123" s="372">
        <f>IFERROR(VLOOKUP($AY123,costs!$A$2:$I$2905,BF$2,FALSE),0)</f>
        <v>0</v>
      </c>
      <c r="BG123" s="372">
        <f>IFERROR(VLOOKUP($AY123,costs!$A$2:$I$2905,BG$2,FALSE),0)</f>
        <v>0</v>
      </c>
    </row>
    <row r="124" spans="21:59" x14ac:dyDescent="0.35">
      <c r="U124" s="40" t="s">
        <v>72</v>
      </c>
      <c r="V124" s="372">
        <f>IFERROR(VLOOKUP($U124,costs!$A$2:$I$2905,V$2,FALSE),0)</f>
        <v>0</v>
      </c>
      <c r="W124" s="372">
        <f>IFERROR(VLOOKUP($U124,costs!$A$2:$I$2905,W$2,FALSE),0)</f>
        <v>0</v>
      </c>
      <c r="X124" s="372">
        <f>IFERROR(VLOOKUP($U124,costs!$A$2:$I$2905,X$2,FALSE),0)</f>
        <v>0</v>
      </c>
      <c r="Y124" s="372">
        <f>IFERROR(VLOOKUP($U124,costs!$A$2:$I$2905,Y$2,FALSE),0)</f>
        <v>0</v>
      </c>
      <c r="Z124" s="372">
        <f>IFERROR(VLOOKUP($U124,costs!$A$2:$I$2905,Z$2,FALSE),0)</f>
        <v>0</v>
      </c>
      <c r="AA124" s="372">
        <f>IFERROR(VLOOKUP($U124,costs!$A$2:$I$2905,AA$2,FALSE),0)</f>
        <v>0</v>
      </c>
      <c r="AB124" s="372">
        <f>IFERROR(VLOOKUP($U124,costs!$A$2:$I$2905,AB$2,FALSE),0)</f>
        <v>0</v>
      </c>
      <c r="AC124" s="372">
        <f>IFERROR(VLOOKUP($U124,costs!$A$2:$I$2905,AC$2,FALSE),0)</f>
        <v>0</v>
      </c>
      <c r="AO124" s="40" t="s">
        <v>2151</v>
      </c>
      <c r="AP124" s="372">
        <f>IFERROR(VLOOKUP($AO124,costs!$A$2:$I$2905,AP$2,FALSE),0)</f>
        <v>0</v>
      </c>
      <c r="AQ124" s="372">
        <f>IFERROR(VLOOKUP($AO124,costs!$A$2:$I$2905,AQ$2,FALSE),0)</f>
        <v>0</v>
      </c>
      <c r="AR124" s="372">
        <f>IFERROR(VLOOKUP($AO124,costs!$A$2:$I$2905,AR$2,FALSE),0)</f>
        <v>0</v>
      </c>
      <c r="AS124" s="372">
        <f>IFERROR(VLOOKUP($AO124,costs!$A$2:$I$2905,AS$2,FALSE),0)</f>
        <v>0</v>
      </c>
      <c r="AT124" s="372">
        <f>IFERROR(VLOOKUP($AO124,costs!$A$2:$I$2905,AT$2,FALSE),0)</f>
        <v>0</v>
      </c>
      <c r="AU124" s="372">
        <f>IFERROR(VLOOKUP($AO124,costs!$A$2:$I$2905,AU$2,FALSE),0)</f>
        <v>0</v>
      </c>
      <c r="AV124" s="372">
        <f>IFERROR(VLOOKUP($AO124,costs!$A$2:$I$2905,AV$2,FALSE),0)</f>
        <v>0</v>
      </c>
      <c r="AW124" s="372">
        <f>IFERROR(VLOOKUP($AO124,costs!$A$2:$I$2905,AW$2,FALSE),0)</f>
        <v>0</v>
      </c>
      <c r="AY124" s="949" t="s">
        <v>372</v>
      </c>
      <c r="AZ124" s="372">
        <f>IFERROR(VLOOKUP($AY124,costs!$A$2:$I$2905,AZ$2,FALSE),0)</f>
        <v>0</v>
      </c>
      <c r="BA124" s="372">
        <f>IFERROR(VLOOKUP($AY124,costs!$A$2:$I$2905,BA$2,FALSE),0)</f>
        <v>0</v>
      </c>
      <c r="BB124" s="372">
        <f>IFERROR(VLOOKUP($AY124,costs!$A$2:$I$2905,BB$2,FALSE),0)</f>
        <v>0</v>
      </c>
      <c r="BC124" s="372">
        <f>IFERROR(VLOOKUP($AY124,costs!$A$2:$I$2905,BC$2,FALSE),0)</f>
        <v>0</v>
      </c>
      <c r="BD124" s="372">
        <f>IFERROR(VLOOKUP($AY124,costs!$A$2:$I$2905,BD$2,FALSE),0)</f>
        <v>0</v>
      </c>
      <c r="BE124" s="372">
        <f>IFERROR(VLOOKUP($AY124,costs!$A$2:$I$2905,BE$2,FALSE),0)</f>
        <v>0</v>
      </c>
      <c r="BF124" s="372">
        <f>IFERROR(VLOOKUP($AY124,costs!$A$2:$I$2905,BF$2,FALSE),0)</f>
        <v>0</v>
      </c>
      <c r="BG124" s="372">
        <f>IFERROR(VLOOKUP($AY124,costs!$A$2:$I$2905,BG$2,FALSE),0)</f>
        <v>0</v>
      </c>
    </row>
    <row r="125" spans="21:59" x14ac:dyDescent="0.35">
      <c r="U125" s="949" t="s">
        <v>73</v>
      </c>
      <c r="V125" s="372">
        <f>IFERROR(VLOOKUP($U125,costs!$A$2:$I$2905,V$2,FALSE),0)</f>
        <v>0</v>
      </c>
      <c r="W125" s="372">
        <f>IFERROR(VLOOKUP($U125,costs!$A$2:$I$2905,W$2,FALSE),0)</f>
        <v>0</v>
      </c>
      <c r="X125" s="372">
        <f>IFERROR(VLOOKUP($U125,costs!$A$2:$I$2905,X$2,FALSE),0)</f>
        <v>0</v>
      </c>
      <c r="Y125" s="372">
        <f>IFERROR(VLOOKUP($U125,costs!$A$2:$I$2905,Y$2,FALSE),0)</f>
        <v>0</v>
      </c>
      <c r="Z125" s="372">
        <f>IFERROR(VLOOKUP($U125,costs!$A$2:$I$2905,Z$2,FALSE),0)</f>
        <v>0</v>
      </c>
      <c r="AA125" s="372">
        <f>IFERROR(VLOOKUP($U125,costs!$A$2:$I$2905,AA$2,FALSE),0)</f>
        <v>0</v>
      </c>
      <c r="AB125" s="372">
        <f>IFERROR(VLOOKUP($U125,costs!$A$2:$I$2905,AB$2,FALSE),0)</f>
        <v>0</v>
      </c>
      <c r="AC125" s="372">
        <f>IFERROR(VLOOKUP($U125,costs!$A$2:$I$2905,AC$2,FALSE),0)</f>
        <v>0</v>
      </c>
      <c r="AO125" s="40" t="s">
        <v>392</v>
      </c>
      <c r="AP125" s="372">
        <f>IFERROR(VLOOKUP($AO125,costs!$A$2:$I$2905,AP$2,FALSE),0)</f>
        <v>0</v>
      </c>
      <c r="AQ125" s="372">
        <f>IFERROR(VLOOKUP($AO125,costs!$A$2:$I$2905,AQ$2,FALSE),0)</f>
        <v>0</v>
      </c>
      <c r="AR125" s="372">
        <f>IFERROR(VLOOKUP($AO125,costs!$A$2:$I$2905,AR$2,FALSE),0)</f>
        <v>0</v>
      </c>
      <c r="AS125" s="372">
        <f>IFERROR(VLOOKUP($AO125,costs!$A$2:$I$2905,AS$2,FALSE),0)</f>
        <v>0</v>
      </c>
      <c r="AT125" s="372">
        <f>IFERROR(VLOOKUP($AO125,costs!$A$2:$I$2905,AT$2,FALSE),0)</f>
        <v>0</v>
      </c>
      <c r="AU125" s="372">
        <f>IFERROR(VLOOKUP($AO125,costs!$A$2:$I$2905,AU$2,FALSE),0)</f>
        <v>0</v>
      </c>
      <c r="AV125" s="372">
        <f>IFERROR(VLOOKUP($AO125,costs!$A$2:$I$2905,AV$2,FALSE),0)</f>
        <v>0</v>
      </c>
      <c r="AW125" s="372">
        <f>IFERROR(VLOOKUP($AO125,costs!$A$2:$I$2905,AW$2,FALSE),0)</f>
        <v>0</v>
      </c>
      <c r="AY125" s="40" t="s">
        <v>2144</v>
      </c>
      <c r="AZ125" s="372">
        <f>IFERROR(VLOOKUP($AY125,costs!$A$2:$I$2905,AZ$2,FALSE),0)</f>
        <v>0</v>
      </c>
      <c r="BA125" s="372">
        <f>IFERROR(VLOOKUP($AY125,costs!$A$2:$I$2905,BA$2,FALSE),0)</f>
        <v>0</v>
      </c>
      <c r="BB125" s="372">
        <f>IFERROR(VLOOKUP($AY125,costs!$A$2:$I$2905,BB$2,FALSE),0)</f>
        <v>0</v>
      </c>
      <c r="BC125" s="372">
        <f>IFERROR(VLOOKUP($AY125,costs!$A$2:$I$2905,BC$2,FALSE),0)</f>
        <v>0</v>
      </c>
      <c r="BD125" s="372">
        <f>IFERROR(VLOOKUP($AY125,costs!$A$2:$I$2905,BD$2,FALSE),0)</f>
        <v>0</v>
      </c>
      <c r="BE125" s="372">
        <f>IFERROR(VLOOKUP($AY125,costs!$A$2:$I$2905,BE$2,FALSE),0)</f>
        <v>0</v>
      </c>
      <c r="BF125" s="372">
        <f>IFERROR(VLOOKUP($AY125,costs!$A$2:$I$2905,BF$2,FALSE),0)</f>
        <v>0</v>
      </c>
      <c r="BG125" s="372">
        <f>IFERROR(VLOOKUP($AY125,costs!$A$2:$I$2905,BG$2,FALSE),0)</f>
        <v>0</v>
      </c>
    </row>
    <row r="126" spans="21:59" x14ac:dyDescent="0.35">
      <c r="U126" s="40" t="s">
        <v>2071</v>
      </c>
      <c r="V126" s="372">
        <f>IFERROR(VLOOKUP($U126,costs!$A$2:$I$2905,V$2,FALSE),0)</f>
        <v>0</v>
      </c>
      <c r="W126" s="372">
        <f>IFERROR(VLOOKUP($U126,costs!$A$2:$I$2905,W$2,FALSE),0)</f>
        <v>0</v>
      </c>
      <c r="X126" s="372">
        <f>IFERROR(VLOOKUP($U126,costs!$A$2:$I$2905,X$2,FALSE),0)</f>
        <v>0</v>
      </c>
      <c r="Y126" s="372">
        <f>IFERROR(VLOOKUP($U126,costs!$A$2:$I$2905,Y$2,FALSE),0)</f>
        <v>0</v>
      </c>
      <c r="Z126" s="372">
        <f>IFERROR(VLOOKUP($U126,costs!$A$2:$I$2905,Z$2,FALSE),0)</f>
        <v>0</v>
      </c>
      <c r="AA126" s="372">
        <f>IFERROR(VLOOKUP($U126,costs!$A$2:$I$2905,AA$2,FALSE),0)</f>
        <v>0</v>
      </c>
      <c r="AB126" s="372">
        <f>IFERROR(VLOOKUP($U126,costs!$A$2:$I$2905,AB$2,FALSE),0)</f>
        <v>0</v>
      </c>
      <c r="AC126" s="372">
        <f>IFERROR(VLOOKUP($U126,costs!$A$2:$I$2905,AC$2,FALSE),0)</f>
        <v>0</v>
      </c>
      <c r="AO126" s="40" t="s">
        <v>2152</v>
      </c>
      <c r="AP126" s="372">
        <f>IFERROR(VLOOKUP($AO126,costs!$A$2:$I$2905,AP$2,FALSE),0)</f>
        <v>0</v>
      </c>
      <c r="AQ126" s="372">
        <f>IFERROR(VLOOKUP($AO126,costs!$A$2:$I$2905,AQ$2,FALSE),0)</f>
        <v>0</v>
      </c>
      <c r="AR126" s="372">
        <f>IFERROR(VLOOKUP($AO126,costs!$A$2:$I$2905,AR$2,FALSE),0)</f>
        <v>0</v>
      </c>
      <c r="AS126" s="372">
        <f>IFERROR(VLOOKUP($AO126,costs!$A$2:$I$2905,AS$2,FALSE),0)</f>
        <v>0</v>
      </c>
      <c r="AT126" s="372">
        <f>IFERROR(VLOOKUP($AO126,costs!$A$2:$I$2905,AT$2,FALSE),0)</f>
        <v>0</v>
      </c>
      <c r="AU126" s="372">
        <f>IFERROR(VLOOKUP($AO126,costs!$A$2:$I$2905,AU$2,FALSE),0)</f>
        <v>0</v>
      </c>
      <c r="AV126" s="372">
        <f>IFERROR(VLOOKUP($AO126,costs!$A$2:$I$2905,AV$2,FALSE),0)</f>
        <v>0</v>
      </c>
      <c r="AW126" s="372">
        <f>IFERROR(VLOOKUP($AO126,costs!$A$2:$I$2905,AW$2,FALSE),0)</f>
        <v>0</v>
      </c>
      <c r="AY126" s="949" t="s">
        <v>373</v>
      </c>
      <c r="AZ126" s="372">
        <f>IFERROR(VLOOKUP($AY126,costs!$A$2:$I$2905,AZ$2,FALSE),0)</f>
        <v>0</v>
      </c>
      <c r="BA126" s="372">
        <f>IFERROR(VLOOKUP($AY126,costs!$A$2:$I$2905,BA$2,FALSE),0)</f>
        <v>0</v>
      </c>
      <c r="BB126" s="372">
        <f>IFERROR(VLOOKUP($AY126,costs!$A$2:$I$2905,BB$2,FALSE),0)</f>
        <v>0</v>
      </c>
      <c r="BC126" s="372">
        <f>IFERROR(VLOOKUP($AY126,costs!$A$2:$I$2905,BC$2,FALSE),0)</f>
        <v>0</v>
      </c>
      <c r="BD126" s="372">
        <f>IFERROR(VLOOKUP($AY126,costs!$A$2:$I$2905,BD$2,FALSE),0)</f>
        <v>0</v>
      </c>
      <c r="BE126" s="372">
        <f>IFERROR(VLOOKUP($AY126,costs!$A$2:$I$2905,BE$2,FALSE),0)</f>
        <v>0</v>
      </c>
      <c r="BF126" s="372">
        <f>IFERROR(VLOOKUP($AY126,costs!$A$2:$I$2905,BF$2,FALSE),0)</f>
        <v>0</v>
      </c>
      <c r="BG126" s="372">
        <f>IFERROR(VLOOKUP($AY126,costs!$A$2:$I$2905,BG$2,FALSE),0)</f>
        <v>0</v>
      </c>
    </row>
    <row r="127" spans="21:59" x14ac:dyDescent="0.35">
      <c r="U127" s="949" t="s">
        <v>11</v>
      </c>
      <c r="V127" s="372">
        <f>IFERROR(VLOOKUP($U127,costs!$A$2:$I$2905,V$2,FALSE),0)</f>
        <v>0</v>
      </c>
      <c r="W127" s="372">
        <f>IFERROR(VLOOKUP($U127,costs!$A$2:$I$2905,W$2,FALSE),0)</f>
        <v>0</v>
      </c>
      <c r="X127" s="372">
        <f>IFERROR(VLOOKUP($U127,costs!$A$2:$I$2905,X$2,FALSE),0)</f>
        <v>0</v>
      </c>
      <c r="Y127" s="372">
        <f>IFERROR(VLOOKUP($U127,costs!$A$2:$I$2905,Y$2,FALSE),0)</f>
        <v>0</v>
      </c>
      <c r="Z127" s="372">
        <f>IFERROR(VLOOKUP($U127,costs!$A$2:$I$2905,Z$2,FALSE),0)</f>
        <v>0</v>
      </c>
      <c r="AA127" s="372">
        <f>IFERROR(VLOOKUP($U127,costs!$A$2:$I$2905,AA$2,FALSE),0)</f>
        <v>0</v>
      </c>
      <c r="AB127" s="372">
        <f>IFERROR(VLOOKUP($U127,costs!$A$2:$I$2905,AB$2,FALSE),0)</f>
        <v>0</v>
      </c>
      <c r="AC127" s="372">
        <f>IFERROR(VLOOKUP($U127,costs!$A$2:$I$2905,AC$2,FALSE),0)</f>
        <v>0</v>
      </c>
      <c r="AO127" s="40" t="s">
        <v>393</v>
      </c>
      <c r="AP127" s="372">
        <f>IFERROR(VLOOKUP($AO127,costs!$A$2:$I$2905,AP$2,FALSE),0)</f>
        <v>0</v>
      </c>
      <c r="AQ127" s="372">
        <f>IFERROR(VLOOKUP($AO127,costs!$A$2:$I$2905,AQ$2,FALSE),0)</f>
        <v>0</v>
      </c>
      <c r="AR127" s="372">
        <f>IFERROR(VLOOKUP($AO127,costs!$A$2:$I$2905,AR$2,FALSE),0)</f>
        <v>0</v>
      </c>
      <c r="AS127" s="372">
        <f>IFERROR(VLOOKUP($AO127,costs!$A$2:$I$2905,AS$2,FALSE),0)</f>
        <v>0</v>
      </c>
      <c r="AT127" s="372">
        <f>IFERROR(VLOOKUP($AO127,costs!$A$2:$I$2905,AT$2,FALSE),0)</f>
        <v>0</v>
      </c>
      <c r="AU127" s="372">
        <f>IFERROR(VLOOKUP($AO127,costs!$A$2:$I$2905,AU$2,FALSE),0)</f>
        <v>0</v>
      </c>
      <c r="AV127" s="372">
        <f>IFERROR(VLOOKUP($AO127,costs!$A$2:$I$2905,AV$2,FALSE),0)</f>
        <v>0</v>
      </c>
      <c r="AW127" s="372">
        <f>IFERROR(VLOOKUP($AO127,costs!$A$2:$I$2905,AW$2,FALSE),0)</f>
        <v>0</v>
      </c>
      <c r="AY127" s="40" t="s">
        <v>2145</v>
      </c>
      <c r="AZ127" s="372">
        <f>IFERROR(VLOOKUP($AY127,costs!$A$2:$I$2905,AZ$2,FALSE),0)</f>
        <v>0</v>
      </c>
      <c r="BA127" s="372">
        <f>IFERROR(VLOOKUP($AY127,costs!$A$2:$I$2905,BA$2,FALSE),0)</f>
        <v>0</v>
      </c>
      <c r="BB127" s="372">
        <f>IFERROR(VLOOKUP($AY127,costs!$A$2:$I$2905,BB$2,FALSE),0)</f>
        <v>0</v>
      </c>
      <c r="BC127" s="372">
        <f>IFERROR(VLOOKUP($AY127,costs!$A$2:$I$2905,BC$2,FALSE),0)</f>
        <v>0</v>
      </c>
      <c r="BD127" s="372">
        <f>IFERROR(VLOOKUP($AY127,costs!$A$2:$I$2905,BD$2,FALSE),0)</f>
        <v>0</v>
      </c>
      <c r="BE127" s="372">
        <f>IFERROR(VLOOKUP($AY127,costs!$A$2:$I$2905,BE$2,FALSE),0)</f>
        <v>0</v>
      </c>
      <c r="BF127" s="372">
        <f>IFERROR(VLOOKUP($AY127,costs!$A$2:$I$2905,BF$2,FALSE),0)</f>
        <v>0</v>
      </c>
      <c r="BG127" s="372">
        <f>IFERROR(VLOOKUP($AY127,costs!$A$2:$I$2905,BG$2,FALSE),0)</f>
        <v>0</v>
      </c>
    </row>
    <row r="128" spans="21:59" x14ac:dyDescent="0.35">
      <c r="U128" s="40" t="s">
        <v>104</v>
      </c>
      <c r="V128" s="372">
        <f>IFERROR(VLOOKUP($U128,costs!$A$2:$I$2905,V$2,FALSE),0)</f>
        <v>0</v>
      </c>
      <c r="W128" s="372">
        <f>IFERROR(VLOOKUP($U128,costs!$A$2:$I$2905,W$2,FALSE),0)</f>
        <v>0</v>
      </c>
      <c r="X128" s="372">
        <f>IFERROR(VLOOKUP($U128,costs!$A$2:$I$2905,X$2,FALSE),0)</f>
        <v>0</v>
      </c>
      <c r="Y128" s="372">
        <f>IFERROR(VLOOKUP($U128,costs!$A$2:$I$2905,Y$2,FALSE),0)</f>
        <v>0</v>
      </c>
      <c r="Z128" s="372">
        <f>IFERROR(VLOOKUP($U128,costs!$A$2:$I$2905,Z$2,FALSE),0)</f>
        <v>0</v>
      </c>
      <c r="AA128" s="372">
        <f>IFERROR(VLOOKUP($U128,costs!$A$2:$I$2905,AA$2,FALSE),0)</f>
        <v>0</v>
      </c>
      <c r="AB128" s="372">
        <f>IFERROR(VLOOKUP($U128,costs!$A$2:$I$2905,AB$2,FALSE),0)</f>
        <v>0</v>
      </c>
      <c r="AC128" s="372">
        <f>IFERROR(VLOOKUP($U128,costs!$A$2:$I$2905,AC$2,FALSE),0)</f>
        <v>0</v>
      </c>
      <c r="AO128" s="40" t="s">
        <v>2153</v>
      </c>
      <c r="AP128" s="372">
        <f>IFERROR(VLOOKUP($AO128,costs!$A$2:$I$2905,AP$2,FALSE),0)</f>
        <v>0</v>
      </c>
      <c r="AQ128" s="372">
        <f>IFERROR(VLOOKUP($AO128,costs!$A$2:$I$2905,AQ$2,FALSE),0)</f>
        <v>0</v>
      </c>
      <c r="AR128" s="372">
        <f>IFERROR(VLOOKUP($AO128,costs!$A$2:$I$2905,AR$2,FALSE),0)</f>
        <v>0</v>
      </c>
      <c r="AS128" s="372">
        <f>IFERROR(VLOOKUP($AO128,costs!$A$2:$I$2905,AS$2,FALSE),0)</f>
        <v>0</v>
      </c>
      <c r="AT128" s="372">
        <f>IFERROR(VLOOKUP($AO128,costs!$A$2:$I$2905,AT$2,FALSE),0)</f>
        <v>0</v>
      </c>
      <c r="AU128" s="372">
        <f>IFERROR(VLOOKUP($AO128,costs!$A$2:$I$2905,AU$2,FALSE),0)</f>
        <v>0</v>
      </c>
      <c r="AV128" s="372">
        <f>IFERROR(VLOOKUP($AO128,costs!$A$2:$I$2905,AV$2,FALSE),0)</f>
        <v>0</v>
      </c>
      <c r="AW128" s="372">
        <f>IFERROR(VLOOKUP($AO128,costs!$A$2:$I$2905,AW$2,FALSE),0)</f>
        <v>0</v>
      </c>
      <c r="AY128" s="949" t="s">
        <v>374</v>
      </c>
      <c r="AZ128" s="372">
        <f>IFERROR(VLOOKUP($AY128,costs!$A$2:$I$2905,AZ$2,FALSE),0)</f>
        <v>0</v>
      </c>
      <c r="BA128" s="372">
        <f>IFERROR(VLOOKUP($AY128,costs!$A$2:$I$2905,BA$2,FALSE),0)</f>
        <v>0</v>
      </c>
      <c r="BB128" s="372">
        <f>IFERROR(VLOOKUP($AY128,costs!$A$2:$I$2905,BB$2,FALSE),0)</f>
        <v>0</v>
      </c>
      <c r="BC128" s="372">
        <f>IFERROR(VLOOKUP($AY128,costs!$A$2:$I$2905,BC$2,FALSE),0)</f>
        <v>0</v>
      </c>
      <c r="BD128" s="372">
        <f>IFERROR(VLOOKUP($AY128,costs!$A$2:$I$2905,BD$2,FALSE),0)</f>
        <v>0</v>
      </c>
      <c r="BE128" s="372">
        <f>IFERROR(VLOOKUP($AY128,costs!$A$2:$I$2905,BE$2,FALSE),0)</f>
        <v>0</v>
      </c>
      <c r="BF128" s="372">
        <f>IFERROR(VLOOKUP($AY128,costs!$A$2:$I$2905,BF$2,FALSE),0)</f>
        <v>0</v>
      </c>
      <c r="BG128" s="372">
        <f>IFERROR(VLOOKUP($AY128,costs!$A$2:$I$2905,BG$2,FALSE),0)</f>
        <v>0</v>
      </c>
    </row>
    <row r="129" spans="21:59" x14ac:dyDescent="0.35">
      <c r="U129" s="949" t="s">
        <v>105</v>
      </c>
      <c r="V129" s="372">
        <f>IFERROR(VLOOKUP($U129,costs!$A$2:$I$2905,V$2,FALSE),0)</f>
        <v>0</v>
      </c>
      <c r="W129" s="372">
        <f>IFERROR(VLOOKUP($U129,costs!$A$2:$I$2905,W$2,FALSE),0)</f>
        <v>0</v>
      </c>
      <c r="X129" s="372">
        <f>IFERROR(VLOOKUP($U129,costs!$A$2:$I$2905,X$2,FALSE),0)</f>
        <v>0</v>
      </c>
      <c r="Y129" s="372">
        <f>IFERROR(VLOOKUP($U129,costs!$A$2:$I$2905,Y$2,FALSE),0)</f>
        <v>0</v>
      </c>
      <c r="Z129" s="372">
        <f>IFERROR(VLOOKUP($U129,costs!$A$2:$I$2905,Z$2,FALSE),0)</f>
        <v>0</v>
      </c>
      <c r="AA129" s="372">
        <f>IFERROR(VLOOKUP($U129,costs!$A$2:$I$2905,AA$2,FALSE),0)</f>
        <v>0</v>
      </c>
      <c r="AB129" s="372">
        <f>IFERROR(VLOOKUP($U129,costs!$A$2:$I$2905,AB$2,FALSE),0)</f>
        <v>0</v>
      </c>
      <c r="AC129" s="372">
        <f>IFERROR(VLOOKUP($U129,costs!$A$2:$I$2905,AC$2,FALSE),0)</f>
        <v>0</v>
      </c>
      <c r="AO129" s="40" t="s">
        <v>394</v>
      </c>
      <c r="AP129" s="372">
        <f>IFERROR(VLOOKUP($AO129,costs!$A$2:$I$2905,AP$2,FALSE),0)</f>
        <v>0</v>
      </c>
      <c r="AQ129" s="372">
        <f>IFERROR(VLOOKUP($AO129,costs!$A$2:$I$2905,AQ$2,FALSE),0)</f>
        <v>0</v>
      </c>
      <c r="AR129" s="372">
        <f>IFERROR(VLOOKUP($AO129,costs!$A$2:$I$2905,AR$2,FALSE),0)</f>
        <v>0</v>
      </c>
      <c r="AS129" s="372">
        <f>IFERROR(VLOOKUP($AO129,costs!$A$2:$I$2905,AS$2,FALSE),0)</f>
        <v>0</v>
      </c>
      <c r="AT129" s="372">
        <f>IFERROR(VLOOKUP($AO129,costs!$A$2:$I$2905,AT$2,FALSE),0)</f>
        <v>0</v>
      </c>
      <c r="AU129" s="372">
        <f>IFERROR(VLOOKUP($AO129,costs!$A$2:$I$2905,AU$2,FALSE),0)</f>
        <v>0</v>
      </c>
      <c r="AV129" s="372">
        <f>IFERROR(VLOOKUP($AO129,costs!$A$2:$I$2905,AV$2,FALSE),0)</f>
        <v>0</v>
      </c>
      <c r="AW129" s="372">
        <f>IFERROR(VLOOKUP($AO129,costs!$A$2:$I$2905,AW$2,FALSE),0)</f>
        <v>0</v>
      </c>
      <c r="AY129" s="40" t="s">
        <v>2146</v>
      </c>
      <c r="AZ129" s="372">
        <f>IFERROR(VLOOKUP($AY129,costs!$A$2:$I$2905,AZ$2,FALSE),0)</f>
        <v>0</v>
      </c>
      <c r="BA129" s="372">
        <f>IFERROR(VLOOKUP($AY129,costs!$A$2:$I$2905,BA$2,FALSE),0)</f>
        <v>0</v>
      </c>
      <c r="BB129" s="372">
        <f>IFERROR(VLOOKUP($AY129,costs!$A$2:$I$2905,BB$2,FALSE),0)</f>
        <v>0</v>
      </c>
      <c r="BC129" s="372">
        <f>IFERROR(VLOOKUP($AY129,costs!$A$2:$I$2905,BC$2,FALSE),0)</f>
        <v>0</v>
      </c>
      <c r="BD129" s="372">
        <f>IFERROR(VLOOKUP($AY129,costs!$A$2:$I$2905,BD$2,FALSE),0)</f>
        <v>0</v>
      </c>
      <c r="BE129" s="372">
        <f>IFERROR(VLOOKUP($AY129,costs!$A$2:$I$2905,BE$2,FALSE),0)</f>
        <v>0</v>
      </c>
      <c r="BF129" s="372">
        <f>IFERROR(VLOOKUP($AY129,costs!$A$2:$I$2905,BF$2,FALSE),0)</f>
        <v>0</v>
      </c>
      <c r="BG129" s="372">
        <f>IFERROR(VLOOKUP($AY129,costs!$A$2:$I$2905,BG$2,FALSE),0)</f>
        <v>0</v>
      </c>
    </row>
    <row r="130" spans="21:59" x14ac:dyDescent="0.35">
      <c r="U130" s="40" t="s">
        <v>102</v>
      </c>
      <c r="V130" s="372">
        <f>IFERROR(VLOOKUP($U130,costs!$A$2:$I$2905,V$2,FALSE),0)</f>
        <v>0</v>
      </c>
      <c r="W130" s="372">
        <f>IFERROR(VLOOKUP($U130,costs!$A$2:$I$2905,W$2,FALSE),0)</f>
        <v>0</v>
      </c>
      <c r="X130" s="372">
        <f>IFERROR(VLOOKUP($U130,costs!$A$2:$I$2905,X$2,FALSE),0)</f>
        <v>0</v>
      </c>
      <c r="Y130" s="372">
        <f>IFERROR(VLOOKUP($U130,costs!$A$2:$I$2905,Y$2,FALSE),0)</f>
        <v>0</v>
      </c>
      <c r="Z130" s="372">
        <f>IFERROR(VLOOKUP($U130,costs!$A$2:$I$2905,Z$2,FALSE),0)</f>
        <v>0</v>
      </c>
      <c r="AA130" s="372">
        <f>IFERROR(VLOOKUP($U130,costs!$A$2:$I$2905,AA$2,FALSE),0)</f>
        <v>0</v>
      </c>
      <c r="AB130" s="372">
        <f>IFERROR(VLOOKUP($U130,costs!$A$2:$I$2905,AB$2,FALSE),0)</f>
        <v>0</v>
      </c>
      <c r="AC130" s="372">
        <f>IFERROR(VLOOKUP($U130,costs!$A$2:$I$2905,AC$2,FALSE),0)</f>
        <v>0</v>
      </c>
      <c r="AO130" s="40" t="s">
        <v>2154</v>
      </c>
      <c r="AP130" s="372">
        <f>IFERROR(VLOOKUP($AO130,costs!$A$2:$I$2905,AP$2,FALSE),0)</f>
        <v>0</v>
      </c>
      <c r="AQ130" s="372">
        <f>IFERROR(VLOOKUP($AO130,costs!$A$2:$I$2905,AQ$2,FALSE),0)</f>
        <v>0</v>
      </c>
      <c r="AR130" s="372">
        <f>IFERROR(VLOOKUP($AO130,costs!$A$2:$I$2905,AR$2,FALSE),0)</f>
        <v>0</v>
      </c>
      <c r="AS130" s="372">
        <f>IFERROR(VLOOKUP($AO130,costs!$A$2:$I$2905,AS$2,FALSE),0)</f>
        <v>0</v>
      </c>
      <c r="AT130" s="372">
        <f>IFERROR(VLOOKUP($AO130,costs!$A$2:$I$2905,AT$2,FALSE),0)</f>
        <v>0</v>
      </c>
      <c r="AU130" s="372">
        <f>IFERROR(VLOOKUP($AO130,costs!$A$2:$I$2905,AU$2,FALSE),0)</f>
        <v>0</v>
      </c>
      <c r="AV130" s="372">
        <f>IFERROR(VLOOKUP($AO130,costs!$A$2:$I$2905,AV$2,FALSE),0)</f>
        <v>0</v>
      </c>
      <c r="AW130" s="372">
        <f>IFERROR(VLOOKUP($AO130,costs!$A$2:$I$2905,AW$2,FALSE),0)</f>
        <v>0</v>
      </c>
      <c r="AY130" s="949" t="s">
        <v>1151</v>
      </c>
      <c r="AZ130" s="372">
        <f>IFERROR(VLOOKUP($AY130,costs!$A$2:$I$2905,AZ$2,FALSE),0)</f>
        <v>0</v>
      </c>
      <c r="BA130" s="372">
        <f>IFERROR(VLOOKUP($AY130,costs!$A$2:$I$2905,BA$2,FALSE),0)</f>
        <v>0</v>
      </c>
      <c r="BB130" s="372">
        <f>IFERROR(VLOOKUP($AY130,costs!$A$2:$I$2905,BB$2,FALSE),0)</f>
        <v>0</v>
      </c>
      <c r="BC130" s="372">
        <f>IFERROR(VLOOKUP($AY130,costs!$A$2:$I$2905,BC$2,FALSE),0)</f>
        <v>0</v>
      </c>
      <c r="BD130" s="372">
        <f>IFERROR(VLOOKUP($AY130,costs!$A$2:$I$2905,BD$2,FALSE),0)</f>
        <v>0</v>
      </c>
      <c r="BE130" s="372">
        <f>IFERROR(VLOOKUP($AY130,costs!$A$2:$I$2905,BE$2,FALSE),0)</f>
        <v>0</v>
      </c>
      <c r="BF130" s="372">
        <f>IFERROR(VLOOKUP($AY130,costs!$A$2:$I$2905,BF$2,FALSE),0)</f>
        <v>0</v>
      </c>
      <c r="BG130" s="372">
        <f>IFERROR(VLOOKUP($AY130,costs!$A$2:$I$2905,BG$2,FALSE),0)</f>
        <v>0</v>
      </c>
    </row>
    <row r="131" spans="21:59" x14ac:dyDescent="0.35">
      <c r="U131" s="949" t="s">
        <v>103</v>
      </c>
      <c r="V131" s="372">
        <f>IFERROR(VLOOKUP($U131,costs!$A$2:$I$2905,V$2,FALSE),0)</f>
        <v>0</v>
      </c>
      <c r="W131" s="372">
        <f>IFERROR(VLOOKUP($U131,costs!$A$2:$I$2905,W$2,FALSE),0)</f>
        <v>0</v>
      </c>
      <c r="X131" s="372">
        <f>IFERROR(VLOOKUP($U131,costs!$A$2:$I$2905,X$2,FALSE),0)</f>
        <v>0</v>
      </c>
      <c r="Y131" s="372">
        <f>IFERROR(VLOOKUP($U131,costs!$A$2:$I$2905,Y$2,FALSE),0)</f>
        <v>0</v>
      </c>
      <c r="Z131" s="372">
        <f>IFERROR(VLOOKUP($U131,costs!$A$2:$I$2905,Z$2,FALSE),0)</f>
        <v>0</v>
      </c>
      <c r="AA131" s="372">
        <f>IFERROR(VLOOKUP($U131,costs!$A$2:$I$2905,AA$2,FALSE),0)</f>
        <v>0</v>
      </c>
      <c r="AB131" s="372">
        <f>IFERROR(VLOOKUP($U131,costs!$A$2:$I$2905,AB$2,FALSE),0)</f>
        <v>0</v>
      </c>
      <c r="AC131" s="372">
        <f>IFERROR(VLOOKUP($U131,costs!$A$2:$I$2905,AC$2,FALSE),0)</f>
        <v>0</v>
      </c>
      <c r="AO131" s="40" t="s">
        <v>395</v>
      </c>
      <c r="AP131" s="372">
        <f>IFERROR(VLOOKUP($AO131,costs!$A$2:$I$2905,AP$2,FALSE),0)</f>
        <v>0</v>
      </c>
      <c r="AQ131" s="372">
        <f>IFERROR(VLOOKUP($AO131,costs!$A$2:$I$2905,AQ$2,FALSE),0)</f>
        <v>0</v>
      </c>
      <c r="AR131" s="372">
        <f>IFERROR(VLOOKUP($AO131,costs!$A$2:$I$2905,AR$2,FALSE),0)</f>
        <v>0</v>
      </c>
      <c r="AS131" s="372">
        <f>IFERROR(VLOOKUP($AO131,costs!$A$2:$I$2905,AS$2,FALSE),0)</f>
        <v>0</v>
      </c>
      <c r="AT131" s="372">
        <f>IFERROR(VLOOKUP($AO131,costs!$A$2:$I$2905,AT$2,FALSE),0)</f>
        <v>0</v>
      </c>
      <c r="AU131" s="372">
        <f>IFERROR(VLOOKUP($AO131,costs!$A$2:$I$2905,AU$2,FALSE),0)</f>
        <v>0</v>
      </c>
      <c r="AV131" s="372">
        <f>IFERROR(VLOOKUP($AO131,costs!$A$2:$I$2905,AV$2,FALSE),0)</f>
        <v>0</v>
      </c>
      <c r="AW131" s="372">
        <f>IFERROR(VLOOKUP($AO131,costs!$A$2:$I$2905,AW$2,FALSE),0)</f>
        <v>0</v>
      </c>
      <c r="AY131" s="40" t="s">
        <v>388</v>
      </c>
      <c r="AZ131" s="372">
        <f>IFERROR(VLOOKUP($AY131,costs!$A$2:$I$2905,AZ$2,FALSE),0)</f>
        <v>0</v>
      </c>
      <c r="BA131" s="372">
        <f>IFERROR(VLOOKUP($AY131,costs!$A$2:$I$2905,BA$2,FALSE),0)</f>
        <v>0</v>
      </c>
      <c r="BB131" s="372">
        <f>IFERROR(VLOOKUP($AY131,costs!$A$2:$I$2905,BB$2,FALSE),0)</f>
        <v>0</v>
      </c>
      <c r="BC131" s="372">
        <f>IFERROR(VLOOKUP($AY131,costs!$A$2:$I$2905,BC$2,FALSE),0)</f>
        <v>0</v>
      </c>
      <c r="BD131" s="372">
        <f>IFERROR(VLOOKUP($AY131,costs!$A$2:$I$2905,BD$2,FALSE),0)</f>
        <v>0</v>
      </c>
      <c r="BE131" s="372">
        <f>IFERROR(VLOOKUP($AY131,costs!$A$2:$I$2905,BE$2,FALSE),0)</f>
        <v>0</v>
      </c>
      <c r="BF131" s="372">
        <f>IFERROR(VLOOKUP($AY131,costs!$A$2:$I$2905,BF$2,FALSE),0)</f>
        <v>0</v>
      </c>
      <c r="BG131" s="372">
        <f>IFERROR(VLOOKUP($AY131,costs!$A$2:$I$2905,BG$2,FALSE),0)</f>
        <v>0</v>
      </c>
    </row>
    <row r="132" spans="21:59" x14ac:dyDescent="0.35">
      <c r="U132" s="40" t="s">
        <v>2072</v>
      </c>
      <c r="V132" s="372">
        <f>IFERROR(VLOOKUP($U132,costs!$A$2:$I$2905,V$2,FALSE),0)</f>
        <v>0</v>
      </c>
      <c r="W132" s="372">
        <f>IFERROR(VLOOKUP($U132,costs!$A$2:$I$2905,W$2,FALSE),0)</f>
        <v>0</v>
      </c>
      <c r="X132" s="372">
        <f>IFERROR(VLOOKUP($U132,costs!$A$2:$I$2905,X$2,FALSE),0)</f>
        <v>0</v>
      </c>
      <c r="Y132" s="372">
        <f>IFERROR(VLOOKUP($U132,costs!$A$2:$I$2905,Y$2,FALSE),0)</f>
        <v>0</v>
      </c>
      <c r="Z132" s="372">
        <f>IFERROR(VLOOKUP($U132,costs!$A$2:$I$2905,Z$2,FALSE),0)</f>
        <v>0</v>
      </c>
      <c r="AA132" s="372">
        <f>IFERROR(VLOOKUP($U132,costs!$A$2:$I$2905,AA$2,FALSE),0)</f>
        <v>0</v>
      </c>
      <c r="AB132" s="372">
        <f>IFERROR(VLOOKUP($U132,costs!$A$2:$I$2905,AB$2,FALSE),0)</f>
        <v>0</v>
      </c>
      <c r="AC132" s="372">
        <f>IFERROR(VLOOKUP($U132,costs!$A$2:$I$2905,AC$2,FALSE),0)</f>
        <v>0</v>
      </c>
      <c r="AO132" s="40" t="s">
        <v>2155</v>
      </c>
      <c r="AP132" s="372">
        <f>IFERROR(VLOOKUP($AO132,costs!$A$2:$I$2905,AP$2,FALSE),0)</f>
        <v>0</v>
      </c>
      <c r="AQ132" s="372">
        <f>IFERROR(VLOOKUP($AO132,costs!$A$2:$I$2905,AQ$2,FALSE),0)</f>
        <v>0</v>
      </c>
      <c r="AR132" s="372">
        <f>IFERROR(VLOOKUP($AO132,costs!$A$2:$I$2905,AR$2,FALSE),0)</f>
        <v>0</v>
      </c>
      <c r="AS132" s="372">
        <f>IFERROR(VLOOKUP($AO132,costs!$A$2:$I$2905,AS$2,FALSE),0)</f>
        <v>0</v>
      </c>
      <c r="AT132" s="372">
        <f>IFERROR(VLOOKUP($AO132,costs!$A$2:$I$2905,AT$2,FALSE),0)</f>
        <v>0</v>
      </c>
      <c r="AU132" s="372">
        <f>IFERROR(VLOOKUP($AO132,costs!$A$2:$I$2905,AU$2,FALSE),0)</f>
        <v>0</v>
      </c>
      <c r="AV132" s="372">
        <f>IFERROR(VLOOKUP($AO132,costs!$A$2:$I$2905,AV$2,FALSE),0)</f>
        <v>0</v>
      </c>
      <c r="AW132" s="372">
        <f>IFERROR(VLOOKUP($AO132,costs!$A$2:$I$2905,AW$2,FALSE),0)</f>
        <v>0</v>
      </c>
      <c r="AY132" s="949" t="s">
        <v>389</v>
      </c>
      <c r="AZ132" s="372">
        <f>IFERROR(VLOOKUP($AY132,costs!$A$2:$I$2905,AZ$2,FALSE),0)</f>
        <v>0</v>
      </c>
      <c r="BA132" s="372">
        <f>IFERROR(VLOOKUP($AY132,costs!$A$2:$I$2905,BA$2,FALSE),0)</f>
        <v>0</v>
      </c>
      <c r="BB132" s="372">
        <f>IFERROR(VLOOKUP($AY132,costs!$A$2:$I$2905,BB$2,FALSE),0)</f>
        <v>0</v>
      </c>
      <c r="BC132" s="372">
        <f>IFERROR(VLOOKUP($AY132,costs!$A$2:$I$2905,BC$2,FALSE),0)</f>
        <v>0</v>
      </c>
      <c r="BD132" s="372">
        <f>IFERROR(VLOOKUP($AY132,costs!$A$2:$I$2905,BD$2,FALSE),0)</f>
        <v>0</v>
      </c>
      <c r="BE132" s="372">
        <f>IFERROR(VLOOKUP($AY132,costs!$A$2:$I$2905,BE$2,FALSE),0)</f>
        <v>0</v>
      </c>
      <c r="BF132" s="372">
        <f>IFERROR(VLOOKUP($AY132,costs!$A$2:$I$2905,BF$2,FALSE),0)</f>
        <v>0</v>
      </c>
      <c r="BG132" s="372">
        <f>IFERROR(VLOOKUP($AY132,costs!$A$2:$I$2905,BG$2,FALSE),0)</f>
        <v>0</v>
      </c>
    </row>
    <row r="133" spans="21:59" x14ac:dyDescent="0.35">
      <c r="U133" s="949" t="s">
        <v>84</v>
      </c>
      <c r="V133" s="372">
        <f>IFERROR(VLOOKUP($U133,costs!$A$2:$I$2905,V$2,FALSE),0)</f>
        <v>0</v>
      </c>
      <c r="W133" s="372">
        <f>IFERROR(VLOOKUP($U133,costs!$A$2:$I$2905,W$2,FALSE),0)</f>
        <v>0</v>
      </c>
      <c r="X133" s="372">
        <f>IFERROR(VLOOKUP($U133,costs!$A$2:$I$2905,X$2,FALSE),0)</f>
        <v>0</v>
      </c>
      <c r="Y133" s="372">
        <f>IFERROR(VLOOKUP($U133,costs!$A$2:$I$2905,Y$2,FALSE),0)</f>
        <v>0</v>
      </c>
      <c r="Z133" s="372">
        <f>IFERROR(VLOOKUP($U133,costs!$A$2:$I$2905,Z$2,FALSE),0)</f>
        <v>0</v>
      </c>
      <c r="AA133" s="372">
        <f>IFERROR(VLOOKUP($U133,costs!$A$2:$I$2905,AA$2,FALSE),0)</f>
        <v>0</v>
      </c>
      <c r="AB133" s="372">
        <f>IFERROR(VLOOKUP($U133,costs!$A$2:$I$2905,AB$2,FALSE),0)</f>
        <v>0</v>
      </c>
      <c r="AC133" s="372">
        <f>IFERROR(VLOOKUP($U133,costs!$A$2:$I$2905,AC$2,FALSE),0)</f>
        <v>0</v>
      </c>
      <c r="AO133" s="40" t="s">
        <v>396</v>
      </c>
      <c r="AP133" s="372">
        <f>IFERROR(VLOOKUP($AO133,costs!$A$2:$I$2905,AP$2,FALSE),0)</f>
        <v>0</v>
      </c>
      <c r="AQ133" s="372">
        <f>IFERROR(VLOOKUP($AO133,costs!$A$2:$I$2905,AQ$2,FALSE),0)</f>
        <v>0</v>
      </c>
      <c r="AR133" s="372">
        <f>IFERROR(VLOOKUP($AO133,costs!$A$2:$I$2905,AR$2,FALSE),0)</f>
        <v>0</v>
      </c>
      <c r="AS133" s="372">
        <f>IFERROR(VLOOKUP($AO133,costs!$A$2:$I$2905,AS$2,FALSE),0)</f>
        <v>0</v>
      </c>
      <c r="AT133" s="372">
        <f>IFERROR(VLOOKUP($AO133,costs!$A$2:$I$2905,AT$2,FALSE),0)</f>
        <v>0</v>
      </c>
      <c r="AU133" s="372">
        <f>IFERROR(VLOOKUP($AO133,costs!$A$2:$I$2905,AU$2,FALSE),0)</f>
        <v>0</v>
      </c>
      <c r="AV133" s="372">
        <f>IFERROR(VLOOKUP($AO133,costs!$A$2:$I$2905,AV$2,FALSE),0)</f>
        <v>0</v>
      </c>
      <c r="AW133" s="372">
        <f>IFERROR(VLOOKUP($AO133,costs!$A$2:$I$2905,AW$2,FALSE),0)</f>
        <v>0</v>
      </c>
      <c r="AY133" s="40" t="s">
        <v>390</v>
      </c>
      <c r="AZ133" s="372">
        <f>IFERROR(VLOOKUP($AY133,costs!$A$2:$I$2905,AZ$2,FALSE),0)</f>
        <v>0</v>
      </c>
      <c r="BA133" s="372">
        <f>IFERROR(VLOOKUP($AY133,costs!$A$2:$I$2905,BA$2,FALSE),0)</f>
        <v>0</v>
      </c>
      <c r="BB133" s="372">
        <f>IFERROR(VLOOKUP($AY133,costs!$A$2:$I$2905,BB$2,FALSE),0)</f>
        <v>0</v>
      </c>
      <c r="BC133" s="372">
        <f>IFERROR(VLOOKUP($AY133,costs!$A$2:$I$2905,BC$2,FALSE),0)</f>
        <v>0</v>
      </c>
      <c r="BD133" s="372">
        <f>IFERROR(VLOOKUP($AY133,costs!$A$2:$I$2905,BD$2,FALSE),0)</f>
        <v>0</v>
      </c>
      <c r="BE133" s="372">
        <f>IFERROR(VLOOKUP($AY133,costs!$A$2:$I$2905,BE$2,FALSE),0)</f>
        <v>0</v>
      </c>
      <c r="BF133" s="372">
        <f>IFERROR(VLOOKUP($AY133,costs!$A$2:$I$2905,BF$2,FALSE),0)</f>
        <v>0</v>
      </c>
      <c r="BG133" s="372">
        <f>IFERROR(VLOOKUP($AY133,costs!$A$2:$I$2905,BG$2,FALSE),0)</f>
        <v>0</v>
      </c>
    </row>
    <row r="134" spans="21:59" x14ac:dyDescent="0.35">
      <c r="U134" s="40" t="s">
        <v>85</v>
      </c>
      <c r="V134" s="372">
        <f>IFERROR(VLOOKUP($U134,costs!$A$2:$I$2905,V$2,FALSE),0)</f>
        <v>0</v>
      </c>
      <c r="W134" s="372">
        <f>IFERROR(VLOOKUP($U134,costs!$A$2:$I$2905,W$2,FALSE),0)</f>
        <v>0</v>
      </c>
      <c r="X134" s="372">
        <f>IFERROR(VLOOKUP($U134,costs!$A$2:$I$2905,X$2,FALSE),0)</f>
        <v>0</v>
      </c>
      <c r="Y134" s="372">
        <f>IFERROR(VLOOKUP($U134,costs!$A$2:$I$2905,Y$2,FALSE),0)</f>
        <v>0</v>
      </c>
      <c r="Z134" s="372">
        <f>IFERROR(VLOOKUP($U134,costs!$A$2:$I$2905,Z$2,FALSE),0)</f>
        <v>0</v>
      </c>
      <c r="AA134" s="372">
        <f>IFERROR(VLOOKUP($U134,costs!$A$2:$I$2905,AA$2,FALSE),0)</f>
        <v>0</v>
      </c>
      <c r="AB134" s="372">
        <f>IFERROR(VLOOKUP($U134,costs!$A$2:$I$2905,AB$2,FALSE),0)</f>
        <v>0</v>
      </c>
      <c r="AC134" s="372">
        <f>IFERROR(VLOOKUP($U134,costs!$A$2:$I$2905,AC$2,FALSE),0)</f>
        <v>0</v>
      </c>
      <c r="AO134" s="40" t="s">
        <v>2156</v>
      </c>
      <c r="AP134" s="372">
        <f>IFERROR(VLOOKUP($AO134,costs!$A$2:$I$2905,AP$2,FALSE),0)</f>
        <v>0</v>
      </c>
      <c r="AQ134" s="372">
        <f>IFERROR(VLOOKUP($AO134,costs!$A$2:$I$2905,AQ$2,FALSE),0)</f>
        <v>0</v>
      </c>
      <c r="AR134" s="372">
        <f>IFERROR(VLOOKUP($AO134,costs!$A$2:$I$2905,AR$2,FALSE),0)</f>
        <v>0</v>
      </c>
      <c r="AS134" s="372">
        <f>IFERROR(VLOOKUP($AO134,costs!$A$2:$I$2905,AS$2,FALSE),0)</f>
        <v>0</v>
      </c>
      <c r="AT134" s="372">
        <f>IFERROR(VLOOKUP($AO134,costs!$A$2:$I$2905,AT$2,FALSE),0)</f>
        <v>0</v>
      </c>
      <c r="AU134" s="372">
        <f>IFERROR(VLOOKUP($AO134,costs!$A$2:$I$2905,AU$2,FALSE),0)</f>
        <v>0</v>
      </c>
      <c r="AV134" s="372">
        <f>IFERROR(VLOOKUP($AO134,costs!$A$2:$I$2905,AV$2,FALSE),0)</f>
        <v>0</v>
      </c>
      <c r="AW134" s="372">
        <f>IFERROR(VLOOKUP($AO134,costs!$A$2:$I$2905,AW$2,FALSE),0)</f>
        <v>0</v>
      </c>
      <c r="AY134" s="949" t="s">
        <v>1149</v>
      </c>
      <c r="AZ134" s="372">
        <f>IFERROR(VLOOKUP($AY134,costs!$A$2:$I$2905,AZ$2,FALSE),0)</f>
        <v>0</v>
      </c>
      <c r="BA134" s="372">
        <f>IFERROR(VLOOKUP($AY134,costs!$A$2:$I$2905,BA$2,FALSE),0)</f>
        <v>0</v>
      </c>
      <c r="BB134" s="372">
        <f>IFERROR(VLOOKUP($AY134,costs!$A$2:$I$2905,BB$2,FALSE),0)</f>
        <v>0</v>
      </c>
      <c r="BC134" s="372">
        <f>IFERROR(VLOOKUP($AY134,costs!$A$2:$I$2905,BC$2,FALSE),0)</f>
        <v>0</v>
      </c>
      <c r="BD134" s="372">
        <f>IFERROR(VLOOKUP($AY134,costs!$A$2:$I$2905,BD$2,FALSE),0)</f>
        <v>0</v>
      </c>
      <c r="BE134" s="372">
        <f>IFERROR(VLOOKUP($AY134,costs!$A$2:$I$2905,BE$2,FALSE),0)</f>
        <v>0</v>
      </c>
      <c r="BF134" s="372">
        <f>IFERROR(VLOOKUP($AY134,costs!$A$2:$I$2905,BF$2,FALSE),0)</f>
        <v>0</v>
      </c>
      <c r="BG134" s="372">
        <f>IFERROR(VLOOKUP($AY134,costs!$A$2:$I$2905,BG$2,FALSE),0)</f>
        <v>0</v>
      </c>
    </row>
    <row r="135" spans="21:59" x14ac:dyDescent="0.35">
      <c r="U135" s="949" t="s">
        <v>86</v>
      </c>
      <c r="V135" s="372">
        <f>IFERROR(VLOOKUP($U135,costs!$A$2:$I$2905,V$2,FALSE),0)</f>
        <v>0</v>
      </c>
      <c r="W135" s="372">
        <f>IFERROR(VLOOKUP($U135,costs!$A$2:$I$2905,W$2,FALSE),0)</f>
        <v>0</v>
      </c>
      <c r="X135" s="372">
        <f>IFERROR(VLOOKUP($U135,costs!$A$2:$I$2905,X$2,FALSE),0)</f>
        <v>0</v>
      </c>
      <c r="Y135" s="372">
        <f>IFERROR(VLOOKUP($U135,costs!$A$2:$I$2905,Y$2,FALSE),0)</f>
        <v>0</v>
      </c>
      <c r="Z135" s="372">
        <f>IFERROR(VLOOKUP($U135,costs!$A$2:$I$2905,Z$2,FALSE),0)</f>
        <v>0</v>
      </c>
      <c r="AA135" s="372">
        <f>IFERROR(VLOOKUP($U135,costs!$A$2:$I$2905,AA$2,FALSE),0)</f>
        <v>0</v>
      </c>
      <c r="AB135" s="372">
        <f>IFERROR(VLOOKUP($U135,costs!$A$2:$I$2905,AB$2,FALSE),0)</f>
        <v>0</v>
      </c>
      <c r="AC135" s="372">
        <f>IFERROR(VLOOKUP($U135,costs!$A$2:$I$2905,AC$2,FALSE),0)</f>
        <v>0</v>
      </c>
      <c r="AO135" s="40" t="s">
        <v>397</v>
      </c>
      <c r="AP135" s="372">
        <f>IFERROR(VLOOKUP($AO135,costs!$A$2:$I$2905,AP$2,FALSE),0)</f>
        <v>0</v>
      </c>
      <c r="AQ135" s="372">
        <f>IFERROR(VLOOKUP($AO135,costs!$A$2:$I$2905,AQ$2,FALSE),0)</f>
        <v>0</v>
      </c>
      <c r="AR135" s="372">
        <f>IFERROR(VLOOKUP($AO135,costs!$A$2:$I$2905,AR$2,FALSE),0)</f>
        <v>0</v>
      </c>
      <c r="AS135" s="372">
        <f>IFERROR(VLOOKUP($AO135,costs!$A$2:$I$2905,AS$2,FALSE),0)</f>
        <v>0</v>
      </c>
      <c r="AT135" s="372">
        <f>IFERROR(VLOOKUP($AO135,costs!$A$2:$I$2905,AT$2,FALSE),0)</f>
        <v>0</v>
      </c>
      <c r="AU135" s="372">
        <f>IFERROR(VLOOKUP($AO135,costs!$A$2:$I$2905,AU$2,FALSE),0)</f>
        <v>0</v>
      </c>
      <c r="AV135" s="372">
        <f>IFERROR(VLOOKUP($AO135,costs!$A$2:$I$2905,AV$2,FALSE),0)</f>
        <v>0</v>
      </c>
      <c r="AW135" s="372">
        <f>IFERROR(VLOOKUP($AO135,costs!$A$2:$I$2905,AW$2,FALSE),0)</f>
        <v>0</v>
      </c>
      <c r="AY135" s="40" t="s">
        <v>377</v>
      </c>
      <c r="AZ135" s="372">
        <f>IFERROR(VLOOKUP($AY135,costs!$A$2:$I$2905,AZ$2,FALSE),0)</f>
        <v>0</v>
      </c>
      <c r="BA135" s="372">
        <f>IFERROR(VLOOKUP($AY135,costs!$A$2:$I$2905,BA$2,FALSE),0)</f>
        <v>0</v>
      </c>
      <c r="BB135" s="372">
        <f>IFERROR(VLOOKUP($AY135,costs!$A$2:$I$2905,BB$2,FALSE),0)</f>
        <v>0</v>
      </c>
      <c r="BC135" s="372">
        <f>IFERROR(VLOOKUP($AY135,costs!$A$2:$I$2905,BC$2,FALSE),0)</f>
        <v>0</v>
      </c>
      <c r="BD135" s="372">
        <f>IFERROR(VLOOKUP($AY135,costs!$A$2:$I$2905,BD$2,FALSE),0)</f>
        <v>0</v>
      </c>
      <c r="BE135" s="372">
        <f>IFERROR(VLOOKUP($AY135,costs!$A$2:$I$2905,BE$2,FALSE),0)</f>
        <v>0</v>
      </c>
      <c r="BF135" s="372">
        <f>IFERROR(VLOOKUP($AY135,costs!$A$2:$I$2905,BF$2,FALSE),0)</f>
        <v>0</v>
      </c>
      <c r="BG135" s="372">
        <f>IFERROR(VLOOKUP($AY135,costs!$A$2:$I$2905,BG$2,FALSE),0)</f>
        <v>0</v>
      </c>
    </row>
    <row r="136" spans="21:59" x14ac:dyDescent="0.35">
      <c r="U136" s="40" t="s">
        <v>2073</v>
      </c>
      <c r="V136" s="372">
        <f>IFERROR(VLOOKUP($U136,costs!$A$2:$I$2905,V$2,FALSE),0)</f>
        <v>0</v>
      </c>
      <c r="W136" s="372">
        <f>IFERROR(VLOOKUP($U136,costs!$A$2:$I$2905,W$2,FALSE),0)</f>
        <v>0</v>
      </c>
      <c r="X136" s="372">
        <f>IFERROR(VLOOKUP($U136,costs!$A$2:$I$2905,X$2,FALSE),0)</f>
        <v>0</v>
      </c>
      <c r="Y136" s="372">
        <f>IFERROR(VLOOKUP($U136,costs!$A$2:$I$2905,Y$2,FALSE),0)</f>
        <v>0</v>
      </c>
      <c r="Z136" s="372">
        <f>IFERROR(VLOOKUP($U136,costs!$A$2:$I$2905,Z$2,FALSE),0)</f>
        <v>0</v>
      </c>
      <c r="AA136" s="372">
        <f>IFERROR(VLOOKUP($U136,costs!$A$2:$I$2905,AA$2,FALSE),0)</f>
        <v>0</v>
      </c>
      <c r="AB136" s="372">
        <f>IFERROR(VLOOKUP($U136,costs!$A$2:$I$2905,AB$2,FALSE),0)</f>
        <v>0</v>
      </c>
      <c r="AC136" s="372">
        <f>IFERROR(VLOOKUP($U136,costs!$A$2:$I$2905,AC$2,FALSE),0)</f>
        <v>0</v>
      </c>
      <c r="AO136" s="40" t="s">
        <v>2157</v>
      </c>
      <c r="AP136" s="372">
        <f>IFERROR(VLOOKUP($AO136,costs!$A$2:$I$2905,AP$2,FALSE),0)</f>
        <v>0</v>
      </c>
      <c r="AQ136" s="372">
        <f>IFERROR(VLOOKUP($AO136,costs!$A$2:$I$2905,AQ$2,FALSE),0)</f>
        <v>0</v>
      </c>
      <c r="AR136" s="372">
        <f>IFERROR(VLOOKUP($AO136,costs!$A$2:$I$2905,AR$2,FALSE),0)</f>
        <v>0</v>
      </c>
      <c r="AS136" s="372">
        <f>IFERROR(VLOOKUP($AO136,costs!$A$2:$I$2905,AS$2,FALSE),0)</f>
        <v>0</v>
      </c>
      <c r="AT136" s="372">
        <f>IFERROR(VLOOKUP($AO136,costs!$A$2:$I$2905,AT$2,FALSE),0)</f>
        <v>0</v>
      </c>
      <c r="AU136" s="372">
        <f>IFERROR(VLOOKUP($AO136,costs!$A$2:$I$2905,AU$2,FALSE),0)</f>
        <v>0</v>
      </c>
      <c r="AV136" s="372">
        <f>IFERROR(VLOOKUP($AO136,costs!$A$2:$I$2905,AV$2,FALSE),0)</f>
        <v>0</v>
      </c>
      <c r="AW136" s="372">
        <f>IFERROR(VLOOKUP($AO136,costs!$A$2:$I$2905,AW$2,FALSE),0)</f>
        <v>0</v>
      </c>
      <c r="AY136" s="949" t="s">
        <v>378</v>
      </c>
      <c r="AZ136" s="372">
        <f>IFERROR(VLOOKUP($AY136,costs!$A$2:$I$2905,AZ$2,FALSE),0)</f>
        <v>0</v>
      </c>
      <c r="BA136" s="372">
        <f>IFERROR(VLOOKUP($AY136,costs!$A$2:$I$2905,BA$2,FALSE),0)</f>
        <v>0</v>
      </c>
      <c r="BB136" s="372">
        <f>IFERROR(VLOOKUP($AY136,costs!$A$2:$I$2905,BB$2,FALSE),0)</f>
        <v>0</v>
      </c>
      <c r="BC136" s="372">
        <f>IFERROR(VLOOKUP($AY136,costs!$A$2:$I$2905,BC$2,FALSE),0)</f>
        <v>0</v>
      </c>
      <c r="BD136" s="372">
        <f>IFERROR(VLOOKUP($AY136,costs!$A$2:$I$2905,BD$2,FALSE),0)</f>
        <v>0</v>
      </c>
      <c r="BE136" s="372">
        <f>IFERROR(VLOOKUP($AY136,costs!$A$2:$I$2905,BE$2,FALSE),0)</f>
        <v>0</v>
      </c>
      <c r="BF136" s="372">
        <f>IFERROR(VLOOKUP($AY136,costs!$A$2:$I$2905,BF$2,FALSE),0)</f>
        <v>0</v>
      </c>
      <c r="BG136" s="372">
        <f>IFERROR(VLOOKUP($AY136,costs!$A$2:$I$2905,BG$2,FALSE),0)</f>
        <v>0</v>
      </c>
    </row>
    <row r="137" spans="21:59" x14ac:dyDescent="0.35">
      <c r="U137" s="949" t="s">
        <v>87</v>
      </c>
      <c r="V137" s="372">
        <f>IFERROR(VLOOKUP($U137,costs!$A$2:$I$2905,V$2,FALSE),0)</f>
        <v>0</v>
      </c>
      <c r="W137" s="372">
        <f>IFERROR(VLOOKUP($U137,costs!$A$2:$I$2905,W$2,FALSE),0)</f>
        <v>0</v>
      </c>
      <c r="X137" s="372">
        <f>IFERROR(VLOOKUP($U137,costs!$A$2:$I$2905,X$2,FALSE),0)</f>
        <v>0</v>
      </c>
      <c r="Y137" s="372">
        <f>IFERROR(VLOOKUP($U137,costs!$A$2:$I$2905,Y$2,FALSE),0)</f>
        <v>0</v>
      </c>
      <c r="Z137" s="372">
        <f>IFERROR(VLOOKUP($U137,costs!$A$2:$I$2905,Z$2,FALSE),0)</f>
        <v>0</v>
      </c>
      <c r="AA137" s="372">
        <f>IFERROR(VLOOKUP($U137,costs!$A$2:$I$2905,AA$2,FALSE),0)</f>
        <v>0</v>
      </c>
      <c r="AB137" s="372">
        <f>IFERROR(VLOOKUP($U137,costs!$A$2:$I$2905,AB$2,FALSE),0)</f>
        <v>0</v>
      </c>
      <c r="AC137" s="372">
        <f>IFERROR(VLOOKUP($U137,costs!$A$2:$I$2905,AC$2,FALSE),0)</f>
        <v>0</v>
      </c>
      <c r="AO137" s="40" t="s">
        <v>1150</v>
      </c>
      <c r="AP137" s="372">
        <f>IFERROR(VLOOKUP($AO137,costs!$A$2:$I$2905,AP$2,FALSE),0)</f>
        <v>0</v>
      </c>
      <c r="AQ137" s="372">
        <f>IFERROR(VLOOKUP($AO137,costs!$A$2:$I$2905,AQ$2,FALSE),0)</f>
        <v>0</v>
      </c>
      <c r="AR137" s="372">
        <f>IFERROR(VLOOKUP($AO137,costs!$A$2:$I$2905,AR$2,FALSE),0)</f>
        <v>0</v>
      </c>
      <c r="AS137" s="372">
        <f>IFERROR(VLOOKUP($AO137,costs!$A$2:$I$2905,AS$2,FALSE),0)</f>
        <v>0</v>
      </c>
      <c r="AT137" s="372">
        <f>IFERROR(VLOOKUP($AO137,costs!$A$2:$I$2905,AT$2,FALSE),0)</f>
        <v>0</v>
      </c>
      <c r="AU137" s="372">
        <f>IFERROR(VLOOKUP($AO137,costs!$A$2:$I$2905,AU$2,FALSE),0)</f>
        <v>0</v>
      </c>
      <c r="AV137" s="372">
        <f>IFERROR(VLOOKUP($AO137,costs!$A$2:$I$2905,AV$2,FALSE),0)</f>
        <v>0</v>
      </c>
      <c r="AW137" s="372">
        <f>IFERROR(VLOOKUP($AO137,costs!$A$2:$I$2905,AW$2,FALSE),0)</f>
        <v>0</v>
      </c>
      <c r="AY137" s="40" t="s">
        <v>1148</v>
      </c>
      <c r="AZ137" s="372">
        <f>IFERROR(VLOOKUP($AY137,costs!$A$2:$I$2905,AZ$2,FALSE),0)</f>
        <v>0</v>
      </c>
      <c r="BA137" s="372">
        <f>IFERROR(VLOOKUP($AY137,costs!$A$2:$I$2905,BA$2,FALSE),0)</f>
        <v>0</v>
      </c>
      <c r="BB137" s="372">
        <f>IFERROR(VLOOKUP($AY137,costs!$A$2:$I$2905,BB$2,FALSE),0)</f>
        <v>0</v>
      </c>
      <c r="BC137" s="372">
        <f>IFERROR(VLOOKUP($AY137,costs!$A$2:$I$2905,BC$2,FALSE),0)</f>
        <v>0</v>
      </c>
      <c r="BD137" s="372">
        <f>IFERROR(VLOOKUP($AY137,costs!$A$2:$I$2905,BD$2,FALSE),0)</f>
        <v>0</v>
      </c>
      <c r="BE137" s="372">
        <f>IFERROR(VLOOKUP($AY137,costs!$A$2:$I$2905,BE$2,FALSE),0)</f>
        <v>0</v>
      </c>
      <c r="BF137" s="372">
        <f>IFERROR(VLOOKUP($AY137,costs!$A$2:$I$2905,BF$2,FALSE),0)</f>
        <v>0</v>
      </c>
      <c r="BG137" s="372">
        <f>IFERROR(VLOOKUP($AY137,costs!$A$2:$I$2905,BG$2,FALSE),0)</f>
        <v>0</v>
      </c>
    </row>
    <row r="138" spans="21:59" x14ac:dyDescent="0.35">
      <c r="U138" s="40" t="s">
        <v>88</v>
      </c>
      <c r="V138" s="372">
        <f>IFERROR(VLOOKUP($U138,costs!$A$2:$I$2905,V$2,FALSE),0)</f>
        <v>0</v>
      </c>
      <c r="W138" s="372">
        <f>IFERROR(VLOOKUP($U138,costs!$A$2:$I$2905,W$2,FALSE),0)</f>
        <v>0</v>
      </c>
      <c r="X138" s="372">
        <f>IFERROR(VLOOKUP($U138,costs!$A$2:$I$2905,X$2,FALSE),0)</f>
        <v>0</v>
      </c>
      <c r="Y138" s="372">
        <f>IFERROR(VLOOKUP($U138,costs!$A$2:$I$2905,Y$2,FALSE),0)</f>
        <v>0</v>
      </c>
      <c r="Z138" s="372">
        <f>IFERROR(VLOOKUP($U138,costs!$A$2:$I$2905,Z$2,FALSE),0)</f>
        <v>0</v>
      </c>
      <c r="AA138" s="372">
        <f>IFERROR(VLOOKUP($U138,costs!$A$2:$I$2905,AA$2,FALSE),0)</f>
        <v>0</v>
      </c>
      <c r="AB138" s="372">
        <f>IFERROR(VLOOKUP($U138,costs!$A$2:$I$2905,AB$2,FALSE),0)</f>
        <v>0</v>
      </c>
      <c r="AC138" s="372">
        <f>IFERROR(VLOOKUP($U138,costs!$A$2:$I$2905,AC$2,FALSE),0)</f>
        <v>0</v>
      </c>
      <c r="AO138" s="40" t="s">
        <v>2158</v>
      </c>
      <c r="AP138" s="372">
        <f>IFERROR(VLOOKUP($AO138,costs!$A$2:$I$2905,AP$2,FALSE),0)</f>
        <v>0</v>
      </c>
      <c r="AQ138" s="372">
        <f>IFERROR(VLOOKUP($AO138,costs!$A$2:$I$2905,AQ$2,FALSE),0)</f>
        <v>0</v>
      </c>
      <c r="AR138" s="372">
        <f>IFERROR(VLOOKUP($AO138,costs!$A$2:$I$2905,AR$2,FALSE),0)</f>
        <v>0</v>
      </c>
      <c r="AS138" s="372">
        <f>IFERROR(VLOOKUP($AO138,costs!$A$2:$I$2905,AS$2,FALSE),0)</f>
        <v>0</v>
      </c>
      <c r="AT138" s="372">
        <f>IFERROR(VLOOKUP($AO138,costs!$A$2:$I$2905,AT$2,FALSE),0)</f>
        <v>0</v>
      </c>
      <c r="AU138" s="372">
        <f>IFERROR(VLOOKUP($AO138,costs!$A$2:$I$2905,AU$2,FALSE),0)</f>
        <v>0</v>
      </c>
      <c r="AV138" s="372">
        <f>IFERROR(VLOOKUP($AO138,costs!$A$2:$I$2905,AV$2,FALSE),0)</f>
        <v>0</v>
      </c>
      <c r="AW138" s="372">
        <f>IFERROR(VLOOKUP($AO138,costs!$A$2:$I$2905,AW$2,FALSE),0)</f>
        <v>0</v>
      </c>
      <c r="AY138" s="949" t="s">
        <v>365</v>
      </c>
      <c r="AZ138" s="372">
        <f>IFERROR(VLOOKUP($AY138,costs!$A$2:$I$2905,AZ$2,FALSE),0)</f>
        <v>0</v>
      </c>
      <c r="BA138" s="372">
        <f>IFERROR(VLOOKUP($AY138,costs!$A$2:$I$2905,BA$2,FALSE),0)</f>
        <v>0</v>
      </c>
      <c r="BB138" s="372">
        <f>IFERROR(VLOOKUP($AY138,costs!$A$2:$I$2905,BB$2,FALSE),0)</f>
        <v>0</v>
      </c>
      <c r="BC138" s="372">
        <f>IFERROR(VLOOKUP($AY138,costs!$A$2:$I$2905,BC$2,FALSE),0)</f>
        <v>0</v>
      </c>
      <c r="BD138" s="372">
        <f>IFERROR(VLOOKUP($AY138,costs!$A$2:$I$2905,BD$2,FALSE),0)</f>
        <v>0</v>
      </c>
      <c r="BE138" s="372">
        <f>IFERROR(VLOOKUP($AY138,costs!$A$2:$I$2905,BE$2,FALSE),0)</f>
        <v>0</v>
      </c>
      <c r="BF138" s="372">
        <f>IFERROR(VLOOKUP($AY138,costs!$A$2:$I$2905,BF$2,FALSE),0)</f>
        <v>0</v>
      </c>
      <c r="BG138" s="372">
        <f>IFERROR(VLOOKUP($AY138,costs!$A$2:$I$2905,BG$2,FALSE),0)</f>
        <v>0</v>
      </c>
    </row>
    <row r="139" spans="21:59" x14ac:dyDescent="0.35">
      <c r="U139" s="949" t="s">
        <v>89</v>
      </c>
      <c r="V139" s="372">
        <f>IFERROR(VLOOKUP($U139,costs!$A$2:$I$2905,V$2,FALSE),0)</f>
        <v>0</v>
      </c>
      <c r="W139" s="372">
        <f>IFERROR(VLOOKUP($U139,costs!$A$2:$I$2905,W$2,FALSE),0)</f>
        <v>0</v>
      </c>
      <c r="X139" s="372">
        <f>IFERROR(VLOOKUP($U139,costs!$A$2:$I$2905,X$2,FALSE),0)</f>
        <v>0</v>
      </c>
      <c r="Y139" s="372">
        <f>IFERROR(VLOOKUP($U139,costs!$A$2:$I$2905,Y$2,FALSE),0)</f>
        <v>0</v>
      </c>
      <c r="Z139" s="372">
        <f>IFERROR(VLOOKUP($U139,costs!$A$2:$I$2905,Z$2,FALSE),0)</f>
        <v>0</v>
      </c>
      <c r="AA139" s="372">
        <f>IFERROR(VLOOKUP($U139,costs!$A$2:$I$2905,AA$2,FALSE),0)</f>
        <v>0</v>
      </c>
      <c r="AB139" s="372">
        <f>IFERROR(VLOOKUP($U139,costs!$A$2:$I$2905,AB$2,FALSE),0)</f>
        <v>0</v>
      </c>
      <c r="AC139" s="372">
        <f>IFERROR(VLOOKUP($U139,costs!$A$2:$I$2905,AC$2,FALSE),0)</f>
        <v>0</v>
      </c>
      <c r="AO139" s="40" t="s">
        <v>379</v>
      </c>
      <c r="AP139" s="372">
        <f>IFERROR(VLOOKUP($AO139,costs!$A$2:$I$2905,AP$2,FALSE),0)</f>
        <v>0</v>
      </c>
      <c r="AQ139" s="372">
        <f>IFERROR(VLOOKUP($AO139,costs!$A$2:$I$2905,AQ$2,FALSE),0)</f>
        <v>0</v>
      </c>
      <c r="AR139" s="372">
        <f>IFERROR(VLOOKUP($AO139,costs!$A$2:$I$2905,AR$2,FALSE),0)</f>
        <v>0</v>
      </c>
      <c r="AS139" s="372">
        <f>IFERROR(VLOOKUP($AO139,costs!$A$2:$I$2905,AS$2,FALSE),0)</f>
        <v>0</v>
      </c>
      <c r="AT139" s="372">
        <f>IFERROR(VLOOKUP($AO139,costs!$A$2:$I$2905,AT$2,FALSE),0)</f>
        <v>0</v>
      </c>
      <c r="AU139" s="372">
        <f>IFERROR(VLOOKUP($AO139,costs!$A$2:$I$2905,AU$2,FALSE),0)</f>
        <v>0</v>
      </c>
      <c r="AV139" s="372">
        <f>IFERROR(VLOOKUP($AO139,costs!$A$2:$I$2905,AV$2,FALSE),0)</f>
        <v>0</v>
      </c>
      <c r="AW139" s="372">
        <f>IFERROR(VLOOKUP($AO139,costs!$A$2:$I$2905,AW$2,FALSE),0)</f>
        <v>0</v>
      </c>
      <c r="AY139" s="40" t="s">
        <v>366</v>
      </c>
      <c r="AZ139" s="372">
        <f>IFERROR(VLOOKUP($AY139,costs!$A$2:$I$2905,AZ$2,FALSE),0)</f>
        <v>0</v>
      </c>
      <c r="BA139" s="372">
        <f>IFERROR(VLOOKUP($AY139,costs!$A$2:$I$2905,BA$2,FALSE),0)</f>
        <v>0</v>
      </c>
      <c r="BB139" s="372">
        <f>IFERROR(VLOOKUP($AY139,costs!$A$2:$I$2905,BB$2,FALSE),0)</f>
        <v>0</v>
      </c>
      <c r="BC139" s="372">
        <f>IFERROR(VLOOKUP($AY139,costs!$A$2:$I$2905,BC$2,FALSE),0)</f>
        <v>0</v>
      </c>
      <c r="BD139" s="372">
        <f>IFERROR(VLOOKUP($AY139,costs!$A$2:$I$2905,BD$2,FALSE),0)</f>
        <v>0</v>
      </c>
      <c r="BE139" s="372">
        <f>IFERROR(VLOOKUP($AY139,costs!$A$2:$I$2905,BE$2,FALSE),0)</f>
        <v>0</v>
      </c>
      <c r="BF139" s="372">
        <f>IFERROR(VLOOKUP($AY139,costs!$A$2:$I$2905,BF$2,FALSE),0)</f>
        <v>0</v>
      </c>
      <c r="BG139" s="372">
        <f>IFERROR(VLOOKUP($AY139,costs!$A$2:$I$2905,BG$2,FALSE),0)</f>
        <v>0</v>
      </c>
    </row>
    <row r="140" spans="21:59" x14ac:dyDescent="0.35">
      <c r="U140" s="40" t="s">
        <v>82</v>
      </c>
      <c r="V140" s="372">
        <f>IFERROR(VLOOKUP($U140,costs!$A$2:$I$2905,V$2,FALSE),0)</f>
        <v>0</v>
      </c>
      <c r="W140" s="372">
        <f>IFERROR(VLOOKUP($U140,costs!$A$2:$I$2905,W$2,FALSE),0)</f>
        <v>0</v>
      </c>
      <c r="X140" s="372">
        <f>IFERROR(VLOOKUP($U140,costs!$A$2:$I$2905,X$2,FALSE),0)</f>
        <v>0</v>
      </c>
      <c r="Y140" s="372">
        <f>IFERROR(VLOOKUP($U140,costs!$A$2:$I$2905,Y$2,FALSE),0)</f>
        <v>0</v>
      </c>
      <c r="Z140" s="372">
        <f>IFERROR(VLOOKUP($U140,costs!$A$2:$I$2905,Z$2,FALSE),0)</f>
        <v>0</v>
      </c>
      <c r="AA140" s="372">
        <f>IFERROR(VLOOKUP($U140,costs!$A$2:$I$2905,AA$2,FALSE),0)</f>
        <v>0</v>
      </c>
      <c r="AB140" s="372">
        <f>IFERROR(VLOOKUP($U140,costs!$A$2:$I$2905,AB$2,FALSE),0)</f>
        <v>0</v>
      </c>
      <c r="AC140" s="372">
        <f>IFERROR(VLOOKUP($U140,costs!$A$2:$I$2905,AC$2,FALSE),0)</f>
        <v>0</v>
      </c>
      <c r="AO140" s="40" t="s">
        <v>2159</v>
      </c>
      <c r="AP140" s="372">
        <f>IFERROR(VLOOKUP($AO140,costs!$A$2:$I$2905,AP$2,FALSE),0)</f>
        <v>0</v>
      </c>
      <c r="AQ140" s="372">
        <f>IFERROR(VLOOKUP($AO140,costs!$A$2:$I$2905,AQ$2,FALSE),0)</f>
        <v>0</v>
      </c>
      <c r="AR140" s="372">
        <f>IFERROR(VLOOKUP($AO140,costs!$A$2:$I$2905,AR$2,FALSE),0)</f>
        <v>0</v>
      </c>
      <c r="AS140" s="372">
        <f>IFERROR(VLOOKUP($AO140,costs!$A$2:$I$2905,AS$2,FALSE),0)</f>
        <v>0</v>
      </c>
      <c r="AT140" s="372">
        <f>IFERROR(VLOOKUP($AO140,costs!$A$2:$I$2905,AT$2,FALSE),0)</f>
        <v>0</v>
      </c>
      <c r="AU140" s="372">
        <f>IFERROR(VLOOKUP($AO140,costs!$A$2:$I$2905,AU$2,FALSE),0)</f>
        <v>0</v>
      </c>
      <c r="AV140" s="372">
        <f>IFERROR(VLOOKUP($AO140,costs!$A$2:$I$2905,AV$2,FALSE),0)</f>
        <v>0</v>
      </c>
      <c r="AW140" s="372">
        <f>IFERROR(VLOOKUP($AO140,costs!$A$2:$I$2905,AW$2,FALSE),0)</f>
        <v>0</v>
      </c>
      <c r="AY140" s="949" t="s">
        <v>367</v>
      </c>
      <c r="AZ140" s="372">
        <f>IFERROR(VLOOKUP($AY140,costs!$A$2:$I$2905,AZ$2,FALSE),0)</f>
        <v>0</v>
      </c>
      <c r="BA140" s="372">
        <f>IFERROR(VLOOKUP($AY140,costs!$A$2:$I$2905,BA$2,FALSE),0)</f>
        <v>0</v>
      </c>
      <c r="BB140" s="372">
        <f>IFERROR(VLOOKUP($AY140,costs!$A$2:$I$2905,BB$2,FALSE),0)</f>
        <v>0</v>
      </c>
      <c r="BC140" s="372">
        <f>IFERROR(VLOOKUP($AY140,costs!$A$2:$I$2905,BC$2,FALSE),0)</f>
        <v>0</v>
      </c>
      <c r="BD140" s="372">
        <f>IFERROR(VLOOKUP($AY140,costs!$A$2:$I$2905,BD$2,FALSE),0)</f>
        <v>0</v>
      </c>
      <c r="BE140" s="372">
        <f>IFERROR(VLOOKUP($AY140,costs!$A$2:$I$2905,BE$2,FALSE),0)</f>
        <v>0</v>
      </c>
      <c r="BF140" s="372">
        <f>IFERROR(VLOOKUP($AY140,costs!$A$2:$I$2905,BF$2,FALSE),0)</f>
        <v>0</v>
      </c>
      <c r="BG140" s="372">
        <f>IFERROR(VLOOKUP($AY140,costs!$A$2:$I$2905,BG$2,FALSE),0)</f>
        <v>0</v>
      </c>
    </row>
    <row r="141" spans="21:59" x14ac:dyDescent="0.35">
      <c r="U141" s="949" t="s">
        <v>83</v>
      </c>
      <c r="V141" s="372">
        <f>IFERROR(VLOOKUP($U141,costs!$A$2:$I$2905,V$2,FALSE),0)</f>
        <v>0</v>
      </c>
      <c r="W141" s="372">
        <f>IFERROR(VLOOKUP($U141,costs!$A$2:$I$2905,W$2,FALSE),0)</f>
        <v>0</v>
      </c>
      <c r="X141" s="372">
        <f>IFERROR(VLOOKUP($U141,costs!$A$2:$I$2905,X$2,FALSE),0)</f>
        <v>0</v>
      </c>
      <c r="Y141" s="372">
        <f>IFERROR(VLOOKUP($U141,costs!$A$2:$I$2905,Y$2,FALSE),0)</f>
        <v>0</v>
      </c>
      <c r="Z141" s="372">
        <f>IFERROR(VLOOKUP($U141,costs!$A$2:$I$2905,Z$2,FALSE),0)</f>
        <v>0</v>
      </c>
      <c r="AA141" s="372">
        <f>IFERROR(VLOOKUP($U141,costs!$A$2:$I$2905,AA$2,FALSE),0)</f>
        <v>0</v>
      </c>
      <c r="AB141" s="372">
        <f>IFERROR(VLOOKUP($U141,costs!$A$2:$I$2905,AB$2,FALSE),0)</f>
        <v>0</v>
      </c>
      <c r="AC141" s="372">
        <f>IFERROR(VLOOKUP($U141,costs!$A$2:$I$2905,AC$2,FALSE),0)</f>
        <v>0</v>
      </c>
      <c r="AO141" s="40" t="s">
        <v>380</v>
      </c>
      <c r="AP141" s="372">
        <f>IFERROR(VLOOKUP($AO141,costs!$A$2:$I$2905,AP$2,FALSE),0)</f>
        <v>0</v>
      </c>
      <c r="AQ141" s="372">
        <f>IFERROR(VLOOKUP($AO141,costs!$A$2:$I$2905,AQ$2,FALSE),0)</f>
        <v>0</v>
      </c>
      <c r="AR141" s="372">
        <f>IFERROR(VLOOKUP($AO141,costs!$A$2:$I$2905,AR$2,FALSE),0)</f>
        <v>0</v>
      </c>
      <c r="AS141" s="372">
        <f>IFERROR(VLOOKUP($AO141,costs!$A$2:$I$2905,AS$2,FALSE),0)</f>
        <v>0</v>
      </c>
      <c r="AT141" s="372">
        <f>IFERROR(VLOOKUP($AO141,costs!$A$2:$I$2905,AT$2,FALSE),0)</f>
        <v>0</v>
      </c>
      <c r="AU141" s="372">
        <f>IFERROR(VLOOKUP($AO141,costs!$A$2:$I$2905,AU$2,FALSE),0)</f>
        <v>0</v>
      </c>
      <c r="AV141" s="372">
        <f>IFERROR(VLOOKUP($AO141,costs!$A$2:$I$2905,AV$2,FALSE),0)</f>
        <v>0</v>
      </c>
      <c r="AW141" s="372">
        <f>IFERROR(VLOOKUP($AO141,costs!$A$2:$I$2905,AW$2,FALSE),0)</f>
        <v>0</v>
      </c>
      <c r="AY141" s="40" t="s">
        <v>492</v>
      </c>
      <c r="AZ141" s="372">
        <f>IFERROR(VLOOKUP($AY141,costs!$A$2:$I$2905,AZ$2,FALSE),0)</f>
        <v>0</v>
      </c>
      <c r="BA141" s="372">
        <f>IFERROR(VLOOKUP($AY141,costs!$A$2:$I$2905,BA$2,FALSE),0)</f>
        <v>0</v>
      </c>
      <c r="BB141" s="372">
        <f>IFERROR(VLOOKUP($AY141,costs!$A$2:$I$2905,BB$2,FALSE),0)</f>
        <v>0</v>
      </c>
      <c r="BC141" s="372">
        <f>IFERROR(VLOOKUP($AY141,costs!$A$2:$I$2905,BC$2,FALSE),0)</f>
        <v>0</v>
      </c>
      <c r="BD141" s="372">
        <f>IFERROR(VLOOKUP($AY141,costs!$A$2:$I$2905,BD$2,FALSE),0)</f>
        <v>0</v>
      </c>
      <c r="BE141" s="372">
        <f>IFERROR(VLOOKUP($AY141,costs!$A$2:$I$2905,BE$2,FALSE),0)</f>
        <v>0</v>
      </c>
      <c r="BF141" s="372">
        <f>IFERROR(VLOOKUP($AY141,costs!$A$2:$I$2905,BF$2,FALSE),0)</f>
        <v>0</v>
      </c>
      <c r="BG141" s="372">
        <f>IFERROR(VLOOKUP($AY141,costs!$A$2:$I$2905,BG$2,FALSE),0)</f>
        <v>0</v>
      </c>
    </row>
    <row r="142" spans="21:59" x14ac:dyDescent="0.35">
      <c r="U142" s="40" t="s">
        <v>2074</v>
      </c>
      <c r="V142" s="372">
        <f>IFERROR(VLOOKUP($U142,costs!$A$2:$I$2905,V$2,FALSE),0)</f>
        <v>0</v>
      </c>
      <c r="W142" s="372">
        <f>IFERROR(VLOOKUP($U142,costs!$A$2:$I$2905,W$2,FALSE),0)</f>
        <v>0</v>
      </c>
      <c r="X142" s="372">
        <f>IFERROR(VLOOKUP($U142,costs!$A$2:$I$2905,X$2,FALSE),0)</f>
        <v>0</v>
      </c>
      <c r="Y142" s="372">
        <f>IFERROR(VLOOKUP($U142,costs!$A$2:$I$2905,Y$2,FALSE),0)</f>
        <v>0</v>
      </c>
      <c r="Z142" s="372">
        <f>IFERROR(VLOOKUP($U142,costs!$A$2:$I$2905,Z$2,FALSE),0)</f>
        <v>0</v>
      </c>
      <c r="AA142" s="372">
        <f>IFERROR(VLOOKUP($U142,costs!$A$2:$I$2905,AA$2,FALSE),0)</f>
        <v>0</v>
      </c>
      <c r="AB142" s="372">
        <f>IFERROR(VLOOKUP($U142,costs!$A$2:$I$2905,AB$2,FALSE),0)</f>
        <v>0</v>
      </c>
      <c r="AC142" s="372">
        <f>IFERROR(VLOOKUP($U142,costs!$A$2:$I$2905,AC$2,FALSE),0)</f>
        <v>0</v>
      </c>
      <c r="AO142" s="40" t="s">
        <v>2160</v>
      </c>
      <c r="AP142" s="372">
        <f>IFERROR(VLOOKUP($AO142,costs!$A$2:$I$2905,AP$2,FALSE),0)</f>
        <v>0</v>
      </c>
      <c r="AQ142" s="372">
        <f>IFERROR(VLOOKUP($AO142,costs!$A$2:$I$2905,AQ$2,FALSE),0)</f>
        <v>0</v>
      </c>
      <c r="AR142" s="372">
        <f>IFERROR(VLOOKUP($AO142,costs!$A$2:$I$2905,AR$2,FALSE),0)</f>
        <v>0</v>
      </c>
      <c r="AS142" s="372">
        <f>IFERROR(VLOOKUP($AO142,costs!$A$2:$I$2905,AS$2,FALSE),0)</f>
        <v>0</v>
      </c>
      <c r="AT142" s="372">
        <f>IFERROR(VLOOKUP($AO142,costs!$A$2:$I$2905,AT$2,FALSE),0)</f>
        <v>0</v>
      </c>
      <c r="AU142" s="372">
        <f>IFERROR(VLOOKUP($AO142,costs!$A$2:$I$2905,AU$2,FALSE),0)</f>
        <v>0</v>
      </c>
      <c r="AV142" s="372">
        <f>IFERROR(VLOOKUP($AO142,costs!$A$2:$I$2905,AV$2,FALSE),0)</f>
        <v>0</v>
      </c>
      <c r="AW142" s="372">
        <f>IFERROR(VLOOKUP($AO142,costs!$A$2:$I$2905,AW$2,FALSE),0)</f>
        <v>0</v>
      </c>
      <c r="AY142" s="949" t="s">
        <v>493</v>
      </c>
      <c r="AZ142" s="372">
        <f>IFERROR(VLOOKUP($AY142,costs!$A$2:$I$2905,AZ$2,FALSE),0)</f>
        <v>0</v>
      </c>
      <c r="BA142" s="372">
        <f>IFERROR(VLOOKUP($AY142,costs!$A$2:$I$2905,BA$2,FALSE),0)</f>
        <v>0</v>
      </c>
      <c r="BB142" s="372">
        <f>IFERROR(VLOOKUP($AY142,costs!$A$2:$I$2905,BB$2,FALSE),0)</f>
        <v>0</v>
      </c>
      <c r="BC142" s="372">
        <f>IFERROR(VLOOKUP($AY142,costs!$A$2:$I$2905,BC$2,FALSE),0)</f>
        <v>0</v>
      </c>
      <c r="BD142" s="372">
        <f>IFERROR(VLOOKUP($AY142,costs!$A$2:$I$2905,BD$2,FALSE),0)</f>
        <v>0</v>
      </c>
      <c r="BE142" s="372">
        <f>IFERROR(VLOOKUP($AY142,costs!$A$2:$I$2905,BE$2,FALSE),0)</f>
        <v>0</v>
      </c>
      <c r="BF142" s="372">
        <f>IFERROR(VLOOKUP($AY142,costs!$A$2:$I$2905,BF$2,FALSE),0)</f>
        <v>0</v>
      </c>
      <c r="BG142" s="372">
        <f>IFERROR(VLOOKUP($AY142,costs!$A$2:$I$2905,BG$2,FALSE),0)</f>
        <v>0</v>
      </c>
    </row>
    <row r="143" spans="21:59" x14ac:dyDescent="0.35">
      <c r="U143" s="949" t="s">
        <v>92</v>
      </c>
      <c r="V143" s="372">
        <f>IFERROR(VLOOKUP($U143,costs!$A$2:$I$2905,V$2,FALSE),0)</f>
        <v>0</v>
      </c>
      <c r="W143" s="372">
        <f>IFERROR(VLOOKUP($U143,costs!$A$2:$I$2905,W$2,FALSE),0)</f>
        <v>0</v>
      </c>
      <c r="X143" s="372">
        <f>IFERROR(VLOOKUP($U143,costs!$A$2:$I$2905,X$2,FALSE),0)</f>
        <v>0</v>
      </c>
      <c r="Y143" s="372">
        <f>IFERROR(VLOOKUP($U143,costs!$A$2:$I$2905,Y$2,FALSE),0)</f>
        <v>0</v>
      </c>
      <c r="Z143" s="372">
        <f>IFERROR(VLOOKUP($U143,costs!$A$2:$I$2905,Z$2,FALSE),0)</f>
        <v>0</v>
      </c>
      <c r="AA143" s="372">
        <f>IFERROR(VLOOKUP($U143,costs!$A$2:$I$2905,AA$2,FALSE),0)</f>
        <v>0</v>
      </c>
      <c r="AB143" s="372">
        <f>IFERROR(VLOOKUP($U143,costs!$A$2:$I$2905,AB$2,FALSE),0)</f>
        <v>0</v>
      </c>
      <c r="AC143" s="372">
        <f>IFERROR(VLOOKUP($U143,costs!$A$2:$I$2905,AC$2,FALSE),0)</f>
        <v>0</v>
      </c>
      <c r="AO143" s="40" t="s">
        <v>1156</v>
      </c>
      <c r="AP143" s="372">
        <f>IFERROR(VLOOKUP($AO143,costs!$A$2:$I$2905,AP$2,FALSE),0)</f>
        <v>0</v>
      </c>
      <c r="AQ143" s="372">
        <f>IFERROR(VLOOKUP($AO143,costs!$A$2:$I$2905,AQ$2,FALSE),0)</f>
        <v>0</v>
      </c>
      <c r="AR143" s="372">
        <f>IFERROR(VLOOKUP($AO143,costs!$A$2:$I$2905,AR$2,FALSE),0)</f>
        <v>0</v>
      </c>
      <c r="AS143" s="372">
        <f>IFERROR(VLOOKUP($AO143,costs!$A$2:$I$2905,AS$2,FALSE),0)</f>
        <v>0</v>
      </c>
      <c r="AT143" s="372">
        <f>IFERROR(VLOOKUP($AO143,costs!$A$2:$I$2905,AT$2,FALSE),0)</f>
        <v>0</v>
      </c>
      <c r="AU143" s="372">
        <f>IFERROR(VLOOKUP($AO143,costs!$A$2:$I$2905,AU$2,FALSE),0)</f>
        <v>0</v>
      </c>
      <c r="AV143" s="372">
        <f>IFERROR(VLOOKUP($AO143,costs!$A$2:$I$2905,AV$2,FALSE),0)</f>
        <v>0</v>
      </c>
      <c r="AW143" s="372">
        <f>IFERROR(VLOOKUP($AO143,costs!$A$2:$I$2905,AW$2,FALSE),0)</f>
        <v>0</v>
      </c>
      <c r="AY143" s="40" t="s">
        <v>233</v>
      </c>
      <c r="AZ143" s="372">
        <f>IFERROR(VLOOKUP($AY143,costs!$A$2:$I$2905,AZ$2,FALSE),0)</f>
        <v>0</v>
      </c>
      <c r="BA143" s="372">
        <f>IFERROR(VLOOKUP($AY143,costs!$A$2:$I$2905,BA$2,FALSE),0)</f>
        <v>0</v>
      </c>
      <c r="BB143" s="372">
        <f>IFERROR(VLOOKUP($AY143,costs!$A$2:$I$2905,BB$2,FALSE),0)</f>
        <v>0</v>
      </c>
      <c r="BC143" s="372">
        <f>IFERROR(VLOOKUP($AY143,costs!$A$2:$I$2905,BC$2,FALSE),0)</f>
        <v>0</v>
      </c>
      <c r="BD143" s="372">
        <f>IFERROR(VLOOKUP($AY143,costs!$A$2:$I$2905,BD$2,FALSE),0)</f>
        <v>0</v>
      </c>
      <c r="BE143" s="372">
        <f>IFERROR(VLOOKUP($AY143,costs!$A$2:$I$2905,BE$2,FALSE),0)</f>
        <v>0</v>
      </c>
      <c r="BF143" s="372">
        <f>IFERROR(VLOOKUP($AY143,costs!$A$2:$I$2905,BF$2,FALSE),0)</f>
        <v>0</v>
      </c>
      <c r="BG143" s="372">
        <f>IFERROR(VLOOKUP($AY143,costs!$A$2:$I$2905,BG$2,FALSE),0)</f>
        <v>0</v>
      </c>
    </row>
    <row r="144" spans="21:59" ht="15" thickBot="1" x14ac:dyDescent="0.4">
      <c r="U144" s="40" t="s">
        <v>93</v>
      </c>
      <c r="V144" s="372">
        <f>IFERROR(VLOOKUP($U144,costs!$A$2:$I$2905,V$2,FALSE),0)</f>
        <v>0</v>
      </c>
      <c r="W144" s="372">
        <f>IFERROR(VLOOKUP($U144,costs!$A$2:$I$2905,W$2,FALSE),0)</f>
        <v>0</v>
      </c>
      <c r="X144" s="372">
        <f>IFERROR(VLOOKUP($U144,costs!$A$2:$I$2905,X$2,FALSE),0)</f>
        <v>0</v>
      </c>
      <c r="Y144" s="372">
        <f>IFERROR(VLOOKUP($U144,costs!$A$2:$I$2905,Y$2,FALSE),0)</f>
        <v>0</v>
      </c>
      <c r="Z144" s="372">
        <f>IFERROR(VLOOKUP($U144,costs!$A$2:$I$2905,Z$2,FALSE),0)</f>
        <v>0</v>
      </c>
      <c r="AA144" s="372">
        <f>IFERROR(VLOOKUP($U144,costs!$A$2:$I$2905,AA$2,FALSE),0)</f>
        <v>0</v>
      </c>
      <c r="AB144" s="372">
        <f>IFERROR(VLOOKUP($U144,costs!$A$2:$I$2905,AB$2,FALSE),0)</f>
        <v>0</v>
      </c>
      <c r="AC144" s="372">
        <f>IFERROR(VLOOKUP($U144,costs!$A$2:$I$2905,AC$2,FALSE),0)</f>
        <v>0</v>
      </c>
      <c r="AO144" s="40" t="s">
        <v>2161</v>
      </c>
      <c r="AP144" s="372">
        <f>IFERROR(VLOOKUP($AO144,costs!$A$2:$I$2905,AP$2,FALSE),0)</f>
        <v>0</v>
      </c>
      <c r="AQ144" s="372">
        <f>IFERROR(VLOOKUP($AO144,costs!$A$2:$I$2905,AQ$2,FALSE),0)</f>
        <v>0</v>
      </c>
      <c r="AR144" s="372">
        <f>IFERROR(VLOOKUP($AO144,costs!$A$2:$I$2905,AR$2,FALSE),0)</f>
        <v>0</v>
      </c>
      <c r="AS144" s="372">
        <f>IFERROR(VLOOKUP($AO144,costs!$A$2:$I$2905,AS$2,FALSE),0)</f>
        <v>0</v>
      </c>
      <c r="AT144" s="372">
        <f>IFERROR(VLOOKUP($AO144,costs!$A$2:$I$2905,AT$2,FALSE),0)</f>
        <v>0</v>
      </c>
      <c r="AU144" s="372">
        <f>IFERROR(VLOOKUP($AO144,costs!$A$2:$I$2905,AU$2,FALSE),0)</f>
        <v>0</v>
      </c>
      <c r="AV144" s="372">
        <f>IFERROR(VLOOKUP($AO144,costs!$A$2:$I$2905,AV$2,FALSE),0)</f>
        <v>0</v>
      </c>
      <c r="AW144" s="372">
        <f>IFERROR(VLOOKUP($AO144,costs!$A$2:$I$2905,AW$2,FALSE),0)</f>
        <v>0</v>
      </c>
      <c r="AY144" s="279" t="s">
        <v>2031</v>
      </c>
      <c r="AZ144" s="103">
        <f t="shared" ref="AZ144:BG144" si="25">SUM(AZ4:AZ143)</f>
        <v>0</v>
      </c>
      <c r="BA144" s="103">
        <f t="shared" si="25"/>
        <v>0</v>
      </c>
      <c r="BB144" s="103">
        <f t="shared" si="25"/>
        <v>0</v>
      </c>
      <c r="BC144" s="103">
        <f t="shared" si="25"/>
        <v>0</v>
      </c>
      <c r="BD144" s="103">
        <f t="shared" si="25"/>
        <v>0</v>
      </c>
      <c r="BE144" s="103">
        <f t="shared" si="25"/>
        <v>0</v>
      </c>
      <c r="BF144" s="103">
        <f t="shared" si="25"/>
        <v>0</v>
      </c>
      <c r="BG144" s="103">
        <f t="shared" si="25"/>
        <v>0</v>
      </c>
    </row>
    <row r="145" spans="1:49" x14ac:dyDescent="0.35">
      <c r="U145" s="949" t="s">
        <v>94</v>
      </c>
      <c r="V145" s="372">
        <f>IFERROR(VLOOKUP($U145,costs!$A$2:$I$2905,V$2,FALSE),0)</f>
        <v>0</v>
      </c>
      <c r="W145" s="372">
        <f>IFERROR(VLOOKUP($U145,costs!$A$2:$I$2905,W$2,FALSE),0)</f>
        <v>0</v>
      </c>
      <c r="X145" s="372">
        <f>IFERROR(VLOOKUP($U145,costs!$A$2:$I$2905,X$2,FALSE),0)</f>
        <v>0</v>
      </c>
      <c r="Y145" s="372">
        <f>IFERROR(VLOOKUP($U145,costs!$A$2:$I$2905,Y$2,FALSE),0)</f>
        <v>0</v>
      </c>
      <c r="Z145" s="372">
        <f>IFERROR(VLOOKUP($U145,costs!$A$2:$I$2905,Z$2,FALSE),0)</f>
        <v>0</v>
      </c>
      <c r="AA145" s="372">
        <f>IFERROR(VLOOKUP($U145,costs!$A$2:$I$2905,AA$2,FALSE),0)</f>
        <v>0</v>
      </c>
      <c r="AB145" s="372">
        <f>IFERROR(VLOOKUP($U145,costs!$A$2:$I$2905,AB$2,FALSE),0)</f>
        <v>0</v>
      </c>
      <c r="AC145" s="372">
        <f>IFERROR(VLOOKUP($U145,costs!$A$2:$I$2905,AC$2,FALSE),0)</f>
        <v>0</v>
      </c>
      <c r="AO145" s="40" t="s">
        <v>451</v>
      </c>
      <c r="AP145" s="372">
        <f>IFERROR(VLOOKUP($AO145,costs!$A$2:$I$2905,AP$2,FALSE),0)</f>
        <v>0</v>
      </c>
      <c r="AQ145" s="372">
        <f>IFERROR(VLOOKUP($AO145,costs!$A$2:$I$2905,AQ$2,FALSE),0)</f>
        <v>0</v>
      </c>
      <c r="AR145" s="372">
        <f>IFERROR(VLOOKUP($AO145,costs!$A$2:$I$2905,AR$2,FALSE),0)</f>
        <v>0</v>
      </c>
      <c r="AS145" s="372">
        <f>IFERROR(VLOOKUP($AO145,costs!$A$2:$I$2905,AS$2,FALSE),0)</f>
        <v>0</v>
      </c>
      <c r="AT145" s="372">
        <f>IFERROR(VLOOKUP($AO145,costs!$A$2:$I$2905,AT$2,FALSE),0)</f>
        <v>0</v>
      </c>
      <c r="AU145" s="372">
        <f>IFERROR(VLOOKUP($AO145,costs!$A$2:$I$2905,AU$2,FALSE),0)</f>
        <v>0</v>
      </c>
      <c r="AV145" s="372">
        <f>IFERROR(VLOOKUP($AO145,costs!$A$2:$I$2905,AV$2,FALSE),0)</f>
        <v>0</v>
      </c>
      <c r="AW145" s="372">
        <f>IFERROR(VLOOKUP($AO145,costs!$A$2:$I$2905,AW$2,FALSE),0)</f>
        <v>0</v>
      </c>
    </row>
    <row r="146" spans="1:49" x14ac:dyDescent="0.35">
      <c r="U146" s="40" t="s">
        <v>2075</v>
      </c>
      <c r="V146" s="372">
        <f>IFERROR(VLOOKUP($U146,costs!$A$2:$I$2905,V$2,FALSE),0)</f>
        <v>0</v>
      </c>
      <c r="W146" s="372">
        <f>IFERROR(VLOOKUP($U146,costs!$A$2:$I$2905,W$2,FALSE),0)</f>
        <v>0</v>
      </c>
      <c r="X146" s="372">
        <f>IFERROR(VLOOKUP($U146,costs!$A$2:$I$2905,X$2,FALSE),0)</f>
        <v>0</v>
      </c>
      <c r="Y146" s="372">
        <f>IFERROR(VLOOKUP($U146,costs!$A$2:$I$2905,Y$2,FALSE),0)</f>
        <v>0</v>
      </c>
      <c r="Z146" s="372">
        <f>IFERROR(VLOOKUP($U146,costs!$A$2:$I$2905,Z$2,FALSE),0)</f>
        <v>0</v>
      </c>
      <c r="AA146" s="372">
        <f>IFERROR(VLOOKUP($U146,costs!$A$2:$I$2905,AA$2,FALSE),0)</f>
        <v>0</v>
      </c>
      <c r="AB146" s="372">
        <f>IFERROR(VLOOKUP($U146,costs!$A$2:$I$2905,AB$2,FALSE),0)</f>
        <v>0</v>
      </c>
      <c r="AC146" s="372">
        <f>IFERROR(VLOOKUP($U146,costs!$A$2:$I$2905,AC$2,FALSE),0)</f>
        <v>0</v>
      </c>
      <c r="AO146" s="40" t="s">
        <v>2162</v>
      </c>
      <c r="AP146" s="372">
        <f>IFERROR(VLOOKUP($AO146,costs!$A$2:$I$2905,AP$2,FALSE),0)</f>
        <v>0</v>
      </c>
      <c r="AQ146" s="372">
        <f>IFERROR(VLOOKUP($AO146,costs!$A$2:$I$2905,AQ$2,FALSE),0)</f>
        <v>0</v>
      </c>
      <c r="AR146" s="372">
        <f>IFERROR(VLOOKUP($AO146,costs!$A$2:$I$2905,AR$2,FALSE),0)</f>
        <v>0</v>
      </c>
      <c r="AS146" s="372">
        <f>IFERROR(VLOOKUP($AO146,costs!$A$2:$I$2905,AS$2,FALSE),0)</f>
        <v>0</v>
      </c>
      <c r="AT146" s="372">
        <f>IFERROR(VLOOKUP($AO146,costs!$A$2:$I$2905,AT$2,FALSE),0)</f>
        <v>0</v>
      </c>
      <c r="AU146" s="372">
        <f>IFERROR(VLOOKUP($AO146,costs!$A$2:$I$2905,AU$2,FALSE),0)</f>
        <v>0</v>
      </c>
      <c r="AV146" s="372">
        <f>IFERROR(VLOOKUP($AO146,costs!$A$2:$I$2905,AV$2,FALSE),0)</f>
        <v>0</v>
      </c>
      <c r="AW146" s="372">
        <f>IFERROR(VLOOKUP($AO146,costs!$A$2:$I$2905,AW$2,FALSE),0)</f>
        <v>0</v>
      </c>
    </row>
    <row r="147" spans="1:49" x14ac:dyDescent="0.35">
      <c r="U147" s="949" t="s">
        <v>95</v>
      </c>
      <c r="V147" s="372">
        <f>IFERROR(VLOOKUP($U147,costs!$A$2:$I$2905,V$2,FALSE),0)</f>
        <v>0</v>
      </c>
      <c r="W147" s="372">
        <f>IFERROR(VLOOKUP($U147,costs!$A$2:$I$2905,W$2,FALSE),0)</f>
        <v>0</v>
      </c>
      <c r="X147" s="372">
        <f>IFERROR(VLOOKUP($U147,costs!$A$2:$I$2905,X$2,FALSE),0)</f>
        <v>0</v>
      </c>
      <c r="Y147" s="372">
        <f>IFERROR(VLOOKUP($U147,costs!$A$2:$I$2905,Y$2,FALSE),0)</f>
        <v>0</v>
      </c>
      <c r="Z147" s="372">
        <f>IFERROR(VLOOKUP($U147,costs!$A$2:$I$2905,Z$2,FALSE),0)</f>
        <v>0</v>
      </c>
      <c r="AA147" s="372">
        <f>IFERROR(VLOOKUP($U147,costs!$A$2:$I$2905,AA$2,FALSE),0)</f>
        <v>0</v>
      </c>
      <c r="AB147" s="372">
        <f>IFERROR(VLOOKUP($U147,costs!$A$2:$I$2905,AB$2,FALSE),0)</f>
        <v>0</v>
      </c>
      <c r="AC147" s="372">
        <f>IFERROR(VLOOKUP($U147,costs!$A$2:$I$2905,AC$2,FALSE),0)</f>
        <v>0</v>
      </c>
      <c r="AO147" s="40" t="s">
        <v>452</v>
      </c>
      <c r="AP147" s="372">
        <f>IFERROR(VLOOKUP($AO147,costs!$A$2:$I$2905,AP$2,FALSE),0)</f>
        <v>0</v>
      </c>
      <c r="AQ147" s="372">
        <f>IFERROR(VLOOKUP($AO147,costs!$A$2:$I$2905,AQ$2,FALSE),0)</f>
        <v>0</v>
      </c>
      <c r="AR147" s="372">
        <f>IFERROR(VLOOKUP($AO147,costs!$A$2:$I$2905,AR$2,FALSE),0)</f>
        <v>0</v>
      </c>
      <c r="AS147" s="372">
        <f>IFERROR(VLOOKUP($AO147,costs!$A$2:$I$2905,AS$2,FALSE),0)</f>
        <v>0</v>
      </c>
      <c r="AT147" s="372">
        <f>IFERROR(VLOOKUP($AO147,costs!$A$2:$I$2905,AT$2,FALSE),0)</f>
        <v>0</v>
      </c>
      <c r="AU147" s="372">
        <f>IFERROR(VLOOKUP($AO147,costs!$A$2:$I$2905,AU$2,FALSE),0)</f>
        <v>0</v>
      </c>
      <c r="AV147" s="372">
        <f>IFERROR(VLOOKUP($AO147,costs!$A$2:$I$2905,AV$2,FALSE),0)</f>
        <v>0</v>
      </c>
      <c r="AW147" s="372">
        <f>IFERROR(VLOOKUP($AO147,costs!$A$2:$I$2905,AW$2,FALSE),0)</f>
        <v>0</v>
      </c>
    </row>
    <row r="148" spans="1:49" x14ac:dyDescent="0.35">
      <c r="U148" s="40" t="s">
        <v>96</v>
      </c>
      <c r="V148" s="372">
        <f>IFERROR(VLOOKUP($U148,costs!$A$2:$I$2905,V$2,FALSE),0)</f>
        <v>0</v>
      </c>
      <c r="W148" s="372">
        <f>IFERROR(VLOOKUP($U148,costs!$A$2:$I$2905,W$2,FALSE),0)</f>
        <v>0</v>
      </c>
      <c r="X148" s="372">
        <f>IFERROR(VLOOKUP($U148,costs!$A$2:$I$2905,X$2,FALSE),0)</f>
        <v>0</v>
      </c>
      <c r="Y148" s="372">
        <f>IFERROR(VLOOKUP($U148,costs!$A$2:$I$2905,Y$2,FALSE),0)</f>
        <v>0</v>
      </c>
      <c r="Z148" s="372">
        <f>IFERROR(VLOOKUP($U148,costs!$A$2:$I$2905,Z$2,FALSE),0)</f>
        <v>0</v>
      </c>
      <c r="AA148" s="372">
        <f>IFERROR(VLOOKUP($U148,costs!$A$2:$I$2905,AA$2,FALSE),0)</f>
        <v>0</v>
      </c>
      <c r="AB148" s="372">
        <f>IFERROR(VLOOKUP($U148,costs!$A$2:$I$2905,AB$2,FALSE),0)</f>
        <v>0</v>
      </c>
      <c r="AC148" s="372">
        <f>IFERROR(VLOOKUP($U148,costs!$A$2:$I$2905,AC$2,FALSE),0)</f>
        <v>0</v>
      </c>
      <c r="AO148" s="40" t="s">
        <v>2163</v>
      </c>
      <c r="AP148" s="372">
        <f>IFERROR(VLOOKUP($AO148,costs!$A$2:$I$2905,AP$2,FALSE),0)</f>
        <v>0</v>
      </c>
      <c r="AQ148" s="372">
        <f>IFERROR(VLOOKUP($AO148,costs!$A$2:$I$2905,AQ$2,FALSE),0)</f>
        <v>0</v>
      </c>
      <c r="AR148" s="372">
        <f>IFERROR(VLOOKUP($AO148,costs!$A$2:$I$2905,AR$2,FALSE),0)</f>
        <v>0</v>
      </c>
      <c r="AS148" s="372">
        <f>IFERROR(VLOOKUP($AO148,costs!$A$2:$I$2905,AS$2,FALSE),0)</f>
        <v>0</v>
      </c>
      <c r="AT148" s="372">
        <f>IFERROR(VLOOKUP($AO148,costs!$A$2:$I$2905,AT$2,FALSE),0)</f>
        <v>0</v>
      </c>
      <c r="AU148" s="372">
        <f>IFERROR(VLOOKUP($AO148,costs!$A$2:$I$2905,AU$2,FALSE),0)</f>
        <v>0</v>
      </c>
      <c r="AV148" s="372">
        <f>IFERROR(VLOOKUP($AO148,costs!$A$2:$I$2905,AV$2,FALSE),0)</f>
        <v>0</v>
      </c>
      <c r="AW148" s="372">
        <f>IFERROR(VLOOKUP($AO148,costs!$A$2:$I$2905,AW$2,FALSE),0)</f>
        <v>0</v>
      </c>
    </row>
    <row r="149" spans="1:49" x14ac:dyDescent="0.35">
      <c r="U149" s="949" t="s">
        <v>97</v>
      </c>
      <c r="V149" s="372">
        <f>IFERROR(VLOOKUP($U149,costs!$A$2:$I$2905,V$2,FALSE),0)</f>
        <v>0</v>
      </c>
      <c r="W149" s="372">
        <f>IFERROR(VLOOKUP($U149,costs!$A$2:$I$2905,W$2,FALSE),0)</f>
        <v>0</v>
      </c>
      <c r="X149" s="372">
        <f>IFERROR(VLOOKUP($U149,costs!$A$2:$I$2905,X$2,FALSE),0)</f>
        <v>0</v>
      </c>
      <c r="Y149" s="372">
        <f>IFERROR(VLOOKUP($U149,costs!$A$2:$I$2905,Y$2,FALSE),0)</f>
        <v>0</v>
      </c>
      <c r="Z149" s="372">
        <f>IFERROR(VLOOKUP($U149,costs!$A$2:$I$2905,Z$2,FALSE),0)</f>
        <v>0</v>
      </c>
      <c r="AA149" s="372">
        <f>IFERROR(VLOOKUP($U149,costs!$A$2:$I$2905,AA$2,FALSE),0)</f>
        <v>0</v>
      </c>
      <c r="AB149" s="372">
        <f>IFERROR(VLOOKUP($U149,costs!$A$2:$I$2905,AB$2,FALSE),0)</f>
        <v>0</v>
      </c>
      <c r="AC149" s="372">
        <f>IFERROR(VLOOKUP($U149,costs!$A$2:$I$2905,AC$2,FALSE),0)</f>
        <v>0</v>
      </c>
      <c r="AO149" s="40" t="s">
        <v>453</v>
      </c>
      <c r="AP149" s="372">
        <f>IFERROR(VLOOKUP($AO149,costs!$A$2:$I$2905,AP$2,FALSE),0)</f>
        <v>0</v>
      </c>
      <c r="AQ149" s="372">
        <f>IFERROR(VLOOKUP($AO149,costs!$A$2:$I$2905,AQ$2,FALSE),0)</f>
        <v>0</v>
      </c>
      <c r="AR149" s="372">
        <f>IFERROR(VLOOKUP($AO149,costs!$A$2:$I$2905,AR$2,FALSE),0)</f>
        <v>0</v>
      </c>
      <c r="AS149" s="372">
        <f>IFERROR(VLOOKUP($AO149,costs!$A$2:$I$2905,AS$2,FALSE),0)</f>
        <v>0</v>
      </c>
      <c r="AT149" s="372">
        <f>IFERROR(VLOOKUP($AO149,costs!$A$2:$I$2905,AT$2,FALSE),0)</f>
        <v>0</v>
      </c>
      <c r="AU149" s="372">
        <f>IFERROR(VLOOKUP($AO149,costs!$A$2:$I$2905,AU$2,FALSE),0)</f>
        <v>0</v>
      </c>
      <c r="AV149" s="372">
        <f>IFERROR(VLOOKUP($AO149,costs!$A$2:$I$2905,AV$2,FALSE),0)</f>
        <v>0</v>
      </c>
      <c r="AW149" s="372">
        <f>IFERROR(VLOOKUP($AO149,costs!$A$2:$I$2905,AW$2,FALSE),0)</f>
        <v>0</v>
      </c>
    </row>
    <row r="150" spans="1:49" x14ac:dyDescent="0.35">
      <c r="U150" s="40" t="s">
        <v>90</v>
      </c>
      <c r="V150" s="372">
        <f>IFERROR(VLOOKUP($U150,costs!$A$2:$I$2905,V$2,FALSE),0)</f>
        <v>0</v>
      </c>
      <c r="W150" s="372">
        <f>IFERROR(VLOOKUP($U150,costs!$A$2:$I$2905,W$2,FALSE),0)</f>
        <v>0</v>
      </c>
      <c r="X150" s="372">
        <f>IFERROR(VLOOKUP($U150,costs!$A$2:$I$2905,X$2,FALSE),0)</f>
        <v>0</v>
      </c>
      <c r="Y150" s="372">
        <f>IFERROR(VLOOKUP($U150,costs!$A$2:$I$2905,Y$2,FALSE),0)</f>
        <v>0</v>
      </c>
      <c r="Z150" s="372">
        <f>IFERROR(VLOOKUP($U150,costs!$A$2:$I$2905,Z$2,FALSE),0)</f>
        <v>0</v>
      </c>
      <c r="AA150" s="372">
        <f>IFERROR(VLOOKUP($U150,costs!$A$2:$I$2905,AA$2,FALSE),0)</f>
        <v>0</v>
      </c>
      <c r="AB150" s="372">
        <f>IFERROR(VLOOKUP($U150,costs!$A$2:$I$2905,AB$2,FALSE),0)</f>
        <v>0</v>
      </c>
      <c r="AC150" s="372">
        <f>IFERROR(VLOOKUP($U150,costs!$A$2:$I$2905,AC$2,FALSE),0)</f>
        <v>0</v>
      </c>
      <c r="AO150" s="40" t="s">
        <v>2164</v>
      </c>
      <c r="AP150" s="372">
        <f>IFERROR(VLOOKUP($AO150,costs!$A$2:$I$2905,AP$2,FALSE),0)</f>
        <v>0</v>
      </c>
      <c r="AQ150" s="372">
        <f>IFERROR(VLOOKUP($AO150,costs!$A$2:$I$2905,AQ$2,FALSE),0)</f>
        <v>0</v>
      </c>
      <c r="AR150" s="372">
        <f>IFERROR(VLOOKUP($AO150,costs!$A$2:$I$2905,AR$2,FALSE),0)</f>
        <v>0</v>
      </c>
      <c r="AS150" s="372">
        <f>IFERROR(VLOOKUP($AO150,costs!$A$2:$I$2905,AS$2,FALSE),0)</f>
        <v>0</v>
      </c>
      <c r="AT150" s="372">
        <f>IFERROR(VLOOKUP($AO150,costs!$A$2:$I$2905,AT$2,FALSE),0)</f>
        <v>0</v>
      </c>
      <c r="AU150" s="372">
        <f>IFERROR(VLOOKUP($AO150,costs!$A$2:$I$2905,AU$2,FALSE),0)</f>
        <v>0</v>
      </c>
      <c r="AV150" s="372">
        <f>IFERROR(VLOOKUP($AO150,costs!$A$2:$I$2905,AV$2,FALSE),0)</f>
        <v>0</v>
      </c>
      <c r="AW150" s="372">
        <f>IFERROR(VLOOKUP($AO150,costs!$A$2:$I$2905,AW$2,FALSE),0)</f>
        <v>0</v>
      </c>
    </row>
    <row r="151" spans="1:49" x14ac:dyDescent="0.35">
      <c r="U151" s="949" t="s">
        <v>91</v>
      </c>
      <c r="V151" s="372">
        <f>IFERROR(VLOOKUP($U151,costs!$A$2:$I$2905,V$2,FALSE),0)</f>
        <v>0</v>
      </c>
      <c r="W151" s="372">
        <f>IFERROR(VLOOKUP($U151,costs!$A$2:$I$2905,W$2,FALSE),0)</f>
        <v>0</v>
      </c>
      <c r="X151" s="372">
        <f>IFERROR(VLOOKUP($U151,costs!$A$2:$I$2905,X$2,FALSE),0)</f>
        <v>0</v>
      </c>
      <c r="Y151" s="372">
        <f>IFERROR(VLOOKUP($U151,costs!$A$2:$I$2905,Y$2,FALSE),0)</f>
        <v>0</v>
      </c>
      <c r="Z151" s="372">
        <f>IFERROR(VLOOKUP($U151,costs!$A$2:$I$2905,Z$2,FALSE),0)</f>
        <v>0</v>
      </c>
      <c r="AA151" s="372">
        <f>IFERROR(VLOOKUP($U151,costs!$A$2:$I$2905,AA$2,FALSE),0)</f>
        <v>0</v>
      </c>
      <c r="AB151" s="372">
        <f>IFERROR(VLOOKUP($U151,costs!$A$2:$I$2905,AB$2,FALSE),0)</f>
        <v>0</v>
      </c>
      <c r="AC151" s="372">
        <f>IFERROR(VLOOKUP($U151,costs!$A$2:$I$2905,AC$2,FALSE),0)</f>
        <v>0</v>
      </c>
      <c r="AO151" s="40" t="s">
        <v>454</v>
      </c>
      <c r="AP151" s="372">
        <f>IFERROR(VLOOKUP($AO151,costs!$A$2:$I$2905,AP$2,FALSE),0)</f>
        <v>0</v>
      </c>
      <c r="AQ151" s="372">
        <f>IFERROR(VLOOKUP($AO151,costs!$A$2:$I$2905,AQ$2,FALSE),0)</f>
        <v>0</v>
      </c>
      <c r="AR151" s="372">
        <f>IFERROR(VLOOKUP($AO151,costs!$A$2:$I$2905,AR$2,FALSE),0)</f>
        <v>0</v>
      </c>
      <c r="AS151" s="372">
        <f>IFERROR(VLOOKUP($AO151,costs!$A$2:$I$2905,AS$2,FALSE),0)</f>
        <v>0</v>
      </c>
      <c r="AT151" s="372">
        <f>IFERROR(VLOOKUP($AO151,costs!$A$2:$I$2905,AT$2,FALSE),0)</f>
        <v>0</v>
      </c>
      <c r="AU151" s="372">
        <f>IFERROR(VLOOKUP($AO151,costs!$A$2:$I$2905,AU$2,FALSE),0)</f>
        <v>0</v>
      </c>
      <c r="AV151" s="372">
        <f>IFERROR(VLOOKUP($AO151,costs!$A$2:$I$2905,AV$2,FALSE),0)</f>
        <v>0</v>
      </c>
      <c r="AW151" s="372">
        <f>IFERROR(VLOOKUP($AO151,costs!$A$2:$I$2905,AW$2,FALSE),0)</f>
        <v>0</v>
      </c>
    </row>
    <row r="152" spans="1:49" x14ac:dyDescent="0.35">
      <c r="U152" s="40" t="s">
        <v>2076</v>
      </c>
      <c r="V152" s="372">
        <f>IFERROR(VLOOKUP($U152,costs!$A$2:$I$2905,V$2,FALSE),0)</f>
        <v>0</v>
      </c>
      <c r="W152" s="372">
        <f>IFERROR(VLOOKUP($U152,costs!$A$2:$I$2905,W$2,FALSE),0)</f>
        <v>0</v>
      </c>
      <c r="X152" s="372">
        <f>IFERROR(VLOOKUP($U152,costs!$A$2:$I$2905,X$2,FALSE),0)</f>
        <v>0</v>
      </c>
      <c r="Y152" s="372">
        <f>IFERROR(VLOOKUP($U152,costs!$A$2:$I$2905,Y$2,FALSE),0)</f>
        <v>0</v>
      </c>
      <c r="Z152" s="372">
        <f>IFERROR(VLOOKUP($U152,costs!$A$2:$I$2905,Z$2,FALSE),0)</f>
        <v>0</v>
      </c>
      <c r="AA152" s="372">
        <f>IFERROR(VLOOKUP($U152,costs!$A$2:$I$2905,AA$2,FALSE),0)</f>
        <v>0</v>
      </c>
      <c r="AB152" s="372">
        <f>IFERROR(VLOOKUP($U152,costs!$A$2:$I$2905,AB$2,FALSE),0)</f>
        <v>0</v>
      </c>
      <c r="AC152" s="372">
        <f>IFERROR(VLOOKUP($U152,costs!$A$2:$I$2905,AC$2,FALSE),0)</f>
        <v>0</v>
      </c>
      <c r="AO152" s="40" t="s">
        <v>2165</v>
      </c>
      <c r="AP152" s="372">
        <f>IFERROR(VLOOKUP($AO152,costs!$A$2:$I$2905,AP$2,FALSE),0)</f>
        <v>0</v>
      </c>
      <c r="AQ152" s="372">
        <f>IFERROR(VLOOKUP($AO152,costs!$A$2:$I$2905,AQ$2,FALSE),0)</f>
        <v>0</v>
      </c>
      <c r="AR152" s="372">
        <f>IFERROR(VLOOKUP($AO152,costs!$A$2:$I$2905,AR$2,FALSE),0)</f>
        <v>0</v>
      </c>
      <c r="AS152" s="372">
        <f>IFERROR(VLOOKUP($AO152,costs!$A$2:$I$2905,AS$2,FALSE),0)</f>
        <v>0</v>
      </c>
      <c r="AT152" s="372">
        <f>IFERROR(VLOOKUP($AO152,costs!$A$2:$I$2905,AT$2,FALSE),0)</f>
        <v>0</v>
      </c>
      <c r="AU152" s="372">
        <f>IFERROR(VLOOKUP($AO152,costs!$A$2:$I$2905,AU$2,FALSE),0)</f>
        <v>0</v>
      </c>
      <c r="AV152" s="372">
        <f>IFERROR(VLOOKUP($AO152,costs!$A$2:$I$2905,AV$2,FALSE),0)</f>
        <v>0</v>
      </c>
      <c r="AW152" s="372">
        <f>IFERROR(VLOOKUP($AO152,costs!$A$2:$I$2905,AW$2,FALSE),0)</f>
        <v>0</v>
      </c>
    </row>
    <row r="153" spans="1:49" x14ac:dyDescent="0.35">
      <c r="A153" s="133" t="s">
        <v>4463</v>
      </c>
      <c r="B153" s="900" t="s">
        <v>1417</v>
      </c>
      <c r="C153" s="900">
        <v>2020</v>
      </c>
      <c r="D153" s="900">
        <v>2025</v>
      </c>
      <c r="E153" s="900">
        <v>2030</v>
      </c>
      <c r="F153" s="900">
        <v>2035</v>
      </c>
      <c r="G153" s="900">
        <v>2040</v>
      </c>
      <c r="H153" s="900">
        <v>2045</v>
      </c>
      <c r="I153" s="900">
        <v>2050</v>
      </c>
      <c r="U153" s="949" t="s">
        <v>12</v>
      </c>
      <c r="V153" s="372">
        <f>IFERROR(VLOOKUP($U153,costs!$A$2:$I$2905,V$2,FALSE),0)</f>
        <v>0</v>
      </c>
      <c r="W153" s="372">
        <f>IFERROR(VLOOKUP($U153,costs!$A$2:$I$2905,W$2,FALSE),0)</f>
        <v>0</v>
      </c>
      <c r="X153" s="372">
        <f>IFERROR(VLOOKUP($U153,costs!$A$2:$I$2905,X$2,FALSE),0)</f>
        <v>0</v>
      </c>
      <c r="Y153" s="372">
        <f>IFERROR(VLOOKUP($U153,costs!$A$2:$I$2905,Y$2,FALSE),0)</f>
        <v>0</v>
      </c>
      <c r="Z153" s="372">
        <f>IFERROR(VLOOKUP($U153,costs!$A$2:$I$2905,Z$2,FALSE),0)</f>
        <v>0</v>
      </c>
      <c r="AA153" s="372">
        <f>IFERROR(VLOOKUP($U153,costs!$A$2:$I$2905,AA$2,FALSE),0)</f>
        <v>0</v>
      </c>
      <c r="AB153" s="372">
        <f>IFERROR(VLOOKUP($U153,costs!$A$2:$I$2905,AB$2,FALSE),0)</f>
        <v>0</v>
      </c>
      <c r="AC153" s="372">
        <f>IFERROR(VLOOKUP($U153,costs!$A$2:$I$2905,AC$2,FALSE),0)</f>
        <v>0</v>
      </c>
      <c r="AO153" s="40" t="s">
        <v>455</v>
      </c>
      <c r="AP153" s="372">
        <f>IFERROR(VLOOKUP($AO153,costs!$A$2:$I$2905,AP$2,FALSE),0)</f>
        <v>0</v>
      </c>
      <c r="AQ153" s="372">
        <f>IFERROR(VLOOKUP($AO153,costs!$A$2:$I$2905,AQ$2,FALSE),0)</f>
        <v>0</v>
      </c>
      <c r="AR153" s="372">
        <f>IFERROR(VLOOKUP($AO153,costs!$A$2:$I$2905,AR$2,FALSE),0)</f>
        <v>0</v>
      </c>
      <c r="AS153" s="372">
        <f>IFERROR(VLOOKUP($AO153,costs!$A$2:$I$2905,AS$2,FALSE),0)</f>
        <v>0</v>
      </c>
      <c r="AT153" s="372">
        <f>IFERROR(VLOOKUP($AO153,costs!$A$2:$I$2905,AT$2,FALSE),0)</f>
        <v>0</v>
      </c>
      <c r="AU153" s="372">
        <f>IFERROR(VLOOKUP($AO153,costs!$A$2:$I$2905,AU$2,FALSE),0)</f>
        <v>0</v>
      </c>
      <c r="AV153" s="372">
        <f>IFERROR(VLOOKUP($AO153,costs!$A$2:$I$2905,AV$2,FALSE),0)</f>
        <v>0</v>
      </c>
      <c r="AW153" s="372">
        <f>IFERROR(VLOOKUP($AO153,costs!$A$2:$I$2905,AW$2,FALSE),0)</f>
        <v>0</v>
      </c>
    </row>
    <row r="154" spans="1:49" x14ac:dyDescent="0.35">
      <c r="B154" s="900" t="s">
        <v>1165</v>
      </c>
      <c r="C154" s="900">
        <v>150053.00446022657</v>
      </c>
      <c r="D154" s="900">
        <v>140446.22367246458</v>
      </c>
      <c r="E154" s="900">
        <v>160312.6168077742</v>
      </c>
      <c r="F154" s="900">
        <v>164872.67993220716</v>
      </c>
      <c r="G154" s="900">
        <v>170766.79590091188</v>
      </c>
      <c r="H154" s="900">
        <v>164241.76346091297</v>
      </c>
      <c r="I154" s="900">
        <v>186324.07161377309</v>
      </c>
      <c r="U154" s="40" t="s">
        <v>100</v>
      </c>
      <c r="V154" s="372">
        <f>IFERROR(VLOOKUP($U154,costs!$A$2:$I$2905,V$2,FALSE),0)</f>
        <v>0</v>
      </c>
      <c r="W154" s="372">
        <f>IFERROR(VLOOKUP($U154,costs!$A$2:$I$2905,W$2,FALSE),0)</f>
        <v>0</v>
      </c>
      <c r="X154" s="372">
        <f>IFERROR(VLOOKUP($U154,costs!$A$2:$I$2905,X$2,FALSE),0)</f>
        <v>0</v>
      </c>
      <c r="Y154" s="372">
        <f>IFERROR(VLOOKUP($U154,costs!$A$2:$I$2905,Y$2,FALSE),0)</f>
        <v>0</v>
      </c>
      <c r="Z154" s="372">
        <f>IFERROR(VLOOKUP($U154,costs!$A$2:$I$2905,Z$2,FALSE),0)</f>
        <v>0</v>
      </c>
      <c r="AA154" s="372">
        <f>IFERROR(VLOOKUP($U154,costs!$A$2:$I$2905,AA$2,FALSE),0)</f>
        <v>0</v>
      </c>
      <c r="AB154" s="372">
        <f>IFERROR(VLOOKUP($U154,costs!$A$2:$I$2905,AB$2,FALSE),0)</f>
        <v>0</v>
      </c>
      <c r="AC154" s="372">
        <f>IFERROR(VLOOKUP($U154,costs!$A$2:$I$2905,AC$2,FALSE),0)</f>
        <v>0</v>
      </c>
      <c r="AO154" s="40" t="s">
        <v>2166</v>
      </c>
      <c r="AP154" s="372">
        <f>IFERROR(VLOOKUP($AO154,costs!$A$2:$I$2905,AP$2,FALSE),0)</f>
        <v>0</v>
      </c>
      <c r="AQ154" s="372">
        <f>IFERROR(VLOOKUP($AO154,costs!$A$2:$I$2905,AQ$2,FALSE),0)</f>
        <v>0</v>
      </c>
      <c r="AR154" s="372">
        <f>IFERROR(VLOOKUP($AO154,costs!$A$2:$I$2905,AR$2,FALSE),0)</f>
        <v>0</v>
      </c>
      <c r="AS154" s="372">
        <f>IFERROR(VLOOKUP($AO154,costs!$A$2:$I$2905,AS$2,FALSE),0)</f>
        <v>0</v>
      </c>
      <c r="AT154" s="372">
        <f>IFERROR(VLOOKUP($AO154,costs!$A$2:$I$2905,AT$2,FALSE),0)</f>
        <v>0</v>
      </c>
      <c r="AU154" s="372">
        <f>IFERROR(VLOOKUP($AO154,costs!$A$2:$I$2905,AU$2,FALSE),0)</f>
        <v>0</v>
      </c>
      <c r="AV154" s="372">
        <f>IFERROR(VLOOKUP($AO154,costs!$A$2:$I$2905,AV$2,FALSE),0)</f>
        <v>0</v>
      </c>
      <c r="AW154" s="372">
        <f>IFERROR(VLOOKUP($AO154,costs!$A$2:$I$2905,AW$2,FALSE),0)</f>
        <v>0</v>
      </c>
    </row>
    <row r="155" spans="1:49" x14ac:dyDescent="0.35">
      <c r="B155" s="900" t="s">
        <v>1528</v>
      </c>
      <c r="C155" s="900">
        <v>107367.36438427379</v>
      </c>
      <c r="D155" s="900">
        <v>107699.93072801677</v>
      </c>
      <c r="E155" s="900">
        <v>118481.93402067437</v>
      </c>
      <c r="F155" s="900">
        <v>122648.87219468814</v>
      </c>
      <c r="G155" s="900">
        <v>127929.18115106251</v>
      </c>
      <c r="H155" s="900">
        <v>132935.6941700757</v>
      </c>
      <c r="I155" s="900">
        <v>136072.97771998501</v>
      </c>
      <c r="U155" s="949" t="s">
        <v>101</v>
      </c>
      <c r="V155" s="372">
        <f>IFERROR(VLOOKUP($U155,costs!$A$2:$I$2905,V$2,FALSE),0)</f>
        <v>0</v>
      </c>
      <c r="W155" s="372">
        <f>IFERROR(VLOOKUP($U155,costs!$A$2:$I$2905,W$2,FALSE),0)</f>
        <v>0</v>
      </c>
      <c r="X155" s="372">
        <f>IFERROR(VLOOKUP($U155,costs!$A$2:$I$2905,X$2,FALSE),0)</f>
        <v>0</v>
      </c>
      <c r="Y155" s="372">
        <f>IFERROR(VLOOKUP($U155,costs!$A$2:$I$2905,Y$2,FALSE),0)</f>
        <v>0</v>
      </c>
      <c r="Z155" s="372">
        <f>IFERROR(VLOOKUP($U155,costs!$A$2:$I$2905,Z$2,FALSE),0)</f>
        <v>0</v>
      </c>
      <c r="AA155" s="372">
        <f>IFERROR(VLOOKUP($U155,costs!$A$2:$I$2905,AA$2,FALSE),0)</f>
        <v>0</v>
      </c>
      <c r="AB155" s="372">
        <f>IFERROR(VLOOKUP($U155,costs!$A$2:$I$2905,AB$2,FALSE),0)</f>
        <v>0</v>
      </c>
      <c r="AC155" s="372">
        <f>IFERROR(VLOOKUP($U155,costs!$A$2:$I$2905,AC$2,FALSE),0)</f>
        <v>0</v>
      </c>
      <c r="AO155" s="40" t="s">
        <v>456</v>
      </c>
      <c r="AP155" s="372">
        <f>IFERROR(VLOOKUP($AO155,costs!$A$2:$I$2905,AP$2,FALSE),0)</f>
        <v>0</v>
      </c>
      <c r="AQ155" s="372">
        <f>IFERROR(VLOOKUP($AO155,costs!$A$2:$I$2905,AQ$2,FALSE),0)</f>
        <v>0</v>
      </c>
      <c r="AR155" s="372">
        <f>IFERROR(VLOOKUP($AO155,costs!$A$2:$I$2905,AR$2,FALSE),0)</f>
        <v>0</v>
      </c>
      <c r="AS155" s="372">
        <f>IFERROR(VLOOKUP($AO155,costs!$A$2:$I$2905,AS$2,FALSE),0)</f>
        <v>0</v>
      </c>
      <c r="AT155" s="372">
        <f>IFERROR(VLOOKUP($AO155,costs!$A$2:$I$2905,AT$2,FALSE),0)</f>
        <v>0</v>
      </c>
      <c r="AU155" s="372">
        <f>IFERROR(VLOOKUP($AO155,costs!$A$2:$I$2905,AU$2,FALSE),0)</f>
        <v>0</v>
      </c>
      <c r="AV155" s="372">
        <f>IFERROR(VLOOKUP($AO155,costs!$A$2:$I$2905,AV$2,FALSE),0)</f>
        <v>0</v>
      </c>
      <c r="AW155" s="372">
        <f>IFERROR(VLOOKUP($AO155,costs!$A$2:$I$2905,AW$2,FALSE),0)</f>
        <v>0</v>
      </c>
    </row>
    <row r="156" spans="1:49" x14ac:dyDescent="0.35">
      <c r="B156" s="900" t="s">
        <v>1468</v>
      </c>
      <c r="C156" s="900">
        <v>36021.40720761782</v>
      </c>
      <c r="D156" s="900">
        <v>35335.051389349363</v>
      </c>
      <c r="E156" s="900">
        <v>39182.643395405459</v>
      </c>
      <c r="F156" s="900">
        <v>40217.384119538481</v>
      </c>
      <c r="G156" s="900">
        <v>42376.028546531357</v>
      </c>
      <c r="H156" s="900">
        <v>43000.589057993682</v>
      </c>
      <c r="I156" s="900">
        <v>46936.756331032768</v>
      </c>
      <c r="U156" s="40" t="s">
        <v>98</v>
      </c>
      <c r="V156" s="372">
        <f>IFERROR(VLOOKUP($U156,costs!$A$2:$I$2905,V$2,FALSE),0)</f>
        <v>0</v>
      </c>
      <c r="W156" s="372">
        <f>IFERROR(VLOOKUP($U156,costs!$A$2:$I$2905,W$2,FALSE),0)</f>
        <v>0</v>
      </c>
      <c r="X156" s="372">
        <f>IFERROR(VLOOKUP($U156,costs!$A$2:$I$2905,X$2,FALSE),0)</f>
        <v>0</v>
      </c>
      <c r="Y156" s="372">
        <f>IFERROR(VLOOKUP($U156,costs!$A$2:$I$2905,Y$2,FALSE),0)</f>
        <v>0</v>
      </c>
      <c r="Z156" s="372">
        <f>IFERROR(VLOOKUP($U156,costs!$A$2:$I$2905,Z$2,FALSE),0)</f>
        <v>0</v>
      </c>
      <c r="AA156" s="372">
        <f>IFERROR(VLOOKUP($U156,costs!$A$2:$I$2905,AA$2,FALSE),0)</f>
        <v>0</v>
      </c>
      <c r="AB156" s="372">
        <f>IFERROR(VLOOKUP($U156,costs!$A$2:$I$2905,AB$2,FALSE),0)</f>
        <v>0</v>
      </c>
      <c r="AC156" s="372">
        <f>IFERROR(VLOOKUP($U156,costs!$A$2:$I$2905,AC$2,FALSE),0)</f>
        <v>0</v>
      </c>
      <c r="AO156" s="40" t="s">
        <v>2167</v>
      </c>
      <c r="AP156" s="372">
        <f>IFERROR(VLOOKUP($AO156,costs!$A$2:$I$2905,AP$2,FALSE),0)</f>
        <v>0</v>
      </c>
      <c r="AQ156" s="372">
        <f>IFERROR(VLOOKUP($AO156,costs!$A$2:$I$2905,AQ$2,FALSE),0)</f>
        <v>0</v>
      </c>
      <c r="AR156" s="372">
        <f>IFERROR(VLOOKUP($AO156,costs!$A$2:$I$2905,AR$2,FALSE),0)</f>
        <v>0</v>
      </c>
      <c r="AS156" s="372">
        <f>IFERROR(VLOOKUP($AO156,costs!$A$2:$I$2905,AS$2,FALSE),0)</f>
        <v>0</v>
      </c>
      <c r="AT156" s="372">
        <f>IFERROR(VLOOKUP($AO156,costs!$A$2:$I$2905,AT$2,FALSE),0)</f>
        <v>0</v>
      </c>
      <c r="AU156" s="372">
        <f>IFERROR(VLOOKUP($AO156,costs!$A$2:$I$2905,AU$2,FALSE),0)</f>
        <v>0</v>
      </c>
      <c r="AV156" s="372">
        <f>IFERROR(VLOOKUP($AO156,costs!$A$2:$I$2905,AV$2,FALSE),0)</f>
        <v>0</v>
      </c>
      <c r="AW156" s="372">
        <f>IFERROR(VLOOKUP($AO156,costs!$A$2:$I$2905,AW$2,FALSE),0)</f>
        <v>0</v>
      </c>
    </row>
    <row r="157" spans="1:49" x14ac:dyDescent="0.35">
      <c r="B157" s="900" t="s">
        <v>2289</v>
      </c>
      <c r="C157" s="900">
        <v>38841.119383468562</v>
      </c>
      <c r="D157" s="900">
        <v>37626.070792662373</v>
      </c>
      <c r="E157" s="900">
        <v>46643.133709667738</v>
      </c>
      <c r="F157" s="900">
        <v>52226.491311243226</v>
      </c>
      <c r="G157" s="900">
        <v>54864.669320994464</v>
      </c>
      <c r="H157" s="900">
        <v>63993.605966497656</v>
      </c>
      <c r="I157" s="900">
        <v>72491.440946551709</v>
      </c>
      <c r="U157" s="949" t="s">
        <v>99</v>
      </c>
      <c r="V157" s="372">
        <f>IFERROR(VLOOKUP($U157,costs!$A$2:$I$2905,V$2,FALSE),0)</f>
        <v>0</v>
      </c>
      <c r="W157" s="372">
        <f>IFERROR(VLOOKUP($U157,costs!$A$2:$I$2905,W$2,FALSE),0)</f>
        <v>0</v>
      </c>
      <c r="X157" s="372">
        <f>IFERROR(VLOOKUP($U157,costs!$A$2:$I$2905,X$2,FALSE),0)</f>
        <v>0</v>
      </c>
      <c r="Y157" s="372">
        <f>IFERROR(VLOOKUP($U157,costs!$A$2:$I$2905,Y$2,FALSE),0)</f>
        <v>0</v>
      </c>
      <c r="Z157" s="372">
        <f>IFERROR(VLOOKUP($U157,costs!$A$2:$I$2905,Z$2,FALSE),0)</f>
        <v>0</v>
      </c>
      <c r="AA157" s="372">
        <f>IFERROR(VLOOKUP($U157,costs!$A$2:$I$2905,AA$2,FALSE),0)</f>
        <v>0</v>
      </c>
      <c r="AB157" s="372">
        <f>IFERROR(VLOOKUP($U157,costs!$A$2:$I$2905,AB$2,FALSE),0)</f>
        <v>0</v>
      </c>
      <c r="AC157" s="372">
        <f>IFERROR(VLOOKUP($U157,costs!$A$2:$I$2905,AC$2,FALSE),0)</f>
        <v>0</v>
      </c>
      <c r="AO157" s="40" t="s">
        <v>457</v>
      </c>
      <c r="AP157" s="372">
        <f>IFERROR(VLOOKUP($AO157,costs!$A$2:$I$2905,AP$2,FALSE),0)</f>
        <v>0</v>
      </c>
      <c r="AQ157" s="372">
        <f>IFERROR(VLOOKUP($AO157,costs!$A$2:$I$2905,AQ$2,FALSE),0)</f>
        <v>0</v>
      </c>
      <c r="AR157" s="372">
        <f>IFERROR(VLOOKUP($AO157,costs!$A$2:$I$2905,AR$2,FALSE),0)</f>
        <v>0</v>
      </c>
      <c r="AS157" s="372">
        <f>IFERROR(VLOOKUP($AO157,costs!$A$2:$I$2905,AS$2,FALSE),0)</f>
        <v>0</v>
      </c>
      <c r="AT157" s="372">
        <f>IFERROR(VLOOKUP($AO157,costs!$A$2:$I$2905,AT$2,FALSE),0)</f>
        <v>0</v>
      </c>
      <c r="AU157" s="372">
        <f>IFERROR(VLOOKUP($AO157,costs!$A$2:$I$2905,AU$2,FALSE),0)</f>
        <v>0</v>
      </c>
      <c r="AV157" s="372">
        <f>IFERROR(VLOOKUP($AO157,costs!$A$2:$I$2905,AV$2,FALSE),0)</f>
        <v>0</v>
      </c>
      <c r="AW157" s="372">
        <f>IFERROR(VLOOKUP($AO157,costs!$A$2:$I$2905,AW$2,FALSE),0)</f>
        <v>0</v>
      </c>
    </row>
    <row r="158" spans="1:49" x14ac:dyDescent="0.35">
      <c r="B158" s="900" t="s">
        <v>2290</v>
      </c>
      <c r="C158" s="900">
        <v>27119.329075158144</v>
      </c>
      <c r="D158" s="900">
        <v>25343.780395972703</v>
      </c>
      <c r="E158" s="900">
        <v>32142.365605597697</v>
      </c>
      <c r="F158" s="900">
        <v>39817.062995501117</v>
      </c>
      <c r="G158" s="900">
        <v>47826.7806890262</v>
      </c>
      <c r="H158" s="900">
        <v>55676.68589829214</v>
      </c>
      <c r="I158" s="900">
        <v>59518.795602867205</v>
      </c>
      <c r="U158" s="40" t="s">
        <v>234</v>
      </c>
      <c r="V158" s="372">
        <f>IFERROR(VLOOKUP($U158,costs!$A$2:$I$2905,V$2,FALSE),0)</f>
        <v>0</v>
      </c>
      <c r="W158" s="372">
        <f>IFERROR(VLOOKUP($U158,costs!$A$2:$I$2905,W$2,FALSE),0)</f>
        <v>0</v>
      </c>
      <c r="X158" s="372">
        <f>IFERROR(VLOOKUP($U158,costs!$A$2:$I$2905,X$2,FALSE),0)</f>
        <v>0</v>
      </c>
      <c r="Y158" s="372">
        <f>IFERROR(VLOOKUP($U158,costs!$A$2:$I$2905,Y$2,FALSE),0)</f>
        <v>0</v>
      </c>
      <c r="Z158" s="372">
        <f>IFERROR(VLOOKUP($U158,costs!$A$2:$I$2905,Z$2,FALSE),0)</f>
        <v>0</v>
      </c>
      <c r="AA158" s="372">
        <f>IFERROR(VLOOKUP($U158,costs!$A$2:$I$2905,AA$2,FALSE),0)</f>
        <v>0</v>
      </c>
      <c r="AB158" s="372">
        <f>IFERROR(VLOOKUP($U158,costs!$A$2:$I$2905,AB$2,FALSE),0)</f>
        <v>0</v>
      </c>
      <c r="AC158" s="372">
        <f>IFERROR(VLOOKUP($U158,costs!$A$2:$I$2905,AC$2,FALSE),0)</f>
        <v>0</v>
      </c>
      <c r="AO158" s="40" t="s">
        <v>2168</v>
      </c>
      <c r="AP158" s="372">
        <f>IFERROR(VLOOKUP($AO158,costs!$A$2:$I$2905,AP$2,FALSE),0)</f>
        <v>0</v>
      </c>
      <c r="AQ158" s="372">
        <f>IFERROR(VLOOKUP($AO158,costs!$A$2:$I$2905,AQ$2,FALSE),0)</f>
        <v>0</v>
      </c>
      <c r="AR158" s="372">
        <f>IFERROR(VLOOKUP($AO158,costs!$A$2:$I$2905,AR$2,FALSE),0)</f>
        <v>0</v>
      </c>
      <c r="AS158" s="372">
        <f>IFERROR(VLOOKUP($AO158,costs!$A$2:$I$2905,AS$2,FALSE),0)</f>
        <v>0</v>
      </c>
      <c r="AT158" s="372">
        <f>IFERROR(VLOOKUP($AO158,costs!$A$2:$I$2905,AT$2,FALSE),0)</f>
        <v>0</v>
      </c>
      <c r="AU158" s="372">
        <f>IFERROR(VLOOKUP($AO158,costs!$A$2:$I$2905,AU$2,FALSE),0)</f>
        <v>0</v>
      </c>
      <c r="AV158" s="372">
        <f>IFERROR(VLOOKUP($AO158,costs!$A$2:$I$2905,AV$2,FALSE),0)</f>
        <v>0</v>
      </c>
      <c r="AW158" s="372">
        <f>IFERROR(VLOOKUP($AO158,costs!$A$2:$I$2905,AW$2,FALSE),0)</f>
        <v>0</v>
      </c>
    </row>
    <row r="159" spans="1:49" x14ac:dyDescent="0.35">
      <c r="B159" s="900" t="s">
        <v>2291</v>
      </c>
      <c r="C159" s="900">
        <v>6197.6708834576557</v>
      </c>
      <c r="D159" s="900">
        <v>5812.4969742733047</v>
      </c>
      <c r="E159" s="900">
        <v>6162.334007963218</v>
      </c>
      <c r="F159" s="900">
        <v>6665.3244859681226</v>
      </c>
      <c r="G159" s="900">
        <v>7800.7129656786174</v>
      </c>
      <c r="H159" s="900">
        <v>9294.4788824807256</v>
      </c>
      <c r="I159" s="900">
        <v>10573.93246049019</v>
      </c>
      <c r="U159" s="949" t="s">
        <v>283</v>
      </c>
      <c r="V159" s="372">
        <f>IFERROR(VLOOKUP($U159,costs!$A$2:$I$2905,V$2,FALSE),0)</f>
        <v>0</v>
      </c>
      <c r="W159" s="372">
        <f>IFERROR(VLOOKUP($U159,costs!$A$2:$I$2905,W$2,FALSE),0)</f>
        <v>0</v>
      </c>
      <c r="X159" s="372">
        <f>IFERROR(VLOOKUP($U159,costs!$A$2:$I$2905,X$2,FALSE),0)</f>
        <v>0</v>
      </c>
      <c r="Y159" s="372">
        <f>IFERROR(VLOOKUP($U159,costs!$A$2:$I$2905,Y$2,FALSE),0)</f>
        <v>0</v>
      </c>
      <c r="Z159" s="372">
        <f>IFERROR(VLOOKUP($U159,costs!$A$2:$I$2905,Z$2,FALSE),0)</f>
        <v>0</v>
      </c>
      <c r="AA159" s="372">
        <f>IFERROR(VLOOKUP($U159,costs!$A$2:$I$2905,AA$2,FALSE),0)</f>
        <v>0</v>
      </c>
      <c r="AB159" s="372">
        <f>IFERROR(VLOOKUP($U159,costs!$A$2:$I$2905,AB$2,FALSE),0)</f>
        <v>0</v>
      </c>
      <c r="AC159" s="372">
        <f>IFERROR(VLOOKUP($U159,costs!$A$2:$I$2905,AC$2,FALSE),0)</f>
        <v>0</v>
      </c>
      <c r="AO159" s="40" t="s">
        <v>1155</v>
      </c>
      <c r="AP159" s="372">
        <f>IFERROR(VLOOKUP($AO159,costs!$A$2:$I$2905,AP$2,FALSE),0)</f>
        <v>0</v>
      </c>
      <c r="AQ159" s="372">
        <f>IFERROR(VLOOKUP($AO159,costs!$A$2:$I$2905,AQ$2,FALSE),0)</f>
        <v>0</v>
      </c>
      <c r="AR159" s="372">
        <f>IFERROR(VLOOKUP($AO159,costs!$A$2:$I$2905,AR$2,FALSE),0)</f>
        <v>0</v>
      </c>
      <c r="AS159" s="372">
        <f>IFERROR(VLOOKUP($AO159,costs!$A$2:$I$2905,AS$2,FALSE),0)</f>
        <v>0</v>
      </c>
      <c r="AT159" s="372">
        <f>IFERROR(VLOOKUP($AO159,costs!$A$2:$I$2905,AT$2,FALSE),0)</f>
        <v>0</v>
      </c>
      <c r="AU159" s="372">
        <f>IFERROR(VLOOKUP($AO159,costs!$A$2:$I$2905,AU$2,FALSE),0)</f>
        <v>0</v>
      </c>
      <c r="AV159" s="372">
        <f>IFERROR(VLOOKUP($AO159,costs!$A$2:$I$2905,AV$2,FALSE),0)</f>
        <v>0</v>
      </c>
      <c r="AW159" s="372">
        <f>IFERROR(VLOOKUP($AO159,costs!$A$2:$I$2905,AW$2,FALSE),0)</f>
        <v>0</v>
      </c>
    </row>
    <row r="160" spans="1:49" x14ac:dyDescent="0.35">
      <c r="B160" s="900" t="s">
        <v>2292</v>
      </c>
      <c r="C160" s="900">
        <v>5537.0290548025632</v>
      </c>
      <c r="D160" s="900">
        <v>6691.4340723028727</v>
      </c>
      <c r="E160" s="900">
        <v>18410.183114896583</v>
      </c>
      <c r="F160" s="900">
        <v>31685.831412821124</v>
      </c>
      <c r="G160" s="900">
        <v>34754.20578942218</v>
      </c>
      <c r="H160" s="900">
        <v>43214.532288302042</v>
      </c>
      <c r="I160" s="900">
        <v>43510.334931250356</v>
      </c>
      <c r="U160" s="40" t="s">
        <v>2091</v>
      </c>
      <c r="V160" s="372">
        <f>IFERROR(VLOOKUP($U160,costs!$A$2:$I$2905,V$2,FALSE),0)</f>
        <v>0</v>
      </c>
      <c r="W160" s="372">
        <f>IFERROR(VLOOKUP($U160,costs!$A$2:$I$2905,W$2,FALSE),0)</f>
        <v>0</v>
      </c>
      <c r="X160" s="372">
        <f>IFERROR(VLOOKUP($U160,costs!$A$2:$I$2905,X$2,FALSE),0)</f>
        <v>0</v>
      </c>
      <c r="Y160" s="372">
        <f>IFERROR(VLOOKUP($U160,costs!$A$2:$I$2905,Y$2,FALSE),0)</f>
        <v>0</v>
      </c>
      <c r="Z160" s="372">
        <f>IFERROR(VLOOKUP($U160,costs!$A$2:$I$2905,Z$2,FALSE),0)</f>
        <v>0</v>
      </c>
      <c r="AA160" s="372">
        <f>IFERROR(VLOOKUP($U160,costs!$A$2:$I$2905,AA$2,FALSE),0)</f>
        <v>0</v>
      </c>
      <c r="AB160" s="372">
        <f>IFERROR(VLOOKUP($U160,costs!$A$2:$I$2905,AB$2,FALSE),0)</f>
        <v>0</v>
      </c>
      <c r="AC160" s="372">
        <f>IFERROR(VLOOKUP($U160,costs!$A$2:$I$2905,AC$2,FALSE),0)</f>
        <v>0</v>
      </c>
      <c r="AO160" s="40" t="s">
        <v>2169</v>
      </c>
      <c r="AP160" s="372">
        <f>IFERROR(VLOOKUP($AO160,costs!$A$2:$I$2905,AP$2,FALSE),0)</f>
        <v>0</v>
      </c>
      <c r="AQ160" s="372">
        <f>IFERROR(VLOOKUP($AO160,costs!$A$2:$I$2905,AQ$2,FALSE),0)</f>
        <v>0</v>
      </c>
      <c r="AR160" s="372">
        <f>IFERROR(VLOOKUP($AO160,costs!$A$2:$I$2905,AR$2,FALSE),0)</f>
        <v>0</v>
      </c>
      <c r="AS160" s="372">
        <f>IFERROR(VLOOKUP($AO160,costs!$A$2:$I$2905,AS$2,FALSE),0)</f>
        <v>0</v>
      </c>
      <c r="AT160" s="372">
        <f>IFERROR(VLOOKUP($AO160,costs!$A$2:$I$2905,AT$2,FALSE),0)</f>
        <v>0</v>
      </c>
      <c r="AU160" s="372">
        <f>IFERROR(VLOOKUP($AO160,costs!$A$2:$I$2905,AU$2,FALSE),0)</f>
        <v>0</v>
      </c>
      <c r="AV160" s="372">
        <f>IFERROR(VLOOKUP($AO160,costs!$A$2:$I$2905,AV$2,FALSE),0)</f>
        <v>0</v>
      </c>
      <c r="AW160" s="372">
        <f>IFERROR(VLOOKUP($AO160,costs!$A$2:$I$2905,AW$2,FALSE),0)</f>
        <v>0</v>
      </c>
    </row>
    <row r="161" spans="1:49" x14ac:dyDescent="0.35">
      <c r="B161" s="900" t="s">
        <v>2293</v>
      </c>
      <c r="C161" s="900">
        <v>89839.860137714975</v>
      </c>
      <c r="D161" s="900">
        <v>85763.020051506988</v>
      </c>
      <c r="E161" s="900">
        <v>64591.453668726419</v>
      </c>
      <c r="F161" s="900">
        <v>46637.680948638663</v>
      </c>
      <c r="G161" s="900">
        <v>21375.708021733524</v>
      </c>
      <c r="H161" s="900">
        <v>4541.0105165959612</v>
      </c>
      <c r="I161" s="900">
        <v>558.70318855355583</v>
      </c>
      <c r="U161" s="949" t="s">
        <v>2092</v>
      </c>
      <c r="V161" s="372">
        <f>IFERROR(VLOOKUP($U161,costs!$A$2:$I$2905,V$2,FALSE),0)</f>
        <v>0</v>
      </c>
      <c r="W161" s="372">
        <f>IFERROR(VLOOKUP($U161,costs!$A$2:$I$2905,W$2,FALSE),0)</f>
        <v>0</v>
      </c>
      <c r="X161" s="372">
        <f>IFERROR(VLOOKUP($U161,costs!$A$2:$I$2905,X$2,FALSE),0)</f>
        <v>0</v>
      </c>
      <c r="Y161" s="372">
        <f>IFERROR(VLOOKUP($U161,costs!$A$2:$I$2905,Y$2,FALSE),0)</f>
        <v>0</v>
      </c>
      <c r="Z161" s="372">
        <f>IFERROR(VLOOKUP($U161,costs!$A$2:$I$2905,Z$2,FALSE),0)</f>
        <v>0</v>
      </c>
      <c r="AA161" s="372">
        <f>IFERROR(VLOOKUP($U161,costs!$A$2:$I$2905,AA$2,FALSE),0)</f>
        <v>0</v>
      </c>
      <c r="AB161" s="372">
        <f>IFERROR(VLOOKUP($U161,costs!$A$2:$I$2905,AB$2,FALSE),0)</f>
        <v>0</v>
      </c>
      <c r="AC161" s="372">
        <f>IFERROR(VLOOKUP($U161,costs!$A$2:$I$2905,AC$2,FALSE),0)</f>
        <v>0</v>
      </c>
      <c r="AO161" s="40" t="s">
        <v>444</v>
      </c>
      <c r="AP161" s="372">
        <f>IFERROR(VLOOKUP($AO161,costs!$A$2:$I$2905,AP$2,FALSE),0)</f>
        <v>0</v>
      </c>
      <c r="AQ161" s="372">
        <f>IFERROR(VLOOKUP($AO161,costs!$A$2:$I$2905,AQ$2,FALSE),0)</f>
        <v>0</v>
      </c>
      <c r="AR161" s="372">
        <f>IFERROR(VLOOKUP($AO161,costs!$A$2:$I$2905,AR$2,FALSE),0)</f>
        <v>0</v>
      </c>
      <c r="AS161" s="372">
        <f>IFERROR(VLOOKUP($AO161,costs!$A$2:$I$2905,AS$2,FALSE),0)</f>
        <v>0</v>
      </c>
      <c r="AT161" s="372">
        <f>IFERROR(VLOOKUP($AO161,costs!$A$2:$I$2905,AT$2,FALSE),0)</f>
        <v>0</v>
      </c>
      <c r="AU161" s="372">
        <f>IFERROR(VLOOKUP($AO161,costs!$A$2:$I$2905,AU$2,FALSE),0)</f>
        <v>0</v>
      </c>
      <c r="AV161" s="372">
        <f>IFERROR(VLOOKUP($AO161,costs!$A$2:$I$2905,AV$2,FALSE),0)</f>
        <v>0</v>
      </c>
      <c r="AW161" s="372">
        <f>IFERROR(VLOOKUP($AO161,costs!$A$2:$I$2905,AW$2,FALSE),0)</f>
        <v>0</v>
      </c>
    </row>
    <row r="162" spans="1:49" x14ac:dyDescent="0.35">
      <c r="B162" s="900" t="s">
        <v>2027</v>
      </c>
      <c r="C162" s="900">
        <v>460976.78458672005</v>
      </c>
      <c r="D162" s="900">
        <v>444718.00807654898</v>
      </c>
      <c r="E162" s="900">
        <v>485926.66433070565</v>
      </c>
      <c r="F162" s="900">
        <v>504771.32740060595</v>
      </c>
      <c r="G162" s="900">
        <v>507694.08238536067</v>
      </c>
      <c r="H162" s="900">
        <v>516898.36024115089</v>
      </c>
      <c r="I162" s="900">
        <v>555987.01279450383</v>
      </c>
      <c r="U162" s="949" t="s">
        <v>521</v>
      </c>
      <c r="V162" s="372">
        <f>IFERROR(VLOOKUP($U162,costs!$A$2:$I$2905,V$2,FALSE),0)</f>
        <v>0</v>
      </c>
      <c r="W162" s="372">
        <f>IFERROR(VLOOKUP($U162,costs!$A$2:$I$2905,W$2,FALSE),0)</f>
        <v>0</v>
      </c>
      <c r="X162" s="372">
        <f>IFERROR(VLOOKUP($U162,costs!$A$2:$I$2905,X$2,FALSE),0)</f>
        <v>0</v>
      </c>
      <c r="Y162" s="372">
        <f>IFERROR(VLOOKUP($U162,costs!$A$2:$I$2905,Y$2,FALSE),0)</f>
        <v>0</v>
      </c>
      <c r="Z162" s="372">
        <f>IFERROR(VLOOKUP($U162,costs!$A$2:$I$2905,Z$2,FALSE),0)</f>
        <v>0</v>
      </c>
      <c r="AA162" s="372">
        <f>IFERROR(VLOOKUP($U162,costs!$A$2:$I$2905,AA$2,FALSE),0)</f>
        <v>0</v>
      </c>
      <c r="AB162" s="372">
        <f>IFERROR(VLOOKUP($U162,costs!$A$2:$I$2905,AB$2,FALSE),0)</f>
        <v>0</v>
      </c>
      <c r="AC162" s="372">
        <f>IFERROR(VLOOKUP($U162,costs!$A$2:$I$2905,AC$2,FALSE),0)</f>
        <v>0</v>
      </c>
      <c r="AO162" s="40" t="s">
        <v>2170</v>
      </c>
      <c r="AP162" s="372">
        <f>IFERROR(VLOOKUP($AO162,costs!$A$2:$I$2905,AP$2,FALSE),0)</f>
        <v>0</v>
      </c>
      <c r="AQ162" s="372">
        <f>IFERROR(VLOOKUP($AO162,costs!$A$2:$I$2905,AQ$2,FALSE),0)</f>
        <v>0</v>
      </c>
      <c r="AR162" s="372">
        <f>IFERROR(VLOOKUP($AO162,costs!$A$2:$I$2905,AR$2,FALSE),0)</f>
        <v>0</v>
      </c>
      <c r="AS162" s="372">
        <f>IFERROR(VLOOKUP($AO162,costs!$A$2:$I$2905,AS$2,FALSE),0)</f>
        <v>0</v>
      </c>
      <c r="AT162" s="372">
        <f>IFERROR(VLOOKUP($AO162,costs!$A$2:$I$2905,AT$2,FALSE),0)</f>
        <v>0</v>
      </c>
      <c r="AU162" s="372">
        <f>IFERROR(VLOOKUP($AO162,costs!$A$2:$I$2905,AU$2,FALSE),0)</f>
        <v>0</v>
      </c>
      <c r="AV162" s="372">
        <f>IFERROR(VLOOKUP($AO162,costs!$A$2:$I$2905,AV$2,FALSE),0)</f>
        <v>0</v>
      </c>
      <c r="AW162" s="372">
        <f>IFERROR(VLOOKUP($AO162,costs!$A$2:$I$2905,AW$2,FALSE),0)</f>
        <v>0</v>
      </c>
    </row>
    <row r="163" spans="1:49" x14ac:dyDescent="0.35">
      <c r="U163" s="40" t="s">
        <v>2112</v>
      </c>
      <c r="V163" s="372">
        <f>IFERROR(VLOOKUP($U163,costs!$A$2:$I$2905,V$2,FALSE),0)</f>
        <v>0</v>
      </c>
      <c r="W163" s="372">
        <f>IFERROR(VLOOKUP($U163,costs!$A$2:$I$2905,W$2,FALSE),0)</f>
        <v>0</v>
      </c>
      <c r="X163" s="372">
        <f>IFERROR(VLOOKUP($U163,costs!$A$2:$I$2905,X$2,FALSE),0)</f>
        <v>0</v>
      </c>
      <c r="Y163" s="372">
        <f>IFERROR(VLOOKUP($U163,costs!$A$2:$I$2905,Y$2,FALSE),0)</f>
        <v>0</v>
      </c>
      <c r="Z163" s="372">
        <f>IFERROR(VLOOKUP($U163,costs!$A$2:$I$2905,Z$2,FALSE),0)</f>
        <v>0</v>
      </c>
      <c r="AA163" s="372">
        <f>IFERROR(VLOOKUP($U163,costs!$A$2:$I$2905,AA$2,FALSE),0)</f>
        <v>0</v>
      </c>
      <c r="AB163" s="372">
        <f>IFERROR(VLOOKUP($U163,costs!$A$2:$I$2905,AB$2,FALSE),0)</f>
        <v>0</v>
      </c>
      <c r="AC163" s="372">
        <f>IFERROR(VLOOKUP($U163,costs!$A$2:$I$2905,AC$2,FALSE),0)</f>
        <v>0</v>
      </c>
      <c r="AO163" s="40" t="s">
        <v>445</v>
      </c>
      <c r="AP163" s="372">
        <f>IFERROR(VLOOKUP($AO163,costs!$A$2:$I$2905,AP$2,FALSE),0)</f>
        <v>0</v>
      </c>
      <c r="AQ163" s="372">
        <f>IFERROR(VLOOKUP($AO163,costs!$A$2:$I$2905,AQ$2,FALSE),0)</f>
        <v>0</v>
      </c>
      <c r="AR163" s="372">
        <f>IFERROR(VLOOKUP($AO163,costs!$A$2:$I$2905,AR$2,FALSE),0)</f>
        <v>0</v>
      </c>
      <c r="AS163" s="372">
        <f>IFERROR(VLOOKUP($AO163,costs!$A$2:$I$2905,AS$2,FALSE),0)</f>
        <v>0</v>
      </c>
      <c r="AT163" s="372">
        <f>IFERROR(VLOOKUP($AO163,costs!$A$2:$I$2905,AT$2,FALSE),0)</f>
        <v>0</v>
      </c>
      <c r="AU163" s="372">
        <f>IFERROR(VLOOKUP($AO163,costs!$A$2:$I$2905,AU$2,FALSE),0)</f>
        <v>0</v>
      </c>
      <c r="AV163" s="372">
        <f>IFERROR(VLOOKUP($AO163,costs!$A$2:$I$2905,AV$2,FALSE),0)</f>
        <v>0</v>
      </c>
      <c r="AW163" s="372">
        <f>IFERROR(VLOOKUP($AO163,costs!$A$2:$I$2905,AW$2,FALSE),0)</f>
        <v>0</v>
      </c>
    </row>
    <row r="164" spans="1:49" x14ac:dyDescent="0.35">
      <c r="A164" s="900" t="s">
        <v>4464</v>
      </c>
      <c r="B164" s="900" t="s">
        <v>1417</v>
      </c>
      <c r="C164" s="900">
        <v>2020</v>
      </c>
      <c r="D164" s="900">
        <v>2025</v>
      </c>
      <c r="E164" s="900">
        <v>2030</v>
      </c>
      <c r="F164" s="900">
        <v>2035</v>
      </c>
      <c r="G164" s="900">
        <v>2040</v>
      </c>
      <c r="H164" s="900">
        <v>2045</v>
      </c>
      <c r="I164" s="900">
        <v>2050</v>
      </c>
      <c r="U164" s="275" t="s">
        <v>2031</v>
      </c>
      <c r="V164" s="133">
        <f>SUM(V84:V163)</f>
        <v>0</v>
      </c>
      <c r="W164" s="133">
        <f t="shared" ref="W164:AC164" si="26">SUM(W84:W163)</f>
        <v>0</v>
      </c>
      <c r="X164" s="133">
        <f t="shared" si="26"/>
        <v>0</v>
      </c>
      <c r="Y164" s="133">
        <f t="shared" si="26"/>
        <v>0</v>
      </c>
      <c r="Z164" s="133">
        <f t="shared" si="26"/>
        <v>0</v>
      </c>
      <c r="AA164" s="133">
        <f t="shared" si="26"/>
        <v>0</v>
      </c>
      <c r="AB164" s="133">
        <f t="shared" si="26"/>
        <v>0</v>
      </c>
      <c r="AC164" s="133">
        <f t="shared" si="26"/>
        <v>0</v>
      </c>
      <c r="AO164" s="40" t="s">
        <v>2171</v>
      </c>
      <c r="AP164" s="372">
        <f>IFERROR(VLOOKUP($AO164,costs!$A$2:$I$2905,AP$2,FALSE),0)</f>
        <v>0</v>
      </c>
      <c r="AQ164" s="372">
        <f>IFERROR(VLOOKUP($AO164,costs!$A$2:$I$2905,AQ$2,FALSE),0)</f>
        <v>0</v>
      </c>
      <c r="AR164" s="372">
        <f>IFERROR(VLOOKUP($AO164,costs!$A$2:$I$2905,AR$2,FALSE),0)</f>
        <v>0</v>
      </c>
      <c r="AS164" s="372">
        <f>IFERROR(VLOOKUP($AO164,costs!$A$2:$I$2905,AS$2,FALSE),0)</f>
        <v>0</v>
      </c>
      <c r="AT164" s="372">
        <f>IFERROR(VLOOKUP($AO164,costs!$A$2:$I$2905,AT$2,FALSE),0)</f>
        <v>0</v>
      </c>
      <c r="AU164" s="372">
        <f>IFERROR(VLOOKUP($AO164,costs!$A$2:$I$2905,AU$2,FALSE),0)</f>
        <v>0</v>
      </c>
      <c r="AV164" s="372">
        <f>IFERROR(VLOOKUP($AO164,costs!$A$2:$I$2905,AV$2,FALSE),0)</f>
        <v>0</v>
      </c>
      <c r="AW164" s="372">
        <f>IFERROR(VLOOKUP($AO164,costs!$A$2:$I$2905,AW$2,FALSE),0)</f>
        <v>0</v>
      </c>
    </row>
    <row r="165" spans="1:49" x14ac:dyDescent="0.35">
      <c r="B165" s="900" t="s">
        <v>1165</v>
      </c>
      <c r="C165" s="900">
        <f>C154-C79</f>
        <v>150053.00446022657</v>
      </c>
      <c r="D165" s="900">
        <f t="shared" ref="D165:I165" si="27">D154-D79</f>
        <v>140446.22367246458</v>
      </c>
      <c r="E165" s="900">
        <f t="shared" si="27"/>
        <v>160312.6168077742</v>
      </c>
      <c r="F165" s="900">
        <f t="shared" si="27"/>
        <v>164872.67993220716</v>
      </c>
      <c r="G165" s="900">
        <f t="shared" si="27"/>
        <v>170766.79590091188</v>
      </c>
      <c r="H165" s="900">
        <f t="shared" si="27"/>
        <v>164241.76346091297</v>
      </c>
      <c r="I165" s="900">
        <f t="shared" si="27"/>
        <v>186324.07161377309</v>
      </c>
      <c r="U165" s="40"/>
      <c r="AO165" s="40" t="s">
        <v>446</v>
      </c>
      <c r="AP165" s="372">
        <f>IFERROR(VLOOKUP($AO165,costs!$A$2:$I$2905,AP$2,FALSE),0)</f>
        <v>0</v>
      </c>
      <c r="AQ165" s="372">
        <f>IFERROR(VLOOKUP($AO165,costs!$A$2:$I$2905,AQ$2,FALSE),0)</f>
        <v>0</v>
      </c>
      <c r="AR165" s="372">
        <f>IFERROR(VLOOKUP($AO165,costs!$A$2:$I$2905,AR$2,FALSE),0)</f>
        <v>0</v>
      </c>
      <c r="AS165" s="372">
        <f>IFERROR(VLOOKUP($AO165,costs!$A$2:$I$2905,AS$2,FALSE),0)</f>
        <v>0</v>
      </c>
      <c r="AT165" s="372">
        <f>IFERROR(VLOOKUP($AO165,costs!$A$2:$I$2905,AT$2,FALSE),0)</f>
        <v>0</v>
      </c>
      <c r="AU165" s="372">
        <f>IFERROR(VLOOKUP($AO165,costs!$A$2:$I$2905,AU$2,FALSE),0)</f>
        <v>0</v>
      </c>
      <c r="AV165" s="372">
        <f>IFERROR(VLOOKUP($AO165,costs!$A$2:$I$2905,AV$2,FALSE),0)</f>
        <v>0</v>
      </c>
      <c r="AW165" s="372">
        <f>IFERROR(VLOOKUP($AO165,costs!$A$2:$I$2905,AW$2,FALSE),0)</f>
        <v>0</v>
      </c>
    </row>
    <row r="166" spans="1:49" x14ac:dyDescent="0.35">
      <c r="B166" s="900" t="s">
        <v>1528</v>
      </c>
      <c r="C166" s="900" t="e">
        <f t="shared" ref="C166:I173" si="28">C155-C80</f>
        <v>#N/A</v>
      </c>
      <c r="D166" s="900" t="e">
        <f t="shared" si="28"/>
        <v>#N/A</v>
      </c>
      <c r="E166" s="900" t="e">
        <f t="shared" si="28"/>
        <v>#N/A</v>
      </c>
      <c r="F166" s="900" t="e">
        <f t="shared" si="28"/>
        <v>#N/A</v>
      </c>
      <c r="G166" s="900" t="e">
        <f t="shared" si="28"/>
        <v>#N/A</v>
      </c>
      <c r="H166" s="900" t="e">
        <f t="shared" si="28"/>
        <v>#N/A</v>
      </c>
      <c r="I166" s="900" t="e">
        <f t="shared" si="28"/>
        <v>#N/A</v>
      </c>
      <c r="U166" s="99" t="s">
        <v>2184</v>
      </c>
      <c r="V166" s="952" t="e">
        <f t="shared" ref="V166:AC166" si="29">1-AF110</f>
        <v>#N/A</v>
      </c>
      <c r="W166" s="952" t="e">
        <f t="shared" si="29"/>
        <v>#N/A</v>
      </c>
      <c r="X166" s="952" t="e">
        <f t="shared" si="29"/>
        <v>#N/A</v>
      </c>
      <c r="Y166" s="952" t="e">
        <f t="shared" si="29"/>
        <v>#N/A</v>
      </c>
      <c r="Z166" s="952" t="e">
        <f t="shared" si="29"/>
        <v>#N/A</v>
      </c>
      <c r="AA166" s="952" t="e">
        <f t="shared" si="29"/>
        <v>#N/A</v>
      </c>
      <c r="AB166" s="952" t="e">
        <f t="shared" si="29"/>
        <v>#N/A</v>
      </c>
      <c r="AC166" s="952" t="e">
        <f t="shared" si="29"/>
        <v>#N/A</v>
      </c>
      <c r="AO166" s="40" t="s">
        <v>2172</v>
      </c>
      <c r="AP166" s="372">
        <f>IFERROR(VLOOKUP($AO166,costs!$A$2:$I$2905,AP$2,FALSE),0)</f>
        <v>0</v>
      </c>
      <c r="AQ166" s="372">
        <f>IFERROR(VLOOKUP($AO166,costs!$A$2:$I$2905,AQ$2,FALSE),0)</f>
        <v>0</v>
      </c>
      <c r="AR166" s="372">
        <f>IFERROR(VLOOKUP($AO166,costs!$A$2:$I$2905,AR$2,FALSE),0)</f>
        <v>0</v>
      </c>
      <c r="AS166" s="372">
        <f>IFERROR(VLOOKUP($AO166,costs!$A$2:$I$2905,AS$2,FALSE),0)</f>
        <v>0</v>
      </c>
      <c r="AT166" s="372">
        <f>IFERROR(VLOOKUP($AO166,costs!$A$2:$I$2905,AT$2,FALSE),0)</f>
        <v>0</v>
      </c>
      <c r="AU166" s="372">
        <f>IFERROR(VLOOKUP($AO166,costs!$A$2:$I$2905,AU$2,FALSE),0)</f>
        <v>0</v>
      </c>
      <c r="AV166" s="372">
        <f>IFERROR(VLOOKUP($AO166,costs!$A$2:$I$2905,AV$2,FALSE),0)</f>
        <v>0</v>
      </c>
      <c r="AW166" s="372">
        <f>IFERROR(VLOOKUP($AO166,costs!$A$2:$I$2905,AW$2,FALSE),0)</f>
        <v>0</v>
      </c>
    </row>
    <row r="167" spans="1:49" x14ac:dyDescent="0.35">
      <c r="B167" s="900" t="s">
        <v>1468</v>
      </c>
      <c r="C167" s="900" t="e">
        <f t="shared" si="28"/>
        <v>#N/A</v>
      </c>
      <c r="D167" s="900" t="e">
        <f t="shared" si="28"/>
        <v>#N/A</v>
      </c>
      <c r="E167" s="900" t="e">
        <f t="shared" si="28"/>
        <v>#N/A</v>
      </c>
      <c r="F167" s="900" t="e">
        <f t="shared" si="28"/>
        <v>#N/A</v>
      </c>
      <c r="G167" s="900" t="e">
        <f t="shared" si="28"/>
        <v>#N/A</v>
      </c>
      <c r="H167" s="900" t="e">
        <f t="shared" si="28"/>
        <v>#N/A</v>
      </c>
      <c r="I167" s="900" t="e">
        <f t="shared" si="28"/>
        <v>#N/A</v>
      </c>
      <c r="U167" s="99" t="s">
        <v>2178</v>
      </c>
      <c r="V167" s="133" t="e">
        <f t="shared" ref="V167:AB167" si="30">V166*AP267+AP266</f>
        <v>#N/A</v>
      </c>
      <c r="W167" s="133" t="e">
        <f t="shared" si="30"/>
        <v>#N/A</v>
      </c>
      <c r="X167" s="133" t="e">
        <f t="shared" si="30"/>
        <v>#N/A</v>
      </c>
      <c r="Y167" s="133" t="e">
        <f t="shared" si="30"/>
        <v>#N/A</v>
      </c>
      <c r="Z167" s="133" t="e">
        <f t="shared" si="30"/>
        <v>#N/A</v>
      </c>
      <c r="AA167" s="133" t="e">
        <f t="shared" si="30"/>
        <v>#N/A</v>
      </c>
      <c r="AB167" s="133" t="e">
        <f t="shared" si="30"/>
        <v>#N/A</v>
      </c>
      <c r="AC167" s="133" t="e">
        <f>AC166*AW267+AW266</f>
        <v>#N/A</v>
      </c>
      <c r="AO167" s="40" t="s">
        <v>447</v>
      </c>
      <c r="AP167" s="372">
        <f>IFERROR(VLOOKUP($AO167,costs!$A$2:$I$2905,AP$2,FALSE),0)</f>
        <v>0</v>
      </c>
      <c r="AQ167" s="372">
        <f>IFERROR(VLOOKUP($AO167,costs!$A$2:$I$2905,AQ$2,FALSE),0)</f>
        <v>0</v>
      </c>
      <c r="AR167" s="372">
        <f>IFERROR(VLOOKUP($AO167,costs!$A$2:$I$2905,AR$2,FALSE),0)</f>
        <v>0</v>
      </c>
      <c r="AS167" s="372">
        <f>IFERROR(VLOOKUP($AO167,costs!$A$2:$I$2905,AS$2,FALSE),0)</f>
        <v>0</v>
      </c>
      <c r="AT167" s="372">
        <f>IFERROR(VLOOKUP($AO167,costs!$A$2:$I$2905,AT$2,FALSE),0)</f>
        <v>0</v>
      </c>
      <c r="AU167" s="372">
        <f>IFERROR(VLOOKUP($AO167,costs!$A$2:$I$2905,AU$2,FALSE),0)</f>
        <v>0</v>
      </c>
      <c r="AV167" s="372">
        <f>IFERROR(VLOOKUP($AO167,costs!$A$2:$I$2905,AV$2,FALSE),0)</f>
        <v>0</v>
      </c>
      <c r="AW167" s="372">
        <f>IFERROR(VLOOKUP($AO167,costs!$A$2:$I$2905,AW$2,FALSE),0)</f>
        <v>0</v>
      </c>
    </row>
    <row r="168" spans="1:49" x14ac:dyDescent="0.35">
      <c r="B168" s="900" t="s">
        <v>2289</v>
      </c>
      <c r="C168" s="900">
        <f t="shared" si="28"/>
        <v>38841.119383468562</v>
      </c>
      <c r="D168" s="900">
        <f t="shared" si="28"/>
        <v>37626.070792662373</v>
      </c>
      <c r="E168" s="900">
        <f t="shared" si="28"/>
        <v>46643.133709667738</v>
      </c>
      <c r="F168" s="900">
        <f t="shared" si="28"/>
        <v>52226.491311243226</v>
      </c>
      <c r="G168" s="900">
        <f t="shared" si="28"/>
        <v>54864.669320994464</v>
      </c>
      <c r="H168" s="900">
        <f t="shared" si="28"/>
        <v>63993.605966497656</v>
      </c>
      <c r="I168" s="900">
        <f t="shared" si="28"/>
        <v>72491.440946551709</v>
      </c>
      <c r="U168" s="40"/>
      <c r="AO168" s="40" t="s">
        <v>2173</v>
      </c>
      <c r="AP168" s="372">
        <f>IFERROR(VLOOKUP($AO168,costs!$A$2:$I$2905,AP$2,FALSE),0)</f>
        <v>0</v>
      </c>
      <c r="AQ168" s="372">
        <f>IFERROR(VLOOKUP($AO168,costs!$A$2:$I$2905,AQ$2,FALSE),0)</f>
        <v>0</v>
      </c>
      <c r="AR168" s="372">
        <f>IFERROR(VLOOKUP($AO168,costs!$A$2:$I$2905,AR$2,FALSE),0)</f>
        <v>0</v>
      </c>
      <c r="AS168" s="372">
        <f>IFERROR(VLOOKUP($AO168,costs!$A$2:$I$2905,AS$2,FALSE),0)</f>
        <v>0</v>
      </c>
      <c r="AT168" s="372">
        <f>IFERROR(VLOOKUP($AO168,costs!$A$2:$I$2905,AT$2,FALSE),0)</f>
        <v>0</v>
      </c>
      <c r="AU168" s="372">
        <f>IFERROR(VLOOKUP($AO168,costs!$A$2:$I$2905,AU$2,FALSE),0)</f>
        <v>0</v>
      </c>
      <c r="AV168" s="372">
        <f>IFERROR(VLOOKUP($AO168,costs!$A$2:$I$2905,AV$2,FALSE),0)</f>
        <v>0</v>
      </c>
      <c r="AW168" s="372">
        <f>IFERROR(VLOOKUP($AO168,costs!$A$2:$I$2905,AW$2,FALSE),0)</f>
        <v>0</v>
      </c>
    </row>
    <row r="169" spans="1:49" x14ac:dyDescent="0.35">
      <c r="B169" s="900" t="s">
        <v>2290</v>
      </c>
      <c r="C169" s="900">
        <f t="shared" si="28"/>
        <v>27119.329075158144</v>
      </c>
      <c r="D169" s="900">
        <f t="shared" si="28"/>
        <v>25343.780395972703</v>
      </c>
      <c r="E169" s="900">
        <f t="shared" si="28"/>
        <v>32142.365605597697</v>
      </c>
      <c r="F169" s="900">
        <f t="shared" si="28"/>
        <v>39817.062995501117</v>
      </c>
      <c r="G169" s="900">
        <f t="shared" si="28"/>
        <v>47826.7806890262</v>
      </c>
      <c r="H169" s="900">
        <f t="shared" si="28"/>
        <v>55676.68589829214</v>
      </c>
      <c r="I169" s="900">
        <f t="shared" si="28"/>
        <v>59518.795602867205</v>
      </c>
      <c r="U169" s="99" t="s">
        <v>1229</v>
      </c>
      <c r="V169" s="133" t="e">
        <f>V164+V82+V167</f>
        <v>#N/A</v>
      </c>
      <c r="W169" s="133" t="e">
        <f t="shared" ref="W169:AC169" si="31">W164+W82+W167</f>
        <v>#N/A</v>
      </c>
      <c r="X169" s="133" t="e">
        <f t="shared" si="31"/>
        <v>#N/A</v>
      </c>
      <c r="Y169" s="133" t="e">
        <f t="shared" si="31"/>
        <v>#N/A</v>
      </c>
      <c r="Z169" s="133" t="e">
        <f t="shared" si="31"/>
        <v>#N/A</v>
      </c>
      <c r="AA169" s="133" t="e">
        <f t="shared" si="31"/>
        <v>#N/A</v>
      </c>
      <c r="AB169" s="133" t="e">
        <f t="shared" si="31"/>
        <v>#N/A</v>
      </c>
      <c r="AC169" s="133" t="e">
        <f t="shared" si="31"/>
        <v>#N/A</v>
      </c>
      <c r="AO169" s="40" t="s">
        <v>448</v>
      </c>
      <c r="AP169" s="372">
        <f>IFERROR(VLOOKUP($AO169,costs!$A$2:$I$2905,AP$2,FALSE),0)</f>
        <v>0</v>
      </c>
      <c r="AQ169" s="372">
        <f>IFERROR(VLOOKUP($AO169,costs!$A$2:$I$2905,AQ$2,FALSE),0)</f>
        <v>0</v>
      </c>
      <c r="AR169" s="372">
        <f>IFERROR(VLOOKUP($AO169,costs!$A$2:$I$2905,AR$2,FALSE),0)</f>
        <v>0</v>
      </c>
      <c r="AS169" s="372">
        <f>IFERROR(VLOOKUP($AO169,costs!$A$2:$I$2905,AS$2,FALSE),0)</f>
        <v>0</v>
      </c>
      <c r="AT169" s="372">
        <f>IFERROR(VLOOKUP($AO169,costs!$A$2:$I$2905,AT$2,FALSE),0)</f>
        <v>0</v>
      </c>
      <c r="AU169" s="372">
        <f>IFERROR(VLOOKUP($AO169,costs!$A$2:$I$2905,AU$2,FALSE),0)</f>
        <v>0</v>
      </c>
      <c r="AV169" s="372">
        <f>IFERROR(VLOOKUP($AO169,costs!$A$2:$I$2905,AV$2,FALSE),0)</f>
        <v>0</v>
      </c>
      <c r="AW169" s="372">
        <f>IFERROR(VLOOKUP($AO169,costs!$A$2:$I$2905,AW$2,FALSE),0)</f>
        <v>0</v>
      </c>
    </row>
    <row r="170" spans="1:49" ht="15" thickBot="1" x14ac:dyDescent="0.4">
      <c r="B170" s="900" t="s">
        <v>2291</v>
      </c>
      <c r="C170" s="900">
        <f t="shared" si="28"/>
        <v>6197.6708834576557</v>
      </c>
      <c r="D170" s="900">
        <f t="shared" si="28"/>
        <v>5812.4969742733047</v>
      </c>
      <c r="E170" s="900">
        <f t="shared" si="28"/>
        <v>6162.334007963218</v>
      </c>
      <c r="F170" s="900">
        <f t="shared" si="28"/>
        <v>6665.3244859681226</v>
      </c>
      <c r="G170" s="900">
        <f t="shared" si="28"/>
        <v>7800.7129656786174</v>
      </c>
      <c r="H170" s="900">
        <f t="shared" si="28"/>
        <v>9294.4788824807256</v>
      </c>
      <c r="I170" s="900">
        <f t="shared" si="28"/>
        <v>10573.93246049019</v>
      </c>
      <c r="U170" s="41"/>
      <c r="V170" s="77"/>
      <c r="W170" s="77"/>
      <c r="X170" s="77"/>
      <c r="Y170" s="77"/>
      <c r="Z170" s="77"/>
      <c r="AA170" s="77"/>
      <c r="AB170" s="77"/>
      <c r="AC170" s="77"/>
      <c r="AO170" s="40" t="s">
        <v>2174</v>
      </c>
      <c r="AP170" s="372">
        <f>IFERROR(VLOOKUP($AO170,costs!$A$2:$I$2905,AP$2,FALSE),0)</f>
        <v>0</v>
      </c>
      <c r="AQ170" s="372">
        <f>IFERROR(VLOOKUP($AO170,costs!$A$2:$I$2905,AQ$2,FALSE),0)</f>
        <v>0</v>
      </c>
      <c r="AR170" s="372">
        <f>IFERROR(VLOOKUP($AO170,costs!$A$2:$I$2905,AR$2,FALSE),0)</f>
        <v>0</v>
      </c>
      <c r="AS170" s="372">
        <f>IFERROR(VLOOKUP($AO170,costs!$A$2:$I$2905,AS$2,FALSE),0)</f>
        <v>0</v>
      </c>
      <c r="AT170" s="372">
        <f>IFERROR(VLOOKUP($AO170,costs!$A$2:$I$2905,AT$2,FALSE),0)</f>
        <v>0</v>
      </c>
      <c r="AU170" s="372">
        <f>IFERROR(VLOOKUP($AO170,costs!$A$2:$I$2905,AU$2,FALSE),0)</f>
        <v>0</v>
      </c>
      <c r="AV170" s="372">
        <f>IFERROR(VLOOKUP($AO170,costs!$A$2:$I$2905,AV$2,FALSE),0)</f>
        <v>0</v>
      </c>
      <c r="AW170" s="372">
        <f>IFERROR(VLOOKUP($AO170,costs!$A$2:$I$2905,AW$2,FALSE),0)</f>
        <v>0</v>
      </c>
    </row>
    <row r="171" spans="1:49" x14ac:dyDescent="0.35">
      <c r="B171" s="900" t="s">
        <v>2292</v>
      </c>
      <c r="C171" s="900">
        <f t="shared" si="28"/>
        <v>5537.0290548025632</v>
      </c>
      <c r="D171" s="900">
        <f t="shared" si="28"/>
        <v>6691.4340723028727</v>
      </c>
      <c r="E171" s="900">
        <f t="shared" si="28"/>
        <v>18410.183114896583</v>
      </c>
      <c r="F171" s="900">
        <f t="shared" si="28"/>
        <v>31685.831412821124</v>
      </c>
      <c r="G171" s="900">
        <f t="shared" si="28"/>
        <v>34754.20578942218</v>
      </c>
      <c r="H171" s="900">
        <f t="shared" si="28"/>
        <v>43214.532288302042</v>
      </c>
      <c r="I171" s="900">
        <f t="shared" si="28"/>
        <v>43510.334931250356</v>
      </c>
      <c r="AO171" s="40" t="s">
        <v>449</v>
      </c>
      <c r="AP171" s="372">
        <f>IFERROR(VLOOKUP($AO171,costs!$A$2:$I$2905,AP$2,FALSE),0)</f>
        <v>0</v>
      </c>
      <c r="AQ171" s="372">
        <f>IFERROR(VLOOKUP($AO171,costs!$A$2:$I$2905,AQ$2,FALSE),0)</f>
        <v>0</v>
      </c>
      <c r="AR171" s="372">
        <f>IFERROR(VLOOKUP($AO171,costs!$A$2:$I$2905,AR$2,FALSE),0)</f>
        <v>0</v>
      </c>
      <c r="AS171" s="372">
        <f>IFERROR(VLOOKUP($AO171,costs!$A$2:$I$2905,AS$2,FALSE),0)</f>
        <v>0</v>
      </c>
      <c r="AT171" s="372">
        <f>IFERROR(VLOOKUP($AO171,costs!$A$2:$I$2905,AT$2,FALSE),0)</f>
        <v>0</v>
      </c>
      <c r="AU171" s="372">
        <f>IFERROR(VLOOKUP($AO171,costs!$A$2:$I$2905,AU$2,FALSE),0)</f>
        <v>0</v>
      </c>
      <c r="AV171" s="372">
        <f>IFERROR(VLOOKUP($AO171,costs!$A$2:$I$2905,AV$2,FALSE),0)</f>
        <v>0</v>
      </c>
      <c r="AW171" s="372">
        <f>IFERROR(VLOOKUP($AO171,costs!$A$2:$I$2905,AW$2,FALSE),0)</f>
        <v>0</v>
      </c>
    </row>
    <row r="172" spans="1:49" x14ac:dyDescent="0.35">
      <c r="B172" s="900" t="s">
        <v>2293</v>
      </c>
      <c r="C172" s="900">
        <f t="shared" si="28"/>
        <v>89839.860137714975</v>
      </c>
      <c r="D172" s="900">
        <f t="shared" si="28"/>
        <v>85763.020051506988</v>
      </c>
      <c r="E172" s="900">
        <f t="shared" si="28"/>
        <v>64591.453668726419</v>
      </c>
      <c r="F172" s="900">
        <f t="shared" si="28"/>
        <v>46637.680948638663</v>
      </c>
      <c r="G172" s="900">
        <f t="shared" si="28"/>
        <v>21375.708021733524</v>
      </c>
      <c r="H172" s="900">
        <f t="shared" si="28"/>
        <v>4541.0105165959612</v>
      </c>
      <c r="I172" s="900">
        <f t="shared" si="28"/>
        <v>558.70318855355583</v>
      </c>
      <c r="AO172" s="40" t="s">
        <v>2175</v>
      </c>
      <c r="AP172" s="372">
        <f>IFERROR(VLOOKUP($AO172,costs!$A$2:$I$2905,AP$2,FALSE),0)</f>
        <v>0</v>
      </c>
      <c r="AQ172" s="372">
        <f>IFERROR(VLOOKUP($AO172,costs!$A$2:$I$2905,AQ$2,FALSE),0)</f>
        <v>0</v>
      </c>
      <c r="AR172" s="372">
        <f>IFERROR(VLOOKUP($AO172,costs!$A$2:$I$2905,AR$2,FALSE),0)</f>
        <v>0</v>
      </c>
      <c r="AS172" s="372">
        <f>IFERROR(VLOOKUP($AO172,costs!$A$2:$I$2905,AS$2,FALSE),0)</f>
        <v>0</v>
      </c>
      <c r="AT172" s="372">
        <f>IFERROR(VLOOKUP($AO172,costs!$A$2:$I$2905,AT$2,FALSE),0)</f>
        <v>0</v>
      </c>
      <c r="AU172" s="372">
        <f>IFERROR(VLOOKUP($AO172,costs!$A$2:$I$2905,AU$2,FALSE),0)</f>
        <v>0</v>
      </c>
      <c r="AV172" s="372">
        <f>IFERROR(VLOOKUP($AO172,costs!$A$2:$I$2905,AV$2,FALSE),0)</f>
        <v>0</v>
      </c>
      <c r="AW172" s="372">
        <f>IFERROR(VLOOKUP($AO172,costs!$A$2:$I$2905,AW$2,FALSE),0)</f>
        <v>0</v>
      </c>
    </row>
    <row r="173" spans="1:49" x14ac:dyDescent="0.35">
      <c r="B173" s="900" t="s">
        <v>2342</v>
      </c>
      <c r="C173" s="900" t="e">
        <f t="shared" si="28"/>
        <v>#N/A</v>
      </c>
      <c r="D173" s="900" t="e">
        <f t="shared" si="28"/>
        <v>#N/A</v>
      </c>
      <c r="E173" s="900" t="e">
        <f t="shared" si="28"/>
        <v>#N/A</v>
      </c>
      <c r="F173" s="900" t="e">
        <f t="shared" si="28"/>
        <v>#N/A</v>
      </c>
      <c r="G173" s="900" t="e">
        <f t="shared" si="28"/>
        <v>#N/A</v>
      </c>
      <c r="H173" s="900" t="e">
        <f t="shared" si="28"/>
        <v>#N/A</v>
      </c>
      <c r="I173" s="900" t="e">
        <f t="shared" si="28"/>
        <v>#N/A</v>
      </c>
      <c r="AO173" s="40" t="s">
        <v>450</v>
      </c>
      <c r="AP173" s="372">
        <f>IFERROR(VLOOKUP($AO173,costs!$A$2:$I$2905,AP$2,FALSE),0)</f>
        <v>0</v>
      </c>
      <c r="AQ173" s="372">
        <f>IFERROR(VLOOKUP($AO173,costs!$A$2:$I$2905,AQ$2,FALSE),0)</f>
        <v>0</v>
      </c>
      <c r="AR173" s="372">
        <f>IFERROR(VLOOKUP($AO173,costs!$A$2:$I$2905,AR$2,FALSE),0)</f>
        <v>0</v>
      </c>
      <c r="AS173" s="372">
        <f>IFERROR(VLOOKUP($AO173,costs!$A$2:$I$2905,AS$2,FALSE),0)</f>
        <v>0</v>
      </c>
      <c r="AT173" s="372">
        <f>IFERROR(VLOOKUP($AO173,costs!$A$2:$I$2905,AT$2,FALSE),0)</f>
        <v>0</v>
      </c>
      <c r="AU173" s="372">
        <f>IFERROR(VLOOKUP($AO173,costs!$A$2:$I$2905,AU$2,FALSE),0)</f>
        <v>0</v>
      </c>
      <c r="AV173" s="372">
        <f>IFERROR(VLOOKUP($AO173,costs!$A$2:$I$2905,AV$2,FALSE),0)</f>
        <v>0</v>
      </c>
      <c r="AW173" s="372">
        <f>IFERROR(VLOOKUP($AO173,costs!$A$2:$I$2905,AW$2,FALSE),0)</f>
        <v>0</v>
      </c>
    </row>
    <row r="174" spans="1:49" x14ac:dyDescent="0.35">
      <c r="AO174" s="40" t="s">
        <v>2176</v>
      </c>
      <c r="AP174" s="372">
        <f>IFERROR(VLOOKUP($AO174,costs!$A$2:$I$2905,AP$2,FALSE),0)</f>
        <v>0</v>
      </c>
      <c r="AQ174" s="372">
        <f>IFERROR(VLOOKUP($AO174,costs!$A$2:$I$2905,AQ$2,FALSE),0)</f>
        <v>0</v>
      </c>
      <c r="AR174" s="372">
        <f>IFERROR(VLOOKUP($AO174,costs!$A$2:$I$2905,AR$2,FALSE),0)</f>
        <v>0</v>
      </c>
      <c r="AS174" s="372">
        <f>IFERROR(VLOOKUP($AO174,costs!$A$2:$I$2905,AS$2,FALSE),0)</f>
        <v>0</v>
      </c>
      <c r="AT174" s="372">
        <f>IFERROR(VLOOKUP($AO174,costs!$A$2:$I$2905,AT$2,FALSE),0)</f>
        <v>0</v>
      </c>
      <c r="AU174" s="372">
        <f>IFERROR(VLOOKUP($AO174,costs!$A$2:$I$2905,AU$2,FALSE),0)</f>
        <v>0</v>
      </c>
      <c r="AV174" s="372">
        <f>IFERROR(VLOOKUP($AO174,costs!$A$2:$I$2905,AV$2,FALSE),0)</f>
        <v>0</v>
      </c>
      <c r="AW174" s="372">
        <f>IFERROR(VLOOKUP($AO174,costs!$A$2:$I$2905,AW$2,FALSE),0)</f>
        <v>0</v>
      </c>
    </row>
    <row r="175" spans="1:49" x14ac:dyDescent="0.35">
      <c r="A175" s="133" t="s">
        <v>4465</v>
      </c>
      <c r="B175" s="900" t="s">
        <v>1417</v>
      </c>
      <c r="C175" s="900">
        <v>2020</v>
      </c>
      <c r="D175" s="900">
        <v>2025</v>
      </c>
      <c r="E175" s="900">
        <v>2030</v>
      </c>
      <c r="F175" s="900">
        <v>2035</v>
      </c>
      <c r="G175" s="900">
        <v>2040</v>
      </c>
      <c r="H175" s="900">
        <v>2045</v>
      </c>
      <c r="I175" s="900">
        <v>2050</v>
      </c>
      <c r="AO175" s="40" t="s">
        <v>458</v>
      </c>
      <c r="AP175" s="372">
        <f>IFERROR(VLOOKUP($AO175,costs!$A$2:$I$2905,AP$2,FALSE),0)</f>
        <v>0</v>
      </c>
      <c r="AQ175" s="372">
        <f>IFERROR(VLOOKUP($AO175,costs!$A$2:$I$2905,AQ$2,FALSE),0)</f>
        <v>0</v>
      </c>
      <c r="AR175" s="372">
        <f>IFERROR(VLOOKUP($AO175,costs!$A$2:$I$2905,AR$2,FALSE),0)</f>
        <v>0</v>
      </c>
      <c r="AS175" s="372">
        <f>IFERROR(VLOOKUP($AO175,costs!$A$2:$I$2905,AS$2,FALSE),0)</f>
        <v>0</v>
      </c>
      <c r="AT175" s="372">
        <f>IFERROR(VLOOKUP($AO175,costs!$A$2:$I$2905,AT$2,FALSE),0)</f>
        <v>0</v>
      </c>
      <c r="AU175" s="372">
        <f>IFERROR(VLOOKUP($AO175,costs!$A$2:$I$2905,AU$2,FALSE),0)</f>
        <v>0</v>
      </c>
      <c r="AV175" s="372">
        <f>IFERROR(VLOOKUP($AO175,costs!$A$2:$I$2905,AV$2,FALSE),0)</f>
        <v>0</v>
      </c>
      <c r="AW175" s="372">
        <f>IFERROR(VLOOKUP($AO175,costs!$A$2:$I$2905,AW$2,FALSE),0)</f>
        <v>0</v>
      </c>
    </row>
    <row r="176" spans="1:49" x14ac:dyDescent="0.35">
      <c r="B176" s="900" t="s">
        <v>1165</v>
      </c>
      <c r="C176" s="900">
        <v>150053.16209379569</v>
      </c>
      <c r="D176" s="900">
        <v>140877.3094197599</v>
      </c>
      <c r="E176" s="900">
        <v>143462.49681424699</v>
      </c>
      <c r="F176" s="900">
        <v>167241.06580272288</v>
      </c>
      <c r="G176" s="900">
        <v>162092.15566606092</v>
      </c>
      <c r="H176" s="900">
        <v>175399.01508368421</v>
      </c>
      <c r="AO176" s="40" t="s">
        <v>2177</v>
      </c>
      <c r="AP176" s="372">
        <f>IFERROR(VLOOKUP($AO176,costs!$A$2:$I$2905,AP$2,FALSE),0)</f>
        <v>0</v>
      </c>
      <c r="AQ176" s="372">
        <f>IFERROR(VLOOKUP($AO176,costs!$A$2:$I$2905,AQ$2,FALSE),0)</f>
        <v>0</v>
      </c>
      <c r="AR176" s="372">
        <f>IFERROR(VLOOKUP($AO176,costs!$A$2:$I$2905,AR$2,FALSE),0)</f>
        <v>0</v>
      </c>
      <c r="AS176" s="372">
        <f>IFERROR(VLOOKUP($AO176,costs!$A$2:$I$2905,AS$2,FALSE),0)</f>
        <v>0</v>
      </c>
      <c r="AT176" s="372">
        <f>IFERROR(VLOOKUP($AO176,costs!$A$2:$I$2905,AT$2,FALSE),0)</f>
        <v>0</v>
      </c>
      <c r="AU176" s="372">
        <f>IFERROR(VLOOKUP($AO176,costs!$A$2:$I$2905,AU$2,FALSE),0)</f>
        <v>0</v>
      </c>
      <c r="AV176" s="372">
        <f>IFERROR(VLOOKUP($AO176,costs!$A$2:$I$2905,AV$2,FALSE),0)</f>
        <v>0</v>
      </c>
      <c r="AW176" s="372">
        <f>IFERROR(VLOOKUP($AO176,costs!$A$2:$I$2905,AW$2,FALSE),0)</f>
        <v>0</v>
      </c>
    </row>
    <row r="177" spans="1:49" x14ac:dyDescent="0.35">
      <c r="B177" s="900" t="s">
        <v>1528</v>
      </c>
      <c r="C177" s="900">
        <v>107367.366873348</v>
      </c>
      <c r="D177" s="900">
        <v>107819.19738498023</v>
      </c>
      <c r="E177" s="900">
        <v>114588.14236844654</v>
      </c>
      <c r="F177" s="900">
        <v>122620.84765373515</v>
      </c>
      <c r="G177" s="900">
        <v>127173.21389035197</v>
      </c>
      <c r="H177" s="900">
        <v>137163.84070526017</v>
      </c>
      <c r="AO177" s="40" t="s">
        <v>517</v>
      </c>
      <c r="AP177" s="372">
        <f>IFERROR(VLOOKUP($AO177,costs!$A$2:$I$2905,AP$2,FALSE),0)</f>
        <v>0</v>
      </c>
      <c r="AQ177" s="372">
        <f>IFERROR(VLOOKUP($AO177,costs!$A$2:$I$2905,AQ$2,FALSE),0)</f>
        <v>0</v>
      </c>
      <c r="AR177" s="372">
        <f>IFERROR(VLOOKUP($AO177,costs!$A$2:$I$2905,AR$2,FALSE),0)</f>
        <v>0</v>
      </c>
      <c r="AS177" s="372">
        <f>IFERROR(VLOOKUP($AO177,costs!$A$2:$I$2905,AS$2,FALSE),0)</f>
        <v>0</v>
      </c>
      <c r="AT177" s="372">
        <f>IFERROR(VLOOKUP($AO177,costs!$A$2:$I$2905,AT$2,FALSE),0)</f>
        <v>0</v>
      </c>
      <c r="AU177" s="372">
        <f>IFERROR(VLOOKUP($AO177,costs!$A$2:$I$2905,AU$2,FALSE),0)</f>
        <v>0</v>
      </c>
      <c r="AV177" s="372">
        <f>IFERROR(VLOOKUP($AO177,costs!$A$2:$I$2905,AV$2,FALSE),0)</f>
        <v>0</v>
      </c>
      <c r="AW177" s="372">
        <f>IFERROR(VLOOKUP($AO177,costs!$A$2:$I$2905,AW$2,FALSE),0)</f>
        <v>0</v>
      </c>
    </row>
    <row r="178" spans="1:49" x14ac:dyDescent="0.35">
      <c r="B178" s="900" t="s">
        <v>1468</v>
      </c>
      <c r="C178" s="900">
        <v>36111.507026760584</v>
      </c>
      <c r="D178" s="900">
        <v>37303.000957455602</v>
      </c>
      <c r="E178" s="900">
        <v>39228.203380336578</v>
      </c>
      <c r="F178" s="900">
        <v>40742.834928808865</v>
      </c>
      <c r="G178" s="900">
        <v>43269.937303433115</v>
      </c>
      <c r="H178" s="900">
        <v>45025.219535764889</v>
      </c>
      <c r="AO178" s="949" t="s">
        <v>510</v>
      </c>
      <c r="AP178" s="372">
        <f>IFERROR(VLOOKUP($AO178,costs!$A$2:$I$2905,AP$2,FALSE),0)</f>
        <v>0</v>
      </c>
      <c r="AQ178" s="372">
        <f>IFERROR(VLOOKUP($AO178,costs!$A$2:$I$2905,AQ$2,FALSE),0)</f>
        <v>0</v>
      </c>
      <c r="AR178" s="372">
        <f>IFERROR(VLOOKUP($AO178,costs!$A$2:$I$2905,AR$2,FALSE),0)</f>
        <v>0</v>
      </c>
      <c r="AS178" s="372">
        <f>IFERROR(VLOOKUP($AO178,costs!$A$2:$I$2905,AS$2,FALSE),0)</f>
        <v>0</v>
      </c>
      <c r="AT178" s="372">
        <f>IFERROR(VLOOKUP($AO178,costs!$A$2:$I$2905,AT$2,FALSE),0)</f>
        <v>0</v>
      </c>
      <c r="AU178" s="372">
        <f>IFERROR(VLOOKUP($AO178,costs!$A$2:$I$2905,AU$2,FALSE),0)</f>
        <v>0</v>
      </c>
      <c r="AV178" s="372">
        <f>IFERROR(VLOOKUP($AO178,costs!$A$2:$I$2905,AV$2,FALSE),0)</f>
        <v>0</v>
      </c>
      <c r="AW178" s="372">
        <f>IFERROR(VLOOKUP($AO178,costs!$A$2:$I$2905,AW$2,FALSE),0)</f>
        <v>0</v>
      </c>
    </row>
    <row r="179" spans="1:49" x14ac:dyDescent="0.35">
      <c r="B179" s="900" t="s">
        <v>2289</v>
      </c>
      <c r="C179" s="900">
        <v>38840.045851486713</v>
      </c>
      <c r="D179" s="900">
        <v>39584.870012703999</v>
      </c>
      <c r="E179" s="900">
        <v>49658.809511660816</v>
      </c>
      <c r="F179" s="900">
        <v>61448.009827019683</v>
      </c>
      <c r="G179" s="900">
        <v>64690.894208093523</v>
      </c>
      <c r="H179" s="900">
        <v>83497.368079667882</v>
      </c>
      <c r="AO179" s="278" t="s">
        <v>2182</v>
      </c>
      <c r="AP179" s="950">
        <f>SUM(AP86:AP178)</f>
        <v>0</v>
      </c>
      <c r="AQ179" s="950">
        <f t="shared" ref="AQ179:AW179" si="32">SUM(AQ86:AQ178)</f>
        <v>0</v>
      </c>
      <c r="AR179" s="950">
        <f t="shared" si="32"/>
        <v>0</v>
      </c>
      <c r="AS179" s="950">
        <f t="shared" si="32"/>
        <v>0</v>
      </c>
      <c r="AT179" s="950">
        <f t="shared" si="32"/>
        <v>0</v>
      </c>
      <c r="AU179" s="950">
        <f>SUM(AU86:AU178)</f>
        <v>0</v>
      </c>
      <c r="AV179" s="950">
        <f t="shared" si="32"/>
        <v>0</v>
      </c>
      <c r="AW179" s="950">
        <f t="shared" si="32"/>
        <v>0</v>
      </c>
    </row>
    <row r="180" spans="1:49" x14ac:dyDescent="0.35">
      <c r="B180" s="900" t="s">
        <v>2290</v>
      </c>
      <c r="C180" s="900">
        <v>27124.886342278271</v>
      </c>
      <c r="D180" s="900">
        <v>26708.530468860128</v>
      </c>
      <c r="E180" s="900">
        <v>31628.509798469535</v>
      </c>
      <c r="F180" s="900">
        <v>42201.067624512689</v>
      </c>
      <c r="G180" s="900">
        <v>48813.212538600368</v>
      </c>
      <c r="H180" s="900">
        <v>62792.311940781219</v>
      </c>
      <c r="AO180" s="99" t="s">
        <v>1657</v>
      </c>
      <c r="AP180" s="372"/>
      <c r="AQ180" s="372"/>
      <c r="AR180" s="372"/>
      <c r="AS180" s="372"/>
      <c r="AT180" s="372"/>
      <c r="AU180" s="372"/>
      <c r="AV180" s="372"/>
      <c r="AW180" s="372"/>
    </row>
    <row r="181" spans="1:49" x14ac:dyDescent="0.35">
      <c r="B181" s="900" t="s">
        <v>2291</v>
      </c>
      <c r="C181" s="900">
        <v>6199.085757814546</v>
      </c>
      <c r="D181" s="900">
        <v>6203.1111728178585</v>
      </c>
      <c r="E181" s="900">
        <v>6080.9326116779366</v>
      </c>
      <c r="F181" s="900">
        <v>6577.5338767854337</v>
      </c>
      <c r="G181" s="900">
        <v>7625.5678368172257</v>
      </c>
      <c r="H181" s="900">
        <v>10738.199898221465</v>
      </c>
      <c r="AO181" s="949" t="s">
        <v>238</v>
      </c>
      <c r="AP181" s="372">
        <f>IFERROR(VLOOKUP($AO181,costs!$A$2:$I$2905,AP$2,FALSE),0)</f>
        <v>0</v>
      </c>
      <c r="AQ181" s="372">
        <f>IFERROR(VLOOKUP($AO181,costs!$A$2:$I$2905,AQ$2,FALSE),0)</f>
        <v>0</v>
      </c>
      <c r="AR181" s="372">
        <f>IFERROR(VLOOKUP($AO181,costs!$A$2:$I$2905,AR$2,FALSE),0)</f>
        <v>0</v>
      </c>
      <c r="AS181" s="372">
        <f>IFERROR(VLOOKUP($AO181,costs!$A$2:$I$2905,AS$2,FALSE),0)</f>
        <v>0</v>
      </c>
      <c r="AT181" s="372">
        <f>IFERROR(VLOOKUP($AO181,costs!$A$2:$I$2905,AT$2,FALSE),0)</f>
        <v>0</v>
      </c>
      <c r="AU181" s="372">
        <f>IFERROR(VLOOKUP($AO181,costs!$A$2:$I$2905,AU$2,FALSE),0)</f>
        <v>0</v>
      </c>
      <c r="AV181" s="372">
        <f>IFERROR(VLOOKUP($AO181,costs!$A$2:$I$2905,AV$2,FALSE),0)</f>
        <v>0</v>
      </c>
      <c r="AW181" s="372">
        <f>IFERROR(VLOOKUP($AO181,costs!$A$2:$I$2905,AW$2,FALSE),0)</f>
        <v>0</v>
      </c>
    </row>
    <row r="182" spans="1:49" x14ac:dyDescent="0.35">
      <c r="B182" s="900" t="s">
        <v>2292</v>
      </c>
      <c r="C182" s="900">
        <v>5537.2697595802319</v>
      </c>
      <c r="D182" s="900">
        <v>6132.3757180717339</v>
      </c>
      <c r="E182" s="900">
        <v>17300.835459500708</v>
      </c>
      <c r="F182" s="900">
        <v>29380.366793313267</v>
      </c>
      <c r="G182" s="900">
        <v>28917.470912978904</v>
      </c>
      <c r="H182" s="900">
        <v>36563.882251646173</v>
      </c>
      <c r="AO182" s="40" t="s">
        <v>239</v>
      </c>
      <c r="AP182" s="372">
        <f>IFERROR(VLOOKUP($AO182,costs!$A$2:$I$2905,AP$2,FALSE),0)</f>
        <v>0</v>
      </c>
      <c r="AQ182" s="372">
        <f>IFERROR(VLOOKUP($AO182,costs!$A$2:$I$2905,AQ$2,FALSE),0)</f>
        <v>0</v>
      </c>
      <c r="AR182" s="372">
        <f>IFERROR(VLOOKUP($AO182,costs!$A$2:$I$2905,AR$2,FALSE),0)</f>
        <v>0</v>
      </c>
      <c r="AS182" s="372">
        <f>IFERROR(VLOOKUP($AO182,costs!$A$2:$I$2905,AS$2,FALSE),0)</f>
        <v>0</v>
      </c>
      <c r="AT182" s="372">
        <f>IFERROR(VLOOKUP($AO182,costs!$A$2:$I$2905,AT$2,FALSE),0)</f>
        <v>0</v>
      </c>
      <c r="AU182" s="372">
        <f>IFERROR(VLOOKUP($AO182,costs!$A$2:$I$2905,AU$2,FALSE),0)</f>
        <v>0</v>
      </c>
      <c r="AV182" s="372">
        <f>IFERROR(VLOOKUP($AO182,costs!$A$2:$I$2905,AV$2,FALSE),0)</f>
        <v>0</v>
      </c>
      <c r="AW182" s="372">
        <f>IFERROR(VLOOKUP($AO182,costs!$A$2:$I$2905,AW$2,FALSE),0)</f>
        <v>0</v>
      </c>
    </row>
    <row r="183" spans="1:49" x14ac:dyDescent="0.35">
      <c r="B183" s="900" t="s">
        <v>2293</v>
      </c>
      <c r="C183" s="900">
        <v>89826.608268601383</v>
      </c>
      <c r="D183" s="900">
        <v>85719.105298543567</v>
      </c>
      <c r="E183" s="900">
        <v>66855.410586233484</v>
      </c>
      <c r="F183" s="900">
        <v>40300.250501656563</v>
      </c>
      <c r="G183" s="900">
        <v>24588.16718859315</v>
      </c>
      <c r="H183" s="900">
        <v>258.21477933384978</v>
      </c>
      <c r="AO183" s="949" t="s">
        <v>240</v>
      </c>
      <c r="AP183" s="372">
        <f>IFERROR(VLOOKUP($AO183,costs!$A$2:$I$2905,AP$2,FALSE),0)</f>
        <v>0</v>
      </c>
      <c r="AQ183" s="372">
        <f>IFERROR(VLOOKUP($AO183,costs!$A$2:$I$2905,AQ$2,FALSE),0)</f>
        <v>0</v>
      </c>
      <c r="AR183" s="372">
        <f>IFERROR(VLOOKUP($AO183,costs!$A$2:$I$2905,AR$2,FALSE),0)</f>
        <v>0</v>
      </c>
      <c r="AS183" s="372">
        <f>IFERROR(VLOOKUP($AO183,costs!$A$2:$I$2905,AS$2,FALSE),0)</f>
        <v>0</v>
      </c>
      <c r="AT183" s="372">
        <f>IFERROR(VLOOKUP($AO183,costs!$A$2:$I$2905,AT$2,FALSE),0)</f>
        <v>0</v>
      </c>
      <c r="AU183" s="372">
        <f>IFERROR(VLOOKUP($AO183,costs!$A$2:$I$2905,AU$2,FALSE),0)</f>
        <v>0</v>
      </c>
      <c r="AV183" s="372">
        <f>IFERROR(VLOOKUP($AO183,costs!$A$2:$I$2905,AV$2,FALSE),0)</f>
        <v>0</v>
      </c>
      <c r="AW183" s="372">
        <f>IFERROR(VLOOKUP($AO183,costs!$A$2:$I$2905,AW$2,FALSE),0)</f>
        <v>0</v>
      </c>
    </row>
    <row r="184" spans="1:49" x14ac:dyDescent="0.35">
      <c r="B184" s="900" t="s">
        <v>2027</v>
      </c>
      <c r="C184" s="900">
        <v>461059.93197366549</v>
      </c>
      <c r="D184" s="900">
        <v>450347.500433193</v>
      </c>
      <c r="E184" s="900">
        <v>468803.34053057258</v>
      </c>
      <c r="F184" s="900">
        <v>510511.9770085545</v>
      </c>
      <c r="G184" s="900">
        <v>507170.61954492924</v>
      </c>
      <c r="H184" s="900">
        <v>551438.05227435986</v>
      </c>
      <c r="I184" s="900">
        <f>H184</f>
        <v>551438.05227435986</v>
      </c>
      <c r="AO184" s="40" t="s">
        <v>241</v>
      </c>
      <c r="AP184" s="372">
        <f>IFERROR(VLOOKUP($AO184,costs!$A$2:$I$2905,AP$2,FALSE),0)</f>
        <v>0</v>
      </c>
      <c r="AQ184" s="372">
        <f>IFERROR(VLOOKUP($AO184,costs!$A$2:$I$2905,AQ$2,FALSE),0)</f>
        <v>0</v>
      </c>
      <c r="AR184" s="372">
        <f>IFERROR(VLOOKUP($AO184,costs!$A$2:$I$2905,AR$2,FALSE),0)</f>
        <v>0</v>
      </c>
      <c r="AS184" s="372">
        <f>IFERROR(VLOOKUP($AO184,costs!$A$2:$I$2905,AS$2,FALSE),0)</f>
        <v>0</v>
      </c>
      <c r="AT184" s="372">
        <f>IFERROR(VLOOKUP($AO184,costs!$A$2:$I$2905,AT$2,FALSE),0)</f>
        <v>0</v>
      </c>
      <c r="AU184" s="372">
        <f>IFERROR(VLOOKUP($AO184,costs!$A$2:$I$2905,AU$2,FALSE),0)</f>
        <v>0</v>
      </c>
      <c r="AV184" s="372">
        <f>IFERROR(VLOOKUP($AO184,costs!$A$2:$I$2905,AV$2,FALSE),0)</f>
        <v>0</v>
      </c>
      <c r="AW184" s="372">
        <f>IFERROR(VLOOKUP($AO184,costs!$A$2:$I$2905,AW$2,FALSE),0)</f>
        <v>0</v>
      </c>
    </row>
    <row r="185" spans="1:49" x14ac:dyDescent="0.35">
      <c r="I185" s="900" t="s">
        <v>4466</v>
      </c>
      <c r="AO185" s="949" t="s">
        <v>242</v>
      </c>
      <c r="AP185" s="372">
        <f>IFERROR(VLOOKUP($AO185,costs!$A$2:$I$2905,AP$2,FALSE),0)</f>
        <v>0</v>
      </c>
      <c r="AQ185" s="372">
        <f>IFERROR(VLOOKUP($AO185,costs!$A$2:$I$2905,AQ$2,FALSE),0)</f>
        <v>0</v>
      </c>
      <c r="AR185" s="372">
        <f>IFERROR(VLOOKUP($AO185,costs!$A$2:$I$2905,AR$2,FALSE),0)</f>
        <v>0</v>
      </c>
      <c r="AS185" s="372">
        <f>IFERROR(VLOOKUP($AO185,costs!$A$2:$I$2905,AS$2,FALSE),0)</f>
        <v>0</v>
      </c>
      <c r="AT185" s="372">
        <f>IFERROR(VLOOKUP($AO185,costs!$A$2:$I$2905,AT$2,FALSE),0)</f>
        <v>0</v>
      </c>
      <c r="AU185" s="372">
        <f>IFERROR(VLOOKUP($AO185,costs!$A$2:$I$2905,AU$2,FALSE),0)</f>
        <v>0</v>
      </c>
      <c r="AV185" s="372">
        <f>IFERROR(VLOOKUP($AO185,costs!$A$2:$I$2905,AV$2,FALSE),0)</f>
        <v>0</v>
      </c>
      <c r="AW185" s="372">
        <f>IFERROR(VLOOKUP($AO185,costs!$A$2:$I$2905,AW$2,FALSE),0)</f>
        <v>0</v>
      </c>
    </row>
    <row r="186" spans="1:49" x14ac:dyDescent="0.35">
      <c r="A186" s="900" t="s">
        <v>4467</v>
      </c>
      <c r="B186" s="900" t="s">
        <v>1417</v>
      </c>
      <c r="C186" s="900">
        <v>2020</v>
      </c>
      <c r="D186" s="900">
        <v>2025</v>
      </c>
      <c r="E186" s="900">
        <v>2030</v>
      </c>
      <c r="F186" s="900">
        <v>2035</v>
      </c>
      <c r="G186" s="900">
        <v>2040</v>
      </c>
      <c r="H186" s="900">
        <v>2045</v>
      </c>
      <c r="I186" s="900">
        <v>2050</v>
      </c>
      <c r="AO186" s="40" t="s">
        <v>243</v>
      </c>
      <c r="AP186" s="372">
        <f>IFERROR(VLOOKUP($AO186,costs!$A$2:$I$2905,AP$2,FALSE),0)</f>
        <v>0</v>
      </c>
      <c r="AQ186" s="372">
        <f>IFERROR(VLOOKUP($AO186,costs!$A$2:$I$2905,AQ$2,FALSE),0)</f>
        <v>0</v>
      </c>
      <c r="AR186" s="372">
        <f>IFERROR(VLOOKUP($AO186,costs!$A$2:$I$2905,AR$2,FALSE),0)</f>
        <v>0</v>
      </c>
      <c r="AS186" s="372">
        <f>IFERROR(VLOOKUP($AO186,costs!$A$2:$I$2905,AS$2,FALSE),0)</f>
        <v>0</v>
      </c>
      <c r="AT186" s="372">
        <f>IFERROR(VLOOKUP($AO186,costs!$A$2:$I$2905,AT$2,FALSE),0)</f>
        <v>0</v>
      </c>
      <c r="AU186" s="372">
        <f>IFERROR(VLOOKUP($AO186,costs!$A$2:$I$2905,AU$2,FALSE),0)</f>
        <v>0</v>
      </c>
      <c r="AV186" s="372">
        <f>IFERROR(VLOOKUP($AO186,costs!$A$2:$I$2905,AV$2,FALSE),0)</f>
        <v>0</v>
      </c>
      <c r="AW186" s="372">
        <f>IFERROR(VLOOKUP($AO186,costs!$A$2:$I$2905,AW$2,FALSE),0)</f>
        <v>0</v>
      </c>
    </row>
    <row r="187" spans="1:49" x14ac:dyDescent="0.35">
      <c r="B187" s="900" t="s">
        <v>1165</v>
      </c>
      <c r="C187" s="900">
        <f>C176-C79</f>
        <v>150053.16209379569</v>
      </c>
      <c r="D187" s="900">
        <f t="shared" ref="D187:H187" si="33">D176-D79</f>
        <v>140877.3094197599</v>
      </c>
      <c r="E187" s="900">
        <f t="shared" si="33"/>
        <v>143462.49681424699</v>
      </c>
      <c r="F187" s="900">
        <f t="shared" si="33"/>
        <v>167241.06580272288</v>
      </c>
      <c r="G187" s="900">
        <f t="shared" si="33"/>
        <v>162092.15566606092</v>
      </c>
      <c r="H187" s="900">
        <f t="shared" si="33"/>
        <v>175399.01508368421</v>
      </c>
      <c r="AO187" s="949" t="s">
        <v>244</v>
      </c>
      <c r="AP187" s="372">
        <f>IFERROR(VLOOKUP($AO187,costs!$A$2:$I$2905,AP$2,FALSE),0)</f>
        <v>0</v>
      </c>
      <c r="AQ187" s="372">
        <f>IFERROR(VLOOKUP($AO187,costs!$A$2:$I$2905,AQ$2,FALSE),0)</f>
        <v>0</v>
      </c>
      <c r="AR187" s="372">
        <f>IFERROR(VLOOKUP($AO187,costs!$A$2:$I$2905,AR$2,FALSE),0)</f>
        <v>0</v>
      </c>
      <c r="AS187" s="372">
        <f>IFERROR(VLOOKUP($AO187,costs!$A$2:$I$2905,AS$2,FALSE),0)</f>
        <v>0</v>
      </c>
      <c r="AT187" s="372">
        <f>IFERROR(VLOOKUP($AO187,costs!$A$2:$I$2905,AT$2,FALSE),0)</f>
        <v>0</v>
      </c>
      <c r="AU187" s="372">
        <f>IFERROR(VLOOKUP($AO187,costs!$A$2:$I$2905,AU$2,FALSE),0)</f>
        <v>0</v>
      </c>
      <c r="AV187" s="372">
        <f>IFERROR(VLOOKUP($AO187,costs!$A$2:$I$2905,AV$2,FALSE),0)</f>
        <v>0</v>
      </c>
      <c r="AW187" s="372">
        <f>IFERROR(VLOOKUP($AO187,costs!$A$2:$I$2905,AW$2,FALSE),0)</f>
        <v>0</v>
      </c>
    </row>
    <row r="188" spans="1:49" x14ac:dyDescent="0.35">
      <c r="B188" s="900" t="s">
        <v>1528</v>
      </c>
      <c r="C188" s="900" t="e">
        <f t="shared" ref="C188:H195" si="34">C177-C80</f>
        <v>#N/A</v>
      </c>
      <c r="D188" s="900" t="e">
        <f t="shared" si="34"/>
        <v>#N/A</v>
      </c>
      <c r="E188" s="900" t="e">
        <f t="shared" si="34"/>
        <v>#N/A</v>
      </c>
      <c r="F188" s="900" t="e">
        <f t="shared" si="34"/>
        <v>#N/A</v>
      </c>
      <c r="G188" s="900" t="e">
        <f t="shared" si="34"/>
        <v>#N/A</v>
      </c>
      <c r="H188" s="900" t="e">
        <f t="shared" si="34"/>
        <v>#N/A</v>
      </c>
      <c r="AO188" s="40" t="s">
        <v>245</v>
      </c>
      <c r="AP188" s="372">
        <f>IFERROR(VLOOKUP($AO188,costs!$A$2:$I$2905,AP$2,FALSE),0)</f>
        <v>0</v>
      </c>
      <c r="AQ188" s="372">
        <f>IFERROR(VLOOKUP($AO188,costs!$A$2:$I$2905,AQ$2,FALSE),0)</f>
        <v>0</v>
      </c>
      <c r="AR188" s="372">
        <f>IFERROR(VLOOKUP($AO188,costs!$A$2:$I$2905,AR$2,FALSE),0)</f>
        <v>0</v>
      </c>
      <c r="AS188" s="372">
        <f>IFERROR(VLOOKUP($AO188,costs!$A$2:$I$2905,AS$2,FALSE),0)</f>
        <v>0</v>
      </c>
      <c r="AT188" s="372">
        <f>IFERROR(VLOOKUP($AO188,costs!$A$2:$I$2905,AT$2,FALSE),0)</f>
        <v>0</v>
      </c>
      <c r="AU188" s="372">
        <f>IFERROR(VLOOKUP($AO188,costs!$A$2:$I$2905,AU$2,FALSE),0)</f>
        <v>0</v>
      </c>
      <c r="AV188" s="372">
        <f>IFERROR(VLOOKUP($AO188,costs!$A$2:$I$2905,AV$2,FALSE),0)</f>
        <v>0</v>
      </c>
      <c r="AW188" s="372">
        <f>IFERROR(VLOOKUP($AO188,costs!$A$2:$I$2905,AW$2,FALSE),0)</f>
        <v>0</v>
      </c>
    </row>
    <row r="189" spans="1:49" x14ac:dyDescent="0.35">
      <c r="B189" s="900" t="s">
        <v>1468</v>
      </c>
      <c r="C189" s="900" t="e">
        <f t="shared" si="34"/>
        <v>#N/A</v>
      </c>
      <c r="D189" s="900" t="e">
        <f t="shared" si="34"/>
        <v>#N/A</v>
      </c>
      <c r="E189" s="900" t="e">
        <f t="shared" si="34"/>
        <v>#N/A</v>
      </c>
      <c r="F189" s="900" t="e">
        <f t="shared" si="34"/>
        <v>#N/A</v>
      </c>
      <c r="G189" s="900" t="e">
        <f t="shared" si="34"/>
        <v>#N/A</v>
      </c>
      <c r="H189" s="900" t="e">
        <f t="shared" si="34"/>
        <v>#N/A</v>
      </c>
      <c r="AO189" s="949" t="s">
        <v>246</v>
      </c>
      <c r="AP189" s="372">
        <f>IFERROR(VLOOKUP($AO189,costs!$A$2:$I$2905,AP$2,FALSE),0)</f>
        <v>0</v>
      </c>
      <c r="AQ189" s="372">
        <f>IFERROR(VLOOKUP($AO189,costs!$A$2:$I$2905,AQ$2,FALSE),0)</f>
        <v>0</v>
      </c>
      <c r="AR189" s="372">
        <f>IFERROR(VLOOKUP($AO189,costs!$A$2:$I$2905,AR$2,FALSE),0)</f>
        <v>0</v>
      </c>
      <c r="AS189" s="372">
        <f>IFERROR(VLOOKUP($AO189,costs!$A$2:$I$2905,AS$2,FALSE),0)</f>
        <v>0</v>
      </c>
      <c r="AT189" s="372">
        <f>IFERROR(VLOOKUP($AO189,costs!$A$2:$I$2905,AT$2,FALSE),0)</f>
        <v>0</v>
      </c>
      <c r="AU189" s="372">
        <f>IFERROR(VLOOKUP($AO189,costs!$A$2:$I$2905,AU$2,FALSE),0)</f>
        <v>0</v>
      </c>
      <c r="AV189" s="372">
        <f>IFERROR(VLOOKUP($AO189,costs!$A$2:$I$2905,AV$2,FALSE),0)</f>
        <v>0</v>
      </c>
      <c r="AW189" s="372">
        <f>IFERROR(VLOOKUP($AO189,costs!$A$2:$I$2905,AW$2,FALSE),0)</f>
        <v>0</v>
      </c>
    </row>
    <row r="190" spans="1:49" x14ac:dyDescent="0.35">
      <c r="B190" s="900" t="s">
        <v>2289</v>
      </c>
      <c r="C190" s="900">
        <f t="shared" si="34"/>
        <v>38840.045851486713</v>
      </c>
      <c r="D190" s="900">
        <f t="shared" si="34"/>
        <v>39584.870012703999</v>
      </c>
      <c r="E190" s="900">
        <f t="shared" si="34"/>
        <v>49658.809511660816</v>
      </c>
      <c r="F190" s="900">
        <f t="shared" si="34"/>
        <v>61448.009827019683</v>
      </c>
      <c r="G190" s="900">
        <f t="shared" si="34"/>
        <v>64690.894208093523</v>
      </c>
      <c r="H190" s="900">
        <f t="shared" si="34"/>
        <v>83497.368079667882</v>
      </c>
      <c r="AO190" s="40" t="s">
        <v>247</v>
      </c>
      <c r="AP190" s="372">
        <f>IFERROR(VLOOKUP($AO190,costs!$A$2:$I$2905,AP$2,FALSE),0)</f>
        <v>0</v>
      </c>
      <c r="AQ190" s="372">
        <f>IFERROR(VLOOKUP($AO190,costs!$A$2:$I$2905,AQ$2,FALSE),0)</f>
        <v>0</v>
      </c>
      <c r="AR190" s="372">
        <f>IFERROR(VLOOKUP($AO190,costs!$A$2:$I$2905,AR$2,FALSE),0)</f>
        <v>0</v>
      </c>
      <c r="AS190" s="372">
        <f>IFERROR(VLOOKUP($AO190,costs!$A$2:$I$2905,AS$2,FALSE),0)</f>
        <v>0</v>
      </c>
      <c r="AT190" s="372">
        <f>IFERROR(VLOOKUP($AO190,costs!$A$2:$I$2905,AT$2,FALSE),0)</f>
        <v>0</v>
      </c>
      <c r="AU190" s="372">
        <f>IFERROR(VLOOKUP($AO190,costs!$A$2:$I$2905,AU$2,FALSE),0)</f>
        <v>0</v>
      </c>
      <c r="AV190" s="372">
        <f>IFERROR(VLOOKUP($AO190,costs!$A$2:$I$2905,AV$2,FALSE),0)</f>
        <v>0</v>
      </c>
      <c r="AW190" s="372">
        <f>IFERROR(VLOOKUP($AO190,costs!$A$2:$I$2905,AW$2,FALSE),0)</f>
        <v>0</v>
      </c>
    </row>
    <row r="191" spans="1:49" x14ac:dyDescent="0.35">
      <c r="B191" s="900" t="s">
        <v>2290</v>
      </c>
      <c r="C191" s="900">
        <f t="shared" si="34"/>
        <v>27124.886342278271</v>
      </c>
      <c r="D191" s="900">
        <f t="shared" si="34"/>
        <v>26708.530468860128</v>
      </c>
      <c r="E191" s="900">
        <f t="shared" si="34"/>
        <v>31628.509798469535</v>
      </c>
      <c r="F191" s="900">
        <f t="shared" si="34"/>
        <v>42201.067624512689</v>
      </c>
      <c r="G191" s="900">
        <f t="shared" si="34"/>
        <v>48813.212538600368</v>
      </c>
      <c r="H191" s="900">
        <f t="shared" si="34"/>
        <v>62792.311940781219</v>
      </c>
      <c r="AO191" s="949" t="s">
        <v>248</v>
      </c>
      <c r="AP191" s="372">
        <f>IFERROR(VLOOKUP($AO191,costs!$A$2:$I$2905,AP$2,FALSE),0)</f>
        <v>0</v>
      </c>
      <c r="AQ191" s="372">
        <f>IFERROR(VLOOKUP($AO191,costs!$A$2:$I$2905,AQ$2,FALSE),0)</f>
        <v>0</v>
      </c>
      <c r="AR191" s="372">
        <f>IFERROR(VLOOKUP($AO191,costs!$A$2:$I$2905,AR$2,FALSE),0)</f>
        <v>0</v>
      </c>
      <c r="AS191" s="372">
        <f>IFERROR(VLOOKUP($AO191,costs!$A$2:$I$2905,AS$2,FALSE),0)</f>
        <v>0</v>
      </c>
      <c r="AT191" s="372">
        <f>IFERROR(VLOOKUP($AO191,costs!$A$2:$I$2905,AT$2,FALSE),0)</f>
        <v>0</v>
      </c>
      <c r="AU191" s="372">
        <f>IFERROR(VLOOKUP($AO191,costs!$A$2:$I$2905,AU$2,FALSE),0)</f>
        <v>0</v>
      </c>
      <c r="AV191" s="372">
        <f>IFERROR(VLOOKUP($AO191,costs!$A$2:$I$2905,AV$2,FALSE),0)</f>
        <v>0</v>
      </c>
      <c r="AW191" s="372">
        <f>IFERROR(VLOOKUP($AO191,costs!$A$2:$I$2905,AW$2,FALSE),0)</f>
        <v>0</v>
      </c>
    </row>
    <row r="192" spans="1:49" x14ac:dyDescent="0.35">
      <c r="B192" s="900" t="s">
        <v>2291</v>
      </c>
      <c r="C192" s="900">
        <f t="shared" si="34"/>
        <v>6199.085757814546</v>
      </c>
      <c r="D192" s="900">
        <f t="shared" si="34"/>
        <v>6203.1111728178585</v>
      </c>
      <c r="E192" s="900">
        <f t="shared" si="34"/>
        <v>6080.9326116779366</v>
      </c>
      <c r="F192" s="900">
        <f t="shared" si="34"/>
        <v>6577.5338767854337</v>
      </c>
      <c r="G192" s="900">
        <f t="shared" si="34"/>
        <v>7625.5678368172257</v>
      </c>
      <c r="H192" s="900">
        <f t="shared" si="34"/>
        <v>10738.199898221465</v>
      </c>
      <c r="AO192" s="40" t="s">
        <v>249</v>
      </c>
      <c r="AP192" s="372">
        <f>IFERROR(VLOOKUP($AO192,costs!$A$2:$I$2905,AP$2,FALSE),0)</f>
        <v>0</v>
      </c>
      <c r="AQ192" s="372">
        <f>IFERROR(VLOOKUP($AO192,costs!$A$2:$I$2905,AQ$2,FALSE),0)</f>
        <v>0</v>
      </c>
      <c r="AR192" s="372">
        <f>IFERROR(VLOOKUP($AO192,costs!$A$2:$I$2905,AR$2,FALSE),0)</f>
        <v>0</v>
      </c>
      <c r="AS192" s="372">
        <f>IFERROR(VLOOKUP($AO192,costs!$A$2:$I$2905,AS$2,FALSE),0)</f>
        <v>0</v>
      </c>
      <c r="AT192" s="372">
        <f>IFERROR(VLOOKUP($AO192,costs!$A$2:$I$2905,AT$2,FALSE),0)</f>
        <v>0</v>
      </c>
      <c r="AU192" s="372">
        <f>IFERROR(VLOOKUP($AO192,costs!$A$2:$I$2905,AU$2,FALSE),0)</f>
        <v>0</v>
      </c>
      <c r="AV192" s="372">
        <f>IFERROR(VLOOKUP($AO192,costs!$A$2:$I$2905,AV$2,FALSE),0)</f>
        <v>0</v>
      </c>
      <c r="AW192" s="372">
        <f>IFERROR(VLOOKUP($AO192,costs!$A$2:$I$2905,AW$2,FALSE),0)</f>
        <v>0</v>
      </c>
    </row>
    <row r="193" spans="1:49" x14ac:dyDescent="0.35">
      <c r="B193" s="900" t="s">
        <v>2292</v>
      </c>
      <c r="C193" s="900">
        <f t="shared" si="34"/>
        <v>5537.2697595802319</v>
      </c>
      <c r="D193" s="900">
        <f t="shared" si="34"/>
        <v>6132.3757180717339</v>
      </c>
      <c r="E193" s="900">
        <f t="shared" si="34"/>
        <v>17300.835459500708</v>
      </c>
      <c r="F193" s="900">
        <f t="shared" si="34"/>
        <v>29380.366793313267</v>
      </c>
      <c r="G193" s="900">
        <f t="shared" si="34"/>
        <v>28917.470912978904</v>
      </c>
      <c r="H193" s="900">
        <f t="shared" si="34"/>
        <v>36563.882251646173</v>
      </c>
      <c r="AO193" s="949" t="s">
        <v>250</v>
      </c>
      <c r="AP193" s="372">
        <f>IFERROR(VLOOKUP($AO193,costs!$A$2:$I$2905,AP$2,FALSE),0)</f>
        <v>0</v>
      </c>
      <c r="AQ193" s="372">
        <f>IFERROR(VLOOKUP($AO193,costs!$A$2:$I$2905,AQ$2,FALSE),0)</f>
        <v>0</v>
      </c>
      <c r="AR193" s="372">
        <f>IFERROR(VLOOKUP($AO193,costs!$A$2:$I$2905,AR$2,FALSE),0)</f>
        <v>0</v>
      </c>
      <c r="AS193" s="372">
        <f>IFERROR(VLOOKUP($AO193,costs!$A$2:$I$2905,AS$2,FALSE),0)</f>
        <v>0</v>
      </c>
      <c r="AT193" s="372">
        <f>IFERROR(VLOOKUP($AO193,costs!$A$2:$I$2905,AT$2,FALSE),0)</f>
        <v>0</v>
      </c>
      <c r="AU193" s="372">
        <f>IFERROR(VLOOKUP($AO193,costs!$A$2:$I$2905,AU$2,FALSE),0)</f>
        <v>0</v>
      </c>
      <c r="AV193" s="372">
        <f>IFERROR(VLOOKUP($AO193,costs!$A$2:$I$2905,AV$2,FALSE),0)</f>
        <v>0</v>
      </c>
      <c r="AW193" s="372">
        <f>IFERROR(VLOOKUP($AO193,costs!$A$2:$I$2905,AW$2,FALSE),0)</f>
        <v>0</v>
      </c>
    </row>
    <row r="194" spans="1:49" x14ac:dyDescent="0.35">
      <c r="B194" s="900" t="s">
        <v>2293</v>
      </c>
      <c r="C194" s="900">
        <f t="shared" si="34"/>
        <v>89826.608268601383</v>
      </c>
      <c r="D194" s="900">
        <f t="shared" si="34"/>
        <v>85719.105298543567</v>
      </c>
      <c r="E194" s="900">
        <f t="shared" si="34"/>
        <v>66855.410586233484</v>
      </c>
      <c r="F194" s="900">
        <f t="shared" si="34"/>
        <v>40300.250501656563</v>
      </c>
      <c r="G194" s="900">
        <f t="shared" si="34"/>
        <v>24588.16718859315</v>
      </c>
      <c r="H194" s="900">
        <f t="shared" si="34"/>
        <v>258.21477933384978</v>
      </c>
      <c r="AO194" s="40" t="s">
        <v>251</v>
      </c>
      <c r="AP194" s="372">
        <f>IFERROR(VLOOKUP($AO194,costs!$A$2:$I$2905,AP$2,FALSE),0)</f>
        <v>0</v>
      </c>
      <c r="AQ194" s="372">
        <f>IFERROR(VLOOKUP($AO194,costs!$A$2:$I$2905,AQ$2,FALSE),0)</f>
        <v>0</v>
      </c>
      <c r="AR194" s="372">
        <f>IFERROR(VLOOKUP($AO194,costs!$A$2:$I$2905,AR$2,FALSE),0)</f>
        <v>0</v>
      </c>
      <c r="AS194" s="372">
        <f>IFERROR(VLOOKUP($AO194,costs!$A$2:$I$2905,AS$2,FALSE),0)</f>
        <v>0</v>
      </c>
      <c r="AT194" s="372">
        <f>IFERROR(VLOOKUP($AO194,costs!$A$2:$I$2905,AT$2,FALSE),0)</f>
        <v>0</v>
      </c>
      <c r="AU194" s="372">
        <f>IFERROR(VLOOKUP($AO194,costs!$A$2:$I$2905,AU$2,FALSE),0)</f>
        <v>0</v>
      </c>
      <c r="AV194" s="372">
        <f>IFERROR(VLOOKUP($AO194,costs!$A$2:$I$2905,AV$2,FALSE),0)</f>
        <v>0</v>
      </c>
      <c r="AW194" s="372">
        <f>IFERROR(VLOOKUP($AO194,costs!$A$2:$I$2905,AW$2,FALSE),0)</f>
        <v>0</v>
      </c>
    </row>
    <row r="195" spans="1:49" x14ac:dyDescent="0.35">
      <c r="B195" s="900" t="s">
        <v>2342</v>
      </c>
      <c r="C195" s="900" t="e">
        <f t="shared" si="34"/>
        <v>#N/A</v>
      </c>
      <c r="D195" s="900" t="e">
        <f t="shared" si="34"/>
        <v>#N/A</v>
      </c>
      <c r="E195" s="900" t="e">
        <f t="shared" si="34"/>
        <v>#N/A</v>
      </c>
      <c r="F195" s="900" t="e">
        <f t="shared" si="34"/>
        <v>#N/A</v>
      </c>
      <c r="G195" s="900" t="e">
        <f t="shared" si="34"/>
        <v>#N/A</v>
      </c>
      <c r="H195" s="900" t="e">
        <f t="shared" si="34"/>
        <v>#N/A</v>
      </c>
      <c r="I195" s="900" t="e">
        <f>I184-I87</f>
        <v>#N/A</v>
      </c>
      <c r="AO195" s="949" t="s">
        <v>252</v>
      </c>
      <c r="AP195" s="372">
        <f>IFERROR(VLOOKUP($AO195,costs!$A$2:$I$2905,AP$2,FALSE),0)</f>
        <v>0</v>
      </c>
      <c r="AQ195" s="372">
        <f>IFERROR(VLOOKUP($AO195,costs!$A$2:$I$2905,AQ$2,FALSE),0)</f>
        <v>0</v>
      </c>
      <c r="AR195" s="372">
        <f>IFERROR(VLOOKUP($AO195,costs!$A$2:$I$2905,AR$2,FALSE),0)</f>
        <v>0</v>
      </c>
      <c r="AS195" s="372">
        <f>IFERROR(VLOOKUP($AO195,costs!$A$2:$I$2905,AS$2,FALSE),0)</f>
        <v>0</v>
      </c>
      <c r="AT195" s="372">
        <f>IFERROR(VLOOKUP($AO195,costs!$A$2:$I$2905,AT$2,FALSE),0)</f>
        <v>0</v>
      </c>
      <c r="AU195" s="372">
        <f>IFERROR(VLOOKUP($AO195,costs!$A$2:$I$2905,AU$2,FALSE),0)</f>
        <v>0</v>
      </c>
      <c r="AV195" s="372">
        <f>IFERROR(VLOOKUP($AO195,costs!$A$2:$I$2905,AV$2,FALSE),0)</f>
        <v>0</v>
      </c>
      <c r="AW195" s="372">
        <f>IFERROR(VLOOKUP($AO195,costs!$A$2:$I$2905,AW$2,FALSE),0)</f>
        <v>0</v>
      </c>
    </row>
    <row r="196" spans="1:49" x14ac:dyDescent="0.35">
      <c r="AO196" s="40" t="s">
        <v>253</v>
      </c>
      <c r="AP196" s="372">
        <f>IFERROR(VLOOKUP($AO196,costs!$A$2:$I$2905,AP$2,FALSE),0)</f>
        <v>0</v>
      </c>
      <c r="AQ196" s="372">
        <f>IFERROR(VLOOKUP($AO196,costs!$A$2:$I$2905,AQ$2,FALSE),0)</f>
        <v>0</v>
      </c>
      <c r="AR196" s="372">
        <f>IFERROR(VLOOKUP($AO196,costs!$A$2:$I$2905,AR$2,FALSE),0)</f>
        <v>0</v>
      </c>
      <c r="AS196" s="372">
        <f>IFERROR(VLOOKUP($AO196,costs!$A$2:$I$2905,AS$2,FALSE),0)</f>
        <v>0</v>
      </c>
      <c r="AT196" s="372">
        <f>IFERROR(VLOOKUP($AO196,costs!$A$2:$I$2905,AT$2,FALSE),0)</f>
        <v>0</v>
      </c>
      <c r="AU196" s="372">
        <f>IFERROR(VLOOKUP($AO196,costs!$A$2:$I$2905,AU$2,FALSE),0)</f>
        <v>0</v>
      </c>
      <c r="AV196" s="372">
        <f>IFERROR(VLOOKUP($AO196,costs!$A$2:$I$2905,AV$2,FALSE),0)</f>
        <v>0</v>
      </c>
      <c r="AW196" s="372">
        <f>IFERROR(VLOOKUP($AO196,costs!$A$2:$I$2905,AW$2,FALSE),0)</f>
        <v>0</v>
      </c>
    </row>
    <row r="197" spans="1:49" x14ac:dyDescent="0.35">
      <c r="A197" s="900" t="s">
        <v>4468</v>
      </c>
      <c r="B197" s="900" t="s">
        <v>1417</v>
      </c>
      <c r="C197" s="900">
        <v>2020</v>
      </c>
      <c r="D197" s="900">
        <v>2025</v>
      </c>
      <c r="E197" s="900">
        <v>2030</v>
      </c>
      <c r="F197" s="900">
        <v>2035</v>
      </c>
      <c r="G197" s="900">
        <v>2040</v>
      </c>
      <c r="H197" s="900">
        <v>2045</v>
      </c>
      <c r="I197" s="900">
        <v>2050</v>
      </c>
      <c r="AO197" s="949" t="s">
        <v>254</v>
      </c>
      <c r="AP197" s="372">
        <f>IFERROR(VLOOKUP($AO197,costs!$A$2:$I$2905,AP$2,FALSE),0)</f>
        <v>0</v>
      </c>
      <c r="AQ197" s="372">
        <f>IFERROR(VLOOKUP($AO197,costs!$A$2:$I$2905,AQ$2,FALSE),0)</f>
        <v>0</v>
      </c>
      <c r="AR197" s="372">
        <f>IFERROR(VLOOKUP($AO197,costs!$A$2:$I$2905,AR$2,FALSE),0)</f>
        <v>0</v>
      </c>
      <c r="AS197" s="372">
        <f>IFERROR(VLOOKUP($AO197,costs!$A$2:$I$2905,AS$2,FALSE),0)</f>
        <v>0</v>
      </c>
      <c r="AT197" s="372">
        <f>IFERROR(VLOOKUP($AO197,costs!$A$2:$I$2905,AT$2,FALSE),0)</f>
        <v>0</v>
      </c>
      <c r="AU197" s="372">
        <f>IFERROR(VLOOKUP($AO197,costs!$A$2:$I$2905,AU$2,FALSE),0)</f>
        <v>0</v>
      </c>
      <c r="AV197" s="372">
        <f>IFERROR(VLOOKUP($AO197,costs!$A$2:$I$2905,AV$2,FALSE),0)</f>
        <v>0</v>
      </c>
      <c r="AW197" s="372">
        <f>IFERROR(VLOOKUP($AO197,costs!$A$2:$I$2905,AW$2,FALSE),0)</f>
        <v>0</v>
      </c>
    </row>
    <row r="198" spans="1:49" x14ac:dyDescent="0.35">
      <c r="B198" s="900" t="s">
        <v>1165</v>
      </c>
      <c r="C198" s="900">
        <f>C176-C154</f>
        <v>0.15763356912066229</v>
      </c>
      <c r="D198" s="900">
        <f t="shared" ref="D198:H198" si="35">D176-D154</f>
        <v>431.0857472953212</v>
      </c>
      <c r="E198" s="900">
        <f t="shared" si="35"/>
        <v>-16850.119993527216</v>
      </c>
      <c r="F198" s="900">
        <f t="shared" si="35"/>
        <v>2368.3858705157181</v>
      </c>
      <c r="G198" s="900">
        <f t="shared" si="35"/>
        <v>-8674.6402348509582</v>
      </c>
      <c r="H198" s="900">
        <f t="shared" si="35"/>
        <v>11157.251622771233</v>
      </c>
      <c r="AO198" s="40" t="s">
        <v>255</v>
      </c>
      <c r="AP198" s="372">
        <f>IFERROR(VLOOKUP($AO198,costs!$A$2:$I$2905,AP$2,FALSE),0)</f>
        <v>0</v>
      </c>
      <c r="AQ198" s="372">
        <f>IFERROR(VLOOKUP($AO198,costs!$A$2:$I$2905,AQ$2,FALSE),0)</f>
        <v>0</v>
      </c>
      <c r="AR198" s="372">
        <f>IFERROR(VLOOKUP($AO198,costs!$A$2:$I$2905,AR$2,FALSE),0)</f>
        <v>0</v>
      </c>
      <c r="AS198" s="372">
        <f>IFERROR(VLOOKUP($AO198,costs!$A$2:$I$2905,AS$2,FALSE),0)</f>
        <v>0</v>
      </c>
      <c r="AT198" s="372">
        <f>IFERROR(VLOOKUP($AO198,costs!$A$2:$I$2905,AT$2,FALSE),0)</f>
        <v>0</v>
      </c>
      <c r="AU198" s="372">
        <f>IFERROR(VLOOKUP($AO198,costs!$A$2:$I$2905,AU$2,FALSE),0)</f>
        <v>0</v>
      </c>
      <c r="AV198" s="372">
        <f>IFERROR(VLOOKUP($AO198,costs!$A$2:$I$2905,AV$2,FALSE),0)</f>
        <v>0</v>
      </c>
      <c r="AW198" s="372">
        <f>IFERROR(VLOOKUP($AO198,costs!$A$2:$I$2905,AW$2,FALSE),0)</f>
        <v>0</v>
      </c>
    </row>
    <row r="199" spans="1:49" x14ac:dyDescent="0.35">
      <c r="B199" s="900" t="s">
        <v>1528</v>
      </c>
      <c r="C199" s="900">
        <f t="shared" ref="C199:I206" si="36">C177-C155</f>
        <v>2.4890742060961202E-3</v>
      </c>
      <c r="D199" s="900">
        <f t="shared" si="36"/>
        <v>119.26665696346026</v>
      </c>
      <c r="E199" s="900">
        <f t="shared" si="36"/>
        <v>-3893.7916522278247</v>
      </c>
      <c r="F199" s="900">
        <f t="shared" si="36"/>
        <v>-28.0245409529889</v>
      </c>
      <c r="G199" s="900">
        <f t="shared" si="36"/>
        <v>-755.96726071054582</v>
      </c>
      <c r="H199" s="900">
        <f t="shared" si="36"/>
        <v>4228.1465351844672</v>
      </c>
      <c r="AO199" s="949" t="s">
        <v>256</v>
      </c>
      <c r="AP199" s="372">
        <f>IFERROR(VLOOKUP($AO199,costs!$A$2:$I$2905,AP$2,FALSE),0)</f>
        <v>0</v>
      </c>
      <c r="AQ199" s="372">
        <f>IFERROR(VLOOKUP($AO199,costs!$A$2:$I$2905,AQ$2,FALSE),0)</f>
        <v>0</v>
      </c>
      <c r="AR199" s="372">
        <f>IFERROR(VLOOKUP($AO199,costs!$A$2:$I$2905,AR$2,FALSE),0)</f>
        <v>0</v>
      </c>
      <c r="AS199" s="372">
        <f>IFERROR(VLOOKUP($AO199,costs!$A$2:$I$2905,AS$2,FALSE),0)</f>
        <v>0</v>
      </c>
      <c r="AT199" s="372">
        <f>IFERROR(VLOOKUP($AO199,costs!$A$2:$I$2905,AT$2,FALSE),0)</f>
        <v>0</v>
      </c>
      <c r="AU199" s="372">
        <f>IFERROR(VLOOKUP($AO199,costs!$A$2:$I$2905,AU$2,FALSE),0)</f>
        <v>0</v>
      </c>
      <c r="AV199" s="372">
        <f>IFERROR(VLOOKUP($AO199,costs!$A$2:$I$2905,AV$2,FALSE),0)</f>
        <v>0</v>
      </c>
      <c r="AW199" s="372">
        <f>IFERROR(VLOOKUP($AO199,costs!$A$2:$I$2905,AW$2,FALSE),0)</f>
        <v>0</v>
      </c>
    </row>
    <row r="200" spans="1:49" x14ac:dyDescent="0.35">
      <c r="B200" s="900" t="s">
        <v>1468</v>
      </c>
      <c r="C200" s="900">
        <f t="shared" si="36"/>
        <v>90.099819142764318</v>
      </c>
      <c r="D200" s="900">
        <f t="shared" si="36"/>
        <v>1967.9495681062399</v>
      </c>
      <c r="E200" s="900">
        <f t="shared" si="36"/>
        <v>45.559984931118379</v>
      </c>
      <c r="F200" s="900">
        <f t="shared" si="36"/>
        <v>525.45080927038362</v>
      </c>
      <c r="G200" s="900">
        <f t="shared" si="36"/>
        <v>893.90875690175744</v>
      </c>
      <c r="H200" s="900">
        <f t="shared" si="36"/>
        <v>2024.6304777712066</v>
      </c>
      <c r="AO200" s="40" t="s">
        <v>257</v>
      </c>
      <c r="AP200" s="372">
        <f>IFERROR(VLOOKUP($AO200,costs!$A$2:$I$2905,AP$2,FALSE),0)</f>
        <v>0</v>
      </c>
      <c r="AQ200" s="372">
        <f>IFERROR(VLOOKUP($AO200,costs!$A$2:$I$2905,AQ$2,FALSE),0)</f>
        <v>0</v>
      </c>
      <c r="AR200" s="372">
        <f>IFERROR(VLOOKUP($AO200,costs!$A$2:$I$2905,AR$2,FALSE),0)</f>
        <v>0</v>
      </c>
      <c r="AS200" s="372">
        <f>IFERROR(VLOOKUP($AO200,costs!$A$2:$I$2905,AS$2,FALSE),0)</f>
        <v>0</v>
      </c>
      <c r="AT200" s="372">
        <f>IFERROR(VLOOKUP($AO200,costs!$A$2:$I$2905,AT$2,FALSE),0)</f>
        <v>0</v>
      </c>
      <c r="AU200" s="372">
        <f>IFERROR(VLOOKUP($AO200,costs!$A$2:$I$2905,AU$2,FALSE),0)</f>
        <v>0</v>
      </c>
      <c r="AV200" s="372">
        <f>IFERROR(VLOOKUP($AO200,costs!$A$2:$I$2905,AV$2,FALSE),0)</f>
        <v>0</v>
      </c>
      <c r="AW200" s="372">
        <f>IFERROR(VLOOKUP($AO200,costs!$A$2:$I$2905,AW$2,FALSE),0)</f>
        <v>0</v>
      </c>
    </row>
    <row r="201" spans="1:49" x14ac:dyDescent="0.35">
      <c r="B201" s="900" t="s">
        <v>2289</v>
      </c>
      <c r="C201" s="900">
        <f t="shared" si="36"/>
        <v>-1.073531981848646</v>
      </c>
      <c r="D201" s="900">
        <f t="shared" si="36"/>
        <v>1958.7992200416265</v>
      </c>
      <c r="E201" s="900">
        <f t="shared" si="36"/>
        <v>3015.6758019930785</v>
      </c>
      <c r="F201" s="900">
        <f t="shared" si="36"/>
        <v>9221.5185157764572</v>
      </c>
      <c r="G201" s="900">
        <f t="shared" si="36"/>
        <v>9826.2248870990588</v>
      </c>
      <c r="H201" s="900">
        <f t="shared" si="36"/>
        <v>19503.762113170225</v>
      </c>
      <c r="AO201" s="949" t="s">
        <v>258</v>
      </c>
      <c r="AP201" s="372">
        <f>IFERROR(VLOOKUP($AO201,costs!$A$2:$I$2905,AP$2,FALSE),0)</f>
        <v>0</v>
      </c>
      <c r="AQ201" s="372">
        <f>IFERROR(VLOOKUP($AO201,costs!$A$2:$I$2905,AQ$2,FALSE),0)</f>
        <v>0</v>
      </c>
      <c r="AR201" s="372">
        <f>IFERROR(VLOOKUP($AO201,costs!$A$2:$I$2905,AR$2,FALSE),0)</f>
        <v>0</v>
      </c>
      <c r="AS201" s="372">
        <f>IFERROR(VLOOKUP($AO201,costs!$A$2:$I$2905,AS$2,FALSE),0)</f>
        <v>0</v>
      </c>
      <c r="AT201" s="372">
        <f>IFERROR(VLOOKUP($AO201,costs!$A$2:$I$2905,AT$2,FALSE),0)</f>
        <v>0</v>
      </c>
      <c r="AU201" s="372">
        <f>IFERROR(VLOOKUP($AO201,costs!$A$2:$I$2905,AU$2,FALSE),0)</f>
        <v>0</v>
      </c>
      <c r="AV201" s="372">
        <f>IFERROR(VLOOKUP($AO201,costs!$A$2:$I$2905,AV$2,FALSE),0)</f>
        <v>0</v>
      </c>
      <c r="AW201" s="372">
        <f>IFERROR(VLOOKUP($AO201,costs!$A$2:$I$2905,AW$2,FALSE),0)</f>
        <v>0</v>
      </c>
    </row>
    <row r="202" spans="1:49" x14ac:dyDescent="0.35">
      <c r="B202" s="900" t="s">
        <v>2290</v>
      </c>
      <c r="C202" s="900">
        <f t="shared" si="36"/>
        <v>5.5572671201261983</v>
      </c>
      <c r="D202" s="900">
        <f t="shared" si="36"/>
        <v>1364.7500728874256</v>
      </c>
      <c r="E202" s="900">
        <f t="shared" si="36"/>
        <v>-513.85580712816227</v>
      </c>
      <c r="F202" s="900">
        <f t="shared" si="36"/>
        <v>2384.0046290115715</v>
      </c>
      <c r="G202" s="900">
        <f t="shared" si="36"/>
        <v>986.43184957416815</v>
      </c>
      <c r="H202" s="900">
        <f t="shared" si="36"/>
        <v>7115.6260424890788</v>
      </c>
      <c r="AO202" s="40" t="s">
        <v>259</v>
      </c>
      <c r="AP202" s="372">
        <f>IFERROR(VLOOKUP($AO202,costs!$A$2:$I$2905,AP$2,FALSE),0)</f>
        <v>0</v>
      </c>
      <c r="AQ202" s="372">
        <f>IFERROR(VLOOKUP($AO202,costs!$A$2:$I$2905,AQ$2,FALSE),0)</f>
        <v>0</v>
      </c>
      <c r="AR202" s="372">
        <f>IFERROR(VLOOKUP($AO202,costs!$A$2:$I$2905,AR$2,FALSE),0)</f>
        <v>0</v>
      </c>
      <c r="AS202" s="372">
        <f>IFERROR(VLOOKUP($AO202,costs!$A$2:$I$2905,AS$2,FALSE),0)</f>
        <v>0</v>
      </c>
      <c r="AT202" s="372">
        <f>IFERROR(VLOOKUP($AO202,costs!$A$2:$I$2905,AT$2,FALSE),0)</f>
        <v>0</v>
      </c>
      <c r="AU202" s="372">
        <f>IFERROR(VLOOKUP($AO202,costs!$A$2:$I$2905,AU$2,FALSE),0)</f>
        <v>0</v>
      </c>
      <c r="AV202" s="372">
        <f>IFERROR(VLOOKUP($AO202,costs!$A$2:$I$2905,AV$2,FALSE),0)</f>
        <v>0</v>
      </c>
      <c r="AW202" s="372">
        <f>IFERROR(VLOOKUP($AO202,costs!$A$2:$I$2905,AW$2,FALSE),0)</f>
        <v>0</v>
      </c>
    </row>
    <row r="203" spans="1:49" x14ac:dyDescent="0.35">
      <c r="B203" s="900" t="s">
        <v>2291</v>
      </c>
      <c r="C203" s="900">
        <f t="shared" si="36"/>
        <v>1.4148743568903228</v>
      </c>
      <c r="D203" s="900">
        <f t="shared" si="36"/>
        <v>390.6141985445538</v>
      </c>
      <c r="E203" s="900">
        <f t="shared" si="36"/>
        <v>-81.401396285281407</v>
      </c>
      <c r="F203" s="900">
        <f t="shared" si="36"/>
        <v>-87.790609182688968</v>
      </c>
      <c r="G203" s="900">
        <f t="shared" si="36"/>
        <v>-175.14512886139164</v>
      </c>
      <c r="H203" s="900">
        <f t="shared" si="36"/>
        <v>1443.7210157407389</v>
      </c>
      <c r="AO203" s="278" t="s">
        <v>2182</v>
      </c>
      <c r="AP203" s="950">
        <f>SUM(AP181:AP202)</f>
        <v>0</v>
      </c>
      <c r="AQ203" s="950">
        <f t="shared" ref="AQ203:AW203" si="37">SUM(AQ181:AQ202)</f>
        <v>0</v>
      </c>
      <c r="AR203" s="950">
        <f t="shared" si="37"/>
        <v>0</v>
      </c>
      <c r="AS203" s="950">
        <f t="shared" si="37"/>
        <v>0</v>
      </c>
      <c r="AT203" s="950">
        <f t="shared" si="37"/>
        <v>0</v>
      </c>
      <c r="AU203" s="950">
        <f t="shared" si="37"/>
        <v>0</v>
      </c>
      <c r="AV203" s="950">
        <f t="shared" si="37"/>
        <v>0</v>
      </c>
      <c r="AW203" s="950">
        <f t="shared" si="37"/>
        <v>0</v>
      </c>
    </row>
    <row r="204" spans="1:49" x14ac:dyDescent="0.35">
      <c r="B204" s="900" t="s">
        <v>2292</v>
      </c>
      <c r="C204" s="900">
        <f t="shared" si="36"/>
        <v>0.240704777668725</v>
      </c>
      <c r="D204" s="900">
        <f t="shared" si="36"/>
        <v>-559.05835423113876</v>
      </c>
      <c r="E204" s="900">
        <f t="shared" si="36"/>
        <v>-1109.3476553958753</v>
      </c>
      <c r="F204" s="900">
        <f t="shared" si="36"/>
        <v>-2305.4646195078567</v>
      </c>
      <c r="G204" s="900">
        <f t="shared" si="36"/>
        <v>-5836.7348764432754</v>
      </c>
      <c r="H204" s="900">
        <f t="shared" si="36"/>
        <v>-6650.6500366558685</v>
      </c>
      <c r="AO204" s="40"/>
      <c r="AP204" s="372"/>
      <c r="AQ204" s="372"/>
      <c r="AR204" s="372"/>
      <c r="AS204" s="372"/>
      <c r="AT204" s="372"/>
      <c r="AU204" s="372"/>
      <c r="AV204" s="372"/>
      <c r="AW204" s="372"/>
    </row>
    <row r="205" spans="1:49" x14ac:dyDescent="0.35">
      <c r="B205" s="900" t="s">
        <v>2293</v>
      </c>
      <c r="C205" s="900">
        <f t="shared" si="36"/>
        <v>-13.251869113591965</v>
      </c>
      <c r="D205" s="900">
        <f t="shared" si="36"/>
        <v>-43.914752963421051</v>
      </c>
      <c r="E205" s="900">
        <f t="shared" si="36"/>
        <v>2263.9569175070646</v>
      </c>
      <c r="F205" s="900">
        <f t="shared" si="36"/>
        <v>-6337.4304469821</v>
      </c>
      <c r="G205" s="900">
        <f t="shared" si="36"/>
        <v>3212.4591668596258</v>
      </c>
      <c r="H205" s="900">
        <f t="shared" si="36"/>
        <v>-4282.7957372621113</v>
      </c>
      <c r="AO205" s="99" t="s">
        <v>1229</v>
      </c>
      <c r="AP205" s="950">
        <f t="shared" ref="AP205:AW205" si="38">AP203+AP179+AP84+AP34</f>
        <v>0</v>
      </c>
      <c r="AQ205" s="950">
        <f t="shared" si="38"/>
        <v>0</v>
      </c>
      <c r="AR205" s="950">
        <f t="shared" si="38"/>
        <v>0</v>
      </c>
      <c r="AS205" s="950">
        <f t="shared" si="38"/>
        <v>0</v>
      </c>
      <c r="AT205" s="950">
        <f t="shared" si="38"/>
        <v>0</v>
      </c>
      <c r="AU205" s="950">
        <f t="shared" si="38"/>
        <v>0</v>
      </c>
      <c r="AV205" s="950">
        <f t="shared" si="38"/>
        <v>0</v>
      </c>
      <c r="AW205" s="950">
        <f t="shared" si="38"/>
        <v>0</v>
      </c>
    </row>
    <row r="206" spans="1:49" x14ac:dyDescent="0.35">
      <c r="B206" s="900" t="s">
        <v>2342</v>
      </c>
      <c r="C206" s="900">
        <f t="shared" si="36"/>
        <v>83.147386945434846</v>
      </c>
      <c r="D206" s="900">
        <f t="shared" si="36"/>
        <v>5629.492356644012</v>
      </c>
      <c r="E206" s="900">
        <f t="shared" si="36"/>
        <v>-17123.323800133076</v>
      </c>
      <c r="F206" s="900">
        <f t="shared" si="36"/>
        <v>5740.6496079485514</v>
      </c>
      <c r="G206" s="900">
        <f t="shared" si="36"/>
        <v>-523.46284043142805</v>
      </c>
      <c r="H206" s="900">
        <f t="shared" si="36"/>
        <v>34539.692033208965</v>
      </c>
      <c r="I206" s="900">
        <f t="shared" si="36"/>
        <v>-4548.9605201439699</v>
      </c>
      <c r="AO206" s="40"/>
      <c r="AP206" s="372"/>
      <c r="AQ206" s="372"/>
      <c r="AR206" s="372"/>
      <c r="AS206" s="372"/>
      <c r="AT206" s="372"/>
      <c r="AU206" s="372"/>
      <c r="AV206" s="372"/>
      <c r="AW206" s="372"/>
    </row>
    <row r="207" spans="1:49" x14ac:dyDescent="0.35">
      <c r="AO207" s="99" t="s">
        <v>1518</v>
      </c>
      <c r="AP207" s="372"/>
      <c r="AQ207" s="372"/>
      <c r="AR207" s="372"/>
      <c r="AS207" s="372"/>
      <c r="AT207" s="372"/>
      <c r="AU207" s="372"/>
      <c r="AV207" s="372"/>
      <c r="AW207" s="372"/>
    </row>
    <row r="208" spans="1:49" x14ac:dyDescent="0.35">
      <c r="A208" s="900" t="s">
        <v>4469</v>
      </c>
      <c r="C208" s="900" t="s">
        <v>4470</v>
      </c>
      <c r="D208" s="900" t="s">
        <v>4411</v>
      </c>
      <c r="E208" s="900" t="s">
        <v>4471</v>
      </c>
      <c r="G208" s="900" t="s">
        <v>4472</v>
      </c>
      <c r="H208" s="900" t="s">
        <v>4470</v>
      </c>
      <c r="I208" s="900" t="s">
        <v>4411</v>
      </c>
      <c r="J208" s="900" t="s">
        <v>4471</v>
      </c>
      <c r="AO208" s="949" t="s">
        <v>211</v>
      </c>
      <c r="AP208" s="372">
        <f>IFERROR(VLOOKUP($AO208,costs!$A$2:$I$2905,AP$2,FALSE),0)</f>
        <v>0</v>
      </c>
      <c r="AQ208" s="372">
        <f>IFERROR(VLOOKUP($AO208,costs!$A$2:$I$2905,AQ$2,FALSE),0)</f>
        <v>0</v>
      </c>
      <c r="AR208" s="372">
        <f>IFERROR(VLOOKUP($AO208,costs!$A$2:$I$2905,AR$2,FALSE),0)</f>
        <v>0</v>
      </c>
      <c r="AS208" s="372">
        <f>IFERROR(VLOOKUP($AO208,costs!$A$2:$I$2905,AS$2,FALSE),0)</f>
        <v>0</v>
      </c>
      <c r="AT208" s="372">
        <f>IFERROR(VLOOKUP($AO208,costs!$A$2:$I$2905,AT$2,FALSE),0)</f>
        <v>0</v>
      </c>
      <c r="AU208" s="372">
        <f>IFERROR(VLOOKUP($AO208,costs!$A$2:$I$2905,AU$2,FALSE),0)</f>
        <v>0</v>
      </c>
      <c r="AV208" s="372">
        <f>IFERROR(VLOOKUP($AO208,costs!$A$2:$I$2905,AV$2,FALSE),0)</f>
        <v>0</v>
      </c>
      <c r="AW208" s="372">
        <f>IFERROR(VLOOKUP($AO208,costs!$A$2:$I$2905,AW$2,FALSE),0)</f>
        <v>0</v>
      </c>
    </row>
    <row r="209" spans="2:49" x14ac:dyDescent="0.35">
      <c r="B209" s="900">
        <v>2020</v>
      </c>
      <c r="C209" s="900" t="e">
        <f>C87</f>
        <v>#N/A</v>
      </c>
      <c r="D209" s="900">
        <f>C162</f>
        <v>460976.78458672005</v>
      </c>
      <c r="E209" s="900">
        <f>C184</f>
        <v>461059.93197366549</v>
      </c>
      <c r="G209" s="900">
        <v>2020</v>
      </c>
      <c r="H209" s="900" t="e">
        <f>C209</f>
        <v>#N/A</v>
      </c>
      <c r="I209" s="900">
        <f>D209</f>
        <v>460976.78458672005</v>
      </c>
      <c r="J209" s="900">
        <f t="shared" ref="J209" si="39">E209</f>
        <v>461059.93197366549</v>
      </c>
      <c r="AO209" s="40" t="s">
        <v>363</v>
      </c>
      <c r="AP209" s="372">
        <f>IFERROR(VLOOKUP($AO209,costs!$A$2:$I$2905,AP$2,FALSE),0)</f>
        <v>0</v>
      </c>
      <c r="AQ209" s="372">
        <f>IFERROR(VLOOKUP($AO209,costs!$A$2:$I$2905,AQ$2,FALSE),0)</f>
        <v>0</v>
      </c>
      <c r="AR209" s="372">
        <f>IFERROR(VLOOKUP($AO209,costs!$A$2:$I$2905,AR$2,FALSE),0)</f>
        <v>0</v>
      </c>
      <c r="AS209" s="372">
        <f>IFERROR(VLOOKUP($AO209,costs!$A$2:$I$2905,AS$2,FALSE),0)</f>
        <v>0</v>
      </c>
      <c r="AT209" s="372">
        <f>IFERROR(VLOOKUP($AO209,costs!$A$2:$I$2905,AT$2,FALSE),0)</f>
        <v>0</v>
      </c>
      <c r="AU209" s="372">
        <f>IFERROR(VLOOKUP($AO209,costs!$A$2:$I$2905,AU$2,FALSE),0)</f>
        <v>0</v>
      </c>
      <c r="AV209" s="372">
        <f>IFERROR(VLOOKUP($AO209,costs!$A$2:$I$2905,AV$2,FALSE),0)</f>
        <v>0</v>
      </c>
      <c r="AW209" s="372">
        <f>IFERROR(VLOOKUP($AO209,costs!$A$2:$I$2905,AW$2,FALSE),0)</f>
        <v>0</v>
      </c>
    </row>
    <row r="210" spans="2:49" x14ac:dyDescent="0.35">
      <c r="B210" s="900">
        <v>2021</v>
      </c>
      <c r="C210" s="900" t="e">
        <f>(4/5*C209+1/5*C214)</f>
        <v>#N/A</v>
      </c>
      <c r="D210" s="900">
        <f>(4/5*D209+1/5*D214)</f>
        <v>457725.02928468585</v>
      </c>
      <c r="E210" s="900">
        <f>(4/5*E209+1/5*E214)</f>
        <v>458917.44566557102</v>
      </c>
      <c r="G210" s="900">
        <v>2021</v>
      </c>
      <c r="H210" s="900" t="e">
        <f>H209+C210</f>
        <v>#N/A</v>
      </c>
      <c r="I210" s="900">
        <f t="shared" ref="I210:J225" si="40">I209+D210</f>
        <v>918701.8138714059</v>
      </c>
      <c r="J210" s="900">
        <f t="shared" si="40"/>
        <v>919977.37763923651</v>
      </c>
      <c r="AO210" s="949" t="s">
        <v>199</v>
      </c>
      <c r="AP210" s="372">
        <f>IFERROR(VLOOKUP($AO210,costs!$A$2:$I$2905,AP$2,FALSE),0)</f>
        <v>0</v>
      </c>
      <c r="AQ210" s="372">
        <f>IFERROR(VLOOKUP($AO210,costs!$A$2:$I$2905,AQ$2,FALSE),0)</f>
        <v>0</v>
      </c>
      <c r="AR210" s="372">
        <f>IFERROR(VLOOKUP($AO210,costs!$A$2:$I$2905,AR$2,FALSE),0)</f>
        <v>0</v>
      </c>
      <c r="AS210" s="372">
        <f>IFERROR(VLOOKUP($AO210,costs!$A$2:$I$2905,AS$2,FALSE),0)</f>
        <v>0</v>
      </c>
      <c r="AT210" s="372">
        <f>IFERROR(VLOOKUP($AO210,costs!$A$2:$I$2905,AT$2,FALSE),0)</f>
        <v>0</v>
      </c>
      <c r="AU210" s="372">
        <f>IFERROR(VLOOKUP($AO210,costs!$A$2:$I$2905,AU$2,FALSE),0)</f>
        <v>0</v>
      </c>
      <c r="AV210" s="372">
        <f>IFERROR(VLOOKUP($AO210,costs!$A$2:$I$2905,AV$2,FALSE),0)</f>
        <v>0</v>
      </c>
      <c r="AW210" s="372">
        <f>IFERROR(VLOOKUP($AO210,costs!$A$2:$I$2905,AW$2,FALSE),0)</f>
        <v>0</v>
      </c>
    </row>
    <row r="211" spans="2:49" x14ac:dyDescent="0.35">
      <c r="B211" s="900">
        <v>2022</v>
      </c>
      <c r="C211" s="900" t="e">
        <f>(3/5*C209+2/5*C214)</f>
        <v>#N/A</v>
      </c>
      <c r="D211" s="900">
        <f>(3/5*D209+2/5*D214)</f>
        <v>454473.27398265165</v>
      </c>
      <c r="E211" s="900">
        <f>(3/5*E209+2/5*E214)</f>
        <v>456774.9593574765</v>
      </c>
      <c r="G211" s="900">
        <v>2022</v>
      </c>
      <c r="H211" s="900" t="e">
        <f>H210+C211</f>
        <v>#N/A</v>
      </c>
      <c r="I211" s="900">
        <f t="shared" si="40"/>
        <v>1373175.0878540576</v>
      </c>
      <c r="J211" s="900">
        <f t="shared" si="40"/>
        <v>1376752.336996713</v>
      </c>
      <c r="AO211" s="40" t="s">
        <v>281</v>
      </c>
      <c r="AP211" s="372">
        <f>IFERROR(VLOOKUP($AO211,costs!$A$2:$I$2905,AP$2,FALSE),0)</f>
        <v>0</v>
      </c>
      <c r="AQ211" s="372">
        <f>IFERROR(VLOOKUP($AO211,costs!$A$2:$I$2905,AQ$2,FALSE),0)</f>
        <v>0</v>
      </c>
      <c r="AR211" s="372">
        <f>IFERROR(VLOOKUP($AO211,costs!$A$2:$I$2905,AR$2,FALSE),0)</f>
        <v>0</v>
      </c>
      <c r="AS211" s="372">
        <f>IFERROR(VLOOKUP($AO211,costs!$A$2:$I$2905,AS$2,FALSE),0)</f>
        <v>0</v>
      </c>
      <c r="AT211" s="372">
        <f>IFERROR(VLOOKUP($AO211,costs!$A$2:$I$2905,AT$2,FALSE),0)</f>
        <v>0</v>
      </c>
      <c r="AU211" s="372">
        <f>IFERROR(VLOOKUP($AO211,costs!$A$2:$I$2905,AU$2,FALSE),0)</f>
        <v>0</v>
      </c>
      <c r="AV211" s="372">
        <f>IFERROR(VLOOKUP($AO211,costs!$A$2:$I$2905,AV$2,FALSE),0)</f>
        <v>0</v>
      </c>
      <c r="AW211" s="372">
        <f>IFERROR(VLOOKUP($AO211,costs!$A$2:$I$2905,AW$2,FALSE),0)</f>
        <v>0</v>
      </c>
    </row>
    <row r="212" spans="2:49" x14ac:dyDescent="0.35">
      <c r="B212" s="900">
        <v>2023</v>
      </c>
      <c r="C212" s="900" t="e">
        <f>(2/5*C209+3/5*C214)</f>
        <v>#N/A</v>
      </c>
      <c r="D212" s="900">
        <f>(2/5*D209+3/5*D214)</f>
        <v>451221.51868061745</v>
      </c>
      <c r="E212" s="900">
        <f>(2/5*E209+3/5*E214)</f>
        <v>454632.47304938198</v>
      </c>
      <c r="G212" s="900">
        <v>2023</v>
      </c>
      <c r="H212" s="900" t="e">
        <f t="shared" ref="H212:J227" si="41">H211+C212</f>
        <v>#N/A</v>
      </c>
      <c r="I212" s="900">
        <f t="shared" si="40"/>
        <v>1824396.606534675</v>
      </c>
      <c r="J212" s="900">
        <f t="shared" si="40"/>
        <v>1831384.8100460949</v>
      </c>
      <c r="AO212" s="949" t="s">
        <v>212</v>
      </c>
      <c r="AP212" s="372">
        <f>IFERROR(VLOOKUP($AO212,costs!$A$2:$I$2905,AP$2,FALSE),0)</f>
        <v>0</v>
      </c>
      <c r="AQ212" s="372">
        <f>IFERROR(VLOOKUP($AO212,costs!$A$2:$I$2905,AQ$2,FALSE),0)</f>
        <v>0</v>
      </c>
      <c r="AR212" s="372">
        <f>IFERROR(VLOOKUP($AO212,costs!$A$2:$I$2905,AR$2,FALSE),0)</f>
        <v>0</v>
      </c>
      <c r="AS212" s="372">
        <f>IFERROR(VLOOKUP($AO212,costs!$A$2:$I$2905,AS$2,FALSE),0)</f>
        <v>0</v>
      </c>
      <c r="AT212" s="372">
        <f>IFERROR(VLOOKUP($AO212,costs!$A$2:$I$2905,AT$2,FALSE),0)</f>
        <v>0</v>
      </c>
      <c r="AU212" s="372">
        <f>IFERROR(VLOOKUP($AO212,costs!$A$2:$I$2905,AU$2,FALSE),0)</f>
        <v>0</v>
      </c>
      <c r="AV212" s="372">
        <f>IFERROR(VLOOKUP($AO212,costs!$A$2:$I$2905,AV$2,FALSE),0)</f>
        <v>0</v>
      </c>
      <c r="AW212" s="372">
        <f>IFERROR(VLOOKUP($AO212,costs!$A$2:$I$2905,AW$2,FALSE),0)</f>
        <v>0</v>
      </c>
    </row>
    <row r="213" spans="2:49" x14ac:dyDescent="0.35">
      <c r="B213" s="900">
        <v>2024</v>
      </c>
      <c r="C213" s="900" t="e">
        <f>(1/5*C209+4/5*C214)</f>
        <v>#N/A</v>
      </c>
      <c r="D213" s="900">
        <f>(1/5*D209+4/5*D214)</f>
        <v>447969.76337858324</v>
      </c>
      <c r="E213" s="900">
        <f>(1/5*E209+4/5*E214)</f>
        <v>452489.98674128752</v>
      </c>
      <c r="G213" s="900">
        <v>2024</v>
      </c>
      <c r="H213" s="900" t="e">
        <f t="shared" si="41"/>
        <v>#N/A</v>
      </c>
      <c r="I213" s="900">
        <f t="shared" si="40"/>
        <v>2272366.3699132581</v>
      </c>
      <c r="J213" s="900">
        <f t="shared" si="40"/>
        <v>2283874.7967873826</v>
      </c>
      <c r="AO213" s="949" t="s">
        <v>499</v>
      </c>
      <c r="AP213" s="372">
        <f>IFERROR(VLOOKUP($AO213,costs!$A$2:$I$2905,AP$2,FALSE),0)</f>
        <v>0</v>
      </c>
      <c r="AQ213" s="372">
        <f>IFERROR(VLOOKUP($AO213,costs!$A$2:$I$2905,AQ$2,FALSE),0)</f>
        <v>0</v>
      </c>
      <c r="AR213" s="372">
        <f>IFERROR(VLOOKUP($AO213,costs!$A$2:$I$2905,AR$2,FALSE),0)</f>
        <v>0</v>
      </c>
      <c r="AS213" s="372">
        <f>IFERROR(VLOOKUP($AO213,costs!$A$2:$I$2905,AS$2,FALSE),0)</f>
        <v>0</v>
      </c>
      <c r="AT213" s="372">
        <f>IFERROR(VLOOKUP($AO213,costs!$A$2:$I$2905,AT$2,FALSE),0)</f>
        <v>0</v>
      </c>
      <c r="AU213" s="372">
        <f>IFERROR(VLOOKUP($AO213,costs!$A$2:$I$2905,AU$2,FALSE),0)</f>
        <v>0</v>
      </c>
      <c r="AV213" s="372">
        <f>IFERROR(VLOOKUP($AO213,costs!$A$2:$I$2905,AV$2,FALSE),0)</f>
        <v>0</v>
      </c>
      <c r="AW213" s="372">
        <f>IFERROR(VLOOKUP($AO213,costs!$A$2:$I$2905,AW$2,FALSE),0)</f>
        <v>0</v>
      </c>
    </row>
    <row r="214" spans="2:49" x14ac:dyDescent="0.35">
      <c r="B214" s="900">
        <v>2025</v>
      </c>
      <c r="C214" s="900" t="e">
        <f>D87</f>
        <v>#N/A</v>
      </c>
      <c r="D214" s="900">
        <f>D162</f>
        <v>444718.00807654898</v>
      </c>
      <c r="E214" s="900">
        <f>D184</f>
        <v>450347.500433193</v>
      </c>
      <c r="G214" s="900">
        <v>2025</v>
      </c>
      <c r="H214" s="900" t="e">
        <f t="shared" si="41"/>
        <v>#N/A</v>
      </c>
      <c r="I214" s="900">
        <f t="shared" si="40"/>
        <v>2717084.3779898072</v>
      </c>
      <c r="J214" s="900">
        <f t="shared" si="40"/>
        <v>2734222.2972205756</v>
      </c>
      <c r="AO214" s="949" t="s">
        <v>4221</v>
      </c>
      <c r="AP214" s="372">
        <f>IFERROR(VLOOKUP($AO214,costs!$A$2:$I$2905,AP$2,FALSE),0)</f>
        <v>0</v>
      </c>
      <c r="AQ214" s="372">
        <f>IFERROR(VLOOKUP($AO214,costs!$A$2:$I$2905,AQ$2,FALSE),0)</f>
        <v>0</v>
      </c>
      <c r="AR214" s="372">
        <f>IFERROR(VLOOKUP($AO214,costs!$A$2:$I$2905,AR$2,FALSE),0)</f>
        <v>0</v>
      </c>
      <c r="AS214" s="372">
        <f>IFERROR(VLOOKUP($AO214,costs!$A$2:$I$2905,AS$2,FALSE),0)</f>
        <v>0</v>
      </c>
      <c r="AT214" s="372">
        <f>IFERROR(VLOOKUP($AO214,costs!$A$2:$I$2905,AT$2,FALSE),0)</f>
        <v>0</v>
      </c>
      <c r="AU214" s="372">
        <f>IFERROR(VLOOKUP($AO214,costs!$A$2:$I$2905,AU$2,FALSE),0)</f>
        <v>0</v>
      </c>
      <c r="AV214" s="372">
        <f>IFERROR(VLOOKUP($AO214,costs!$A$2:$I$2905,AV$2,FALSE),0)</f>
        <v>0</v>
      </c>
      <c r="AW214" s="372">
        <f>IFERROR(VLOOKUP($AO214,costs!$A$2:$I$2905,AW$2,FALSE),0)</f>
        <v>0</v>
      </c>
    </row>
    <row r="215" spans="2:49" x14ac:dyDescent="0.35">
      <c r="B215" s="900">
        <v>2026</v>
      </c>
      <c r="C215" s="900" t="e">
        <f>(4/5*C214+1/5*C219)</f>
        <v>#N/A</v>
      </c>
      <c r="D215" s="900">
        <f>(4/5*D214+1/5*D219)</f>
        <v>452959.73932738032</v>
      </c>
      <c r="E215" s="900">
        <f>(4/5*E214+1/5*E219)</f>
        <v>454038.66845266894</v>
      </c>
      <c r="G215" s="900">
        <v>2026</v>
      </c>
      <c r="H215" s="900" t="e">
        <f t="shared" si="41"/>
        <v>#N/A</v>
      </c>
      <c r="I215" s="900">
        <f t="shared" si="40"/>
        <v>3170044.1173171876</v>
      </c>
      <c r="J215" s="900">
        <f t="shared" si="40"/>
        <v>3188260.9656732446</v>
      </c>
      <c r="AO215" s="949" t="s">
        <v>4222</v>
      </c>
      <c r="AP215" s="372">
        <f>IFERROR(VLOOKUP($AO215,costs!$A$2:$I$2905,AP$2,FALSE),0)</f>
        <v>0</v>
      </c>
      <c r="AQ215" s="372">
        <f>IFERROR(VLOOKUP($AO215,costs!$A$2:$I$2905,AQ$2,FALSE),0)</f>
        <v>0</v>
      </c>
      <c r="AR215" s="372">
        <f>IFERROR(VLOOKUP($AO215,costs!$A$2:$I$2905,AR$2,FALSE),0)</f>
        <v>0</v>
      </c>
      <c r="AS215" s="372">
        <f>IFERROR(VLOOKUP($AO215,costs!$A$2:$I$2905,AS$2,FALSE),0)</f>
        <v>0</v>
      </c>
      <c r="AT215" s="372">
        <f>IFERROR(VLOOKUP($AO215,costs!$A$2:$I$2905,AT$2,FALSE),0)</f>
        <v>0</v>
      </c>
      <c r="AU215" s="372">
        <f>IFERROR(VLOOKUP($AO215,costs!$A$2:$I$2905,AU$2,FALSE),0)</f>
        <v>0</v>
      </c>
      <c r="AV215" s="372">
        <f>IFERROR(VLOOKUP($AO215,costs!$A$2:$I$2905,AV$2,FALSE),0)</f>
        <v>0</v>
      </c>
      <c r="AW215" s="372">
        <f>IFERROR(VLOOKUP($AO215,costs!$A$2:$I$2905,AW$2,FALSE),0)</f>
        <v>0</v>
      </c>
    </row>
    <row r="216" spans="2:49" x14ac:dyDescent="0.35">
      <c r="B216" s="900">
        <v>2027</v>
      </c>
      <c r="C216" s="900" t="e">
        <f>(3/5*C214+2/5*C219)</f>
        <v>#N/A</v>
      </c>
      <c r="D216" s="900">
        <f>(3/5*D214+2/5*D219)</f>
        <v>461201.47057821165</v>
      </c>
      <c r="E216" s="900">
        <f>(3/5*E214+2/5*E219)</f>
        <v>457729.83647214482</v>
      </c>
      <c r="G216" s="900">
        <v>2027</v>
      </c>
      <c r="H216" s="900" t="e">
        <f t="shared" si="41"/>
        <v>#N/A</v>
      </c>
      <c r="I216" s="900">
        <f t="shared" si="40"/>
        <v>3631245.5878953994</v>
      </c>
      <c r="J216" s="900">
        <f t="shared" si="40"/>
        <v>3645990.8021453894</v>
      </c>
      <c r="AO216" s="949" t="s">
        <v>299</v>
      </c>
      <c r="AP216" s="372">
        <f>IFERROR(VLOOKUP($AO216,costs!$A$2:$I$2905,AP$2,FALSE),0)</f>
        <v>0</v>
      </c>
      <c r="AQ216" s="372">
        <f>IFERROR(VLOOKUP($AO216,costs!$A$2:$I$2905,AQ$2,FALSE),0)</f>
        <v>0</v>
      </c>
      <c r="AR216" s="372">
        <f>IFERROR(VLOOKUP($AO216,costs!$A$2:$I$2905,AR$2,FALSE),0)</f>
        <v>0</v>
      </c>
      <c r="AS216" s="372">
        <f>IFERROR(VLOOKUP($AO216,costs!$A$2:$I$2905,AS$2,FALSE),0)</f>
        <v>0</v>
      </c>
      <c r="AT216" s="372">
        <f>IFERROR(VLOOKUP($AO216,costs!$A$2:$I$2905,AT$2,FALSE),0)</f>
        <v>0</v>
      </c>
      <c r="AU216" s="372">
        <f>IFERROR(VLOOKUP($AO216,costs!$A$2:$I$2905,AU$2,FALSE),0)</f>
        <v>0</v>
      </c>
      <c r="AV216" s="372">
        <f>IFERROR(VLOOKUP($AO216,costs!$A$2:$I$2905,AV$2,FALSE),0)</f>
        <v>0</v>
      </c>
      <c r="AW216" s="372">
        <f>IFERROR(VLOOKUP($AO216,costs!$A$2:$I$2905,AW$2,FALSE),0)</f>
        <v>0</v>
      </c>
    </row>
    <row r="217" spans="2:49" x14ac:dyDescent="0.35">
      <c r="B217" s="900">
        <v>2028</v>
      </c>
      <c r="C217" s="900" t="e">
        <f>(2/5*C214+3/5*C219)</f>
        <v>#N/A</v>
      </c>
      <c r="D217" s="900">
        <f>(2/5*D214+3/5*D219)</f>
        <v>469443.20182904298</v>
      </c>
      <c r="E217" s="900">
        <f>(2/5*E214+3/5*E219)</f>
        <v>461421.00449162076</v>
      </c>
      <c r="G217" s="900">
        <v>2028</v>
      </c>
      <c r="H217" s="900" t="e">
        <f t="shared" si="41"/>
        <v>#N/A</v>
      </c>
      <c r="I217" s="900">
        <f t="shared" si="40"/>
        <v>4100688.7897244422</v>
      </c>
      <c r="J217" s="900">
        <f t="shared" si="40"/>
        <v>4107411.8066370101</v>
      </c>
      <c r="AO217" s="40" t="s">
        <v>2026</v>
      </c>
      <c r="AP217" s="372">
        <f>IFERROR(VLOOKUP($AO217,costs!$A$2:$I$2905,AP$2,FALSE),0)</f>
        <v>0</v>
      </c>
      <c r="AQ217" s="372">
        <f>IFERROR(VLOOKUP($AO217,costs!$A$2:$I$2905,AQ$2,FALSE),0)</f>
        <v>0</v>
      </c>
      <c r="AR217" s="372">
        <f>IFERROR(VLOOKUP($AO217,costs!$A$2:$I$2905,AR$2,FALSE),0)</f>
        <v>0</v>
      </c>
      <c r="AS217" s="372">
        <f>IFERROR(VLOOKUP($AO217,costs!$A$2:$I$2905,AS$2,FALSE),0)</f>
        <v>0</v>
      </c>
      <c r="AT217" s="372">
        <f>IFERROR(VLOOKUP($AO217,costs!$A$2:$I$2905,AT$2,FALSE),0)</f>
        <v>0</v>
      </c>
      <c r="AU217" s="372">
        <f>IFERROR(VLOOKUP($AO217,costs!$A$2:$I$2905,AU$2,FALSE),0)</f>
        <v>0</v>
      </c>
      <c r="AV217" s="372">
        <f>IFERROR(VLOOKUP($AO217,costs!$A$2:$I$2905,AV$2,FALSE),0)</f>
        <v>0</v>
      </c>
      <c r="AW217" s="372">
        <f>IFERROR(VLOOKUP($AO217,costs!$A$2:$I$2905,AW$2,FALSE),0)</f>
        <v>0</v>
      </c>
    </row>
    <row r="218" spans="2:49" x14ac:dyDescent="0.35">
      <c r="B218" s="900">
        <v>2029</v>
      </c>
      <c r="C218" s="900" t="e">
        <f>(1/5*C214+4/5*C219)</f>
        <v>#N/A</v>
      </c>
      <c r="D218" s="900">
        <f>(1/5*D214+4/5*D219)</f>
        <v>477684.93307987438</v>
      </c>
      <c r="E218" s="900">
        <f>(1/5*E214+4/5*E219)</f>
        <v>465112.17251109669</v>
      </c>
      <c r="G218" s="900">
        <v>2029</v>
      </c>
      <c r="H218" s="900" t="e">
        <f t="shared" si="41"/>
        <v>#N/A</v>
      </c>
      <c r="I218" s="900">
        <f t="shared" si="40"/>
        <v>4578373.7228043163</v>
      </c>
      <c r="J218" s="900">
        <f t="shared" si="40"/>
        <v>4572523.9791481066</v>
      </c>
      <c r="AO218" s="40" t="s">
        <v>1328</v>
      </c>
      <c r="AP218" s="372">
        <f>IFERROR(VLOOKUP($AO218,costs!$A$2:$I$2905,AP$2,FALSE),0)</f>
        <v>0</v>
      </c>
      <c r="AQ218" s="372">
        <f>IFERROR(VLOOKUP($AO218,costs!$A$2:$I$2905,AQ$2,FALSE),0)</f>
        <v>0</v>
      </c>
      <c r="AR218" s="372">
        <f>IFERROR(VLOOKUP($AO218,costs!$A$2:$I$2905,AR$2,FALSE),0)</f>
        <v>0</v>
      </c>
      <c r="AS218" s="372">
        <f>IFERROR(VLOOKUP($AO218,costs!$A$2:$I$2905,AS$2,FALSE),0)</f>
        <v>0</v>
      </c>
      <c r="AT218" s="372">
        <f>IFERROR(VLOOKUP($AO218,costs!$A$2:$I$2905,AT$2,FALSE),0)</f>
        <v>0</v>
      </c>
      <c r="AU218" s="372">
        <f>IFERROR(VLOOKUP($AO218,costs!$A$2:$I$2905,AU$2,FALSE),0)</f>
        <v>0</v>
      </c>
      <c r="AV218" s="372">
        <f>IFERROR(VLOOKUP($AO218,costs!$A$2:$I$2905,AV$2,FALSE),0)</f>
        <v>0</v>
      </c>
      <c r="AW218" s="372">
        <f>IFERROR(VLOOKUP($AO218,costs!$A$2:$I$2905,AW$2,FALSE),0)</f>
        <v>0</v>
      </c>
    </row>
    <row r="219" spans="2:49" x14ac:dyDescent="0.35">
      <c r="B219" s="900">
        <v>2030</v>
      </c>
      <c r="C219" s="900" t="e">
        <f>E87</f>
        <v>#N/A</v>
      </c>
      <c r="D219" s="900">
        <f>E162</f>
        <v>485926.66433070565</v>
      </c>
      <c r="E219" s="900">
        <f>E184</f>
        <v>468803.34053057258</v>
      </c>
      <c r="G219" s="900">
        <v>2030</v>
      </c>
      <c r="H219" s="900" t="e">
        <f t="shared" si="41"/>
        <v>#N/A</v>
      </c>
      <c r="I219" s="900">
        <f t="shared" si="40"/>
        <v>5064300.3871350223</v>
      </c>
      <c r="J219" s="900">
        <f t="shared" si="40"/>
        <v>5041327.3196786791</v>
      </c>
      <c r="AO219" s="949" t="s">
        <v>1327</v>
      </c>
      <c r="AP219" s="372">
        <f>IFERROR(VLOOKUP($AO219,costs!$A$2:$I$2905,AP$2,FALSE),0)</f>
        <v>0</v>
      </c>
      <c r="AQ219" s="372">
        <f>IFERROR(VLOOKUP($AO219,costs!$A$2:$I$2905,AQ$2,FALSE),0)</f>
        <v>0</v>
      </c>
      <c r="AR219" s="372">
        <f>IFERROR(VLOOKUP($AO219,costs!$A$2:$I$2905,AR$2,FALSE),0)</f>
        <v>0</v>
      </c>
      <c r="AS219" s="372">
        <f>IFERROR(VLOOKUP($AO219,costs!$A$2:$I$2905,AS$2,FALSE),0)</f>
        <v>0</v>
      </c>
      <c r="AT219" s="372">
        <f>IFERROR(VLOOKUP($AO219,costs!$A$2:$I$2905,AT$2,FALSE),0)</f>
        <v>0</v>
      </c>
      <c r="AU219" s="372">
        <f>IFERROR(VLOOKUP($AO219,costs!$A$2:$I$2905,AU$2,FALSE),0)</f>
        <v>0</v>
      </c>
      <c r="AV219" s="372">
        <f>IFERROR(VLOOKUP($AO219,costs!$A$2:$I$2905,AV$2,FALSE),0)</f>
        <v>0</v>
      </c>
      <c r="AW219" s="372">
        <f>IFERROR(VLOOKUP($AO219,costs!$A$2:$I$2905,AW$2,FALSE),0)</f>
        <v>0</v>
      </c>
    </row>
    <row r="220" spans="2:49" x14ac:dyDescent="0.35">
      <c r="B220" s="900">
        <v>2031</v>
      </c>
      <c r="C220" s="900" t="e">
        <f>(4/5*C219+1/5*C224)</f>
        <v>#N/A</v>
      </c>
      <c r="D220" s="900">
        <f>(4/5*D219+1/5*D224)</f>
        <v>489695.59694468573</v>
      </c>
      <c r="E220" s="900">
        <f>(4/5*E219+1/5*E224)</f>
        <v>477145.06782616896</v>
      </c>
      <c r="G220" s="900">
        <v>2031</v>
      </c>
      <c r="H220" s="900" t="e">
        <f t="shared" si="41"/>
        <v>#N/A</v>
      </c>
      <c r="I220" s="900">
        <f t="shared" si="40"/>
        <v>5553995.9840797083</v>
      </c>
      <c r="J220" s="900">
        <f t="shared" si="40"/>
        <v>5518472.3875048477</v>
      </c>
      <c r="AO220" s="40" t="s">
        <v>1329</v>
      </c>
      <c r="AP220" s="372">
        <f>IFERROR(VLOOKUP($AO220,costs!$A$2:$I$2905,AP$2,FALSE),0)</f>
        <v>0</v>
      </c>
      <c r="AQ220" s="372">
        <f>IFERROR(VLOOKUP($AO220,costs!$A$2:$I$2905,AQ$2,FALSE),0)</f>
        <v>0</v>
      </c>
      <c r="AR220" s="372">
        <f>IFERROR(VLOOKUP($AO220,costs!$A$2:$I$2905,AR$2,FALSE),0)</f>
        <v>0</v>
      </c>
      <c r="AS220" s="372">
        <f>IFERROR(VLOOKUP($AO220,costs!$A$2:$I$2905,AS$2,FALSE),0)</f>
        <v>0</v>
      </c>
      <c r="AT220" s="372">
        <f>IFERROR(VLOOKUP($AO220,costs!$A$2:$I$2905,AT$2,FALSE),0)</f>
        <v>0</v>
      </c>
      <c r="AU220" s="372">
        <f>IFERROR(VLOOKUP($AO220,costs!$A$2:$I$2905,AU$2,FALSE),0)</f>
        <v>0</v>
      </c>
      <c r="AV220" s="372">
        <f>IFERROR(VLOOKUP($AO220,costs!$A$2:$I$2905,AV$2,FALSE),0)</f>
        <v>0</v>
      </c>
      <c r="AW220" s="372">
        <f>IFERROR(VLOOKUP($AO220,costs!$A$2:$I$2905,AW$2,FALSE),0)</f>
        <v>0</v>
      </c>
    </row>
    <row r="221" spans="2:49" x14ac:dyDescent="0.35">
      <c r="B221" s="900">
        <v>2032</v>
      </c>
      <c r="C221" s="900" t="e">
        <f>(3/5*C219+2/5*C224)</f>
        <v>#N/A</v>
      </c>
      <c r="D221" s="900">
        <f>(3/5*D219+2/5*D224)</f>
        <v>493464.52955866576</v>
      </c>
      <c r="E221" s="900">
        <f>(3/5*E219+2/5*E224)</f>
        <v>485486.79512176535</v>
      </c>
      <c r="G221" s="900">
        <v>2032</v>
      </c>
      <c r="H221" s="900" t="e">
        <f t="shared" si="41"/>
        <v>#N/A</v>
      </c>
      <c r="I221" s="900">
        <f t="shared" si="40"/>
        <v>6047460.5136383744</v>
      </c>
      <c r="J221" s="900">
        <f t="shared" si="40"/>
        <v>6003959.1826266134</v>
      </c>
      <c r="AO221" s="949" t="s">
        <v>514</v>
      </c>
      <c r="AP221" s="372">
        <f>IFERROR(VLOOKUP($AO221,costs!$A$2:$I$2905,AP$2,FALSE),0)</f>
        <v>0</v>
      </c>
      <c r="AQ221" s="372">
        <f>IFERROR(VLOOKUP($AO221,costs!$A$2:$I$2905,AQ$2,FALSE),0)</f>
        <v>0</v>
      </c>
      <c r="AR221" s="372">
        <f>IFERROR(VLOOKUP($AO221,costs!$A$2:$I$2905,AR$2,FALSE),0)</f>
        <v>0</v>
      </c>
      <c r="AS221" s="372">
        <f>IFERROR(VLOOKUP($AO221,costs!$A$2:$I$2905,AS$2,FALSE),0)</f>
        <v>0</v>
      </c>
      <c r="AT221" s="372">
        <f>IFERROR(VLOOKUP($AO221,costs!$A$2:$I$2905,AT$2,FALSE),0)</f>
        <v>0</v>
      </c>
      <c r="AU221" s="372">
        <f>IFERROR(VLOOKUP($AO221,costs!$A$2:$I$2905,AU$2,FALSE),0)</f>
        <v>0</v>
      </c>
      <c r="AV221" s="372">
        <f>IFERROR(VLOOKUP($AO221,costs!$A$2:$I$2905,AV$2,FALSE),0)</f>
        <v>0</v>
      </c>
      <c r="AW221" s="372">
        <f>IFERROR(VLOOKUP($AO221,costs!$A$2:$I$2905,AW$2,FALSE),0)</f>
        <v>0</v>
      </c>
    </row>
    <row r="222" spans="2:49" x14ac:dyDescent="0.35">
      <c r="B222" s="900">
        <v>2033</v>
      </c>
      <c r="C222" s="900" t="e">
        <f>(2/5*C219+3/5*C224)</f>
        <v>#N/A</v>
      </c>
      <c r="D222" s="900">
        <f>(2/5*D219+3/5*D224)</f>
        <v>497233.46217264584</v>
      </c>
      <c r="E222" s="900">
        <f>(2/5*E219+3/5*E224)</f>
        <v>493828.52241736173</v>
      </c>
      <c r="G222" s="900">
        <v>2033</v>
      </c>
      <c r="H222" s="900" t="e">
        <f t="shared" si="41"/>
        <v>#N/A</v>
      </c>
      <c r="I222" s="900">
        <f t="shared" si="40"/>
        <v>6544693.9758110205</v>
      </c>
      <c r="J222" s="900">
        <f t="shared" si="40"/>
        <v>6497787.7050439753</v>
      </c>
      <c r="AO222" s="40" t="s">
        <v>508</v>
      </c>
      <c r="AP222" s="372">
        <f>IFERROR(VLOOKUP($AO222,costs!$A$2:$I$2905,AP$2,FALSE),0)</f>
        <v>0</v>
      </c>
      <c r="AQ222" s="372">
        <f>IFERROR(VLOOKUP($AO222,costs!$A$2:$I$2905,AQ$2,FALSE),0)</f>
        <v>0</v>
      </c>
      <c r="AR222" s="372">
        <f>IFERROR(VLOOKUP($AO222,costs!$A$2:$I$2905,AR$2,FALSE),0)</f>
        <v>0</v>
      </c>
      <c r="AS222" s="372">
        <f>IFERROR(VLOOKUP($AO222,costs!$A$2:$I$2905,AS$2,FALSE),0)</f>
        <v>0</v>
      </c>
      <c r="AT222" s="372">
        <f>IFERROR(VLOOKUP($AO222,costs!$A$2:$I$2905,AT$2,FALSE),0)</f>
        <v>0</v>
      </c>
      <c r="AU222" s="372">
        <f>IFERROR(VLOOKUP($AO222,costs!$A$2:$I$2905,AU$2,FALSE),0)</f>
        <v>0</v>
      </c>
      <c r="AV222" s="372">
        <f>IFERROR(VLOOKUP($AO222,costs!$A$2:$I$2905,AV$2,FALSE),0)</f>
        <v>0</v>
      </c>
      <c r="AW222" s="372">
        <f>IFERROR(VLOOKUP($AO222,costs!$A$2:$I$2905,AW$2,FALSE),0)</f>
        <v>0</v>
      </c>
    </row>
    <row r="223" spans="2:49" x14ac:dyDescent="0.35">
      <c r="B223" s="900">
        <v>2034</v>
      </c>
      <c r="C223" s="900" t="e">
        <f>(1/5*C219+4/5*C224)</f>
        <v>#N/A</v>
      </c>
      <c r="D223" s="900">
        <f>(1/5*D219+4/5*D224)</f>
        <v>501002.39478662587</v>
      </c>
      <c r="E223" s="900">
        <f>(1/5*E219+4/5*E224)</f>
        <v>502170.24971295812</v>
      </c>
      <c r="G223" s="900">
        <v>2034</v>
      </c>
      <c r="H223" s="900" t="e">
        <f t="shared" si="41"/>
        <v>#N/A</v>
      </c>
      <c r="I223" s="900">
        <f t="shared" si="40"/>
        <v>7045696.3705976466</v>
      </c>
      <c r="J223" s="900">
        <f t="shared" si="40"/>
        <v>6999957.9547569333</v>
      </c>
      <c r="AO223" s="949" t="s">
        <v>340</v>
      </c>
      <c r="AP223" s="372">
        <f>IFERROR(VLOOKUP($AO223,costs!$A$2:$I$2905,AP$2,FALSE),0)</f>
        <v>0</v>
      </c>
      <c r="AQ223" s="372">
        <f>IFERROR(VLOOKUP($AO223,costs!$A$2:$I$2905,AQ$2,FALSE),0)</f>
        <v>0</v>
      </c>
      <c r="AR223" s="372">
        <f>IFERROR(VLOOKUP($AO223,costs!$A$2:$I$2905,AR$2,FALSE),0)</f>
        <v>0</v>
      </c>
      <c r="AS223" s="372">
        <f>IFERROR(VLOOKUP($AO223,costs!$A$2:$I$2905,AS$2,FALSE),0)</f>
        <v>0</v>
      </c>
      <c r="AT223" s="372">
        <f>IFERROR(VLOOKUP($AO223,costs!$A$2:$I$2905,AT$2,FALSE),0)</f>
        <v>0</v>
      </c>
      <c r="AU223" s="372">
        <f>IFERROR(VLOOKUP($AO223,costs!$A$2:$I$2905,AU$2,FALSE),0)</f>
        <v>0</v>
      </c>
      <c r="AV223" s="372">
        <f>IFERROR(VLOOKUP($AO223,costs!$A$2:$I$2905,AV$2,FALSE),0)</f>
        <v>0</v>
      </c>
      <c r="AW223" s="372">
        <f>IFERROR(VLOOKUP($AO223,costs!$A$2:$I$2905,AW$2,FALSE),0)</f>
        <v>0</v>
      </c>
    </row>
    <row r="224" spans="2:49" x14ac:dyDescent="0.35">
      <c r="B224" s="900">
        <v>2035</v>
      </c>
      <c r="C224" s="900" t="e">
        <f>F87</f>
        <v>#N/A</v>
      </c>
      <c r="D224" s="900">
        <f>F162</f>
        <v>504771.32740060595</v>
      </c>
      <c r="E224" s="900">
        <f>F184</f>
        <v>510511.9770085545</v>
      </c>
      <c r="G224" s="900">
        <v>2035</v>
      </c>
      <c r="H224" s="900" t="e">
        <f t="shared" si="41"/>
        <v>#N/A</v>
      </c>
      <c r="I224" s="900">
        <f t="shared" si="40"/>
        <v>7550467.6979982527</v>
      </c>
      <c r="J224" s="900">
        <f t="shared" si="40"/>
        <v>7510469.9317654874</v>
      </c>
      <c r="AO224" s="40" t="s">
        <v>465</v>
      </c>
      <c r="AP224" s="372">
        <f>IFERROR(VLOOKUP($AO224,costs!$A$2:$I$2905,AP$2,FALSE),0)</f>
        <v>0</v>
      </c>
      <c r="AQ224" s="372">
        <f>IFERROR(VLOOKUP($AO224,costs!$A$2:$I$2905,AQ$2,FALSE),0)</f>
        <v>0</v>
      </c>
      <c r="AR224" s="372">
        <f>IFERROR(VLOOKUP($AO224,costs!$A$2:$I$2905,AR$2,FALSE),0)</f>
        <v>0</v>
      </c>
      <c r="AS224" s="372">
        <f>IFERROR(VLOOKUP($AO224,costs!$A$2:$I$2905,AS$2,FALSE),0)</f>
        <v>0</v>
      </c>
      <c r="AT224" s="372">
        <f>IFERROR(VLOOKUP($AO224,costs!$A$2:$I$2905,AT$2,FALSE),0)</f>
        <v>0</v>
      </c>
      <c r="AU224" s="372">
        <f>IFERROR(VLOOKUP($AO224,costs!$A$2:$I$2905,AU$2,FALSE),0)</f>
        <v>0</v>
      </c>
      <c r="AV224" s="372">
        <f>IFERROR(VLOOKUP($AO224,costs!$A$2:$I$2905,AV$2,FALSE),0)</f>
        <v>0</v>
      </c>
      <c r="AW224" s="372">
        <f>IFERROR(VLOOKUP($AO224,costs!$A$2:$I$2905,AW$2,FALSE),0)</f>
        <v>0</v>
      </c>
    </row>
    <row r="225" spans="2:49" x14ac:dyDescent="0.35">
      <c r="B225" s="900">
        <v>2036</v>
      </c>
      <c r="C225" s="900" t="e">
        <f>(4/5*C224+1/5*C229)</f>
        <v>#N/A</v>
      </c>
      <c r="D225" s="900">
        <f>(4/5*D224+1/5*D229)</f>
        <v>505355.87839755689</v>
      </c>
      <c r="E225" s="900">
        <f>(4/5*E224+1/5*E229)</f>
        <v>509843.7055158295</v>
      </c>
      <c r="G225" s="900">
        <v>2036</v>
      </c>
      <c r="H225" s="900" t="e">
        <f t="shared" si="41"/>
        <v>#N/A</v>
      </c>
      <c r="I225" s="900">
        <f t="shared" si="40"/>
        <v>8055823.5763958097</v>
      </c>
      <c r="J225" s="900">
        <f t="shared" si="40"/>
        <v>8020313.6372813173</v>
      </c>
      <c r="AO225" s="949" t="s">
        <v>443</v>
      </c>
      <c r="AP225" s="372">
        <f>IFERROR(VLOOKUP($AO225,costs!$A$2:$I$2905,AP$2,FALSE),0)</f>
        <v>0</v>
      </c>
      <c r="AQ225" s="372">
        <f>IFERROR(VLOOKUP($AO225,costs!$A$2:$I$2905,AQ$2,FALSE),0)</f>
        <v>0</v>
      </c>
      <c r="AR225" s="372">
        <f>IFERROR(VLOOKUP($AO225,costs!$A$2:$I$2905,AR$2,FALSE),0)</f>
        <v>0</v>
      </c>
      <c r="AS225" s="372">
        <f>IFERROR(VLOOKUP($AO225,costs!$A$2:$I$2905,AS$2,FALSE),0)</f>
        <v>0</v>
      </c>
      <c r="AT225" s="372">
        <f>IFERROR(VLOOKUP($AO225,costs!$A$2:$I$2905,AT$2,FALSE),0)</f>
        <v>0</v>
      </c>
      <c r="AU225" s="372">
        <f>IFERROR(VLOOKUP($AO225,costs!$A$2:$I$2905,AU$2,FALSE),0)</f>
        <v>0</v>
      </c>
      <c r="AV225" s="372">
        <f>IFERROR(VLOOKUP($AO225,costs!$A$2:$I$2905,AV$2,FALSE),0)</f>
        <v>0</v>
      </c>
      <c r="AW225" s="372">
        <f>IFERROR(VLOOKUP($AO225,costs!$A$2:$I$2905,AW$2,FALSE),0)</f>
        <v>0</v>
      </c>
    </row>
    <row r="226" spans="2:49" x14ac:dyDescent="0.35">
      <c r="B226" s="900">
        <v>2037</v>
      </c>
      <c r="C226" s="900" t="e">
        <f>(3/5*C224+2/5*C229)</f>
        <v>#N/A</v>
      </c>
      <c r="D226" s="900">
        <f>(3/5*D224+2/5*D229)</f>
        <v>505940.42939450784</v>
      </c>
      <c r="E226" s="900">
        <f>(3/5*E224+2/5*E229)</f>
        <v>509175.43402310438</v>
      </c>
      <c r="G226" s="900">
        <v>2037</v>
      </c>
      <c r="H226" s="900" t="e">
        <f t="shared" si="41"/>
        <v>#N/A</v>
      </c>
      <c r="I226" s="900">
        <f t="shared" si="41"/>
        <v>8561764.0057903174</v>
      </c>
      <c r="J226" s="900">
        <f t="shared" si="41"/>
        <v>8529489.0713044219</v>
      </c>
      <c r="AO226" s="40" t="s">
        <v>181</v>
      </c>
      <c r="AP226" s="372">
        <f>IFERROR(VLOOKUP($AO226,costs!$A$2:$I$2905,AP$2,FALSE),0)</f>
        <v>0</v>
      </c>
      <c r="AQ226" s="372">
        <f>IFERROR(VLOOKUP($AO226,costs!$A$2:$I$2905,AQ$2,FALSE),0)</f>
        <v>0</v>
      </c>
      <c r="AR226" s="372">
        <f>IFERROR(VLOOKUP($AO226,costs!$A$2:$I$2905,AR$2,FALSE),0)</f>
        <v>0</v>
      </c>
      <c r="AS226" s="372">
        <f>IFERROR(VLOOKUP($AO226,costs!$A$2:$I$2905,AS$2,FALSE),0)</f>
        <v>0</v>
      </c>
      <c r="AT226" s="372">
        <f>IFERROR(VLOOKUP($AO226,costs!$A$2:$I$2905,AT$2,FALSE),0)</f>
        <v>0</v>
      </c>
      <c r="AU226" s="372">
        <f>IFERROR(VLOOKUP($AO226,costs!$A$2:$I$2905,AU$2,FALSE),0)</f>
        <v>0</v>
      </c>
      <c r="AV226" s="372">
        <f>IFERROR(VLOOKUP($AO226,costs!$A$2:$I$2905,AV$2,FALSE),0)</f>
        <v>0</v>
      </c>
      <c r="AW226" s="372">
        <f>IFERROR(VLOOKUP($AO226,costs!$A$2:$I$2905,AW$2,FALSE),0)</f>
        <v>0</v>
      </c>
    </row>
    <row r="227" spans="2:49" x14ac:dyDescent="0.35">
      <c r="B227" s="900">
        <v>2038</v>
      </c>
      <c r="C227" s="900" t="e">
        <f>(2/5*C224+3/5*C229)</f>
        <v>#N/A</v>
      </c>
      <c r="D227" s="900">
        <f>(2/5*D224+3/5*D229)</f>
        <v>506524.98039145878</v>
      </c>
      <c r="E227" s="900">
        <f>(2/5*E224+3/5*E229)</f>
        <v>508507.16253037937</v>
      </c>
      <c r="G227" s="900">
        <v>2038</v>
      </c>
      <c r="H227" s="900" t="e">
        <f t="shared" si="41"/>
        <v>#N/A</v>
      </c>
      <c r="I227" s="900">
        <f t="shared" si="41"/>
        <v>9068288.986181777</v>
      </c>
      <c r="J227" s="900">
        <f t="shared" si="41"/>
        <v>9037996.2338348012</v>
      </c>
      <c r="AO227" s="275" t="s">
        <v>2031</v>
      </c>
      <c r="AP227" s="950">
        <f t="shared" ref="AP227:AW227" si="42">SUM(AP208:AP226)</f>
        <v>0</v>
      </c>
      <c r="AQ227" s="950">
        <f t="shared" si="42"/>
        <v>0</v>
      </c>
      <c r="AR227" s="950">
        <f t="shared" si="42"/>
        <v>0</v>
      </c>
      <c r="AS227" s="950">
        <f t="shared" si="42"/>
        <v>0</v>
      </c>
      <c r="AT227" s="950">
        <f t="shared" si="42"/>
        <v>0</v>
      </c>
      <c r="AU227" s="950">
        <f t="shared" si="42"/>
        <v>0</v>
      </c>
      <c r="AV227" s="950">
        <f t="shared" si="42"/>
        <v>0</v>
      </c>
      <c r="AW227" s="950">
        <f t="shared" si="42"/>
        <v>0</v>
      </c>
    </row>
    <row r="228" spans="2:49" x14ac:dyDescent="0.35">
      <c r="B228" s="900">
        <v>2039</v>
      </c>
      <c r="C228" s="900" t="e">
        <f>(1/5*C224+4/5*C229)</f>
        <v>#N/A</v>
      </c>
      <c r="D228" s="900">
        <f>(1/5*D224+4/5*D229)</f>
        <v>507109.53138840973</v>
      </c>
      <c r="E228" s="900">
        <f>(1/5*E224+4/5*E229)</f>
        <v>507838.89103765436</v>
      </c>
      <c r="G228" s="900">
        <v>2039</v>
      </c>
      <c r="H228" s="900" t="e">
        <f t="shared" ref="H228:J239" si="43">H227+C228</f>
        <v>#N/A</v>
      </c>
      <c r="I228" s="900">
        <f t="shared" si="43"/>
        <v>9575398.5175701864</v>
      </c>
      <c r="J228" s="900">
        <f t="shared" si="43"/>
        <v>9545835.1248724554</v>
      </c>
      <c r="AO228" s="40"/>
    </row>
    <row r="229" spans="2:49" x14ac:dyDescent="0.35">
      <c r="B229" s="900">
        <v>2040</v>
      </c>
      <c r="C229" s="900" t="e">
        <f>G87</f>
        <v>#N/A</v>
      </c>
      <c r="D229" s="900">
        <f>G162</f>
        <v>507694.08238536067</v>
      </c>
      <c r="E229" s="900">
        <f>G184</f>
        <v>507170.61954492924</v>
      </c>
      <c r="G229" s="900">
        <v>2040</v>
      </c>
      <c r="H229" s="900" t="e">
        <f>H228+C229</f>
        <v>#N/A</v>
      </c>
      <c r="I229" s="900">
        <f t="shared" si="43"/>
        <v>10083092.599955548</v>
      </c>
      <c r="J229" s="900">
        <f t="shared" si="43"/>
        <v>10053005.744417384</v>
      </c>
      <c r="AO229" s="99" t="s">
        <v>2178</v>
      </c>
      <c r="AP229" s="372"/>
      <c r="AQ229" s="372"/>
      <c r="AR229" s="372"/>
      <c r="AS229" s="372"/>
      <c r="AT229" s="372"/>
      <c r="AU229" s="372"/>
      <c r="AV229" s="372"/>
      <c r="AW229" s="372"/>
    </row>
    <row r="230" spans="2:49" x14ac:dyDescent="0.35">
      <c r="B230" s="900">
        <v>2041</v>
      </c>
      <c r="C230" s="900" t="e">
        <f>(4/5*C229+1/5*C234)</f>
        <v>#N/A</v>
      </c>
      <c r="D230" s="900">
        <f>(4/5*D229+1/5*D234)</f>
        <v>509534.93795651873</v>
      </c>
      <c r="E230" s="900">
        <f>(4/5*E229+1/5*E234)</f>
        <v>516024.10609081539</v>
      </c>
      <c r="G230" s="900">
        <v>2041</v>
      </c>
      <c r="H230" s="900" t="e">
        <f t="shared" si="43"/>
        <v>#N/A</v>
      </c>
      <c r="I230" s="900">
        <f t="shared" si="43"/>
        <v>10592627.537912067</v>
      </c>
      <c r="J230" s="900">
        <f t="shared" si="43"/>
        <v>10569029.8505082</v>
      </c>
      <c r="AO230" s="40" t="s">
        <v>25</v>
      </c>
      <c r="AP230" s="372">
        <f>IFERROR(VLOOKUP($AO230,costs!$A$2:$I$2905,AP$2,FALSE),0)</f>
        <v>0</v>
      </c>
      <c r="AQ230" s="372">
        <f>IFERROR(VLOOKUP($AO230,costs!$A$2:$I$2905,AQ$2,FALSE),0)</f>
        <v>0</v>
      </c>
      <c r="AR230" s="372">
        <f>IFERROR(VLOOKUP($AO230,costs!$A$2:$I$2905,AR$2,FALSE),0)</f>
        <v>0</v>
      </c>
      <c r="AS230" s="372">
        <f>IFERROR(VLOOKUP($AO230,costs!$A$2:$I$2905,AS$2,FALSE),0)</f>
        <v>0</v>
      </c>
      <c r="AT230" s="372">
        <f>IFERROR(VLOOKUP($AO230,costs!$A$2:$I$2905,AT$2,FALSE),0)</f>
        <v>0</v>
      </c>
      <c r="AU230" s="372">
        <f>IFERROR(VLOOKUP($AO230,costs!$A$2:$I$2905,AU$2,FALSE),0)</f>
        <v>0</v>
      </c>
      <c r="AV230" s="372">
        <f>IFERROR(VLOOKUP($AO230,costs!$A$2:$I$2905,AV$2,FALSE),0)</f>
        <v>0</v>
      </c>
      <c r="AW230" s="372">
        <f>IFERROR(VLOOKUP($AO230,costs!$A$2:$I$2905,AW$2,FALSE),0)</f>
        <v>0</v>
      </c>
    </row>
    <row r="231" spans="2:49" x14ac:dyDescent="0.35">
      <c r="B231" s="900">
        <v>2042</v>
      </c>
      <c r="C231" s="900" t="e">
        <f>(3/5*C229+2/5*C234)</f>
        <v>#N/A</v>
      </c>
      <c r="D231" s="900">
        <f>(3/5*D229+2/5*D234)</f>
        <v>511375.79352767678</v>
      </c>
      <c r="E231" s="900">
        <f>(3/5*E229+2/5*E234)</f>
        <v>524877.59263670153</v>
      </c>
      <c r="G231" s="900">
        <v>2042</v>
      </c>
      <c r="H231" s="900" t="e">
        <f t="shared" si="43"/>
        <v>#N/A</v>
      </c>
      <c r="I231" s="900">
        <f t="shared" si="43"/>
        <v>11104003.331439745</v>
      </c>
      <c r="J231" s="900">
        <f t="shared" si="43"/>
        <v>11093907.443144901</v>
      </c>
      <c r="AO231" s="40" t="s">
        <v>47</v>
      </c>
      <c r="AP231" s="372">
        <f>IFERROR(VLOOKUP($AO231,costs!$A$2:$I$2905,AP$2,FALSE),0)</f>
        <v>0</v>
      </c>
      <c r="AQ231" s="372">
        <f>IFERROR(VLOOKUP($AO231,costs!$A$2:$I$2905,AQ$2,FALSE),0)</f>
        <v>0</v>
      </c>
      <c r="AR231" s="372">
        <f>IFERROR(VLOOKUP($AO231,costs!$A$2:$I$2905,AR$2,FALSE),0)</f>
        <v>0</v>
      </c>
      <c r="AS231" s="372">
        <f>IFERROR(VLOOKUP($AO231,costs!$A$2:$I$2905,AS$2,FALSE),0)</f>
        <v>0</v>
      </c>
      <c r="AT231" s="372">
        <f>IFERROR(VLOOKUP($AO231,costs!$A$2:$I$2905,AT$2,FALSE),0)</f>
        <v>0</v>
      </c>
      <c r="AU231" s="372">
        <f>IFERROR(VLOOKUP($AO231,costs!$A$2:$I$2905,AU$2,FALSE),0)</f>
        <v>0</v>
      </c>
      <c r="AV231" s="372">
        <f>IFERROR(VLOOKUP($AO231,costs!$A$2:$I$2905,AV$2,FALSE),0)</f>
        <v>0</v>
      </c>
      <c r="AW231" s="372">
        <f>IFERROR(VLOOKUP($AO231,costs!$A$2:$I$2905,AW$2,FALSE),0)</f>
        <v>0</v>
      </c>
    </row>
    <row r="232" spans="2:49" x14ac:dyDescent="0.35">
      <c r="B232" s="900">
        <v>2043</v>
      </c>
      <c r="C232" s="900" t="e">
        <f>(2/5*C229+3/5*C234)</f>
        <v>#N/A</v>
      </c>
      <c r="D232" s="900">
        <f>(2/5*D229+3/5*D234)</f>
        <v>513216.64909883478</v>
      </c>
      <c r="E232" s="900">
        <f>(2/5*E229+3/5*E234)</f>
        <v>533731.07918258756</v>
      </c>
      <c r="G232" s="900">
        <v>2043</v>
      </c>
      <c r="H232" s="900" t="e">
        <f t="shared" si="43"/>
        <v>#N/A</v>
      </c>
      <c r="I232" s="900">
        <f t="shared" si="43"/>
        <v>11617219.980538579</v>
      </c>
      <c r="J232" s="900">
        <f t="shared" si="43"/>
        <v>11627638.522327488</v>
      </c>
      <c r="AO232" s="40" t="s">
        <v>56</v>
      </c>
      <c r="AP232" s="372">
        <f>IFERROR(VLOOKUP($AO232,costs!$A$2:$I$2905,AP$2,FALSE),0)</f>
        <v>0</v>
      </c>
      <c r="AQ232" s="372">
        <f>IFERROR(VLOOKUP($AO232,costs!$A$2:$I$2905,AQ$2,FALSE),0)</f>
        <v>0</v>
      </c>
      <c r="AR232" s="372">
        <f>IFERROR(VLOOKUP($AO232,costs!$A$2:$I$2905,AR$2,FALSE),0)</f>
        <v>0</v>
      </c>
      <c r="AS232" s="372">
        <f>IFERROR(VLOOKUP($AO232,costs!$A$2:$I$2905,AS$2,FALSE),0)</f>
        <v>0</v>
      </c>
      <c r="AT232" s="372">
        <f>IFERROR(VLOOKUP($AO232,costs!$A$2:$I$2905,AT$2,FALSE),0)</f>
        <v>0</v>
      </c>
      <c r="AU232" s="372">
        <f>IFERROR(VLOOKUP($AO232,costs!$A$2:$I$2905,AU$2,FALSE),0)</f>
        <v>0</v>
      </c>
      <c r="AV232" s="372">
        <f>IFERROR(VLOOKUP($AO232,costs!$A$2:$I$2905,AV$2,FALSE),0)</f>
        <v>0</v>
      </c>
      <c r="AW232" s="372">
        <f>IFERROR(VLOOKUP($AO232,costs!$A$2:$I$2905,AW$2,FALSE),0)</f>
        <v>0</v>
      </c>
    </row>
    <row r="233" spans="2:49" x14ac:dyDescent="0.35">
      <c r="B233" s="900">
        <v>2044</v>
      </c>
      <c r="C233" s="900" t="e">
        <f>(1/5*C229+4/5*C234)</f>
        <v>#N/A</v>
      </c>
      <c r="D233" s="900">
        <f>(1/5*D229+4/5*D234)</f>
        <v>515057.50466999289</v>
      </c>
      <c r="E233" s="900">
        <f>(1/5*E229+4/5*E234)</f>
        <v>542584.56572847371</v>
      </c>
      <c r="G233" s="900">
        <v>2044</v>
      </c>
      <c r="H233" s="900" t="e">
        <f t="shared" si="43"/>
        <v>#N/A</v>
      </c>
      <c r="I233" s="900">
        <f t="shared" si="43"/>
        <v>12132277.485208571</v>
      </c>
      <c r="J233" s="900">
        <f t="shared" si="43"/>
        <v>12170223.088055963</v>
      </c>
      <c r="AO233" s="40" t="s">
        <v>296</v>
      </c>
      <c r="AP233" s="372">
        <f>IFERROR(VLOOKUP($AO233,costs!$A$2:$I$2905,AP$2,FALSE),0)</f>
        <v>0</v>
      </c>
      <c r="AQ233" s="372">
        <f>IFERROR(VLOOKUP($AO233,costs!$A$2:$I$2905,AQ$2,FALSE),0)</f>
        <v>0</v>
      </c>
      <c r="AR233" s="372">
        <f>IFERROR(VLOOKUP($AO233,costs!$A$2:$I$2905,AR$2,FALSE),0)</f>
        <v>0</v>
      </c>
      <c r="AS233" s="372">
        <f>IFERROR(VLOOKUP($AO233,costs!$A$2:$I$2905,AS$2,FALSE),0)</f>
        <v>0</v>
      </c>
      <c r="AT233" s="372">
        <f>IFERROR(VLOOKUP($AO233,costs!$A$2:$I$2905,AT$2,FALSE),0)</f>
        <v>0</v>
      </c>
      <c r="AU233" s="372">
        <f>IFERROR(VLOOKUP($AO233,costs!$A$2:$I$2905,AU$2,FALSE),0)</f>
        <v>0</v>
      </c>
      <c r="AV233" s="372">
        <f>IFERROR(VLOOKUP($AO233,costs!$A$2:$I$2905,AV$2,FALSE),0)</f>
        <v>0</v>
      </c>
      <c r="AW233" s="372">
        <f>IFERROR(VLOOKUP($AO233,costs!$A$2:$I$2905,AW$2,FALSE),0)</f>
        <v>0</v>
      </c>
    </row>
    <row r="234" spans="2:49" x14ac:dyDescent="0.35">
      <c r="B234" s="900">
        <v>2045</v>
      </c>
      <c r="C234" s="900" t="e">
        <f>H87</f>
        <v>#N/A</v>
      </c>
      <c r="D234" s="900">
        <f>H162</f>
        <v>516898.36024115089</v>
      </c>
      <c r="E234" s="900">
        <f>H184</f>
        <v>551438.05227435986</v>
      </c>
      <c r="G234" s="900">
        <v>2045</v>
      </c>
      <c r="H234" s="900" t="e">
        <f t="shared" si="43"/>
        <v>#N/A</v>
      </c>
      <c r="I234" s="900">
        <f t="shared" si="43"/>
        <v>12649175.845449721</v>
      </c>
      <c r="J234" s="900">
        <f t="shared" si="43"/>
        <v>12721661.140330322</v>
      </c>
      <c r="AO234" s="40" t="s">
        <v>286</v>
      </c>
      <c r="AP234" s="372">
        <f>IFERROR(VLOOKUP($AO234,costs!$A$2:$I$2905,AP$2,FALSE),0)</f>
        <v>0</v>
      </c>
      <c r="AQ234" s="372">
        <f>IFERROR(VLOOKUP($AO234,costs!$A$2:$I$2905,AQ$2,FALSE),0)</f>
        <v>0</v>
      </c>
      <c r="AR234" s="372">
        <f>IFERROR(VLOOKUP($AO234,costs!$A$2:$I$2905,AR$2,FALSE),0)</f>
        <v>0</v>
      </c>
      <c r="AS234" s="372">
        <f>IFERROR(VLOOKUP($AO234,costs!$A$2:$I$2905,AS$2,FALSE),0)</f>
        <v>0</v>
      </c>
      <c r="AT234" s="372">
        <f>IFERROR(VLOOKUP($AO234,costs!$A$2:$I$2905,AT$2,FALSE),0)</f>
        <v>0</v>
      </c>
      <c r="AU234" s="372">
        <f>IFERROR(VLOOKUP($AO234,costs!$A$2:$I$2905,AU$2,FALSE),0)</f>
        <v>0</v>
      </c>
      <c r="AV234" s="372">
        <f>IFERROR(VLOOKUP($AO234,costs!$A$2:$I$2905,AV$2,FALSE),0)</f>
        <v>0</v>
      </c>
      <c r="AW234" s="372">
        <f>IFERROR(VLOOKUP($AO234,costs!$A$2:$I$2905,AW$2,FALSE),0)</f>
        <v>0</v>
      </c>
    </row>
    <row r="235" spans="2:49" x14ac:dyDescent="0.35">
      <c r="B235" s="900">
        <v>2046</v>
      </c>
      <c r="C235" s="900" t="e">
        <f>(4/5*C234+1/5*C239)</f>
        <v>#N/A</v>
      </c>
      <c r="D235" s="900">
        <f>(4/5*D234+1/5*D239)</f>
        <v>524716.09075182152</v>
      </c>
      <c r="E235" s="900">
        <f>(4/5*E234+1/5*E239)</f>
        <v>551438.05227435986</v>
      </c>
      <c r="G235" s="900">
        <v>2046</v>
      </c>
      <c r="H235" s="900" t="e">
        <f t="shared" si="43"/>
        <v>#N/A</v>
      </c>
      <c r="I235" s="900">
        <f t="shared" si="43"/>
        <v>13173891.936201543</v>
      </c>
      <c r="J235" s="900">
        <f t="shared" si="43"/>
        <v>13273099.192604681</v>
      </c>
      <c r="AO235" s="40" t="s">
        <v>384</v>
      </c>
      <c r="AP235" s="372">
        <f>IFERROR(VLOOKUP($AO235,costs!$A$2:$I$2905,AP$2,FALSE),0)</f>
        <v>0</v>
      </c>
      <c r="AQ235" s="372">
        <f>IFERROR(VLOOKUP($AO235,costs!$A$2:$I$2905,AQ$2,FALSE),0)</f>
        <v>0</v>
      </c>
      <c r="AR235" s="372">
        <f>IFERROR(VLOOKUP($AO235,costs!$A$2:$I$2905,AR$2,FALSE),0)</f>
        <v>0</v>
      </c>
      <c r="AS235" s="372">
        <f>IFERROR(VLOOKUP($AO235,costs!$A$2:$I$2905,AS$2,FALSE),0)</f>
        <v>0</v>
      </c>
      <c r="AT235" s="372">
        <f>IFERROR(VLOOKUP($AO235,costs!$A$2:$I$2905,AT$2,FALSE),0)</f>
        <v>0</v>
      </c>
      <c r="AU235" s="372">
        <f>IFERROR(VLOOKUP($AO235,costs!$A$2:$I$2905,AU$2,FALSE),0)</f>
        <v>0</v>
      </c>
      <c r="AV235" s="372">
        <f>IFERROR(VLOOKUP($AO235,costs!$A$2:$I$2905,AV$2,FALSE),0)</f>
        <v>0</v>
      </c>
      <c r="AW235" s="372">
        <f>IFERROR(VLOOKUP($AO235,costs!$A$2:$I$2905,AW$2,FALSE),0)</f>
        <v>0</v>
      </c>
    </row>
    <row r="236" spans="2:49" x14ac:dyDescent="0.35">
      <c r="B236" s="900">
        <v>2047</v>
      </c>
      <c r="C236" s="900" t="e">
        <f>(3/5*C234+2/5*C239)</f>
        <v>#N/A</v>
      </c>
      <c r="D236" s="900">
        <f>(3/5*D234+2/5*D239)</f>
        <v>532533.8212624921</v>
      </c>
      <c r="E236" s="900">
        <f>(3/5*E234+2/5*E239)</f>
        <v>551438.05227435986</v>
      </c>
      <c r="G236" s="900">
        <v>2047</v>
      </c>
      <c r="H236" s="900" t="e">
        <f t="shared" si="43"/>
        <v>#N/A</v>
      </c>
      <c r="I236" s="900">
        <f t="shared" si="43"/>
        <v>13706425.757464034</v>
      </c>
      <c r="J236" s="900">
        <f t="shared" si="43"/>
        <v>13824537.244879041</v>
      </c>
      <c r="AO236" s="40" t="s">
        <v>284</v>
      </c>
      <c r="AP236" s="372">
        <f>IFERROR(VLOOKUP($AO236,costs!$A$2:$I$2905,AP$2,FALSE),0)</f>
        <v>0</v>
      </c>
      <c r="AQ236" s="372">
        <f>IFERROR(VLOOKUP($AO236,costs!$A$2:$I$2905,AQ$2,FALSE),0)</f>
        <v>0</v>
      </c>
      <c r="AR236" s="372">
        <f>IFERROR(VLOOKUP($AO236,costs!$A$2:$I$2905,AR$2,FALSE),0)</f>
        <v>0</v>
      </c>
      <c r="AS236" s="372">
        <f>IFERROR(VLOOKUP($AO236,costs!$A$2:$I$2905,AS$2,FALSE),0)</f>
        <v>0</v>
      </c>
      <c r="AT236" s="372">
        <f>IFERROR(VLOOKUP($AO236,costs!$A$2:$I$2905,AT$2,FALSE),0)</f>
        <v>0</v>
      </c>
      <c r="AU236" s="372">
        <f>IFERROR(VLOOKUP($AO236,costs!$A$2:$I$2905,AU$2,FALSE),0)</f>
        <v>0</v>
      </c>
      <c r="AV236" s="372">
        <f>IFERROR(VLOOKUP($AO236,costs!$A$2:$I$2905,AV$2,FALSE),0)</f>
        <v>0</v>
      </c>
      <c r="AW236" s="372">
        <f>IFERROR(VLOOKUP($AO236,costs!$A$2:$I$2905,AW$2,FALSE),0)</f>
        <v>0</v>
      </c>
    </row>
    <row r="237" spans="2:49" x14ac:dyDescent="0.35">
      <c r="B237" s="900">
        <v>2048</v>
      </c>
      <c r="C237" s="900" t="e">
        <f>(2/5*C234+3/5*C239)</f>
        <v>#N/A</v>
      </c>
      <c r="D237" s="900">
        <f>(2/5*D234+3/5*D239)</f>
        <v>540351.55177316268</v>
      </c>
      <c r="E237" s="900">
        <f>(2/5*E234+3/5*E239)</f>
        <v>551438.05227435986</v>
      </c>
      <c r="G237" s="900">
        <v>2048</v>
      </c>
      <c r="H237" s="900" t="e">
        <f t="shared" si="43"/>
        <v>#N/A</v>
      </c>
      <c r="I237" s="900">
        <f t="shared" si="43"/>
        <v>14246777.309237197</v>
      </c>
      <c r="J237" s="900">
        <f t="shared" si="43"/>
        <v>14375975.2971534</v>
      </c>
      <c r="AO237" s="40" t="s">
        <v>2079</v>
      </c>
      <c r="AP237" s="372">
        <f>IFERROR(VLOOKUP($AO237,costs!$A$2:$I$2905,AP$2,FALSE),0)</f>
        <v>0</v>
      </c>
      <c r="AQ237" s="372">
        <f>IFERROR(VLOOKUP($AO237,costs!$A$2:$I$2905,AQ$2,FALSE),0)</f>
        <v>0</v>
      </c>
      <c r="AR237" s="372">
        <f>IFERROR(VLOOKUP($AO237,costs!$A$2:$I$2905,AR$2,FALSE),0)</f>
        <v>0</v>
      </c>
      <c r="AS237" s="372">
        <f>IFERROR(VLOOKUP($AO237,costs!$A$2:$I$2905,AS$2,FALSE),0)</f>
        <v>0</v>
      </c>
      <c r="AT237" s="372">
        <f>IFERROR(VLOOKUP($AO237,costs!$A$2:$I$2905,AT$2,FALSE),0)</f>
        <v>0</v>
      </c>
      <c r="AU237" s="372">
        <f>IFERROR(VLOOKUP($AO237,costs!$A$2:$I$2905,AU$2,FALSE),0)</f>
        <v>0</v>
      </c>
      <c r="AV237" s="372">
        <f>IFERROR(VLOOKUP($AO237,costs!$A$2:$I$2905,AV$2,FALSE),0)</f>
        <v>0</v>
      </c>
      <c r="AW237" s="372">
        <f>IFERROR(VLOOKUP($AO237,costs!$A$2:$I$2905,AW$2,FALSE),0)</f>
        <v>0</v>
      </c>
    </row>
    <row r="238" spans="2:49" x14ac:dyDescent="0.35">
      <c r="B238" s="900">
        <v>2049</v>
      </c>
      <c r="C238" s="900" t="e">
        <f>(1/5*C234+4/5*C239)</f>
        <v>#N/A</v>
      </c>
      <c r="D238" s="900">
        <f>(1/5*D234+4/5*D239)</f>
        <v>548169.28228383325</v>
      </c>
      <c r="E238" s="900">
        <f>(1/5*E234+4/5*E239)</f>
        <v>551438.05227435986</v>
      </c>
      <c r="G238" s="900">
        <v>2049</v>
      </c>
      <c r="H238" s="900" t="e">
        <f t="shared" si="43"/>
        <v>#N/A</v>
      </c>
      <c r="I238" s="900">
        <f t="shared" si="43"/>
        <v>14794946.59152103</v>
      </c>
      <c r="J238" s="900">
        <f t="shared" si="43"/>
        <v>14927413.34942776</v>
      </c>
      <c r="AO238" s="40" t="s">
        <v>383</v>
      </c>
      <c r="AP238" s="372">
        <f>IFERROR(VLOOKUP($AO238,costs!$A$2:$I$2905,AP$2,FALSE),0)</f>
        <v>0</v>
      </c>
      <c r="AQ238" s="372">
        <f>IFERROR(VLOOKUP($AO238,costs!$A$2:$I$2905,AQ$2,FALSE),0)</f>
        <v>0</v>
      </c>
      <c r="AR238" s="372">
        <f>IFERROR(VLOOKUP($AO238,costs!$A$2:$I$2905,AR$2,FALSE),0)</f>
        <v>0</v>
      </c>
      <c r="AS238" s="372">
        <f>IFERROR(VLOOKUP($AO238,costs!$A$2:$I$2905,AS$2,FALSE),0)</f>
        <v>0</v>
      </c>
      <c r="AT238" s="372">
        <f>IFERROR(VLOOKUP($AO238,costs!$A$2:$I$2905,AT$2,FALSE),0)</f>
        <v>0</v>
      </c>
      <c r="AU238" s="372">
        <f>IFERROR(VLOOKUP($AO238,costs!$A$2:$I$2905,AU$2,FALSE),0)</f>
        <v>0</v>
      </c>
      <c r="AV238" s="372">
        <f>IFERROR(VLOOKUP($AO238,costs!$A$2:$I$2905,AV$2,FALSE),0)</f>
        <v>0</v>
      </c>
      <c r="AW238" s="372">
        <f>IFERROR(VLOOKUP($AO238,costs!$A$2:$I$2905,AW$2,FALSE),0)</f>
        <v>0</v>
      </c>
    </row>
    <row r="239" spans="2:49" x14ac:dyDescent="0.35">
      <c r="B239" s="900">
        <v>2050</v>
      </c>
      <c r="C239" s="900" t="e">
        <f>I87</f>
        <v>#N/A</v>
      </c>
      <c r="D239" s="900">
        <f>I162</f>
        <v>555987.01279450383</v>
      </c>
      <c r="E239" s="900">
        <f>I184</f>
        <v>551438.05227435986</v>
      </c>
      <c r="G239" s="900">
        <v>2050</v>
      </c>
      <c r="H239" s="900" t="e">
        <f t="shared" si="43"/>
        <v>#N/A</v>
      </c>
      <c r="I239" s="900">
        <f t="shared" si="43"/>
        <v>15350933.604315534</v>
      </c>
      <c r="J239" s="900">
        <f t="shared" si="43"/>
        <v>15478851.401702119</v>
      </c>
      <c r="AO239" s="40" t="s">
        <v>2080</v>
      </c>
      <c r="AP239" s="372">
        <f>IFERROR(VLOOKUP($AO239,costs!$A$2:$I$2905,AP$2,FALSE),0)</f>
        <v>0</v>
      </c>
      <c r="AQ239" s="372">
        <f>IFERROR(VLOOKUP($AO239,costs!$A$2:$I$2905,AQ$2,FALSE),0)</f>
        <v>0</v>
      </c>
      <c r="AR239" s="372">
        <f>IFERROR(VLOOKUP($AO239,costs!$A$2:$I$2905,AR$2,FALSE),0)</f>
        <v>0</v>
      </c>
      <c r="AS239" s="372">
        <f>IFERROR(VLOOKUP($AO239,costs!$A$2:$I$2905,AS$2,FALSE),0)</f>
        <v>0</v>
      </c>
      <c r="AT239" s="372">
        <f>IFERROR(VLOOKUP($AO239,costs!$A$2:$I$2905,AT$2,FALSE),0)</f>
        <v>0</v>
      </c>
      <c r="AU239" s="372">
        <f>IFERROR(VLOOKUP($AO239,costs!$A$2:$I$2905,AU$2,FALSE),0)</f>
        <v>0</v>
      </c>
      <c r="AV239" s="372">
        <f>IFERROR(VLOOKUP($AO239,costs!$A$2:$I$2905,AV$2,FALSE),0)</f>
        <v>0</v>
      </c>
      <c r="AW239" s="372">
        <f>IFERROR(VLOOKUP($AO239,costs!$A$2:$I$2905,AW$2,FALSE),0)</f>
        <v>0</v>
      </c>
    </row>
    <row r="240" spans="2:49" x14ac:dyDescent="0.35">
      <c r="AO240" s="40" t="s">
        <v>24</v>
      </c>
      <c r="AP240" s="372">
        <f>IFERROR(VLOOKUP($AO240,costs!$A$2:$I$2905,AP$2,FALSE),0)</f>
        <v>0</v>
      </c>
      <c r="AQ240" s="372">
        <f>IFERROR(VLOOKUP($AO240,costs!$A$2:$I$2905,AQ$2,FALSE),0)</f>
        <v>0</v>
      </c>
      <c r="AR240" s="372">
        <f>IFERROR(VLOOKUP($AO240,costs!$A$2:$I$2905,AR$2,FALSE),0)</f>
        <v>0</v>
      </c>
      <c r="AS240" s="372">
        <f>IFERROR(VLOOKUP($AO240,costs!$A$2:$I$2905,AS$2,FALSE),0)</f>
        <v>0</v>
      </c>
      <c r="AT240" s="372">
        <f>IFERROR(VLOOKUP($AO240,costs!$A$2:$I$2905,AT$2,FALSE),0)</f>
        <v>0</v>
      </c>
      <c r="AU240" s="372">
        <f>IFERROR(VLOOKUP($AO240,costs!$A$2:$I$2905,AU$2,FALSE),0)</f>
        <v>0</v>
      </c>
      <c r="AV240" s="372">
        <f>IFERROR(VLOOKUP($AO240,costs!$A$2:$I$2905,AV$2,FALSE),0)</f>
        <v>0</v>
      </c>
      <c r="AW240" s="372">
        <f>IFERROR(VLOOKUP($AO240,costs!$A$2:$I$2905,AW$2,FALSE),0)</f>
        <v>0</v>
      </c>
    </row>
    <row r="241" spans="1:49" x14ac:dyDescent="0.35">
      <c r="A241" s="900" t="s">
        <v>4473</v>
      </c>
      <c r="C241" s="900" t="s">
        <v>4411</v>
      </c>
      <c r="D241" s="900" t="s">
        <v>4471</v>
      </c>
      <c r="AO241" s="40" t="s">
        <v>2081</v>
      </c>
      <c r="AP241" s="372">
        <f>IFERROR(VLOOKUP($AO241,costs!$A$2:$I$2905,AP$2,FALSE),0)</f>
        <v>0</v>
      </c>
      <c r="AQ241" s="372">
        <f>IFERROR(VLOOKUP($AO241,costs!$A$2:$I$2905,AQ$2,FALSE),0)</f>
        <v>0</v>
      </c>
      <c r="AR241" s="372">
        <f>IFERROR(VLOOKUP($AO241,costs!$A$2:$I$2905,AR$2,FALSE),0)</f>
        <v>0</v>
      </c>
      <c r="AS241" s="372">
        <f>IFERROR(VLOOKUP($AO241,costs!$A$2:$I$2905,AS$2,FALSE),0)</f>
        <v>0</v>
      </c>
      <c r="AT241" s="372">
        <f>IFERROR(VLOOKUP($AO241,costs!$A$2:$I$2905,AT$2,FALSE),0)</f>
        <v>0</v>
      </c>
      <c r="AU241" s="372">
        <f>IFERROR(VLOOKUP($AO241,costs!$A$2:$I$2905,AU$2,FALSE),0)</f>
        <v>0</v>
      </c>
      <c r="AV241" s="372">
        <f>IFERROR(VLOOKUP($AO241,costs!$A$2:$I$2905,AV$2,FALSE),0)</f>
        <v>0</v>
      </c>
      <c r="AW241" s="372">
        <f>IFERROR(VLOOKUP($AO241,costs!$A$2:$I$2905,AW$2,FALSE),0)</f>
        <v>0</v>
      </c>
    </row>
    <row r="242" spans="1:49" x14ac:dyDescent="0.35">
      <c r="B242" s="900">
        <v>2020</v>
      </c>
      <c r="C242" s="900" t="e">
        <f>I209-H209</f>
        <v>#N/A</v>
      </c>
      <c r="D242" s="900" t="e">
        <f>J209-H209</f>
        <v>#N/A</v>
      </c>
      <c r="AO242" s="40" t="s">
        <v>58</v>
      </c>
      <c r="AP242" s="372">
        <f>IFERROR(VLOOKUP($AO242,costs!$A$2:$I$2905,AP$2,FALSE),0)</f>
        <v>0</v>
      </c>
      <c r="AQ242" s="372">
        <f>IFERROR(VLOOKUP($AO242,costs!$A$2:$I$2905,AQ$2,FALSE),0)</f>
        <v>0</v>
      </c>
      <c r="AR242" s="372">
        <f>IFERROR(VLOOKUP($AO242,costs!$A$2:$I$2905,AR$2,FALSE),0)</f>
        <v>0</v>
      </c>
      <c r="AS242" s="372">
        <f>IFERROR(VLOOKUP($AO242,costs!$A$2:$I$2905,AS$2,FALSE),0)</f>
        <v>0</v>
      </c>
      <c r="AT242" s="372">
        <f>IFERROR(VLOOKUP($AO242,costs!$A$2:$I$2905,AT$2,FALSE),0)</f>
        <v>0</v>
      </c>
      <c r="AU242" s="372">
        <f>IFERROR(VLOOKUP($AO242,costs!$A$2:$I$2905,AU$2,FALSE),0)</f>
        <v>0</v>
      </c>
      <c r="AV242" s="372">
        <f>IFERROR(VLOOKUP($AO242,costs!$A$2:$I$2905,AV$2,FALSE),0)</f>
        <v>0</v>
      </c>
      <c r="AW242" s="372">
        <f>IFERROR(VLOOKUP($AO242,costs!$A$2:$I$2905,AW$2,FALSE),0)</f>
        <v>0</v>
      </c>
    </row>
    <row r="243" spans="1:49" x14ac:dyDescent="0.35">
      <c r="B243" s="900">
        <v>2021</v>
      </c>
      <c r="C243" s="900" t="e">
        <f>I210-H210</f>
        <v>#N/A</v>
      </c>
      <c r="D243" s="900" t="e">
        <f t="shared" ref="D243:D272" si="44">J210-H210</f>
        <v>#N/A</v>
      </c>
      <c r="AO243" s="40" t="s">
        <v>2082</v>
      </c>
      <c r="AP243" s="372">
        <f>IFERROR(VLOOKUP($AO243,costs!$A$2:$I$2905,AP$2,FALSE),0)</f>
        <v>0</v>
      </c>
      <c r="AQ243" s="372">
        <f>IFERROR(VLOOKUP($AO243,costs!$A$2:$I$2905,AQ$2,FALSE),0)</f>
        <v>0</v>
      </c>
      <c r="AR243" s="372">
        <f>IFERROR(VLOOKUP($AO243,costs!$A$2:$I$2905,AR$2,FALSE),0)</f>
        <v>0</v>
      </c>
      <c r="AS243" s="372">
        <f>IFERROR(VLOOKUP($AO243,costs!$A$2:$I$2905,AS$2,FALSE),0)</f>
        <v>0</v>
      </c>
      <c r="AT243" s="372">
        <f>IFERROR(VLOOKUP($AO243,costs!$A$2:$I$2905,AT$2,FALSE),0)</f>
        <v>0</v>
      </c>
      <c r="AU243" s="372">
        <f>IFERROR(VLOOKUP($AO243,costs!$A$2:$I$2905,AU$2,FALSE),0)</f>
        <v>0</v>
      </c>
      <c r="AV243" s="372">
        <f>IFERROR(VLOOKUP($AO243,costs!$A$2:$I$2905,AV$2,FALSE),0)</f>
        <v>0</v>
      </c>
      <c r="AW243" s="372">
        <f>IFERROR(VLOOKUP($AO243,costs!$A$2:$I$2905,AW$2,FALSE),0)</f>
        <v>0</v>
      </c>
    </row>
    <row r="244" spans="1:49" x14ac:dyDescent="0.35">
      <c r="B244" s="900">
        <v>2022</v>
      </c>
      <c r="C244" s="900" t="e">
        <f t="shared" ref="C244:C272" si="45">I211-H211</f>
        <v>#N/A</v>
      </c>
      <c r="D244" s="900" t="e">
        <f t="shared" si="44"/>
        <v>#N/A</v>
      </c>
      <c r="AO244" s="40" t="s">
        <v>266</v>
      </c>
      <c r="AP244" s="372">
        <f>IFERROR(VLOOKUP($AO244,costs!$A$2:$I$2905,AP$2,FALSE),0)</f>
        <v>0</v>
      </c>
      <c r="AQ244" s="372">
        <f>IFERROR(VLOOKUP($AO244,costs!$A$2:$I$2905,AQ$2,FALSE),0)</f>
        <v>0</v>
      </c>
      <c r="AR244" s="372">
        <f>IFERROR(VLOOKUP($AO244,costs!$A$2:$I$2905,AR$2,FALSE),0)</f>
        <v>0</v>
      </c>
      <c r="AS244" s="372">
        <f>IFERROR(VLOOKUP($AO244,costs!$A$2:$I$2905,AS$2,FALSE),0)</f>
        <v>0</v>
      </c>
      <c r="AT244" s="372">
        <f>IFERROR(VLOOKUP($AO244,costs!$A$2:$I$2905,AT$2,FALSE),0)</f>
        <v>0</v>
      </c>
      <c r="AU244" s="372">
        <f>IFERROR(VLOOKUP($AO244,costs!$A$2:$I$2905,AU$2,FALSE),0)</f>
        <v>0</v>
      </c>
      <c r="AV244" s="372">
        <f>IFERROR(VLOOKUP($AO244,costs!$A$2:$I$2905,AV$2,FALSE),0)</f>
        <v>0</v>
      </c>
      <c r="AW244" s="372">
        <f>IFERROR(VLOOKUP($AO244,costs!$A$2:$I$2905,AW$2,FALSE),0)</f>
        <v>0</v>
      </c>
    </row>
    <row r="245" spans="1:49" x14ac:dyDescent="0.35">
      <c r="B245" s="900">
        <v>2023</v>
      </c>
      <c r="C245" s="900" t="e">
        <f t="shared" si="45"/>
        <v>#N/A</v>
      </c>
      <c r="D245" s="900" t="e">
        <f t="shared" si="44"/>
        <v>#N/A</v>
      </c>
      <c r="AO245" s="40" t="s">
        <v>21</v>
      </c>
      <c r="AP245" s="372">
        <f>IFERROR(VLOOKUP($AO245,costs!$A$2:$I$2905,AP$2,FALSE),0)</f>
        <v>0</v>
      </c>
      <c r="AQ245" s="372">
        <f>IFERROR(VLOOKUP($AO245,costs!$A$2:$I$2905,AQ$2,FALSE),0)</f>
        <v>0</v>
      </c>
      <c r="AR245" s="372">
        <f>IFERROR(VLOOKUP($AO245,costs!$A$2:$I$2905,AR$2,FALSE),0)</f>
        <v>0</v>
      </c>
      <c r="AS245" s="372">
        <f>IFERROR(VLOOKUP($AO245,costs!$A$2:$I$2905,AS$2,FALSE),0)</f>
        <v>0</v>
      </c>
      <c r="AT245" s="372">
        <f>IFERROR(VLOOKUP($AO245,costs!$A$2:$I$2905,AT$2,FALSE),0)</f>
        <v>0</v>
      </c>
      <c r="AU245" s="372">
        <f>IFERROR(VLOOKUP($AO245,costs!$A$2:$I$2905,AU$2,FALSE),0)</f>
        <v>0</v>
      </c>
      <c r="AV245" s="372">
        <f>IFERROR(VLOOKUP($AO245,costs!$A$2:$I$2905,AV$2,FALSE),0)</f>
        <v>0</v>
      </c>
      <c r="AW245" s="372">
        <f>IFERROR(VLOOKUP($AO245,costs!$A$2:$I$2905,AW$2,FALSE),0)</f>
        <v>0</v>
      </c>
    </row>
    <row r="246" spans="1:49" x14ac:dyDescent="0.35">
      <c r="B246" s="900">
        <v>2024</v>
      </c>
      <c r="C246" s="900" t="e">
        <f>I213-H213</f>
        <v>#N/A</v>
      </c>
      <c r="D246" s="900" t="e">
        <f t="shared" si="44"/>
        <v>#N/A</v>
      </c>
      <c r="AO246" s="40" t="s">
        <v>19</v>
      </c>
      <c r="AP246" s="372">
        <f>IFERROR(VLOOKUP($AO246,costs!$A$2:$I$2905,AP$2,FALSE),0)</f>
        <v>0</v>
      </c>
      <c r="AQ246" s="372">
        <f>IFERROR(VLOOKUP($AO246,costs!$A$2:$I$2905,AQ$2,FALSE),0)</f>
        <v>0</v>
      </c>
      <c r="AR246" s="372">
        <f>IFERROR(VLOOKUP($AO246,costs!$A$2:$I$2905,AR$2,FALSE),0)</f>
        <v>0</v>
      </c>
      <c r="AS246" s="372">
        <f>IFERROR(VLOOKUP($AO246,costs!$A$2:$I$2905,AS$2,FALSE),0)</f>
        <v>0</v>
      </c>
      <c r="AT246" s="372">
        <f>IFERROR(VLOOKUP($AO246,costs!$A$2:$I$2905,AT$2,FALSE),0)</f>
        <v>0</v>
      </c>
      <c r="AU246" s="372">
        <f>IFERROR(VLOOKUP($AO246,costs!$A$2:$I$2905,AU$2,FALSE),0)</f>
        <v>0</v>
      </c>
      <c r="AV246" s="372">
        <f>IFERROR(VLOOKUP($AO246,costs!$A$2:$I$2905,AV$2,FALSE),0)</f>
        <v>0</v>
      </c>
      <c r="AW246" s="372">
        <f>IFERROR(VLOOKUP($AO246,costs!$A$2:$I$2905,AW$2,FALSE),0)</f>
        <v>0</v>
      </c>
    </row>
    <row r="247" spans="1:49" x14ac:dyDescent="0.35">
      <c r="B247" s="900">
        <v>2025</v>
      </c>
      <c r="C247" s="900" t="e">
        <f>I214-H214</f>
        <v>#N/A</v>
      </c>
      <c r="D247" s="900" t="e">
        <f t="shared" si="44"/>
        <v>#N/A</v>
      </c>
      <c r="AO247" s="40" t="s">
        <v>2147</v>
      </c>
      <c r="AP247" s="372">
        <f>IFERROR(VLOOKUP($AO247,costs!$A$2:$I$2905,AP$2,FALSE),0)</f>
        <v>0</v>
      </c>
      <c r="AQ247" s="372">
        <f>IFERROR(VLOOKUP($AO247,costs!$A$2:$I$2905,AQ$2,FALSE),0)</f>
        <v>0</v>
      </c>
      <c r="AR247" s="372">
        <f>IFERROR(VLOOKUP($AO247,costs!$A$2:$I$2905,AR$2,FALSE),0)</f>
        <v>0</v>
      </c>
      <c r="AS247" s="372">
        <f>IFERROR(VLOOKUP($AO247,costs!$A$2:$I$2905,AS$2,FALSE),0)</f>
        <v>0</v>
      </c>
      <c r="AT247" s="372">
        <f>IFERROR(VLOOKUP($AO247,costs!$A$2:$I$2905,AT$2,FALSE),0)</f>
        <v>0</v>
      </c>
      <c r="AU247" s="372">
        <f>IFERROR(VLOOKUP($AO247,costs!$A$2:$I$2905,AU$2,FALSE),0)</f>
        <v>0</v>
      </c>
      <c r="AV247" s="372">
        <f>IFERROR(VLOOKUP($AO247,costs!$A$2:$I$2905,AV$2,FALSE),0)</f>
        <v>0</v>
      </c>
      <c r="AW247" s="372">
        <f>IFERROR(VLOOKUP($AO247,costs!$A$2:$I$2905,AW$2,FALSE),0)</f>
        <v>0</v>
      </c>
    </row>
    <row r="248" spans="1:49" x14ac:dyDescent="0.35">
      <c r="B248" s="900">
        <v>2026</v>
      </c>
      <c r="C248" s="900" t="e">
        <f t="shared" si="45"/>
        <v>#N/A</v>
      </c>
      <c r="D248" s="900" t="e">
        <f t="shared" si="44"/>
        <v>#N/A</v>
      </c>
      <c r="AO248" s="40" t="s">
        <v>4111</v>
      </c>
      <c r="AP248" s="372">
        <f>IFERROR(VLOOKUP($AO248,costs!$A$2:$I$2905,AP$2,FALSE),0)</f>
        <v>0</v>
      </c>
      <c r="AQ248" s="372">
        <f>IFERROR(VLOOKUP($AO248,costs!$A$2:$I$2905,AQ$2,FALSE),0)</f>
        <v>0</v>
      </c>
      <c r="AR248" s="372">
        <f>IFERROR(VLOOKUP($AO248,costs!$A$2:$I$2905,AR$2,FALSE),0)</f>
        <v>0</v>
      </c>
      <c r="AS248" s="372">
        <f>IFERROR(VLOOKUP($AO248,costs!$A$2:$I$2905,AS$2,FALSE),0)</f>
        <v>0</v>
      </c>
      <c r="AT248" s="372">
        <f>IFERROR(VLOOKUP($AO248,costs!$A$2:$I$2905,AT$2,FALSE),0)</f>
        <v>0</v>
      </c>
      <c r="AU248" s="372">
        <f>IFERROR(VLOOKUP($AO248,costs!$A$2:$I$2905,AU$2,FALSE),0)</f>
        <v>0</v>
      </c>
      <c r="AV248" s="372">
        <f>IFERROR(VLOOKUP($AO248,costs!$A$2:$I$2905,AV$2,FALSE),0)</f>
        <v>0</v>
      </c>
      <c r="AW248" s="372">
        <f>IFERROR(VLOOKUP($AO248,costs!$A$2:$I$2905,AW$2,FALSE),0)</f>
        <v>0</v>
      </c>
    </row>
    <row r="249" spans="1:49" x14ac:dyDescent="0.35">
      <c r="B249" s="900">
        <v>2027</v>
      </c>
      <c r="C249" s="900" t="e">
        <f t="shared" si="45"/>
        <v>#N/A</v>
      </c>
      <c r="D249" s="900" t="e">
        <f t="shared" si="44"/>
        <v>#N/A</v>
      </c>
      <c r="AO249" s="40" t="s">
        <v>4110</v>
      </c>
      <c r="AP249" s="372">
        <f>IFERROR(VLOOKUP($AO249,costs!$A$2:$I$2905,AP$2,FALSE),0)</f>
        <v>0</v>
      </c>
      <c r="AQ249" s="372">
        <f>IFERROR(VLOOKUP($AO249,costs!$A$2:$I$2905,AQ$2,FALSE),0)</f>
        <v>0</v>
      </c>
      <c r="AR249" s="372">
        <f>IFERROR(VLOOKUP($AO249,costs!$A$2:$I$2905,AR$2,FALSE),0)</f>
        <v>0</v>
      </c>
      <c r="AS249" s="372">
        <f>IFERROR(VLOOKUP($AO249,costs!$A$2:$I$2905,AS$2,FALSE),0)</f>
        <v>0</v>
      </c>
      <c r="AT249" s="372">
        <f>IFERROR(VLOOKUP($AO249,costs!$A$2:$I$2905,AT$2,FALSE),0)</f>
        <v>0</v>
      </c>
      <c r="AU249" s="372">
        <f>IFERROR(VLOOKUP($AO249,costs!$A$2:$I$2905,AU$2,FALSE),0)</f>
        <v>0</v>
      </c>
      <c r="AV249" s="372">
        <f>IFERROR(VLOOKUP($AO249,costs!$A$2:$I$2905,AV$2,FALSE),0)</f>
        <v>0</v>
      </c>
      <c r="AW249" s="372">
        <f>IFERROR(VLOOKUP($AO249,costs!$A$2:$I$2905,AW$2,FALSE),0)</f>
        <v>0</v>
      </c>
    </row>
    <row r="250" spans="1:49" x14ac:dyDescent="0.35">
      <c r="B250" s="900">
        <v>2028</v>
      </c>
      <c r="C250" s="900" t="e">
        <f t="shared" si="45"/>
        <v>#N/A</v>
      </c>
      <c r="D250" s="900" t="e">
        <f t="shared" si="44"/>
        <v>#N/A</v>
      </c>
      <c r="AO250" s="40" t="s">
        <v>18</v>
      </c>
      <c r="AP250" s="372">
        <f>IFERROR(VLOOKUP($AO250,costs!$A$2:$I$2905,AP$2,FALSE),0)</f>
        <v>0</v>
      </c>
      <c r="AQ250" s="372">
        <f>IFERROR(VLOOKUP($AO250,costs!$A$2:$I$2905,AQ$2,FALSE),0)</f>
        <v>0</v>
      </c>
      <c r="AR250" s="372">
        <f>IFERROR(VLOOKUP($AO250,costs!$A$2:$I$2905,AR$2,FALSE),0)</f>
        <v>0</v>
      </c>
      <c r="AS250" s="372">
        <f>IFERROR(VLOOKUP($AO250,costs!$A$2:$I$2905,AS$2,FALSE),0)</f>
        <v>0</v>
      </c>
      <c r="AT250" s="372">
        <f>IFERROR(VLOOKUP($AO250,costs!$A$2:$I$2905,AT$2,FALSE),0)</f>
        <v>0</v>
      </c>
      <c r="AU250" s="372">
        <f>IFERROR(VLOOKUP($AO250,costs!$A$2:$I$2905,AU$2,FALSE),0)</f>
        <v>0</v>
      </c>
      <c r="AV250" s="372">
        <f>IFERROR(VLOOKUP($AO250,costs!$A$2:$I$2905,AV$2,FALSE),0)</f>
        <v>0</v>
      </c>
      <c r="AW250" s="372">
        <f>IFERROR(VLOOKUP($AO250,costs!$A$2:$I$2905,AW$2,FALSE),0)</f>
        <v>0</v>
      </c>
    </row>
    <row r="251" spans="1:49" x14ac:dyDescent="0.35">
      <c r="B251" s="900">
        <v>2029</v>
      </c>
      <c r="C251" s="900" t="e">
        <f t="shared" si="45"/>
        <v>#N/A</v>
      </c>
      <c r="D251" s="900" t="e">
        <f t="shared" si="44"/>
        <v>#N/A</v>
      </c>
      <c r="AO251" s="40" t="s">
        <v>511</v>
      </c>
      <c r="AP251" s="372">
        <f>IFERROR(VLOOKUP($AO251,costs!$A$2:$I$2905,AP$2,FALSE),0)</f>
        <v>0</v>
      </c>
      <c r="AQ251" s="372">
        <f>IFERROR(VLOOKUP($AO251,costs!$A$2:$I$2905,AQ$2,FALSE),0)</f>
        <v>0</v>
      </c>
      <c r="AR251" s="372">
        <f>IFERROR(VLOOKUP($AO251,costs!$A$2:$I$2905,AR$2,FALSE),0)</f>
        <v>0</v>
      </c>
      <c r="AS251" s="372">
        <f>IFERROR(VLOOKUP($AO251,costs!$A$2:$I$2905,AS$2,FALSE),0)</f>
        <v>0</v>
      </c>
      <c r="AT251" s="372">
        <f>IFERROR(VLOOKUP($AO251,costs!$A$2:$I$2905,AT$2,FALSE),0)</f>
        <v>0</v>
      </c>
      <c r="AU251" s="372">
        <f>IFERROR(VLOOKUP($AO251,costs!$A$2:$I$2905,AU$2,FALSE),0)</f>
        <v>0</v>
      </c>
      <c r="AV251" s="372">
        <f>IFERROR(VLOOKUP($AO251,costs!$A$2:$I$2905,AV$2,FALSE),0)</f>
        <v>0</v>
      </c>
      <c r="AW251" s="372">
        <f>IFERROR(VLOOKUP($AO251,costs!$A$2:$I$2905,AW$2,FALSE),0)</f>
        <v>0</v>
      </c>
    </row>
    <row r="252" spans="1:49" x14ac:dyDescent="0.35">
      <c r="B252" s="900">
        <v>2030</v>
      </c>
      <c r="C252" s="900" t="e">
        <f t="shared" si="45"/>
        <v>#N/A</v>
      </c>
      <c r="D252" s="900" t="e">
        <f t="shared" si="44"/>
        <v>#N/A</v>
      </c>
      <c r="AO252" s="949" t="s">
        <v>512</v>
      </c>
      <c r="AP252" s="372">
        <f>IFERROR(VLOOKUP($AO252,costs!$A$2:$I$2905,AP$2,FALSE),0)</f>
        <v>0</v>
      </c>
      <c r="AQ252" s="372">
        <f>IFERROR(VLOOKUP($AO252,costs!$A$2:$I$2905,AQ$2,FALSE),0)</f>
        <v>0</v>
      </c>
      <c r="AR252" s="372">
        <f>IFERROR(VLOOKUP($AO252,costs!$A$2:$I$2905,AR$2,FALSE),0)</f>
        <v>0</v>
      </c>
      <c r="AS252" s="372">
        <f>IFERROR(VLOOKUP($AO252,costs!$A$2:$I$2905,AS$2,FALSE),0)</f>
        <v>0</v>
      </c>
      <c r="AT252" s="372">
        <f>IFERROR(VLOOKUP($AO252,costs!$A$2:$I$2905,AT$2,FALSE),0)</f>
        <v>0</v>
      </c>
      <c r="AU252" s="372">
        <f>IFERROR(VLOOKUP($AO252,costs!$A$2:$I$2905,AU$2,FALSE),0)</f>
        <v>0</v>
      </c>
      <c r="AV252" s="372">
        <f>IFERROR(VLOOKUP($AO252,costs!$A$2:$I$2905,AV$2,FALSE),0)</f>
        <v>0</v>
      </c>
      <c r="AW252" s="372">
        <f>IFERROR(VLOOKUP($AO252,costs!$A$2:$I$2905,AW$2,FALSE),0)</f>
        <v>0</v>
      </c>
    </row>
    <row r="253" spans="1:49" x14ac:dyDescent="0.35">
      <c r="B253" s="900">
        <v>2031</v>
      </c>
      <c r="C253" s="900" t="e">
        <f t="shared" si="45"/>
        <v>#N/A</v>
      </c>
      <c r="D253" s="900" t="e">
        <f t="shared" si="44"/>
        <v>#N/A</v>
      </c>
      <c r="AO253" s="40" t="s">
        <v>513</v>
      </c>
      <c r="AP253" s="372">
        <f>IFERROR(VLOOKUP($AO253,costs!$A$2:$I$2905,AP$2,FALSE),0)</f>
        <v>0</v>
      </c>
      <c r="AQ253" s="372">
        <f>IFERROR(VLOOKUP($AO253,costs!$A$2:$I$2905,AQ$2,FALSE),0)</f>
        <v>0</v>
      </c>
      <c r="AR253" s="372">
        <f>IFERROR(VLOOKUP($AO253,costs!$A$2:$I$2905,AR$2,FALSE),0)</f>
        <v>0</v>
      </c>
      <c r="AS253" s="372">
        <f>IFERROR(VLOOKUP($AO253,costs!$A$2:$I$2905,AS$2,FALSE),0)</f>
        <v>0</v>
      </c>
      <c r="AT253" s="372">
        <f>IFERROR(VLOOKUP($AO253,costs!$A$2:$I$2905,AT$2,FALSE),0)</f>
        <v>0</v>
      </c>
      <c r="AU253" s="372">
        <f>IFERROR(VLOOKUP($AO253,costs!$A$2:$I$2905,AU$2,FALSE),0)</f>
        <v>0</v>
      </c>
      <c r="AV253" s="372">
        <f>IFERROR(VLOOKUP($AO253,costs!$A$2:$I$2905,AV$2,FALSE),0)</f>
        <v>0</v>
      </c>
      <c r="AW253" s="372">
        <f>IFERROR(VLOOKUP($AO253,costs!$A$2:$I$2905,AW$2,FALSE),0)</f>
        <v>0</v>
      </c>
    </row>
    <row r="254" spans="1:49" x14ac:dyDescent="0.35">
      <c r="B254" s="900">
        <v>2032</v>
      </c>
      <c r="C254" s="900" t="e">
        <f t="shared" si="45"/>
        <v>#N/A</v>
      </c>
      <c r="D254" s="900" t="e">
        <f t="shared" si="44"/>
        <v>#N/A</v>
      </c>
      <c r="AO254" s="949" t="s">
        <v>2108</v>
      </c>
      <c r="AP254" s="372">
        <f>IFERROR(VLOOKUP($AO254,costs!$A$2:$I$2905,AP$2,FALSE),0)</f>
        <v>0</v>
      </c>
      <c r="AQ254" s="372">
        <f>IFERROR(VLOOKUP($AO254,costs!$A$2:$I$2905,AQ$2,FALSE),0)</f>
        <v>0</v>
      </c>
      <c r="AR254" s="372">
        <f>IFERROR(VLOOKUP($AO254,costs!$A$2:$I$2905,AR$2,FALSE),0)</f>
        <v>0</v>
      </c>
      <c r="AS254" s="372">
        <f>IFERROR(VLOOKUP($AO254,costs!$A$2:$I$2905,AS$2,FALSE),0)</f>
        <v>0</v>
      </c>
      <c r="AT254" s="372">
        <f>IFERROR(VLOOKUP($AO254,costs!$A$2:$I$2905,AT$2,FALSE),0)</f>
        <v>0</v>
      </c>
      <c r="AU254" s="372">
        <f>IFERROR(VLOOKUP($AO254,costs!$A$2:$I$2905,AU$2,FALSE),0)</f>
        <v>0</v>
      </c>
      <c r="AV254" s="372">
        <f>IFERROR(VLOOKUP($AO254,costs!$A$2:$I$2905,AV$2,FALSE),0)</f>
        <v>0</v>
      </c>
      <c r="AW254" s="372">
        <f>IFERROR(VLOOKUP($AO254,costs!$A$2:$I$2905,AW$2,FALSE),0)</f>
        <v>0</v>
      </c>
    </row>
    <row r="255" spans="1:49" x14ac:dyDescent="0.35">
      <c r="B255" s="900">
        <v>2033</v>
      </c>
      <c r="C255" s="900" t="e">
        <f t="shared" si="45"/>
        <v>#N/A</v>
      </c>
      <c r="D255" s="900" t="e">
        <f t="shared" si="44"/>
        <v>#N/A</v>
      </c>
      <c r="AO255" s="949" t="s">
        <v>182</v>
      </c>
      <c r="AP255" s="372">
        <f>IFERROR(VLOOKUP($AO255,costs!$A$2:$I$2905,AP$2,FALSE),0)</f>
        <v>0</v>
      </c>
      <c r="AQ255" s="372">
        <f>IFERROR(VLOOKUP($AO255,costs!$A$2:$I$2905,AQ$2,FALSE),0)</f>
        <v>0</v>
      </c>
      <c r="AR255" s="372">
        <f>IFERROR(VLOOKUP($AO255,costs!$A$2:$I$2905,AR$2,FALSE),0)</f>
        <v>0</v>
      </c>
      <c r="AS255" s="372">
        <f>IFERROR(VLOOKUP($AO255,costs!$A$2:$I$2905,AS$2,FALSE),0)</f>
        <v>0</v>
      </c>
      <c r="AT255" s="372">
        <f>IFERROR(VLOOKUP($AO255,costs!$A$2:$I$2905,AT$2,FALSE),0)</f>
        <v>0</v>
      </c>
      <c r="AU255" s="372">
        <f>IFERROR(VLOOKUP($AO255,costs!$A$2:$I$2905,AU$2,FALSE),0)</f>
        <v>0</v>
      </c>
      <c r="AV255" s="372">
        <f>IFERROR(VLOOKUP($AO255,costs!$A$2:$I$2905,AV$2,FALSE),0)</f>
        <v>0</v>
      </c>
      <c r="AW255" s="372">
        <f>IFERROR(VLOOKUP($AO255,costs!$A$2:$I$2905,AW$2,FALSE),0)</f>
        <v>0</v>
      </c>
    </row>
    <row r="256" spans="1:49" x14ac:dyDescent="0.35">
      <c r="B256" s="900">
        <v>2034</v>
      </c>
      <c r="C256" s="900" t="e">
        <f t="shared" si="45"/>
        <v>#N/A</v>
      </c>
      <c r="D256" s="900" t="e">
        <f t="shared" si="44"/>
        <v>#N/A</v>
      </c>
      <c r="AO256" s="40" t="s">
        <v>2101</v>
      </c>
      <c r="AP256" s="372">
        <f>IFERROR(VLOOKUP($AO256,costs!$A$2:$I$2905,AP$2,FALSE),0)</f>
        <v>0</v>
      </c>
      <c r="AQ256" s="372">
        <f>IFERROR(VLOOKUP($AO256,costs!$A$2:$I$2905,AQ$2,FALSE),0)</f>
        <v>0</v>
      </c>
      <c r="AR256" s="372">
        <f>IFERROR(VLOOKUP($AO256,costs!$A$2:$I$2905,AR$2,FALSE),0)</f>
        <v>0</v>
      </c>
      <c r="AS256" s="372">
        <f>IFERROR(VLOOKUP($AO256,costs!$A$2:$I$2905,AS$2,FALSE),0)</f>
        <v>0</v>
      </c>
      <c r="AT256" s="372">
        <f>IFERROR(VLOOKUP($AO256,costs!$A$2:$I$2905,AT$2,FALSE),0)</f>
        <v>0</v>
      </c>
      <c r="AU256" s="372">
        <f>IFERROR(VLOOKUP($AO256,costs!$A$2:$I$2905,AU$2,FALSE),0)</f>
        <v>0</v>
      </c>
      <c r="AV256" s="372">
        <f>IFERROR(VLOOKUP($AO256,costs!$A$2:$I$2905,AV$2,FALSE),0)</f>
        <v>0</v>
      </c>
      <c r="AW256" s="372">
        <f>IFERROR(VLOOKUP($AO256,costs!$A$2:$I$2905,AW$2,FALSE),0)</f>
        <v>0</v>
      </c>
    </row>
    <row r="257" spans="2:49" x14ac:dyDescent="0.35">
      <c r="B257" s="900">
        <v>2035</v>
      </c>
      <c r="C257" s="900" t="e">
        <f t="shared" si="45"/>
        <v>#N/A</v>
      </c>
      <c r="D257" s="900" t="e">
        <f t="shared" si="44"/>
        <v>#N/A</v>
      </c>
      <c r="AO257" s="40" t="s">
        <v>459</v>
      </c>
      <c r="AP257" s="372">
        <f>IFERROR(VLOOKUP($AO257,costs!$A$2:$I$2905,AP$2,FALSE),0)</f>
        <v>0</v>
      </c>
      <c r="AQ257" s="372">
        <f>IFERROR(VLOOKUP($AO257,costs!$A$2:$I$2905,AQ$2,FALSE),0)</f>
        <v>0</v>
      </c>
      <c r="AR257" s="372">
        <f>IFERROR(VLOOKUP($AO257,costs!$A$2:$I$2905,AR$2,FALSE),0)</f>
        <v>0</v>
      </c>
      <c r="AS257" s="372">
        <f>IFERROR(VLOOKUP($AO257,costs!$A$2:$I$2905,AS$2,FALSE),0)</f>
        <v>0</v>
      </c>
      <c r="AT257" s="372">
        <f>IFERROR(VLOOKUP($AO257,costs!$A$2:$I$2905,AT$2,FALSE),0)</f>
        <v>0</v>
      </c>
      <c r="AU257" s="372">
        <f>IFERROR(VLOOKUP($AO257,costs!$A$2:$I$2905,AU$2,FALSE),0)</f>
        <v>0</v>
      </c>
      <c r="AV257" s="372">
        <f>IFERROR(VLOOKUP($AO257,costs!$A$2:$I$2905,AV$2,FALSE),0)</f>
        <v>0</v>
      </c>
      <c r="AW257" s="372">
        <f>IFERROR(VLOOKUP($AO257,costs!$A$2:$I$2905,AW$2,FALSE),0)</f>
        <v>0</v>
      </c>
    </row>
    <row r="258" spans="2:49" x14ac:dyDescent="0.35">
      <c r="B258" s="900">
        <v>2036</v>
      </c>
      <c r="C258" s="900" t="e">
        <f t="shared" si="45"/>
        <v>#N/A</v>
      </c>
      <c r="D258" s="900" t="e">
        <f t="shared" si="44"/>
        <v>#N/A</v>
      </c>
      <c r="AO258" s="949" t="s">
        <v>460</v>
      </c>
      <c r="AP258" s="372">
        <f>IFERROR(VLOOKUP($AO258,costs!$A$2:$I$2905,AP$2,FALSE),0)</f>
        <v>0</v>
      </c>
      <c r="AQ258" s="372">
        <f>IFERROR(VLOOKUP($AO258,costs!$A$2:$I$2905,AQ$2,FALSE),0)</f>
        <v>0</v>
      </c>
      <c r="AR258" s="372">
        <f>IFERROR(VLOOKUP($AO258,costs!$A$2:$I$2905,AR$2,FALSE),0)</f>
        <v>0</v>
      </c>
      <c r="AS258" s="372">
        <f>IFERROR(VLOOKUP($AO258,costs!$A$2:$I$2905,AS$2,FALSE),0)</f>
        <v>0</v>
      </c>
      <c r="AT258" s="372">
        <f>IFERROR(VLOOKUP($AO258,costs!$A$2:$I$2905,AT$2,FALSE),0)</f>
        <v>0</v>
      </c>
      <c r="AU258" s="372">
        <f>IFERROR(VLOOKUP($AO258,costs!$A$2:$I$2905,AU$2,FALSE),0)</f>
        <v>0</v>
      </c>
      <c r="AV258" s="372">
        <f>IFERROR(VLOOKUP($AO258,costs!$A$2:$I$2905,AV$2,FALSE),0)</f>
        <v>0</v>
      </c>
      <c r="AW258" s="372">
        <f>IFERROR(VLOOKUP($AO258,costs!$A$2:$I$2905,AW$2,FALSE),0)</f>
        <v>0</v>
      </c>
    </row>
    <row r="259" spans="2:49" x14ac:dyDescent="0.35">
      <c r="B259" s="900">
        <v>2037</v>
      </c>
      <c r="C259" s="900" t="e">
        <f t="shared" si="45"/>
        <v>#N/A</v>
      </c>
      <c r="D259" s="900" t="e">
        <f t="shared" si="44"/>
        <v>#N/A</v>
      </c>
      <c r="AO259" s="40" t="s">
        <v>461</v>
      </c>
      <c r="AP259" s="372">
        <f>IFERROR(VLOOKUP($AO259,costs!$A$2:$I$2905,AP$2,FALSE),0)</f>
        <v>0</v>
      </c>
      <c r="AQ259" s="372">
        <f>IFERROR(VLOOKUP($AO259,costs!$A$2:$I$2905,AQ$2,FALSE),0)</f>
        <v>0</v>
      </c>
      <c r="AR259" s="372">
        <f>IFERROR(VLOOKUP($AO259,costs!$A$2:$I$2905,AR$2,FALSE),0)</f>
        <v>0</v>
      </c>
      <c r="AS259" s="372">
        <f>IFERROR(VLOOKUP($AO259,costs!$A$2:$I$2905,AS$2,FALSE),0)</f>
        <v>0</v>
      </c>
      <c r="AT259" s="372">
        <f>IFERROR(VLOOKUP($AO259,costs!$A$2:$I$2905,AT$2,FALSE),0)</f>
        <v>0</v>
      </c>
      <c r="AU259" s="372">
        <f>IFERROR(VLOOKUP($AO259,costs!$A$2:$I$2905,AU$2,FALSE),0)</f>
        <v>0</v>
      </c>
      <c r="AV259" s="372">
        <f>IFERROR(VLOOKUP($AO259,costs!$A$2:$I$2905,AV$2,FALSE),0)</f>
        <v>0</v>
      </c>
      <c r="AW259" s="372">
        <f>IFERROR(VLOOKUP($AO259,costs!$A$2:$I$2905,AW$2,FALSE),0)</f>
        <v>0</v>
      </c>
    </row>
    <row r="260" spans="2:49" x14ac:dyDescent="0.35">
      <c r="B260" s="900">
        <v>2038</v>
      </c>
      <c r="C260" s="900" t="e">
        <f t="shared" si="45"/>
        <v>#N/A</v>
      </c>
      <c r="D260" s="900" t="e">
        <f t="shared" si="44"/>
        <v>#N/A</v>
      </c>
      <c r="AO260" s="40" t="s">
        <v>414</v>
      </c>
      <c r="AP260" s="372">
        <f>IFERROR(VLOOKUP($AO260,costs!$A$2:$I$2905,AP$2,FALSE),0)</f>
        <v>0</v>
      </c>
      <c r="AQ260" s="372">
        <f>IFERROR(VLOOKUP($AO260,costs!$A$2:$I$2905,AQ$2,FALSE),0)</f>
        <v>0</v>
      </c>
      <c r="AR260" s="372">
        <f>IFERROR(VLOOKUP($AO260,costs!$A$2:$I$2905,AR$2,FALSE),0)</f>
        <v>0</v>
      </c>
      <c r="AS260" s="372">
        <f>IFERROR(VLOOKUP($AO260,costs!$A$2:$I$2905,AS$2,FALSE),0)</f>
        <v>0</v>
      </c>
      <c r="AT260" s="372">
        <f>IFERROR(VLOOKUP($AO260,costs!$A$2:$I$2905,AT$2,FALSE),0)</f>
        <v>0</v>
      </c>
      <c r="AU260" s="372">
        <f>IFERROR(VLOOKUP($AO260,costs!$A$2:$I$2905,AU$2,FALSE),0)</f>
        <v>0</v>
      </c>
      <c r="AV260" s="372">
        <f>IFERROR(VLOOKUP($AO260,costs!$A$2:$I$2905,AV$2,FALSE),0)</f>
        <v>0</v>
      </c>
      <c r="AW260" s="372">
        <f>IFERROR(VLOOKUP($AO260,costs!$A$2:$I$2905,AW$2,FALSE),0)</f>
        <v>0</v>
      </c>
    </row>
    <row r="261" spans="2:49" x14ac:dyDescent="0.35">
      <c r="B261" s="900">
        <v>2039</v>
      </c>
      <c r="C261" s="900" t="e">
        <f t="shared" si="45"/>
        <v>#N/A</v>
      </c>
      <c r="D261" s="900" t="e">
        <f t="shared" si="44"/>
        <v>#N/A</v>
      </c>
      <c r="AO261" s="949" t="s">
        <v>2110</v>
      </c>
      <c r="AP261" s="372">
        <f>IFERROR(VLOOKUP($AO261,costs!$A$2:$I$2905,AP$2,FALSE),0)</f>
        <v>0</v>
      </c>
      <c r="AQ261" s="372">
        <f>IFERROR(VLOOKUP($AO261,costs!$A$2:$I$2905,AQ$2,FALSE),0)</f>
        <v>0</v>
      </c>
      <c r="AR261" s="372">
        <f>IFERROR(VLOOKUP($AO261,costs!$A$2:$I$2905,AR$2,FALSE),0)</f>
        <v>0</v>
      </c>
      <c r="AS261" s="372">
        <f>IFERROR(VLOOKUP($AO261,costs!$A$2:$I$2905,AS$2,FALSE),0)</f>
        <v>0</v>
      </c>
      <c r="AT261" s="372">
        <f>IFERROR(VLOOKUP($AO261,costs!$A$2:$I$2905,AT$2,FALSE),0)</f>
        <v>0</v>
      </c>
      <c r="AU261" s="372">
        <f>IFERROR(VLOOKUP($AO261,costs!$A$2:$I$2905,AU$2,FALSE),0)</f>
        <v>0</v>
      </c>
      <c r="AV261" s="372">
        <f>IFERROR(VLOOKUP($AO261,costs!$A$2:$I$2905,AV$2,FALSE),0)</f>
        <v>0</v>
      </c>
      <c r="AW261" s="372">
        <f>IFERROR(VLOOKUP($AO261,costs!$A$2:$I$2905,AW$2,FALSE),0)</f>
        <v>0</v>
      </c>
    </row>
    <row r="262" spans="2:49" x14ac:dyDescent="0.35">
      <c r="B262" s="900">
        <v>2040</v>
      </c>
      <c r="C262" s="900" t="e">
        <f t="shared" si="45"/>
        <v>#N/A</v>
      </c>
      <c r="D262" s="900" t="e">
        <f t="shared" si="44"/>
        <v>#N/A</v>
      </c>
      <c r="AO262" s="40" t="s">
        <v>413</v>
      </c>
      <c r="AP262" s="372">
        <f>IFERROR(VLOOKUP($AO262,costs!$A$2:$I$2905,AP$2,FALSE),0)</f>
        <v>0</v>
      </c>
      <c r="AQ262" s="372">
        <f>IFERROR(VLOOKUP($AO262,costs!$A$2:$I$2905,AQ$2,FALSE),0)</f>
        <v>0</v>
      </c>
      <c r="AR262" s="372">
        <f>IFERROR(VLOOKUP($AO262,costs!$A$2:$I$2905,AR$2,FALSE),0)</f>
        <v>0</v>
      </c>
      <c r="AS262" s="372">
        <f>IFERROR(VLOOKUP($AO262,costs!$A$2:$I$2905,AS$2,FALSE),0)</f>
        <v>0</v>
      </c>
      <c r="AT262" s="372">
        <f>IFERROR(VLOOKUP($AO262,costs!$A$2:$I$2905,AT$2,FALSE),0)</f>
        <v>0</v>
      </c>
      <c r="AU262" s="372">
        <f>IFERROR(VLOOKUP($AO262,costs!$A$2:$I$2905,AU$2,FALSE),0)</f>
        <v>0</v>
      </c>
      <c r="AV262" s="372">
        <f>IFERROR(VLOOKUP($AO262,costs!$A$2:$I$2905,AV$2,FALSE),0)</f>
        <v>0</v>
      </c>
      <c r="AW262" s="372">
        <f>IFERROR(VLOOKUP($AO262,costs!$A$2:$I$2905,AW$2,FALSE),0)</f>
        <v>0</v>
      </c>
    </row>
    <row r="263" spans="2:49" x14ac:dyDescent="0.35">
      <c r="B263" s="900">
        <v>2041</v>
      </c>
      <c r="C263" s="900" t="e">
        <f t="shared" si="45"/>
        <v>#N/A</v>
      </c>
      <c r="D263" s="900" t="e">
        <f t="shared" si="44"/>
        <v>#N/A</v>
      </c>
      <c r="AO263" s="949" t="s">
        <v>2111</v>
      </c>
      <c r="AP263" s="372">
        <f>IFERROR(VLOOKUP($AO263,costs!$A$2:$I$2905,AP$2,FALSE),0)</f>
        <v>0</v>
      </c>
      <c r="AQ263" s="372">
        <f>IFERROR(VLOOKUP($AO263,costs!$A$2:$I$2905,AQ$2,FALSE),0)</f>
        <v>0</v>
      </c>
      <c r="AR263" s="372">
        <f>IFERROR(VLOOKUP($AO263,costs!$A$2:$I$2905,AR$2,FALSE),0)</f>
        <v>0</v>
      </c>
      <c r="AS263" s="372">
        <f>IFERROR(VLOOKUP($AO263,costs!$A$2:$I$2905,AS$2,FALSE),0)</f>
        <v>0</v>
      </c>
      <c r="AT263" s="372">
        <f>IFERROR(VLOOKUP($AO263,costs!$A$2:$I$2905,AT$2,FALSE),0)</f>
        <v>0</v>
      </c>
      <c r="AU263" s="372">
        <f>IFERROR(VLOOKUP($AO263,costs!$A$2:$I$2905,AU$2,FALSE),0)</f>
        <v>0</v>
      </c>
      <c r="AV263" s="372">
        <f>IFERROR(VLOOKUP($AO263,costs!$A$2:$I$2905,AV$2,FALSE),0)</f>
        <v>0</v>
      </c>
      <c r="AW263" s="372">
        <f>IFERROR(VLOOKUP($AO263,costs!$A$2:$I$2905,AW$2,FALSE),0)</f>
        <v>0</v>
      </c>
    </row>
    <row r="264" spans="2:49" x14ac:dyDescent="0.35">
      <c r="B264" s="900">
        <v>2042</v>
      </c>
      <c r="C264" s="900" t="e">
        <f t="shared" si="45"/>
        <v>#N/A</v>
      </c>
      <c r="D264" s="900" t="e">
        <f t="shared" si="44"/>
        <v>#N/A</v>
      </c>
      <c r="AO264" s="40" t="s">
        <v>416</v>
      </c>
      <c r="AP264" s="372">
        <f>IFERROR(VLOOKUP($AO264,costs!$A$2:$I$2905,AP$2,FALSE),0)</f>
        <v>0</v>
      </c>
      <c r="AQ264" s="372">
        <f>IFERROR(VLOOKUP($AO264,costs!$A$2:$I$2905,AQ$2,FALSE),0)</f>
        <v>0</v>
      </c>
      <c r="AR264" s="372">
        <f>IFERROR(VLOOKUP($AO264,costs!$A$2:$I$2905,AR$2,FALSE),0)</f>
        <v>0</v>
      </c>
      <c r="AS264" s="372">
        <f>IFERROR(VLOOKUP($AO264,costs!$A$2:$I$2905,AS$2,FALSE),0)</f>
        <v>0</v>
      </c>
      <c r="AT264" s="372">
        <f>IFERROR(VLOOKUP($AO264,costs!$A$2:$I$2905,AT$2,FALSE),0)</f>
        <v>0</v>
      </c>
      <c r="AU264" s="372">
        <f>IFERROR(VLOOKUP($AO264,costs!$A$2:$I$2905,AU$2,FALSE),0)</f>
        <v>0</v>
      </c>
      <c r="AV264" s="372">
        <f>IFERROR(VLOOKUP($AO264,costs!$A$2:$I$2905,AV$2,FALSE),0)</f>
        <v>0</v>
      </c>
      <c r="AW264" s="372">
        <f>IFERROR(VLOOKUP($AO264,costs!$A$2:$I$2905,AW$2,FALSE),0)</f>
        <v>0</v>
      </c>
    </row>
    <row r="265" spans="2:49" x14ac:dyDescent="0.35">
      <c r="B265" s="900">
        <v>2043</v>
      </c>
      <c r="C265" s="900" t="e">
        <f t="shared" si="45"/>
        <v>#N/A</v>
      </c>
      <c r="D265" s="900" t="e">
        <f t="shared" si="44"/>
        <v>#N/A</v>
      </c>
      <c r="AO265" s="275" t="s">
        <v>2031</v>
      </c>
      <c r="AP265" s="133">
        <f t="shared" ref="AP265:AW265" si="46">SUM(AP230:AP264)</f>
        <v>0</v>
      </c>
      <c r="AQ265" s="133">
        <f t="shared" si="46"/>
        <v>0</v>
      </c>
      <c r="AR265" s="133">
        <f t="shared" si="46"/>
        <v>0</v>
      </c>
      <c r="AS265" s="133">
        <f t="shared" si="46"/>
        <v>0</v>
      </c>
      <c r="AT265" s="133">
        <f t="shared" si="46"/>
        <v>0</v>
      </c>
      <c r="AU265" s="133">
        <f t="shared" si="46"/>
        <v>0</v>
      </c>
      <c r="AV265" s="133">
        <f t="shared" si="46"/>
        <v>0</v>
      </c>
      <c r="AW265" s="133">
        <f t="shared" si="46"/>
        <v>0</v>
      </c>
    </row>
    <row r="266" spans="2:49" ht="15" thickBot="1" x14ac:dyDescent="0.4">
      <c r="B266" s="900">
        <v>2044</v>
      </c>
      <c r="C266" s="900" t="e">
        <f t="shared" si="45"/>
        <v>#N/A</v>
      </c>
      <c r="D266" s="900" t="e">
        <f t="shared" si="44"/>
        <v>#N/A</v>
      </c>
      <c r="AO266" s="41" t="s">
        <v>4038</v>
      </c>
      <c r="AP266" s="77">
        <f t="shared" ref="AP266:AW266" si="47">SUM(AP230:AP231,AP233:AP241,AP246:AP247,AP260:AP261,AP264)</f>
        <v>0</v>
      </c>
      <c r="AQ266" s="77">
        <f t="shared" si="47"/>
        <v>0</v>
      </c>
      <c r="AR266" s="77">
        <f t="shared" si="47"/>
        <v>0</v>
      </c>
      <c r="AS266" s="77">
        <f t="shared" si="47"/>
        <v>0</v>
      </c>
      <c r="AT266" s="77">
        <f t="shared" si="47"/>
        <v>0</v>
      </c>
      <c r="AU266" s="77">
        <f t="shared" si="47"/>
        <v>0</v>
      </c>
      <c r="AV266" s="77">
        <f t="shared" si="47"/>
        <v>0</v>
      </c>
      <c r="AW266" s="77">
        <f t="shared" si="47"/>
        <v>0</v>
      </c>
    </row>
    <row r="267" spans="2:49" x14ac:dyDescent="0.35">
      <c r="B267" s="900">
        <v>2045</v>
      </c>
      <c r="C267" s="900" t="e">
        <f t="shared" si="45"/>
        <v>#N/A</v>
      </c>
      <c r="D267" s="900" t="e">
        <f t="shared" si="44"/>
        <v>#N/A</v>
      </c>
      <c r="AO267" s="275" t="s">
        <v>4039</v>
      </c>
      <c r="AP267" s="900">
        <f>AP265-AP266</f>
        <v>0</v>
      </c>
      <c r="AQ267" s="900">
        <f t="shared" ref="AQ267:AW267" si="48">AQ265-AQ266</f>
        <v>0</v>
      </c>
      <c r="AR267" s="900">
        <f t="shared" si="48"/>
        <v>0</v>
      </c>
      <c r="AS267" s="900">
        <f t="shared" si="48"/>
        <v>0</v>
      </c>
      <c r="AT267" s="900">
        <f t="shared" si="48"/>
        <v>0</v>
      </c>
      <c r="AU267" s="900">
        <f t="shared" si="48"/>
        <v>0</v>
      </c>
      <c r="AV267" s="900">
        <f t="shared" si="48"/>
        <v>0</v>
      </c>
      <c r="AW267" s="900">
        <f t="shared" si="48"/>
        <v>0</v>
      </c>
    </row>
    <row r="268" spans="2:49" x14ac:dyDescent="0.35">
      <c r="B268" s="900">
        <v>2046</v>
      </c>
      <c r="C268" s="900" t="e">
        <f t="shared" si="45"/>
        <v>#N/A</v>
      </c>
      <c r="D268" s="900" t="e">
        <f t="shared" si="44"/>
        <v>#N/A</v>
      </c>
    </row>
    <row r="269" spans="2:49" x14ac:dyDescent="0.35">
      <c r="B269" s="900">
        <v>2047</v>
      </c>
      <c r="C269" s="900" t="e">
        <f t="shared" si="45"/>
        <v>#N/A</v>
      </c>
      <c r="D269" s="900" t="e">
        <f t="shared" si="44"/>
        <v>#N/A</v>
      </c>
    </row>
    <row r="270" spans="2:49" x14ac:dyDescent="0.35">
      <c r="B270" s="900">
        <v>2048</v>
      </c>
      <c r="C270" s="900" t="e">
        <f t="shared" si="45"/>
        <v>#N/A</v>
      </c>
      <c r="D270" s="900" t="e">
        <f t="shared" si="44"/>
        <v>#N/A</v>
      </c>
    </row>
    <row r="271" spans="2:49" x14ac:dyDescent="0.35">
      <c r="B271" s="900">
        <v>2049</v>
      </c>
      <c r="C271" s="900" t="e">
        <f t="shared" si="45"/>
        <v>#N/A</v>
      </c>
      <c r="D271" s="900" t="e">
        <f t="shared" si="44"/>
        <v>#N/A</v>
      </c>
    </row>
    <row r="272" spans="2:49" x14ac:dyDescent="0.35">
      <c r="B272" s="900">
        <v>2050</v>
      </c>
      <c r="C272" s="900" t="e">
        <f t="shared" si="45"/>
        <v>#N/A</v>
      </c>
      <c r="D272" s="900" t="e">
        <f t="shared" si="44"/>
        <v>#N/A</v>
      </c>
    </row>
  </sheetData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/>
  </sheetPr>
  <dimension ref="A1:AI219"/>
  <sheetViews>
    <sheetView topLeftCell="X76" zoomScale="70" zoomScaleNormal="70" workbookViewId="0">
      <selection activeCell="AG106" sqref="AG106"/>
    </sheetView>
  </sheetViews>
  <sheetFormatPr baseColWidth="10" defaultColWidth="11.453125" defaultRowHeight="14.5" x14ac:dyDescent="0.35"/>
  <cols>
    <col min="1" max="1" width="48.1796875" style="64" bestFit="1" customWidth="1"/>
    <col min="2" max="14" width="11.453125" style="838"/>
    <col min="15" max="15" width="52.453125" style="64" bestFit="1" customWidth="1"/>
    <col min="16" max="16" width="25" style="64" bestFit="1" customWidth="1"/>
    <col min="17" max="17" width="11.81640625" style="64" bestFit="1" customWidth="1"/>
    <col min="18" max="23" width="11.453125" style="64"/>
    <col min="24" max="24" width="12.453125" style="64" bestFit="1" customWidth="1"/>
    <col min="25" max="25" width="11.453125" style="64"/>
    <col min="26" max="26" width="11.453125" style="190"/>
    <col min="27" max="27" width="21.453125" style="64" bestFit="1" customWidth="1"/>
    <col min="28" max="28" width="12.453125" style="64" bestFit="1" customWidth="1"/>
    <col min="29" max="16384" width="11.453125" style="64"/>
  </cols>
  <sheetData>
    <row r="1" spans="1:34" ht="15" thickBot="1" x14ac:dyDescent="0.4">
      <c r="A1" s="838"/>
      <c r="B1" s="838">
        <v>1</v>
      </c>
    </row>
    <row r="2" spans="1:34" x14ac:dyDescent="0.35">
      <c r="A2" s="840" t="s">
        <v>2452</v>
      </c>
      <c r="B2" s="838" t="str">
        <f t="shared" ref="B2:B33" si="0">VLOOKUP($A2,$O$3:$X$1972,B$1,FALSE)</f>
        <v>BasicOxygenFurnace</v>
      </c>
      <c r="O2" s="88" t="s">
        <v>1454</v>
      </c>
      <c r="P2" s="88" t="s">
        <v>1453</v>
      </c>
      <c r="Q2" s="89">
        <v>2</v>
      </c>
      <c r="R2" s="89">
        <v>3</v>
      </c>
      <c r="S2" s="89">
        <v>4</v>
      </c>
      <c r="T2" s="89">
        <v>5</v>
      </c>
      <c r="U2" s="89">
        <v>6</v>
      </c>
      <c r="V2" s="89">
        <v>7</v>
      </c>
      <c r="W2" s="89">
        <v>8</v>
      </c>
      <c r="X2" s="89">
        <v>9</v>
      </c>
      <c r="AA2" s="91" t="s">
        <v>1453</v>
      </c>
      <c r="AB2" s="88" t="s">
        <v>1454</v>
      </c>
      <c r="AC2" s="89"/>
      <c r="AD2" s="89"/>
      <c r="AE2" s="89"/>
      <c r="AF2" s="89"/>
      <c r="AG2" s="89"/>
      <c r="AH2" s="89"/>
    </row>
    <row r="3" spans="1:34" x14ac:dyDescent="0.35">
      <c r="A3" s="840" t="s">
        <v>2454</v>
      </c>
      <c r="B3" s="846" t="str">
        <f t="shared" si="0"/>
        <v>BayerProcess</v>
      </c>
      <c r="O3" s="40" t="s">
        <v>1415</v>
      </c>
      <c r="P3" s="92"/>
      <c r="Q3" s="133" t="s">
        <v>1417</v>
      </c>
      <c r="R3" s="133">
        <v>2020</v>
      </c>
      <c r="S3" s="133">
        <v>2025</v>
      </c>
      <c r="T3" s="133">
        <v>2030</v>
      </c>
      <c r="U3" s="133">
        <v>2035</v>
      </c>
      <c r="V3" s="133">
        <v>2040</v>
      </c>
      <c r="W3" s="133">
        <v>2045</v>
      </c>
      <c r="X3" s="133">
        <v>2050</v>
      </c>
      <c r="AA3" s="40" t="s">
        <v>1455</v>
      </c>
      <c r="AB3" s="133">
        <v>2020</v>
      </c>
      <c r="AC3" s="133">
        <v>2025</v>
      </c>
      <c r="AD3" s="133">
        <v>2030</v>
      </c>
      <c r="AE3" s="133">
        <v>2035</v>
      </c>
      <c r="AF3" s="133">
        <v>2040</v>
      </c>
      <c r="AG3" s="133">
        <v>2045</v>
      </c>
      <c r="AH3" s="133">
        <v>2050</v>
      </c>
    </row>
    <row r="4" spans="1:34" x14ac:dyDescent="0.35">
      <c r="A4" s="840" t="s">
        <v>184</v>
      </c>
      <c r="B4" s="846" t="str">
        <f t="shared" si="0"/>
        <v>BiogasToCH4</v>
      </c>
      <c r="O4" s="40" t="s">
        <v>20</v>
      </c>
      <c r="P4" s="92"/>
      <c r="Q4" s="92" t="e">
        <f>VLOOKUP($O4,'CO2'!$A$2:$J$1909,Q$2,FALSE)</f>
        <v>#N/A</v>
      </c>
      <c r="R4" s="92" t="e">
        <f>VLOOKUP($O4,'CO2'!$A$2:$J$1909,R$2,FALSE)</f>
        <v>#N/A</v>
      </c>
      <c r="S4" s="92" t="e">
        <f>VLOOKUP($O4,'CO2'!$A$2:$J$1909,S$2,FALSE)</f>
        <v>#N/A</v>
      </c>
      <c r="T4" s="92" t="e">
        <f>VLOOKUP($O4,'CO2'!$A$2:$J$1909,T$2,FALSE)</f>
        <v>#N/A</v>
      </c>
      <c r="U4" s="92" t="e">
        <f>VLOOKUP($O4,'CO2'!$A$2:$J$1909,U$2,FALSE)</f>
        <v>#N/A</v>
      </c>
      <c r="V4" s="92" t="e">
        <f>VLOOKUP($O4,'CO2'!$A$2:$J$1909,V$2,FALSE)</f>
        <v>#N/A</v>
      </c>
      <c r="W4" s="92" t="e">
        <f>VLOOKUP($O4,'CO2'!$A$2:$J$1909,W$2,FALSE)</f>
        <v>#N/A</v>
      </c>
      <c r="X4" s="92" t="e">
        <f>VLOOKUP($O4,'CO2'!$A$2:$J$1909,X$2,FALSE)</f>
        <v>#N/A</v>
      </c>
      <c r="Z4" s="190" t="s">
        <v>1340</v>
      </c>
      <c r="AA4" s="40" t="s">
        <v>1205</v>
      </c>
      <c r="AB4" s="164" t="e">
        <f>SUM(R4,R5,R9,R10,R11,R20)</f>
        <v>#N/A</v>
      </c>
      <c r="AC4" s="164" t="e">
        <f t="shared" ref="AC4:AG4" si="1">SUM(S4,S5,S9,S10,S11,S20)</f>
        <v>#N/A</v>
      </c>
      <c r="AD4" s="164" t="e">
        <f t="shared" si="1"/>
        <v>#N/A</v>
      </c>
      <c r="AE4" s="164" t="e">
        <f t="shared" si="1"/>
        <v>#N/A</v>
      </c>
      <c r="AF4" s="164" t="e">
        <f t="shared" si="1"/>
        <v>#N/A</v>
      </c>
      <c r="AG4" s="164" t="e">
        <f t="shared" si="1"/>
        <v>#N/A</v>
      </c>
      <c r="AH4" s="164" t="e">
        <f>SUM(X4,X5,X9,X10,X11,X20)</f>
        <v>#N/A</v>
      </c>
    </row>
    <row r="5" spans="1:34" x14ac:dyDescent="0.35">
      <c r="A5" s="840" t="s">
        <v>2455</v>
      </c>
      <c r="B5" s="846" t="str">
        <f t="shared" si="0"/>
        <v>BlastFurnace</v>
      </c>
      <c r="O5" s="40" t="s">
        <v>196</v>
      </c>
      <c r="P5" s="92"/>
      <c r="Q5" s="92" t="e">
        <f>VLOOKUP($O5,'CO2'!$A$2:$J$1909,Q$2,FALSE)</f>
        <v>#N/A</v>
      </c>
      <c r="R5" s="92" t="e">
        <f>VLOOKUP($O5,'CO2'!$A$2:$J$1909,R$2,FALSE)</f>
        <v>#N/A</v>
      </c>
      <c r="S5" s="92" t="e">
        <f>VLOOKUP($O5,'CO2'!$A$2:$J$1909,S$2,FALSE)</f>
        <v>#N/A</v>
      </c>
      <c r="T5" s="92" t="e">
        <f>VLOOKUP($O5,'CO2'!$A$2:$J$1909,T$2,FALSE)</f>
        <v>#N/A</v>
      </c>
      <c r="U5" s="92" t="e">
        <f>VLOOKUP($O5,'CO2'!$A$2:$J$1909,U$2,FALSE)</f>
        <v>#N/A</v>
      </c>
      <c r="V5" s="92" t="e">
        <f>VLOOKUP($O5,'CO2'!$A$2:$J$1909,V$2,FALSE)</f>
        <v>#N/A</v>
      </c>
      <c r="W5" s="92" t="e">
        <f>VLOOKUP($O5,'CO2'!$A$2:$J$1909,W$2,FALSE)</f>
        <v>#N/A</v>
      </c>
      <c r="X5" s="92" t="e">
        <f>VLOOKUP($O5,'CO2'!$A$2:$J$1909,X$2,FALSE)</f>
        <v>#N/A</v>
      </c>
      <c r="Z5" s="190" t="s">
        <v>1343</v>
      </c>
      <c r="AA5" s="40" t="s">
        <v>1310</v>
      </c>
      <c r="AB5" s="164" t="e">
        <f>SUM(R12,R13,R14)</f>
        <v>#N/A</v>
      </c>
      <c r="AC5" s="164" t="e">
        <f t="shared" ref="AC5:AH5" si="2">SUM(S12,S13,S14)</f>
        <v>#N/A</v>
      </c>
      <c r="AD5" s="164" t="e">
        <f t="shared" si="2"/>
        <v>#N/A</v>
      </c>
      <c r="AE5" s="164" t="e">
        <f t="shared" si="2"/>
        <v>#N/A</v>
      </c>
      <c r="AF5" s="164" t="e">
        <f t="shared" si="2"/>
        <v>#N/A</v>
      </c>
      <c r="AG5" s="164" t="e">
        <f t="shared" si="2"/>
        <v>#N/A</v>
      </c>
      <c r="AH5" s="164" t="e">
        <f t="shared" si="2"/>
        <v>#N/A</v>
      </c>
    </row>
    <row r="6" spans="1:34" x14ac:dyDescent="0.35">
      <c r="A6" s="840" t="s">
        <v>188</v>
      </c>
      <c r="B6" s="846" t="str">
        <f t="shared" si="0"/>
        <v>C-CH4ToCementPHeat</v>
      </c>
      <c r="O6" s="40" t="s">
        <v>207</v>
      </c>
      <c r="P6" s="92"/>
      <c r="Q6" s="92" t="e">
        <f>VLOOKUP($O6,'CO2'!$A$2:$J$1909,Q$2,FALSE)</f>
        <v>#N/A</v>
      </c>
      <c r="R6" s="92" t="e">
        <f>VLOOKUP($O6,'CO2'!$A$2:$J$1909,R$2,FALSE)</f>
        <v>#N/A</v>
      </c>
      <c r="S6" s="92" t="e">
        <f>VLOOKUP($O6,'CO2'!$A$2:$J$1909,S$2,FALSE)</f>
        <v>#N/A</v>
      </c>
      <c r="T6" s="92" t="e">
        <f>VLOOKUP($O6,'CO2'!$A$2:$J$1909,T$2,FALSE)</f>
        <v>#N/A</v>
      </c>
      <c r="U6" s="92" t="e">
        <f>VLOOKUP($O6,'CO2'!$A$2:$J$1909,U$2,FALSE)</f>
        <v>#N/A</v>
      </c>
      <c r="V6" s="92" t="e">
        <f>VLOOKUP($O6,'CO2'!$A$2:$J$1909,V$2,FALSE)</f>
        <v>#N/A</v>
      </c>
      <c r="W6" s="92" t="e">
        <f>VLOOKUP($O6,'CO2'!$A$2:$J$1909,W$2,FALSE)</f>
        <v>#N/A</v>
      </c>
      <c r="X6" s="92" t="e">
        <f>VLOOKUP($O6,'CO2'!$A$2:$J$1909,X$2,FALSE)</f>
        <v>#N/A</v>
      </c>
      <c r="Z6" s="190" t="s">
        <v>1342</v>
      </c>
      <c r="AA6" s="40" t="s">
        <v>1206</v>
      </c>
      <c r="AB6" s="164" t="e">
        <f>SUM(R6:R8)+R19</f>
        <v>#N/A</v>
      </c>
      <c r="AC6" s="164" t="e">
        <f t="shared" ref="AC6:AH6" si="3">SUM(S6:S8)+S19</f>
        <v>#N/A</v>
      </c>
      <c r="AD6" s="164" t="e">
        <f t="shared" si="3"/>
        <v>#N/A</v>
      </c>
      <c r="AE6" s="164" t="e">
        <f t="shared" si="3"/>
        <v>#N/A</v>
      </c>
      <c r="AF6" s="164" t="e">
        <f t="shared" si="3"/>
        <v>#N/A</v>
      </c>
      <c r="AG6" s="164" t="e">
        <f t="shared" si="3"/>
        <v>#N/A</v>
      </c>
      <c r="AH6" s="164" t="e">
        <f t="shared" si="3"/>
        <v>#N/A</v>
      </c>
    </row>
    <row r="7" spans="1:34" x14ac:dyDescent="0.35">
      <c r="A7" s="840" t="s">
        <v>192</v>
      </c>
      <c r="B7" s="846" t="str">
        <f t="shared" si="0"/>
        <v>C-OilToCementPHeat</v>
      </c>
      <c r="O7" s="40" t="s">
        <v>54</v>
      </c>
      <c r="P7" s="92"/>
      <c r="Q7" s="92" t="e">
        <f>VLOOKUP($O7,'CO2'!$A$2:$J$1909,Q$2,FALSE)</f>
        <v>#N/A</v>
      </c>
      <c r="R7" s="92" t="e">
        <f>VLOOKUP($O7,'CO2'!$A$2:$J$1909,R$2,FALSE)</f>
        <v>#N/A</v>
      </c>
      <c r="S7" s="92" t="e">
        <f>VLOOKUP($O7,'CO2'!$A$2:$J$1909,S$2,FALSE)</f>
        <v>#N/A</v>
      </c>
      <c r="T7" s="92" t="e">
        <f>VLOOKUP($O7,'CO2'!$A$2:$J$1909,T$2,FALSE)</f>
        <v>#N/A</v>
      </c>
      <c r="U7" s="92" t="e">
        <f>VLOOKUP($O7,'CO2'!$A$2:$J$1909,U$2,FALSE)</f>
        <v>#N/A</v>
      </c>
      <c r="V7" s="92" t="e">
        <f>VLOOKUP($O7,'CO2'!$A$2:$J$1909,V$2,FALSE)</f>
        <v>#N/A</v>
      </c>
      <c r="W7" s="92" t="e">
        <f>VLOOKUP($O7,'CO2'!$A$2:$J$1909,W$2,FALSE)</f>
        <v>#N/A</v>
      </c>
      <c r="X7" s="92" t="e">
        <f>VLOOKUP($O7,'CO2'!$A$2:$J$1909,X$2,FALSE)</f>
        <v>#N/A</v>
      </c>
      <c r="Z7" s="190" t="s">
        <v>1884</v>
      </c>
      <c r="AA7" s="40" t="s">
        <v>1207</v>
      </c>
      <c r="AB7" s="164" t="e">
        <f>R15+R21</f>
        <v>#N/A</v>
      </c>
      <c r="AC7" s="164" t="e">
        <f t="shared" ref="AC7:AH7" si="4">S15+S21</f>
        <v>#N/A</v>
      </c>
      <c r="AD7" s="164" t="e">
        <f t="shared" si="4"/>
        <v>#N/A</v>
      </c>
      <c r="AE7" s="164" t="e">
        <f t="shared" si="4"/>
        <v>#N/A</v>
      </c>
      <c r="AF7" s="164" t="e">
        <f t="shared" si="4"/>
        <v>#N/A</v>
      </c>
      <c r="AG7" s="164" t="e">
        <f t="shared" si="4"/>
        <v>#N/A</v>
      </c>
      <c r="AH7" s="164" t="e">
        <f t="shared" si="4"/>
        <v>#N/A</v>
      </c>
    </row>
    <row r="8" spans="1:34" x14ac:dyDescent="0.35">
      <c r="A8" s="840" t="s">
        <v>193</v>
      </c>
      <c r="B8" s="846" t="str">
        <f t="shared" si="0"/>
        <v>C-WasteToCementPHeat</v>
      </c>
      <c r="O8" s="40" t="s">
        <v>210</v>
      </c>
      <c r="P8" s="92"/>
      <c r="Q8" s="92" t="e">
        <f>VLOOKUP($O8,'CO2'!$A$2:$J$1909,Q$2,FALSE)</f>
        <v>#N/A</v>
      </c>
      <c r="R8" s="92" t="e">
        <f>VLOOKUP($O8,'CO2'!$A$2:$J$1909,R$2,FALSE)</f>
        <v>#N/A</v>
      </c>
      <c r="S8" s="92" t="e">
        <f>VLOOKUP($O8,'CO2'!$A$2:$J$1909,S$2,FALSE)</f>
        <v>#N/A</v>
      </c>
      <c r="T8" s="92" t="e">
        <f>VLOOKUP($O8,'CO2'!$A$2:$J$1909,T$2,FALSE)</f>
        <v>#N/A</v>
      </c>
      <c r="U8" s="92" t="e">
        <f>VLOOKUP($O8,'CO2'!$A$2:$J$1909,U$2,FALSE)</f>
        <v>#N/A</v>
      </c>
      <c r="V8" s="92" t="e">
        <f>VLOOKUP($O8,'CO2'!$A$2:$J$1909,V$2,FALSE)</f>
        <v>#N/A</v>
      </c>
      <c r="W8" s="92" t="e">
        <f>VLOOKUP($O8,'CO2'!$A$2:$J$1909,W$2,FALSE)</f>
        <v>#N/A</v>
      </c>
      <c r="X8" s="92" t="e">
        <f>VLOOKUP($O8,'CO2'!$A$2:$J$1909,X$2,FALSE)</f>
        <v>#N/A</v>
      </c>
      <c r="Z8" s="190" t="s">
        <v>1942</v>
      </c>
      <c r="AA8" s="40" t="s">
        <v>1208</v>
      </c>
      <c r="AB8" s="164" t="e">
        <f>SUM(R16:R17)+R22</f>
        <v>#N/A</v>
      </c>
      <c r="AC8" s="164" t="e">
        <f t="shared" ref="AC8:AH8" si="5">SUM(S16:S17)+S22</f>
        <v>#N/A</v>
      </c>
      <c r="AD8" s="164" t="e">
        <f t="shared" si="5"/>
        <v>#N/A</v>
      </c>
      <c r="AE8" s="164" t="e">
        <f t="shared" si="5"/>
        <v>#N/A</v>
      </c>
      <c r="AF8" s="164" t="e">
        <f t="shared" si="5"/>
        <v>#N/A</v>
      </c>
      <c r="AG8" s="164" t="e">
        <f t="shared" si="5"/>
        <v>#N/A</v>
      </c>
      <c r="AH8" s="164" t="e">
        <f t="shared" si="5"/>
        <v>#N/A</v>
      </c>
    </row>
    <row r="9" spans="1:34" x14ac:dyDescent="0.35">
      <c r="A9" s="840" t="s">
        <v>195</v>
      </c>
      <c r="B9" s="846" t="str">
        <f t="shared" si="0"/>
        <v>CAES-Out</v>
      </c>
      <c r="O9" s="40" t="s">
        <v>285</v>
      </c>
      <c r="P9" s="92"/>
      <c r="Q9" s="92" t="e">
        <f>VLOOKUP($O9,'CO2'!$A$2:$J$1909,Q$2,FALSE)</f>
        <v>#N/A</v>
      </c>
      <c r="R9" s="92" t="e">
        <f>VLOOKUP($O9,'CO2'!$A$2:$J$1909,R$2,FALSE)</f>
        <v>#N/A</v>
      </c>
      <c r="S9" s="92" t="e">
        <f>VLOOKUP($O9,'CO2'!$A$2:$J$1909,S$2,FALSE)</f>
        <v>#N/A</v>
      </c>
      <c r="T9" s="92" t="e">
        <f>VLOOKUP($O9,'CO2'!$A$2:$J$1909,T$2,FALSE)</f>
        <v>#N/A</v>
      </c>
      <c r="U9" s="92" t="e">
        <f>VLOOKUP($O9,'CO2'!$A$2:$J$1909,U$2,FALSE)</f>
        <v>#N/A</v>
      </c>
      <c r="V9" s="92" t="e">
        <f>VLOOKUP($O9,'CO2'!$A$2:$J$1909,V$2,FALSE)</f>
        <v>#N/A</v>
      </c>
      <c r="W9" s="92" t="e">
        <f>VLOOKUP($O9,'CO2'!$A$2:$J$1909,W$2,FALSE)</f>
        <v>#N/A</v>
      </c>
      <c r="X9" s="92" t="e">
        <f>VLOOKUP($O9,'CO2'!$A$2:$J$1909,X$2,FALSE)</f>
        <v>#N/A</v>
      </c>
      <c r="Z9" s="190" t="s">
        <v>1885</v>
      </c>
      <c r="AA9" s="40" t="s">
        <v>1209</v>
      </c>
      <c r="AB9" s="164" t="e">
        <f>R18+R29+R31+R32+R33+R30</f>
        <v>#N/A</v>
      </c>
      <c r="AC9" s="164" t="e">
        <f t="shared" ref="AC9:AH9" si="6">S18+S29+S31+S32+S33+S30</f>
        <v>#N/A</v>
      </c>
      <c r="AD9" s="164" t="e">
        <f t="shared" si="6"/>
        <v>#N/A</v>
      </c>
      <c r="AE9" s="164" t="e">
        <f t="shared" si="6"/>
        <v>#N/A</v>
      </c>
      <c r="AF9" s="164" t="e">
        <f t="shared" si="6"/>
        <v>#N/A</v>
      </c>
      <c r="AG9" s="164" t="e">
        <f t="shared" si="6"/>
        <v>#N/A</v>
      </c>
      <c r="AH9" s="164" t="e">
        <f t="shared" si="6"/>
        <v>#N/A</v>
      </c>
    </row>
    <row r="10" spans="1:34" x14ac:dyDescent="0.35">
      <c r="A10" s="840" t="s">
        <v>20</v>
      </c>
      <c r="B10" s="846" t="str">
        <f t="shared" si="0"/>
        <v>CCCHP</v>
      </c>
      <c r="O10" s="40" t="s">
        <v>55</v>
      </c>
      <c r="P10" s="92"/>
      <c r="Q10" s="92" t="e">
        <f>VLOOKUP($O10,'CO2'!$A$2:$J$1909,Q$2,FALSE)</f>
        <v>#N/A</v>
      </c>
      <c r="R10" s="92" t="e">
        <f>VLOOKUP($O10,'CO2'!$A$2:$J$1909,R$2,FALSE)</f>
        <v>#N/A</v>
      </c>
      <c r="S10" s="92" t="e">
        <f>VLOOKUP($O10,'CO2'!$A$2:$J$1909,S$2,FALSE)</f>
        <v>#N/A</v>
      </c>
      <c r="T10" s="92" t="e">
        <f>VLOOKUP($O10,'CO2'!$A$2:$J$1909,T$2,FALSE)</f>
        <v>#N/A</v>
      </c>
      <c r="U10" s="92" t="e">
        <f>VLOOKUP($O10,'CO2'!$A$2:$J$1909,U$2,FALSE)</f>
        <v>#N/A</v>
      </c>
      <c r="V10" s="92" t="e">
        <f>VLOOKUP($O10,'CO2'!$A$2:$J$1909,V$2,FALSE)</f>
        <v>#N/A</v>
      </c>
      <c r="W10" s="92" t="e">
        <f>VLOOKUP($O10,'CO2'!$A$2:$J$1909,W$2,FALSE)</f>
        <v>#N/A</v>
      </c>
      <c r="X10" s="92" t="e">
        <f>VLOOKUP($O10,'CO2'!$A$2:$J$1909,X$2,FALSE)</f>
        <v>#N/A</v>
      </c>
      <c r="Z10" s="190" t="s">
        <v>1771</v>
      </c>
      <c r="AA10" s="40" t="s">
        <v>1771</v>
      </c>
      <c r="AB10" s="164" t="e">
        <f t="shared" ref="AB10:AH10" si="7">R26+R28</f>
        <v>#N/A</v>
      </c>
      <c r="AC10" s="164" t="e">
        <f t="shared" si="7"/>
        <v>#N/A</v>
      </c>
      <c r="AD10" s="164" t="e">
        <f t="shared" si="7"/>
        <v>#N/A</v>
      </c>
      <c r="AE10" s="164" t="e">
        <f t="shared" si="7"/>
        <v>#N/A</v>
      </c>
      <c r="AF10" s="164" t="e">
        <f t="shared" si="7"/>
        <v>#N/A</v>
      </c>
      <c r="AG10" s="164" t="e">
        <f t="shared" si="7"/>
        <v>#N/A</v>
      </c>
      <c r="AH10" s="164" t="e">
        <f t="shared" si="7"/>
        <v>#N/A</v>
      </c>
    </row>
    <row r="11" spans="1:34" x14ac:dyDescent="0.35">
      <c r="A11" s="840" t="s">
        <v>196</v>
      </c>
      <c r="B11" s="846" t="str">
        <f t="shared" si="0"/>
        <v>CCPP</v>
      </c>
      <c r="O11" s="40" t="s">
        <v>289</v>
      </c>
      <c r="P11" s="92"/>
      <c r="Q11" s="92" t="e">
        <f>VLOOKUP($O11,'CO2'!$A$2:$J$1909,Q$2,FALSE)</f>
        <v>#N/A</v>
      </c>
      <c r="R11" s="92" t="e">
        <f>VLOOKUP($O11,'CO2'!$A$2:$J$1909,R$2,FALSE)</f>
        <v>#N/A</v>
      </c>
      <c r="S11" s="92" t="e">
        <f>VLOOKUP($O11,'CO2'!$A$2:$J$1909,S$2,FALSE)</f>
        <v>#N/A</v>
      </c>
      <c r="T11" s="92" t="e">
        <f>VLOOKUP($O11,'CO2'!$A$2:$J$1909,T$2,FALSE)</f>
        <v>#N/A</v>
      </c>
      <c r="U11" s="92" t="e">
        <f>VLOOKUP($O11,'CO2'!$A$2:$J$1909,U$2,FALSE)</f>
        <v>#N/A</v>
      </c>
      <c r="V11" s="92" t="e">
        <f>VLOOKUP($O11,'CO2'!$A$2:$J$1909,V$2,FALSE)</f>
        <v>#N/A</v>
      </c>
      <c r="W11" s="92" t="e">
        <f>VLOOKUP($O11,'CO2'!$A$2:$J$1909,W$2,FALSE)</f>
        <v>#N/A</v>
      </c>
      <c r="X11" s="92" t="e">
        <f>VLOOKUP($O11,'CO2'!$A$2:$J$1909,X$2,FALSE)</f>
        <v>#N/A</v>
      </c>
      <c r="Z11" s="190" t="s">
        <v>1946</v>
      </c>
      <c r="AA11" s="40" t="s">
        <v>1772</v>
      </c>
      <c r="AB11" s="164" t="e">
        <f>SUM(R23:R25)</f>
        <v>#N/A</v>
      </c>
      <c r="AC11" s="164" t="e">
        <f t="shared" ref="AC11:AH11" si="8">SUM(S23:S25)</f>
        <v>#N/A</v>
      </c>
      <c r="AD11" s="164" t="e">
        <f t="shared" si="8"/>
        <v>#N/A</v>
      </c>
      <c r="AE11" s="164" t="e">
        <f t="shared" si="8"/>
        <v>#N/A</v>
      </c>
      <c r="AF11" s="164" t="e">
        <f t="shared" si="8"/>
        <v>#N/A</v>
      </c>
      <c r="AG11" s="164" t="e">
        <f t="shared" si="8"/>
        <v>#N/A</v>
      </c>
      <c r="AH11" s="164" t="e">
        <f t="shared" si="8"/>
        <v>#N/A</v>
      </c>
    </row>
    <row r="12" spans="1:34" x14ac:dyDescent="0.35">
      <c r="A12" s="840" t="s">
        <v>2450</v>
      </c>
      <c r="B12" s="846" t="str">
        <f t="shared" si="0"/>
        <v>CO2-Sink</v>
      </c>
      <c r="O12" s="40" t="s">
        <v>361</v>
      </c>
      <c r="P12" s="92"/>
      <c r="Q12" s="92" t="e">
        <f>VLOOKUP($O12,'CO2'!$A$2:$J$1909,Q$2,FALSE)</f>
        <v>#N/A</v>
      </c>
      <c r="R12" s="92" t="e">
        <f>VLOOKUP($O12,'CO2'!$A$2:$J$1909,R$2,FALSE)</f>
        <v>#N/A</v>
      </c>
      <c r="S12" s="92" t="e">
        <f>VLOOKUP($O12,'CO2'!$A$2:$J$1909,S$2,FALSE)</f>
        <v>#N/A</v>
      </c>
      <c r="T12" s="92" t="e">
        <f>VLOOKUP($O12,'CO2'!$A$2:$J$1909,T$2,FALSE)</f>
        <v>#N/A</v>
      </c>
      <c r="U12" s="92" t="e">
        <f>VLOOKUP($O12,'CO2'!$A$2:$J$1909,U$2,FALSE)</f>
        <v>#N/A</v>
      </c>
      <c r="V12" s="92" t="e">
        <f>VLOOKUP($O12,'CO2'!$A$2:$J$1909,V$2,FALSE)</f>
        <v>#N/A</v>
      </c>
      <c r="W12" s="92" t="e">
        <f>VLOOKUP($O12,'CO2'!$A$2:$J$1909,W$2,FALSE)</f>
        <v>#N/A</v>
      </c>
      <c r="X12" s="92" t="e">
        <f>VLOOKUP($O12,'CO2'!$A$2:$J$1909,X$2,FALSE)</f>
        <v>#N/A</v>
      </c>
      <c r="Z12" s="190" t="s">
        <v>4284</v>
      </c>
      <c r="AA12" s="40" t="s">
        <v>4285</v>
      </c>
      <c r="AB12" s="164" t="e">
        <f t="shared" ref="AB12:AH12" si="9">R212</f>
        <v>#N/A</v>
      </c>
      <c r="AC12" s="164" t="e">
        <f t="shared" si="9"/>
        <v>#N/A</v>
      </c>
      <c r="AD12" s="164" t="e">
        <f t="shared" si="9"/>
        <v>#N/A</v>
      </c>
      <c r="AE12" s="164" t="e">
        <f t="shared" si="9"/>
        <v>#N/A</v>
      </c>
      <c r="AF12" s="164" t="e">
        <f t="shared" si="9"/>
        <v>#N/A</v>
      </c>
      <c r="AG12" s="164" t="e">
        <f t="shared" si="9"/>
        <v>#N/A</v>
      </c>
      <c r="AH12" s="164" t="e">
        <f t="shared" si="9"/>
        <v>#N/A</v>
      </c>
    </row>
    <row r="13" spans="1:34" x14ac:dyDescent="0.35">
      <c r="A13" s="840" t="s">
        <v>203</v>
      </c>
      <c r="B13" s="846" t="str">
        <f t="shared" si="0"/>
        <v>CO2Emissions</v>
      </c>
      <c r="O13" s="40" t="s">
        <v>57</v>
      </c>
      <c r="P13" s="92"/>
      <c r="Q13" s="92" t="e">
        <f>VLOOKUP($O13,'CO2'!$A$2:$J$1909,Q$2,FALSE)</f>
        <v>#N/A</v>
      </c>
      <c r="R13" s="92" t="e">
        <f>VLOOKUP($O13,'CO2'!$A$2:$J$1909,R$2,FALSE)</f>
        <v>#N/A</v>
      </c>
      <c r="S13" s="92" t="e">
        <f>VLOOKUP($O13,'CO2'!$A$2:$J$1909,S$2,FALSE)</f>
        <v>#N/A</v>
      </c>
      <c r="T13" s="92" t="e">
        <f>VLOOKUP($O13,'CO2'!$A$2:$J$1909,T$2,FALSE)</f>
        <v>#N/A</v>
      </c>
      <c r="U13" s="92" t="e">
        <f>VLOOKUP($O13,'CO2'!$A$2:$J$1909,U$2,FALSE)</f>
        <v>#N/A</v>
      </c>
      <c r="V13" s="92" t="e">
        <f>VLOOKUP($O13,'CO2'!$A$2:$J$1909,V$2,FALSE)</f>
        <v>#N/A</v>
      </c>
      <c r="W13" s="92" t="e">
        <f>VLOOKUP($O13,'CO2'!$A$2:$J$1909,W$2,FALSE)</f>
        <v>#N/A</v>
      </c>
      <c r="X13" s="92" t="e">
        <f>VLOOKUP($O13,'CO2'!$A$2:$J$1909,X$2,FALSE)</f>
        <v>#N/A</v>
      </c>
      <c r="AA13" s="40"/>
      <c r="AB13" s="164"/>
      <c r="AC13" s="164"/>
      <c r="AD13" s="164"/>
      <c r="AE13" s="164"/>
      <c r="AF13" s="164"/>
      <c r="AG13" s="164"/>
      <c r="AH13" s="164"/>
    </row>
    <row r="14" spans="1:34" x14ac:dyDescent="0.35">
      <c r="A14" s="840" t="s">
        <v>1146</v>
      </c>
      <c r="B14" s="846" t="str">
        <f t="shared" si="0"/>
        <v>CO2Separator</v>
      </c>
      <c r="O14" s="40" t="s">
        <v>362</v>
      </c>
      <c r="P14" s="92"/>
      <c r="Q14" s="92" t="e">
        <f>VLOOKUP($O14,'CO2'!$A$2:$J$1909,Q$2,FALSE)</f>
        <v>#N/A</v>
      </c>
      <c r="R14" s="92" t="e">
        <f>VLOOKUP($O14,'CO2'!$A$2:$J$1909,R$2,FALSE)</f>
        <v>#N/A</v>
      </c>
      <c r="S14" s="92" t="e">
        <f>VLOOKUP($O14,'CO2'!$A$2:$J$1909,S$2,FALSE)</f>
        <v>#N/A</v>
      </c>
      <c r="T14" s="92" t="e">
        <f>VLOOKUP($O14,'CO2'!$A$2:$J$1909,T$2,FALSE)</f>
        <v>#N/A</v>
      </c>
      <c r="U14" s="92" t="e">
        <f>VLOOKUP($O14,'CO2'!$A$2:$J$1909,U$2,FALSE)</f>
        <v>#N/A</v>
      </c>
      <c r="V14" s="92" t="e">
        <f>VLOOKUP($O14,'CO2'!$A$2:$J$1909,V$2,FALSE)</f>
        <v>#N/A</v>
      </c>
      <c r="W14" s="92" t="e">
        <f>VLOOKUP($O14,'CO2'!$A$2:$J$1909,W$2,FALSE)</f>
        <v>#N/A</v>
      </c>
      <c r="X14" s="92" t="e">
        <f>VLOOKUP($O14,'CO2'!$A$2:$J$1909,X$2,FALSE)</f>
        <v>#N/A</v>
      </c>
      <c r="AA14" s="40"/>
      <c r="AB14" s="164"/>
      <c r="AC14" s="164"/>
      <c r="AD14" s="164"/>
      <c r="AE14" s="164"/>
      <c r="AF14" s="164"/>
      <c r="AG14" s="164"/>
      <c r="AH14" s="164"/>
    </row>
    <row r="15" spans="1:34" ht="14.5" customHeight="1" x14ac:dyDescent="0.35">
      <c r="A15" s="840" t="s">
        <v>204</v>
      </c>
      <c r="B15" s="846" t="e">
        <f t="shared" si="0"/>
        <v>#N/A</v>
      </c>
      <c r="O15" s="40" t="s">
        <v>387</v>
      </c>
      <c r="P15" s="92"/>
      <c r="Q15" s="92" t="e">
        <f>VLOOKUP($O15,'CO2'!$A$2:$J$1909,Q$2,FALSE)</f>
        <v>#N/A</v>
      </c>
      <c r="R15" s="92" t="e">
        <f>VLOOKUP($O15,'CO2'!$A$2:$J$1909,R$2,FALSE)</f>
        <v>#N/A</v>
      </c>
      <c r="S15" s="92" t="e">
        <f>VLOOKUP($O15,'CO2'!$A$2:$J$1909,S$2,FALSE)</f>
        <v>#N/A</v>
      </c>
      <c r="T15" s="92" t="e">
        <f>VLOOKUP($O15,'CO2'!$A$2:$J$1909,T$2,FALSE)</f>
        <v>#N/A</v>
      </c>
      <c r="U15" s="92" t="e">
        <f>VLOOKUP($O15,'CO2'!$A$2:$J$1909,U$2,FALSE)</f>
        <v>#N/A</v>
      </c>
      <c r="V15" s="92" t="e">
        <f>VLOOKUP($O15,'CO2'!$A$2:$J$1909,V$2,FALSE)</f>
        <v>#N/A</v>
      </c>
      <c r="W15" s="92" t="e">
        <f>VLOOKUP($O15,'CO2'!$A$2:$J$1909,W$2,FALSE)</f>
        <v>#N/A</v>
      </c>
      <c r="X15" s="92" t="e">
        <f>VLOOKUP($O15,'CO2'!$A$2:$J$1909,X$2,FALSE)</f>
        <v>#N/A</v>
      </c>
      <c r="AA15" s="40"/>
      <c r="AB15" s="92"/>
      <c r="AC15" s="92"/>
      <c r="AD15" s="92"/>
      <c r="AE15" s="92"/>
      <c r="AF15" s="92"/>
      <c r="AG15" s="92"/>
      <c r="AH15" s="92"/>
    </row>
    <row r="16" spans="1:34" ht="14.5" customHeight="1" thickBot="1" x14ac:dyDescent="0.4">
      <c r="A16" s="840" t="s">
        <v>205</v>
      </c>
      <c r="B16" s="846" t="str">
        <f t="shared" si="0"/>
        <v>CementProduction</v>
      </c>
      <c r="O16" s="40" t="s">
        <v>59</v>
      </c>
      <c r="P16" s="92"/>
      <c r="Q16" s="92" t="e">
        <f>VLOOKUP($O16,'CO2'!$A$2:$J$1909,Q$2,FALSE)</f>
        <v>#N/A</v>
      </c>
      <c r="R16" s="92" t="e">
        <f>VLOOKUP($O16,'CO2'!$A$2:$J$1909,R$2,FALSE)</f>
        <v>#N/A</v>
      </c>
      <c r="S16" s="92" t="e">
        <f>VLOOKUP($O16,'CO2'!$A$2:$J$1909,S$2,FALSE)</f>
        <v>#N/A</v>
      </c>
      <c r="T16" s="92" t="e">
        <f>VLOOKUP($O16,'CO2'!$A$2:$J$1909,T$2,FALSE)</f>
        <v>#N/A</v>
      </c>
      <c r="U16" s="92" t="e">
        <f>VLOOKUP($O16,'CO2'!$A$2:$J$1909,U$2,FALSE)</f>
        <v>#N/A</v>
      </c>
      <c r="V16" s="92" t="e">
        <f>VLOOKUP($O16,'CO2'!$A$2:$J$1909,V$2,FALSE)</f>
        <v>#N/A</v>
      </c>
      <c r="W16" s="92" t="e">
        <f>VLOOKUP($O16,'CO2'!$A$2:$J$1909,W$2,FALSE)</f>
        <v>#N/A</v>
      </c>
      <c r="X16" s="92" t="e">
        <f>VLOOKUP($O16,'CO2'!$A$2:$J$1909,X$2,FALSE)</f>
        <v>#N/A</v>
      </c>
      <c r="AA16" s="41" t="s">
        <v>1229</v>
      </c>
      <c r="AB16" s="77" t="e">
        <f>SUM(AB4:AB12)</f>
        <v>#N/A</v>
      </c>
      <c r="AC16" s="77" t="e">
        <f>SUM(AC4:AC12)</f>
        <v>#N/A</v>
      </c>
      <c r="AD16" s="77" t="e">
        <f t="shared" ref="AD16:AH16" si="10">SUM(AD4:AD12)</f>
        <v>#N/A</v>
      </c>
      <c r="AE16" s="77" t="e">
        <f t="shared" si="10"/>
        <v>#N/A</v>
      </c>
      <c r="AF16" s="77" t="e">
        <f t="shared" si="10"/>
        <v>#N/A</v>
      </c>
      <c r="AG16" s="77" t="e">
        <f t="shared" si="10"/>
        <v>#N/A</v>
      </c>
      <c r="AH16" s="77" t="e">
        <f t="shared" si="10"/>
        <v>#N/A</v>
      </c>
    </row>
    <row r="17" spans="1:34" x14ac:dyDescent="0.35">
      <c r="A17" s="840" t="s">
        <v>2875</v>
      </c>
      <c r="B17" s="846" t="str">
        <f t="shared" si="0"/>
        <v>ChemRecWasteHeating</v>
      </c>
      <c r="O17" s="40" t="s">
        <v>507</v>
      </c>
      <c r="P17" s="92"/>
      <c r="Q17" s="92" t="e">
        <f>VLOOKUP($O17,'CO2'!$A$2:$J$1909,Q$2,FALSE)</f>
        <v>#N/A</v>
      </c>
      <c r="R17" s="92" t="e">
        <f>VLOOKUP($O17,'CO2'!$A$2:$J$1909,R$2,FALSE)</f>
        <v>#N/A</v>
      </c>
      <c r="S17" s="92" t="e">
        <f>VLOOKUP($O17,'CO2'!$A$2:$J$1909,S$2,FALSE)</f>
        <v>#N/A</v>
      </c>
      <c r="T17" s="92" t="e">
        <f>VLOOKUP($O17,'CO2'!$A$2:$J$1909,T$2,FALSE)</f>
        <v>#N/A</v>
      </c>
      <c r="U17" s="92" t="e">
        <f>VLOOKUP($O17,'CO2'!$A$2:$J$1909,U$2,FALSE)</f>
        <v>#N/A</v>
      </c>
      <c r="V17" s="92" t="e">
        <f>VLOOKUP($O17,'CO2'!$A$2:$J$1909,V$2,FALSE)</f>
        <v>#N/A</v>
      </c>
      <c r="W17" s="92" t="e">
        <f>VLOOKUP($O17,'CO2'!$A$2:$J$1909,W$2,FALSE)</f>
        <v>#N/A</v>
      </c>
      <c r="X17" s="92" t="e">
        <f>VLOOKUP($O17,'CO2'!$A$2:$J$1909,X$2,FALSE)</f>
        <v>#N/A</v>
      </c>
    </row>
    <row r="18" spans="1:34" x14ac:dyDescent="0.35">
      <c r="A18" s="840" t="s">
        <v>208</v>
      </c>
      <c r="B18" s="846" t="str">
        <f t="shared" si="0"/>
        <v>CoalHP</v>
      </c>
      <c r="O18" s="40" t="s">
        <v>510</v>
      </c>
      <c r="P18" s="92"/>
      <c r="Q18" s="92" t="e">
        <f>VLOOKUP($O18,'CO2'!$A$2:$J$1909,Q$2,FALSE)</f>
        <v>#N/A</v>
      </c>
      <c r="R18" s="92" t="e">
        <f>VLOOKUP($O18,'CO2'!$A$2:$J$1909,R$2,FALSE)</f>
        <v>#N/A</v>
      </c>
      <c r="S18" s="92" t="e">
        <f>VLOOKUP($O18,'CO2'!$A$2:$J$1909,S$2,FALSE)</f>
        <v>#N/A</v>
      </c>
      <c r="T18" s="92" t="e">
        <f>VLOOKUP($O18,'CO2'!$A$2:$J$1909,T$2,FALSE)</f>
        <v>#N/A</v>
      </c>
      <c r="U18" s="92" t="e">
        <f>VLOOKUP($O18,'CO2'!$A$2:$J$1909,U$2,FALSE)</f>
        <v>#N/A</v>
      </c>
      <c r="V18" s="92" t="e">
        <f>VLOOKUP($O18,'CO2'!$A$2:$J$1909,V$2,FALSE)</f>
        <v>#N/A</v>
      </c>
      <c r="W18" s="92" t="e">
        <f>VLOOKUP($O18,'CO2'!$A$2:$J$1909,W$2,FALSE)</f>
        <v>#N/A</v>
      </c>
      <c r="X18" s="92" t="e">
        <f>VLOOKUP($O18,'CO2'!$A$2:$J$1909,X$2,FALSE)</f>
        <v>#N/A</v>
      </c>
    </row>
    <row r="19" spans="1:34" ht="15" thickBot="1" x14ac:dyDescent="0.4">
      <c r="A19" s="840" t="s">
        <v>3326</v>
      </c>
      <c r="B19" s="846" t="str">
        <f t="shared" si="0"/>
        <v>CopperPPP</v>
      </c>
      <c r="O19" s="40" t="s">
        <v>208</v>
      </c>
      <c r="P19" s="92"/>
      <c r="Q19" s="92" t="e">
        <f>VLOOKUP($O19,'CO2'!$A$2:$J$1909,Q$2,FALSE)</f>
        <v>#N/A</v>
      </c>
      <c r="R19" s="92" t="e">
        <f>VLOOKUP($O19,'CO2'!$A$2:$J$1909,R$2,FALSE)</f>
        <v>#N/A</v>
      </c>
      <c r="S19" s="92" t="e">
        <f>VLOOKUP($O19,'CO2'!$A$2:$J$1909,S$2,FALSE)</f>
        <v>#N/A</v>
      </c>
      <c r="T19" s="92" t="e">
        <f>VLOOKUP($O19,'CO2'!$A$2:$J$1909,T$2,FALSE)</f>
        <v>#N/A</v>
      </c>
      <c r="U19" s="92" t="e">
        <f>VLOOKUP($O19,'CO2'!$A$2:$J$1909,U$2,FALSE)</f>
        <v>#N/A</v>
      </c>
      <c r="V19" s="92" t="e">
        <f>VLOOKUP($O19,'CO2'!$A$2:$J$1909,V$2,FALSE)</f>
        <v>#N/A</v>
      </c>
      <c r="W19" s="92" t="e">
        <f>VLOOKUP($O19,'CO2'!$A$2:$J$1909,W$2,FALSE)</f>
        <v>#N/A</v>
      </c>
      <c r="X19" s="92" t="e">
        <f>VLOOKUP($O19,'CO2'!$A$2:$J$1909,X$2,FALSE)</f>
        <v>#N/A</v>
      </c>
    </row>
    <row r="20" spans="1:34" x14ac:dyDescent="0.35">
      <c r="A20" s="840" t="s">
        <v>3329</v>
      </c>
      <c r="B20" s="846" t="str">
        <f t="shared" si="0"/>
        <v>CopperRecycling(KRS)</v>
      </c>
      <c r="O20" s="40" t="s">
        <v>287</v>
      </c>
      <c r="P20" s="92"/>
      <c r="Q20" s="92" t="e">
        <f>VLOOKUP($O20,'CO2'!$A$2:$J$1909,Q$2,FALSE)</f>
        <v>#N/A</v>
      </c>
      <c r="R20" s="92" t="e">
        <f>VLOOKUP($O20,'CO2'!$A$2:$J$1909,R$2,FALSE)</f>
        <v>#N/A</v>
      </c>
      <c r="S20" s="92" t="e">
        <f>VLOOKUP($O20,'CO2'!$A$2:$J$1909,S$2,FALSE)</f>
        <v>#N/A</v>
      </c>
      <c r="T20" s="92" t="e">
        <f>VLOOKUP($O20,'CO2'!$A$2:$J$1909,T$2,FALSE)</f>
        <v>#N/A</v>
      </c>
      <c r="U20" s="92" t="e">
        <f>VLOOKUP($O20,'CO2'!$A$2:$J$1909,U$2,FALSE)</f>
        <v>#N/A</v>
      </c>
      <c r="V20" s="92" t="e">
        <f>VLOOKUP($O20,'CO2'!$A$2:$J$1909,V$2,FALSE)</f>
        <v>#N/A</v>
      </c>
      <c r="W20" s="92" t="e">
        <f>VLOOKUP($O20,'CO2'!$A$2:$J$1909,W$2,FALSE)</f>
        <v>#N/A</v>
      </c>
      <c r="X20" s="92" t="e">
        <f>VLOOKUP($O20,'CO2'!$A$2:$J$1909,X$2,FALSE)</f>
        <v>#N/A</v>
      </c>
      <c r="AA20" s="987" t="s">
        <v>1744</v>
      </c>
      <c r="AB20" s="988"/>
      <c r="AC20" s="988"/>
      <c r="AD20" s="159">
        <v>1</v>
      </c>
    </row>
    <row r="21" spans="1:34" ht="15" thickBot="1" x14ac:dyDescent="0.4">
      <c r="A21" s="840" t="s">
        <v>225</v>
      </c>
      <c r="B21" s="846" t="str">
        <f t="shared" si="0"/>
        <v>Die-Sink</v>
      </c>
      <c r="O21" s="40" t="s">
        <v>385</v>
      </c>
      <c r="P21" s="92"/>
      <c r="Q21" s="92" t="e">
        <f>VLOOKUP($O21,'CO2'!$A$2:$J$1909,Q$2,FALSE)</f>
        <v>#N/A</v>
      </c>
      <c r="R21" s="92" t="e">
        <f>VLOOKUP($O21,'CO2'!$A$2:$J$1909,R$2,FALSE)</f>
        <v>#N/A</v>
      </c>
      <c r="S21" s="92" t="e">
        <f>VLOOKUP($O21,'CO2'!$A$2:$J$1909,S$2,FALSE)</f>
        <v>#N/A</v>
      </c>
      <c r="T21" s="92" t="e">
        <f>VLOOKUP($O21,'CO2'!$A$2:$J$1909,T$2,FALSE)</f>
        <v>#N/A</v>
      </c>
      <c r="U21" s="92" t="e">
        <f>VLOOKUP($O21,'CO2'!$A$2:$J$1909,U$2,FALSE)</f>
        <v>#N/A</v>
      </c>
      <c r="V21" s="92" t="e">
        <f>VLOOKUP($O21,'CO2'!$A$2:$J$1909,V$2,FALSE)</f>
        <v>#N/A</v>
      </c>
      <c r="W21" s="92" t="e">
        <f>VLOOKUP($O21,'CO2'!$A$2:$J$1909,W$2,FALSE)</f>
        <v>#N/A</v>
      </c>
      <c r="X21" s="92" t="e">
        <f>VLOOKUP($O21,'CO2'!$A$2:$J$1909,X$2,FALSE)</f>
        <v>#N/A</v>
      </c>
      <c r="AA21" s="989"/>
      <c r="AB21" s="990"/>
      <c r="AC21" s="990"/>
      <c r="AD21" s="94"/>
    </row>
    <row r="22" spans="1:34" x14ac:dyDescent="0.35">
      <c r="A22" s="840" t="s">
        <v>3095</v>
      </c>
      <c r="B22" s="846" t="str">
        <f t="shared" si="0"/>
        <v>DieRen-Sink</v>
      </c>
      <c r="O22" s="40" t="s">
        <v>53</v>
      </c>
      <c r="P22" s="92"/>
      <c r="Q22" s="92" t="e">
        <f>VLOOKUP($O22,'CO2'!$A$2:$J$1909,Q$2,FALSE)</f>
        <v>#N/A</v>
      </c>
      <c r="R22" s="92" t="e">
        <f>VLOOKUP($O22,'CO2'!$A$2:$J$1909,R$2,FALSE)</f>
        <v>#N/A</v>
      </c>
      <c r="S22" s="92" t="e">
        <f>VLOOKUP($O22,'CO2'!$A$2:$J$1909,S$2,FALSE)</f>
        <v>#N/A</v>
      </c>
      <c r="T22" s="92" t="e">
        <f>VLOOKUP($O22,'CO2'!$A$2:$J$1909,T$2,FALSE)</f>
        <v>#N/A</v>
      </c>
      <c r="U22" s="92" t="e">
        <f>VLOOKUP($O22,'CO2'!$A$2:$J$1909,U$2,FALSE)</f>
        <v>#N/A</v>
      </c>
      <c r="V22" s="92" t="e">
        <f>VLOOKUP($O22,'CO2'!$A$2:$J$1909,V$2,FALSE)</f>
        <v>#N/A</v>
      </c>
      <c r="W22" s="92" t="e">
        <f>VLOOKUP($O22,'CO2'!$A$2:$J$1909,W$2,FALSE)</f>
        <v>#N/A</v>
      </c>
      <c r="X22" s="92" t="e">
        <f>VLOOKUP($O22,'CO2'!$A$2:$J$1909,X$2,FALSE)</f>
        <v>#N/A</v>
      </c>
    </row>
    <row r="23" spans="1:34" x14ac:dyDescent="0.35">
      <c r="A23" s="840" t="s">
        <v>226</v>
      </c>
      <c r="B23" s="846" t="str">
        <f t="shared" si="0"/>
        <v>DieselBusPT</v>
      </c>
      <c r="O23" s="40" t="s">
        <v>435</v>
      </c>
      <c r="P23" s="92"/>
      <c r="Q23" s="92" t="e">
        <f>VLOOKUP($O23,'CO2'!$A$2:$J$1909,2,FALSE)/$AD$20</f>
        <v>#N/A</v>
      </c>
      <c r="R23" s="92" t="e">
        <f>VLOOKUP($O23,'CO2'!$A$2:$J$1909,3,FALSE)/$AD$20</f>
        <v>#N/A</v>
      </c>
      <c r="S23" s="92" t="e">
        <f>VLOOKUP($O23,'CO2'!$A$2:$J$1909,4,FALSE)/$AD$20</f>
        <v>#N/A</v>
      </c>
      <c r="T23" s="92" t="e">
        <f>VLOOKUP($O23,'CO2'!$A$2:$J$1909,5,FALSE)/$AD$20</f>
        <v>#N/A</v>
      </c>
      <c r="U23" s="92" t="e">
        <f>VLOOKUP($O23,'CO2'!$A$2:$J$1909,6,FALSE)/$AD$20</f>
        <v>#N/A</v>
      </c>
      <c r="V23" s="92" t="e">
        <f>VLOOKUP($O23,'CO2'!$A$2:$J$1909,7,FALSE)/$AD$20</f>
        <v>#N/A</v>
      </c>
      <c r="W23" s="92" t="e">
        <f>VLOOKUP($O23,'CO2'!$A$2:$J$1909,8,FALSE)/$AD$20</f>
        <v>#N/A</v>
      </c>
      <c r="X23" s="92" t="e">
        <f>VLOOKUP($O23,'CO2'!$A$2:$J$1909,9,FALSE)/$AD$20</f>
        <v>#N/A</v>
      </c>
    </row>
    <row r="24" spans="1:34" x14ac:dyDescent="0.35">
      <c r="A24" s="840" t="s">
        <v>227</v>
      </c>
      <c r="B24" s="846" t="str">
        <f t="shared" si="0"/>
        <v>DieselPCar</v>
      </c>
      <c r="O24" s="40" t="s">
        <v>434</v>
      </c>
      <c r="P24" s="92"/>
      <c r="Q24" s="92" t="e">
        <f>VLOOKUP($O24,'CO2'!$A$2:$J$1909,2,FALSE)/$AD$20</f>
        <v>#N/A</v>
      </c>
      <c r="R24" s="92" t="e">
        <f>VLOOKUP($O24,'CO2'!$A$2:$J$1909,3,FALSE)/$AD$20</f>
        <v>#N/A</v>
      </c>
      <c r="S24" s="92" t="e">
        <f>VLOOKUP($O24,'CO2'!$A$2:$J$1909,4,FALSE)/$AD$20</f>
        <v>#N/A</v>
      </c>
      <c r="T24" s="92" t="e">
        <f>VLOOKUP($O24,'CO2'!$A$2:$J$1909,5,FALSE)/$AD$20</f>
        <v>#N/A</v>
      </c>
      <c r="U24" s="92" t="e">
        <f>VLOOKUP($O24,'CO2'!$A$2:$J$1909,6,FALSE)/$AD$20</f>
        <v>#N/A</v>
      </c>
      <c r="V24" s="92" t="e">
        <f>VLOOKUP($O24,'CO2'!$A$2:$J$1909,7,FALSE)/$AD$20</f>
        <v>#N/A</v>
      </c>
      <c r="W24" s="92" t="e">
        <f>VLOOKUP($O24,'CO2'!$A$2:$J$1909,8,FALSE)/$AD$20</f>
        <v>#N/A</v>
      </c>
      <c r="X24" s="92" t="e">
        <f>VLOOKUP($O24,'CO2'!$A$2:$J$1909,9,FALSE)/$AD$20</f>
        <v>#N/A</v>
      </c>
    </row>
    <row r="25" spans="1:34" x14ac:dyDescent="0.35">
      <c r="A25" s="840" t="s">
        <v>228</v>
      </c>
      <c r="B25" s="846" t="str">
        <f t="shared" si="0"/>
        <v>DieselSource</v>
      </c>
      <c r="O25" s="40" t="s">
        <v>436</v>
      </c>
      <c r="P25" s="92"/>
      <c r="Q25" s="92" t="e">
        <f>VLOOKUP($O25,'CO2'!$A$2:$J$1909,2,FALSE)/$AD$20</f>
        <v>#N/A</v>
      </c>
      <c r="R25" s="92" t="e">
        <f>VLOOKUP($O25,'CO2'!$A$2:$J$1909,3,FALSE)/$AD$20</f>
        <v>#N/A</v>
      </c>
      <c r="S25" s="92" t="e">
        <f>VLOOKUP($O25,'CO2'!$A$2:$J$1909,4,FALSE)/$AD$20</f>
        <v>#N/A</v>
      </c>
      <c r="T25" s="92" t="e">
        <f>VLOOKUP($O25,'CO2'!$A$2:$J$1909,5,FALSE)/$AD$20</f>
        <v>#N/A</v>
      </c>
      <c r="U25" s="92" t="e">
        <f>VLOOKUP($O25,'CO2'!$A$2:$J$1909,6,FALSE)/$AD$20</f>
        <v>#N/A</v>
      </c>
      <c r="V25" s="92" t="e">
        <f>VLOOKUP($O25,'CO2'!$A$2:$J$1909,7,FALSE)/$AD$20</f>
        <v>#N/A</v>
      </c>
      <c r="W25" s="92" t="e">
        <f>VLOOKUP($O25,'CO2'!$A$2:$J$1909,8,FALSE)/$AD$20</f>
        <v>#N/A</v>
      </c>
      <c r="X25" s="92" t="e">
        <f>VLOOKUP($O25,'CO2'!$A$2:$J$1909,9,FALSE)/$AD$20</f>
        <v>#N/A</v>
      </c>
    </row>
    <row r="26" spans="1:34" x14ac:dyDescent="0.35">
      <c r="A26" s="840" t="s">
        <v>229</v>
      </c>
      <c r="B26" s="846" t="str">
        <f t="shared" si="0"/>
        <v>DieselTrainFT</v>
      </c>
      <c r="O26" s="40" t="s">
        <v>13</v>
      </c>
      <c r="P26" s="92"/>
      <c r="Q26" s="92" t="e">
        <f>VLOOKUP($O26,'CO2'!$A$2:$J$1909,2,FALSE)/$AD$20</f>
        <v>#N/A</v>
      </c>
      <c r="R26" s="92" t="e">
        <f>VLOOKUP($O26,'CO2'!$A$2:$J$1909,3,FALSE)/$AD$20</f>
        <v>#N/A</v>
      </c>
      <c r="S26" s="92" t="e">
        <f>VLOOKUP($O26,'CO2'!$A$2:$J$1909,4,FALSE)/$AD$20</f>
        <v>#N/A</v>
      </c>
      <c r="T26" s="92" t="e">
        <f>VLOOKUP($O26,'CO2'!$A$2:$J$1909,5,FALSE)/$AD$20</f>
        <v>#N/A</v>
      </c>
      <c r="U26" s="92" t="e">
        <f>VLOOKUP($O26,'CO2'!$A$2:$J$1909,6,FALSE)/$AD$20</f>
        <v>#N/A</v>
      </c>
      <c r="V26" s="92" t="e">
        <f>VLOOKUP($O26,'CO2'!$A$2:$J$1909,7,FALSE)/$AD$20</f>
        <v>#N/A</v>
      </c>
      <c r="W26" s="92" t="e">
        <f>VLOOKUP($O26,'CO2'!$A$2:$J$1909,8,FALSE)/$AD$20</f>
        <v>#N/A</v>
      </c>
      <c r="X26" s="92" t="e">
        <f>VLOOKUP($O26,'CO2'!$A$2:$J$1909,9,FALSE)/$AD$20</f>
        <v>#N/A</v>
      </c>
    </row>
    <row r="27" spans="1:34" x14ac:dyDescent="0.35">
      <c r="A27" s="840" t="s">
        <v>230</v>
      </c>
      <c r="B27" s="846" t="str">
        <f t="shared" si="0"/>
        <v>DieselTrainPT</v>
      </c>
      <c r="O27" s="40" t="s">
        <v>4244</v>
      </c>
      <c r="P27" s="92"/>
      <c r="Q27" s="92" t="e">
        <f>VLOOKUP($O27,'CO2'!$A$2:$J$1909,2,FALSE)/$AD$20</f>
        <v>#N/A</v>
      </c>
      <c r="R27" s="92" t="e">
        <f>VLOOKUP($O27,'CO2'!$A$2:$J$1909,3,FALSE)/$AD$20</f>
        <v>#N/A</v>
      </c>
      <c r="S27" s="92" t="e">
        <f>VLOOKUP($O27,'CO2'!$A$2:$J$1909,4,FALSE)/$AD$20</f>
        <v>#N/A</v>
      </c>
      <c r="T27" s="92" t="e">
        <f>VLOOKUP($O27,'CO2'!$A$2:$J$1909,5,FALSE)/$AD$20</f>
        <v>#N/A</v>
      </c>
      <c r="U27" s="92" t="e">
        <f>VLOOKUP($O27,'CO2'!$A$2:$J$1909,6,FALSE)/$AD$20</f>
        <v>#N/A</v>
      </c>
      <c r="V27" s="92" t="e">
        <f>VLOOKUP($O27,'CO2'!$A$2:$J$1909,7,FALSE)/$AD$20</f>
        <v>#N/A</v>
      </c>
      <c r="W27" s="92" t="e">
        <f>VLOOKUP($O27,'CO2'!$A$2:$J$1909,8,FALSE)/$AD$20</f>
        <v>#N/A</v>
      </c>
      <c r="X27" s="92" t="e">
        <f>VLOOKUP($O27,'CO2'!$A$2:$J$1909,9,FALSE)/$AD$20</f>
        <v>#N/A</v>
      </c>
      <c r="AA27" s="132"/>
      <c r="AB27" s="132"/>
      <c r="AC27" s="132"/>
      <c r="AD27" s="132"/>
      <c r="AE27" s="132"/>
      <c r="AF27" s="132"/>
      <c r="AG27" s="132"/>
      <c r="AH27" s="132"/>
    </row>
    <row r="28" spans="1:34" x14ac:dyDescent="0.35">
      <c r="A28" s="840" t="s">
        <v>231</v>
      </c>
      <c r="B28" s="846" t="str">
        <f t="shared" si="0"/>
        <v>DieselTruckFT</v>
      </c>
      <c r="O28" s="40" t="s">
        <v>14</v>
      </c>
      <c r="P28" s="92"/>
      <c r="Q28" s="92" t="e">
        <f>VLOOKUP($O28,'CO2'!$A$2:$J$1909,2,FALSE)/$AD$20</f>
        <v>#N/A</v>
      </c>
      <c r="R28" s="92" t="e">
        <f>VLOOKUP($O28,'CO2'!$A$2:$J$1909,3,FALSE)/$AD$20</f>
        <v>#N/A</v>
      </c>
      <c r="S28" s="92" t="e">
        <f>VLOOKUP($O28,'CO2'!$A$2:$J$1909,4,FALSE)/$AD$20</f>
        <v>#N/A</v>
      </c>
      <c r="T28" s="92" t="e">
        <f>VLOOKUP($O28,'CO2'!$A$2:$J$1909,5,FALSE)/$AD$20</f>
        <v>#N/A</v>
      </c>
      <c r="U28" s="92" t="e">
        <f>VLOOKUP($O28,'CO2'!$A$2:$J$1909,6,FALSE)/$AD$20</f>
        <v>#N/A</v>
      </c>
      <c r="V28" s="92" t="e">
        <f>VLOOKUP($O28,'CO2'!$A$2:$J$1909,7,FALSE)/$AD$20</f>
        <v>#N/A</v>
      </c>
      <c r="W28" s="92" t="e">
        <f>VLOOKUP($O28,'CO2'!$A$2:$J$1909,8,FALSE)/$AD$20</f>
        <v>#N/A</v>
      </c>
      <c r="X28" s="92" t="e">
        <f>VLOOKUP($O28,'CO2'!$A$2:$J$1909,9,FALSE)/$AD$20</f>
        <v>#N/A</v>
      </c>
    </row>
    <row r="29" spans="1:34" x14ac:dyDescent="0.35">
      <c r="A29" s="840" t="s">
        <v>232</v>
      </c>
      <c r="B29" s="846" t="str">
        <f t="shared" si="0"/>
        <v>DieselTruckSFT</v>
      </c>
      <c r="O29" s="155" t="s">
        <v>4289</v>
      </c>
      <c r="P29" s="158"/>
      <c r="Q29" s="158" t="e">
        <f>VLOOKUP($O29,'CO2'!$A$2:$J$1909,Q$2,FALSE)</f>
        <v>#N/A</v>
      </c>
      <c r="R29" s="158" t="e">
        <f>VLOOKUP($O29,'CO2'!$A$2:$J$1909,R$2,FALSE)</f>
        <v>#N/A</v>
      </c>
      <c r="S29" s="158" t="e">
        <f>VLOOKUP($O29,'CO2'!$A$2:$J$1909,S$2,FALSE)</f>
        <v>#N/A</v>
      </c>
      <c r="T29" s="158" t="e">
        <f>VLOOKUP($O29,'CO2'!$A$2:$J$1909,T$2,FALSE)</f>
        <v>#N/A</v>
      </c>
      <c r="U29" s="158" t="e">
        <f>VLOOKUP($O29,'CO2'!$A$2:$J$1909,U$2,FALSE)</f>
        <v>#N/A</v>
      </c>
      <c r="V29" s="158" t="e">
        <f>VLOOKUP($O29,'CO2'!$A$2:$J$1909,V$2,FALSE)</f>
        <v>#N/A</v>
      </c>
      <c r="W29" s="158" t="e">
        <f>VLOOKUP($O29,'CO2'!$A$2:$J$1909,W$2,FALSE)</f>
        <v>#N/A</v>
      </c>
      <c r="X29" s="158" t="e">
        <f>VLOOKUP($O29,'CO2'!$A$2:$J$1909,X$2,FALSE)</f>
        <v>#N/A</v>
      </c>
    </row>
    <row r="30" spans="1:34" x14ac:dyDescent="0.35">
      <c r="A30" s="840" t="s">
        <v>265</v>
      </c>
      <c r="B30" s="846" t="str">
        <f t="shared" si="0"/>
        <v>ElectricArcFurnace</v>
      </c>
      <c r="O30" s="155" t="s">
        <v>4381</v>
      </c>
      <c r="P30" s="158"/>
      <c r="Q30" s="158" t="e">
        <f>VLOOKUP($O30,'CO2'!$A$2:$J$1909,Q$2,FALSE)</f>
        <v>#N/A</v>
      </c>
      <c r="R30" s="158" t="e">
        <f>VLOOKUP($O30,'CO2'!$A$2:$J$1909,R$2,FALSE)</f>
        <v>#N/A</v>
      </c>
      <c r="S30" s="158" t="e">
        <f>VLOOKUP($O30,'CO2'!$A$2:$J$1909,S$2,FALSE)</f>
        <v>#N/A</v>
      </c>
      <c r="T30" s="158" t="e">
        <f>VLOOKUP($O30,'CO2'!$A$2:$J$1909,T$2,FALSE)</f>
        <v>#N/A</v>
      </c>
      <c r="U30" s="158" t="e">
        <f>VLOOKUP($O30,'CO2'!$A$2:$J$1909,U$2,FALSE)</f>
        <v>#N/A</v>
      </c>
      <c r="V30" s="158" t="e">
        <f>VLOOKUP($O30,'CO2'!$A$2:$J$1909,V$2,FALSE)</f>
        <v>#N/A</v>
      </c>
      <c r="W30" s="158" t="e">
        <f>VLOOKUP($O30,'CO2'!$A$2:$J$1909,W$2,FALSE)</f>
        <v>#N/A</v>
      </c>
      <c r="X30" s="158" t="e">
        <f>VLOOKUP($O30,'CO2'!$A$2:$J$1909,X$2,FALSE)</f>
        <v>#N/A</v>
      </c>
    </row>
    <row r="31" spans="1:34" ht="15" thickBot="1" x14ac:dyDescent="0.4">
      <c r="A31" s="840" t="s">
        <v>3699</v>
      </c>
      <c r="B31" s="846" t="e">
        <f t="shared" si="0"/>
        <v>#N/A</v>
      </c>
      <c r="O31" s="155" t="s">
        <v>1770</v>
      </c>
      <c r="P31" s="158"/>
      <c r="Q31" s="158" t="e">
        <f>VLOOKUP($O31,'CO2'!$A$2:$J$1909,Q$2,FALSE)</f>
        <v>#N/A</v>
      </c>
      <c r="R31" s="158" t="e">
        <f>VLOOKUP($O31,'CO2'!$A$2:$J$1909,R$2,FALSE)</f>
        <v>#N/A</v>
      </c>
      <c r="S31" s="158" t="e">
        <f>VLOOKUP($O31,'CO2'!$A$2:$J$1909,S$2,FALSE)</f>
        <v>#N/A</v>
      </c>
      <c r="T31" s="158" t="e">
        <f>VLOOKUP($O31,'CO2'!$A$2:$J$1909,T$2,FALSE)</f>
        <v>#N/A</v>
      </c>
      <c r="U31" s="158" t="e">
        <f>VLOOKUP($O31,'CO2'!$A$2:$J$1909,U$2,FALSE)</f>
        <v>#N/A</v>
      </c>
      <c r="V31" s="158" t="e">
        <f>VLOOKUP($O31,'CO2'!$A$2:$J$1909,V$2,FALSE)</f>
        <v>#N/A</v>
      </c>
      <c r="W31" s="158" t="e">
        <f>VLOOKUP($O31,'CO2'!$A$2:$J$1909,W$2,FALSE)</f>
        <v>#N/A</v>
      </c>
      <c r="X31" s="158" t="e">
        <f>VLOOKUP($O31,'CO2'!$A$2:$J$1909,X$2,FALSE)</f>
        <v>#N/A</v>
      </c>
    </row>
    <row r="32" spans="1:34" x14ac:dyDescent="0.35">
      <c r="A32" s="840" t="s">
        <v>3708</v>
      </c>
      <c r="B32" s="846" t="e">
        <f t="shared" si="0"/>
        <v>#N/A</v>
      </c>
      <c r="O32" s="155" t="s">
        <v>184</v>
      </c>
      <c r="P32" s="158"/>
      <c r="Q32" s="158" t="e">
        <f>VLOOKUP($O32,'CO2'!$A$2:$J$1909,Q$2,FALSE)</f>
        <v>#N/A</v>
      </c>
      <c r="R32" s="158" t="e">
        <f>VLOOKUP($O32,'CO2'!$A$2:$J$1909,R$2,FALSE)</f>
        <v>#N/A</v>
      </c>
      <c r="S32" s="158" t="e">
        <f>VLOOKUP($O32,'CO2'!$A$2:$J$1909,S$2,FALSE)</f>
        <v>#N/A</v>
      </c>
      <c r="T32" s="158" t="e">
        <f>VLOOKUP($O32,'CO2'!$A$2:$J$1909,T$2,FALSE)</f>
        <v>#N/A</v>
      </c>
      <c r="U32" s="158" t="e">
        <f>VLOOKUP($O32,'CO2'!$A$2:$J$1909,U$2,FALSE)</f>
        <v>#N/A</v>
      </c>
      <c r="V32" s="158" t="e">
        <f>VLOOKUP($O32,'CO2'!$A$2:$J$1909,V$2,FALSE)</f>
        <v>#N/A</v>
      </c>
      <c r="W32" s="158" t="e">
        <f>VLOOKUP($O32,'CO2'!$A$2:$J$1909,W$2,FALSE)</f>
        <v>#N/A</v>
      </c>
      <c r="X32" s="158" t="e">
        <f>VLOOKUP($O32,'CO2'!$A$2:$J$1909,X$2,FALSE)</f>
        <v>#N/A</v>
      </c>
      <c r="AA32" s="91" t="s">
        <v>1453</v>
      </c>
      <c r="AB32" s="88" t="s">
        <v>1166</v>
      </c>
      <c r="AC32" s="89"/>
      <c r="AD32" s="89"/>
      <c r="AE32" s="89"/>
      <c r="AF32" s="89"/>
      <c r="AG32" s="89"/>
      <c r="AH32" s="89"/>
    </row>
    <row r="33" spans="1:35" x14ac:dyDescent="0.35">
      <c r="A33" s="840" t="s">
        <v>3693</v>
      </c>
      <c r="B33" s="846" t="e">
        <f t="shared" si="0"/>
        <v>#N/A</v>
      </c>
      <c r="O33" s="155" t="s">
        <v>4239</v>
      </c>
      <c r="P33" s="158"/>
      <c r="Q33" s="158" t="e">
        <f>VLOOKUP($O33,'CO2'!$A$2:$J$1909,Q$2,FALSE)</f>
        <v>#N/A</v>
      </c>
      <c r="R33" s="158" t="e">
        <f>VLOOKUP($O33,'CO2'!$A$2:$J$1909,R$2,FALSE)</f>
        <v>#N/A</v>
      </c>
      <c r="S33" s="158" t="e">
        <f>VLOOKUP($O33,'CO2'!$A$2:$J$1909,S$2,FALSE)</f>
        <v>#N/A</v>
      </c>
      <c r="T33" s="158" t="e">
        <f>VLOOKUP($O33,'CO2'!$A$2:$J$1909,T$2,FALSE)</f>
        <v>#N/A</v>
      </c>
      <c r="U33" s="158" t="e">
        <f>VLOOKUP($O33,'CO2'!$A$2:$J$1909,U$2,FALSE)</f>
        <v>#N/A</v>
      </c>
      <c r="V33" s="158" t="e">
        <f>VLOOKUP($O33,'CO2'!$A$2:$J$1909,V$2,FALSE)</f>
        <v>#N/A</v>
      </c>
      <c r="W33" s="158" t="e">
        <f>VLOOKUP($O33,'CO2'!$A$2:$J$1909,W$2,FALSE)</f>
        <v>#N/A</v>
      </c>
      <c r="X33" s="158" t="e">
        <f>VLOOKUP($O33,'CO2'!$A$2:$J$1909,X$2,FALSE)</f>
        <v>#N/A</v>
      </c>
      <c r="AA33" s="40" t="s">
        <v>1456</v>
      </c>
      <c r="AB33" s="133">
        <v>2020</v>
      </c>
      <c r="AC33" s="133">
        <v>2025</v>
      </c>
      <c r="AD33" s="133">
        <v>2030</v>
      </c>
      <c r="AE33" s="133">
        <v>2035</v>
      </c>
      <c r="AF33" s="133">
        <v>2040</v>
      </c>
      <c r="AG33" s="133">
        <v>2045</v>
      </c>
      <c r="AH33" s="133">
        <v>2050</v>
      </c>
    </row>
    <row r="34" spans="1:35" x14ac:dyDescent="0.35">
      <c r="A34" s="840" t="s">
        <v>3702</v>
      </c>
      <c r="B34" s="846" t="e">
        <f t="shared" ref="B34:B65" si="11">VLOOKUP($A34,$O$3:$X$1972,B$1,FALSE)</f>
        <v>#N/A</v>
      </c>
      <c r="O34" s="155" t="s">
        <v>441</v>
      </c>
      <c r="P34" s="158"/>
      <c r="Q34" s="158" t="e">
        <f>VLOOKUP($O34,'CO2'!$A$2:$J$1909,Q$2,FALSE)</f>
        <v>#N/A</v>
      </c>
      <c r="R34" s="158" t="e">
        <f>VLOOKUP($O34,'CO2'!$A$2:$J$1909,R$2,FALSE)</f>
        <v>#N/A</v>
      </c>
      <c r="S34" s="158" t="e">
        <f>VLOOKUP($O34,'CO2'!$A$2:$J$1909,S$2,FALSE)</f>
        <v>#N/A</v>
      </c>
      <c r="T34" s="158" t="e">
        <f>VLOOKUP($O34,'CO2'!$A$2:$J$1909,T$2,FALSE)</f>
        <v>#N/A</v>
      </c>
      <c r="U34" s="158" t="e">
        <f>VLOOKUP($O34,'CO2'!$A$2:$J$1909,U$2,FALSE)</f>
        <v>#N/A</v>
      </c>
      <c r="V34" s="158" t="e">
        <f>VLOOKUP($O34,'CO2'!$A$2:$J$1909,V$2,FALSE)</f>
        <v>#N/A</v>
      </c>
      <c r="W34" s="158" t="e">
        <f>VLOOKUP($O34,'CO2'!$A$2:$J$1909,W$2,FALSE)</f>
        <v>#N/A</v>
      </c>
      <c r="X34" s="158" t="e">
        <f>VLOOKUP($O34,'CO2'!$A$2:$J$1909,X$2,FALSE)</f>
        <v>#N/A</v>
      </c>
      <c r="Z34" s="190" t="s">
        <v>1947</v>
      </c>
      <c r="AA34" s="40" t="str">
        <f>O106</f>
        <v>Combustion emissions</v>
      </c>
      <c r="AB34" s="92" t="e">
        <f t="shared" ref="AB34:AH35" si="12">R106</f>
        <v>#N/A</v>
      </c>
      <c r="AC34" s="92" t="e">
        <f t="shared" si="12"/>
        <v>#N/A</v>
      </c>
      <c r="AD34" s="92" t="e">
        <f t="shared" si="12"/>
        <v>#N/A</v>
      </c>
      <c r="AE34" s="92" t="e">
        <f t="shared" si="12"/>
        <v>#N/A</v>
      </c>
      <c r="AF34" s="92" t="e">
        <f t="shared" si="12"/>
        <v>#N/A</v>
      </c>
      <c r="AG34" s="92" t="e">
        <f t="shared" si="12"/>
        <v>#N/A</v>
      </c>
      <c r="AH34" s="92" t="e">
        <f t="shared" si="12"/>
        <v>#N/A</v>
      </c>
    </row>
    <row r="35" spans="1:35" x14ac:dyDescent="0.35">
      <c r="A35" s="840" t="s">
        <v>3694</v>
      </c>
      <c r="B35" s="846" t="e">
        <f t="shared" si="11"/>
        <v>#N/A</v>
      </c>
      <c r="O35" s="155" t="s">
        <v>343</v>
      </c>
      <c r="P35" s="465"/>
      <c r="Q35" s="92" t="e">
        <f>VLOOKUP($O35,'CO2'!$A$2:$J$1909,Q$2,FALSE)*0</f>
        <v>#N/A</v>
      </c>
      <c r="R35" s="92" t="e">
        <f>VLOOKUP($O35,'CO2'!$A$2:$J$1909,R$2,FALSE)*0</f>
        <v>#N/A</v>
      </c>
      <c r="S35" s="92" t="e">
        <f>VLOOKUP($O35,'CO2'!$A$2:$J$1909,S$2,FALSE)*0</f>
        <v>#N/A</v>
      </c>
      <c r="T35" s="92" t="e">
        <f>VLOOKUP($O35,'CO2'!$A$2:$J$1909,T$2,FALSE)*0</f>
        <v>#N/A</v>
      </c>
      <c r="U35" s="92" t="e">
        <f>VLOOKUP($O35,'CO2'!$A$2:$J$1909,U$2,FALSE)*0</f>
        <v>#N/A</v>
      </c>
      <c r="V35" s="92" t="e">
        <f>VLOOKUP($O35,'CO2'!$A$2:$J$1909,V$2,FALSE)*0</f>
        <v>#N/A</v>
      </c>
      <c r="W35" s="92" t="e">
        <f>VLOOKUP($O35,'CO2'!$A$2:$J$1909,W$2,FALSE)*0</f>
        <v>#N/A</v>
      </c>
      <c r="X35" s="92" t="e">
        <f>VLOOKUP($O35,'CO2'!$A$2:$J$1909,X$2,FALSE)*0</f>
        <v>#N/A</v>
      </c>
      <c r="Z35" s="190" t="s">
        <v>1948</v>
      </c>
      <c r="AA35" s="40" t="str">
        <f>O107</f>
        <v>Process emissions</v>
      </c>
      <c r="AB35" s="92" t="e">
        <f t="shared" si="12"/>
        <v>#N/A</v>
      </c>
      <c r="AC35" s="92" t="e">
        <f t="shared" si="12"/>
        <v>#N/A</v>
      </c>
      <c r="AD35" s="92" t="e">
        <f t="shared" si="12"/>
        <v>#N/A</v>
      </c>
      <c r="AE35" s="92" t="e">
        <f t="shared" si="12"/>
        <v>#N/A</v>
      </c>
      <c r="AF35" s="92" t="e">
        <f t="shared" si="12"/>
        <v>#N/A</v>
      </c>
      <c r="AG35" s="92" t="e">
        <f t="shared" si="12"/>
        <v>#N/A</v>
      </c>
      <c r="AH35" s="92" t="e">
        <f t="shared" si="12"/>
        <v>#N/A</v>
      </c>
      <c r="AI35" s="64" t="s">
        <v>1412</v>
      </c>
    </row>
    <row r="36" spans="1:35" x14ac:dyDescent="0.35">
      <c r="A36" s="840" t="s">
        <v>3703</v>
      </c>
      <c r="B36" s="846" t="e">
        <f t="shared" si="11"/>
        <v>#N/A</v>
      </c>
      <c r="O36" s="155" t="s">
        <v>282</v>
      </c>
      <c r="P36" s="92"/>
      <c r="Q36" s="92" t="e">
        <f>VLOOKUP($O36,'CO2'!$A$2:$J$1909,Q$2,FALSE)*0</f>
        <v>#N/A</v>
      </c>
      <c r="R36" s="92" t="e">
        <f>VLOOKUP($O36,'CO2'!$A$2:$J$1909,R$2,FALSE)*0</f>
        <v>#N/A</v>
      </c>
      <c r="S36" s="92" t="e">
        <f>VLOOKUP($O36,'CO2'!$A$2:$J$1909,S$2,FALSE)*0</f>
        <v>#N/A</v>
      </c>
      <c r="T36" s="92" t="e">
        <f>VLOOKUP($O36,'CO2'!$A$2:$J$1909,T$2,FALSE)*0</f>
        <v>#N/A</v>
      </c>
      <c r="U36" s="92" t="e">
        <f>VLOOKUP($O36,'CO2'!$A$2:$J$1909,U$2,FALSE)*0</f>
        <v>#N/A</v>
      </c>
      <c r="V36" s="92" t="e">
        <f>VLOOKUP($O36,'CO2'!$A$2:$J$1909,V$2,FALSE)*0</f>
        <v>#N/A</v>
      </c>
      <c r="W36" s="92" t="e">
        <f>VLOOKUP($O36,'CO2'!$A$2:$J$1909,W$2,FALSE)*0</f>
        <v>#N/A</v>
      </c>
      <c r="X36" s="92" t="e">
        <f>VLOOKUP($O36,'CO2'!$A$2:$J$1909,X$2,FALSE)*0</f>
        <v>#N/A</v>
      </c>
      <c r="Z36" s="862" t="s">
        <v>4284</v>
      </c>
      <c r="AA36" s="40" t="s">
        <v>4285</v>
      </c>
      <c r="AB36" s="92" t="e">
        <f t="shared" ref="AB36:AH36" si="13">R213</f>
        <v>#N/A</v>
      </c>
      <c r="AC36" s="92" t="e">
        <f t="shared" si="13"/>
        <v>#N/A</v>
      </c>
      <c r="AD36" s="92" t="e">
        <f t="shared" si="13"/>
        <v>#N/A</v>
      </c>
      <c r="AE36" s="92" t="e">
        <f t="shared" si="13"/>
        <v>#N/A</v>
      </c>
      <c r="AF36" s="92" t="e">
        <f t="shared" si="13"/>
        <v>#N/A</v>
      </c>
      <c r="AG36" s="92" t="e">
        <f t="shared" si="13"/>
        <v>#N/A</v>
      </c>
      <c r="AH36" s="92" t="e">
        <f t="shared" si="13"/>
        <v>#N/A</v>
      </c>
    </row>
    <row r="37" spans="1:35" x14ac:dyDescent="0.35">
      <c r="A37" s="840" t="s">
        <v>3695</v>
      </c>
      <c r="B37" s="846" t="e">
        <f t="shared" si="11"/>
        <v>#N/A</v>
      </c>
      <c r="O37" s="155" t="s">
        <v>225</v>
      </c>
      <c r="P37" s="92"/>
      <c r="Q37" s="92" t="e">
        <f>VLOOKUP($O37,'CO2'!$A$2:$J$1909,Q$2,FALSE)*0</f>
        <v>#N/A</v>
      </c>
      <c r="R37" s="92" t="e">
        <f>VLOOKUP($O37,'CO2'!$A$2:$J$1909,R$2,FALSE)*0</f>
        <v>#N/A</v>
      </c>
      <c r="S37" s="92" t="e">
        <f>VLOOKUP($O37,'CO2'!$A$2:$J$1909,S$2,FALSE)*0</f>
        <v>#N/A</v>
      </c>
      <c r="T37" s="92" t="e">
        <f>VLOOKUP($O37,'CO2'!$A$2:$J$1909,T$2,FALSE)*0</f>
        <v>#N/A</v>
      </c>
      <c r="U37" s="92" t="e">
        <f>VLOOKUP($O37,'CO2'!$A$2:$J$1909,U$2,FALSE)*0</f>
        <v>#N/A</v>
      </c>
      <c r="V37" s="92" t="e">
        <f>VLOOKUP($O37,'CO2'!$A$2:$J$1909,V$2,FALSE)*0</f>
        <v>#N/A</v>
      </c>
      <c r="W37" s="92" t="e">
        <f>VLOOKUP($O37,'CO2'!$A$2:$J$1909,W$2,FALSE)*0</f>
        <v>#N/A</v>
      </c>
      <c r="X37" s="92" t="e">
        <f>VLOOKUP($O37,'CO2'!$A$2:$J$1909,X$2,FALSE)*0</f>
        <v>#N/A</v>
      </c>
      <c r="AA37" s="40"/>
      <c r="AB37" s="92"/>
      <c r="AC37" s="92"/>
      <c r="AD37" s="92"/>
      <c r="AE37" s="92"/>
      <c r="AF37" s="92"/>
      <c r="AG37" s="92"/>
      <c r="AH37" s="92"/>
    </row>
    <row r="38" spans="1:35" x14ac:dyDescent="0.35">
      <c r="A38" s="840" t="s">
        <v>3704</v>
      </c>
      <c r="B38" s="846" t="e">
        <f t="shared" si="11"/>
        <v>#N/A</v>
      </c>
      <c r="O38" s="40" t="s">
        <v>195</v>
      </c>
      <c r="P38" s="92"/>
      <c r="Q38" s="92" t="e">
        <f>VLOOKUP($O38,'CO2'!$A$2:$J$1909,Q$2,FALSE)</f>
        <v>#N/A</v>
      </c>
      <c r="R38" s="92" t="e">
        <f>VLOOKUP($O38,'CO2'!$A$2:$J$1909,R$2,FALSE)</f>
        <v>#N/A</v>
      </c>
      <c r="S38" s="92" t="e">
        <f>VLOOKUP($O38,'CO2'!$A$2:$J$1909,S$2,FALSE)</f>
        <v>#N/A</v>
      </c>
      <c r="T38" s="92" t="e">
        <f>VLOOKUP($O38,'CO2'!$A$2:$J$1909,T$2,FALSE)</f>
        <v>#N/A</v>
      </c>
      <c r="U38" s="92" t="e">
        <f>VLOOKUP($O38,'CO2'!$A$2:$J$1909,U$2,FALSE)</f>
        <v>#N/A</v>
      </c>
      <c r="V38" s="92" t="e">
        <f>VLOOKUP($O38,'CO2'!$A$2:$J$1909,V$2,FALSE)</f>
        <v>#N/A</v>
      </c>
      <c r="W38" s="92" t="e">
        <f>VLOOKUP($O38,'CO2'!$A$2:$J$1909,W$2,FALSE)</f>
        <v>#N/A</v>
      </c>
      <c r="X38" s="92" t="e">
        <f>VLOOKUP($O38,'CO2'!$A$2:$J$1909,X$2,FALSE)</f>
        <v>#N/A</v>
      </c>
      <c r="AA38" s="40"/>
      <c r="AB38" s="92"/>
      <c r="AC38" s="92"/>
      <c r="AD38" s="92"/>
      <c r="AE38" s="92"/>
      <c r="AF38" s="92"/>
      <c r="AG38" s="92"/>
      <c r="AH38" s="92"/>
    </row>
    <row r="39" spans="1:35" ht="15" thickBot="1" x14ac:dyDescent="0.4">
      <c r="A39" s="840" t="s">
        <v>3700</v>
      </c>
      <c r="B39" s="846" t="e">
        <f t="shared" si="11"/>
        <v>#N/A</v>
      </c>
      <c r="O39" s="40" t="s">
        <v>2450</v>
      </c>
      <c r="P39" s="92"/>
      <c r="Q39" s="92" t="e">
        <f>VLOOKUP($O39,'CO2'!$A$2:$J$1909,Q$2,FALSE)</f>
        <v>#N/A</v>
      </c>
      <c r="R39" s="92" t="e">
        <f>VLOOKUP($O39,'CO2'!$A$2:$J$1909,R$2,FALSE)</f>
        <v>#N/A</v>
      </c>
      <c r="S39" s="92" t="e">
        <f>VLOOKUP($O39,'CO2'!$A$2:$J$1909,S$2,FALSE)</f>
        <v>#N/A</v>
      </c>
      <c r="T39" s="92" t="e">
        <f>VLOOKUP($O39,'CO2'!$A$2:$J$1909,T$2,FALSE)</f>
        <v>#N/A</v>
      </c>
      <c r="U39" s="92" t="e">
        <f>VLOOKUP($O39,'CO2'!$A$2:$J$1909,U$2,FALSE)</f>
        <v>#N/A</v>
      </c>
      <c r="V39" s="92" t="e">
        <f>VLOOKUP($O39,'CO2'!$A$2:$J$1909,V$2,FALSE)</f>
        <v>#N/A</v>
      </c>
      <c r="W39" s="92" t="e">
        <f>VLOOKUP($O39,'CO2'!$A$2:$J$1909,W$2,FALSE)</f>
        <v>#N/A</v>
      </c>
      <c r="X39" s="92" t="e">
        <f>VLOOKUP($O39,'CO2'!$A$2:$J$1909,X$2,FALSE)</f>
        <v>#N/A</v>
      </c>
      <c r="AA39" s="95" t="s">
        <v>1229</v>
      </c>
      <c r="AB39" s="77" t="e">
        <f>SUM(AB34:AB36)</f>
        <v>#N/A</v>
      </c>
      <c r="AC39" s="77" t="e">
        <f t="shared" ref="AC39:AH39" si="14">SUM(AC34:AC36)</f>
        <v>#N/A</v>
      </c>
      <c r="AD39" s="77" t="e">
        <f t="shared" si="14"/>
        <v>#N/A</v>
      </c>
      <c r="AE39" s="77" t="e">
        <f t="shared" si="14"/>
        <v>#N/A</v>
      </c>
      <c r="AF39" s="77" t="e">
        <f t="shared" si="14"/>
        <v>#N/A</v>
      </c>
      <c r="AG39" s="77" t="e">
        <f t="shared" si="14"/>
        <v>#N/A</v>
      </c>
      <c r="AH39" s="77" t="e">
        <f t="shared" si="14"/>
        <v>#N/A</v>
      </c>
    </row>
    <row r="40" spans="1:35" x14ac:dyDescent="0.35">
      <c r="A40" s="840" t="s">
        <v>3709</v>
      </c>
      <c r="B40" s="846" t="e">
        <f t="shared" si="11"/>
        <v>#N/A</v>
      </c>
      <c r="O40" s="158"/>
      <c r="P40" s="92"/>
      <c r="Q40" s="92"/>
      <c r="R40" s="92"/>
      <c r="S40" s="92"/>
      <c r="T40" s="92"/>
      <c r="U40" s="92"/>
      <c r="V40" s="92"/>
      <c r="W40" s="92"/>
      <c r="X40" s="92"/>
    </row>
    <row r="41" spans="1:35" x14ac:dyDescent="0.35">
      <c r="A41" s="840" t="s">
        <v>3705</v>
      </c>
      <c r="B41" s="846" t="e">
        <f t="shared" si="11"/>
        <v>#N/A</v>
      </c>
      <c r="O41" s="158"/>
      <c r="P41" s="92"/>
      <c r="Q41" s="92"/>
      <c r="R41" s="92"/>
      <c r="S41" s="92"/>
      <c r="T41" s="92"/>
      <c r="U41" s="92"/>
      <c r="V41" s="92"/>
      <c r="W41" s="92"/>
      <c r="X41" s="92"/>
    </row>
    <row r="42" spans="1:35" x14ac:dyDescent="0.35">
      <c r="A42" s="840" t="s">
        <v>3706</v>
      </c>
      <c r="B42" s="846" t="e">
        <f t="shared" si="11"/>
        <v>#N/A</v>
      </c>
      <c r="O42" s="839" t="s">
        <v>1146</v>
      </c>
      <c r="P42" s="839"/>
      <c r="Q42" s="92" t="e">
        <f>VLOOKUP($O42,'CO2'!$A$2:$J$1909,Q$2,FALSE)</f>
        <v>#N/A</v>
      </c>
      <c r="R42" s="92" t="e">
        <f>VLOOKUP($O42,'CO2'!$A$2:$J$1909,R$2,FALSE)</f>
        <v>#N/A</v>
      </c>
      <c r="S42" s="92" t="e">
        <f>VLOOKUP($O42,'CO2'!$A$2:$J$1909,S$2,FALSE)</f>
        <v>#N/A</v>
      </c>
      <c r="T42" s="92" t="e">
        <f>VLOOKUP($O42,'CO2'!$A$2:$J$1909,T$2,FALSE)</f>
        <v>#N/A</v>
      </c>
      <c r="U42" s="92" t="e">
        <f>VLOOKUP($O42,'CO2'!$A$2:$J$1909,U$2,FALSE)</f>
        <v>#N/A</v>
      </c>
      <c r="V42" s="92" t="e">
        <f>VLOOKUP($O42,'CO2'!$A$2:$J$1909,V$2,FALSE)</f>
        <v>#N/A</v>
      </c>
      <c r="W42" s="92" t="e">
        <f>VLOOKUP($O42,'CO2'!$A$2:$J$1909,W$2,FALSE)</f>
        <v>#N/A</v>
      </c>
      <c r="X42" s="92" t="e">
        <f>VLOOKUP($O42,'CO2'!$A$2:$J$1909,X$2,FALSE)</f>
        <v>#N/A</v>
      </c>
    </row>
    <row r="43" spans="1:35" ht="15" thickBot="1" x14ac:dyDescent="0.4">
      <c r="A43" s="840" t="s">
        <v>3698</v>
      </c>
      <c r="B43" s="846" t="e">
        <f t="shared" si="11"/>
        <v>#N/A</v>
      </c>
      <c r="O43" s="95" t="s">
        <v>1229</v>
      </c>
      <c r="P43" s="77"/>
      <c r="Q43" s="77" t="e">
        <f t="shared" ref="Q43:X43" si="15">SUM(Q4:Q42)</f>
        <v>#N/A</v>
      </c>
      <c r="R43" s="77" t="e">
        <f t="shared" si="15"/>
        <v>#N/A</v>
      </c>
      <c r="S43" s="77" t="e">
        <f t="shared" si="15"/>
        <v>#N/A</v>
      </c>
      <c r="T43" s="77" t="e">
        <f t="shared" si="15"/>
        <v>#N/A</v>
      </c>
      <c r="U43" s="77" t="e">
        <f t="shared" si="15"/>
        <v>#N/A</v>
      </c>
      <c r="V43" s="77" t="e">
        <f t="shared" si="15"/>
        <v>#N/A</v>
      </c>
      <c r="W43" s="77" t="e">
        <f t="shared" si="15"/>
        <v>#N/A</v>
      </c>
      <c r="X43" s="77" t="e">
        <f t="shared" si="15"/>
        <v>#N/A</v>
      </c>
    </row>
    <row r="44" spans="1:35" ht="15" thickBot="1" x14ac:dyDescent="0.4">
      <c r="A44" s="840" t="s">
        <v>3707</v>
      </c>
      <c r="B44" s="846" t="e">
        <f t="shared" si="11"/>
        <v>#N/A</v>
      </c>
      <c r="P44" s="83"/>
      <c r="Q44" s="83"/>
    </row>
    <row r="45" spans="1:35" x14ac:dyDescent="0.35">
      <c r="A45" s="840" t="s">
        <v>3701</v>
      </c>
      <c r="B45" s="846" t="e">
        <f t="shared" si="11"/>
        <v>#N/A</v>
      </c>
      <c r="O45" s="88" t="s">
        <v>1166</v>
      </c>
      <c r="P45" s="88" t="s">
        <v>1453</v>
      </c>
      <c r="Q45" s="89">
        <v>2</v>
      </c>
      <c r="R45" s="89">
        <v>3</v>
      </c>
      <c r="S45" s="89">
        <v>4</v>
      </c>
      <c r="T45" s="89">
        <v>5</v>
      </c>
      <c r="U45" s="89">
        <v>6</v>
      </c>
      <c r="V45" s="89">
        <v>7</v>
      </c>
      <c r="W45" s="89">
        <v>8</v>
      </c>
      <c r="X45" s="89">
        <v>9</v>
      </c>
    </row>
    <row r="46" spans="1:35" x14ac:dyDescent="0.35">
      <c r="A46" s="840" t="s">
        <v>3710</v>
      </c>
      <c r="B46" s="846" t="e">
        <f t="shared" si="11"/>
        <v>#N/A</v>
      </c>
      <c r="O46" s="40" t="s">
        <v>1415</v>
      </c>
      <c r="P46" s="92"/>
      <c r="Q46" s="133" t="s">
        <v>1417</v>
      </c>
      <c r="R46" s="133">
        <v>2020</v>
      </c>
      <c r="S46" s="133">
        <v>2025</v>
      </c>
      <c r="T46" s="133">
        <v>2030</v>
      </c>
      <c r="U46" s="133">
        <v>2035</v>
      </c>
      <c r="V46" s="133">
        <v>2040</v>
      </c>
      <c r="W46" s="133">
        <v>2045</v>
      </c>
      <c r="X46" s="133">
        <v>2050</v>
      </c>
    </row>
    <row r="47" spans="1:35" x14ac:dyDescent="0.35">
      <c r="A47" s="840" t="s">
        <v>2958</v>
      </c>
      <c r="B47" s="846" t="str">
        <f t="shared" si="11"/>
        <v>fueloilpaperCHP</v>
      </c>
      <c r="O47" s="157" t="s">
        <v>209</v>
      </c>
      <c r="P47" s="92"/>
      <c r="Q47" s="92" t="e">
        <f>VLOOKUP($O47,'CO2'!$A$2:$J$1909,Q$45,FALSE)</f>
        <v>#N/A</v>
      </c>
      <c r="R47" s="92" t="e">
        <f>VLOOKUP($O47,'CO2'!$A$2:$J$1909,R$45,FALSE)</f>
        <v>#N/A</v>
      </c>
      <c r="S47" s="92" t="e">
        <f>VLOOKUP($O47,'CO2'!$A$2:$J$1909,S$45,FALSE)</f>
        <v>#N/A</v>
      </c>
      <c r="T47" s="92" t="e">
        <f>VLOOKUP($O47,'CO2'!$A$2:$J$1909,T$45,FALSE)</f>
        <v>#N/A</v>
      </c>
      <c r="U47" s="92" t="e">
        <f>VLOOKUP($O47,'CO2'!$A$2:$J$1909,U$45,FALSE)</f>
        <v>#N/A</v>
      </c>
      <c r="V47" s="92" t="e">
        <f>VLOOKUP($O47,'CO2'!$A$2:$J$1909,V$45,FALSE)</f>
        <v>#N/A</v>
      </c>
      <c r="W47" s="92" t="e">
        <f>VLOOKUP($O47,'CO2'!$A$2:$J$1909,W$45,FALSE)</f>
        <v>#N/A</v>
      </c>
      <c r="X47" s="92" t="e">
        <f>VLOOKUP($O47,'CO2'!$A$2:$J$1909,X$45,FALSE)</f>
        <v>#N/A</v>
      </c>
    </row>
    <row r="48" spans="1:35" x14ac:dyDescent="0.35">
      <c r="A48" s="840" t="s">
        <v>3717</v>
      </c>
      <c r="B48" s="846" t="e">
        <f t="shared" si="11"/>
        <v>#N/A</v>
      </c>
      <c r="O48" s="157" t="s">
        <v>283</v>
      </c>
      <c r="P48" s="92"/>
      <c r="Q48" s="92" t="e">
        <f>VLOOKUP($O48,'CO2'!$A$2:$J$1909,Q$45,FALSE)</f>
        <v>#N/A</v>
      </c>
      <c r="R48" s="92" t="e">
        <f>VLOOKUP($O48,'CO2'!$A$2:$J$1909,R$45,FALSE)</f>
        <v>#N/A</v>
      </c>
      <c r="S48" s="92" t="e">
        <f>VLOOKUP($O48,'CO2'!$A$2:$J$1909,S$45,FALSE)</f>
        <v>#N/A</v>
      </c>
      <c r="T48" s="92" t="e">
        <f>VLOOKUP($O48,'CO2'!$A$2:$J$1909,T$45,FALSE)</f>
        <v>#N/A</v>
      </c>
      <c r="U48" s="92" t="e">
        <f>VLOOKUP($O48,'CO2'!$A$2:$J$1909,U$45,FALSE)</f>
        <v>#N/A</v>
      </c>
      <c r="V48" s="92" t="e">
        <f>VLOOKUP($O48,'CO2'!$A$2:$J$1909,V$45,FALSE)</f>
        <v>#N/A</v>
      </c>
      <c r="W48" s="92" t="e">
        <f>VLOOKUP($O48,'CO2'!$A$2:$J$1909,W$45,FALSE)</f>
        <v>#N/A</v>
      </c>
      <c r="X48" s="92" t="e">
        <f>VLOOKUP($O48,'CO2'!$A$2:$J$1909,X$45,FALSE)</f>
        <v>#N/A</v>
      </c>
    </row>
    <row r="49" spans="1:34" x14ac:dyDescent="0.35">
      <c r="A49" s="840" t="s">
        <v>3726</v>
      </c>
      <c r="B49" s="846" t="e">
        <f t="shared" si="11"/>
        <v>#N/A</v>
      </c>
      <c r="O49" s="157" t="s">
        <v>288</v>
      </c>
      <c r="P49" s="92"/>
      <c r="Q49" s="92" t="e">
        <f>VLOOKUP($O49,'CO2'!$A$2:$J$1909,Q$45,FALSE)</f>
        <v>#N/A</v>
      </c>
      <c r="R49" s="92" t="e">
        <f>VLOOKUP($O49,'CO2'!$A$2:$J$1909,R$45,FALSE)</f>
        <v>#N/A</v>
      </c>
      <c r="S49" s="92" t="e">
        <f>VLOOKUP($O49,'CO2'!$A$2:$J$1909,S$45,FALSE)</f>
        <v>#N/A</v>
      </c>
      <c r="T49" s="92" t="e">
        <f>VLOOKUP($O49,'CO2'!$A$2:$J$1909,T$45,FALSE)</f>
        <v>#N/A</v>
      </c>
      <c r="U49" s="92" t="e">
        <f>VLOOKUP($O49,'CO2'!$A$2:$J$1909,U$45,FALSE)</f>
        <v>#N/A</v>
      </c>
      <c r="V49" s="92" t="e">
        <f>VLOOKUP($O49,'CO2'!$A$2:$J$1909,V$45,FALSE)</f>
        <v>#N/A</v>
      </c>
      <c r="W49" s="92" t="e">
        <f>VLOOKUP($O49,'CO2'!$A$2:$J$1909,W$45,FALSE)</f>
        <v>#N/A</v>
      </c>
      <c r="X49" s="92" t="e">
        <f>VLOOKUP($O49,'CO2'!$A$2:$J$1909,X$45,FALSE)</f>
        <v>#N/A</v>
      </c>
    </row>
    <row r="50" spans="1:34" x14ac:dyDescent="0.35">
      <c r="A50" s="840" t="s">
        <v>3711</v>
      </c>
      <c r="B50" s="846" t="e">
        <f t="shared" si="11"/>
        <v>#N/A</v>
      </c>
      <c r="O50" s="157" t="s">
        <v>386</v>
      </c>
      <c r="P50" s="92"/>
      <c r="Q50" s="92" t="e">
        <f>VLOOKUP($O50,'CO2'!$A$2:$J$1909,Q$45,FALSE)</f>
        <v>#N/A</v>
      </c>
      <c r="R50" s="92" t="e">
        <f>VLOOKUP($O50,'CO2'!$A$2:$J$1909,R$45,FALSE)</f>
        <v>#N/A</v>
      </c>
      <c r="S50" s="92" t="e">
        <f>VLOOKUP($O50,'CO2'!$A$2:$J$1909,S$45,FALSE)</f>
        <v>#N/A</v>
      </c>
      <c r="T50" s="92" t="e">
        <f>VLOOKUP($O50,'CO2'!$A$2:$J$1909,T$45,FALSE)</f>
        <v>#N/A</v>
      </c>
      <c r="U50" s="92" t="e">
        <f>VLOOKUP($O50,'CO2'!$A$2:$J$1909,U$45,FALSE)</f>
        <v>#N/A</v>
      </c>
      <c r="V50" s="92" t="e">
        <f>VLOOKUP($O50,'CO2'!$A$2:$J$1909,V$45,FALSE)</f>
        <v>#N/A</v>
      </c>
      <c r="W50" s="92" t="e">
        <f>VLOOKUP($O50,'CO2'!$A$2:$J$1909,W$45,FALSE)</f>
        <v>#N/A</v>
      </c>
      <c r="X50" s="92" t="e">
        <f>VLOOKUP($O50,'CO2'!$A$2:$J$1909,X$45,FALSE)</f>
        <v>#N/A</v>
      </c>
    </row>
    <row r="51" spans="1:34" x14ac:dyDescent="0.35">
      <c r="A51" s="840" t="s">
        <v>3720</v>
      </c>
      <c r="B51" s="846" t="e">
        <f t="shared" si="11"/>
        <v>#N/A</v>
      </c>
      <c r="O51" s="157" t="s">
        <v>2455</v>
      </c>
      <c r="P51" s="92"/>
      <c r="Q51" s="92" t="e">
        <f>VLOOKUP($O51,'CO2'!$A$2:$J$1909,Q$45,FALSE)</f>
        <v>#N/A</v>
      </c>
      <c r="R51" s="92" t="e">
        <f>VLOOKUP($O51,'CO2'!$A$2:$J$1909,R$45,FALSE)</f>
        <v>#N/A</v>
      </c>
      <c r="S51" s="92" t="e">
        <f>VLOOKUP($O51,'CO2'!$A$2:$J$1909,S$45,FALSE)</f>
        <v>#N/A</v>
      </c>
      <c r="T51" s="92" t="e">
        <f>VLOOKUP($O51,'CO2'!$A$2:$J$1909,T$45,FALSE)</f>
        <v>#N/A</v>
      </c>
      <c r="U51" s="92" t="e">
        <f>VLOOKUP($O51,'CO2'!$A$2:$J$1909,U$45,FALSE)</f>
        <v>#N/A</v>
      </c>
      <c r="V51" s="92" t="e">
        <f>VLOOKUP($O51,'CO2'!$A$2:$J$1909,V$45,FALSE)</f>
        <v>#N/A</v>
      </c>
      <c r="W51" s="92" t="e">
        <f>VLOOKUP($O51,'CO2'!$A$2:$J$1909,W$45,FALSE)</f>
        <v>#N/A</v>
      </c>
      <c r="X51" s="92" t="e">
        <f>VLOOKUP($O51,'CO2'!$A$2:$J$1909,X$45,FALSE)</f>
        <v>#N/A</v>
      </c>
    </row>
    <row r="52" spans="1:34" x14ac:dyDescent="0.35">
      <c r="A52" s="840" t="s">
        <v>3721</v>
      </c>
      <c r="B52" s="846" t="e">
        <f t="shared" si="11"/>
        <v>#N/A</v>
      </c>
      <c r="O52" s="157" t="s">
        <v>2452</v>
      </c>
      <c r="P52" s="92"/>
      <c r="Q52" s="92" t="e">
        <f>VLOOKUP($O52,'CO2'!$A$2:$J$1909,Q$45,FALSE)</f>
        <v>#N/A</v>
      </c>
      <c r="R52" s="92" t="e">
        <f>VLOOKUP($O52,'CO2'!$A$2:$J$1909,R$45,FALSE)</f>
        <v>#N/A</v>
      </c>
      <c r="S52" s="92" t="e">
        <f>VLOOKUP($O52,'CO2'!$A$2:$J$1909,S$45,FALSE)</f>
        <v>#N/A</v>
      </c>
      <c r="T52" s="92" t="e">
        <f>VLOOKUP($O52,'CO2'!$A$2:$J$1909,T$45,FALSE)</f>
        <v>#N/A</v>
      </c>
      <c r="U52" s="92" t="e">
        <f>VLOOKUP($O52,'CO2'!$A$2:$J$1909,U$45,FALSE)</f>
        <v>#N/A</v>
      </c>
      <c r="V52" s="92" t="e">
        <f>VLOOKUP($O52,'CO2'!$A$2:$J$1909,V$45,FALSE)</f>
        <v>#N/A</v>
      </c>
      <c r="W52" s="92" t="e">
        <f>VLOOKUP($O52,'CO2'!$A$2:$J$1909,W$45,FALSE)</f>
        <v>#N/A</v>
      </c>
      <c r="X52" s="92" t="e">
        <f>VLOOKUP($O52,'CO2'!$A$2:$J$1909,X$45,FALSE)</f>
        <v>#N/A</v>
      </c>
    </row>
    <row r="53" spans="1:34" x14ac:dyDescent="0.35">
      <c r="A53" s="840" t="s">
        <v>3713</v>
      </c>
      <c r="B53" s="846" t="e">
        <f t="shared" si="11"/>
        <v>#N/A</v>
      </c>
      <c r="O53" s="157" t="s">
        <v>3926</v>
      </c>
      <c r="P53" s="92"/>
      <c r="Q53" s="92" t="e">
        <f>VLOOKUP($O53,'CO2'!$A$2:$J$1909,Q$45,FALSE)</f>
        <v>#N/A</v>
      </c>
      <c r="R53" s="92" t="e">
        <f>VLOOKUP($O53,'CO2'!$A$2:$J$1909,R$45,FALSE)</f>
        <v>#N/A</v>
      </c>
      <c r="S53" s="92" t="e">
        <f>VLOOKUP($O53,'CO2'!$A$2:$J$1909,S$45,FALSE)</f>
        <v>#N/A</v>
      </c>
      <c r="T53" s="92" t="e">
        <f>VLOOKUP($O53,'CO2'!$A$2:$J$1909,T$45,FALSE)</f>
        <v>#N/A</v>
      </c>
      <c r="U53" s="92" t="e">
        <f>VLOOKUP($O53,'CO2'!$A$2:$J$1909,U$45,FALSE)</f>
        <v>#N/A</v>
      </c>
      <c r="V53" s="92" t="e">
        <f>VLOOKUP($O53,'CO2'!$A$2:$J$1909,V$45,FALSE)</f>
        <v>#N/A</v>
      </c>
      <c r="W53" s="92" t="e">
        <f>VLOOKUP($O53,'CO2'!$A$2:$J$1909,W$45,FALSE)</f>
        <v>#N/A</v>
      </c>
      <c r="X53" s="92" t="e">
        <f>VLOOKUP($O53,'CO2'!$A$2:$J$1909,X$45,FALSE)</f>
        <v>#N/A</v>
      </c>
      <c r="AA53" s="132"/>
      <c r="AB53" s="132"/>
      <c r="AC53" s="132"/>
      <c r="AD53" s="132"/>
      <c r="AE53" s="132"/>
      <c r="AF53" s="132"/>
      <c r="AG53" s="132"/>
      <c r="AH53" s="132"/>
    </row>
    <row r="54" spans="1:34" x14ac:dyDescent="0.35">
      <c r="A54" s="840" t="s">
        <v>3722</v>
      </c>
      <c r="B54" s="846" t="e">
        <f t="shared" si="11"/>
        <v>#N/A</v>
      </c>
      <c r="O54" s="155" t="s">
        <v>1769</v>
      </c>
      <c r="P54" s="92"/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  <c r="W54" s="92">
        <v>0</v>
      </c>
      <c r="X54" s="92">
        <v>0</v>
      </c>
    </row>
    <row r="55" spans="1:34" x14ac:dyDescent="0.35">
      <c r="A55" s="840" t="s">
        <v>3718</v>
      </c>
      <c r="B55" s="846" t="e">
        <f t="shared" si="11"/>
        <v>#N/A</v>
      </c>
      <c r="O55" s="155" t="s">
        <v>1770</v>
      </c>
      <c r="P55" s="92"/>
      <c r="Q55" s="92">
        <v>0</v>
      </c>
      <c r="R55" s="92">
        <v>0</v>
      </c>
      <c r="S55" s="92">
        <v>0</v>
      </c>
      <c r="T55" s="92">
        <v>0</v>
      </c>
      <c r="U55" s="92">
        <v>0</v>
      </c>
      <c r="V55" s="92">
        <v>0</v>
      </c>
      <c r="W55" s="92">
        <v>0</v>
      </c>
      <c r="X55" s="92">
        <v>0</v>
      </c>
    </row>
    <row r="56" spans="1:34" x14ac:dyDescent="0.35">
      <c r="A56" s="840" t="s">
        <v>3727</v>
      </c>
      <c r="B56" s="846" t="e">
        <f t="shared" si="11"/>
        <v>#N/A</v>
      </c>
      <c r="O56" s="155" t="s">
        <v>184</v>
      </c>
      <c r="P56" s="92"/>
      <c r="Q56" s="92">
        <v>0</v>
      </c>
      <c r="R56" s="92">
        <v>0</v>
      </c>
      <c r="S56" s="92">
        <v>0</v>
      </c>
      <c r="T56" s="92">
        <v>0</v>
      </c>
      <c r="U56" s="92">
        <v>0</v>
      </c>
      <c r="V56" s="92">
        <v>0</v>
      </c>
      <c r="W56" s="92">
        <v>0</v>
      </c>
      <c r="X56" s="92">
        <v>0</v>
      </c>
      <c r="AA56" s="132"/>
      <c r="AB56" s="132"/>
      <c r="AC56" s="132"/>
      <c r="AD56" s="132"/>
      <c r="AE56" s="132"/>
      <c r="AF56" s="132"/>
      <c r="AG56" s="132"/>
      <c r="AH56" s="132"/>
    </row>
    <row r="57" spans="1:34" x14ac:dyDescent="0.35">
      <c r="A57" s="840" t="s">
        <v>3725</v>
      </c>
      <c r="B57" s="846" t="e">
        <f t="shared" si="11"/>
        <v>#N/A</v>
      </c>
      <c r="O57" s="155" t="s">
        <v>441</v>
      </c>
      <c r="P57" s="92"/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AA57" s="132"/>
      <c r="AB57" s="132"/>
      <c r="AC57" s="132"/>
      <c r="AD57" s="132"/>
      <c r="AE57" s="132"/>
      <c r="AF57" s="132"/>
      <c r="AG57" s="132"/>
      <c r="AH57" s="132"/>
    </row>
    <row r="58" spans="1:34" x14ac:dyDescent="0.35">
      <c r="A58" s="840" t="s">
        <v>3719</v>
      </c>
      <c r="B58" s="846" t="e">
        <f t="shared" si="11"/>
        <v>#N/A</v>
      </c>
      <c r="O58" s="187" t="s">
        <v>58</v>
      </c>
      <c r="P58" s="188"/>
      <c r="Q58" s="92" t="e">
        <f>VLOOKUP($O58,'CO2'!$A$2:$J$1909,Q$45,FALSE)*Q$200</f>
        <v>#N/A</v>
      </c>
      <c r="R58" s="92" t="e">
        <f>VLOOKUP($O58,'CO2'!$A$2:$J$1909,R$45,FALSE)*R$200</f>
        <v>#N/A</v>
      </c>
      <c r="S58" s="92" t="e">
        <f>VLOOKUP($O58,'CO2'!$A$2:$J$1909,S$45,FALSE)*S$200</f>
        <v>#N/A</v>
      </c>
      <c r="T58" s="92" t="e">
        <f>VLOOKUP($O58,'CO2'!$A$2:$J$1909,T$45,FALSE)*T$200</f>
        <v>#N/A</v>
      </c>
      <c r="U58" s="92" t="e">
        <f>VLOOKUP($O58,'CO2'!$A$2:$J$1909,U$45,FALSE)*U$200</f>
        <v>#N/A</v>
      </c>
      <c r="V58" s="92" t="e">
        <f>VLOOKUP($O58,'CO2'!$A$2:$J$1909,V$45,FALSE)*V$200</f>
        <v>#N/A</v>
      </c>
      <c r="W58" s="92" t="e">
        <f>VLOOKUP($O58,'CO2'!$A$2:$J$1909,W$45,FALSE)*W$200</f>
        <v>#N/A</v>
      </c>
      <c r="X58" s="92" t="e">
        <f>VLOOKUP($O58,'CO2'!$A$2:$J$1909,X$45,FALSE)*X$200</f>
        <v>#N/A</v>
      </c>
      <c r="AA58" s="132"/>
      <c r="AB58" s="132"/>
      <c r="AC58" s="132"/>
      <c r="AD58" s="132"/>
      <c r="AE58" s="132"/>
      <c r="AF58" s="132"/>
      <c r="AG58" s="132"/>
      <c r="AH58" s="132"/>
    </row>
    <row r="59" spans="1:34" x14ac:dyDescent="0.35">
      <c r="A59" s="840" t="s">
        <v>3728</v>
      </c>
      <c r="B59" s="846" t="e">
        <f t="shared" si="11"/>
        <v>#N/A</v>
      </c>
      <c r="O59" s="187" t="s">
        <v>284</v>
      </c>
      <c r="P59" s="188"/>
      <c r="Q59" s="92" t="e">
        <f>VLOOKUP($O59,'CO2'!$A$2:$J$1909,Q$45,FALSE)*Q$200</f>
        <v>#N/A</v>
      </c>
      <c r="R59" s="92" t="e">
        <f>VLOOKUP($O59,'CO2'!$A$2:$J$1909,R$45,FALSE)*R$200</f>
        <v>#N/A</v>
      </c>
      <c r="S59" s="92" t="e">
        <f>VLOOKUP($O59,'CO2'!$A$2:$J$1909,S$45,FALSE)*S$200</f>
        <v>#N/A</v>
      </c>
      <c r="T59" s="92" t="e">
        <f>VLOOKUP($O59,'CO2'!$A$2:$J$1909,T$45,FALSE)*T$200</f>
        <v>#N/A</v>
      </c>
      <c r="U59" s="92" t="e">
        <f>VLOOKUP($O59,'CO2'!$A$2:$J$1909,U$45,FALSE)*U$200</f>
        <v>#N/A</v>
      </c>
      <c r="V59" s="92" t="e">
        <f>VLOOKUP($O59,'CO2'!$A$2:$J$1909,V$45,FALSE)*V$200</f>
        <v>#N/A</v>
      </c>
      <c r="W59" s="92" t="e">
        <f>VLOOKUP($O59,'CO2'!$A$2:$J$1909,W$45,FALSE)*W$200</f>
        <v>#N/A</v>
      </c>
      <c r="X59" s="92" t="e">
        <f>VLOOKUP($O59,'CO2'!$A$2:$J$1909,X$45,FALSE)*X$200</f>
        <v>#N/A</v>
      </c>
      <c r="AA59" s="132"/>
      <c r="AB59" s="132"/>
      <c r="AC59" s="132"/>
      <c r="AD59" s="132"/>
      <c r="AE59" s="132"/>
      <c r="AF59" s="132"/>
      <c r="AG59" s="132"/>
      <c r="AH59" s="132"/>
    </row>
    <row r="60" spans="1:34" x14ac:dyDescent="0.35">
      <c r="A60" s="840" t="s">
        <v>282</v>
      </c>
      <c r="B60" s="846" t="str">
        <f t="shared" si="11"/>
        <v>Gas-Sink</v>
      </c>
      <c r="O60" s="187" t="s">
        <v>286</v>
      </c>
      <c r="P60" s="188"/>
      <c r="Q60" s="92" t="e">
        <f>VLOOKUP($O60,'CO2'!$A$2:$J$1909,Q$45,FALSE)*Q$200</f>
        <v>#N/A</v>
      </c>
      <c r="R60" s="92" t="e">
        <f>VLOOKUP($O60,'CO2'!$A$2:$J$1909,R$45,FALSE)*R$200</f>
        <v>#N/A</v>
      </c>
      <c r="S60" s="92" t="e">
        <f>VLOOKUP($O60,'CO2'!$A$2:$J$1909,S$45,FALSE)*S$200</f>
        <v>#N/A</v>
      </c>
      <c r="T60" s="92" t="e">
        <f>VLOOKUP($O60,'CO2'!$A$2:$J$1909,T$45,FALSE)*T$200</f>
        <v>#N/A</v>
      </c>
      <c r="U60" s="92" t="e">
        <f>VLOOKUP($O60,'CO2'!$A$2:$J$1909,U$45,FALSE)*U$200</f>
        <v>#N/A</v>
      </c>
      <c r="V60" s="92" t="e">
        <f>VLOOKUP($O60,'CO2'!$A$2:$J$1909,V$45,FALSE)*V$200</f>
        <v>#N/A</v>
      </c>
      <c r="W60" s="92" t="e">
        <f>VLOOKUP($O60,'CO2'!$A$2:$J$1909,W$45,FALSE)*W$200</f>
        <v>#N/A</v>
      </c>
      <c r="X60" s="92" t="e">
        <f>VLOOKUP($O60,'CO2'!$A$2:$J$1909,X$45,FALSE)*X$200</f>
        <v>#N/A</v>
      </c>
      <c r="AA60" s="132"/>
      <c r="AB60" s="132"/>
      <c r="AC60" s="132"/>
      <c r="AD60" s="132"/>
      <c r="AE60" s="132"/>
      <c r="AF60" s="132"/>
      <c r="AG60" s="132"/>
      <c r="AH60" s="132"/>
    </row>
    <row r="61" spans="1:34" x14ac:dyDescent="0.35">
      <c r="A61" s="840" t="s">
        <v>283</v>
      </c>
      <c r="B61" s="846" t="str">
        <f t="shared" si="11"/>
        <v>Gas-Stove</v>
      </c>
      <c r="O61" s="187" t="s">
        <v>383</v>
      </c>
      <c r="P61" s="188"/>
      <c r="Q61" s="92" t="e">
        <f>VLOOKUP($O61,'CO2'!$A$2:$J$1909,Q$45,FALSE)*Q$200</f>
        <v>#N/A</v>
      </c>
      <c r="R61" s="92" t="e">
        <f>VLOOKUP($O61,'CO2'!$A$2:$J$1909,R$45,FALSE)*R$200</f>
        <v>#N/A</v>
      </c>
      <c r="S61" s="92" t="e">
        <f>VLOOKUP($O61,'CO2'!$A$2:$J$1909,S$45,FALSE)*S$200</f>
        <v>#N/A</v>
      </c>
      <c r="T61" s="92" t="e">
        <f>VLOOKUP($O61,'CO2'!$A$2:$J$1909,T$45,FALSE)*T$200</f>
        <v>#N/A</v>
      </c>
      <c r="U61" s="92" t="e">
        <f>VLOOKUP($O61,'CO2'!$A$2:$J$1909,U$45,FALSE)*U$200</f>
        <v>#N/A</v>
      </c>
      <c r="V61" s="92" t="e">
        <f>VLOOKUP($O61,'CO2'!$A$2:$J$1909,V$45,FALSE)*V$200</f>
        <v>#N/A</v>
      </c>
      <c r="W61" s="92" t="e">
        <f>VLOOKUP($O61,'CO2'!$A$2:$J$1909,W$45,FALSE)*W$200</f>
        <v>#N/A</v>
      </c>
      <c r="X61" s="92" t="e">
        <f>VLOOKUP($O61,'CO2'!$A$2:$J$1909,X$45,FALSE)*X$200</f>
        <v>#N/A</v>
      </c>
      <c r="AA61" s="132"/>
      <c r="AB61" s="132"/>
      <c r="AC61" s="132"/>
      <c r="AD61" s="132"/>
      <c r="AE61" s="132"/>
      <c r="AF61" s="132"/>
      <c r="AG61" s="132"/>
      <c r="AH61" s="132"/>
    </row>
    <row r="62" spans="1:34" x14ac:dyDescent="0.35">
      <c r="A62" s="840" t="s">
        <v>284</v>
      </c>
      <c r="B62" s="846" t="str">
        <f t="shared" si="11"/>
        <v>GasBoiler</v>
      </c>
      <c r="O62" s="187" t="s">
        <v>384</v>
      </c>
      <c r="P62" s="188"/>
      <c r="Q62" s="92" t="e">
        <f>VLOOKUP($O62,'CO2'!$A$2:$J$1909,Q$45,FALSE)*Q$200</f>
        <v>#N/A</v>
      </c>
      <c r="R62" s="92" t="e">
        <f>VLOOKUP($O62,'CO2'!$A$2:$J$1909,R$45,FALSE)*R$200</f>
        <v>#N/A</v>
      </c>
      <c r="S62" s="92" t="e">
        <f>VLOOKUP($O62,'CO2'!$A$2:$J$1909,S$45,FALSE)*S$200</f>
        <v>#N/A</v>
      </c>
      <c r="T62" s="92" t="e">
        <f>VLOOKUP($O62,'CO2'!$A$2:$J$1909,T$45,FALSE)*T$200</f>
        <v>#N/A</v>
      </c>
      <c r="U62" s="92" t="e">
        <f>VLOOKUP($O62,'CO2'!$A$2:$J$1909,U$45,FALSE)*U$200</f>
        <v>#N/A</v>
      </c>
      <c r="V62" s="92" t="e">
        <f>VLOOKUP($O62,'CO2'!$A$2:$J$1909,V$45,FALSE)*V$200</f>
        <v>#N/A</v>
      </c>
      <c r="W62" s="92" t="e">
        <f>VLOOKUP($O62,'CO2'!$A$2:$J$1909,W$45,FALSE)*W$200</f>
        <v>#N/A</v>
      </c>
      <c r="X62" s="92" t="e">
        <f>VLOOKUP($O62,'CO2'!$A$2:$J$1909,X$45,FALSE)*X$200</f>
        <v>#N/A</v>
      </c>
      <c r="AA62" s="132"/>
      <c r="AB62" s="132"/>
      <c r="AC62" s="132"/>
      <c r="AD62" s="132"/>
      <c r="AE62" s="132"/>
      <c r="AF62" s="132"/>
      <c r="AG62" s="132"/>
      <c r="AH62" s="132"/>
    </row>
    <row r="63" spans="1:34" x14ac:dyDescent="0.35">
      <c r="A63" s="840" t="s">
        <v>1679</v>
      </c>
      <c r="B63" s="846" t="str">
        <f t="shared" si="11"/>
        <v>GasBurner</v>
      </c>
      <c r="O63" s="64" t="s">
        <v>3326</v>
      </c>
      <c r="P63" s="188"/>
      <c r="Q63" s="92" t="e">
        <f>VLOOKUP($O63,'CO2'!$A$2:$J$1909,Q$45,FALSE)</f>
        <v>#N/A</v>
      </c>
      <c r="R63" s="92" t="e">
        <f>VLOOKUP($O63,'CO2'!$A$2:$J$1909,R$45,FALSE)</f>
        <v>#N/A</v>
      </c>
      <c r="S63" s="92" t="e">
        <f>VLOOKUP($O63,'CO2'!$A$2:$J$1909,S$45,FALSE)</f>
        <v>#N/A</v>
      </c>
      <c r="T63" s="92" t="e">
        <f>VLOOKUP($O63,'CO2'!$A$2:$J$1909,T$45,FALSE)</f>
        <v>#N/A</v>
      </c>
      <c r="U63" s="92" t="e">
        <f>VLOOKUP($O63,'CO2'!$A$2:$J$1909,U$45,FALSE)</f>
        <v>#N/A</v>
      </c>
      <c r="V63" s="92" t="e">
        <f>VLOOKUP($O63,'CO2'!$A$2:$J$1909,V$45,FALSE)</f>
        <v>#N/A</v>
      </c>
      <c r="W63" s="92" t="e">
        <f>VLOOKUP($O63,'CO2'!$A$2:$J$1909,W$45,FALSE)</f>
        <v>#N/A</v>
      </c>
      <c r="X63" s="92" t="e">
        <f>VLOOKUP($O63,'CO2'!$A$2:$J$1909,X$45,FALSE)</f>
        <v>#N/A</v>
      </c>
    </row>
    <row r="64" spans="1:34" x14ac:dyDescent="0.35">
      <c r="A64" s="840" t="s">
        <v>285</v>
      </c>
      <c r="B64" s="846" t="str">
        <f t="shared" si="11"/>
        <v>GasCCS</v>
      </c>
      <c r="O64" s="64" t="s">
        <v>3329</v>
      </c>
      <c r="P64" s="188"/>
      <c r="Q64" s="92" t="e">
        <f>VLOOKUP($O64,'CO2'!$A$2:$J$1909,Q$45,FALSE)</f>
        <v>#N/A</v>
      </c>
      <c r="R64" s="92" t="e">
        <f>VLOOKUP($O64,'CO2'!$A$2:$J$1909,R$45,FALSE)</f>
        <v>#N/A</v>
      </c>
      <c r="S64" s="92" t="e">
        <f>VLOOKUP($O64,'CO2'!$A$2:$J$1909,S$45,FALSE)</f>
        <v>#N/A</v>
      </c>
      <c r="T64" s="92" t="e">
        <f>VLOOKUP($O64,'CO2'!$A$2:$J$1909,T$45,FALSE)</f>
        <v>#N/A</v>
      </c>
      <c r="U64" s="92" t="e">
        <f>VLOOKUP($O64,'CO2'!$A$2:$J$1909,U$45,FALSE)</f>
        <v>#N/A</v>
      </c>
      <c r="V64" s="92" t="e">
        <f>VLOOKUP($O64,'CO2'!$A$2:$J$1909,V$45,FALSE)</f>
        <v>#N/A</v>
      </c>
      <c r="W64" s="92" t="e">
        <f>VLOOKUP($O64,'CO2'!$A$2:$J$1909,W$45,FALSE)</f>
        <v>#N/A</v>
      </c>
      <c r="X64" s="92" t="e">
        <f>VLOOKUP($O64,'CO2'!$A$2:$J$1909,X$45,FALSE)</f>
        <v>#N/A</v>
      </c>
    </row>
    <row r="65" spans="1:34" ht="15" thickBot="1" x14ac:dyDescent="0.4">
      <c r="A65" s="840" t="s">
        <v>55</v>
      </c>
      <c r="B65" s="846" t="str">
        <f t="shared" si="11"/>
        <v>GasCHP</v>
      </c>
      <c r="O65" s="64" t="s">
        <v>3262</v>
      </c>
      <c r="P65" s="188"/>
      <c r="Q65" s="92" t="e">
        <f>VLOOKUP($O65,'CO2'!$A$2:$J$1909,Q$45,FALSE)</f>
        <v>#N/A</v>
      </c>
      <c r="R65" s="92" t="e">
        <f>VLOOKUP($O65,'CO2'!$A$2:$J$1909,R$45,FALSE)</f>
        <v>#N/A</v>
      </c>
      <c r="S65" s="92" t="e">
        <f>VLOOKUP($O65,'CO2'!$A$2:$J$1909,S$45,FALSE)</f>
        <v>#N/A</v>
      </c>
      <c r="T65" s="92" t="e">
        <f>VLOOKUP($O65,'CO2'!$A$2:$J$1909,T$45,FALSE)</f>
        <v>#N/A</v>
      </c>
      <c r="U65" s="92" t="e">
        <f>VLOOKUP($O65,'CO2'!$A$2:$J$1909,U$45,FALSE)</f>
        <v>#N/A</v>
      </c>
      <c r="V65" s="92" t="e">
        <f>VLOOKUP($O65,'CO2'!$A$2:$J$1909,V$45,FALSE)</f>
        <v>#N/A</v>
      </c>
      <c r="W65" s="92" t="e">
        <f>VLOOKUP($O65,'CO2'!$A$2:$J$1909,W$45,FALSE)</f>
        <v>#N/A</v>
      </c>
      <c r="X65" s="92" t="e">
        <f>VLOOKUP($O65,'CO2'!$A$2:$J$1909,X$45,FALSE)</f>
        <v>#N/A</v>
      </c>
    </row>
    <row r="66" spans="1:34" x14ac:dyDescent="0.35">
      <c r="A66" s="840" t="s">
        <v>286</v>
      </c>
      <c r="B66" s="846" t="str">
        <f t="shared" ref="B66:B97" si="16">VLOOKUP($A66,$O$3:$X$1972,B$1,FALSE)</f>
        <v>GasCondensingBoiler</v>
      </c>
      <c r="O66" s="64" t="s">
        <v>3260</v>
      </c>
      <c r="P66" s="188"/>
      <c r="Q66" s="92" t="e">
        <f>VLOOKUP($O66,'CO2'!$A$2:$J$1909,Q$45,FALSE)</f>
        <v>#N/A</v>
      </c>
      <c r="R66" s="92" t="e">
        <f>VLOOKUP($O66,'CO2'!$A$2:$J$1909,R$45,FALSE)</f>
        <v>#N/A</v>
      </c>
      <c r="S66" s="92" t="e">
        <f>VLOOKUP($O66,'CO2'!$A$2:$J$1909,S$45,FALSE)</f>
        <v>#N/A</v>
      </c>
      <c r="T66" s="92" t="e">
        <f>VLOOKUP($O66,'CO2'!$A$2:$J$1909,T$45,FALSE)</f>
        <v>#N/A</v>
      </c>
      <c r="U66" s="92" t="e">
        <f>VLOOKUP($O66,'CO2'!$A$2:$J$1909,U$45,FALSE)</f>
        <v>#N/A</v>
      </c>
      <c r="V66" s="92" t="e">
        <f>VLOOKUP($O66,'CO2'!$A$2:$J$1909,V$45,FALSE)</f>
        <v>#N/A</v>
      </c>
      <c r="W66" s="92" t="e">
        <f>VLOOKUP($O66,'CO2'!$A$2:$J$1909,W$45,FALSE)</f>
        <v>#N/A</v>
      </c>
      <c r="X66" s="92" t="e">
        <f>VLOOKUP($O66,'CO2'!$A$2:$J$1909,X$45,FALSE)</f>
        <v>#N/A</v>
      </c>
      <c r="AA66" s="91" t="s">
        <v>1453</v>
      </c>
      <c r="AB66" s="88" t="s">
        <v>1218</v>
      </c>
      <c r="AC66" s="89"/>
      <c r="AD66" s="89"/>
      <c r="AE66" s="89"/>
      <c r="AF66" s="89"/>
      <c r="AG66" s="89"/>
      <c r="AH66" s="89"/>
    </row>
    <row r="67" spans="1:34" x14ac:dyDescent="0.35">
      <c r="A67" s="840" t="s">
        <v>287</v>
      </c>
      <c r="B67" s="846" t="str">
        <f t="shared" si="16"/>
        <v>GasHP</v>
      </c>
      <c r="O67" s="64" t="s">
        <v>3256</v>
      </c>
      <c r="P67" s="188"/>
      <c r="Q67" s="92" t="e">
        <f>VLOOKUP($O67,'CO2'!$A$2:$J$1909,Q$45,FALSE)</f>
        <v>#N/A</v>
      </c>
      <c r="R67" s="92" t="e">
        <f>VLOOKUP($O67,'CO2'!$A$2:$J$1909,R$45,FALSE)</f>
        <v>#N/A</v>
      </c>
      <c r="S67" s="92" t="e">
        <f>VLOOKUP($O67,'CO2'!$A$2:$J$1909,S$45,FALSE)</f>
        <v>#N/A</v>
      </c>
      <c r="T67" s="92" t="e">
        <f>VLOOKUP($O67,'CO2'!$A$2:$J$1909,T$45,FALSE)</f>
        <v>#N/A</v>
      </c>
      <c r="U67" s="92" t="e">
        <f>VLOOKUP($O67,'CO2'!$A$2:$J$1909,U$45,FALSE)</f>
        <v>#N/A</v>
      </c>
      <c r="V67" s="92" t="e">
        <f>VLOOKUP($O67,'CO2'!$A$2:$J$1909,V$45,FALSE)</f>
        <v>#N/A</v>
      </c>
      <c r="W67" s="92" t="e">
        <f>VLOOKUP($O67,'CO2'!$A$2:$J$1909,W$45,FALSE)</f>
        <v>#N/A</v>
      </c>
      <c r="X67" s="92" t="e">
        <f>VLOOKUP($O67,'CO2'!$A$2:$J$1909,X$45,FALSE)</f>
        <v>#N/A</v>
      </c>
      <c r="AA67" s="40" t="s">
        <v>1455</v>
      </c>
      <c r="AB67" s="133">
        <v>2020</v>
      </c>
      <c r="AC67" s="133">
        <v>2025</v>
      </c>
      <c r="AD67" s="133">
        <v>2030</v>
      </c>
      <c r="AE67" s="133">
        <v>2035</v>
      </c>
      <c r="AF67" s="133">
        <v>2040</v>
      </c>
      <c r="AG67" s="133">
        <v>2045</v>
      </c>
      <c r="AH67" s="133">
        <v>2050</v>
      </c>
    </row>
    <row r="68" spans="1:34" x14ac:dyDescent="0.35">
      <c r="A68" s="840" t="s">
        <v>288</v>
      </c>
      <c r="B68" s="846" t="str">
        <f t="shared" si="16"/>
        <v>GasIndustrialFurnace</v>
      </c>
      <c r="O68" s="64" t="s">
        <v>3258</v>
      </c>
      <c r="P68" s="188"/>
      <c r="Q68" s="92" t="e">
        <f>VLOOKUP($O68,'CO2'!$A$2:$J$1909,Q$45,FALSE)</f>
        <v>#N/A</v>
      </c>
      <c r="R68" s="92" t="e">
        <f>VLOOKUP($O68,'CO2'!$A$2:$J$1909,R$45,FALSE)</f>
        <v>#N/A</v>
      </c>
      <c r="S68" s="92" t="e">
        <f>VLOOKUP($O68,'CO2'!$A$2:$J$1909,S$45,FALSE)</f>
        <v>#N/A</v>
      </c>
      <c r="T68" s="92" t="e">
        <f>VLOOKUP($O68,'CO2'!$A$2:$J$1909,T$45,FALSE)</f>
        <v>#N/A</v>
      </c>
      <c r="U68" s="92" t="e">
        <f>VLOOKUP($O68,'CO2'!$A$2:$J$1909,U$45,FALSE)</f>
        <v>#N/A</v>
      </c>
      <c r="V68" s="92" t="e">
        <f>VLOOKUP($O68,'CO2'!$A$2:$J$1909,V$45,FALSE)</f>
        <v>#N/A</v>
      </c>
      <c r="W68" s="92" t="e">
        <f>VLOOKUP($O68,'CO2'!$A$2:$J$1909,W$45,FALSE)</f>
        <v>#N/A</v>
      </c>
      <c r="X68" s="92" t="e">
        <f>VLOOKUP($O68,'CO2'!$A$2:$J$1909,X$45,FALSE)</f>
        <v>#N/A</v>
      </c>
      <c r="Z68" s="190" t="s">
        <v>1340</v>
      </c>
      <c r="AA68" s="40" t="s">
        <v>1205</v>
      </c>
      <c r="AB68" s="92" t="e">
        <f t="shared" ref="AB68:AH68" si="17">SUM(R112:R114)</f>
        <v>#N/A</v>
      </c>
      <c r="AC68" s="92" t="e">
        <f t="shared" si="17"/>
        <v>#N/A</v>
      </c>
      <c r="AD68" s="92" t="e">
        <f t="shared" si="17"/>
        <v>#N/A</v>
      </c>
      <c r="AE68" s="92" t="e">
        <f t="shared" si="17"/>
        <v>#N/A</v>
      </c>
      <c r="AF68" s="92" t="e">
        <f t="shared" si="17"/>
        <v>#N/A</v>
      </c>
      <c r="AG68" s="92" t="e">
        <f t="shared" si="17"/>
        <v>#N/A</v>
      </c>
      <c r="AH68" s="92" t="e">
        <f t="shared" si="17"/>
        <v>#N/A</v>
      </c>
    </row>
    <row r="69" spans="1:34" x14ac:dyDescent="0.35">
      <c r="A69" s="840" t="s">
        <v>3097</v>
      </c>
      <c r="B69" s="846" t="str">
        <f t="shared" si="16"/>
        <v>GasNaphthaRen-Sink</v>
      </c>
      <c r="O69" s="843" t="s">
        <v>2265</v>
      </c>
      <c r="P69" s="188"/>
      <c r="Q69" s="106" t="e">
        <f>Glasindustrie!E689</f>
        <v>#N/A</v>
      </c>
      <c r="R69" s="106" t="e">
        <f>Glasindustrie!F689</f>
        <v>#N/A</v>
      </c>
      <c r="S69" s="106" t="e">
        <f>Glasindustrie!G689</f>
        <v>#N/A</v>
      </c>
      <c r="T69" s="106" t="e">
        <f>Glasindustrie!H689</f>
        <v>#N/A</v>
      </c>
      <c r="U69" s="106" t="e">
        <f>Glasindustrie!I689</f>
        <v>#N/A</v>
      </c>
      <c r="V69" s="106" t="e">
        <f>Glasindustrie!J689</f>
        <v>#N/A</v>
      </c>
      <c r="W69" s="106" t="e">
        <f>Glasindustrie!K689</f>
        <v>#N/A</v>
      </c>
      <c r="X69" s="106" t="e">
        <f>Glasindustrie!L689</f>
        <v>#N/A</v>
      </c>
      <c r="Z69" s="190" t="s">
        <v>1949</v>
      </c>
      <c r="AA69" s="40" t="s">
        <v>1207</v>
      </c>
      <c r="AB69" s="92" t="e">
        <f t="shared" ref="AB69:AH69" si="18">SUM(R115:R116)</f>
        <v>#N/A</v>
      </c>
      <c r="AC69" s="92" t="e">
        <f t="shared" si="18"/>
        <v>#N/A</v>
      </c>
      <c r="AD69" s="92" t="e">
        <f t="shared" si="18"/>
        <v>#N/A</v>
      </c>
      <c r="AE69" s="92" t="e">
        <f t="shared" si="18"/>
        <v>#N/A</v>
      </c>
      <c r="AF69" s="92" t="e">
        <f t="shared" si="18"/>
        <v>#N/A</v>
      </c>
      <c r="AG69" s="92" t="e">
        <f t="shared" si="18"/>
        <v>#N/A</v>
      </c>
      <c r="AH69" s="92" t="e">
        <f t="shared" si="18"/>
        <v>#N/A</v>
      </c>
    </row>
    <row r="70" spans="1:34" x14ac:dyDescent="0.35">
      <c r="A70" s="840" t="s">
        <v>289</v>
      </c>
      <c r="B70" s="846" t="str">
        <f t="shared" si="16"/>
        <v>GasPP</v>
      </c>
      <c r="O70" s="156" t="s">
        <v>2462</v>
      </c>
      <c r="P70" s="92"/>
      <c r="Q70" s="92" t="e">
        <f>VLOOKUP($O70,'CO2'!$A$2:$J$1909,Q$45,FALSE)</f>
        <v>#N/A</v>
      </c>
      <c r="R70" s="92" t="e">
        <f>VLOOKUP($O70,'CO2'!$A$2:$J$1909,R$45,FALSE)</f>
        <v>#N/A</v>
      </c>
      <c r="S70" s="92" t="e">
        <f>VLOOKUP($O70,'CO2'!$A$2:$J$1909,S$45,FALSE)</f>
        <v>#N/A</v>
      </c>
      <c r="T70" s="92" t="e">
        <f>VLOOKUP($O70,'CO2'!$A$2:$J$1909,T$45,FALSE)</f>
        <v>#N/A</v>
      </c>
      <c r="U70" s="92" t="e">
        <f>VLOOKUP($O70,'CO2'!$A$2:$J$1909,U$45,FALSE)</f>
        <v>#N/A</v>
      </c>
      <c r="V70" s="92" t="e">
        <f>VLOOKUP($O70,'CO2'!$A$2:$J$1909,V$45,FALSE)</f>
        <v>#N/A</v>
      </c>
      <c r="W70" s="92" t="e">
        <f>VLOOKUP($O70,'CO2'!$A$2:$J$1909,W$45,FALSE)</f>
        <v>#N/A</v>
      </c>
      <c r="X70" s="92" t="e">
        <f>VLOOKUP($O70,'CO2'!$A$2:$J$1909,X$45,FALSE)</f>
        <v>#N/A</v>
      </c>
      <c r="Z70" s="862" t="s">
        <v>4284</v>
      </c>
      <c r="AA70" s="40" t="s">
        <v>4285</v>
      </c>
      <c r="AB70" s="92" t="e">
        <f t="shared" ref="AB70:AH70" si="19">R214</f>
        <v>#N/A</v>
      </c>
      <c r="AC70" s="92" t="e">
        <f t="shared" si="19"/>
        <v>#N/A</v>
      </c>
      <c r="AD70" s="92" t="e">
        <f t="shared" si="19"/>
        <v>#N/A</v>
      </c>
      <c r="AE70" s="92" t="e">
        <f t="shared" si="19"/>
        <v>#N/A</v>
      </c>
      <c r="AF70" s="92" t="e">
        <f t="shared" si="19"/>
        <v>#N/A</v>
      </c>
      <c r="AG70" s="92" t="e">
        <f t="shared" si="19"/>
        <v>#N/A</v>
      </c>
      <c r="AH70" s="92" t="e">
        <f t="shared" si="19"/>
        <v>#N/A</v>
      </c>
    </row>
    <row r="71" spans="1:34" ht="15" thickBot="1" x14ac:dyDescent="0.4">
      <c r="A71" s="840" t="s">
        <v>2959</v>
      </c>
      <c r="B71" s="846" t="str">
        <f t="shared" si="16"/>
        <v>GasPaperChp</v>
      </c>
      <c r="O71" s="156" t="s">
        <v>2464</v>
      </c>
      <c r="P71" s="92"/>
      <c r="Q71" s="92" t="e">
        <f>VLOOKUP($O71,'CO2'!$A$2:$J$1909,Q$45,FALSE)</f>
        <v>#N/A</v>
      </c>
      <c r="R71" s="92" t="e">
        <f>VLOOKUP($O71,'CO2'!$A$2:$J$1909,R$45,FALSE)</f>
        <v>#N/A</v>
      </c>
      <c r="S71" s="92" t="e">
        <f>VLOOKUP($O71,'CO2'!$A$2:$J$1909,S$45,FALSE)</f>
        <v>#N/A</v>
      </c>
      <c r="T71" s="92" t="e">
        <f>VLOOKUP($O71,'CO2'!$A$2:$J$1909,T$45,FALSE)</f>
        <v>#N/A</v>
      </c>
      <c r="U71" s="92" t="e">
        <f>VLOOKUP($O71,'CO2'!$A$2:$J$1909,U$45,FALSE)</f>
        <v>#N/A</v>
      </c>
      <c r="V71" s="92" t="e">
        <f>VLOOKUP($O71,'CO2'!$A$2:$J$1909,V$45,FALSE)</f>
        <v>#N/A</v>
      </c>
      <c r="W71" s="92" t="e">
        <f>VLOOKUP($O71,'CO2'!$A$2:$J$1909,W$45,FALSE)</f>
        <v>#N/A</v>
      </c>
      <c r="X71" s="92" t="e">
        <f>VLOOKUP($O71,'CO2'!$A$2:$J$1909,X$45,FALSE)</f>
        <v>#N/A</v>
      </c>
      <c r="AA71" s="95" t="s">
        <v>1229</v>
      </c>
      <c r="AB71" s="77" t="e">
        <f>SUM(AB68:AB70)</f>
        <v>#N/A</v>
      </c>
      <c r="AC71" s="77" t="e">
        <f t="shared" ref="AC71:AH71" si="20">SUM(AC68:AC70)</f>
        <v>#N/A</v>
      </c>
      <c r="AD71" s="77" t="e">
        <f t="shared" si="20"/>
        <v>#N/A</v>
      </c>
      <c r="AE71" s="77" t="e">
        <f t="shared" si="20"/>
        <v>#N/A</v>
      </c>
      <c r="AF71" s="77" t="e">
        <f t="shared" si="20"/>
        <v>#N/A</v>
      </c>
      <c r="AG71" s="77" t="e">
        <f>SUM(AG68:AG70)</f>
        <v>#N/A</v>
      </c>
      <c r="AH71" s="77" t="e">
        <f t="shared" si="20"/>
        <v>#N/A</v>
      </c>
    </row>
    <row r="72" spans="1:34" x14ac:dyDescent="0.35">
      <c r="A72" s="840" t="s">
        <v>2960</v>
      </c>
      <c r="B72" s="846" t="str">
        <f t="shared" si="16"/>
        <v>GasPaperHp</v>
      </c>
      <c r="O72" s="156" t="s">
        <v>205</v>
      </c>
      <c r="P72" s="92"/>
      <c r="Q72" s="92" t="e">
        <f>VLOOKUP($O72,'CO2'!$A$2:$J$1909,Q$45,FALSE)</f>
        <v>#N/A</v>
      </c>
      <c r="R72" s="92" t="e">
        <f>VLOOKUP($O72,'CO2'!$A$2:$J$1909,R$45,FALSE)</f>
        <v>#N/A</v>
      </c>
      <c r="S72" s="92" t="e">
        <f>VLOOKUP($O72,'CO2'!$A$2:$J$1909,S$45,FALSE)</f>
        <v>#N/A</v>
      </c>
      <c r="T72" s="92" t="e">
        <f>VLOOKUP($O72,'CO2'!$A$2:$J$1909,T$45,FALSE)</f>
        <v>#N/A</v>
      </c>
      <c r="U72" s="92" t="e">
        <f>VLOOKUP($O72,'CO2'!$A$2:$J$1909,U$45,FALSE)</f>
        <v>#N/A</v>
      </c>
      <c r="V72" s="92" t="e">
        <f>VLOOKUP($O72,'CO2'!$A$2:$J$1909,V$45,FALSE)</f>
        <v>#N/A</v>
      </c>
      <c r="W72" s="92" t="e">
        <f>VLOOKUP($O72,'CO2'!$A$2:$J$1909,W$45,FALSE)</f>
        <v>#N/A</v>
      </c>
      <c r="X72" s="92" t="e">
        <f>VLOOKUP($O72,'CO2'!$A$2:$J$1909,X$45,FALSE)</f>
        <v>#N/A</v>
      </c>
    </row>
    <row r="73" spans="1:34" x14ac:dyDescent="0.35">
      <c r="A73" s="840" t="s">
        <v>290</v>
      </c>
      <c r="B73" s="846" t="str">
        <f t="shared" si="16"/>
        <v>GasolineBusPT</v>
      </c>
      <c r="O73" s="156" t="s">
        <v>203</v>
      </c>
      <c r="P73" s="92"/>
      <c r="Q73" s="92" t="e">
        <f>VLOOKUP($O73,'CO2'!$A$2:$J$1909,Q$45,FALSE)</f>
        <v>#N/A</v>
      </c>
      <c r="R73" s="92" t="e">
        <f>VLOOKUP($O73,'CO2'!$A$2:$J$1909,R$45,FALSE)</f>
        <v>#N/A</v>
      </c>
      <c r="S73" s="92" t="e">
        <f>VLOOKUP($O73,'CO2'!$A$2:$J$1909,S$45,FALSE)</f>
        <v>#N/A</v>
      </c>
      <c r="T73" s="92" t="e">
        <f>VLOOKUP($O73,'CO2'!$A$2:$J$1909,T$45,FALSE)</f>
        <v>#N/A</v>
      </c>
      <c r="U73" s="92" t="e">
        <f>VLOOKUP($O73,'CO2'!$A$2:$J$1909,U$45,FALSE)</f>
        <v>#N/A</v>
      </c>
      <c r="V73" s="92" t="e">
        <f>VLOOKUP($O73,'CO2'!$A$2:$J$1909,V$45,FALSE)</f>
        <v>#N/A</v>
      </c>
      <c r="W73" s="92" t="e">
        <f>VLOOKUP($O73,'CO2'!$A$2:$J$1909,W$45,FALSE)</f>
        <v>#N/A</v>
      </c>
      <c r="X73" s="92" t="e">
        <f>VLOOKUP($O73,'CO2'!$A$2:$J$1909,X$45,FALSE)</f>
        <v>#N/A</v>
      </c>
    </row>
    <row r="74" spans="1:34" x14ac:dyDescent="0.35">
      <c r="A74" s="840" t="s">
        <v>291</v>
      </c>
      <c r="B74" s="846" t="str">
        <f t="shared" si="16"/>
        <v>GasolinePCar</v>
      </c>
      <c r="O74" s="156" t="s">
        <v>327</v>
      </c>
      <c r="P74" s="92"/>
      <c r="Q74" s="92" t="e">
        <f>VLOOKUP($O74,'CO2'!$A$2:$J$1909,Q$45,FALSE)</f>
        <v>#N/A</v>
      </c>
      <c r="R74" s="92" t="e">
        <f>VLOOKUP($O74,'CO2'!$A$2:$J$1909,R$45,FALSE)</f>
        <v>#N/A</v>
      </c>
      <c r="S74" s="92" t="e">
        <f>VLOOKUP($O74,'CO2'!$A$2:$J$1909,S$45,FALSE)</f>
        <v>#N/A</v>
      </c>
      <c r="T74" s="92" t="e">
        <f>VLOOKUP($O74,'CO2'!$A$2:$J$1909,T$45,FALSE)</f>
        <v>#N/A</v>
      </c>
      <c r="U74" s="92" t="e">
        <f>VLOOKUP($O74,'CO2'!$A$2:$J$1909,U$45,FALSE)</f>
        <v>#N/A</v>
      </c>
      <c r="V74" s="92" t="e">
        <f>VLOOKUP($O74,'CO2'!$A$2:$J$1909,V$45,FALSE)</f>
        <v>#N/A</v>
      </c>
      <c r="W74" s="92" t="e">
        <f>VLOOKUP($O74,'CO2'!$A$2:$J$1909,W$45,FALSE)</f>
        <v>#N/A</v>
      </c>
      <c r="X74" s="92" t="e">
        <f>VLOOKUP($O74,'CO2'!$A$2:$J$1909,X$45,FALSE)</f>
        <v>#N/A</v>
      </c>
    </row>
    <row r="75" spans="1:34" ht="15" thickBot="1" x14ac:dyDescent="0.4">
      <c r="A75" s="840" t="s">
        <v>292</v>
      </c>
      <c r="B75" s="846" t="str">
        <f t="shared" si="16"/>
        <v>GasolineSource</v>
      </c>
      <c r="O75" s="156" t="s">
        <v>331</v>
      </c>
      <c r="P75" s="92"/>
      <c r="Q75" s="92" t="e">
        <f>VLOOKUP($O75,'CO2'!$A$2:$J$1909,Q$45,FALSE)</f>
        <v>#N/A</v>
      </c>
      <c r="R75" s="92" t="e">
        <f>VLOOKUP($O75,'CO2'!$A$2:$J$1909,R$45,FALSE)</f>
        <v>#N/A</v>
      </c>
      <c r="S75" s="92" t="e">
        <f>VLOOKUP($O75,'CO2'!$A$2:$J$1909,S$45,FALSE)</f>
        <v>#N/A</v>
      </c>
      <c r="T75" s="92" t="e">
        <f>VLOOKUP($O75,'CO2'!$A$2:$J$1909,T$45,FALSE)</f>
        <v>#N/A</v>
      </c>
      <c r="U75" s="92" t="e">
        <f>VLOOKUP($O75,'CO2'!$A$2:$J$1909,U$45,FALSE)</f>
        <v>#N/A</v>
      </c>
      <c r="V75" s="92" t="e">
        <f>VLOOKUP($O75,'CO2'!$A$2:$J$1909,V$45,FALSE)</f>
        <v>#N/A</v>
      </c>
      <c r="W75" s="92" t="e">
        <f>VLOOKUP($O75,'CO2'!$A$2:$J$1909,W$45,FALSE)</f>
        <v>#N/A</v>
      </c>
      <c r="X75" s="92" t="e">
        <f>VLOOKUP($O75,'CO2'!$A$2:$J$1909,X$45,FALSE)</f>
        <v>#N/A</v>
      </c>
    </row>
    <row r="76" spans="1:34" x14ac:dyDescent="0.35">
      <c r="A76" s="840" t="s">
        <v>293</v>
      </c>
      <c r="B76" s="846" t="str">
        <f t="shared" si="16"/>
        <v>GasolineTruckFT</v>
      </c>
      <c r="O76" s="156" t="s">
        <v>333</v>
      </c>
      <c r="P76" s="92"/>
      <c r="Q76" s="92" t="e">
        <f>VLOOKUP($O76,'CO2'!$A$2:$J$1909,Q$45,FALSE)</f>
        <v>#N/A</v>
      </c>
      <c r="R76" s="92" t="e">
        <f>VLOOKUP($O76,'CO2'!$A$2:$J$1909,R$45,FALSE)</f>
        <v>#N/A</v>
      </c>
      <c r="S76" s="92" t="e">
        <f>VLOOKUP($O76,'CO2'!$A$2:$J$1909,S$45,FALSE)</f>
        <v>#N/A</v>
      </c>
      <c r="T76" s="92" t="e">
        <f>VLOOKUP($O76,'CO2'!$A$2:$J$1909,T$45,FALSE)</f>
        <v>#N/A</v>
      </c>
      <c r="U76" s="92" t="e">
        <f>VLOOKUP($O76,'CO2'!$A$2:$J$1909,U$45,FALSE)</f>
        <v>#N/A</v>
      </c>
      <c r="V76" s="92" t="e">
        <f>VLOOKUP($O76,'CO2'!$A$2:$J$1909,V$45,FALSE)</f>
        <v>#N/A</v>
      </c>
      <c r="W76" s="92" t="e">
        <f>VLOOKUP($O76,'CO2'!$A$2:$J$1909,W$45,FALSE)</f>
        <v>#N/A</v>
      </c>
      <c r="X76" s="92" t="e">
        <f>VLOOKUP($O76,'CO2'!$A$2:$J$1909,X$45,FALSE)</f>
        <v>#N/A</v>
      </c>
      <c r="AA76" s="91" t="s">
        <v>1453</v>
      </c>
      <c r="AB76" s="88" t="s">
        <v>1165</v>
      </c>
      <c r="AC76" s="89"/>
      <c r="AD76" s="89"/>
      <c r="AE76" s="89"/>
      <c r="AF76" s="89"/>
      <c r="AG76" s="89"/>
      <c r="AH76" s="89"/>
    </row>
    <row r="77" spans="1:34" x14ac:dyDescent="0.35">
      <c r="A77" s="840" t="s">
        <v>294</v>
      </c>
      <c r="B77" s="846" t="str">
        <f t="shared" si="16"/>
        <v>GasolineTruckSFT</v>
      </c>
      <c r="O77" s="156" t="s">
        <v>334</v>
      </c>
      <c r="P77" s="92"/>
      <c r="Q77" s="92" t="e">
        <f>VLOOKUP($O77,'CO2'!$A$2:$J$1909,Q$45,FALSE)</f>
        <v>#N/A</v>
      </c>
      <c r="R77" s="92" t="e">
        <f>VLOOKUP($O77,'CO2'!$A$2:$J$1909,R$45,FALSE)</f>
        <v>#N/A</v>
      </c>
      <c r="S77" s="92" t="e">
        <f>VLOOKUP($O77,'CO2'!$A$2:$J$1909,S$45,FALSE)</f>
        <v>#N/A</v>
      </c>
      <c r="T77" s="92" t="e">
        <f>VLOOKUP($O77,'CO2'!$A$2:$J$1909,T$45,FALSE)</f>
        <v>#N/A</v>
      </c>
      <c r="U77" s="92" t="e">
        <f>VLOOKUP($O77,'CO2'!$A$2:$J$1909,U$45,FALSE)</f>
        <v>#N/A</v>
      </c>
      <c r="V77" s="92" t="e">
        <f>VLOOKUP($O77,'CO2'!$A$2:$J$1909,V$45,FALSE)</f>
        <v>#N/A</v>
      </c>
      <c r="W77" s="92" t="e">
        <f>VLOOKUP($O77,'CO2'!$A$2:$J$1909,W$45,FALSE)</f>
        <v>#N/A</v>
      </c>
      <c r="X77" s="92" t="e">
        <f>VLOOKUP($O77,'CO2'!$A$2:$J$1909,X$45,FALSE)</f>
        <v>#N/A</v>
      </c>
      <c r="AA77" s="40" t="s">
        <v>1457</v>
      </c>
      <c r="AB77" s="133">
        <v>2020</v>
      </c>
      <c r="AC77" s="133">
        <v>2025</v>
      </c>
      <c r="AD77" s="133">
        <v>2030</v>
      </c>
      <c r="AE77" s="133">
        <v>2035</v>
      </c>
      <c r="AF77" s="133">
        <v>2040</v>
      </c>
      <c r="AG77" s="133">
        <v>2045</v>
      </c>
      <c r="AH77" s="133">
        <v>2050</v>
      </c>
    </row>
    <row r="78" spans="1:34" x14ac:dyDescent="0.35">
      <c r="A78" s="840" t="s">
        <v>3678</v>
      </c>
      <c r="B78" s="846" t="e">
        <f t="shared" si="16"/>
        <v>#N/A</v>
      </c>
      <c r="O78" s="156" t="s">
        <v>335</v>
      </c>
      <c r="P78" s="92"/>
      <c r="Q78" s="92" t="e">
        <f>VLOOKUP($O78,'CO2'!$A$2:$J$1909,Q$45,FALSE)</f>
        <v>#N/A</v>
      </c>
      <c r="R78" s="92" t="e">
        <f>VLOOKUP($O78,'CO2'!$A$2:$J$1909,R$45,FALSE)</f>
        <v>#N/A</v>
      </c>
      <c r="S78" s="92" t="e">
        <f>VLOOKUP($O78,'CO2'!$A$2:$J$1909,S$45,FALSE)</f>
        <v>#N/A</v>
      </c>
      <c r="T78" s="92" t="e">
        <f>VLOOKUP($O78,'CO2'!$A$2:$J$1909,T$45,FALSE)</f>
        <v>#N/A</v>
      </c>
      <c r="U78" s="92" t="e">
        <f>VLOOKUP($O78,'CO2'!$A$2:$J$1909,U$45,FALSE)</f>
        <v>#N/A</v>
      </c>
      <c r="V78" s="92" t="e">
        <f>VLOOKUP($O78,'CO2'!$A$2:$J$1909,V$45,FALSE)</f>
        <v>#N/A</v>
      </c>
      <c r="W78" s="92" t="e">
        <f>VLOOKUP($O78,'CO2'!$A$2:$J$1909,W$45,FALSE)</f>
        <v>#N/A</v>
      </c>
      <c r="X78" s="92" t="e">
        <f>VLOOKUP($O78,'CO2'!$A$2:$J$1909,X$45,FALSE)</f>
        <v>#N/A</v>
      </c>
      <c r="Z78" s="190" t="s">
        <v>1950</v>
      </c>
      <c r="AA78" s="40" t="s">
        <v>1458</v>
      </c>
      <c r="AB78" s="92" t="e">
        <f t="shared" ref="AB78:AH78" si="21">SUM(R126:R127,R131:R155)</f>
        <v>#N/A</v>
      </c>
      <c r="AC78" s="92" t="e">
        <f t="shared" si="21"/>
        <v>#N/A</v>
      </c>
      <c r="AD78" s="92" t="e">
        <f t="shared" si="21"/>
        <v>#N/A</v>
      </c>
      <c r="AE78" s="92" t="e">
        <f t="shared" si="21"/>
        <v>#N/A</v>
      </c>
      <c r="AF78" s="92" t="e">
        <f t="shared" si="21"/>
        <v>#N/A</v>
      </c>
      <c r="AG78" s="92" t="e">
        <f t="shared" si="21"/>
        <v>#N/A</v>
      </c>
      <c r="AH78" s="92" t="e">
        <f t="shared" si="21"/>
        <v>#N/A</v>
      </c>
    </row>
    <row r="79" spans="1:34" x14ac:dyDescent="0.35">
      <c r="A79" s="840" t="s">
        <v>3687</v>
      </c>
      <c r="B79" s="846" t="e">
        <f t="shared" si="16"/>
        <v>#N/A</v>
      </c>
      <c r="O79" s="156" t="s">
        <v>336</v>
      </c>
      <c r="P79" s="92"/>
      <c r="Q79" s="92" t="e">
        <f>VLOOKUP($O79,'CO2'!$A$2:$J$1909,Q$45,FALSE)</f>
        <v>#N/A</v>
      </c>
      <c r="R79" s="92" t="e">
        <f>VLOOKUP($O79,'CO2'!$A$2:$J$1909,R$45,FALSE)</f>
        <v>#N/A</v>
      </c>
      <c r="S79" s="92" t="e">
        <f>VLOOKUP($O79,'CO2'!$A$2:$J$1909,S$45,FALSE)</f>
        <v>#N/A</v>
      </c>
      <c r="T79" s="92" t="e">
        <f>VLOOKUP($O79,'CO2'!$A$2:$J$1909,T$45,FALSE)</f>
        <v>#N/A</v>
      </c>
      <c r="U79" s="92" t="e">
        <f>VLOOKUP($O79,'CO2'!$A$2:$J$1909,U$45,FALSE)</f>
        <v>#N/A</v>
      </c>
      <c r="V79" s="92" t="e">
        <f>VLOOKUP($O79,'CO2'!$A$2:$J$1909,V$45,FALSE)</f>
        <v>#N/A</v>
      </c>
      <c r="W79" s="92" t="e">
        <f>VLOOKUP($O79,'CO2'!$A$2:$J$1909,W$45,FALSE)</f>
        <v>#N/A</v>
      </c>
      <c r="X79" s="92" t="e">
        <f>VLOOKUP($O79,'CO2'!$A$2:$J$1909,X$45,FALSE)</f>
        <v>#N/A</v>
      </c>
      <c r="Z79" s="190" t="s">
        <v>1951</v>
      </c>
      <c r="AA79" s="40" t="s">
        <v>1459</v>
      </c>
      <c r="AB79" s="92" t="e">
        <f t="shared" ref="AB79:AH79" si="22">SUM(R128:R130)</f>
        <v>#N/A</v>
      </c>
      <c r="AC79" s="92" t="e">
        <f t="shared" si="22"/>
        <v>#N/A</v>
      </c>
      <c r="AD79" s="92" t="e">
        <f t="shared" si="22"/>
        <v>#N/A</v>
      </c>
      <c r="AE79" s="92" t="e">
        <f t="shared" si="22"/>
        <v>#N/A</v>
      </c>
      <c r="AF79" s="92" t="e">
        <f t="shared" si="22"/>
        <v>#N/A</v>
      </c>
      <c r="AG79" s="92" t="e">
        <f t="shared" si="22"/>
        <v>#N/A</v>
      </c>
      <c r="AH79" s="92" t="e">
        <f t="shared" si="22"/>
        <v>#N/A</v>
      </c>
    </row>
    <row r="80" spans="1:34" x14ac:dyDescent="0.35">
      <c r="A80" s="840" t="s">
        <v>3672</v>
      </c>
      <c r="B80" s="846" t="e">
        <f t="shared" si="16"/>
        <v>#N/A</v>
      </c>
      <c r="O80" s="156" t="s">
        <v>338</v>
      </c>
      <c r="P80" s="92"/>
      <c r="Q80" s="92" t="e">
        <f>VLOOKUP($O80,'CO2'!$A$2:$J$1909,Q$45,FALSE)</f>
        <v>#N/A</v>
      </c>
      <c r="R80" s="92" t="e">
        <f>VLOOKUP($O80,'CO2'!$A$2:$J$1909,R$45,FALSE)</f>
        <v>#N/A</v>
      </c>
      <c r="S80" s="92" t="e">
        <f>VLOOKUP($O80,'CO2'!$A$2:$J$1909,S$45,FALSE)</f>
        <v>#N/A</v>
      </c>
      <c r="T80" s="92" t="e">
        <f>VLOOKUP($O80,'CO2'!$A$2:$J$1909,T$45,FALSE)</f>
        <v>#N/A</v>
      </c>
      <c r="U80" s="92" t="e">
        <f>VLOOKUP($O80,'CO2'!$A$2:$J$1909,U$45,FALSE)</f>
        <v>#N/A</v>
      </c>
      <c r="V80" s="92" t="e">
        <f>VLOOKUP($O80,'CO2'!$A$2:$J$1909,V$45,FALSE)</f>
        <v>#N/A</v>
      </c>
      <c r="W80" s="92" t="e">
        <f>VLOOKUP($O80,'CO2'!$A$2:$J$1909,W$45,FALSE)</f>
        <v>#N/A</v>
      </c>
      <c r="X80" s="92" t="e">
        <f>VLOOKUP($O80,'CO2'!$A$2:$J$1909,X$45,FALSE)</f>
        <v>#N/A</v>
      </c>
      <c r="Z80" s="862" t="s">
        <v>4284</v>
      </c>
      <c r="AA80" s="40" t="s">
        <v>4285</v>
      </c>
      <c r="AB80" s="92" t="e">
        <f t="shared" ref="AB80:AH80" si="23">R215</f>
        <v>#N/A</v>
      </c>
      <c r="AC80" s="92" t="e">
        <f t="shared" si="23"/>
        <v>#N/A</v>
      </c>
      <c r="AD80" s="92" t="e">
        <f t="shared" si="23"/>
        <v>#N/A</v>
      </c>
      <c r="AE80" s="92" t="e">
        <f t="shared" si="23"/>
        <v>#N/A</v>
      </c>
      <c r="AF80" s="92" t="e">
        <f t="shared" si="23"/>
        <v>#N/A</v>
      </c>
      <c r="AG80" s="92" t="e">
        <f t="shared" si="23"/>
        <v>#N/A</v>
      </c>
      <c r="AH80" s="92" t="e">
        <f t="shared" si="23"/>
        <v>#N/A</v>
      </c>
    </row>
    <row r="81" spans="1:35" ht="15" thickBot="1" x14ac:dyDescent="0.4">
      <c r="A81" s="840" t="s">
        <v>3681</v>
      </c>
      <c r="B81" s="846" t="e">
        <f t="shared" si="16"/>
        <v>#N/A</v>
      </c>
      <c r="O81" s="156" t="s">
        <v>2459</v>
      </c>
      <c r="P81" s="92"/>
      <c r="Q81" s="92" t="e">
        <f>VLOOKUP($O81,'CO2'!$A$2:$J$1909,Q$45,FALSE)</f>
        <v>#N/A</v>
      </c>
      <c r="R81" s="92" t="e">
        <f>VLOOKUP($O81,'CO2'!$A$2:$J$1909,R$45,FALSE)</f>
        <v>#N/A</v>
      </c>
      <c r="S81" s="92" t="e">
        <f>VLOOKUP($O81,'CO2'!$A$2:$J$1909,S$45,FALSE)</f>
        <v>#N/A</v>
      </c>
      <c r="T81" s="92" t="e">
        <f>VLOOKUP($O81,'CO2'!$A$2:$J$1909,T$45,FALSE)</f>
        <v>#N/A</v>
      </c>
      <c r="U81" s="92" t="e">
        <f>VLOOKUP($O81,'CO2'!$A$2:$J$1909,U$45,FALSE)</f>
        <v>#N/A</v>
      </c>
      <c r="V81" s="92" t="e">
        <f>VLOOKUP($O81,'CO2'!$A$2:$J$1909,V$45,FALSE)</f>
        <v>#N/A</v>
      </c>
      <c r="W81" s="92" t="e">
        <f>VLOOKUP($O81,'CO2'!$A$2:$J$1909,W$45,FALSE)</f>
        <v>#N/A</v>
      </c>
      <c r="X81" s="92" t="e">
        <f>VLOOKUP($O81,'CO2'!$A$2:$J$1909,X$45,FALSE)</f>
        <v>#N/A</v>
      </c>
      <c r="AA81" s="41" t="s">
        <v>1229</v>
      </c>
      <c r="AB81" s="77" t="e">
        <f>SUM(AB78:AB80)</f>
        <v>#N/A</v>
      </c>
      <c r="AC81" s="77" t="e">
        <f t="shared" ref="AC81:AH81" si="24">SUM(AC78:AC80)</f>
        <v>#N/A</v>
      </c>
      <c r="AD81" s="77" t="e">
        <f t="shared" si="24"/>
        <v>#N/A</v>
      </c>
      <c r="AE81" s="77" t="e">
        <f t="shared" si="24"/>
        <v>#N/A</v>
      </c>
      <c r="AF81" s="77" t="e">
        <f t="shared" si="24"/>
        <v>#N/A</v>
      </c>
      <c r="AG81" s="77" t="e">
        <f t="shared" si="24"/>
        <v>#N/A</v>
      </c>
      <c r="AH81" s="77" t="e">
        <f t="shared" si="24"/>
        <v>#N/A</v>
      </c>
    </row>
    <row r="82" spans="1:35" x14ac:dyDescent="0.35">
      <c r="A82" s="840" t="s">
        <v>3673</v>
      </c>
      <c r="B82" s="846" t="e">
        <f t="shared" si="16"/>
        <v>#N/A</v>
      </c>
      <c r="O82" s="156" t="s">
        <v>2463</v>
      </c>
      <c r="P82" s="92"/>
      <c r="Q82" s="92" t="e">
        <f>VLOOKUP($O82,'CO2'!$A$2:$J$1909,Q$45,FALSE)</f>
        <v>#N/A</v>
      </c>
      <c r="R82" s="92" t="e">
        <f>VLOOKUP($O82,'CO2'!$A$2:$J$1909,R$45,FALSE)</f>
        <v>#N/A</v>
      </c>
      <c r="S82" s="92" t="e">
        <f>VLOOKUP($O82,'CO2'!$A$2:$J$1909,S$45,FALSE)</f>
        <v>#N/A</v>
      </c>
      <c r="T82" s="92" t="e">
        <f>VLOOKUP($O82,'CO2'!$A$2:$J$1909,T$45,FALSE)</f>
        <v>#N/A</v>
      </c>
      <c r="U82" s="92" t="e">
        <f>VLOOKUP($O82,'CO2'!$A$2:$J$1909,U$45,FALSE)</f>
        <v>#N/A</v>
      </c>
      <c r="V82" s="92" t="e">
        <f>VLOOKUP($O82,'CO2'!$A$2:$J$1909,V$45,FALSE)</f>
        <v>#N/A</v>
      </c>
      <c r="W82" s="92" t="e">
        <f>VLOOKUP($O82,'CO2'!$A$2:$J$1909,W$45,FALSE)</f>
        <v>#N/A</v>
      </c>
      <c r="X82" s="92" t="e">
        <f>VLOOKUP($O82,'CO2'!$A$2:$J$1909,X$45,FALSE)</f>
        <v>#N/A</v>
      </c>
    </row>
    <row r="83" spans="1:35" x14ac:dyDescent="0.35">
      <c r="A83" s="840" t="s">
        <v>3682</v>
      </c>
      <c r="B83" s="846" t="e">
        <f t="shared" si="16"/>
        <v>#N/A</v>
      </c>
      <c r="O83" s="156" t="s">
        <v>4169</v>
      </c>
      <c r="P83" s="92"/>
      <c r="Q83" s="92" t="e">
        <f>VLOOKUP($O83,'CO2'!$A$2:$J$1909,Q$45,FALSE)</f>
        <v>#N/A</v>
      </c>
      <c r="R83" s="92" t="e">
        <f>VLOOKUP($O83,'CO2'!$A$2:$J$1909,R$45,FALSE)</f>
        <v>#N/A</v>
      </c>
      <c r="S83" s="92" t="e">
        <f>VLOOKUP($O83,'CO2'!$A$2:$J$1909,S$45,FALSE)</f>
        <v>#N/A</v>
      </c>
      <c r="T83" s="92" t="e">
        <f>VLOOKUP($O83,'CO2'!$A$2:$J$1909,T$45,FALSE)</f>
        <v>#N/A</v>
      </c>
      <c r="U83" s="92" t="e">
        <f>VLOOKUP($O83,'CO2'!$A$2:$J$1909,U$45,FALSE)</f>
        <v>#N/A</v>
      </c>
      <c r="V83" s="92" t="e">
        <f>VLOOKUP($O83,'CO2'!$A$2:$J$1909,V$45,FALSE)</f>
        <v>#N/A</v>
      </c>
      <c r="W83" s="92" t="e">
        <f>VLOOKUP($O83,'CO2'!$A$2:$J$1909,W$45,FALSE)</f>
        <v>#N/A</v>
      </c>
      <c r="X83" s="92" t="e">
        <f>VLOOKUP($O83,'CO2'!$A$2:$J$1909,X$45,FALSE)</f>
        <v>#N/A</v>
      </c>
    </row>
    <row r="84" spans="1:35" x14ac:dyDescent="0.35">
      <c r="A84" s="840" t="s">
        <v>3674</v>
      </c>
      <c r="B84" s="846" t="e">
        <f t="shared" si="16"/>
        <v>#N/A</v>
      </c>
      <c r="O84" s="156" t="s">
        <v>2454</v>
      </c>
      <c r="Q84" s="92" t="e">
        <f>VLOOKUP($O84,'CO2'!$A$2:$J$1909,Q$45,FALSE)</f>
        <v>#N/A</v>
      </c>
      <c r="R84" s="92" t="e">
        <f>VLOOKUP($O84,'CO2'!$A$2:$J$1909,R$45,FALSE)</f>
        <v>#N/A</v>
      </c>
      <c r="S84" s="92" t="e">
        <f>VLOOKUP($O84,'CO2'!$A$2:$J$1909,S$45,FALSE)</f>
        <v>#N/A</v>
      </c>
      <c r="T84" s="92" t="e">
        <f>VLOOKUP($O84,'CO2'!$A$2:$J$1909,T$45,FALSE)</f>
        <v>#N/A</v>
      </c>
      <c r="U84" s="92" t="e">
        <f>VLOOKUP($O84,'CO2'!$A$2:$J$1909,U$45,FALSE)</f>
        <v>#N/A</v>
      </c>
      <c r="V84" s="92" t="e">
        <f>VLOOKUP($O84,'CO2'!$A$2:$J$1909,V$45,FALSE)</f>
        <v>#N/A</v>
      </c>
      <c r="W84" s="92" t="e">
        <f>VLOOKUP($O84,'CO2'!$A$2:$J$1909,W$45,FALSE)</f>
        <v>#N/A</v>
      </c>
      <c r="X84" s="92" t="e">
        <f>VLOOKUP($O84,'CO2'!$A$2:$J$1909,X$45,FALSE)</f>
        <v>#N/A</v>
      </c>
    </row>
    <row r="85" spans="1:35" x14ac:dyDescent="0.35">
      <c r="A85" s="840" t="s">
        <v>3683</v>
      </c>
      <c r="B85" s="846" t="e">
        <f t="shared" si="16"/>
        <v>#N/A</v>
      </c>
      <c r="O85" s="156" t="s">
        <v>2460</v>
      </c>
      <c r="Q85" s="92" t="e">
        <f>VLOOKUP($O85,'CO2'!$A$2:$J$1909,Q$45,FALSE)</f>
        <v>#N/A</v>
      </c>
      <c r="R85" s="92" t="e">
        <f>VLOOKUP($O85,'CO2'!$A$2:$J$1909,R$45,FALSE)</f>
        <v>#N/A</v>
      </c>
      <c r="S85" s="92" t="e">
        <f>VLOOKUP($O85,'CO2'!$A$2:$J$1909,S$45,FALSE)</f>
        <v>#N/A</v>
      </c>
      <c r="T85" s="92" t="e">
        <f>VLOOKUP($O85,'CO2'!$A$2:$J$1909,T$45,FALSE)</f>
        <v>#N/A</v>
      </c>
      <c r="U85" s="92" t="e">
        <f>VLOOKUP($O85,'CO2'!$A$2:$J$1909,U$45,FALSE)</f>
        <v>#N/A</v>
      </c>
      <c r="V85" s="92" t="e">
        <f>VLOOKUP($O85,'CO2'!$A$2:$J$1909,V$45,FALSE)</f>
        <v>#N/A</v>
      </c>
      <c r="W85" s="92" t="e">
        <f>VLOOKUP($O85,'CO2'!$A$2:$J$1909,W$45,FALSE)</f>
        <v>#N/A</v>
      </c>
      <c r="X85" s="92" t="e">
        <f>VLOOKUP($O85,'CO2'!$A$2:$J$1909,X$45,FALSE)</f>
        <v>#N/A</v>
      </c>
    </row>
    <row r="86" spans="1:35" x14ac:dyDescent="0.35">
      <c r="A86" s="840" t="s">
        <v>3679</v>
      </c>
      <c r="B86" s="846" t="e">
        <f t="shared" si="16"/>
        <v>#N/A</v>
      </c>
      <c r="O86" s="156" t="s">
        <v>2858</v>
      </c>
      <c r="Q86" s="92" t="e">
        <f>VLOOKUP($O86,'CO2'!$A$2:$J$1909,Q$45,FALSE)</f>
        <v>#N/A</v>
      </c>
      <c r="R86" s="92" t="e">
        <f>VLOOKUP($O86,'CO2'!$A$2:$J$1909,R$45,FALSE)</f>
        <v>#N/A</v>
      </c>
      <c r="S86" s="92" t="e">
        <f>VLOOKUP($O86,'CO2'!$A$2:$J$1909,S$45,FALSE)</f>
        <v>#N/A</v>
      </c>
      <c r="T86" s="92" t="e">
        <f>VLOOKUP($O86,'CO2'!$A$2:$J$1909,T$45,FALSE)</f>
        <v>#N/A</v>
      </c>
      <c r="U86" s="92" t="e">
        <f>VLOOKUP($O86,'CO2'!$A$2:$J$1909,U$45,FALSE)</f>
        <v>#N/A</v>
      </c>
      <c r="V86" s="92" t="e">
        <f>VLOOKUP($O86,'CO2'!$A$2:$J$1909,V$45,FALSE)</f>
        <v>#N/A</v>
      </c>
      <c r="W86" s="92" t="e">
        <f>VLOOKUP($O86,'CO2'!$A$2:$J$1909,W$45,FALSE)</f>
        <v>#N/A</v>
      </c>
      <c r="X86" s="92" t="e">
        <f>VLOOKUP($O86,'CO2'!$A$2:$J$1909,X$45,FALSE)</f>
        <v>#N/A</v>
      </c>
    </row>
    <row r="87" spans="1:35" x14ac:dyDescent="0.35">
      <c r="A87" s="840" t="s">
        <v>3688</v>
      </c>
      <c r="B87" s="846" t="e">
        <f t="shared" si="16"/>
        <v>#N/A</v>
      </c>
      <c r="O87" s="885" t="s">
        <v>3885</v>
      </c>
      <c r="P87" s="886"/>
      <c r="Q87" s="92" t="e">
        <f>VLOOKUP($O87,'CO2'!$A$2:$J$1909,Q$45,FALSE)</f>
        <v>#N/A</v>
      </c>
      <c r="R87" s="92" t="e">
        <f>VLOOKUP($O87,'CO2'!$A$2:$J$1909,R$45,FALSE)</f>
        <v>#N/A</v>
      </c>
      <c r="S87" s="92" t="e">
        <f>VLOOKUP($O87,'CO2'!$A$2:$J$1909,S$45,FALSE)</f>
        <v>#N/A</v>
      </c>
      <c r="T87" s="92" t="e">
        <f>VLOOKUP($O87,'CO2'!$A$2:$J$1909,T$45,FALSE)</f>
        <v>#N/A</v>
      </c>
      <c r="U87" s="92" t="e">
        <f>VLOOKUP($O87,'CO2'!$A$2:$J$1909,U$45,FALSE)</f>
        <v>#N/A</v>
      </c>
      <c r="V87" s="92" t="e">
        <f>VLOOKUP($O87,'CO2'!$A$2:$J$1909,V$45,FALSE)</f>
        <v>#N/A</v>
      </c>
      <c r="W87" s="92" t="e">
        <f>VLOOKUP($O87,'CO2'!$A$2:$J$1909,W$45,FALSE)</f>
        <v>#N/A</v>
      </c>
      <c r="X87" s="92" t="e">
        <f>VLOOKUP($O87,'CO2'!$A$2:$J$1909,X$45,FALSE)</f>
        <v>#N/A</v>
      </c>
    </row>
    <row r="88" spans="1:35" x14ac:dyDescent="0.35">
      <c r="A88" s="840" t="s">
        <v>3684</v>
      </c>
      <c r="B88" s="846" t="e">
        <f t="shared" si="16"/>
        <v>#N/A</v>
      </c>
      <c r="O88" s="156" t="s">
        <v>265</v>
      </c>
      <c r="P88" s="92"/>
      <c r="Q88" s="92" t="e">
        <f>VLOOKUP($O88,'CO2'!$A$2:$J$1909,Q$45,FALSE)</f>
        <v>#N/A</v>
      </c>
      <c r="R88" s="92" t="e">
        <f>VLOOKUP($O88,'CO2'!$A$2:$J$1909,R$45,FALSE)</f>
        <v>#N/A</v>
      </c>
      <c r="S88" s="92" t="e">
        <f>VLOOKUP($O88,'CO2'!$A$2:$J$1909,S$45,FALSE)</f>
        <v>#N/A</v>
      </c>
      <c r="T88" s="92" t="e">
        <f>VLOOKUP($O88,'CO2'!$A$2:$J$1909,T$45,FALSE)</f>
        <v>#N/A</v>
      </c>
      <c r="U88" s="92" t="e">
        <f>VLOOKUP($O88,'CO2'!$A$2:$J$1909,U$45,FALSE)</f>
        <v>#N/A</v>
      </c>
      <c r="V88" s="92" t="e">
        <f>VLOOKUP($O88,'CO2'!$A$2:$J$1909,V$45,FALSE)</f>
        <v>#N/A</v>
      </c>
      <c r="W88" s="92" t="e">
        <f>VLOOKUP($O88,'CO2'!$A$2:$J$1909,W$45,FALSE)</f>
        <v>#N/A</v>
      </c>
      <c r="X88" s="92" t="e">
        <f>VLOOKUP($O88,'CO2'!$A$2:$J$1909,X$45,FALSE)</f>
        <v>#N/A</v>
      </c>
    </row>
    <row r="89" spans="1:35" x14ac:dyDescent="0.35">
      <c r="A89" s="840" t="s">
        <v>3685</v>
      </c>
      <c r="B89" s="846" t="e">
        <f t="shared" si="16"/>
        <v>#N/A</v>
      </c>
      <c r="O89" s="839" t="s">
        <v>3914</v>
      </c>
      <c r="P89" s="839"/>
      <c r="Q89" s="92" t="e">
        <f>VLOOKUP($O89,'CO2'!$A$2:$J$1909,Q$45,FALSE)</f>
        <v>#N/A</v>
      </c>
      <c r="R89" s="92" t="e">
        <f>VLOOKUP($O89,'CO2'!$A$2:$J$1909,R$45,FALSE)</f>
        <v>#N/A</v>
      </c>
      <c r="S89" s="92" t="e">
        <f>VLOOKUP($O89,'CO2'!$A$2:$J$1909,S$45,FALSE)</f>
        <v>#N/A</v>
      </c>
      <c r="T89" s="92" t="e">
        <f>VLOOKUP($O89,'CO2'!$A$2:$J$1909,T$45,FALSE)</f>
        <v>#N/A</v>
      </c>
      <c r="U89" s="92" t="e">
        <f>VLOOKUP($O89,'CO2'!$A$2:$J$1909,U$45,FALSE)</f>
        <v>#N/A</v>
      </c>
      <c r="V89" s="92" t="e">
        <f>VLOOKUP($O89,'CO2'!$A$2:$J$1909,V$45,FALSE)</f>
        <v>#N/A</v>
      </c>
      <c r="W89" s="92" t="e">
        <f>VLOOKUP($O89,'CO2'!$A$2:$J$1909,W$45,FALSE)</f>
        <v>#N/A</v>
      </c>
      <c r="X89" s="92" t="e">
        <f>VLOOKUP($O89,'CO2'!$A$2:$J$1909,X$45,FALSE)</f>
        <v>#N/A</v>
      </c>
    </row>
    <row r="90" spans="1:35" x14ac:dyDescent="0.35">
      <c r="A90" s="840" t="s">
        <v>3686</v>
      </c>
      <c r="B90" s="846" t="e">
        <f t="shared" si="16"/>
        <v>#N/A</v>
      </c>
      <c r="O90" s="839" t="s">
        <v>2829</v>
      </c>
      <c r="P90" s="839"/>
      <c r="Q90" s="92" t="e">
        <f>VLOOKUP($O90,'CO2'!$A$2:$J$1909,Q$45,FALSE)</f>
        <v>#N/A</v>
      </c>
      <c r="R90" s="92" t="e">
        <f>VLOOKUP($O90,'CO2'!$A$2:$J$1909,R$45,FALSE)</f>
        <v>#N/A</v>
      </c>
      <c r="S90" s="92" t="e">
        <f>VLOOKUP($O90,'CO2'!$A$2:$J$1909,S$45,FALSE)</f>
        <v>#N/A</v>
      </c>
      <c r="T90" s="92" t="e">
        <f>VLOOKUP($O90,'CO2'!$A$2:$J$1909,T$45,FALSE)</f>
        <v>#N/A</v>
      </c>
      <c r="U90" s="92" t="e">
        <f>VLOOKUP($O90,'CO2'!$A$2:$J$1909,U$45,FALSE)</f>
        <v>#N/A</v>
      </c>
      <c r="V90" s="92" t="e">
        <f>VLOOKUP($O90,'CO2'!$A$2:$J$1909,V$45,FALSE)</f>
        <v>#N/A</v>
      </c>
      <c r="W90" s="92" t="e">
        <f>VLOOKUP($O90,'CO2'!$A$2:$J$1909,W$45,FALSE)</f>
        <v>#N/A</v>
      </c>
      <c r="X90" s="92" t="e">
        <f>VLOOKUP($O90,'CO2'!$A$2:$J$1909,X$45,FALSE)</f>
        <v>#N/A</v>
      </c>
    </row>
    <row r="91" spans="1:35" x14ac:dyDescent="0.35">
      <c r="A91" s="840" t="s">
        <v>3680</v>
      </c>
      <c r="B91" s="846" t="e">
        <f t="shared" si="16"/>
        <v>#N/A</v>
      </c>
      <c r="O91" s="157" t="s">
        <v>188</v>
      </c>
      <c r="P91" s="839"/>
      <c r="Q91" s="92" t="e">
        <f>VLOOKUP($O91,'CO2'!$A$2:$J$1909,Q$45,FALSE)</f>
        <v>#N/A</v>
      </c>
      <c r="R91" s="92" t="e">
        <f>VLOOKUP($O91,'CO2'!$A$2:$J$1909,R$45,FALSE)</f>
        <v>#N/A</v>
      </c>
      <c r="S91" s="92" t="e">
        <f>VLOOKUP($O91,'CO2'!$A$2:$J$1909,S$45,FALSE)</f>
        <v>#N/A</v>
      </c>
      <c r="T91" s="92" t="e">
        <f>VLOOKUP($O91,'CO2'!$A$2:$J$1909,T$45,FALSE)</f>
        <v>#N/A</v>
      </c>
      <c r="U91" s="92" t="e">
        <f>VLOOKUP($O91,'CO2'!$A$2:$J$1909,U$45,FALSE)</f>
        <v>#N/A</v>
      </c>
      <c r="V91" s="92" t="e">
        <f>VLOOKUP($O91,'CO2'!$A$2:$J$1909,V$45,FALSE)</f>
        <v>#N/A</v>
      </c>
      <c r="W91" s="92" t="e">
        <f>VLOOKUP($O91,'CO2'!$A$2:$J$1909,W$45,FALSE)</f>
        <v>#N/A</v>
      </c>
      <c r="X91" s="92" t="e">
        <f>VLOOKUP($O91,'CO2'!$A$2:$J$1909,X$45,FALSE)</f>
        <v>#N/A</v>
      </c>
    </row>
    <row r="92" spans="1:35" x14ac:dyDescent="0.35">
      <c r="A92" s="840" t="s">
        <v>3689</v>
      </c>
      <c r="B92" s="846" t="e">
        <f t="shared" si="16"/>
        <v>#N/A</v>
      </c>
      <c r="O92" s="157" t="s">
        <v>189</v>
      </c>
      <c r="P92" s="839"/>
      <c r="Q92" s="92" t="e">
        <f>VLOOKUP($O92,'CO2'!$A$2:$J$1909,Q$45,FALSE)</f>
        <v>#N/A</v>
      </c>
      <c r="R92" s="92" t="e">
        <f>VLOOKUP($O92,'CO2'!$A$2:$J$1909,R$45,FALSE)</f>
        <v>#N/A</v>
      </c>
      <c r="S92" s="92" t="e">
        <f>VLOOKUP($O92,'CO2'!$A$2:$J$1909,S$45,FALSE)</f>
        <v>#N/A</v>
      </c>
      <c r="T92" s="92" t="e">
        <f>VLOOKUP($O92,'CO2'!$A$2:$J$1909,T$45,FALSE)</f>
        <v>#N/A</v>
      </c>
      <c r="U92" s="92" t="e">
        <f>VLOOKUP($O92,'CO2'!$A$2:$J$1909,U$45,FALSE)</f>
        <v>#N/A</v>
      </c>
      <c r="V92" s="92" t="e">
        <f>VLOOKUP($O92,'CO2'!$A$2:$J$1909,V$45,FALSE)</f>
        <v>#N/A</v>
      </c>
      <c r="W92" s="92" t="e">
        <f>VLOOKUP($O92,'CO2'!$A$2:$J$1909,W$45,FALSE)</f>
        <v>#N/A</v>
      </c>
      <c r="X92" s="92" t="e">
        <f>VLOOKUP($O92,'CO2'!$A$2:$J$1909,X$45,FALSE)</f>
        <v>#N/A</v>
      </c>
    </row>
    <row r="93" spans="1:35" ht="15" thickBot="1" x14ac:dyDescent="0.4">
      <c r="A93" s="840" t="s">
        <v>2459</v>
      </c>
      <c r="B93" s="846" t="str">
        <f t="shared" si="16"/>
        <v>HaberBoschConv</v>
      </c>
      <c r="O93" s="157" t="s">
        <v>191</v>
      </c>
      <c r="P93" s="839"/>
      <c r="Q93" s="92" t="e">
        <f>VLOOKUP($O93,'CO2'!$A$2:$J$1909,Q$45,FALSE)</f>
        <v>#N/A</v>
      </c>
      <c r="R93" s="92" t="e">
        <f>VLOOKUP($O93,'CO2'!$A$2:$J$1909,R$45,FALSE)</f>
        <v>#N/A</v>
      </c>
      <c r="S93" s="92" t="e">
        <f>VLOOKUP($O93,'CO2'!$A$2:$J$1909,S$45,FALSE)</f>
        <v>#N/A</v>
      </c>
      <c r="T93" s="92" t="e">
        <f>VLOOKUP($O93,'CO2'!$A$2:$J$1909,T$45,FALSE)</f>
        <v>#N/A</v>
      </c>
      <c r="U93" s="92" t="e">
        <f>VLOOKUP($O93,'CO2'!$A$2:$J$1909,U$45,FALSE)</f>
        <v>#N/A</v>
      </c>
      <c r="V93" s="92" t="e">
        <f>VLOOKUP($O93,'CO2'!$A$2:$J$1909,V$45,FALSE)</f>
        <v>#N/A</v>
      </c>
      <c r="W93" s="92" t="e">
        <f>VLOOKUP($O93,'CO2'!$A$2:$J$1909,W$45,FALSE)</f>
        <v>#N/A</v>
      </c>
      <c r="X93" s="92" t="e">
        <f>VLOOKUP($O93,'CO2'!$A$2:$J$1909,X$45,FALSE)</f>
        <v>#N/A</v>
      </c>
    </row>
    <row r="94" spans="1:35" x14ac:dyDescent="0.35">
      <c r="A94" s="840" t="s">
        <v>2460</v>
      </c>
      <c r="B94" s="846" t="str">
        <f t="shared" si="16"/>
        <v>HallHeroultProcess</v>
      </c>
      <c r="O94" s="157" t="s">
        <v>192</v>
      </c>
      <c r="P94" s="839"/>
      <c r="Q94" s="92" t="e">
        <f>VLOOKUP($O94,'CO2'!$A$2:$J$1909,Q$45,FALSE)</f>
        <v>#N/A</v>
      </c>
      <c r="R94" s="92" t="e">
        <f>VLOOKUP($O94,'CO2'!$A$2:$J$1909,R$45,FALSE)</f>
        <v>#N/A</v>
      </c>
      <c r="S94" s="92" t="e">
        <f>VLOOKUP($O94,'CO2'!$A$2:$J$1909,S$45,FALSE)</f>
        <v>#N/A</v>
      </c>
      <c r="T94" s="92" t="e">
        <f>VLOOKUP($O94,'CO2'!$A$2:$J$1909,T$45,FALSE)</f>
        <v>#N/A</v>
      </c>
      <c r="U94" s="92" t="e">
        <f>VLOOKUP($O94,'CO2'!$A$2:$J$1909,U$45,FALSE)</f>
        <v>#N/A</v>
      </c>
      <c r="V94" s="92" t="e">
        <f>VLOOKUP($O94,'CO2'!$A$2:$J$1909,V$45,FALSE)</f>
        <v>#N/A</v>
      </c>
      <c r="W94" s="92" t="e">
        <f>VLOOKUP($O94,'CO2'!$A$2:$J$1909,W$45,FALSE)</f>
        <v>#N/A</v>
      </c>
      <c r="X94" s="92" t="e">
        <f>VLOOKUP($O94,'CO2'!$A$2:$J$1909,X$45,FALSE)</f>
        <v>#N/A</v>
      </c>
      <c r="AA94" s="91" t="s">
        <v>1453</v>
      </c>
      <c r="AB94" s="88" t="s">
        <v>1229</v>
      </c>
      <c r="AC94" s="89"/>
      <c r="AD94" s="89"/>
      <c r="AE94" s="89"/>
      <c r="AF94" s="89"/>
      <c r="AG94" s="89"/>
      <c r="AH94" s="89"/>
    </row>
    <row r="95" spans="1:35" x14ac:dyDescent="0.35">
      <c r="A95" s="840" t="s">
        <v>321</v>
      </c>
      <c r="B95" s="846" t="str">
        <f t="shared" si="16"/>
        <v>HyDieselPCar</v>
      </c>
      <c r="O95" s="157" t="s">
        <v>193</v>
      </c>
      <c r="P95" s="839"/>
      <c r="Q95" s="92" t="e">
        <f>VLOOKUP($O95,'CO2'!$A$2:$J$1909,Q$45,FALSE)</f>
        <v>#N/A</v>
      </c>
      <c r="R95" s="92" t="e">
        <f>VLOOKUP($O95,'CO2'!$A$2:$J$1909,R$45,FALSE)</f>
        <v>#N/A</v>
      </c>
      <c r="S95" s="92" t="e">
        <f>VLOOKUP($O95,'CO2'!$A$2:$J$1909,S$45,FALSE)</f>
        <v>#N/A</v>
      </c>
      <c r="T95" s="92" t="e">
        <f>VLOOKUP($O95,'CO2'!$A$2:$J$1909,T$45,FALSE)</f>
        <v>#N/A</v>
      </c>
      <c r="U95" s="92" t="e">
        <f>VLOOKUP($O95,'CO2'!$A$2:$J$1909,U$45,FALSE)</f>
        <v>#N/A</v>
      </c>
      <c r="V95" s="92" t="e">
        <f>VLOOKUP($O95,'CO2'!$A$2:$J$1909,V$45,FALSE)</f>
        <v>#N/A</v>
      </c>
      <c r="W95" s="92" t="e">
        <f>VLOOKUP($O95,'CO2'!$A$2:$J$1909,W$45,FALSE)</f>
        <v>#N/A</v>
      </c>
      <c r="X95" s="92" t="e">
        <f>VLOOKUP($O95,'CO2'!$A$2:$J$1909,X$45,FALSE)</f>
        <v>#N/A</v>
      </c>
      <c r="AA95" s="40" t="s">
        <v>1716</v>
      </c>
      <c r="AB95" s="133">
        <v>2020</v>
      </c>
      <c r="AC95" s="133">
        <v>2025</v>
      </c>
      <c r="AD95" s="133">
        <v>2030</v>
      </c>
      <c r="AE95" s="133">
        <v>2035</v>
      </c>
      <c r="AF95" s="133">
        <v>2040</v>
      </c>
      <c r="AG95" s="133">
        <v>2045</v>
      </c>
      <c r="AH95" s="133" t="s">
        <v>4474</v>
      </c>
      <c r="AI95" s="64" t="s">
        <v>4412</v>
      </c>
    </row>
    <row r="96" spans="1:35" x14ac:dyDescent="0.35">
      <c r="A96" s="840" t="s">
        <v>323</v>
      </c>
      <c r="B96" s="846" t="str">
        <f t="shared" si="16"/>
        <v>HyGasolinePCar</v>
      </c>
      <c r="O96" s="157" t="s">
        <v>1679</v>
      </c>
      <c r="P96" s="839"/>
      <c r="Q96" s="92" t="e">
        <f>VLOOKUP($O96,'CO2'!$A$2:$J$1909,Q$45,FALSE)</f>
        <v>#N/A</v>
      </c>
      <c r="R96" s="92" t="e">
        <f>VLOOKUP($O96,'CO2'!$A$2:$J$1909,R$45,FALSE)</f>
        <v>#N/A</v>
      </c>
      <c r="S96" s="92" t="e">
        <f>VLOOKUP($O96,'CO2'!$A$2:$J$1909,S$45,FALSE)</f>
        <v>#N/A</v>
      </c>
      <c r="T96" s="92" t="e">
        <f>VLOOKUP($O96,'CO2'!$A$2:$J$1909,T$45,FALSE)</f>
        <v>#N/A</v>
      </c>
      <c r="U96" s="92" t="e">
        <f>VLOOKUP($O96,'CO2'!$A$2:$J$1909,U$45,FALSE)</f>
        <v>#N/A</v>
      </c>
      <c r="V96" s="92" t="e">
        <f>VLOOKUP($O96,'CO2'!$A$2:$J$1909,V$45,FALSE)</f>
        <v>#N/A</v>
      </c>
      <c r="W96" s="92" t="e">
        <f>VLOOKUP($O96,'CO2'!$A$2:$J$1909,W$45,FALSE)</f>
        <v>#N/A</v>
      </c>
      <c r="X96" s="92" t="e">
        <f>VLOOKUP($O96,'CO2'!$A$2:$J$1909,X$45,FALSE)</f>
        <v>#N/A</v>
      </c>
      <c r="Z96" s="190" t="s">
        <v>1527</v>
      </c>
      <c r="AA96" s="40" t="s">
        <v>1163</v>
      </c>
      <c r="AB96" s="92" t="e">
        <f t="shared" ref="AB96:AG96" si="25">R43</f>
        <v>#N/A</v>
      </c>
      <c r="AC96" s="92" t="e">
        <f t="shared" si="25"/>
        <v>#N/A</v>
      </c>
      <c r="AD96" s="92" t="e">
        <f t="shared" si="25"/>
        <v>#N/A</v>
      </c>
      <c r="AE96" s="92" t="e">
        <f t="shared" si="25"/>
        <v>#N/A</v>
      </c>
      <c r="AF96" s="92" t="e">
        <f t="shared" si="25"/>
        <v>#N/A</v>
      </c>
      <c r="AG96" s="964" t="e">
        <f t="shared" si="25"/>
        <v>#N/A</v>
      </c>
      <c r="AH96" s="964">
        <v>3002.796669710182</v>
      </c>
      <c r="AI96" s="64">
        <v>290.02406996658135</v>
      </c>
    </row>
    <row r="97" spans="1:35" x14ac:dyDescent="0.35">
      <c r="A97" s="840" t="s">
        <v>327</v>
      </c>
      <c r="B97" s="846" t="str">
        <f t="shared" si="16"/>
        <v>I-BasicChemicals</v>
      </c>
      <c r="O97" s="839"/>
      <c r="P97" s="839"/>
      <c r="Q97" s="92"/>
      <c r="R97" s="92"/>
      <c r="S97" s="92"/>
      <c r="T97" s="92"/>
      <c r="U97" s="92"/>
      <c r="V97" s="92"/>
      <c r="W97" s="92"/>
      <c r="X97" s="92"/>
      <c r="Z97" s="190" t="s">
        <v>1468</v>
      </c>
      <c r="AA97" s="40" t="s">
        <v>1166</v>
      </c>
      <c r="AB97" s="92" t="e">
        <f t="shared" ref="AB97:AG97" si="26">R108</f>
        <v>#N/A</v>
      </c>
      <c r="AC97" s="92" t="e">
        <f t="shared" si="26"/>
        <v>#N/A</v>
      </c>
      <c r="AD97" s="92" t="e">
        <f t="shared" si="26"/>
        <v>#N/A</v>
      </c>
      <c r="AE97" s="92" t="e">
        <f t="shared" si="26"/>
        <v>#N/A</v>
      </c>
      <c r="AF97" s="92" t="e">
        <f t="shared" si="26"/>
        <v>#N/A</v>
      </c>
      <c r="AG97" s="92" t="e">
        <f t="shared" si="26"/>
        <v>#N/A</v>
      </c>
      <c r="AH97" s="962">
        <v>32357.048557901777</v>
      </c>
      <c r="AI97" s="64">
        <v>38092.019591906072</v>
      </c>
    </row>
    <row r="98" spans="1:35" x14ac:dyDescent="0.35">
      <c r="A98" s="840" t="s">
        <v>331</v>
      </c>
      <c r="B98" s="846" t="str">
        <f t="shared" ref="B98:B129" si="27">VLOOKUP($A98,$O$3:$X$1972,B$1,FALSE)</f>
        <v>I-MetalProcessing</v>
      </c>
      <c r="O98" s="157" t="s">
        <v>3020</v>
      </c>
      <c r="Q98" s="92" t="e">
        <f>VLOOKUP($O98,'CO2'!$A$2:$J$1909,Q$45,FALSE)</f>
        <v>#N/A</v>
      </c>
      <c r="R98" s="92" t="e">
        <f>VLOOKUP($O98,'CO2'!$A$2:$J$1909,R$45,FALSE)</f>
        <v>#N/A</v>
      </c>
      <c r="S98" s="92" t="e">
        <f>VLOOKUP($O98,'CO2'!$A$2:$J$1909,S$45,FALSE)</f>
        <v>#N/A</v>
      </c>
      <c r="T98" s="92" t="e">
        <f>VLOOKUP($O98,'CO2'!$A$2:$J$1909,T$45,FALSE)</f>
        <v>#N/A</v>
      </c>
      <c r="U98" s="92" t="e">
        <f>VLOOKUP($O98,'CO2'!$A$2:$J$1909,U$45,FALSE)</f>
        <v>#N/A</v>
      </c>
      <c r="V98" s="92" t="e">
        <f>VLOOKUP($O98,'CO2'!$A$2:$J$1909,V$45,FALSE)</f>
        <v>#N/A</v>
      </c>
      <c r="W98" s="92" t="e">
        <f>VLOOKUP($O98,'CO2'!$A$2:$J$1909,W$45,FALSE)</f>
        <v>#N/A</v>
      </c>
      <c r="X98" s="92" t="e">
        <f>VLOOKUP($O98,'CO2'!$A$2:$J$1909,X$45,FALSE)</f>
        <v>#N/A</v>
      </c>
      <c r="Z98" s="190" t="s">
        <v>1528</v>
      </c>
      <c r="AA98" s="40" t="s">
        <v>1218</v>
      </c>
      <c r="AB98" s="92" t="e">
        <f t="shared" ref="AB98:AG98" si="28">R122</f>
        <v>#N/A</v>
      </c>
      <c r="AC98" s="92" t="e">
        <f t="shared" si="28"/>
        <v>#N/A</v>
      </c>
      <c r="AD98" s="92" t="e">
        <f t="shared" si="28"/>
        <v>#N/A</v>
      </c>
      <c r="AE98" s="92" t="e">
        <f t="shared" si="28"/>
        <v>#N/A</v>
      </c>
      <c r="AF98" s="92" t="e">
        <f t="shared" si="28"/>
        <v>#N/A</v>
      </c>
      <c r="AG98" s="964" t="e">
        <f t="shared" si="28"/>
        <v>#N/A</v>
      </c>
      <c r="AH98" s="964">
        <v>573.7451517238992</v>
      </c>
      <c r="AI98" s="64">
        <v>2447.2839209343629</v>
      </c>
    </row>
    <row r="99" spans="1:35" x14ac:dyDescent="0.35">
      <c r="A99" s="840" t="s">
        <v>333</v>
      </c>
      <c r="B99" s="846" t="str">
        <f t="shared" si="27"/>
        <v>I-NonFerrousMetals</v>
      </c>
      <c r="O99" s="157" t="s">
        <v>3021</v>
      </c>
      <c r="P99" s="92"/>
      <c r="Q99" s="92" t="e">
        <f>VLOOKUP($O99,'CO2'!$A$2:$J$1909,Q$45,FALSE)</f>
        <v>#N/A</v>
      </c>
      <c r="R99" s="92" t="e">
        <f>VLOOKUP($O99,'CO2'!$A$2:$J$1909,R$45,FALSE)</f>
        <v>#N/A</v>
      </c>
      <c r="S99" s="92" t="e">
        <f>VLOOKUP($O99,'CO2'!$A$2:$J$1909,S$45,FALSE)</f>
        <v>#N/A</v>
      </c>
      <c r="T99" s="92" t="e">
        <f>VLOOKUP($O99,'CO2'!$A$2:$J$1909,T$45,FALSE)</f>
        <v>#N/A</v>
      </c>
      <c r="U99" s="92" t="e">
        <f>VLOOKUP($O99,'CO2'!$A$2:$J$1909,U$45,FALSE)</f>
        <v>#N/A</v>
      </c>
      <c r="V99" s="92" t="e">
        <f>VLOOKUP($O99,'CO2'!$A$2:$J$1909,V$45,FALSE)</f>
        <v>#N/A</v>
      </c>
      <c r="W99" s="92" t="e">
        <f>VLOOKUP($O99,'CO2'!$A$2:$J$1909,W$45,FALSE)</f>
        <v>#N/A</v>
      </c>
      <c r="X99" s="92" t="e">
        <f>VLOOKUP($O99,'CO2'!$A$2:$J$1909,X$45,FALSE)</f>
        <v>#N/A</v>
      </c>
      <c r="Z99" s="190" t="s">
        <v>1165</v>
      </c>
      <c r="AA99" s="40" t="s">
        <v>1165</v>
      </c>
      <c r="AB99" s="92" t="e">
        <f t="shared" ref="AB99:AG99" si="29">R168</f>
        <v>#N/A</v>
      </c>
      <c r="AC99" s="92" t="e">
        <f t="shared" si="29"/>
        <v>#N/A</v>
      </c>
      <c r="AD99" s="92" t="e">
        <f t="shared" si="29"/>
        <v>#N/A</v>
      </c>
      <c r="AE99" s="92" t="e">
        <f t="shared" si="29"/>
        <v>#N/A</v>
      </c>
      <c r="AF99" s="92" t="e">
        <f t="shared" si="29"/>
        <v>#N/A</v>
      </c>
      <c r="AG99" s="92" t="e">
        <f t="shared" si="29"/>
        <v>#N/A</v>
      </c>
      <c r="AH99" s="962">
        <v>119.17125322334059</v>
      </c>
      <c r="AI99" s="64">
        <v>123.08765383266349</v>
      </c>
    </row>
    <row r="100" spans="1:35" x14ac:dyDescent="0.35">
      <c r="A100" s="840" t="s">
        <v>334</v>
      </c>
      <c r="B100" s="846" t="str">
        <f t="shared" si="27"/>
        <v>I-OthChemicals</v>
      </c>
      <c r="O100" s="157" t="s">
        <v>2962</v>
      </c>
      <c r="P100" s="465"/>
      <c r="Q100" s="92" t="e">
        <f>VLOOKUP($O100,'CO2'!$A$2:$J$1909,Q$45,FALSE)</f>
        <v>#N/A</v>
      </c>
      <c r="R100" s="92" t="e">
        <f>VLOOKUP($O100,'CO2'!$A$2:$J$1909,R$45,FALSE)</f>
        <v>#N/A</v>
      </c>
      <c r="S100" s="92" t="e">
        <f>VLOOKUP($O100,'CO2'!$A$2:$J$1909,S$45,FALSE)</f>
        <v>#N/A</v>
      </c>
      <c r="T100" s="92" t="e">
        <f>VLOOKUP($O100,'CO2'!$A$2:$J$1909,T$45,FALSE)</f>
        <v>#N/A</v>
      </c>
      <c r="U100" s="92" t="e">
        <f>VLOOKUP($O100,'CO2'!$A$2:$J$1909,U$45,FALSE)</f>
        <v>#N/A</v>
      </c>
      <c r="V100" s="92" t="e">
        <f>VLOOKUP($O100,'CO2'!$A$2:$J$1909,V$45,FALSE)</f>
        <v>#N/A</v>
      </c>
      <c r="W100" s="92" t="e">
        <f>VLOOKUP($O100,'CO2'!$A$2:$J$1909,W$45,FALSE)</f>
        <v>#N/A</v>
      </c>
      <c r="X100" s="92" t="e">
        <f>VLOOKUP($O100,'CO2'!$A$2:$J$1909,X$45,FALSE)</f>
        <v>#N/A</v>
      </c>
      <c r="Z100" s="900" t="s">
        <v>4413</v>
      </c>
      <c r="AA100" s="40" t="s">
        <v>4122</v>
      </c>
      <c r="AB100" s="92" t="e">
        <f t="shared" ref="AB100:AG100" si="30">-R208</f>
        <v>#N/A</v>
      </c>
      <c r="AC100" s="92" t="e">
        <f t="shared" si="30"/>
        <v>#N/A</v>
      </c>
      <c r="AD100" s="92" t="e">
        <f t="shared" si="30"/>
        <v>#N/A</v>
      </c>
      <c r="AE100" s="92" t="e">
        <f t="shared" si="30"/>
        <v>#N/A</v>
      </c>
      <c r="AF100" s="92" t="e">
        <f t="shared" si="30"/>
        <v>#N/A</v>
      </c>
      <c r="AG100" s="92" t="e">
        <f t="shared" si="30"/>
        <v>#N/A</v>
      </c>
      <c r="AH100" s="962">
        <v>-90052.761168181285</v>
      </c>
      <c r="AI100" s="64">
        <v>-90052.415015626728</v>
      </c>
    </row>
    <row r="101" spans="1:35" x14ac:dyDescent="0.35">
      <c r="A101" s="840" t="s">
        <v>335</v>
      </c>
      <c r="B101" s="846" t="str">
        <f t="shared" si="27"/>
        <v>I-OthIndustries</v>
      </c>
      <c r="O101" s="157" t="s">
        <v>2957</v>
      </c>
      <c r="P101" s="92"/>
      <c r="Q101" s="92" t="e">
        <f>VLOOKUP($O101,'CO2'!$A$2:$J$1909,Q$45,FALSE)</f>
        <v>#N/A</v>
      </c>
      <c r="R101" s="92" t="e">
        <f>VLOOKUP($O101,'CO2'!$A$2:$J$1909,R$45,FALSE)</f>
        <v>#N/A</v>
      </c>
      <c r="S101" s="92" t="e">
        <f>VLOOKUP($O101,'CO2'!$A$2:$J$1909,S$45,FALSE)</f>
        <v>#N/A</v>
      </c>
      <c r="T101" s="92" t="e">
        <f>VLOOKUP($O101,'CO2'!$A$2:$J$1909,T$45,FALSE)</f>
        <v>#N/A</v>
      </c>
      <c r="U101" s="92" t="e">
        <f>VLOOKUP($O101,'CO2'!$A$2:$J$1909,U$45,FALSE)</f>
        <v>#N/A</v>
      </c>
      <c r="V101" s="92" t="e">
        <f>VLOOKUP($O101,'CO2'!$A$2:$J$1909,V$45,FALSE)</f>
        <v>#N/A</v>
      </c>
      <c r="W101" s="92" t="e">
        <f>VLOOKUP($O101,'CO2'!$A$2:$J$1909,W$45,FALSE)</f>
        <v>#N/A</v>
      </c>
      <c r="X101" s="92" t="e">
        <f>VLOOKUP($O101,'CO2'!$A$2:$J$1909,X$45,FALSE)</f>
        <v>#N/A</v>
      </c>
      <c r="Z101" s="862" t="s">
        <v>4284</v>
      </c>
      <c r="AA101" s="40" t="s">
        <v>4285</v>
      </c>
      <c r="AB101" s="92" t="e">
        <f t="shared" ref="AB101:AG101" si="31">R219</f>
        <v>#N/A</v>
      </c>
      <c r="AC101" s="92" t="e">
        <f t="shared" si="31"/>
        <v>#N/A</v>
      </c>
      <c r="AD101" s="92" t="e">
        <f t="shared" si="31"/>
        <v>#N/A</v>
      </c>
      <c r="AE101" s="92" t="e">
        <f t="shared" si="31"/>
        <v>#N/A</v>
      </c>
      <c r="AF101" s="92" t="e">
        <f t="shared" si="31"/>
        <v>#N/A</v>
      </c>
      <c r="AG101" s="92" t="e">
        <f t="shared" si="31"/>
        <v>#N/A</v>
      </c>
      <c r="AH101" s="962">
        <v>54000</v>
      </c>
      <c r="AI101" s="64">
        <v>49100.000000000007</v>
      </c>
    </row>
    <row r="102" spans="1:35" x14ac:dyDescent="0.35">
      <c r="A102" s="840" t="s">
        <v>336</v>
      </c>
      <c r="B102" s="846" t="str">
        <f t="shared" si="27"/>
        <v>I-ProcessingStones</v>
      </c>
      <c r="O102" s="157" t="s">
        <v>3022</v>
      </c>
      <c r="P102" s="92"/>
      <c r="Q102" s="92" t="e">
        <f>VLOOKUP($O102,'CO2'!$A$2:$J$1909,Q$45,FALSE)</f>
        <v>#N/A</v>
      </c>
      <c r="R102" s="92" t="e">
        <f>VLOOKUP($O102,'CO2'!$A$2:$J$1909,R$45,FALSE)</f>
        <v>#N/A</v>
      </c>
      <c r="S102" s="92" t="e">
        <f>VLOOKUP($O102,'CO2'!$A$2:$J$1909,S$45,FALSE)</f>
        <v>#N/A</v>
      </c>
      <c r="T102" s="92" t="e">
        <f>VLOOKUP($O102,'CO2'!$A$2:$J$1909,T$45,FALSE)</f>
        <v>#N/A</v>
      </c>
      <c r="U102" s="92" t="e">
        <f>VLOOKUP($O102,'CO2'!$A$2:$J$1909,U$45,FALSE)</f>
        <v>#N/A</v>
      </c>
      <c r="V102" s="92" t="e">
        <f>VLOOKUP($O102,'CO2'!$A$2:$J$1909,V$45,FALSE)</f>
        <v>#N/A</v>
      </c>
      <c r="W102" s="92" t="e">
        <f>VLOOKUP($O102,'CO2'!$A$2:$J$1909,W$45,FALSE)</f>
        <v>#N/A</v>
      </c>
      <c r="X102" s="92" t="e">
        <f>VLOOKUP($O102,'CO2'!$A$2:$J$1909,X$45,FALSE)</f>
        <v>#N/A</v>
      </c>
      <c r="AA102" s="40"/>
      <c r="AB102" s="92"/>
      <c r="AC102" s="92"/>
      <c r="AD102" s="92"/>
      <c r="AE102" s="92"/>
      <c r="AF102" s="92"/>
      <c r="AG102" s="92"/>
      <c r="AH102" s="962"/>
    </row>
    <row r="103" spans="1:35" ht="15" thickBot="1" x14ac:dyDescent="0.4">
      <c r="A103" s="840" t="s">
        <v>338</v>
      </c>
      <c r="B103" s="846" t="str">
        <f t="shared" si="27"/>
        <v>I-VehicleConstruction</v>
      </c>
      <c r="O103" s="157" t="s">
        <v>2875</v>
      </c>
      <c r="P103" s="92"/>
      <c r="Q103" s="92" t="e">
        <f>VLOOKUP($O103,'CO2'!$A$2:$J$1909,Q$45,FALSE)</f>
        <v>#N/A</v>
      </c>
      <c r="R103" s="92" t="e">
        <f>VLOOKUP($O103,'CO2'!$A$2:$J$1909,R$45,FALSE)</f>
        <v>#N/A</v>
      </c>
      <c r="S103" s="92" t="e">
        <f>VLOOKUP($O103,'CO2'!$A$2:$J$1909,S$45,FALSE)</f>
        <v>#N/A</v>
      </c>
      <c r="T103" s="92" t="e">
        <f>VLOOKUP($O103,'CO2'!$A$2:$J$1909,T$45,FALSE)</f>
        <v>#N/A</v>
      </c>
      <c r="U103" s="92" t="e">
        <f>VLOOKUP($O103,'CO2'!$A$2:$J$1909,U$45,FALSE)</f>
        <v>#N/A</v>
      </c>
      <c r="V103" s="92" t="e">
        <f>VLOOKUP($O103,'CO2'!$A$2:$J$1909,V$45,FALSE)</f>
        <v>#N/A</v>
      </c>
      <c r="W103" s="92" t="e">
        <f>VLOOKUP($O103,'CO2'!$A$2:$J$1909,W$45,FALSE)</f>
        <v>#N/A</v>
      </c>
      <c r="X103" s="92" t="e">
        <f>VLOOKUP($O103,'CO2'!$A$2:$J$1909,X$45,FALSE)</f>
        <v>#N/A</v>
      </c>
      <c r="AA103" s="41" t="s">
        <v>1229</v>
      </c>
      <c r="AB103" s="77" t="e">
        <f>SUM(AB96:AB101)</f>
        <v>#N/A</v>
      </c>
      <c r="AC103" s="77" t="e">
        <f t="shared" ref="AC103:AG103" si="32">SUM(AC96:AC101)</f>
        <v>#N/A</v>
      </c>
      <c r="AD103" s="77" t="e">
        <f t="shared" si="32"/>
        <v>#N/A</v>
      </c>
      <c r="AE103" s="77" t="e">
        <f t="shared" si="32"/>
        <v>#N/A</v>
      </c>
      <c r="AF103" s="77" t="e">
        <f t="shared" si="32"/>
        <v>#N/A</v>
      </c>
      <c r="AG103" s="77" t="e">
        <f t="shared" si="32"/>
        <v>#N/A</v>
      </c>
      <c r="AH103" s="963">
        <v>4.6437791752396151E-4</v>
      </c>
    </row>
    <row r="104" spans="1:35" x14ac:dyDescent="0.35">
      <c r="A104" s="840" t="s">
        <v>343</v>
      </c>
      <c r="B104" s="846" t="str">
        <f t="shared" si="27"/>
        <v>Ker-Sink</v>
      </c>
      <c r="O104" s="462"/>
      <c r="P104" s="92"/>
      <c r="Q104" s="92"/>
      <c r="R104" s="92"/>
      <c r="S104" s="92"/>
      <c r="T104" s="92"/>
      <c r="U104" s="92"/>
      <c r="V104" s="92"/>
      <c r="W104" s="92"/>
      <c r="X104" s="92"/>
    </row>
    <row r="105" spans="1:35" x14ac:dyDescent="0.35">
      <c r="A105" s="840" t="s">
        <v>3099</v>
      </c>
      <c r="B105" s="846" t="str">
        <f t="shared" si="27"/>
        <v>KerRen-Sink</v>
      </c>
      <c r="O105" s="40"/>
      <c r="P105" s="92"/>
      <c r="Q105" s="92"/>
      <c r="R105" s="92"/>
      <c r="S105" s="92"/>
      <c r="T105" s="92"/>
      <c r="U105" s="92"/>
      <c r="V105" s="92"/>
      <c r="W105" s="92"/>
      <c r="X105" s="92"/>
    </row>
    <row r="106" spans="1:35" x14ac:dyDescent="0.35">
      <c r="A106" s="840" t="s">
        <v>344</v>
      </c>
      <c r="B106" s="846" t="str">
        <f t="shared" si="27"/>
        <v>KeroseneSource</v>
      </c>
      <c r="O106" s="157" t="s">
        <v>1715</v>
      </c>
      <c r="P106" s="92"/>
      <c r="Q106" s="92" t="e">
        <f t="shared" ref="Q106:X106" si="33">SUM(Q47:Q62)+SUM(Q98:Q102)</f>
        <v>#N/A</v>
      </c>
      <c r="R106" s="92" t="e">
        <f t="shared" si="33"/>
        <v>#N/A</v>
      </c>
      <c r="S106" s="92" t="e">
        <f t="shared" si="33"/>
        <v>#N/A</v>
      </c>
      <c r="T106" s="92" t="e">
        <f t="shared" si="33"/>
        <v>#N/A</v>
      </c>
      <c r="U106" s="92" t="e">
        <f t="shared" si="33"/>
        <v>#N/A</v>
      </c>
      <c r="V106" s="92" t="e">
        <f t="shared" si="33"/>
        <v>#N/A</v>
      </c>
      <c r="W106" s="92" t="e">
        <f t="shared" si="33"/>
        <v>#N/A</v>
      </c>
      <c r="X106" s="92" t="e">
        <f t="shared" si="33"/>
        <v>#N/A</v>
      </c>
    </row>
    <row r="107" spans="1:35" x14ac:dyDescent="0.35">
      <c r="A107" s="840" t="s">
        <v>13</v>
      </c>
      <c r="B107" s="846" t="str">
        <f t="shared" si="27"/>
        <v>LS-Reformer</v>
      </c>
      <c r="O107" s="156" t="s">
        <v>1714</v>
      </c>
      <c r="P107" s="92"/>
      <c r="Q107" s="92" t="e">
        <f t="shared" ref="Q107:X107" si="34">SUM(Q63:Q88)</f>
        <v>#N/A</v>
      </c>
      <c r="R107" s="92" t="e">
        <f t="shared" si="34"/>
        <v>#N/A</v>
      </c>
      <c r="S107" s="92" t="e">
        <f t="shared" si="34"/>
        <v>#N/A</v>
      </c>
      <c r="T107" s="92" t="e">
        <f t="shared" si="34"/>
        <v>#N/A</v>
      </c>
      <c r="U107" s="92" t="e">
        <f t="shared" si="34"/>
        <v>#N/A</v>
      </c>
      <c r="V107" s="92" t="e">
        <f t="shared" si="34"/>
        <v>#N/A</v>
      </c>
      <c r="W107" s="92" t="e">
        <f t="shared" si="34"/>
        <v>#N/A</v>
      </c>
      <c r="X107" s="92" t="e">
        <f t="shared" si="34"/>
        <v>#N/A</v>
      </c>
    </row>
    <row r="108" spans="1:35" ht="15" thickBot="1" x14ac:dyDescent="0.4">
      <c r="A108" s="840" t="s">
        <v>2463</v>
      </c>
      <c r="B108" s="846" t="str">
        <f t="shared" si="27"/>
        <v>MethanolConv</v>
      </c>
      <c r="O108" s="95" t="s">
        <v>1229</v>
      </c>
      <c r="P108" s="77"/>
      <c r="Q108" s="77" t="e">
        <f t="shared" ref="Q108:X108" si="35">SUM(Q47:Q103)</f>
        <v>#N/A</v>
      </c>
      <c r="R108" s="77" t="e">
        <f t="shared" si="35"/>
        <v>#N/A</v>
      </c>
      <c r="S108" s="77" t="e">
        <f t="shared" si="35"/>
        <v>#N/A</v>
      </c>
      <c r="T108" s="77" t="e">
        <f t="shared" si="35"/>
        <v>#N/A</v>
      </c>
      <c r="U108" s="77" t="e">
        <f t="shared" si="35"/>
        <v>#N/A</v>
      </c>
      <c r="V108" s="77" t="e">
        <f t="shared" si="35"/>
        <v>#N/A</v>
      </c>
      <c r="W108" s="77" t="e">
        <f t="shared" si="35"/>
        <v>#N/A</v>
      </c>
      <c r="X108" s="77" t="e">
        <f t="shared" si="35"/>
        <v>#N/A</v>
      </c>
    </row>
    <row r="109" spans="1:35" ht="15" thickBot="1" x14ac:dyDescent="0.4">
      <c r="A109" s="840" t="s">
        <v>2464</v>
      </c>
      <c r="B109" s="846" t="str">
        <f t="shared" si="27"/>
        <v>MethanolGasification</v>
      </c>
    </row>
    <row r="110" spans="1:35" x14ac:dyDescent="0.35">
      <c r="A110" s="840" t="s">
        <v>58</v>
      </c>
      <c r="B110" s="846" t="str">
        <f t="shared" si="27"/>
        <v>MiniCHP</v>
      </c>
      <c r="O110" s="88" t="s">
        <v>1164</v>
      </c>
      <c r="P110" s="88" t="s">
        <v>1453</v>
      </c>
      <c r="Q110" s="89">
        <v>2</v>
      </c>
      <c r="R110" s="89">
        <v>3</v>
      </c>
      <c r="S110" s="89">
        <v>4</v>
      </c>
      <c r="T110" s="89">
        <v>5</v>
      </c>
      <c r="U110" s="89">
        <v>6</v>
      </c>
      <c r="V110" s="89">
        <v>7</v>
      </c>
      <c r="W110" s="89">
        <v>8</v>
      </c>
      <c r="X110" s="89">
        <v>9</v>
      </c>
    </row>
    <row r="111" spans="1:35" x14ac:dyDescent="0.35">
      <c r="A111" s="840" t="s">
        <v>383</v>
      </c>
      <c r="B111" s="846" t="str">
        <f t="shared" si="27"/>
        <v>OilBoiler</v>
      </c>
      <c r="O111" s="40" t="s">
        <v>1415</v>
      </c>
      <c r="P111" s="92"/>
      <c r="Q111" s="133" t="s">
        <v>1417</v>
      </c>
      <c r="R111" s="133">
        <v>2020</v>
      </c>
      <c r="S111" s="133">
        <v>2025</v>
      </c>
      <c r="T111" s="133">
        <v>2030</v>
      </c>
      <c r="U111" s="133">
        <v>2035</v>
      </c>
      <c r="V111" s="133">
        <v>2040</v>
      </c>
      <c r="W111" s="133">
        <v>2045</v>
      </c>
      <c r="X111" s="133">
        <v>2050</v>
      </c>
    </row>
    <row r="112" spans="1:35" x14ac:dyDescent="0.35">
      <c r="A112" s="840" t="s">
        <v>384</v>
      </c>
      <c r="B112" s="846" t="str">
        <f t="shared" si="27"/>
        <v>OilCondensingBoiler</v>
      </c>
      <c r="O112" s="187" t="s">
        <v>58</v>
      </c>
      <c r="P112" s="188"/>
      <c r="Q112" s="188" t="e">
        <f>VLOOKUP($O112,'CO2'!$A$2:$J$1909,Q$110,FALSE)*Q$201/$AD$20</f>
        <v>#N/A</v>
      </c>
      <c r="R112" s="188" t="e">
        <f>VLOOKUP($O112,'CO2'!$A$2:$J$1909,R$110,FALSE)*R$201/$AD$20</f>
        <v>#N/A</v>
      </c>
      <c r="S112" s="188" t="e">
        <f>VLOOKUP($O112,'CO2'!$A$2:$J$1909,S$110,FALSE)*S$201/$AD$20</f>
        <v>#N/A</v>
      </c>
      <c r="T112" s="188" t="e">
        <f>VLOOKUP($O112,'CO2'!$A$2:$J$1909,T$110,FALSE)*T$201/$AD$20</f>
        <v>#N/A</v>
      </c>
      <c r="U112" s="188" t="e">
        <f>VLOOKUP($O112,'CO2'!$A$2:$J$1909,U$110,FALSE)*U$201/$AD$20</f>
        <v>#N/A</v>
      </c>
      <c r="V112" s="188" t="e">
        <f>VLOOKUP($O112,'CO2'!$A$2:$J$1909,V$110,FALSE)*V$201/$AD$20</f>
        <v>#N/A</v>
      </c>
      <c r="W112" s="188" t="e">
        <f>VLOOKUP($O112,'CO2'!$A$2:$J$1909,W$110,FALSE)*W$201/$AD$20</f>
        <v>#N/A</v>
      </c>
      <c r="X112" s="188" t="e">
        <f>VLOOKUP($O112,'CO2'!$A$2:$J$1909,X$110,FALSE)*X$201/$AD$20</f>
        <v>#N/A</v>
      </c>
    </row>
    <row r="113" spans="1:24" x14ac:dyDescent="0.35">
      <c r="A113" s="840" t="s">
        <v>385</v>
      </c>
      <c r="B113" s="846" t="str">
        <f t="shared" si="27"/>
        <v>OilHP</v>
      </c>
      <c r="O113" s="187" t="s">
        <v>284</v>
      </c>
      <c r="P113" s="188"/>
      <c r="Q113" s="188" t="e">
        <f>VLOOKUP($O113,'CO2'!$A$2:$J$1909,Q$110,FALSE)*Q$201/$AD$20</f>
        <v>#N/A</v>
      </c>
      <c r="R113" s="188" t="e">
        <f>VLOOKUP($O113,'CO2'!$A$2:$J$1909,R$110,FALSE)*R$201/$AD$20</f>
        <v>#N/A</v>
      </c>
      <c r="S113" s="188" t="e">
        <f>VLOOKUP($O113,'CO2'!$A$2:$J$1909,S$110,FALSE)*S$201/$AD$20</f>
        <v>#N/A</v>
      </c>
      <c r="T113" s="188" t="e">
        <f>VLOOKUP($O113,'CO2'!$A$2:$J$1909,T$110,FALSE)*T$201/$AD$20</f>
        <v>#N/A</v>
      </c>
      <c r="U113" s="188" t="e">
        <f>VLOOKUP($O113,'CO2'!$A$2:$J$1909,U$110,FALSE)*U$201/$AD$20</f>
        <v>#N/A</v>
      </c>
      <c r="V113" s="188" t="e">
        <f>VLOOKUP($O113,'CO2'!$A$2:$J$1909,V$110,FALSE)*V$201/$AD$20</f>
        <v>#N/A</v>
      </c>
      <c r="W113" s="188" t="e">
        <f>VLOOKUP($O113,'CO2'!$A$2:$J$1909,W$110,FALSE)*W$201/$AD$20</f>
        <v>#N/A</v>
      </c>
      <c r="X113" s="188" t="e">
        <f>VLOOKUP($O113,'CO2'!$A$2:$J$1909,X$110,FALSE)*X$201/$AD$20</f>
        <v>#N/A</v>
      </c>
    </row>
    <row r="114" spans="1:24" x14ac:dyDescent="0.35">
      <c r="A114" s="840" t="s">
        <v>387</v>
      </c>
      <c r="B114" s="846" t="str">
        <f t="shared" si="27"/>
        <v>OilPP</v>
      </c>
      <c r="O114" s="187" t="s">
        <v>286</v>
      </c>
      <c r="P114" s="188"/>
      <c r="Q114" s="188" t="e">
        <f>VLOOKUP($O114,'CO2'!$A$2:$J$1909,Q$110,FALSE)*Q$201/$AD$20</f>
        <v>#N/A</v>
      </c>
      <c r="R114" s="188" t="e">
        <f>VLOOKUP($O114,'CO2'!$A$2:$J$1909,R$110,FALSE)*R$201/$AD$20</f>
        <v>#N/A</v>
      </c>
      <c r="S114" s="188" t="e">
        <f>VLOOKUP($O114,'CO2'!$A$2:$J$1909,S$110,FALSE)*S$201/$AD$20</f>
        <v>#N/A</v>
      </c>
      <c r="T114" s="188" t="e">
        <f>VLOOKUP($O114,'CO2'!$A$2:$J$1909,T$110,FALSE)*T$201/$AD$20</f>
        <v>#N/A</v>
      </c>
      <c r="U114" s="188" t="e">
        <f>VLOOKUP($O114,'CO2'!$A$2:$J$1909,U$110,FALSE)*U$201/$AD$20</f>
        <v>#N/A</v>
      </c>
      <c r="V114" s="188" t="e">
        <f>VLOOKUP($O114,'CO2'!$A$2:$J$1909,V$110,FALSE)*V$201/$AD$20</f>
        <v>#N/A</v>
      </c>
      <c r="W114" s="188" t="e">
        <f>VLOOKUP($O114,'CO2'!$A$2:$J$1909,W$110,FALSE)*W$201/$AD$20</f>
        <v>#N/A</v>
      </c>
      <c r="X114" s="188" t="e">
        <f>VLOOKUP($O114,'CO2'!$A$2:$J$1909,X$110,FALSE)*X$201/$AD$20</f>
        <v>#N/A</v>
      </c>
    </row>
    <row r="115" spans="1:24" x14ac:dyDescent="0.35">
      <c r="A115" s="840" t="s">
        <v>417</v>
      </c>
      <c r="B115" s="846" t="str">
        <f t="shared" si="27"/>
        <v>PlaneFT</v>
      </c>
      <c r="O115" s="187" t="s">
        <v>383</v>
      </c>
      <c r="P115" s="188"/>
      <c r="Q115" s="188" t="e">
        <f>VLOOKUP($O115,'CO2'!$A$2:$J$1909,Q$110,FALSE)*Q$201/$AD$20</f>
        <v>#N/A</v>
      </c>
      <c r="R115" s="188" t="e">
        <f>VLOOKUP($O115,'CO2'!$A$2:$J$1909,R$110,FALSE)*R$201/$AD$20</f>
        <v>#N/A</v>
      </c>
      <c r="S115" s="188" t="e">
        <f>VLOOKUP($O115,'CO2'!$A$2:$J$1909,S$110,FALSE)*S$201/$AD$20</f>
        <v>#N/A</v>
      </c>
      <c r="T115" s="188" t="e">
        <f>VLOOKUP($O115,'CO2'!$A$2:$J$1909,T$110,FALSE)*T$201/$AD$20</f>
        <v>#N/A</v>
      </c>
      <c r="U115" s="188" t="e">
        <f>VLOOKUP($O115,'CO2'!$A$2:$J$1909,U$110,FALSE)*U$201/$AD$20</f>
        <v>#N/A</v>
      </c>
      <c r="V115" s="188" t="e">
        <f>VLOOKUP($O115,'CO2'!$A$2:$J$1909,V$110,FALSE)*V$201/$AD$20</f>
        <v>#N/A</v>
      </c>
      <c r="W115" s="188" t="e">
        <f>VLOOKUP($O115,'CO2'!$A$2:$J$1909,W$110,FALSE)*W$201/$AD$20</f>
        <v>#N/A</v>
      </c>
      <c r="X115" s="188" t="e">
        <f>VLOOKUP($O115,'CO2'!$A$2:$J$1909,X$110,FALSE)*X$201/$AD$20</f>
        <v>#N/A</v>
      </c>
    </row>
    <row r="116" spans="1:24" x14ac:dyDescent="0.35">
      <c r="A116" s="840" t="s">
        <v>418</v>
      </c>
      <c r="B116" s="846" t="str">
        <f t="shared" si="27"/>
        <v>PlanePT</v>
      </c>
      <c r="O116" s="187" t="s">
        <v>384</v>
      </c>
      <c r="P116" s="188"/>
      <c r="Q116" s="188" t="e">
        <f>VLOOKUP($O116,'CO2'!$A$2:$J$1909,Q$110,FALSE)*Q$201/$AD$20</f>
        <v>#N/A</v>
      </c>
      <c r="R116" s="188" t="e">
        <f>VLOOKUP($O116,'CO2'!$A$2:$J$1909,R$110,FALSE)*R$201/$AD$20</f>
        <v>#N/A</v>
      </c>
      <c r="S116" s="188" t="e">
        <f>VLOOKUP($O116,'CO2'!$A$2:$J$1909,S$110,FALSE)*S$201/$AD$20</f>
        <v>#N/A</v>
      </c>
      <c r="T116" s="188" t="e">
        <f>VLOOKUP($O116,'CO2'!$A$2:$J$1909,T$110,FALSE)*T$201/$AD$20</f>
        <v>#N/A</v>
      </c>
      <c r="U116" s="188" t="e">
        <f>VLOOKUP($O116,'CO2'!$A$2:$J$1909,U$110,FALSE)*U$201/$AD$20</f>
        <v>#N/A</v>
      </c>
      <c r="V116" s="188" t="e">
        <f>VLOOKUP($O116,'CO2'!$A$2:$J$1909,V$110,FALSE)*V$201/$AD$20</f>
        <v>#N/A</v>
      </c>
      <c r="W116" s="188" t="e">
        <f>VLOOKUP($O116,'CO2'!$A$2:$J$1909,W$110,FALSE)*W$201/$AD$20</f>
        <v>#N/A</v>
      </c>
      <c r="X116" s="188" t="e">
        <f>VLOOKUP($O116,'CO2'!$A$2:$J$1909,X$110,FALSE)*X$201/$AD$20</f>
        <v>#N/A</v>
      </c>
    </row>
    <row r="117" spans="1:24" x14ac:dyDescent="0.35">
      <c r="A117" s="840" t="s">
        <v>434</v>
      </c>
      <c r="B117" s="846" t="str">
        <f t="shared" si="27"/>
        <v>Refinery-Die</v>
      </c>
      <c r="O117" s="155" t="s">
        <v>1769</v>
      </c>
      <c r="P117" s="92"/>
      <c r="Q117" s="158">
        <v>0</v>
      </c>
      <c r="R117" s="158">
        <v>0</v>
      </c>
      <c r="S117" s="158">
        <v>0</v>
      </c>
      <c r="T117" s="158">
        <v>0</v>
      </c>
      <c r="U117" s="158">
        <v>0</v>
      </c>
      <c r="V117" s="158">
        <v>0</v>
      </c>
      <c r="W117" s="158">
        <v>0</v>
      </c>
      <c r="X117" s="158">
        <v>0</v>
      </c>
    </row>
    <row r="118" spans="1:24" x14ac:dyDescent="0.35">
      <c r="A118" s="840" t="s">
        <v>435</v>
      </c>
      <c r="B118" s="846" t="str">
        <f t="shared" si="27"/>
        <v>Refinery-Gas</v>
      </c>
      <c r="O118" s="155" t="s">
        <v>1770</v>
      </c>
      <c r="P118" s="92"/>
      <c r="Q118" s="158">
        <v>0</v>
      </c>
      <c r="R118" s="158">
        <v>0</v>
      </c>
      <c r="S118" s="158">
        <v>0</v>
      </c>
      <c r="T118" s="158">
        <v>0</v>
      </c>
      <c r="U118" s="158">
        <v>0</v>
      </c>
      <c r="V118" s="158">
        <v>0</v>
      </c>
      <c r="W118" s="158">
        <v>0</v>
      </c>
      <c r="X118" s="158">
        <v>0</v>
      </c>
    </row>
    <row r="119" spans="1:24" x14ac:dyDescent="0.35">
      <c r="A119" s="840" t="s">
        <v>436</v>
      </c>
      <c r="B119" s="846" t="str">
        <f t="shared" si="27"/>
        <v>Refinery-Ker</v>
      </c>
      <c r="O119" s="155" t="s">
        <v>184</v>
      </c>
      <c r="P119" s="92"/>
      <c r="Q119" s="158">
        <v>0</v>
      </c>
      <c r="R119" s="158">
        <v>0</v>
      </c>
      <c r="S119" s="158">
        <v>0</v>
      </c>
      <c r="T119" s="158">
        <v>0</v>
      </c>
      <c r="U119" s="158">
        <v>0</v>
      </c>
      <c r="V119" s="158">
        <v>0</v>
      </c>
      <c r="W119" s="158">
        <v>0</v>
      </c>
      <c r="X119" s="158">
        <v>0</v>
      </c>
    </row>
    <row r="120" spans="1:24" x14ac:dyDescent="0.35">
      <c r="A120" s="840" t="s">
        <v>3735</v>
      </c>
      <c r="B120" s="846" t="e">
        <f t="shared" si="27"/>
        <v>#N/A</v>
      </c>
      <c r="O120" s="155" t="s">
        <v>441</v>
      </c>
      <c r="P120" s="92"/>
      <c r="Q120" s="158">
        <v>0</v>
      </c>
      <c r="R120" s="158">
        <v>0</v>
      </c>
      <c r="S120" s="158">
        <v>0</v>
      </c>
      <c r="T120" s="158">
        <v>0</v>
      </c>
      <c r="U120" s="158">
        <v>0</v>
      </c>
      <c r="V120" s="158">
        <v>0</v>
      </c>
      <c r="W120" s="158">
        <v>0</v>
      </c>
      <c r="X120" s="158">
        <v>0</v>
      </c>
    </row>
    <row r="121" spans="1:24" x14ac:dyDescent="0.35">
      <c r="A121" s="840" t="s">
        <v>3744</v>
      </c>
      <c r="B121" s="846" t="e">
        <f t="shared" si="27"/>
        <v>#N/A</v>
      </c>
      <c r="O121" s="40"/>
      <c r="P121" s="92"/>
      <c r="Q121" s="92"/>
      <c r="R121" s="92"/>
      <c r="S121" s="92"/>
      <c r="T121" s="92"/>
      <c r="U121" s="92"/>
      <c r="V121" s="92"/>
      <c r="W121" s="92"/>
      <c r="X121" s="92"/>
    </row>
    <row r="122" spans="1:24" ht="15" thickBot="1" x14ac:dyDescent="0.4">
      <c r="A122" s="840" t="s">
        <v>3729</v>
      </c>
      <c r="B122" s="846" t="e">
        <f t="shared" si="27"/>
        <v>#N/A</v>
      </c>
      <c r="O122" s="95" t="s">
        <v>1229</v>
      </c>
      <c r="P122" s="77"/>
      <c r="Q122" s="77" t="e">
        <f>SUM(Q112:Q120)</f>
        <v>#N/A</v>
      </c>
      <c r="R122" s="77" t="e">
        <f t="shared" ref="R122:X122" si="36">SUM(R112:R120)</f>
        <v>#N/A</v>
      </c>
      <c r="S122" s="77" t="e">
        <f t="shared" si="36"/>
        <v>#N/A</v>
      </c>
      <c r="T122" s="77" t="e">
        <f t="shared" si="36"/>
        <v>#N/A</v>
      </c>
      <c r="U122" s="77" t="e">
        <f t="shared" si="36"/>
        <v>#N/A</v>
      </c>
      <c r="V122" s="77" t="e">
        <f t="shared" si="36"/>
        <v>#N/A</v>
      </c>
      <c r="W122" s="77" t="e">
        <f t="shared" si="36"/>
        <v>#N/A</v>
      </c>
      <c r="X122" s="77" t="e">
        <f t="shared" si="36"/>
        <v>#N/A</v>
      </c>
    </row>
    <row r="123" spans="1:24" ht="15" thickBot="1" x14ac:dyDescent="0.4">
      <c r="A123" s="840" t="s">
        <v>3738</v>
      </c>
      <c r="B123" s="846" t="e">
        <f t="shared" si="27"/>
        <v>#N/A</v>
      </c>
    </row>
    <row r="124" spans="1:24" x14ac:dyDescent="0.35">
      <c r="A124" s="840" t="s">
        <v>3730</v>
      </c>
      <c r="B124" s="846" t="e">
        <f t="shared" si="27"/>
        <v>#N/A</v>
      </c>
      <c r="O124" s="88" t="s">
        <v>1165</v>
      </c>
      <c r="P124" s="88" t="s">
        <v>1453</v>
      </c>
      <c r="Q124" s="89">
        <v>2</v>
      </c>
      <c r="R124" s="89">
        <v>3</v>
      </c>
      <c r="S124" s="89">
        <v>4</v>
      </c>
      <c r="T124" s="89">
        <v>5</v>
      </c>
      <c r="U124" s="89">
        <v>6</v>
      </c>
      <c r="V124" s="89">
        <v>7</v>
      </c>
      <c r="W124" s="89">
        <v>8</v>
      </c>
      <c r="X124" s="89">
        <v>9</v>
      </c>
    </row>
    <row r="125" spans="1:24" x14ac:dyDescent="0.35">
      <c r="A125" s="840" t="s">
        <v>3739</v>
      </c>
      <c r="B125" s="846" t="e">
        <f t="shared" si="27"/>
        <v>#N/A</v>
      </c>
      <c r="O125" s="40" t="s">
        <v>1415</v>
      </c>
      <c r="P125" s="92"/>
      <c r="Q125" s="133" t="s">
        <v>1417</v>
      </c>
      <c r="R125" s="133">
        <v>2020</v>
      </c>
      <c r="S125" s="133">
        <v>2025</v>
      </c>
      <c r="T125" s="133">
        <v>2030</v>
      </c>
      <c r="U125" s="133">
        <v>2035</v>
      </c>
      <c r="V125" s="133">
        <v>2040</v>
      </c>
      <c r="W125" s="133">
        <v>2045</v>
      </c>
      <c r="X125" s="133">
        <v>2050</v>
      </c>
    </row>
    <row r="126" spans="1:24" x14ac:dyDescent="0.35">
      <c r="A126" s="840" t="s">
        <v>3740</v>
      </c>
      <c r="B126" s="846" t="e">
        <f t="shared" si="27"/>
        <v>#N/A</v>
      </c>
      <c r="O126" s="40" t="s">
        <v>179</v>
      </c>
      <c r="P126" s="92"/>
      <c r="Q126" s="92" t="e">
        <f>VLOOKUP($O126,'CO2'!$A$2:$J$1909,Q$124,FALSE)/$AD$20</f>
        <v>#N/A</v>
      </c>
      <c r="R126" s="92" t="e">
        <f>VLOOKUP($O126,'CO2'!$A$2:$J$1909,R$124,FALSE)/$AD$20</f>
        <v>#N/A</v>
      </c>
      <c r="S126" s="92" t="e">
        <f>VLOOKUP($O126,'CO2'!$A$2:$J$1909,S$124,FALSE)/$AD$20</f>
        <v>#N/A</v>
      </c>
      <c r="T126" s="92" t="e">
        <f>VLOOKUP($O126,'CO2'!$A$2:$J$1909,T$124,FALSE)/$AD$20</f>
        <v>#N/A</v>
      </c>
      <c r="U126" s="92" t="e">
        <f>VLOOKUP($O126,'CO2'!$A$2:$J$1909,U$124,FALSE)/$AD$20</f>
        <v>#N/A</v>
      </c>
      <c r="V126" s="92" t="e">
        <f>VLOOKUP($O126,'CO2'!$A$2:$J$1909,V$124,FALSE)/$AD$20</f>
        <v>#N/A</v>
      </c>
      <c r="W126" s="92" t="e">
        <f>VLOOKUP($O126,'CO2'!$A$2:$J$1909,W$124,FALSE)/$AD$20</f>
        <v>#N/A</v>
      </c>
      <c r="X126" s="92" t="e">
        <f>VLOOKUP($O126,'CO2'!$A$2:$J$1909,X$124,FALSE)/$AD$20</f>
        <v>#N/A</v>
      </c>
    </row>
    <row r="127" spans="1:24" x14ac:dyDescent="0.35">
      <c r="A127" s="840" t="s">
        <v>3736</v>
      </c>
      <c r="B127" s="846" t="e">
        <f t="shared" si="27"/>
        <v>#N/A</v>
      </c>
      <c r="O127" s="40" t="s">
        <v>180</v>
      </c>
      <c r="P127" s="92"/>
      <c r="Q127" s="92" t="e">
        <f>VLOOKUP($O127,'CO2'!$A$2:$J$1909,Q$124,FALSE)/$AD$20</f>
        <v>#N/A</v>
      </c>
      <c r="R127" s="92" t="e">
        <f>VLOOKUP($O127,'CO2'!$A$2:$J$1909,R$124,FALSE)/$AD$20</f>
        <v>#N/A</v>
      </c>
      <c r="S127" s="92" t="e">
        <f>VLOOKUP($O127,'CO2'!$A$2:$J$1909,S$124,FALSE)/$AD$20</f>
        <v>#N/A</v>
      </c>
      <c r="T127" s="92" t="e">
        <f>VLOOKUP($O127,'CO2'!$A$2:$J$1909,T$124,FALSE)/$AD$20</f>
        <v>#N/A</v>
      </c>
      <c r="U127" s="92" t="e">
        <f>VLOOKUP($O127,'CO2'!$A$2:$J$1909,U$124,FALSE)/$AD$20</f>
        <v>#N/A</v>
      </c>
      <c r="V127" s="92" t="e">
        <f>VLOOKUP($O127,'CO2'!$A$2:$J$1909,V$124,FALSE)/$AD$20</f>
        <v>#N/A</v>
      </c>
      <c r="W127" s="92" t="e">
        <f>VLOOKUP($O127,'CO2'!$A$2:$J$1909,W$124,FALSE)/$AD$20</f>
        <v>#N/A</v>
      </c>
      <c r="X127" s="92" t="e">
        <f>VLOOKUP($O127,'CO2'!$A$2:$J$1909,X$124,FALSE)/$AD$20</f>
        <v>#N/A</v>
      </c>
    </row>
    <row r="128" spans="1:24" x14ac:dyDescent="0.35">
      <c r="A128" s="840" t="s">
        <v>3745</v>
      </c>
      <c r="B128" s="846" t="e">
        <f t="shared" si="27"/>
        <v>#N/A</v>
      </c>
      <c r="O128" s="40" t="s">
        <v>228</v>
      </c>
      <c r="P128" s="92"/>
      <c r="Q128" s="92" t="e">
        <f>VLOOKUP($O128,'CO2'!$A$2:$J$1909,Q$124,FALSE)/$AD$20</f>
        <v>#N/A</v>
      </c>
      <c r="R128" s="92" t="e">
        <f>VLOOKUP($O128,'CO2'!$A$2:$J$1909,R$124,FALSE)/$AD$20</f>
        <v>#N/A</v>
      </c>
      <c r="S128" s="92" t="e">
        <f>VLOOKUP($O128,'CO2'!$A$2:$J$1909,S$124,FALSE)/$AD$20</f>
        <v>#N/A</v>
      </c>
      <c r="T128" s="92" t="e">
        <f>VLOOKUP($O128,'CO2'!$A$2:$J$1909,T$124,FALSE)/$AD$20</f>
        <v>#N/A</v>
      </c>
      <c r="U128" s="92" t="e">
        <f>VLOOKUP($O128,'CO2'!$A$2:$J$1909,U$124,FALSE)/$AD$20</f>
        <v>#N/A</v>
      </c>
      <c r="V128" s="92" t="e">
        <f>VLOOKUP($O128,'CO2'!$A$2:$J$1909,V$124,FALSE)/$AD$20</f>
        <v>#N/A</v>
      </c>
      <c r="W128" s="92" t="e">
        <f>VLOOKUP($O128,'CO2'!$A$2:$J$1909,W$124,FALSE)/$AD$20</f>
        <v>#N/A</v>
      </c>
      <c r="X128" s="92" t="e">
        <f>VLOOKUP($O128,'CO2'!$A$2:$J$1909,X$124,FALSE)/$AD$20</f>
        <v>#N/A</v>
      </c>
    </row>
    <row r="129" spans="1:26" x14ac:dyDescent="0.35">
      <c r="A129" s="840" t="s">
        <v>3743</v>
      </c>
      <c r="B129" s="846" t="e">
        <f t="shared" si="27"/>
        <v>#N/A</v>
      </c>
      <c r="O129" s="40" t="s">
        <v>292</v>
      </c>
      <c r="P129" s="92"/>
      <c r="Q129" s="92" t="e">
        <f>VLOOKUP($O129,'CO2'!$A$2:$J$1909,Q$124,FALSE)/$AD$20</f>
        <v>#N/A</v>
      </c>
      <c r="R129" s="92" t="e">
        <f>VLOOKUP($O129,'CO2'!$A$2:$J$1909,R$124,FALSE)/$AD$20</f>
        <v>#N/A</v>
      </c>
      <c r="S129" s="92" t="e">
        <f>VLOOKUP($O129,'CO2'!$A$2:$J$1909,S$124,FALSE)/$AD$20</f>
        <v>#N/A</v>
      </c>
      <c r="T129" s="92" t="e">
        <f>VLOOKUP($O129,'CO2'!$A$2:$J$1909,T$124,FALSE)/$AD$20</f>
        <v>#N/A</v>
      </c>
      <c r="U129" s="92" t="e">
        <f>VLOOKUP($O129,'CO2'!$A$2:$J$1909,U$124,FALSE)/$AD$20</f>
        <v>#N/A</v>
      </c>
      <c r="V129" s="92" t="e">
        <f>VLOOKUP($O129,'CO2'!$A$2:$J$1909,V$124,FALSE)/$AD$20</f>
        <v>#N/A</v>
      </c>
      <c r="W129" s="92" t="e">
        <f>VLOOKUP($O129,'CO2'!$A$2:$J$1909,W$124,FALSE)/$AD$20</f>
        <v>#N/A</v>
      </c>
      <c r="X129" s="92" t="e">
        <f>VLOOKUP($O129,'CO2'!$A$2:$J$1909,X$124,FALSE)/$AD$20</f>
        <v>#N/A</v>
      </c>
    </row>
    <row r="130" spans="1:26" x14ac:dyDescent="0.35">
      <c r="A130" s="840" t="s">
        <v>3737</v>
      </c>
      <c r="B130" s="846" t="e">
        <f t="shared" ref="B130:B145" si="37">VLOOKUP($A130,$O$3:$X$1972,B$1,FALSE)</f>
        <v>#N/A</v>
      </c>
      <c r="O130" s="40" t="s">
        <v>344</v>
      </c>
      <c r="P130" s="92"/>
      <c r="Q130" s="92" t="e">
        <f>VLOOKUP($O130,'CO2'!$A$2:$J$1909,Q$124,FALSE)/$AD$20</f>
        <v>#N/A</v>
      </c>
      <c r="R130" s="92" t="e">
        <f>VLOOKUP($O130,'CO2'!$A$2:$J$1909,R$124,FALSE)/$AD$20</f>
        <v>#N/A</v>
      </c>
      <c r="S130" s="92" t="e">
        <f>VLOOKUP($O130,'CO2'!$A$2:$J$1909,S$124,FALSE)/$AD$20</f>
        <v>#N/A</v>
      </c>
      <c r="T130" s="92" t="e">
        <f>VLOOKUP($O130,'CO2'!$A$2:$J$1909,T$124,FALSE)/$AD$20</f>
        <v>#N/A</v>
      </c>
      <c r="U130" s="92" t="e">
        <f>VLOOKUP($O130,'CO2'!$A$2:$J$1909,U$124,FALSE)/$AD$20</f>
        <v>#N/A</v>
      </c>
      <c r="V130" s="92" t="e">
        <f>VLOOKUP($O130,'CO2'!$A$2:$J$1909,V$124,FALSE)/$AD$20</f>
        <v>#N/A</v>
      </c>
      <c r="W130" s="92" t="e">
        <f>VLOOKUP($O130,'CO2'!$A$2:$J$1909,W$124,FALSE)/$AD$20</f>
        <v>#N/A</v>
      </c>
      <c r="X130" s="92" t="e">
        <f>VLOOKUP($O130,'CO2'!$A$2:$J$1909,X$124,FALSE)/$AD$20</f>
        <v>#N/A</v>
      </c>
      <c r="Y130" s="190"/>
      <c r="Z130" s="64"/>
    </row>
    <row r="131" spans="1:26" x14ac:dyDescent="0.35">
      <c r="A131" s="840" t="s">
        <v>3746</v>
      </c>
      <c r="B131" s="846" t="e">
        <f t="shared" si="37"/>
        <v>#N/A</v>
      </c>
      <c r="O131" s="40" t="s">
        <v>468</v>
      </c>
      <c r="P131" s="92"/>
      <c r="Q131" s="92" t="e">
        <f>VLOOKUP($O131,'CO2'!$A$2:$J$1909,Q$124,FALSE)/$AD$20</f>
        <v>#N/A</v>
      </c>
      <c r="R131" s="92" t="e">
        <f>VLOOKUP($O131,'CO2'!$A$2:$J$1909,R$124,FALSE)/$AD$20</f>
        <v>#N/A</v>
      </c>
      <c r="S131" s="92" t="e">
        <f>VLOOKUP($O131,'CO2'!$A$2:$J$1909,S$124,FALSE)/$AD$20</f>
        <v>#N/A</v>
      </c>
      <c r="T131" s="92" t="e">
        <f>VLOOKUP($O131,'CO2'!$A$2:$J$1909,T$124,FALSE)/$AD$20</f>
        <v>#N/A</v>
      </c>
      <c r="U131" s="92" t="e">
        <f>VLOOKUP($O131,'CO2'!$A$2:$J$1909,U$124,FALSE)/$AD$20</f>
        <v>#N/A</v>
      </c>
      <c r="V131" s="92" t="e">
        <f>VLOOKUP($O131,'CO2'!$A$2:$J$1909,V$124,FALSE)/$AD$20</f>
        <v>#N/A</v>
      </c>
      <c r="W131" s="92" t="e">
        <f>VLOOKUP($O131,'CO2'!$A$2:$J$1909,W$124,FALSE)/$AD$20</f>
        <v>#N/A</v>
      </c>
      <c r="X131" s="92" t="e">
        <f>VLOOKUP($O131,'CO2'!$A$2:$J$1909,X$124,FALSE)/$AD$20</f>
        <v>#N/A</v>
      </c>
      <c r="Y131" s="190"/>
      <c r="Z131" s="64"/>
    </row>
    <row r="132" spans="1:26" x14ac:dyDescent="0.35">
      <c r="A132" s="840" t="s">
        <v>14</v>
      </c>
      <c r="B132" s="846" t="str">
        <f t="shared" si="37"/>
        <v>SS-Reformer</v>
      </c>
      <c r="O132" s="40" t="s">
        <v>470</v>
      </c>
      <c r="P132" s="92"/>
      <c r="Q132" s="92" t="e">
        <f>VLOOKUP($O132,'CO2'!$A$2:$J$1909,Q$124,FALSE)/$AD$20</f>
        <v>#N/A</v>
      </c>
      <c r="R132" s="92" t="e">
        <f>VLOOKUP($O132,'CO2'!$A$2:$J$1909,R$124,FALSE)/$AD$20</f>
        <v>#N/A</v>
      </c>
      <c r="S132" s="92" t="e">
        <f>VLOOKUP($O132,'CO2'!$A$2:$J$1909,S$124,FALSE)/$AD$20</f>
        <v>#N/A</v>
      </c>
      <c r="T132" s="92" t="e">
        <f>VLOOKUP($O132,'CO2'!$A$2:$J$1909,T$124,FALSE)/$AD$20</f>
        <v>#N/A</v>
      </c>
      <c r="U132" s="92" t="e">
        <f>VLOOKUP($O132,'CO2'!$A$2:$J$1909,U$124,FALSE)/$AD$20</f>
        <v>#N/A</v>
      </c>
      <c r="V132" s="92" t="e">
        <f>VLOOKUP($O132,'CO2'!$A$2:$J$1909,V$124,FALSE)/$AD$20</f>
        <v>#N/A</v>
      </c>
      <c r="W132" s="92" t="e">
        <f>VLOOKUP($O132,'CO2'!$A$2:$J$1909,W$124,FALSE)/$AD$20</f>
        <v>#N/A</v>
      </c>
      <c r="X132" s="92" t="e">
        <f>VLOOKUP($O132,'CO2'!$A$2:$J$1909,X$124,FALSE)/$AD$20</f>
        <v>#N/A</v>
      </c>
    </row>
    <row r="133" spans="1:26" x14ac:dyDescent="0.35">
      <c r="A133" s="840" t="s">
        <v>442</v>
      </c>
      <c r="B133" s="846" t="str">
        <f t="shared" si="37"/>
        <v>ShipFT</v>
      </c>
      <c r="O133" s="64" t="s">
        <v>291</v>
      </c>
      <c r="P133" s="92"/>
      <c r="Q133" s="92" t="e">
        <f>VLOOKUP($O133,'CO2'!$A$2:$J$1909,Q$124,FALSE)/$AD$20</f>
        <v>#N/A</v>
      </c>
      <c r="R133" s="92" t="e">
        <f>VLOOKUP($O133,'CO2'!$A$2:$J$1909,R$124,FALSE)/$AD$20</f>
        <v>#N/A</v>
      </c>
      <c r="S133" s="92" t="e">
        <f>VLOOKUP($O133,'CO2'!$A$2:$J$1909,S$124,FALSE)/$AD$20</f>
        <v>#N/A</v>
      </c>
      <c r="T133" s="92" t="e">
        <f>VLOOKUP($O133,'CO2'!$A$2:$J$1909,T$124,FALSE)/$AD$20</f>
        <v>#N/A</v>
      </c>
      <c r="U133" s="92" t="e">
        <f>VLOOKUP($O133,'CO2'!$A$2:$J$1909,U$124,FALSE)/$AD$20</f>
        <v>#N/A</v>
      </c>
      <c r="V133" s="92" t="e">
        <f>VLOOKUP($O133,'CO2'!$A$2:$J$1909,V$124,FALSE)/$AD$20</f>
        <v>#N/A</v>
      </c>
      <c r="W133" s="92" t="e">
        <f>VLOOKUP($O133,'CO2'!$A$2:$J$1909,W$124,FALSE)/$AD$20</f>
        <v>#N/A</v>
      </c>
      <c r="X133" s="92" t="e">
        <f>VLOOKUP($O133,'CO2'!$A$2:$J$1909,X$124,FALSE)/$AD$20</f>
        <v>#N/A</v>
      </c>
    </row>
    <row r="134" spans="1:26" x14ac:dyDescent="0.35">
      <c r="A134" s="840" t="s">
        <v>3926</v>
      </c>
      <c r="B134" s="846" t="str">
        <f t="shared" si="37"/>
        <v>SteamCrackerConvHeat</v>
      </c>
      <c r="O134" s="64" t="s">
        <v>227</v>
      </c>
      <c r="P134" s="92"/>
      <c r="Q134" s="92" t="e">
        <f>VLOOKUP($O134,'CO2'!$A$2:$J$1909,Q$124,FALSE)/$AD$20</f>
        <v>#N/A</v>
      </c>
      <c r="R134" s="92" t="e">
        <f>VLOOKUP($O134,'CO2'!$A$2:$J$1909,R$124,FALSE)/$AD$20</f>
        <v>#N/A</v>
      </c>
      <c r="S134" s="92" t="e">
        <f>VLOOKUP($O134,'CO2'!$A$2:$J$1909,S$124,FALSE)/$AD$20</f>
        <v>#N/A</v>
      </c>
      <c r="T134" s="92" t="e">
        <f>VLOOKUP($O134,'CO2'!$A$2:$J$1909,T$124,FALSE)/$AD$20</f>
        <v>#N/A</v>
      </c>
      <c r="U134" s="92" t="e">
        <f>VLOOKUP($O134,'CO2'!$A$2:$J$1909,U$124,FALSE)/$AD$20</f>
        <v>#N/A</v>
      </c>
      <c r="V134" s="92" t="e">
        <f>VLOOKUP($O134,'CO2'!$A$2:$J$1909,V$124,FALSE)/$AD$20</f>
        <v>#N/A</v>
      </c>
      <c r="W134" s="92" t="e">
        <f>VLOOKUP($O134,'CO2'!$A$2:$J$1909,W$124,FALSE)/$AD$20</f>
        <v>#N/A</v>
      </c>
      <c r="X134" s="92" t="e">
        <f>VLOOKUP($O134,'CO2'!$A$2:$J$1909,X$124,FALSE)/$AD$20</f>
        <v>#N/A</v>
      </c>
    </row>
    <row r="135" spans="1:26" x14ac:dyDescent="0.35">
      <c r="A135" s="840" t="s">
        <v>467</v>
      </c>
      <c r="B135" s="846" t="str">
        <f t="shared" si="37"/>
        <v>StrawtoCH4</v>
      </c>
      <c r="O135" s="64" t="s">
        <v>323</v>
      </c>
      <c r="P135" s="92"/>
      <c r="Q135" s="92" t="e">
        <f>VLOOKUP($O135,'CO2'!$A$2:$J$1909,Q$124,FALSE)/$AD$20</f>
        <v>#N/A</v>
      </c>
      <c r="R135" s="92" t="e">
        <f>VLOOKUP($O135,'CO2'!$A$2:$J$1909,R$124,FALSE)/$AD$20</f>
        <v>#N/A</v>
      </c>
      <c r="S135" s="92" t="e">
        <f>VLOOKUP($O135,'CO2'!$A$2:$J$1909,S$124,FALSE)/$AD$20</f>
        <v>#N/A</v>
      </c>
      <c r="T135" s="92" t="e">
        <f>VLOOKUP($O135,'CO2'!$A$2:$J$1909,T$124,FALSE)/$AD$20</f>
        <v>#N/A</v>
      </c>
      <c r="U135" s="92" t="e">
        <f>VLOOKUP($O135,'CO2'!$A$2:$J$1909,U$124,FALSE)/$AD$20</f>
        <v>#N/A</v>
      </c>
      <c r="V135" s="92" t="e">
        <f>VLOOKUP($O135,'CO2'!$A$2:$J$1909,V$124,FALSE)/$AD$20</f>
        <v>#N/A</v>
      </c>
      <c r="W135" s="92" t="e">
        <f>VLOOKUP($O135,'CO2'!$A$2:$J$1909,W$124,FALSE)/$AD$20</f>
        <v>#N/A</v>
      </c>
      <c r="X135" s="92" t="e">
        <f>VLOOKUP($O135,'CO2'!$A$2:$J$1909,X$124,FALSE)/$AD$20</f>
        <v>#N/A</v>
      </c>
    </row>
    <row r="136" spans="1:26" x14ac:dyDescent="0.35">
      <c r="A136" s="840" t="s">
        <v>3044</v>
      </c>
      <c r="B136" s="846" t="str">
        <f t="shared" si="37"/>
        <v>T-C-dieselrentodiesel</v>
      </c>
      <c r="O136" s="64" t="s">
        <v>321</v>
      </c>
      <c r="P136" s="92"/>
      <c r="Q136" s="92" t="e">
        <f>VLOOKUP($O136,'CO2'!$A$2:$J$1909,Q$124,FALSE)/$AD$20</f>
        <v>#N/A</v>
      </c>
      <c r="R136" s="92" t="e">
        <f>VLOOKUP($O136,'CO2'!$A$2:$J$1909,R$124,FALSE)/$AD$20</f>
        <v>#N/A</v>
      </c>
      <c r="S136" s="92" t="e">
        <f>VLOOKUP($O136,'CO2'!$A$2:$J$1909,S$124,FALSE)/$AD$20</f>
        <v>#N/A</v>
      </c>
      <c r="T136" s="92" t="e">
        <f>VLOOKUP($O136,'CO2'!$A$2:$J$1909,T$124,FALSE)/$AD$20</f>
        <v>#N/A</v>
      </c>
      <c r="U136" s="92" t="e">
        <f>VLOOKUP($O136,'CO2'!$A$2:$J$1909,U$124,FALSE)/$AD$20</f>
        <v>#N/A</v>
      </c>
      <c r="V136" s="92" t="e">
        <f>VLOOKUP($O136,'CO2'!$A$2:$J$1909,V$124,FALSE)/$AD$20</f>
        <v>#N/A</v>
      </c>
      <c r="W136" s="92" t="e">
        <f>VLOOKUP($O136,'CO2'!$A$2:$J$1909,W$124,FALSE)/$AD$20</f>
        <v>#N/A</v>
      </c>
      <c r="X136" s="92" t="e">
        <f>VLOOKUP($O136,'CO2'!$A$2:$J$1909,X$124,FALSE)/$AD$20</f>
        <v>#N/A</v>
      </c>
    </row>
    <row r="137" spans="1:26" x14ac:dyDescent="0.35">
      <c r="A137" s="840" t="s">
        <v>3114</v>
      </c>
      <c r="B137" s="846" t="str">
        <f t="shared" si="37"/>
        <v>T-C-GasNaphthaRentogas</v>
      </c>
      <c r="O137" s="64" t="s">
        <v>290</v>
      </c>
      <c r="P137" s="92"/>
      <c r="Q137" s="92" t="e">
        <f>VLOOKUP($O137,'CO2'!$A$2:$J$1909,Q$124,FALSE)/$AD$20</f>
        <v>#N/A</v>
      </c>
      <c r="R137" s="92" t="e">
        <f>VLOOKUP($O137,'CO2'!$A$2:$J$1909,R$124,FALSE)/$AD$20</f>
        <v>#N/A</v>
      </c>
      <c r="S137" s="92" t="e">
        <f>VLOOKUP($O137,'CO2'!$A$2:$J$1909,S$124,FALSE)/$AD$20</f>
        <v>#N/A</v>
      </c>
      <c r="T137" s="92" t="e">
        <f>VLOOKUP($O137,'CO2'!$A$2:$J$1909,T$124,FALSE)/$AD$20</f>
        <v>#N/A</v>
      </c>
      <c r="U137" s="92" t="e">
        <f>VLOOKUP($O137,'CO2'!$A$2:$J$1909,U$124,FALSE)/$AD$20</f>
        <v>#N/A</v>
      </c>
      <c r="V137" s="92" t="e">
        <f>VLOOKUP($O137,'CO2'!$A$2:$J$1909,V$124,FALSE)/$AD$20</f>
        <v>#N/A</v>
      </c>
      <c r="W137" s="92" t="e">
        <f>VLOOKUP($O137,'CO2'!$A$2:$J$1909,W$124,FALSE)/$AD$20</f>
        <v>#N/A</v>
      </c>
      <c r="X137" s="92" t="e">
        <f>VLOOKUP($O137,'CO2'!$A$2:$J$1909,X$124,FALSE)/$AD$20</f>
        <v>#N/A</v>
      </c>
    </row>
    <row r="138" spans="1:26" x14ac:dyDescent="0.35">
      <c r="A138" s="840" t="s">
        <v>3045</v>
      </c>
      <c r="B138" s="846" t="str">
        <f t="shared" si="37"/>
        <v>T-C-GasRentogas</v>
      </c>
      <c r="O138" s="64" t="s">
        <v>226</v>
      </c>
      <c r="P138" s="92"/>
      <c r="Q138" s="92" t="e">
        <f>VLOOKUP($O138,'CO2'!$A$2:$J$1909,Q$124,FALSE)/$AD$20</f>
        <v>#N/A</v>
      </c>
      <c r="R138" s="92" t="e">
        <f>VLOOKUP($O138,'CO2'!$A$2:$J$1909,R$124,FALSE)/$AD$20</f>
        <v>#N/A</v>
      </c>
      <c r="S138" s="92" t="e">
        <f>VLOOKUP($O138,'CO2'!$A$2:$J$1909,S$124,FALSE)/$AD$20</f>
        <v>#N/A</v>
      </c>
      <c r="T138" s="92" t="e">
        <f>VLOOKUP($O138,'CO2'!$A$2:$J$1909,T$124,FALSE)/$AD$20</f>
        <v>#N/A</v>
      </c>
      <c r="U138" s="92" t="e">
        <f>VLOOKUP($O138,'CO2'!$A$2:$J$1909,U$124,FALSE)/$AD$20</f>
        <v>#N/A</v>
      </c>
      <c r="V138" s="92" t="e">
        <f>VLOOKUP($O138,'CO2'!$A$2:$J$1909,V$124,FALSE)/$AD$20</f>
        <v>#N/A</v>
      </c>
      <c r="W138" s="92" t="e">
        <f>VLOOKUP($O138,'CO2'!$A$2:$J$1909,W$124,FALSE)/$AD$20</f>
        <v>#N/A</v>
      </c>
      <c r="X138" s="92" t="e">
        <f>VLOOKUP($O138,'CO2'!$A$2:$J$1909,X$124,FALSE)/$AD$20</f>
        <v>#N/A</v>
      </c>
    </row>
    <row r="139" spans="1:26" x14ac:dyDescent="0.35">
      <c r="A139" s="840" t="s">
        <v>3046</v>
      </c>
      <c r="B139" s="846" t="str">
        <f t="shared" si="37"/>
        <v>T-C-kerosenerentokerosene</v>
      </c>
      <c r="O139" s="64" t="s">
        <v>230</v>
      </c>
      <c r="P139" s="92"/>
      <c r="Q139" s="92" t="e">
        <f>VLOOKUP($O139,'CO2'!$A$2:$J$1909,Q$124,FALSE)/$AD$20</f>
        <v>#N/A</v>
      </c>
      <c r="R139" s="92" t="e">
        <f>VLOOKUP($O139,'CO2'!$A$2:$J$1909,R$124,FALSE)/$AD$20</f>
        <v>#N/A</v>
      </c>
      <c r="S139" s="92" t="e">
        <f>VLOOKUP($O139,'CO2'!$A$2:$J$1909,S$124,FALSE)/$AD$20</f>
        <v>#N/A</v>
      </c>
      <c r="T139" s="92" t="e">
        <f>VLOOKUP($O139,'CO2'!$A$2:$J$1909,T$124,FALSE)/$AD$20</f>
        <v>#N/A</v>
      </c>
      <c r="U139" s="92" t="e">
        <f>VLOOKUP($O139,'CO2'!$A$2:$J$1909,U$124,FALSE)/$AD$20</f>
        <v>#N/A</v>
      </c>
      <c r="V139" s="92" t="e">
        <f>VLOOKUP($O139,'CO2'!$A$2:$J$1909,V$124,FALSE)/$AD$20</f>
        <v>#N/A</v>
      </c>
      <c r="W139" s="92" t="e">
        <f>VLOOKUP($O139,'CO2'!$A$2:$J$1909,W$124,FALSE)/$AD$20</f>
        <v>#N/A</v>
      </c>
      <c r="X139" s="92" t="e">
        <f>VLOOKUP($O139,'CO2'!$A$2:$J$1909,X$124,FALSE)/$AD$20</f>
        <v>#N/A</v>
      </c>
    </row>
    <row r="140" spans="1:26" x14ac:dyDescent="0.35">
      <c r="A140" s="840" t="s">
        <v>53</v>
      </c>
      <c r="B140" s="846" t="str">
        <f t="shared" si="37"/>
        <v>WasteHP</v>
      </c>
      <c r="O140" s="64" t="s">
        <v>418</v>
      </c>
      <c r="P140" s="92"/>
      <c r="Q140" s="92" t="e">
        <f>VLOOKUP($O140,'CO2'!$A$2:$J$1909,Q$124,FALSE)/$AD$20</f>
        <v>#N/A</v>
      </c>
      <c r="R140" s="92" t="e">
        <f>VLOOKUP($O140,'CO2'!$A$2:$J$1909,R$124,FALSE)/$AD$20</f>
        <v>#N/A</v>
      </c>
      <c r="S140" s="92" t="e">
        <f>VLOOKUP($O140,'CO2'!$A$2:$J$1909,S$124,FALSE)/$AD$20</f>
        <v>#N/A</v>
      </c>
      <c r="T140" s="92" t="e">
        <f>VLOOKUP($O140,'CO2'!$A$2:$J$1909,T$124,FALSE)/$AD$20</f>
        <v>#N/A</v>
      </c>
      <c r="U140" s="92" t="e">
        <f>VLOOKUP($O140,'CO2'!$A$2:$J$1909,U$124,FALSE)/$AD$20</f>
        <v>#N/A</v>
      </c>
      <c r="V140" s="92" t="e">
        <f>VLOOKUP($O140,'CO2'!$A$2:$J$1909,V$124,FALSE)/$AD$20</f>
        <v>#N/A</v>
      </c>
      <c r="W140" s="92" t="e">
        <f>VLOOKUP($O140,'CO2'!$A$2:$J$1909,W$124,FALSE)/$AD$20</f>
        <v>#N/A</v>
      </c>
      <c r="X140" s="92" t="e">
        <f>VLOOKUP($O140,'CO2'!$A$2:$J$1909,X$124,FALSE)/$AD$20</f>
        <v>#N/A</v>
      </c>
    </row>
    <row r="141" spans="1:26" x14ac:dyDescent="0.35">
      <c r="A141" s="840" t="s">
        <v>522</v>
      </c>
      <c r="B141" s="846" t="str">
        <f t="shared" si="37"/>
        <v>WoodtoCH4</v>
      </c>
      <c r="O141" s="64" t="s">
        <v>294</v>
      </c>
      <c r="P141" s="92"/>
      <c r="Q141" s="92" t="e">
        <f>VLOOKUP($O141,'CO2'!$A$2:$J$1909,Q$124,FALSE)/$AD$20</f>
        <v>#N/A</v>
      </c>
      <c r="R141" s="92" t="e">
        <f>VLOOKUP($O141,'CO2'!$A$2:$J$1909,R$124,FALSE)/$AD$20</f>
        <v>#N/A</v>
      </c>
      <c r="S141" s="92" t="e">
        <f>VLOOKUP($O141,'CO2'!$A$2:$J$1909,S$124,FALSE)/$AD$20</f>
        <v>#N/A</v>
      </c>
      <c r="T141" s="92" t="e">
        <f>VLOOKUP($O141,'CO2'!$A$2:$J$1909,T$124,FALSE)/$AD$20</f>
        <v>#N/A</v>
      </c>
      <c r="U141" s="92" t="e">
        <f>VLOOKUP($O141,'CO2'!$A$2:$J$1909,U$124,FALSE)/$AD$20</f>
        <v>#N/A</v>
      </c>
      <c r="V141" s="92" t="e">
        <f>VLOOKUP($O141,'CO2'!$A$2:$J$1909,V$124,FALSE)/$AD$20</f>
        <v>#N/A</v>
      </c>
      <c r="W141" s="92" t="e">
        <f>VLOOKUP($O141,'CO2'!$A$2:$J$1909,W$124,FALSE)/$AD$20</f>
        <v>#N/A</v>
      </c>
      <c r="X141" s="92" t="e">
        <f>VLOOKUP($O141,'CO2'!$A$2:$J$1909,X$124,FALSE)/$AD$20</f>
        <v>#N/A</v>
      </c>
    </row>
    <row r="142" spans="1:26" x14ac:dyDescent="0.35">
      <c r="A142" s="840" t="s">
        <v>3256</v>
      </c>
      <c r="B142" s="846" t="str">
        <f t="shared" si="37"/>
        <v>ZincPEP</v>
      </c>
      <c r="O142" s="64" t="s">
        <v>232</v>
      </c>
      <c r="P142" s="92"/>
      <c r="Q142" s="92" t="e">
        <f>VLOOKUP($O142,'CO2'!$A$2:$J$1909,Q$124,FALSE)/$AD$20</f>
        <v>#N/A</v>
      </c>
      <c r="R142" s="92" t="e">
        <f>VLOOKUP($O142,'CO2'!$A$2:$J$1909,R$124,FALSE)/$AD$20</f>
        <v>#N/A</v>
      </c>
      <c r="S142" s="92" t="e">
        <f>VLOOKUP($O142,'CO2'!$A$2:$J$1909,S$124,FALSE)/$AD$20</f>
        <v>#N/A</v>
      </c>
      <c r="T142" s="92" t="e">
        <f>VLOOKUP($O142,'CO2'!$A$2:$J$1909,T$124,FALSE)/$AD$20</f>
        <v>#N/A</v>
      </c>
      <c r="U142" s="92" t="e">
        <f>VLOOKUP($O142,'CO2'!$A$2:$J$1909,U$124,FALSE)/$AD$20</f>
        <v>#N/A</v>
      </c>
      <c r="V142" s="92" t="e">
        <f>VLOOKUP($O142,'CO2'!$A$2:$J$1909,V$124,FALSE)/$AD$20</f>
        <v>#N/A</v>
      </c>
      <c r="W142" s="92" t="e">
        <f>VLOOKUP($O142,'CO2'!$A$2:$J$1909,W$124,FALSE)/$AD$20</f>
        <v>#N/A</v>
      </c>
      <c r="X142" s="92" t="e">
        <f>VLOOKUP($O142,'CO2'!$A$2:$J$1909,X$124,FALSE)/$AD$20</f>
        <v>#N/A</v>
      </c>
    </row>
    <row r="143" spans="1:26" x14ac:dyDescent="0.35">
      <c r="A143" s="840" t="s">
        <v>3260</v>
      </c>
      <c r="B143" s="846" t="str">
        <f t="shared" si="37"/>
        <v>ZincRemelt</v>
      </c>
      <c r="O143" s="64" t="s">
        <v>293</v>
      </c>
      <c r="P143" s="92"/>
      <c r="Q143" s="92" t="e">
        <f>VLOOKUP($O143,'CO2'!$A$2:$J$1909,Q$124,FALSE)/$AD$20</f>
        <v>#N/A</v>
      </c>
      <c r="R143" s="92" t="e">
        <f>VLOOKUP($O143,'CO2'!$A$2:$J$1909,R$124,FALSE)/$AD$20</f>
        <v>#N/A</v>
      </c>
      <c r="S143" s="92" t="e">
        <f>VLOOKUP($O143,'CO2'!$A$2:$J$1909,S$124,FALSE)/$AD$20</f>
        <v>#N/A</v>
      </c>
      <c r="T143" s="92" t="e">
        <f>VLOOKUP($O143,'CO2'!$A$2:$J$1909,T$124,FALSE)/$AD$20</f>
        <v>#N/A</v>
      </c>
      <c r="U143" s="92" t="e">
        <f>VLOOKUP($O143,'CO2'!$A$2:$J$1909,U$124,FALSE)/$AD$20</f>
        <v>#N/A</v>
      </c>
      <c r="V143" s="92" t="e">
        <f>VLOOKUP($O143,'CO2'!$A$2:$J$1909,V$124,FALSE)/$AD$20</f>
        <v>#N/A</v>
      </c>
      <c r="W143" s="92" t="e">
        <f>VLOOKUP($O143,'CO2'!$A$2:$J$1909,W$124,FALSE)/$AD$20</f>
        <v>#N/A</v>
      </c>
      <c r="X143" s="92" t="e">
        <f>VLOOKUP($O143,'CO2'!$A$2:$J$1909,X$124,FALSE)/$AD$20</f>
        <v>#N/A</v>
      </c>
    </row>
    <row r="144" spans="1:26" x14ac:dyDescent="0.35">
      <c r="A144" s="840" t="s">
        <v>3262</v>
      </c>
      <c r="B144" s="846" t="str">
        <f t="shared" si="37"/>
        <v>ZincRemeltZref</v>
      </c>
      <c r="O144" s="64" t="s">
        <v>231</v>
      </c>
      <c r="P144" s="92"/>
      <c r="Q144" s="92" t="e">
        <f>VLOOKUP($O144,'CO2'!$A$2:$J$1909,Q$124,FALSE)/$AD$20</f>
        <v>#N/A</v>
      </c>
      <c r="R144" s="92" t="e">
        <f>VLOOKUP($O144,'CO2'!$A$2:$J$1909,R$124,FALSE)/$AD$20</f>
        <v>#N/A</v>
      </c>
      <c r="S144" s="92" t="e">
        <f>VLOOKUP($O144,'CO2'!$A$2:$J$1909,S$124,FALSE)/$AD$20</f>
        <v>#N/A</v>
      </c>
      <c r="T144" s="92" t="e">
        <f>VLOOKUP($O144,'CO2'!$A$2:$J$1909,T$124,FALSE)/$AD$20</f>
        <v>#N/A</v>
      </c>
      <c r="U144" s="92" t="e">
        <f>VLOOKUP($O144,'CO2'!$A$2:$J$1909,U$124,FALSE)/$AD$20</f>
        <v>#N/A</v>
      </c>
      <c r="V144" s="92" t="e">
        <f>VLOOKUP($O144,'CO2'!$A$2:$J$1909,V$124,FALSE)/$AD$20</f>
        <v>#N/A</v>
      </c>
      <c r="W144" s="92" t="e">
        <f>VLOOKUP($O144,'CO2'!$A$2:$J$1909,W$124,FALSE)/$AD$20</f>
        <v>#N/A</v>
      </c>
      <c r="X144" s="92" t="e">
        <f>VLOOKUP($O144,'CO2'!$A$2:$J$1909,X$124,FALSE)/$AD$20</f>
        <v>#N/A</v>
      </c>
    </row>
    <row r="145" spans="1:24" x14ac:dyDescent="0.35">
      <c r="A145" s="840" t="s">
        <v>3258</v>
      </c>
      <c r="B145" s="846" t="str">
        <f t="shared" si="37"/>
        <v>ZincWaelzoxideProcess</v>
      </c>
      <c r="O145" s="64" t="s">
        <v>229</v>
      </c>
      <c r="P145" s="92"/>
      <c r="Q145" s="92" t="e">
        <f>VLOOKUP($O145,'CO2'!$A$2:$J$1909,Q$124,FALSE)/$AD$20</f>
        <v>#N/A</v>
      </c>
      <c r="R145" s="92" t="e">
        <f>VLOOKUP($O145,'CO2'!$A$2:$J$1909,R$124,FALSE)/$AD$20</f>
        <v>#N/A</v>
      </c>
      <c r="S145" s="92" t="e">
        <f>VLOOKUP($O145,'CO2'!$A$2:$J$1909,S$124,FALSE)/$AD$20</f>
        <v>#N/A</v>
      </c>
      <c r="T145" s="92" t="e">
        <f>VLOOKUP($O145,'CO2'!$A$2:$J$1909,T$124,FALSE)/$AD$20</f>
        <v>#N/A</v>
      </c>
      <c r="U145" s="92" t="e">
        <f>VLOOKUP($O145,'CO2'!$A$2:$J$1909,U$124,FALSE)/$AD$20</f>
        <v>#N/A</v>
      </c>
      <c r="V145" s="92" t="e">
        <f>VLOOKUP($O145,'CO2'!$A$2:$J$1909,V$124,FALSE)/$AD$20</f>
        <v>#N/A</v>
      </c>
      <c r="W145" s="92" t="e">
        <f>VLOOKUP($O145,'CO2'!$A$2:$J$1909,W$124,FALSE)/$AD$20</f>
        <v>#N/A</v>
      </c>
      <c r="X145" s="92" t="e">
        <f>VLOOKUP($O145,'CO2'!$A$2:$J$1909,X$124,FALSE)/$AD$20</f>
        <v>#N/A</v>
      </c>
    </row>
    <row r="146" spans="1:24" x14ac:dyDescent="0.35">
      <c r="A146" s="840"/>
      <c r="B146" s="846"/>
      <c r="O146" s="64" t="s">
        <v>442</v>
      </c>
      <c r="P146" s="92"/>
      <c r="Q146" s="92" t="e">
        <f>VLOOKUP($O146,'CO2'!$A$2:$J$1909,Q$124,FALSE)/$AD$20</f>
        <v>#N/A</v>
      </c>
      <c r="R146" s="92" t="e">
        <f>VLOOKUP($O146,'CO2'!$A$2:$J$1909,R$124,FALSE)/$AD$20</f>
        <v>#N/A</v>
      </c>
      <c r="S146" s="92" t="e">
        <f>VLOOKUP($O146,'CO2'!$A$2:$J$1909,S$124,FALSE)/$AD$20</f>
        <v>#N/A</v>
      </c>
      <c r="T146" s="92" t="e">
        <f>VLOOKUP($O146,'CO2'!$A$2:$J$1909,T$124,FALSE)/$AD$20</f>
        <v>#N/A</v>
      </c>
      <c r="U146" s="92" t="e">
        <f>VLOOKUP($O146,'CO2'!$A$2:$J$1909,U$124,FALSE)/$AD$20</f>
        <v>#N/A</v>
      </c>
      <c r="V146" s="92" t="e">
        <f>VLOOKUP($O146,'CO2'!$A$2:$J$1909,V$124,FALSE)/$AD$20</f>
        <v>#N/A</v>
      </c>
      <c r="W146" s="92" t="e">
        <f>VLOOKUP($O146,'CO2'!$A$2:$J$1909,W$124,FALSE)/$AD$20</f>
        <v>#N/A</v>
      </c>
      <c r="X146" s="92" t="e">
        <f>VLOOKUP($O146,'CO2'!$A$2:$J$1909,X$124,FALSE)/$AD$20</f>
        <v>#N/A</v>
      </c>
    </row>
    <row r="147" spans="1:24" x14ac:dyDescent="0.35">
      <c r="A147" s="840"/>
      <c r="B147" s="846"/>
      <c r="O147" s="64" t="s">
        <v>417</v>
      </c>
      <c r="P147" s="92"/>
      <c r="Q147" s="92" t="e">
        <f>VLOOKUP($O147,'CO2'!$A$2:$J$1909,Q$124,FALSE)/$AD$20</f>
        <v>#N/A</v>
      </c>
      <c r="R147" s="92" t="e">
        <f>VLOOKUP($O147,'CO2'!$A$2:$J$1909,R$124,FALSE)/$AD$20</f>
        <v>#N/A</v>
      </c>
      <c r="S147" s="92" t="e">
        <f>VLOOKUP($O147,'CO2'!$A$2:$J$1909,S$124,FALSE)/$AD$20</f>
        <v>#N/A</v>
      </c>
      <c r="T147" s="92" t="e">
        <f>VLOOKUP($O147,'CO2'!$A$2:$J$1909,T$124,FALSE)/$AD$20</f>
        <v>#N/A</v>
      </c>
      <c r="U147" s="92" t="e">
        <f>VLOOKUP($O147,'CO2'!$A$2:$J$1909,U$124,FALSE)/$AD$20</f>
        <v>#N/A</v>
      </c>
      <c r="V147" s="92" t="e">
        <f>VLOOKUP($O147,'CO2'!$A$2:$J$1909,V$124,FALSE)/$AD$20</f>
        <v>#N/A</v>
      </c>
      <c r="W147" s="92" t="e">
        <f>VLOOKUP($O147,'CO2'!$A$2:$J$1909,W$124,FALSE)/$AD$20</f>
        <v>#N/A</v>
      </c>
      <c r="X147" s="92" t="e">
        <f>VLOOKUP($O147,'CO2'!$A$2:$J$1909,X$124,FALSE)/$AD$20</f>
        <v>#N/A</v>
      </c>
    </row>
    <row r="148" spans="1:24" x14ac:dyDescent="0.35">
      <c r="A148" s="840"/>
      <c r="B148" s="846"/>
    </row>
    <row r="149" spans="1:24" x14ac:dyDescent="0.35">
      <c r="A149" s="840"/>
      <c r="B149" s="846"/>
      <c r="O149" s="40" t="s">
        <v>3082</v>
      </c>
      <c r="P149" s="92"/>
      <c r="Q149" s="92" t="e">
        <f>VLOOKUP($O149,'CO2'!$A$2:$J$1909,Q$2,FALSE)/$AD$20</f>
        <v>#N/A</v>
      </c>
      <c r="R149" s="92" t="e">
        <f>VLOOKUP($O149,'CO2'!$A$2:$J$1909,R$2,FALSE)/$AD$20</f>
        <v>#N/A</v>
      </c>
      <c r="S149" s="92" t="e">
        <f>VLOOKUP($O149,'CO2'!$A$2:$J$1909,S$2,FALSE)/$AD$20</f>
        <v>#N/A</v>
      </c>
      <c r="T149" s="92" t="e">
        <f>VLOOKUP($O149,'CO2'!$A$2:$J$1909,T$2,FALSE)/$AD$20</f>
        <v>#N/A</v>
      </c>
      <c r="U149" s="92" t="e">
        <f>VLOOKUP($O149,'CO2'!$A$2:$J$1909,U$2,FALSE)/$AD$20</f>
        <v>#N/A</v>
      </c>
      <c r="V149" s="92" t="e">
        <f>VLOOKUP($O149,'CO2'!$A$2:$J$1909,V$2,FALSE)/$AD$20</f>
        <v>#N/A</v>
      </c>
      <c r="W149" s="92" t="e">
        <f>VLOOKUP($O149,'CO2'!$A$2:$J$1909,W$2,FALSE)/$AD$20</f>
        <v>#N/A</v>
      </c>
      <c r="X149" s="92" t="e">
        <f>VLOOKUP($O149,'CO2'!$A$2:$J$1909,X$2,FALSE)/$AD$20</f>
        <v>#N/A</v>
      </c>
    </row>
    <row r="150" spans="1:24" x14ac:dyDescent="0.35">
      <c r="A150" s="840"/>
      <c r="B150" s="846"/>
      <c r="O150" s="40" t="s">
        <v>3120</v>
      </c>
      <c r="P150" s="92"/>
      <c r="Q150" s="92" t="e">
        <f>VLOOKUP($O150,'CO2'!$A$2:$J$1909,Q$2,FALSE)/$AD$20</f>
        <v>#N/A</v>
      </c>
      <c r="R150" s="92" t="e">
        <f>VLOOKUP($O150,'CO2'!$A$2:$J$1909,R$2,FALSE)/$AD$20</f>
        <v>#N/A</v>
      </c>
      <c r="S150" s="92" t="e">
        <f>VLOOKUP($O150,'CO2'!$A$2:$J$1909,S$2,FALSE)/$AD$20</f>
        <v>#N/A</v>
      </c>
      <c r="T150" s="92" t="e">
        <f>VLOOKUP($O150,'CO2'!$A$2:$J$1909,T$2,FALSE)/$AD$20</f>
        <v>#N/A</v>
      </c>
      <c r="U150" s="92" t="e">
        <f>VLOOKUP($O150,'CO2'!$A$2:$J$1909,U$2,FALSE)/$AD$20</f>
        <v>#N/A</v>
      </c>
      <c r="V150" s="92" t="e">
        <f>VLOOKUP($O150,'CO2'!$A$2:$J$1909,V$2,FALSE)/$AD$20</f>
        <v>#N/A</v>
      </c>
      <c r="W150" s="92" t="e">
        <f>VLOOKUP($O150,'CO2'!$A$2:$J$1909,W$2,FALSE)/$AD$20</f>
        <v>#N/A</v>
      </c>
      <c r="X150" s="92" t="e">
        <f>VLOOKUP($O150,'CO2'!$A$2:$J$1909,X$2,FALSE)/$AD$20</f>
        <v>#N/A</v>
      </c>
    </row>
    <row r="151" spans="1:24" x14ac:dyDescent="0.35">
      <c r="A151" s="840"/>
      <c r="B151" s="846"/>
      <c r="O151" s="40" t="s">
        <v>3083</v>
      </c>
      <c r="P151" s="92"/>
      <c r="Q151" s="92" t="e">
        <f>VLOOKUP($O151,'CO2'!$A$2:$J$1909,Q$2,FALSE)/$AD$20</f>
        <v>#N/A</v>
      </c>
      <c r="R151" s="92" t="e">
        <f>VLOOKUP($O151,'CO2'!$A$2:$J$1909,R$2,FALSE)/$AD$20</f>
        <v>#N/A</v>
      </c>
      <c r="S151" s="92" t="e">
        <f>VLOOKUP($O151,'CO2'!$A$2:$J$1909,S$2,FALSE)/$AD$20</f>
        <v>#N/A</v>
      </c>
      <c r="T151" s="92" t="e">
        <f>VLOOKUP($O151,'CO2'!$A$2:$J$1909,T$2,FALSE)/$AD$20</f>
        <v>#N/A</v>
      </c>
      <c r="U151" s="92" t="e">
        <f>VLOOKUP($O151,'CO2'!$A$2:$J$1909,U$2,FALSE)/$AD$20</f>
        <v>#N/A</v>
      </c>
      <c r="V151" s="92" t="e">
        <f>VLOOKUP($O151,'CO2'!$A$2:$J$1909,V$2,FALSE)/$AD$20</f>
        <v>#N/A</v>
      </c>
      <c r="W151" s="92" t="e">
        <f>VLOOKUP($O151,'CO2'!$A$2:$J$1909,W$2,FALSE)/$AD$20</f>
        <v>#N/A</v>
      </c>
      <c r="X151" s="92" t="e">
        <f>VLOOKUP($O151,'CO2'!$A$2:$J$1909,X$2,FALSE)/$AD$20</f>
        <v>#N/A</v>
      </c>
    </row>
    <row r="152" spans="1:24" x14ac:dyDescent="0.35">
      <c r="A152" s="840"/>
      <c r="B152" s="846"/>
      <c r="O152" s="40" t="s">
        <v>3084</v>
      </c>
      <c r="P152" s="92"/>
      <c r="Q152" s="92" t="e">
        <f>VLOOKUP($O152,'CO2'!$A$2:$J$1909,Q$2,FALSE)/$AD$20</f>
        <v>#N/A</v>
      </c>
      <c r="R152" s="92" t="e">
        <f>VLOOKUP($O152,'CO2'!$A$2:$J$1909,R$2,FALSE)/$AD$20</f>
        <v>#N/A</v>
      </c>
      <c r="S152" s="92" t="e">
        <f>VLOOKUP($O152,'CO2'!$A$2:$J$1909,S$2,FALSE)/$AD$20</f>
        <v>#N/A</v>
      </c>
      <c r="T152" s="92" t="e">
        <f>VLOOKUP($O152,'CO2'!$A$2:$J$1909,T$2,FALSE)/$AD$20</f>
        <v>#N/A</v>
      </c>
      <c r="U152" s="92" t="e">
        <f>VLOOKUP($O152,'CO2'!$A$2:$J$1909,U$2,FALSE)/$AD$20</f>
        <v>#N/A</v>
      </c>
      <c r="V152" s="92" t="e">
        <f>VLOOKUP($O152,'CO2'!$A$2:$J$1909,V$2,FALSE)/$AD$20</f>
        <v>#N/A</v>
      </c>
      <c r="W152" s="92" t="e">
        <f>VLOOKUP($O152,'CO2'!$A$2:$J$1909,W$2,FALSE)/$AD$20</f>
        <v>#N/A</v>
      </c>
      <c r="X152" s="92" t="e">
        <f>VLOOKUP($O152,'CO2'!$A$2:$J$1909,X$2,FALSE)/$AD$20</f>
        <v>#N/A</v>
      </c>
    </row>
    <row r="153" spans="1:24" x14ac:dyDescent="0.35">
      <c r="A153" s="840"/>
      <c r="B153" s="846"/>
    </row>
    <row r="154" spans="1:24" x14ac:dyDescent="0.35">
      <c r="A154" s="840"/>
      <c r="B154" s="846"/>
      <c r="O154" s="40" t="s">
        <v>523</v>
      </c>
      <c r="P154" s="92"/>
      <c r="Q154" s="92" t="e">
        <f>VLOOKUP($O154,'CO2'!$A$2:$J$1909,Q$124,FALSE)/$AD$20</f>
        <v>#N/A</v>
      </c>
      <c r="R154" s="92" t="e">
        <f>VLOOKUP($O154,'CO2'!$A$2:$J$1909,R$124,FALSE)/$AD$20</f>
        <v>#N/A</v>
      </c>
      <c r="S154" s="92" t="e">
        <f>VLOOKUP($O154,'CO2'!$A$2:$J$1909,S$124,FALSE)/$AD$20</f>
        <v>#N/A</v>
      </c>
      <c r="T154" s="92" t="e">
        <f>VLOOKUP($O154,'CO2'!$A$2:$J$1909,T$124,FALSE)/$AD$20</f>
        <v>#N/A</v>
      </c>
      <c r="U154" s="92" t="e">
        <f>VLOOKUP($O154,'CO2'!$A$2:$J$1909,U$124,FALSE)/$AD$20</f>
        <v>#N/A</v>
      </c>
      <c r="V154" s="92" t="e">
        <f>VLOOKUP($O154,'CO2'!$A$2:$J$1909,V$124,FALSE)/$AD$20</f>
        <v>#N/A</v>
      </c>
      <c r="W154" s="92" t="e">
        <f>VLOOKUP($O154,'CO2'!$A$2:$J$1909,W$124,FALSE)/$AD$20</f>
        <v>#N/A</v>
      </c>
      <c r="X154" s="92" t="e">
        <f>VLOOKUP($O154,'CO2'!$A$2:$J$1909,X$124,FALSE)/$AD$20</f>
        <v>#N/A</v>
      </c>
    </row>
    <row r="155" spans="1:24" x14ac:dyDescent="0.35">
      <c r="A155" s="840"/>
      <c r="B155" s="846"/>
      <c r="O155" s="40" t="s">
        <v>473</v>
      </c>
      <c r="P155" s="92"/>
      <c r="Q155" s="92" t="e">
        <f>VLOOKUP($O155,'CO2'!$A$2:$J$1909,Q$124,FALSE)/$AD$20</f>
        <v>#N/A</v>
      </c>
      <c r="R155" s="92" t="e">
        <f>VLOOKUP($O155,'CO2'!$A$2:$J$1909,R$124,FALSE)/$AD$20</f>
        <v>#N/A</v>
      </c>
      <c r="S155" s="92" t="e">
        <f>VLOOKUP($O155,'CO2'!$A$2:$J$1909,S$124,FALSE)/$AD$20</f>
        <v>#N/A</v>
      </c>
      <c r="T155" s="92" t="e">
        <f>VLOOKUP($O155,'CO2'!$A$2:$J$1909,T$124,FALSE)/$AD$20</f>
        <v>#N/A</v>
      </c>
      <c r="U155" s="92" t="e">
        <f>VLOOKUP($O155,'CO2'!$A$2:$J$1909,U$124,FALSE)/$AD$20</f>
        <v>#N/A</v>
      </c>
      <c r="V155" s="92" t="e">
        <f>VLOOKUP($O155,'CO2'!$A$2:$J$1909,V$124,FALSE)/$AD$20</f>
        <v>#N/A</v>
      </c>
      <c r="W155" s="92" t="e">
        <f>VLOOKUP($O155,'CO2'!$A$2:$J$1909,W$124,FALSE)/$AD$20</f>
        <v>#N/A</v>
      </c>
      <c r="X155" s="92" t="e">
        <f>VLOOKUP($O155,'CO2'!$A$2:$J$1909,X$124,FALSE)/$AD$20</f>
        <v>#N/A</v>
      </c>
    </row>
    <row r="156" spans="1:24" x14ac:dyDescent="0.35">
      <c r="A156" s="840"/>
      <c r="B156" s="846"/>
      <c r="O156" s="155" t="s">
        <v>343</v>
      </c>
      <c r="P156" s="158"/>
      <c r="Q156" s="158" t="e">
        <f>VLOOKUP($O156,'CO2'!$A$2:$J$1909,Q$124,FALSE)</f>
        <v>#N/A</v>
      </c>
      <c r="R156" s="158" t="e">
        <f>VLOOKUP($O156,'CO2'!$A$2:$J$1909,R$124,FALSE)</f>
        <v>#N/A</v>
      </c>
      <c r="S156" s="158" t="e">
        <f>VLOOKUP($O156,'CO2'!$A$2:$J$1909,S$124,FALSE)</f>
        <v>#N/A</v>
      </c>
      <c r="T156" s="158" t="e">
        <f>VLOOKUP($O156,'CO2'!$A$2:$J$1909,T$124,FALSE)</f>
        <v>#N/A</v>
      </c>
      <c r="U156" s="158" t="e">
        <f>VLOOKUP($O156,'CO2'!$A$2:$J$1909,U$124,FALSE)</f>
        <v>#N/A</v>
      </c>
      <c r="V156" s="158" t="e">
        <f>VLOOKUP($O156,'CO2'!$A$2:$J$1909,V$124,FALSE)</f>
        <v>#N/A</v>
      </c>
      <c r="W156" s="158" t="e">
        <f>VLOOKUP($O156,'CO2'!$A$2:$J$1909,W$124,FALSE)</f>
        <v>#N/A</v>
      </c>
      <c r="X156" s="158" t="e">
        <f>VLOOKUP($O156,'CO2'!$A$2:$J$1909,X$124,FALSE)</f>
        <v>#N/A</v>
      </c>
    </row>
    <row r="157" spans="1:24" x14ac:dyDescent="0.35">
      <c r="A157" s="840"/>
      <c r="B157" s="846"/>
      <c r="O157" s="155" t="s">
        <v>3098</v>
      </c>
      <c r="P157" s="158"/>
      <c r="Q157" s="158" t="e">
        <f>VLOOKUP($O157,'CO2'!$A$2:$J$1909,Q$124,FALSE)</f>
        <v>#N/A</v>
      </c>
      <c r="R157" s="158" t="e">
        <f>VLOOKUP($O157,'CO2'!$A$2:$J$1909,R$124,FALSE)</f>
        <v>#N/A</v>
      </c>
      <c r="S157" s="158" t="e">
        <f>VLOOKUP($O157,'CO2'!$A$2:$J$1909,S$124,FALSE)</f>
        <v>#N/A</v>
      </c>
      <c r="T157" s="158" t="e">
        <f>VLOOKUP($O157,'CO2'!$A$2:$J$1909,T$124,FALSE)</f>
        <v>#N/A</v>
      </c>
      <c r="U157" s="158" t="e">
        <f>VLOOKUP($O157,'CO2'!$A$2:$J$1909,U$124,FALSE)</f>
        <v>#N/A</v>
      </c>
      <c r="V157" s="158" t="e">
        <f>VLOOKUP($O157,'CO2'!$A$2:$J$1909,V$124,FALSE)</f>
        <v>#N/A</v>
      </c>
      <c r="W157" s="158" t="e">
        <f>VLOOKUP($O157,'CO2'!$A$2:$J$1909,W$124,FALSE)</f>
        <v>#N/A</v>
      </c>
      <c r="X157" s="158" t="e">
        <f>VLOOKUP($O157,'CO2'!$A$2:$J$1909,X$124,FALSE)</f>
        <v>#N/A</v>
      </c>
    </row>
    <row r="158" spans="1:24" x14ac:dyDescent="0.35">
      <c r="A158" s="840"/>
      <c r="B158" s="846"/>
      <c r="O158" s="155" t="s">
        <v>282</v>
      </c>
      <c r="P158" s="158"/>
      <c r="Q158" s="158" t="e">
        <f>VLOOKUP($O158,'CO2'!$A$2:$J$1909,Q$124,FALSE)</f>
        <v>#N/A</v>
      </c>
      <c r="R158" s="158" t="e">
        <f>VLOOKUP($O158,'CO2'!$A$2:$J$1909,R$124,FALSE)</f>
        <v>#N/A</v>
      </c>
      <c r="S158" s="158" t="e">
        <f>VLOOKUP($O158,'CO2'!$A$2:$J$1909,S$124,FALSE)</f>
        <v>#N/A</v>
      </c>
      <c r="T158" s="158" t="e">
        <f>VLOOKUP($O158,'CO2'!$A$2:$J$1909,T$124,FALSE)</f>
        <v>#N/A</v>
      </c>
      <c r="U158" s="158" t="e">
        <f>VLOOKUP($O158,'CO2'!$A$2:$J$1909,U$124,FALSE)</f>
        <v>#N/A</v>
      </c>
      <c r="V158" s="158" t="e">
        <f>VLOOKUP($O158,'CO2'!$A$2:$J$1909,V$124,FALSE)</f>
        <v>#N/A</v>
      </c>
      <c r="W158" s="158" t="e">
        <f>VLOOKUP($O158,'CO2'!$A$2:$J$1909,W$124,FALSE)</f>
        <v>#N/A</v>
      </c>
      <c r="X158" s="158" t="e">
        <f>VLOOKUP($O158,'CO2'!$A$2:$J$1909,X$124,FALSE)</f>
        <v>#N/A</v>
      </c>
    </row>
    <row r="159" spans="1:24" x14ac:dyDescent="0.35">
      <c r="O159" s="155" t="s">
        <v>3096</v>
      </c>
      <c r="P159" s="158"/>
      <c r="Q159" s="158" t="e">
        <f>VLOOKUP($O159,'CO2'!$A$2:$J$1909,Q$124,FALSE)</f>
        <v>#N/A</v>
      </c>
      <c r="R159" s="158" t="e">
        <f>VLOOKUP($O159,'CO2'!$A$2:$J$1909,R$124,FALSE)</f>
        <v>#N/A</v>
      </c>
      <c r="S159" s="158" t="e">
        <f>VLOOKUP($O159,'CO2'!$A$2:$J$1909,S$124,FALSE)</f>
        <v>#N/A</v>
      </c>
      <c r="T159" s="158" t="e">
        <f>VLOOKUP($O159,'CO2'!$A$2:$J$1909,T$124,FALSE)</f>
        <v>#N/A</v>
      </c>
      <c r="U159" s="158" t="e">
        <f>VLOOKUP($O159,'CO2'!$A$2:$J$1909,U$124,FALSE)</f>
        <v>#N/A</v>
      </c>
      <c r="V159" s="158" t="e">
        <f>VLOOKUP($O159,'CO2'!$A$2:$J$1909,V$124,FALSE)</f>
        <v>#N/A</v>
      </c>
      <c r="W159" s="158" t="e">
        <f>VLOOKUP($O159,'CO2'!$A$2:$J$1909,W$124,FALSE)</f>
        <v>#N/A</v>
      </c>
      <c r="X159" s="158" t="e">
        <f>VLOOKUP($O159,'CO2'!$A$2:$J$1909,X$124,FALSE)</f>
        <v>#N/A</v>
      </c>
    </row>
    <row r="160" spans="1:24" x14ac:dyDescent="0.35">
      <c r="O160" s="155" t="s">
        <v>225</v>
      </c>
      <c r="P160" s="158"/>
      <c r="Q160" s="158" t="e">
        <f>VLOOKUP($O160,'CO2'!$A$2:$J$1909,Q$124,FALSE)</f>
        <v>#N/A</v>
      </c>
      <c r="R160" s="158" t="e">
        <f>VLOOKUP($O160,'CO2'!$A$2:$J$1909,R$124,FALSE)</f>
        <v>#N/A</v>
      </c>
      <c r="S160" s="158" t="e">
        <f>VLOOKUP($O160,'CO2'!$A$2:$J$1909,S$124,FALSE)</f>
        <v>#N/A</v>
      </c>
      <c r="T160" s="158" t="e">
        <f>VLOOKUP($O160,'CO2'!$A$2:$J$1909,T$124,FALSE)</f>
        <v>#N/A</v>
      </c>
      <c r="U160" s="158" t="e">
        <f>VLOOKUP($O160,'CO2'!$A$2:$J$1909,U$124,FALSE)</f>
        <v>#N/A</v>
      </c>
      <c r="V160" s="158" t="e">
        <f>VLOOKUP($O160,'CO2'!$A$2:$J$1909,V$124,FALSE)</f>
        <v>#N/A</v>
      </c>
      <c r="W160" s="158" t="e">
        <f>VLOOKUP($O160,'CO2'!$A$2:$J$1909,W$124,FALSE)</f>
        <v>#N/A</v>
      </c>
      <c r="X160" s="158" t="e">
        <f>VLOOKUP($O160,'CO2'!$A$2:$J$1909,X$124,FALSE)</f>
        <v>#N/A</v>
      </c>
    </row>
    <row r="161" spans="15:24" x14ac:dyDescent="0.35">
      <c r="O161" s="155" t="s">
        <v>3094</v>
      </c>
      <c r="P161" s="158"/>
      <c r="Q161" s="158" t="e">
        <f>VLOOKUP($O161,'CO2'!$A$2:$J$1909,Q$124,FALSE)</f>
        <v>#N/A</v>
      </c>
      <c r="R161" s="158" t="e">
        <f>VLOOKUP($O161,'CO2'!$A$2:$J$1909,R$124,FALSE)</f>
        <v>#N/A</v>
      </c>
      <c r="S161" s="158" t="e">
        <f>VLOOKUP($O161,'CO2'!$A$2:$J$1909,S$124,FALSE)</f>
        <v>#N/A</v>
      </c>
      <c r="T161" s="158" t="e">
        <f>VLOOKUP($O161,'CO2'!$A$2:$J$1909,T$124,FALSE)</f>
        <v>#N/A</v>
      </c>
      <c r="U161" s="158" t="e">
        <f>VLOOKUP($O161,'CO2'!$A$2:$J$1909,U$124,FALSE)</f>
        <v>#N/A</v>
      </c>
      <c r="V161" s="158" t="e">
        <f>VLOOKUP($O161,'CO2'!$A$2:$J$1909,V$124,FALSE)</f>
        <v>#N/A</v>
      </c>
      <c r="W161" s="158" t="e">
        <f>VLOOKUP($O161,'CO2'!$A$2:$J$1909,W$124,FALSE)</f>
        <v>#N/A</v>
      </c>
      <c r="X161" s="158" t="e">
        <f>VLOOKUP($O161,'CO2'!$A$2:$J$1909,X$124,FALSE)</f>
        <v>#N/A</v>
      </c>
    </row>
    <row r="162" spans="15:24" x14ac:dyDescent="0.35">
      <c r="O162" s="155" t="s">
        <v>3099</v>
      </c>
      <c r="P162" s="158"/>
      <c r="Q162" s="158" t="e">
        <f>VLOOKUP($O162,'CO2'!$A$2:$J$1909,Q$124,FALSE)</f>
        <v>#N/A</v>
      </c>
      <c r="R162" s="158" t="e">
        <f>VLOOKUP($O162,'CO2'!$A$2:$J$1909,R$124,FALSE)</f>
        <v>#N/A</v>
      </c>
      <c r="S162" s="158" t="e">
        <f>VLOOKUP($O162,'CO2'!$A$2:$J$1909,S$124,FALSE)</f>
        <v>#N/A</v>
      </c>
      <c r="T162" s="158" t="e">
        <f>VLOOKUP($O162,'CO2'!$A$2:$J$1909,T$124,FALSE)</f>
        <v>#N/A</v>
      </c>
      <c r="U162" s="158" t="e">
        <f>VLOOKUP($O162,'CO2'!$A$2:$J$1909,U$124,FALSE)</f>
        <v>#N/A</v>
      </c>
      <c r="V162" s="158" t="e">
        <f>VLOOKUP($O162,'CO2'!$A$2:$J$1909,V$124,FALSE)</f>
        <v>#N/A</v>
      </c>
      <c r="W162" s="158" t="e">
        <f>VLOOKUP($O162,'CO2'!$A$2:$J$1909,W$124,FALSE)</f>
        <v>#N/A</v>
      </c>
      <c r="X162" s="158" t="e">
        <f>VLOOKUP($O162,'CO2'!$A$2:$J$1909,X$124,FALSE)</f>
        <v>#N/A</v>
      </c>
    </row>
    <row r="163" spans="15:24" x14ac:dyDescent="0.35">
      <c r="O163" s="155" t="s">
        <v>3097</v>
      </c>
      <c r="P163" s="158"/>
      <c r="Q163" s="158" t="e">
        <f>VLOOKUP($O163,'CO2'!$A$2:$J$1909,Q$124,FALSE)</f>
        <v>#N/A</v>
      </c>
      <c r="R163" s="158" t="e">
        <f>VLOOKUP($O163,'CO2'!$A$2:$J$1909,R$124,FALSE)</f>
        <v>#N/A</v>
      </c>
      <c r="S163" s="158" t="e">
        <f>VLOOKUP($O163,'CO2'!$A$2:$J$1909,S$124,FALSE)</f>
        <v>#N/A</v>
      </c>
      <c r="T163" s="158" t="e">
        <f>VLOOKUP($O163,'CO2'!$A$2:$J$1909,T$124,FALSE)</f>
        <v>#N/A</v>
      </c>
      <c r="U163" s="158" t="e">
        <f>VLOOKUP($O163,'CO2'!$A$2:$J$1909,U$124,FALSE)</f>
        <v>#N/A</v>
      </c>
      <c r="V163" s="158" t="e">
        <f>VLOOKUP($O163,'CO2'!$A$2:$J$1909,V$124,FALSE)</f>
        <v>#N/A</v>
      </c>
      <c r="W163" s="158" t="e">
        <f>VLOOKUP($O163,'CO2'!$A$2:$J$1909,W$124,FALSE)</f>
        <v>#N/A</v>
      </c>
      <c r="X163" s="158" t="e">
        <f>VLOOKUP($O163,'CO2'!$A$2:$J$1909,X$124,FALSE)</f>
        <v>#N/A</v>
      </c>
    </row>
    <row r="164" spans="15:24" x14ac:dyDescent="0.35">
      <c r="O164" s="155" t="s">
        <v>3039</v>
      </c>
      <c r="P164" s="158"/>
      <c r="Q164" s="158" t="e">
        <f>VLOOKUP($O164,'CO2'!$A$2:$J$1909,Q$124,FALSE)</f>
        <v>#N/A</v>
      </c>
      <c r="R164" s="158" t="e">
        <f>VLOOKUP($O164,'CO2'!$A$2:$J$1909,R$124,FALSE)</f>
        <v>#N/A</v>
      </c>
      <c r="S164" s="158" t="e">
        <f>VLOOKUP($O164,'CO2'!$A$2:$J$1909,S$124,FALSE)</f>
        <v>#N/A</v>
      </c>
      <c r="T164" s="158" t="e">
        <f>VLOOKUP($O164,'CO2'!$A$2:$J$1909,T$124,FALSE)</f>
        <v>#N/A</v>
      </c>
      <c r="U164" s="158" t="e">
        <f>VLOOKUP($O164,'CO2'!$A$2:$J$1909,U$124,FALSE)</f>
        <v>#N/A</v>
      </c>
      <c r="V164" s="158" t="e">
        <f>VLOOKUP($O164,'CO2'!$A$2:$J$1909,V$124,FALSE)</f>
        <v>#N/A</v>
      </c>
      <c r="W164" s="158" t="e">
        <f>VLOOKUP($O164,'CO2'!$A$2:$J$1909,W$124,FALSE)</f>
        <v>#N/A</v>
      </c>
      <c r="X164" s="158" t="e">
        <f>VLOOKUP($O164,'CO2'!$A$2:$J$1909,X$124,FALSE)</f>
        <v>#N/A</v>
      </c>
    </row>
    <row r="165" spans="15:24" x14ac:dyDescent="0.35">
      <c r="O165" s="155" t="s">
        <v>280</v>
      </c>
      <c r="P165" s="158"/>
      <c r="Q165" s="158" t="e">
        <f>VLOOKUP($O165,'CO2'!$A$2:$J$1909,Q$124,FALSE)</f>
        <v>#N/A</v>
      </c>
      <c r="R165" s="158" t="e">
        <f>VLOOKUP($O165,'CO2'!$A$2:$J$1909,R$124,FALSE)</f>
        <v>#N/A</v>
      </c>
      <c r="S165" s="158" t="e">
        <f>VLOOKUP($O165,'CO2'!$A$2:$J$1909,S$124,FALSE)</f>
        <v>#N/A</v>
      </c>
      <c r="T165" s="158" t="e">
        <f>VLOOKUP($O165,'CO2'!$A$2:$J$1909,T$124,FALSE)</f>
        <v>#N/A</v>
      </c>
      <c r="U165" s="158" t="e">
        <f>VLOOKUP($O165,'CO2'!$A$2:$J$1909,U$124,FALSE)</f>
        <v>#N/A</v>
      </c>
      <c r="V165" s="158" t="e">
        <f>VLOOKUP($O165,'CO2'!$A$2:$J$1909,V$124,FALSE)</f>
        <v>#N/A</v>
      </c>
      <c r="W165" s="158" t="e">
        <f>VLOOKUP($O165,'CO2'!$A$2:$J$1909,W$124,FALSE)</f>
        <v>#N/A</v>
      </c>
      <c r="X165" s="158" t="e">
        <f>VLOOKUP($O165,'CO2'!$A$2:$J$1909,X$124,FALSE)</f>
        <v>#N/A</v>
      </c>
    </row>
    <row r="166" spans="15:24" x14ac:dyDescent="0.35">
      <c r="O166" s="155" t="s">
        <v>3095</v>
      </c>
      <c r="P166" s="158"/>
      <c r="Q166" s="158" t="e">
        <f>VLOOKUP($O166,'CO2'!$A$2:$J$1909,Q$124,FALSE)</f>
        <v>#N/A</v>
      </c>
      <c r="R166" s="158" t="e">
        <f>VLOOKUP($O166,'CO2'!$A$2:$J$1909,R$124,FALSE)</f>
        <v>#N/A</v>
      </c>
      <c r="S166" s="158" t="e">
        <f>VLOOKUP($O166,'CO2'!$A$2:$J$1909,S$124,FALSE)</f>
        <v>#N/A</v>
      </c>
      <c r="T166" s="158" t="e">
        <f>VLOOKUP($O166,'CO2'!$A$2:$J$1909,T$124,FALSE)</f>
        <v>#N/A</v>
      </c>
      <c r="U166" s="158" t="e">
        <f>VLOOKUP($O166,'CO2'!$A$2:$J$1909,U$124,FALSE)</f>
        <v>#N/A</v>
      </c>
      <c r="V166" s="158" t="e">
        <f>VLOOKUP($O166,'CO2'!$A$2:$J$1909,V$124,FALSE)</f>
        <v>#N/A</v>
      </c>
      <c r="W166" s="158" t="e">
        <f>VLOOKUP($O166,'CO2'!$A$2:$J$1909,W$124,FALSE)</f>
        <v>#N/A</v>
      </c>
      <c r="X166" s="158" t="e">
        <f>VLOOKUP($O166,'CO2'!$A$2:$J$1909,X$124,FALSE)</f>
        <v>#N/A</v>
      </c>
    </row>
    <row r="167" spans="15:24" x14ac:dyDescent="0.35">
      <c r="O167" s="40"/>
      <c r="P167" s="92"/>
      <c r="Q167" s="92"/>
      <c r="R167" s="92"/>
      <c r="S167" s="92"/>
      <c r="T167" s="92"/>
      <c r="U167" s="92"/>
      <c r="V167" s="92"/>
      <c r="W167" s="92"/>
      <c r="X167" s="92"/>
    </row>
    <row r="168" spans="15:24" ht="15" thickBot="1" x14ac:dyDescent="0.4">
      <c r="O168" s="41" t="s">
        <v>1229</v>
      </c>
      <c r="P168" s="77"/>
      <c r="Q168" s="77" t="e">
        <f t="shared" ref="Q168:X168" si="38">SUM(Q126:Q166)</f>
        <v>#N/A</v>
      </c>
      <c r="R168" s="77" t="e">
        <f t="shared" si="38"/>
        <v>#N/A</v>
      </c>
      <c r="S168" s="77" t="e">
        <f t="shared" si="38"/>
        <v>#N/A</v>
      </c>
      <c r="T168" s="77" t="e">
        <f t="shared" si="38"/>
        <v>#N/A</v>
      </c>
      <c r="U168" s="77" t="e">
        <f t="shared" si="38"/>
        <v>#N/A</v>
      </c>
      <c r="V168" s="77" t="e">
        <f t="shared" si="38"/>
        <v>#N/A</v>
      </c>
      <c r="W168" s="77" t="e">
        <f t="shared" si="38"/>
        <v>#N/A</v>
      </c>
      <c r="X168" s="77" t="e">
        <f t="shared" si="38"/>
        <v>#N/A</v>
      </c>
    </row>
    <row r="171" spans="15:24" ht="15" thickBot="1" x14ac:dyDescent="0.4"/>
    <row r="172" spans="15:24" x14ac:dyDescent="0.35">
      <c r="O172" s="87" t="s">
        <v>657</v>
      </c>
      <c r="P172" s="89"/>
      <c r="Q172" s="89" t="e">
        <f>VLOOKUP($O172,flows!$A$2:$J$4985,Q$124,FALSE)</f>
        <v>#N/A</v>
      </c>
      <c r="R172" s="89" t="e">
        <f>VLOOKUP($O172,flows!$A$2:$J$4985,R$124,FALSE)</f>
        <v>#N/A</v>
      </c>
      <c r="S172" s="89" t="e">
        <f>VLOOKUP($O172,flows!$A$2:$J$4985,S$124,FALSE)</f>
        <v>#N/A</v>
      </c>
      <c r="T172" s="89" t="e">
        <f>VLOOKUP($O172,flows!$A$2:$J$4985,T$124,FALSE)</f>
        <v>#N/A</v>
      </c>
      <c r="U172" s="89" t="e">
        <f>VLOOKUP($O172,flows!$A$2:$J$4985,U$124,FALSE)</f>
        <v>#N/A</v>
      </c>
      <c r="V172" s="89" t="e">
        <f>VLOOKUP($O172,flows!$A$2:$J$4985,V$124,FALSE)</f>
        <v>#N/A</v>
      </c>
      <c r="W172" s="89" t="e">
        <f>VLOOKUP($O172,flows!$A$2:$J$4985,W$124,FALSE)</f>
        <v>#N/A</v>
      </c>
      <c r="X172" s="89" t="e">
        <f>VLOOKUP($O172,flows!$A$2:$J$4985,X$124,FALSE)</f>
        <v>#N/A</v>
      </c>
    </row>
    <row r="173" spans="15:24" x14ac:dyDescent="0.35">
      <c r="O173" s="40"/>
      <c r="P173" s="92" t="s">
        <v>3080</v>
      </c>
      <c r="Q173" s="92" t="e">
        <f>Q172/1000</f>
        <v>#N/A</v>
      </c>
      <c r="R173" s="92" t="e">
        <f t="shared" ref="R173:X173" si="39">R172/1000</f>
        <v>#N/A</v>
      </c>
      <c r="S173" s="92" t="e">
        <f t="shared" si="39"/>
        <v>#N/A</v>
      </c>
      <c r="T173" s="92" t="e">
        <f t="shared" si="39"/>
        <v>#N/A</v>
      </c>
      <c r="U173" s="92" t="e">
        <f t="shared" si="39"/>
        <v>#N/A</v>
      </c>
      <c r="V173" s="92" t="e">
        <f t="shared" si="39"/>
        <v>#N/A</v>
      </c>
      <c r="W173" s="92" t="e">
        <f t="shared" si="39"/>
        <v>#N/A</v>
      </c>
      <c r="X173" s="92" t="e">
        <f t="shared" si="39"/>
        <v>#N/A</v>
      </c>
    </row>
    <row r="174" spans="15:24" x14ac:dyDescent="0.35">
      <c r="O174" s="40"/>
      <c r="P174" s="92" t="s">
        <v>3079</v>
      </c>
      <c r="Q174" s="92" t="e">
        <f>Q173/12</f>
        <v>#N/A</v>
      </c>
      <c r="R174" s="92" t="e">
        <f t="shared" ref="R174:X174" si="40">R173/12</f>
        <v>#N/A</v>
      </c>
      <c r="S174" s="92" t="e">
        <f t="shared" si="40"/>
        <v>#N/A</v>
      </c>
      <c r="T174" s="92" t="e">
        <f t="shared" si="40"/>
        <v>#N/A</v>
      </c>
      <c r="U174" s="92" t="e">
        <f t="shared" si="40"/>
        <v>#N/A</v>
      </c>
      <c r="V174" s="92" t="e">
        <f t="shared" si="40"/>
        <v>#N/A</v>
      </c>
      <c r="W174" s="92" t="e">
        <f t="shared" si="40"/>
        <v>#N/A</v>
      </c>
      <c r="X174" s="92" t="e">
        <f t="shared" si="40"/>
        <v>#N/A</v>
      </c>
    </row>
    <row r="175" spans="15:24" x14ac:dyDescent="0.35">
      <c r="O175" s="40"/>
      <c r="P175" s="92" t="s">
        <v>3081</v>
      </c>
      <c r="Q175" s="92" t="e">
        <f>0.764*Q174</f>
        <v>#N/A</v>
      </c>
      <c r="R175" s="92" t="e">
        <f t="shared" ref="R175:X175" si="41">0.764*R174</f>
        <v>#N/A</v>
      </c>
      <c r="S175" s="92" t="e">
        <f t="shared" si="41"/>
        <v>#N/A</v>
      </c>
      <c r="T175" s="92" t="e">
        <f t="shared" si="41"/>
        <v>#N/A</v>
      </c>
      <c r="U175" s="92" t="e">
        <f t="shared" si="41"/>
        <v>#N/A</v>
      </c>
      <c r="V175" s="92" t="e">
        <f t="shared" si="41"/>
        <v>#N/A</v>
      </c>
      <c r="W175" s="92" t="e">
        <f t="shared" si="41"/>
        <v>#N/A</v>
      </c>
      <c r="X175" s="92" t="e">
        <f t="shared" si="41"/>
        <v>#N/A</v>
      </c>
    </row>
    <row r="176" spans="15:24" x14ac:dyDescent="0.35">
      <c r="O176" s="40"/>
      <c r="P176" s="92"/>
      <c r="Q176" s="92"/>
      <c r="R176" s="92"/>
      <c r="S176" s="92"/>
      <c r="T176" s="92"/>
      <c r="U176" s="92"/>
      <c r="V176" s="92"/>
      <c r="W176" s="92"/>
      <c r="X176" s="92"/>
    </row>
    <row r="177" spans="15:24" x14ac:dyDescent="0.35">
      <c r="O177" s="40"/>
      <c r="P177" s="92"/>
      <c r="Q177" s="92"/>
      <c r="R177" s="92"/>
      <c r="S177" s="92"/>
      <c r="T177" s="92"/>
      <c r="U177" s="92"/>
      <c r="V177" s="92"/>
      <c r="W177" s="92"/>
      <c r="X177" s="92"/>
    </row>
    <row r="178" spans="15:24" x14ac:dyDescent="0.35">
      <c r="O178" s="40"/>
      <c r="P178" s="92"/>
      <c r="Q178" s="92"/>
      <c r="R178" s="92"/>
      <c r="S178" s="92"/>
      <c r="T178" s="92"/>
      <c r="U178" s="92"/>
      <c r="V178" s="92"/>
      <c r="W178" s="92"/>
      <c r="X178" s="92"/>
    </row>
    <row r="179" spans="15:24" x14ac:dyDescent="0.35">
      <c r="O179" s="40"/>
      <c r="P179" s="92"/>
      <c r="Q179" s="92"/>
      <c r="R179" s="92"/>
      <c r="S179" s="92"/>
      <c r="T179" s="92"/>
      <c r="U179" s="92"/>
      <c r="V179" s="92"/>
      <c r="W179" s="92"/>
      <c r="X179" s="92"/>
    </row>
    <row r="180" spans="15:24" x14ac:dyDescent="0.35">
      <c r="O180" s="40"/>
      <c r="P180" s="92"/>
      <c r="Q180" s="92"/>
      <c r="R180" s="92"/>
      <c r="S180" s="92"/>
      <c r="T180" s="92"/>
      <c r="U180" s="92"/>
      <c r="V180" s="92"/>
      <c r="W180" s="92"/>
      <c r="X180" s="92"/>
    </row>
    <row r="181" spans="15:24" x14ac:dyDescent="0.35">
      <c r="O181" s="40"/>
      <c r="P181" s="92"/>
      <c r="Q181" s="92"/>
      <c r="R181" s="92"/>
      <c r="S181" s="92"/>
      <c r="T181" s="92"/>
      <c r="U181" s="92"/>
      <c r="V181" s="92"/>
      <c r="W181" s="92"/>
      <c r="X181" s="92"/>
    </row>
    <row r="182" spans="15:24" x14ac:dyDescent="0.35">
      <c r="O182" s="40"/>
      <c r="P182" s="92"/>
      <c r="Q182" s="92"/>
      <c r="R182" s="92"/>
      <c r="S182" s="92"/>
      <c r="T182" s="92"/>
      <c r="U182" s="92"/>
      <c r="V182" s="92"/>
      <c r="W182" s="92"/>
      <c r="X182" s="92"/>
    </row>
    <row r="183" spans="15:24" x14ac:dyDescent="0.35">
      <c r="O183" s="40"/>
      <c r="P183" s="92"/>
      <c r="Q183" s="92"/>
      <c r="R183" s="92"/>
      <c r="S183" s="92"/>
      <c r="T183" s="92"/>
      <c r="U183" s="92"/>
      <c r="V183" s="92"/>
      <c r="W183" s="92"/>
      <c r="X183" s="92"/>
    </row>
    <row r="184" spans="15:24" x14ac:dyDescent="0.35">
      <c r="O184" s="40"/>
      <c r="P184" s="92"/>
      <c r="Q184" s="92"/>
      <c r="R184" s="92"/>
      <c r="S184" s="92"/>
      <c r="T184" s="92"/>
      <c r="U184" s="92"/>
      <c r="V184" s="92"/>
      <c r="W184" s="92"/>
      <c r="X184" s="92"/>
    </row>
    <row r="185" spans="15:24" x14ac:dyDescent="0.35">
      <c r="O185" s="40"/>
      <c r="P185" s="92"/>
      <c r="Q185" s="92"/>
      <c r="R185" s="92"/>
      <c r="S185" s="92"/>
      <c r="T185" s="92"/>
      <c r="U185" s="92"/>
      <c r="V185" s="92"/>
      <c r="W185" s="92"/>
      <c r="X185" s="92"/>
    </row>
    <row r="186" spans="15:24" x14ac:dyDescent="0.35">
      <c r="O186" s="40"/>
      <c r="P186" s="92"/>
      <c r="Q186" s="92"/>
      <c r="R186" s="92"/>
      <c r="S186" s="92"/>
      <c r="T186" s="92"/>
      <c r="U186" s="92"/>
      <c r="V186" s="92"/>
      <c r="W186" s="92"/>
      <c r="X186" s="92"/>
    </row>
    <row r="187" spans="15:24" ht="15" thickBot="1" x14ac:dyDescent="0.4">
      <c r="O187" s="41"/>
      <c r="P187" s="77"/>
      <c r="Q187" s="464"/>
      <c r="R187" s="464"/>
      <c r="S187" s="464"/>
      <c r="T187" s="464"/>
      <c r="U187" s="464"/>
      <c r="V187" s="464"/>
      <c r="W187" s="464"/>
      <c r="X187" s="464"/>
    </row>
    <row r="188" spans="15:24" x14ac:dyDescent="0.35">
      <c r="O188" s="132"/>
    </row>
    <row r="189" spans="15:24" x14ac:dyDescent="0.35">
      <c r="O189" s="132"/>
    </row>
    <row r="190" spans="15:24" ht="15" thickBot="1" x14ac:dyDescent="0.4">
      <c r="O190" s="132"/>
    </row>
    <row r="191" spans="15:24" x14ac:dyDescent="0.35">
      <c r="O191" s="91" t="s">
        <v>1808</v>
      </c>
      <c r="P191" s="89"/>
      <c r="Q191" s="89"/>
      <c r="R191" s="89"/>
      <c r="S191" s="89"/>
      <c r="T191" s="89"/>
      <c r="U191" s="89"/>
      <c r="V191" s="89"/>
      <c r="W191" s="89"/>
      <c r="X191" s="89"/>
    </row>
    <row r="192" spans="15:24" x14ac:dyDescent="0.35">
      <c r="O192" s="40" t="s">
        <v>1797</v>
      </c>
      <c r="P192" s="92"/>
      <c r="Q192" s="92"/>
      <c r="R192" s="92"/>
      <c r="S192" s="92"/>
      <c r="T192" s="92"/>
      <c r="U192" s="92"/>
      <c r="V192" s="92"/>
      <c r="W192" s="92"/>
      <c r="X192" s="92"/>
    </row>
    <row r="193" spans="14:24" x14ac:dyDescent="0.35">
      <c r="O193" s="185" t="s">
        <v>937</v>
      </c>
      <c r="P193" s="186"/>
      <c r="Q193" s="186" t="e">
        <f>VLOOKUP(O193,flows!$A$2:$J$4985,2,FALSE)</f>
        <v>#N/A</v>
      </c>
      <c r="R193" s="186" t="e">
        <f>VLOOKUP(O193,flows!$A$2:$J$4985,3,FALSE)</f>
        <v>#N/A</v>
      </c>
      <c r="S193" s="186" t="e">
        <f>VLOOKUP(O193,flows!$A$2:$J$4985,4,FALSE)</f>
        <v>#N/A</v>
      </c>
      <c r="T193" s="186" t="e">
        <f>VLOOKUP(O193,flows!$A$2:$J$4985,5,FALSE)</f>
        <v>#N/A</v>
      </c>
      <c r="U193" s="186" t="e">
        <f>VLOOKUP(O193,flows!$A$2:$J$4985,6,FALSE)</f>
        <v>#N/A</v>
      </c>
      <c r="V193" s="186" t="e">
        <f>VLOOKUP(O193,flows!$A$2:$J$4985,7,FALSE)</f>
        <v>#N/A</v>
      </c>
      <c r="W193" s="186" t="e">
        <f>VLOOKUP(O193,flows!$A$2:$J$4985,8,FALSE)</f>
        <v>#N/A</v>
      </c>
      <c r="X193" s="186" t="e">
        <f>VLOOKUP(O193,flows!$A$2:$J$4985,9,FALSE)</f>
        <v>#N/A</v>
      </c>
    </row>
    <row r="194" spans="14:24" x14ac:dyDescent="0.35">
      <c r="O194" s="185" t="s">
        <v>941</v>
      </c>
      <c r="P194" s="186"/>
      <c r="Q194" s="186" t="e">
        <f>VLOOKUP(O194,flows!$A$2:$J$4985,2,FALSE)</f>
        <v>#N/A</v>
      </c>
      <c r="R194" s="186" t="e">
        <f>VLOOKUP(O194,flows!$A$2:$J$4985,3,FALSE)</f>
        <v>#N/A</v>
      </c>
      <c r="S194" s="186" t="e">
        <f>VLOOKUP(O194,flows!$A$2:$J$4985,4,FALSE)</f>
        <v>#N/A</v>
      </c>
      <c r="T194" s="186" t="e">
        <f>VLOOKUP(O194,flows!$A$2:$J$4985,5,FALSE)</f>
        <v>#N/A</v>
      </c>
      <c r="U194" s="186" t="e">
        <f>VLOOKUP(O194,flows!$A$2:$J$4985,6,FALSE)</f>
        <v>#N/A</v>
      </c>
      <c r="V194" s="186" t="e">
        <f>VLOOKUP(O194,flows!$A$2:$J$4985,7,FALSE)</f>
        <v>#N/A</v>
      </c>
      <c r="W194" s="186" t="e">
        <f>VLOOKUP(O194,flows!$A$2:$J$4985,8,FALSE)</f>
        <v>#N/A</v>
      </c>
      <c r="X194" s="186" t="e">
        <f>VLOOKUP(O194,flows!$A$2:$J$4985,9,FALSE)</f>
        <v>#N/A</v>
      </c>
    </row>
    <row r="195" spans="14:24" x14ac:dyDescent="0.35">
      <c r="O195" s="185" t="s">
        <v>945</v>
      </c>
      <c r="P195" s="186"/>
      <c r="Q195" s="186" t="e">
        <f>VLOOKUP(O195,flows!$A$2:$J$4985,2,FALSE)</f>
        <v>#N/A</v>
      </c>
      <c r="R195" s="186" t="e">
        <f>VLOOKUP(O195,flows!$A$2:$J$4985,3,FALSE)</f>
        <v>#N/A</v>
      </c>
      <c r="S195" s="186" t="e">
        <f>VLOOKUP(O195,flows!$A$2:$J$4985,4,FALSE)</f>
        <v>#N/A</v>
      </c>
      <c r="T195" s="186" t="e">
        <f>VLOOKUP(O195,flows!$A$2:$J$4985,5,FALSE)</f>
        <v>#N/A</v>
      </c>
      <c r="U195" s="186" t="e">
        <f>VLOOKUP(O195,flows!$A$2:$J$4985,6,FALSE)</f>
        <v>#N/A</v>
      </c>
      <c r="V195" s="186" t="e">
        <f>VLOOKUP(O195,flows!$A$2:$J$4985,7,FALSE)</f>
        <v>#N/A</v>
      </c>
      <c r="W195" s="186" t="e">
        <f>VLOOKUP(O195,flows!$A$2:$J$4985,8,FALSE)</f>
        <v>#N/A</v>
      </c>
      <c r="X195" s="186" t="e">
        <f>VLOOKUP(O195,flows!$A$2:$J$4985,9,FALSE)</f>
        <v>#N/A</v>
      </c>
    </row>
    <row r="196" spans="14:24" x14ac:dyDescent="0.35">
      <c r="O196" s="40"/>
      <c r="P196" s="92"/>
      <c r="Q196" s="92"/>
      <c r="R196" s="92"/>
      <c r="S196" s="92"/>
      <c r="T196" s="92"/>
      <c r="U196" s="92"/>
      <c r="V196" s="92"/>
      <c r="W196" s="92"/>
      <c r="X196" s="92"/>
    </row>
    <row r="197" spans="14:24" x14ac:dyDescent="0.35">
      <c r="O197" s="40" t="s">
        <v>1807</v>
      </c>
      <c r="P197" s="92"/>
      <c r="Q197" s="92" t="e">
        <f>SUM('Gebäude - Wärmeverbrauch'!AY13:AY16)</f>
        <v>#N/A</v>
      </c>
      <c r="R197" s="92" t="e">
        <f>SUM('Gebäude - Wärmeverbrauch'!AZ13:AZ16)</f>
        <v>#N/A</v>
      </c>
      <c r="S197" s="92" t="e">
        <f>SUM('Gebäude - Wärmeverbrauch'!BA13:BA16)</f>
        <v>#N/A</v>
      </c>
      <c r="T197" s="92" t="e">
        <f>SUM('Gebäude - Wärmeverbrauch'!BB13:BB16)</f>
        <v>#N/A</v>
      </c>
      <c r="U197" s="92" t="e">
        <f>SUM('Gebäude - Wärmeverbrauch'!BC13:BC16)</f>
        <v>#N/A</v>
      </c>
      <c r="V197" s="92" t="e">
        <f>SUM('Gebäude - Wärmeverbrauch'!BD13:BD16)</f>
        <v>#N/A</v>
      </c>
      <c r="W197" s="92" t="e">
        <f>SUM('Gebäude - Wärmeverbrauch'!BE13:BE16)</f>
        <v>#N/A</v>
      </c>
      <c r="X197" s="92" t="e">
        <f>SUM('Gebäude - Wärmeverbrauch'!BF13:BF16)</f>
        <v>#N/A</v>
      </c>
    </row>
    <row r="198" spans="14:24" x14ac:dyDescent="0.35">
      <c r="O198" s="40"/>
      <c r="P198" s="92"/>
      <c r="Q198" s="92"/>
      <c r="R198" s="92"/>
      <c r="S198" s="92"/>
      <c r="T198" s="92"/>
      <c r="U198" s="92"/>
      <c r="V198" s="92"/>
      <c r="W198" s="92"/>
      <c r="X198" s="92"/>
    </row>
    <row r="199" spans="14:24" x14ac:dyDescent="0.35">
      <c r="O199" s="40"/>
      <c r="P199" s="92"/>
      <c r="Q199" s="92"/>
      <c r="R199" s="92"/>
      <c r="S199" s="92"/>
      <c r="T199" s="92"/>
      <c r="U199" s="92"/>
      <c r="V199" s="92"/>
      <c r="W199" s="92"/>
      <c r="X199" s="92"/>
    </row>
    <row r="200" spans="14:24" x14ac:dyDescent="0.35">
      <c r="O200" s="183" t="s">
        <v>1805</v>
      </c>
      <c r="P200" s="184"/>
      <c r="Q200" s="189" t="e">
        <f>SUM(Q193:Q195)/Q197</f>
        <v>#N/A</v>
      </c>
      <c r="R200" s="189" t="e">
        <f t="shared" ref="R200:X200" si="42">SUM(R193:R195)/R197</f>
        <v>#N/A</v>
      </c>
      <c r="S200" s="189" t="e">
        <f t="shared" si="42"/>
        <v>#N/A</v>
      </c>
      <c r="T200" s="189" t="e">
        <f t="shared" si="42"/>
        <v>#N/A</v>
      </c>
      <c r="U200" s="189" t="e">
        <f t="shared" si="42"/>
        <v>#N/A</v>
      </c>
      <c r="V200" s="189" t="e">
        <f t="shared" si="42"/>
        <v>#N/A</v>
      </c>
      <c r="W200" s="189" t="e">
        <f t="shared" si="42"/>
        <v>#N/A</v>
      </c>
      <c r="X200" s="189" t="e">
        <f t="shared" si="42"/>
        <v>#N/A</v>
      </c>
    </row>
    <row r="201" spans="14:24" ht="15" thickBot="1" x14ac:dyDescent="0.4">
      <c r="O201" s="41" t="s">
        <v>1806</v>
      </c>
      <c r="P201" s="77"/>
      <c r="Q201" s="100" t="e">
        <f>1-Q200</f>
        <v>#N/A</v>
      </c>
      <c r="R201" s="100" t="e">
        <f t="shared" ref="R201:X201" si="43">1-R200</f>
        <v>#N/A</v>
      </c>
      <c r="S201" s="100" t="e">
        <f t="shared" si="43"/>
        <v>#N/A</v>
      </c>
      <c r="T201" s="100" t="e">
        <f t="shared" si="43"/>
        <v>#N/A</v>
      </c>
      <c r="U201" s="100" t="e">
        <f t="shared" si="43"/>
        <v>#N/A</v>
      </c>
      <c r="V201" s="100" t="e">
        <f t="shared" si="43"/>
        <v>#N/A</v>
      </c>
      <c r="W201" s="100" t="e">
        <f t="shared" si="43"/>
        <v>#N/A</v>
      </c>
      <c r="X201" s="100" t="e">
        <f t="shared" si="43"/>
        <v>#N/A</v>
      </c>
    </row>
    <row r="202" spans="14:24" ht="15" thickBot="1" x14ac:dyDescent="0.4"/>
    <row r="203" spans="14:24" x14ac:dyDescent="0.35">
      <c r="O203" s="88" t="s">
        <v>4121</v>
      </c>
      <c r="P203" s="88" t="s">
        <v>1453</v>
      </c>
      <c r="Q203" s="89">
        <v>2</v>
      </c>
      <c r="R203" s="89">
        <v>3</v>
      </c>
      <c r="S203" s="89">
        <v>4</v>
      </c>
      <c r="T203" s="89">
        <v>5</v>
      </c>
      <c r="U203" s="89">
        <v>6</v>
      </c>
      <c r="V203" s="89">
        <v>7</v>
      </c>
      <c r="W203" s="89">
        <v>8</v>
      </c>
      <c r="X203" s="89">
        <v>9</v>
      </c>
    </row>
    <row r="204" spans="14:24" x14ac:dyDescent="0.35">
      <c r="N204" s="838" t="s">
        <v>1163</v>
      </c>
      <c r="O204" s="40" t="s">
        <v>1415</v>
      </c>
      <c r="P204" s="92"/>
      <c r="Q204" s="133" t="s">
        <v>1417</v>
      </c>
      <c r="R204" s="133">
        <v>2020</v>
      </c>
      <c r="S204" s="133">
        <v>2025</v>
      </c>
      <c r="T204" s="133">
        <v>2030</v>
      </c>
      <c r="U204" s="133">
        <v>2035</v>
      </c>
      <c r="V204" s="133">
        <v>2040</v>
      </c>
      <c r="W204" s="133">
        <v>2045</v>
      </c>
      <c r="X204" s="133">
        <v>2050</v>
      </c>
    </row>
    <row r="205" spans="14:24" x14ac:dyDescent="0.35">
      <c r="N205" s="838" t="s">
        <v>1166</v>
      </c>
      <c r="O205" s="187" t="s">
        <v>4384</v>
      </c>
      <c r="P205" s="188"/>
      <c r="Q205" s="188" t="e">
        <f>VLOOKUP($O205,flows!$A$2:$J$2755,Q$110,FALSE)</f>
        <v>#N/A</v>
      </c>
      <c r="R205" s="188" t="e">
        <f>VLOOKUP($O205,flows!$A$2:$J$2755,R$110,FALSE)</f>
        <v>#N/A</v>
      </c>
      <c r="S205" s="188" t="e">
        <f>VLOOKUP($O205,flows!$A$2:$J$2755,S$110,FALSE)</f>
        <v>#N/A</v>
      </c>
      <c r="T205" s="188" t="e">
        <f>VLOOKUP($O205,flows!$A$2:$J$2755,T$110,FALSE)</f>
        <v>#N/A</v>
      </c>
      <c r="U205" s="188" t="e">
        <f>VLOOKUP($O205,flows!$A$2:$J$2755,U$110,FALSE)</f>
        <v>#N/A</v>
      </c>
      <c r="V205" s="188" t="e">
        <f>VLOOKUP($O205,flows!$A$2:$J$2755,V$110,FALSE)</f>
        <v>#N/A</v>
      </c>
      <c r="W205" s="188" t="e">
        <f>VLOOKUP($O205,flows!$A$2:$J$2755,W$110,FALSE)</f>
        <v>#N/A</v>
      </c>
      <c r="X205" s="188" t="e">
        <f>VLOOKUP($O205,flows!$A$2:$J$2755,X$110,FALSE)</f>
        <v>#N/A</v>
      </c>
    </row>
    <row r="206" spans="14:24" x14ac:dyDescent="0.35">
      <c r="N206" s="838" t="s">
        <v>1164</v>
      </c>
      <c r="O206" s="187" t="s">
        <v>4383</v>
      </c>
      <c r="P206" s="188"/>
      <c r="Q206" s="188" t="e">
        <f>VLOOKUP($O206,flows!$A$2:$J$2755,Q$110,FALSE)</f>
        <v>#N/A</v>
      </c>
      <c r="R206" s="188" t="e">
        <f>VLOOKUP($O206,flows!$A$2:$J$2755,R$110,FALSE)</f>
        <v>#N/A</v>
      </c>
      <c r="S206" s="188" t="e">
        <f>VLOOKUP($O206,flows!$A$2:$J$2755,S$110,FALSE)</f>
        <v>#N/A</v>
      </c>
      <c r="T206" s="188" t="e">
        <f>VLOOKUP($O206,flows!$A$2:$J$2755,T$110,FALSE)</f>
        <v>#N/A</v>
      </c>
      <c r="U206" s="188" t="e">
        <f>VLOOKUP($O206,flows!$A$2:$J$2755,U$110,FALSE)</f>
        <v>#N/A</v>
      </c>
      <c r="V206" s="188" t="e">
        <f>VLOOKUP($O206,flows!$A$2:$J$2755,V$110,FALSE)</f>
        <v>#N/A</v>
      </c>
      <c r="W206" s="188" t="e">
        <f>VLOOKUP($O206,flows!$A$2:$J$2755,W$110,FALSE)</f>
        <v>#N/A</v>
      </c>
      <c r="X206" s="188" t="e">
        <f>VLOOKUP($O206,flows!$A$2:$J$2755,X$110,FALSE)</f>
        <v>#N/A</v>
      </c>
    </row>
    <row r="207" spans="14:24" x14ac:dyDescent="0.35">
      <c r="N207" s="838" t="s">
        <v>1165</v>
      </c>
    </row>
    <row r="208" spans="14:24" x14ac:dyDescent="0.35">
      <c r="N208" s="838" t="s">
        <v>1208</v>
      </c>
      <c r="O208" s="64" t="s">
        <v>1229</v>
      </c>
      <c r="Q208" s="64" t="e">
        <f>SUM(Q205:Q206)</f>
        <v>#N/A</v>
      </c>
      <c r="R208" s="862" t="e">
        <f t="shared" ref="R208:X208" si="44">SUM(R205:R206)</f>
        <v>#N/A</v>
      </c>
      <c r="S208" s="862" t="e">
        <f t="shared" si="44"/>
        <v>#N/A</v>
      </c>
      <c r="T208" s="862" t="e">
        <f t="shared" si="44"/>
        <v>#N/A</v>
      </c>
      <c r="U208" s="862" t="e">
        <f t="shared" si="44"/>
        <v>#N/A</v>
      </c>
      <c r="V208" s="862" t="e">
        <f t="shared" si="44"/>
        <v>#N/A</v>
      </c>
      <c r="W208" s="862" t="e">
        <f t="shared" si="44"/>
        <v>#N/A</v>
      </c>
      <c r="X208" s="862" t="e">
        <f t="shared" si="44"/>
        <v>#N/A</v>
      </c>
    </row>
    <row r="209" spans="14:24" x14ac:dyDescent="0.35">
      <c r="N209" s="838" t="s">
        <v>4286</v>
      </c>
    </row>
    <row r="210" spans="14:24" x14ac:dyDescent="0.35">
      <c r="O210" s="875" t="s">
        <v>4282</v>
      </c>
      <c r="P210" s="876" t="s">
        <v>4283</v>
      </c>
      <c r="Q210" s="877">
        <v>2</v>
      </c>
      <c r="R210" s="877">
        <v>3</v>
      </c>
      <c r="S210" s="877">
        <v>4</v>
      </c>
      <c r="T210" s="877">
        <v>5</v>
      </c>
      <c r="U210" s="877">
        <v>6</v>
      </c>
      <c r="V210" s="877">
        <v>7</v>
      </c>
      <c r="W210" s="877">
        <v>8</v>
      </c>
      <c r="X210" s="878">
        <v>9</v>
      </c>
    </row>
    <row r="211" spans="14:24" x14ac:dyDescent="0.35">
      <c r="O211" s="879" t="s">
        <v>1415</v>
      </c>
      <c r="P211" s="92"/>
      <c r="Q211" s="102" t="s">
        <v>1417</v>
      </c>
      <c r="R211" s="102">
        <v>2020</v>
      </c>
      <c r="S211" s="102">
        <v>2025</v>
      </c>
      <c r="T211" s="102">
        <v>2030</v>
      </c>
      <c r="U211" s="102">
        <v>2035</v>
      </c>
      <c r="V211" s="102">
        <v>2040</v>
      </c>
      <c r="W211" s="102">
        <v>2045</v>
      </c>
      <c r="X211" s="851">
        <v>2050</v>
      </c>
    </row>
    <row r="212" spans="14:24" x14ac:dyDescent="0.35">
      <c r="N212" s="137" t="s">
        <v>1527</v>
      </c>
      <c r="O212" s="879" t="s">
        <v>4278</v>
      </c>
      <c r="P212" s="92"/>
      <c r="Q212" s="188" t="e">
        <f>VLOOKUP($O212,'CO2'!$A$2:$J$2755,Q$110,FALSE)</f>
        <v>#N/A</v>
      </c>
      <c r="R212" s="188" t="e">
        <f>VLOOKUP($O212,'CO2'!$A$2:$J$2755,R$110,FALSE)</f>
        <v>#N/A</v>
      </c>
      <c r="S212" s="188" t="e">
        <f>VLOOKUP($O212,'CO2'!$A$2:$J$2755,S$110,FALSE)</f>
        <v>#N/A</v>
      </c>
      <c r="T212" s="188" t="e">
        <f>VLOOKUP($O212,'CO2'!$A$2:$J$2755,T$110,FALSE)</f>
        <v>#N/A</v>
      </c>
      <c r="U212" s="188" t="e">
        <f>VLOOKUP($O212,'CO2'!$A$2:$J$2755,U$110,FALSE)</f>
        <v>#N/A</v>
      </c>
      <c r="V212" s="188" t="e">
        <f>VLOOKUP($O212,'CO2'!$A$2:$J$2755,V$110,FALSE)</f>
        <v>#N/A</v>
      </c>
      <c r="W212" s="188" t="e">
        <f>VLOOKUP($O212,'CO2'!$A$2:$J$2755,W$110,FALSE)</f>
        <v>#N/A</v>
      </c>
      <c r="X212" s="880" t="e">
        <f>VLOOKUP($O212,'CO2'!$A$2:$J$2755,X$110,FALSE)</f>
        <v>#N/A</v>
      </c>
    </row>
    <row r="213" spans="14:24" x14ac:dyDescent="0.35">
      <c r="N213" s="137" t="s">
        <v>1468</v>
      </c>
      <c r="O213" s="879" t="s">
        <v>4279</v>
      </c>
      <c r="P213" s="92"/>
      <c r="Q213" s="188" t="e">
        <f>VLOOKUP($O213,'CO2'!$A$2:$J$2755,Q$110,FALSE)</f>
        <v>#N/A</v>
      </c>
      <c r="R213" s="188" t="e">
        <f>VLOOKUP($O213,'CO2'!$A$2:$J$2755,R$110,FALSE)</f>
        <v>#N/A</v>
      </c>
      <c r="S213" s="188" t="e">
        <f>VLOOKUP($O213,'CO2'!$A$2:$J$2755,S$110,FALSE)</f>
        <v>#N/A</v>
      </c>
      <c r="T213" s="188" t="e">
        <f>VLOOKUP($O213,'CO2'!$A$2:$J$2755,T$110,FALSE)</f>
        <v>#N/A</v>
      </c>
      <c r="U213" s="188" t="e">
        <f>VLOOKUP($O213,'CO2'!$A$2:$J$2755,U$110,FALSE)</f>
        <v>#N/A</v>
      </c>
      <c r="V213" s="188" t="e">
        <f>VLOOKUP($O213,'CO2'!$A$2:$J$2755,V$110,FALSE)</f>
        <v>#N/A</v>
      </c>
      <c r="W213" s="188" t="e">
        <f>VLOOKUP($O213,'CO2'!$A$2:$J$2755,W$110,FALSE)</f>
        <v>#N/A</v>
      </c>
      <c r="X213" s="880" t="e">
        <f>VLOOKUP($O213,'CO2'!$A$2:$J$2755,X$110,FALSE)</f>
        <v>#N/A</v>
      </c>
    </row>
    <row r="214" spans="14:24" x14ac:dyDescent="0.35">
      <c r="N214" s="137" t="s">
        <v>1528</v>
      </c>
      <c r="O214" s="879" t="s">
        <v>4277</v>
      </c>
      <c r="P214" s="92"/>
      <c r="Q214" s="188" t="e">
        <f>VLOOKUP($O214,'CO2'!$A$2:$J$2755,Q$110,FALSE)</f>
        <v>#N/A</v>
      </c>
      <c r="R214" s="188" t="e">
        <f>VLOOKUP($O214,'CO2'!$A$2:$J$2755,R$110,FALSE)</f>
        <v>#N/A</v>
      </c>
      <c r="S214" s="188" t="e">
        <f>VLOOKUP($O214,'CO2'!$A$2:$J$2755,S$110,FALSE)</f>
        <v>#N/A</v>
      </c>
      <c r="T214" s="188" t="e">
        <f>VLOOKUP($O214,'CO2'!$A$2:$J$2755,T$110,FALSE)</f>
        <v>#N/A</v>
      </c>
      <c r="U214" s="188" t="e">
        <f>VLOOKUP($O214,'CO2'!$A$2:$J$2755,U$110,FALSE)</f>
        <v>#N/A</v>
      </c>
      <c r="V214" s="188" t="e">
        <f>VLOOKUP($O214,'CO2'!$A$2:$J$2755,V$110,FALSE)</f>
        <v>#N/A</v>
      </c>
      <c r="W214" s="188" t="e">
        <f>VLOOKUP($O214,'CO2'!$A$2:$J$2755,W$110,FALSE)</f>
        <v>#N/A</v>
      </c>
      <c r="X214" s="880" t="e">
        <f>VLOOKUP($O214,'CO2'!$A$2:$J$2755,X$110,FALSE)</f>
        <v>#N/A</v>
      </c>
    </row>
    <row r="215" spans="14:24" x14ac:dyDescent="0.35">
      <c r="N215" s="137" t="s">
        <v>1165</v>
      </c>
      <c r="O215" s="879" t="s">
        <v>4280</v>
      </c>
      <c r="P215" s="92"/>
      <c r="Q215" s="188" t="e">
        <f>VLOOKUP($O215,'CO2'!$A$2:$J$2755,Q$110,FALSE)</f>
        <v>#N/A</v>
      </c>
      <c r="R215" s="188" t="e">
        <f>VLOOKUP($O215,'CO2'!$A$2:$J$2755,R$110,FALSE)</f>
        <v>#N/A</v>
      </c>
      <c r="S215" s="188" t="e">
        <f>VLOOKUP($O215,'CO2'!$A$2:$J$2755,S$110,FALSE)</f>
        <v>#N/A</v>
      </c>
      <c r="T215" s="188" t="e">
        <f>VLOOKUP($O215,'CO2'!$A$2:$J$2755,T$110,FALSE)</f>
        <v>#N/A</v>
      </c>
      <c r="U215" s="188" t="e">
        <f>VLOOKUP($O215,'CO2'!$A$2:$J$2755,U$110,FALSE)</f>
        <v>#N/A</v>
      </c>
      <c r="V215" s="188" t="e">
        <f>VLOOKUP($O215,'CO2'!$A$2:$J$2755,V$110,FALSE)</f>
        <v>#N/A</v>
      </c>
      <c r="W215" s="188" t="e">
        <f>VLOOKUP($O215,'CO2'!$A$2:$J$2755,W$110,FALSE)</f>
        <v>#N/A</v>
      </c>
      <c r="X215" s="880" t="e">
        <f>VLOOKUP($O215,'CO2'!$A$2:$J$2755,X$110,FALSE)</f>
        <v>#N/A</v>
      </c>
    </row>
    <row r="216" spans="14:24" x14ac:dyDescent="0.35">
      <c r="N216" s="137" t="s">
        <v>1524</v>
      </c>
      <c r="O216" s="879" t="s">
        <v>4281</v>
      </c>
      <c r="P216" s="92"/>
      <c r="Q216" s="188" t="e">
        <f>VLOOKUP($O216,'CO2'!$A$2:$J$2755,Q$110,FALSE)</f>
        <v>#N/A</v>
      </c>
      <c r="R216" s="188" t="e">
        <f>VLOOKUP($O216,'CO2'!$A$2:$J$2755,R$110,FALSE)</f>
        <v>#N/A</v>
      </c>
      <c r="S216" s="188" t="e">
        <f>VLOOKUP($O216,'CO2'!$A$2:$J$2755,S$110,FALSE)</f>
        <v>#N/A</v>
      </c>
      <c r="T216" s="188" t="e">
        <f>VLOOKUP($O216,'CO2'!$A$2:$J$2755,T$110,FALSE)</f>
        <v>#N/A</v>
      </c>
      <c r="U216" s="188" t="e">
        <f>VLOOKUP($O216,'CO2'!$A$2:$J$2755,U$110,FALSE)</f>
        <v>#N/A</v>
      </c>
      <c r="V216" s="188" t="e">
        <f>VLOOKUP($O216,'CO2'!$A$2:$J$2755,V$110,FALSE)</f>
        <v>#N/A</v>
      </c>
      <c r="W216" s="188" t="e">
        <f>VLOOKUP($O216,'CO2'!$A$2:$J$2755,W$110,FALSE)</f>
        <v>#N/A</v>
      </c>
      <c r="X216" s="880" t="e">
        <f>VLOOKUP($O216,'CO2'!$A$2:$J$2755,X$110,FALSE)</f>
        <v>#N/A</v>
      </c>
    </row>
    <row r="217" spans="14:24" x14ac:dyDescent="0.35">
      <c r="N217" s="137" t="s">
        <v>4431</v>
      </c>
      <c r="O217" s="879" t="s">
        <v>4276</v>
      </c>
      <c r="P217" s="92"/>
      <c r="Q217" s="188" t="e">
        <f>VLOOKUP($O217,'CO2'!$A$2:$J$2755,Q$110,FALSE)</f>
        <v>#N/A</v>
      </c>
      <c r="R217" s="188" t="e">
        <f>VLOOKUP($O217,'CO2'!$A$2:$J$2755,R$110,FALSE)</f>
        <v>#N/A</v>
      </c>
      <c r="S217" s="188" t="e">
        <f>VLOOKUP($O217,'CO2'!$A$2:$J$2755,S$110,FALSE)</f>
        <v>#N/A</v>
      </c>
      <c r="T217" s="188" t="e">
        <f>VLOOKUP($O217,'CO2'!$A$2:$J$2755,T$110,FALSE)</f>
        <v>#N/A</v>
      </c>
      <c r="U217" s="188" t="e">
        <f>VLOOKUP($O217,'CO2'!$A$2:$J$2755,U$110,FALSE)</f>
        <v>#N/A</v>
      </c>
      <c r="V217" s="188" t="e">
        <f>VLOOKUP($O217,'CO2'!$A$2:$J$2755,V$110,FALSE)</f>
        <v>#N/A</v>
      </c>
      <c r="W217" s="188" t="e">
        <f>VLOOKUP($O217,'CO2'!$A$2:$J$2755,W$110,FALSE)</f>
        <v>#N/A</v>
      </c>
      <c r="X217" s="880" t="e">
        <f>VLOOKUP($O217,'CO2'!$A$2:$J$2755,X$110,FALSE)</f>
        <v>#N/A</v>
      </c>
    </row>
    <row r="218" spans="14:24" x14ac:dyDescent="0.35">
      <c r="O218" s="879"/>
      <c r="P218" s="92"/>
      <c r="Q218" s="92"/>
      <c r="R218" s="92"/>
      <c r="S218" s="92"/>
      <c r="T218" s="92"/>
      <c r="U218" s="92"/>
      <c r="V218" s="92"/>
      <c r="W218" s="92"/>
      <c r="X218" s="881"/>
    </row>
    <row r="219" spans="14:24" x14ac:dyDescent="0.35">
      <c r="O219" s="882" t="s">
        <v>1229</v>
      </c>
      <c r="P219" s="883"/>
      <c r="Q219" s="883" t="e">
        <f>SUM(Q212:Q217)</f>
        <v>#N/A</v>
      </c>
      <c r="R219" s="883" t="e">
        <f t="shared" ref="R219:X219" si="45">SUM(R212:R217)</f>
        <v>#N/A</v>
      </c>
      <c r="S219" s="883" t="e">
        <f t="shared" si="45"/>
        <v>#N/A</v>
      </c>
      <c r="T219" s="883" t="e">
        <f t="shared" si="45"/>
        <v>#N/A</v>
      </c>
      <c r="U219" s="883" t="e">
        <f t="shared" si="45"/>
        <v>#N/A</v>
      </c>
      <c r="V219" s="883" t="e">
        <f t="shared" si="45"/>
        <v>#N/A</v>
      </c>
      <c r="W219" s="883" t="e">
        <f t="shared" si="45"/>
        <v>#N/A</v>
      </c>
      <c r="X219" s="884" t="e">
        <f t="shared" si="45"/>
        <v>#N/A</v>
      </c>
    </row>
  </sheetData>
  <mergeCells count="1">
    <mergeCell ref="AA20:AC21"/>
  </mergeCells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1"/>
  </sheetPr>
  <dimension ref="A1:I33"/>
  <sheetViews>
    <sheetView workbookViewId="0">
      <selection activeCell="I35" sqref="I35"/>
    </sheetView>
  </sheetViews>
  <sheetFormatPr baseColWidth="10" defaultColWidth="11.453125" defaultRowHeight="14.5" x14ac:dyDescent="0.35"/>
  <cols>
    <col min="1" max="1" width="44.1796875" bestFit="1" customWidth="1"/>
    <col min="3" max="3" width="14" bestFit="1" customWidth="1"/>
    <col min="4" max="9" width="12.54296875" bestFit="1" customWidth="1"/>
  </cols>
  <sheetData>
    <row r="1" spans="1:9" x14ac:dyDescent="0.35">
      <c r="B1" s="133">
        <v>2016</v>
      </c>
      <c r="C1" s="133">
        <v>2020</v>
      </c>
      <c r="D1" s="133">
        <v>2025</v>
      </c>
      <c r="E1" s="133">
        <v>2030</v>
      </c>
      <c r="F1" s="133">
        <v>2035</v>
      </c>
      <c r="G1" s="133">
        <v>2040</v>
      </c>
      <c r="H1" s="133">
        <v>2045</v>
      </c>
      <c r="I1" s="133">
        <v>2050</v>
      </c>
    </row>
    <row r="2" spans="1:9" x14ac:dyDescent="0.35">
      <c r="A2" t="s">
        <v>2272</v>
      </c>
      <c r="B2">
        <v>3479</v>
      </c>
      <c r="C2" s="280" t="e">
        <f>Primärenergiebedarf!E30/1000</f>
        <v>#N/A</v>
      </c>
      <c r="D2" s="280" t="e">
        <f>Primärenergiebedarf!F30/1000</f>
        <v>#N/A</v>
      </c>
      <c r="E2" s="280" t="e">
        <f>Primärenergiebedarf!G30/1000</f>
        <v>#N/A</v>
      </c>
      <c r="F2" s="280" t="e">
        <f>Primärenergiebedarf!H30/1000</f>
        <v>#N/A</v>
      </c>
      <c r="G2" s="280" t="e">
        <f>Primärenergiebedarf!I30/1000</f>
        <v>#N/A</v>
      </c>
      <c r="H2" s="280" t="e">
        <f>Primärenergiebedarf!J30/1000</f>
        <v>#N/A</v>
      </c>
      <c r="I2" s="280">
        <f>Primärenergiebedarf!K30/1000</f>
        <v>2135.9186807056799</v>
      </c>
    </row>
    <row r="3" spans="1:9" x14ac:dyDescent="0.35">
      <c r="A3" t="s">
        <v>2273</v>
      </c>
      <c r="B3">
        <v>2520</v>
      </c>
      <c r="C3" s="280" t="e">
        <f>'Endenergiebedarf nach Sektor'!E9/1000</f>
        <v>#DIV/0!</v>
      </c>
      <c r="D3" s="280" t="e">
        <f>'Endenergiebedarf nach Sektor'!F9/1000</f>
        <v>#DIV/0!</v>
      </c>
      <c r="E3" s="280" t="e">
        <f>'Endenergiebedarf nach Sektor'!G9/1000</f>
        <v>#DIV/0!</v>
      </c>
      <c r="F3" s="280" t="e">
        <f>'Endenergiebedarf nach Sektor'!H9/1000</f>
        <v>#DIV/0!</v>
      </c>
      <c r="G3" s="280" t="e">
        <f>'Endenergiebedarf nach Sektor'!I9/1000</f>
        <v>#DIV/0!</v>
      </c>
      <c r="H3" s="280" t="e">
        <f>'Endenergiebedarf nach Sektor'!J9/1000</f>
        <v>#DIV/0!</v>
      </c>
      <c r="I3" s="280" t="e">
        <f>'Endenergiebedarf nach Sektor'!K9/1000</f>
        <v>#DIV/0!</v>
      </c>
    </row>
    <row r="4" spans="1:9" s="318" customFormat="1" x14ac:dyDescent="0.35">
      <c r="A4" s="318" t="s">
        <v>2279</v>
      </c>
      <c r="B4" s="318">
        <v>1048</v>
      </c>
      <c r="C4" s="280" t="e">
        <f>'Endenergiebedarf nach Sektor'!E4/1000+'Endenergiebedarf nach Sektor'!E5/1000</f>
        <v>#DIV/0!</v>
      </c>
      <c r="D4" s="280" t="e">
        <f>'Endenergiebedarf nach Sektor'!F4/1000+'Endenergiebedarf nach Sektor'!F5/1000</f>
        <v>#DIV/0!</v>
      </c>
      <c r="E4" s="280" t="e">
        <f>'Endenergiebedarf nach Sektor'!G4/1000+'Endenergiebedarf nach Sektor'!G5/1000</f>
        <v>#DIV/0!</v>
      </c>
      <c r="F4" s="280" t="e">
        <f>'Endenergiebedarf nach Sektor'!H4/1000+'Endenergiebedarf nach Sektor'!H5/1000</f>
        <v>#DIV/0!</v>
      </c>
      <c r="G4" s="280" t="e">
        <f>'Endenergiebedarf nach Sektor'!I4/1000+'Endenergiebedarf nach Sektor'!I5/1000</f>
        <v>#DIV/0!</v>
      </c>
      <c r="H4" s="280" t="e">
        <f>'Endenergiebedarf nach Sektor'!J4/1000+'Endenergiebedarf nach Sektor'!J5/1000</f>
        <v>#DIV/0!</v>
      </c>
      <c r="I4" s="280" t="e">
        <f>'Endenergiebedarf nach Sektor'!K4/1000+'Endenergiebedarf nach Sektor'!K5/1000</f>
        <v>#DIV/0!</v>
      </c>
    </row>
    <row r="5" spans="1:9" s="318" customFormat="1" x14ac:dyDescent="0.35">
      <c r="A5" s="318" t="s">
        <v>2280</v>
      </c>
      <c r="B5" s="318">
        <v>747</v>
      </c>
      <c r="C5" s="280">
        <f>'Endenergiebedarf nach Sektor'!E8/1000</f>
        <v>97</v>
      </c>
      <c r="D5" s="280">
        <f>'Endenergiebedarf nach Sektor'!F8/1000</f>
        <v>97</v>
      </c>
      <c r="E5" s="280">
        <f>'Endenergiebedarf nach Sektor'!G8/1000</f>
        <v>97</v>
      </c>
      <c r="F5" s="280">
        <f>'Endenergiebedarf nach Sektor'!H8/1000</f>
        <v>97</v>
      </c>
      <c r="G5" s="280">
        <f>'Endenergiebedarf nach Sektor'!I8/1000</f>
        <v>97</v>
      </c>
      <c r="H5" s="280">
        <f>'Endenergiebedarf nach Sektor'!J8/1000</f>
        <v>97</v>
      </c>
      <c r="I5" s="280">
        <f>'Endenergiebedarf nach Sektor'!K8/1000</f>
        <v>97</v>
      </c>
    </row>
    <row r="6" spans="1:9" s="318" customFormat="1" x14ac:dyDescent="0.35">
      <c r="A6" s="318" t="s">
        <v>2281</v>
      </c>
      <c r="B6" s="318">
        <v>725</v>
      </c>
      <c r="C6" s="280">
        <f>'Endenergiebedarf nach Sektor'!E7/1000</f>
        <v>116.58544434771821</v>
      </c>
      <c r="D6" s="280" t="e">
        <f>'Endenergiebedarf nach Sektor'!F7/1000</f>
        <v>#DIV/0!</v>
      </c>
      <c r="E6" s="280" t="e">
        <f>'Endenergiebedarf nach Sektor'!G7/1000</f>
        <v>#DIV/0!</v>
      </c>
      <c r="F6" s="280" t="e">
        <f>'Endenergiebedarf nach Sektor'!H7/1000</f>
        <v>#DIV/0!</v>
      </c>
      <c r="G6" s="280" t="e">
        <f>'Endenergiebedarf nach Sektor'!I7/1000</f>
        <v>#DIV/0!</v>
      </c>
      <c r="H6" s="280" t="e">
        <f>'Endenergiebedarf nach Sektor'!J7/1000</f>
        <v>#DIV/0!</v>
      </c>
      <c r="I6" s="280" t="e">
        <f>'Endenergiebedarf nach Sektor'!K7/1000</f>
        <v>#DIV/0!</v>
      </c>
    </row>
    <row r="7" spans="1:9" x14ac:dyDescent="0.35">
      <c r="A7" t="s">
        <v>2274</v>
      </c>
      <c r="B7">
        <v>651</v>
      </c>
      <c r="C7" s="280" t="e">
        <f>'Strom - Flows'!D21/1000</f>
        <v>#N/A</v>
      </c>
      <c r="D7" s="280" t="e">
        <f>'Strom - Flows'!E21/1000</f>
        <v>#N/A</v>
      </c>
      <c r="E7" s="280" t="e">
        <f>'Strom - Flows'!F21/1000</f>
        <v>#N/A</v>
      </c>
      <c r="F7" s="280" t="e">
        <f>'Strom - Flows'!G21/1000</f>
        <v>#N/A</v>
      </c>
      <c r="G7" s="280" t="e">
        <f>'Strom - Flows'!H21/1000</f>
        <v>#N/A</v>
      </c>
      <c r="H7" s="280" t="e">
        <f>'Strom - Flows'!I21/1000</f>
        <v>#N/A</v>
      </c>
      <c r="I7" s="280" t="e">
        <f>'Strom - Flows'!J21/1000</f>
        <v>#N/A</v>
      </c>
    </row>
    <row r="8" spans="1:9" s="318" customFormat="1" x14ac:dyDescent="0.35">
      <c r="A8" s="318" t="s">
        <v>2359</v>
      </c>
      <c r="B8" s="280">
        <f>('Gebäude - Elektrogeräte'!D54)/B16</f>
        <v>0</v>
      </c>
      <c r="C8" s="280">
        <f>('Gebäude - Elektrogeräte'!D54)/C16</f>
        <v>0</v>
      </c>
      <c r="D8" s="280">
        <f>('Gebäude - Elektrogeräte'!E54)/D16</f>
        <v>0</v>
      </c>
      <c r="E8" s="280">
        <f>('Gebäude - Elektrogeräte'!F54)/E16</f>
        <v>0</v>
      </c>
      <c r="F8" s="280">
        <f>('Gebäude - Elektrogeräte'!G54)/F16</f>
        <v>0</v>
      </c>
      <c r="G8" s="280">
        <f>('Gebäude - Elektrogeräte'!H54)/G16</f>
        <v>0</v>
      </c>
      <c r="H8" s="280">
        <f>('Gebäude - Elektrogeräte'!I54)/H16</f>
        <v>0</v>
      </c>
      <c r="I8" s="280">
        <f>('Gebäude - Elektrogeräte'!J54)/I16</f>
        <v>0</v>
      </c>
    </row>
    <row r="9" spans="1:9" s="318" customFormat="1" x14ac:dyDescent="0.35">
      <c r="A9" s="318" t="s">
        <v>2361</v>
      </c>
      <c r="B9" s="357">
        <v>1.7999999999999999E-2</v>
      </c>
      <c r="C9" s="357" t="e">
        <f>IF('Raumwärme - Energieträger'!E13 &gt; 0.018,'Raumwärme - Energieträger'!E13,0.018)</f>
        <v>#N/A</v>
      </c>
      <c r="D9" s="357" t="e">
        <f>IF('Raumwärme - Energieträger'!F13 &gt; 0.018,'Raumwärme - Energieträger'!F13,0.018)</f>
        <v>#N/A</v>
      </c>
      <c r="E9" s="357" t="e">
        <f>IF('Raumwärme - Energieträger'!G13 &gt; 0.018,'Raumwärme - Energieträger'!G13,0.018)</f>
        <v>#N/A</v>
      </c>
      <c r="F9" s="357" t="e">
        <f>IF('Raumwärme - Energieträger'!H13 &gt; 0.018,'Raumwärme - Energieträger'!H13,0.018)</f>
        <v>#N/A</v>
      </c>
      <c r="G9" s="357" t="e">
        <f>IF('Raumwärme - Energieträger'!I13 &gt; 0.018,'Raumwärme - Energieträger'!I13,0.018)</f>
        <v>#N/A</v>
      </c>
      <c r="H9" s="357" t="e">
        <f>IF('Raumwärme - Energieträger'!J13 &gt; 0.018,'Raumwärme - Energieträger'!J13,0.018)</f>
        <v>#N/A</v>
      </c>
      <c r="I9" s="357">
        <f>IF('Raumwärme - Energieträger'!K13 &gt; 0.018,'Raumwärme - Energieträger'!K13,0.018)</f>
        <v>0.54241905871033358</v>
      </c>
    </row>
    <row r="10" spans="1:9" s="318" customFormat="1" x14ac:dyDescent="0.35">
      <c r="A10" s="318" t="s">
        <v>2358</v>
      </c>
      <c r="B10" s="355" t="e">
        <f>'Verkehr - Bestand'!M4</f>
        <v>#N/A</v>
      </c>
      <c r="C10" s="355" t="e">
        <f>'Verkehr - Bestand'!M4</f>
        <v>#N/A</v>
      </c>
      <c r="D10" s="355" t="e">
        <f>'Verkehr - Bestand'!N4</f>
        <v>#N/A</v>
      </c>
      <c r="E10" s="355" t="e">
        <f>'Verkehr - Bestand'!O4</f>
        <v>#N/A</v>
      </c>
      <c r="F10" s="355" t="e">
        <f>'Verkehr - Bestand'!P4</f>
        <v>#N/A</v>
      </c>
      <c r="G10" s="355" t="e">
        <f>'Verkehr - Bestand'!Q4</f>
        <v>#N/A</v>
      </c>
      <c r="H10" s="355" t="e">
        <f>'Verkehr - Bestand'!R4</f>
        <v>#N/A</v>
      </c>
      <c r="I10" s="355" t="e">
        <f>'Verkehr - Bestand'!S4</f>
        <v>#N/A</v>
      </c>
    </row>
    <row r="11" spans="1:9" x14ac:dyDescent="0.35">
      <c r="A11" t="s">
        <v>2275</v>
      </c>
      <c r="B11" s="355">
        <v>0.01</v>
      </c>
      <c r="C11" s="355">
        <f>'Gebäude - Sanierungsrate'!D37</f>
        <v>0.01</v>
      </c>
      <c r="D11" s="355" t="e">
        <f>'Gebäude - Sanierungsrate'!E37</f>
        <v>#N/A</v>
      </c>
      <c r="E11" s="355" t="e">
        <f>'Gebäude - Sanierungsrate'!F37</f>
        <v>#N/A</v>
      </c>
      <c r="F11" s="355" t="e">
        <f>'Gebäude - Sanierungsrate'!G37</f>
        <v>#N/A</v>
      </c>
      <c r="G11" s="355" t="e">
        <f>'Gebäude - Sanierungsrate'!H37</f>
        <v>#N/A</v>
      </c>
      <c r="H11" s="355" t="e">
        <f>'Gebäude - Sanierungsrate'!I37</f>
        <v>#N/A</v>
      </c>
      <c r="I11" s="355" t="e">
        <f>'Gebäude - Sanierungsrate'!J37</f>
        <v>#N/A</v>
      </c>
    </row>
    <row r="12" spans="1:9" x14ac:dyDescent="0.35">
      <c r="A12" t="s">
        <v>2276</v>
      </c>
      <c r="B12" s="355">
        <v>0.01</v>
      </c>
      <c r="C12" s="355">
        <f>'Gebäude - Sanierungsrate'!D35</f>
        <v>0.01</v>
      </c>
      <c r="D12" s="355" t="e">
        <f>'Gebäude - Sanierungsrate'!E35</f>
        <v>#N/A</v>
      </c>
      <c r="E12" s="355" t="e">
        <f>'Gebäude - Sanierungsrate'!F35</f>
        <v>#N/A</v>
      </c>
      <c r="F12" s="355" t="e">
        <f>'Gebäude - Sanierungsrate'!G35</f>
        <v>#N/A</v>
      </c>
      <c r="G12" s="355" t="e">
        <f>'Gebäude - Sanierungsrate'!H35</f>
        <v>#N/A</v>
      </c>
      <c r="H12" s="355" t="e">
        <f>'Gebäude - Sanierungsrate'!I35</f>
        <v>#N/A</v>
      </c>
      <c r="I12" s="355" t="e">
        <f>'Gebäude - Sanierungsrate'!J35</f>
        <v>#N/A</v>
      </c>
    </row>
    <row r="13" spans="1:9" x14ac:dyDescent="0.35">
      <c r="A13" t="s">
        <v>2277</v>
      </c>
      <c r="B13" s="355">
        <v>0.01</v>
      </c>
      <c r="C13" s="355">
        <f>'Gebäude - Sanierungsrate'!D38</f>
        <v>0.01</v>
      </c>
      <c r="D13" s="355" t="e">
        <f>'Gebäude - Sanierungsrate'!E38</f>
        <v>#N/A</v>
      </c>
      <c r="E13" s="355" t="e">
        <f>'Gebäude - Sanierungsrate'!F38</f>
        <v>#N/A</v>
      </c>
      <c r="F13" s="355" t="e">
        <f>'Gebäude - Sanierungsrate'!G38</f>
        <v>#N/A</v>
      </c>
      <c r="G13" s="355" t="e">
        <f>'Gebäude - Sanierungsrate'!H38</f>
        <v>#N/A</v>
      </c>
      <c r="H13" s="355" t="e">
        <f>'Gebäude - Sanierungsrate'!I38</f>
        <v>#N/A</v>
      </c>
      <c r="I13" s="355" t="e">
        <f>'Gebäude - Sanierungsrate'!J38</f>
        <v>#N/A</v>
      </c>
    </row>
    <row r="14" spans="1:9" x14ac:dyDescent="0.35">
      <c r="A14" t="s">
        <v>2278</v>
      </c>
      <c r="B14" s="358">
        <v>802</v>
      </c>
      <c r="C14" s="280" t="e">
        <f>0.962*'CO2-Emissionen'!AB103/1000</f>
        <v>#N/A</v>
      </c>
      <c r="D14" s="280" t="e">
        <f>0.962*'CO2-Emissionen'!AC103/1000</f>
        <v>#N/A</v>
      </c>
      <c r="E14" s="280" t="e">
        <f>0.962*'CO2-Emissionen'!AD103/1000</f>
        <v>#N/A</v>
      </c>
      <c r="F14" s="280" t="e">
        <f>0.962*'CO2-Emissionen'!AE103/1000</f>
        <v>#N/A</v>
      </c>
      <c r="G14" s="280" t="e">
        <f>0.962*'CO2-Emissionen'!AF103/1000</f>
        <v>#N/A</v>
      </c>
      <c r="H14" s="280" t="e">
        <f>0.962*'CO2-Emissionen'!AG103/1000</f>
        <v>#N/A</v>
      </c>
      <c r="I14" s="280">
        <f>0.962*'CO2-Emissionen'!AH103/1000</f>
        <v>4.4673155665805096E-7</v>
      </c>
    </row>
    <row r="15" spans="1:9" x14ac:dyDescent="0.35">
      <c r="A15" t="s">
        <v>2352</v>
      </c>
      <c r="B15" s="146">
        <v>0.28999999999999998</v>
      </c>
      <c r="C15" s="146" t="e">
        <f>'Strom - Flows'!R127</f>
        <v>#N/A</v>
      </c>
      <c r="D15" s="146" t="e">
        <f>'Strom - Flows'!S127</f>
        <v>#N/A</v>
      </c>
      <c r="E15" s="146" t="e">
        <f>'Strom - Flows'!T127</f>
        <v>#N/A</v>
      </c>
      <c r="F15" s="146" t="e">
        <f>'Strom - Flows'!U127</f>
        <v>#N/A</v>
      </c>
      <c r="G15" s="146" t="e">
        <f>'Strom - Flows'!V127</f>
        <v>#N/A</v>
      </c>
      <c r="H15" s="146" t="e">
        <f>'Strom - Flows'!W127</f>
        <v>#N/A</v>
      </c>
      <c r="I15" s="146" t="e">
        <f>'Strom - Flows'!X127</f>
        <v>#N/A</v>
      </c>
    </row>
    <row r="16" spans="1:9" x14ac:dyDescent="0.35">
      <c r="A16" t="s">
        <v>2355</v>
      </c>
      <c r="B16">
        <v>39.933</v>
      </c>
      <c r="C16" s="356">
        <f>$B$16*C18</f>
        <v>40.537391351351353</v>
      </c>
      <c r="D16" s="356">
        <f t="shared" ref="D16:I16" si="0">$B$16*D18</f>
        <v>40.969099459459457</v>
      </c>
      <c r="E16" s="356">
        <f t="shared" si="0"/>
        <v>41.400807567567568</v>
      </c>
      <c r="F16" s="356">
        <f t="shared" si="0"/>
        <v>41.832515675675673</v>
      </c>
      <c r="G16" s="356">
        <f t="shared" si="0"/>
        <v>42.264223783783784</v>
      </c>
      <c r="H16" s="356">
        <f t="shared" si="0"/>
        <v>42.695931891891888</v>
      </c>
      <c r="I16" s="356">
        <f t="shared" si="0"/>
        <v>43.12764</v>
      </c>
    </row>
    <row r="17" spans="1:9" x14ac:dyDescent="0.35">
      <c r="A17" t="s">
        <v>2354</v>
      </c>
      <c r="B17" s="356">
        <f>'Verkehr - Nutzung'!D10/(1.5*13922)</f>
        <v>41.533299360804598</v>
      </c>
      <c r="C17" s="356">
        <f>'Verkehr - Nutzung'!E10/(1.5*13922)</f>
        <v>45.796808515415051</v>
      </c>
      <c r="D17" s="356">
        <f>'Verkehr - Nutzung'!F10/(1.5*13922)</f>
        <v>45.860522123651833</v>
      </c>
      <c r="E17" s="356">
        <f>'Verkehr - Nutzung'!G10/(1.5*13922)</f>
        <v>45.924474295502876</v>
      </c>
      <c r="F17" s="356">
        <f>'Verkehr - Nutzung'!H10/(1.5*13922)</f>
        <v>45.988426951122769</v>
      </c>
      <c r="G17" s="356">
        <f>'Verkehr - Nutzung'!I10/(1.5*13922)</f>
        <v>44.874644747608478</v>
      </c>
      <c r="H17" s="356">
        <f>'Verkehr - Nutzung'!J10/(1.5*13922)</f>
        <v>44.149200860685781</v>
      </c>
      <c r="I17" s="356">
        <f>'Verkehr - Nutzung'!K10/(1.5*13922)</f>
        <v>42.647080314545597</v>
      </c>
    </row>
    <row r="18" spans="1:9" x14ac:dyDescent="0.35">
      <c r="A18" t="s">
        <v>2356</v>
      </c>
      <c r="B18" s="356">
        <v>1</v>
      </c>
      <c r="C18" s="356">
        <f t="shared" ref="C18:H18" si="1">1+0.08*((37-$I$1+C1)/37)</f>
        <v>1.0151351351351352</v>
      </c>
      <c r="D18" s="356">
        <f t="shared" si="1"/>
        <v>1.0259459459459459</v>
      </c>
      <c r="E18" s="356">
        <f t="shared" si="1"/>
        <v>1.0367567567567568</v>
      </c>
      <c r="F18" s="356">
        <f t="shared" si="1"/>
        <v>1.0475675675675675</v>
      </c>
      <c r="G18" s="356">
        <f t="shared" si="1"/>
        <v>1.0583783783783784</v>
      </c>
      <c r="H18" s="356">
        <f t="shared" si="1"/>
        <v>1.0691891891891891</v>
      </c>
      <c r="I18" s="356">
        <v>1.08</v>
      </c>
    </row>
    <row r="19" spans="1:9" x14ac:dyDescent="0.35">
      <c r="A19" t="s">
        <v>2362</v>
      </c>
      <c r="B19" s="359" t="e">
        <f t="shared" ref="B19:I19" si="2">B8/$B$8</f>
        <v>#DIV/0!</v>
      </c>
      <c r="C19" s="359" t="e">
        <f t="shared" si="2"/>
        <v>#DIV/0!</v>
      </c>
      <c r="D19" s="359" t="e">
        <f t="shared" si="2"/>
        <v>#DIV/0!</v>
      </c>
      <c r="E19" s="359" t="e">
        <f t="shared" si="2"/>
        <v>#DIV/0!</v>
      </c>
      <c r="F19" s="359" t="e">
        <f t="shared" si="2"/>
        <v>#DIV/0!</v>
      </c>
      <c r="G19" s="359" t="e">
        <f t="shared" si="2"/>
        <v>#DIV/0!</v>
      </c>
      <c r="H19" s="359" t="e">
        <f t="shared" si="2"/>
        <v>#DIV/0!</v>
      </c>
      <c r="I19" s="359" t="e">
        <f t="shared" si="2"/>
        <v>#DIV/0!</v>
      </c>
    </row>
    <row r="20" spans="1:9" x14ac:dyDescent="0.35">
      <c r="A20" s="352" t="s">
        <v>2363</v>
      </c>
      <c r="B20" s="359">
        <f>B11/0.025</f>
        <v>0.39999999999999997</v>
      </c>
      <c r="C20" s="359">
        <f>C11/0.025</f>
        <v>0.39999999999999997</v>
      </c>
      <c r="D20" s="359" t="e">
        <f t="shared" ref="D20:I20" si="3">D11/0.025</f>
        <v>#N/A</v>
      </c>
      <c r="E20" s="359" t="e">
        <f t="shared" si="3"/>
        <v>#N/A</v>
      </c>
      <c r="F20" s="359" t="e">
        <f t="shared" si="3"/>
        <v>#N/A</v>
      </c>
      <c r="G20" s="359" t="e">
        <f t="shared" si="3"/>
        <v>#N/A</v>
      </c>
      <c r="H20" s="359" t="e">
        <f t="shared" si="3"/>
        <v>#N/A</v>
      </c>
      <c r="I20" s="359" t="e">
        <f t="shared" si="3"/>
        <v>#N/A</v>
      </c>
    </row>
    <row r="21" spans="1:9" x14ac:dyDescent="0.35">
      <c r="A21" s="352" t="s">
        <v>2365</v>
      </c>
      <c r="B21" s="359">
        <f t="shared" ref="B21:I21" si="4">B12/0.025</f>
        <v>0.39999999999999997</v>
      </c>
      <c r="C21" s="359">
        <f>C12/0.025</f>
        <v>0.39999999999999997</v>
      </c>
      <c r="D21" s="359" t="e">
        <f>D12/0.025</f>
        <v>#N/A</v>
      </c>
      <c r="E21" s="359" t="e">
        <f t="shared" si="4"/>
        <v>#N/A</v>
      </c>
      <c r="F21" s="359" t="e">
        <f t="shared" si="4"/>
        <v>#N/A</v>
      </c>
      <c r="G21" s="359" t="e">
        <f t="shared" si="4"/>
        <v>#N/A</v>
      </c>
      <c r="H21" s="359" t="e">
        <f t="shared" si="4"/>
        <v>#N/A</v>
      </c>
      <c r="I21" s="359" t="e">
        <f t="shared" si="4"/>
        <v>#N/A</v>
      </c>
    </row>
    <row r="22" spans="1:9" x14ac:dyDescent="0.35">
      <c r="A22" s="352" t="s">
        <v>2364</v>
      </c>
      <c r="B22" s="359">
        <f t="shared" ref="B22:I22" si="5">B13/0.025</f>
        <v>0.39999999999999997</v>
      </c>
      <c r="C22" s="359">
        <f>C13/0.025</f>
        <v>0.39999999999999997</v>
      </c>
      <c r="D22" s="359" t="e">
        <f t="shared" si="5"/>
        <v>#N/A</v>
      </c>
      <c r="E22" s="359" t="e">
        <f t="shared" si="5"/>
        <v>#N/A</v>
      </c>
      <c r="F22" s="359" t="e">
        <f t="shared" si="5"/>
        <v>#N/A</v>
      </c>
      <c r="G22" s="359" t="e">
        <f t="shared" si="5"/>
        <v>#N/A</v>
      </c>
      <c r="H22" s="359" t="e">
        <f t="shared" si="5"/>
        <v>#N/A</v>
      </c>
      <c r="I22" s="359" t="e">
        <f t="shared" si="5"/>
        <v>#N/A</v>
      </c>
    </row>
    <row r="23" spans="1:9" x14ac:dyDescent="0.35">
      <c r="A23" t="s">
        <v>2373</v>
      </c>
      <c r="B23">
        <v>589</v>
      </c>
      <c r="C23" s="163">
        <v>632</v>
      </c>
      <c r="D23">
        <f>C23+(E23-C23)/2</f>
        <v>675</v>
      </c>
      <c r="E23">
        <v>718</v>
      </c>
      <c r="F23" s="352">
        <f>E23+(G23-E23)/2</f>
        <v>756</v>
      </c>
      <c r="G23">
        <v>794.00000000000011</v>
      </c>
      <c r="H23" s="352">
        <f>G23+(I23-G23)/2</f>
        <v>829</v>
      </c>
      <c r="I23">
        <v>864</v>
      </c>
    </row>
    <row r="24" spans="1:9" x14ac:dyDescent="0.35">
      <c r="A24" s="352" t="s">
        <v>2373</v>
      </c>
      <c r="B24" s="348">
        <f>B23/$B$23</f>
        <v>1</v>
      </c>
      <c r="C24" s="348">
        <f t="shared" ref="C24:I24" si="6">C23/$B$23</f>
        <v>1.0730050933786077</v>
      </c>
      <c r="D24" s="348">
        <f>D23/$B$23</f>
        <v>1.1460101867572157</v>
      </c>
      <c r="E24" s="348">
        <f t="shared" si="6"/>
        <v>1.2190152801358234</v>
      </c>
      <c r="F24" s="348">
        <f t="shared" si="6"/>
        <v>1.2835314091680814</v>
      </c>
      <c r="G24" s="348">
        <f t="shared" si="6"/>
        <v>1.3480475382003398</v>
      </c>
      <c r="H24" s="348">
        <f t="shared" si="6"/>
        <v>1.4074702886247878</v>
      </c>
      <c r="I24" s="348">
        <f t="shared" si="6"/>
        <v>1.4668930390492361</v>
      </c>
    </row>
    <row r="25" spans="1:9" x14ac:dyDescent="0.35">
      <c r="A25" t="s">
        <v>2374</v>
      </c>
      <c r="B25">
        <v>481</v>
      </c>
      <c r="C25" s="280" t="e">
        <f>'Prozesswärme - Bedarf'!E7/1000</f>
        <v>#N/A</v>
      </c>
      <c r="D25" s="280" t="e">
        <f>'Prozesswärme - Bedarf'!F7/1000</f>
        <v>#N/A</v>
      </c>
      <c r="E25" s="280" t="e">
        <f>'Prozesswärme - Bedarf'!G7/1000</f>
        <v>#N/A</v>
      </c>
      <c r="F25" s="280" t="e">
        <f>'Prozesswärme - Bedarf'!H7/1000</f>
        <v>#N/A</v>
      </c>
      <c r="G25" s="280" t="e">
        <f>'Prozesswärme - Bedarf'!I7/1000</f>
        <v>#N/A</v>
      </c>
      <c r="H25" s="280" t="e">
        <f>'Prozesswärme - Bedarf'!J7/1000</f>
        <v>#N/A</v>
      </c>
      <c r="I25" s="280" t="e">
        <f>'Prozesswärme - Bedarf'!K7/1000</f>
        <v>#N/A</v>
      </c>
    </row>
    <row r="26" spans="1:9" x14ac:dyDescent="0.35">
      <c r="A26" s="352" t="s">
        <v>2374</v>
      </c>
      <c r="B26" s="348">
        <f>B25/$B$25</f>
        <v>1</v>
      </c>
      <c r="C26" s="348" t="e">
        <f>C25/$B$25</f>
        <v>#N/A</v>
      </c>
      <c r="D26" s="348" t="e">
        <f t="shared" ref="D26:I26" si="7">D25/$B$25</f>
        <v>#N/A</v>
      </c>
      <c r="E26" s="348" t="e">
        <f>E25/$B$25</f>
        <v>#N/A</v>
      </c>
      <c r="F26" s="348" t="e">
        <f t="shared" si="7"/>
        <v>#N/A</v>
      </c>
      <c r="G26" s="348" t="e">
        <f t="shared" si="7"/>
        <v>#N/A</v>
      </c>
      <c r="H26" s="348" t="e">
        <f t="shared" si="7"/>
        <v>#N/A</v>
      </c>
      <c r="I26" s="348" t="e">
        <f t="shared" si="7"/>
        <v>#N/A</v>
      </c>
    </row>
    <row r="27" spans="1:9" x14ac:dyDescent="0.35">
      <c r="A27" t="s">
        <v>2375</v>
      </c>
      <c r="B27">
        <v>240</v>
      </c>
      <c r="C27" s="280">
        <f>'Endenergiebedarf nach Sektor'!BL312/1000</f>
        <v>0</v>
      </c>
      <c r="D27" s="280">
        <f>'Endenergiebedarf nach Sektor'!BM312/1000</f>
        <v>0</v>
      </c>
      <c r="E27" s="280">
        <f>'Endenergiebedarf nach Sektor'!BN312/1000</f>
        <v>0</v>
      </c>
      <c r="F27" s="280">
        <f>'Endenergiebedarf nach Sektor'!BO312/1000</f>
        <v>0</v>
      </c>
      <c r="G27" s="280">
        <f>'Endenergiebedarf nach Sektor'!BP312/1000</f>
        <v>0</v>
      </c>
      <c r="H27" s="280">
        <f>'Endenergiebedarf nach Sektor'!BQ312/1000</f>
        <v>0</v>
      </c>
      <c r="I27" s="280">
        <f>'Endenergiebedarf nach Sektor'!BR312/1000</f>
        <v>0</v>
      </c>
    </row>
    <row r="28" spans="1:9" x14ac:dyDescent="0.35">
      <c r="A28" s="352" t="s">
        <v>2375</v>
      </c>
      <c r="B28" s="348">
        <v>1</v>
      </c>
      <c r="C28" s="348">
        <v>1.0618474462296661</v>
      </c>
      <c r="D28" s="348">
        <v>1.0622672910313884</v>
      </c>
      <c r="E28" s="348">
        <v>1.0841014090155094</v>
      </c>
      <c r="F28" s="348">
        <v>1.1253278218362117</v>
      </c>
      <c r="G28" s="348">
        <v>1.1467894735627155</v>
      </c>
      <c r="H28" s="348">
        <v>1.1894519986254521</v>
      </c>
      <c r="I28" s="348">
        <v>1.2797473999833977</v>
      </c>
    </row>
    <row r="29" spans="1:9" x14ac:dyDescent="0.35">
      <c r="A29" t="s">
        <v>2386</v>
      </c>
      <c r="B29">
        <v>210</v>
      </c>
      <c r="C29" s="280" t="e">
        <f>'Strom - Inst. Kapazitäten'!D20</f>
        <v>#N/A</v>
      </c>
      <c r="D29" s="280" t="e">
        <f>'Strom - Inst. Kapazitäten'!E20</f>
        <v>#N/A</v>
      </c>
      <c r="E29" s="280" t="e">
        <f>'Strom - Inst. Kapazitäten'!F20</f>
        <v>#N/A</v>
      </c>
      <c r="F29" s="280" t="e">
        <f>'Strom - Inst. Kapazitäten'!G20</f>
        <v>#N/A</v>
      </c>
      <c r="G29" s="280" t="e">
        <f>'Strom - Inst. Kapazitäten'!H20</f>
        <v>#N/A</v>
      </c>
      <c r="H29" s="280" t="e">
        <f>'Strom - Inst. Kapazitäten'!I20</f>
        <v>#N/A</v>
      </c>
      <c r="I29" s="280">
        <f>'Strom - Inst. Kapazitäten'!J20</f>
        <v>733.79122076164765</v>
      </c>
    </row>
    <row r="30" spans="1:9" x14ac:dyDescent="0.35">
      <c r="A30" t="s">
        <v>2294</v>
      </c>
      <c r="B30" s="86" t="e">
        <f>Primärenergiebedarf!E34</f>
        <v>#N/A</v>
      </c>
      <c r="C30" s="86" t="e">
        <f>Primärenergiebedarf!E34</f>
        <v>#N/A</v>
      </c>
      <c r="D30" s="86" t="e">
        <f>Primärenergiebedarf!F34</f>
        <v>#N/A</v>
      </c>
      <c r="E30" s="86" t="e">
        <f>Primärenergiebedarf!G34</f>
        <v>#N/A</v>
      </c>
      <c r="F30" s="86" t="e">
        <f>Primärenergiebedarf!H34</f>
        <v>#N/A</v>
      </c>
      <c r="G30" s="86" t="e">
        <f>Primärenergiebedarf!I34</f>
        <v>#N/A</v>
      </c>
      <c r="H30" s="86" t="e">
        <f>Primärenergiebedarf!J34</f>
        <v>#N/A</v>
      </c>
      <c r="I30" s="86">
        <f>Primärenergiebedarf!K34</f>
        <v>0.33636987522530115</v>
      </c>
    </row>
    <row r="31" spans="1:9" x14ac:dyDescent="0.35">
      <c r="A31" s="352"/>
    </row>
    <row r="32" spans="1:9" x14ac:dyDescent="0.35">
      <c r="A32" s="352"/>
    </row>
    <row r="33" spans="1:1" x14ac:dyDescent="0.35">
      <c r="A33" s="352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/>
  </sheetPr>
  <dimension ref="A1:M23"/>
  <sheetViews>
    <sheetView zoomScaleNormal="100" workbookViewId="0">
      <selection activeCell="F27" sqref="F27"/>
    </sheetView>
  </sheetViews>
  <sheetFormatPr baseColWidth="10" defaultColWidth="11.453125" defaultRowHeight="14.5" x14ac:dyDescent="0.35"/>
  <cols>
    <col min="1" max="1" width="53" bestFit="1" customWidth="1"/>
    <col min="2" max="2" width="12.453125" style="190" customWidth="1"/>
    <col min="3" max="3" width="15.1796875" bestFit="1" customWidth="1"/>
    <col min="4" max="4" width="15.1796875" style="190" customWidth="1"/>
    <col min="5" max="5" width="16.1796875" customWidth="1"/>
    <col min="10" max="10" width="12.54296875" bestFit="1" customWidth="1"/>
  </cols>
  <sheetData>
    <row r="1" spans="1:13" ht="29" x14ac:dyDescent="0.35">
      <c r="A1" s="289" t="s">
        <v>2214</v>
      </c>
      <c r="B1" s="290">
        <v>2014</v>
      </c>
      <c r="C1" s="290" t="s">
        <v>2215</v>
      </c>
      <c r="D1" s="301" t="s">
        <v>2219</v>
      </c>
      <c r="E1" s="298" t="s">
        <v>2216</v>
      </c>
    </row>
    <row r="2" spans="1:13" ht="15" customHeight="1" x14ac:dyDescent="0.35">
      <c r="A2" s="291" t="s">
        <v>2204</v>
      </c>
      <c r="B2" s="292">
        <v>-0.27</v>
      </c>
      <c r="C2" s="304">
        <v>-0.8</v>
      </c>
      <c r="D2" s="293" t="e">
        <f>(1-('CO2-Emissionen'!AE103/1049759))*-1</f>
        <v>#N/A</v>
      </c>
      <c r="E2" s="392" t="e">
        <f>(1-('CO2-Emissionen'!#REF!/1049759))*-1</f>
        <v>#REF!</v>
      </c>
    </row>
    <row r="3" spans="1:13" ht="15" customHeight="1" x14ac:dyDescent="0.35">
      <c r="A3" s="294" t="s">
        <v>2199</v>
      </c>
      <c r="B3" s="295"/>
      <c r="C3" s="305"/>
      <c r="D3" s="296"/>
      <c r="E3" s="393"/>
    </row>
    <row r="4" spans="1:13" ht="15" customHeight="1" x14ac:dyDescent="0.35">
      <c r="A4" s="291" t="s">
        <v>2206</v>
      </c>
      <c r="B4" s="292">
        <v>0.13500000000000001</v>
      </c>
      <c r="C4" s="304">
        <v>0.6</v>
      </c>
      <c r="D4" s="297" t="e">
        <f>B23</f>
        <v>#DIV/0!</v>
      </c>
      <c r="E4" s="394" t="e">
        <f>C23</f>
        <v>#DIV/0!</v>
      </c>
    </row>
    <row r="5" spans="1:13" ht="15" customHeight="1" x14ac:dyDescent="0.35">
      <c r="A5" s="291" t="s">
        <v>2207</v>
      </c>
      <c r="B5" s="292">
        <v>0.27400000000000002</v>
      </c>
      <c r="C5" s="304">
        <v>0.8</v>
      </c>
      <c r="D5" s="293" t="e">
        <f>'Strom - Flows'!U127</f>
        <v>#N/A</v>
      </c>
      <c r="E5" s="392" t="e">
        <f>'Strom - Flows'!J20</f>
        <v>#N/A</v>
      </c>
    </row>
    <row r="6" spans="1:13" ht="15" customHeight="1" x14ac:dyDescent="0.35">
      <c r="A6" s="291" t="s">
        <v>2208</v>
      </c>
      <c r="B6" s="292">
        <v>0.12</v>
      </c>
      <c r="C6" s="304" t="s">
        <v>2205</v>
      </c>
      <c r="D6" s="293" t="e">
        <f>'Wärme - Erzeugung'!H13</f>
        <v>#N/A</v>
      </c>
      <c r="E6" s="392" t="e">
        <f>'Wärme - Erzeugung'!K13</f>
        <v>#N/A</v>
      </c>
    </row>
    <row r="7" spans="1:13" ht="15" customHeight="1" x14ac:dyDescent="0.35">
      <c r="A7" s="291" t="s">
        <v>2200</v>
      </c>
      <c r="B7" s="292">
        <v>5.6000000000000001E-2</v>
      </c>
      <c r="C7" s="304" t="s">
        <v>2205</v>
      </c>
      <c r="D7" s="293" t="e">
        <f>('Endenergiebedarf nach Sektor'!CA31*'Strom - Flows'!U127+'Endenergiebedarf nach Sektor'!CA32*'Wasserstoff - Produktion'!I20+'Verkehr - EE im Kraftstoff'!R5+'Verkehr - EE im Kraftstoff'!R6+'Verkehr - EE im Kraftstoff'!R7+'Verkehr - EE im Kraftstoff'!R8+'Verkehr - EE im Kraftstoff'!R17+'Verkehr - EE im Kraftstoff'!R19+'Verkehr - EE im Kraftstoff'!R20+'Verkehr - EE im Kraftstoff'!R21+'Verkehr - EE im Kraftstoff'!R18*Erdgas!J16+'Verkehr - EE im Kraftstoff'!R57+'Verkehr - EE im Kraftstoff'!R58+'Verkehr - EE im Kraftstoff'!R59)/SUM('Endenergiebedarf nach Sektor'!CA31:CA35)</f>
        <v>#N/A</v>
      </c>
      <c r="E7" s="392" t="e">
        <f>('Endenergiebedarf nach Sektor'!#REF!*'Strom - Flows'!#REF!+'Endenergiebedarf nach Sektor'!#REF!*'Wasserstoff - Produktion'!#REF!+'Verkehr - EE im Kraftstoff'!#REF!+'Verkehr - EE im Kraftstoff'!#REF!+'Verkehr - EE im Kraftstoff'!#REF!+'Verkehr - EE im Kraftstoff'!#REF!+'Verkehr - EE im Kraftstoff'!#REF!+'Verkehr - EE im Kraftstoff'!#REF!+'Verkehr - EE im Kraftstoff'!#REF!+'Verkehr - EE im Kraftstoff'!#REF!+'Verkehr - EE im Kraftstoff'!#REF!*Erdgas!#REF!+'Verkehr - EE im Kraftstoff'!#REF!+'Verkehr - EE im Kraftstoff'!#REF!+'Verkehr - EE im Kraftstoff'!#REF!)/SUM('Endenergiebedarf nach Sektor'!#REF!)</f>
        <v>#REF!</v>
      </c>
    </row>
    <row r="8" spans="1:13" ht="15" customHeight="1" x14ac:dyDescent="0.35">
      <c r="A8" s="294" t="s">
        <v>2209</v>
      </c>
      <c r="B8" s="295"/>
      <c r="C8" s="305"/>
      <c r="D8" s="296"/>
      <c r="E8" s="393"/>
    </row>
    <row r="9" spans="1:13" ht="15" customHeight="1" x14ac:dyDescent="0.35">
      <c r="A9" s="291" t="s">
        <v>2020</v>
      </c>
      <c r="B9" s="292">
        <v>-8.6999999999999994E-2</v>
      </c>
      <c r="C9" s="304">
        <v>-0.5</v>
      </c>
      <c r="D9" s="297" t="e">
        <f>Primärenergiebedarf!H30/(Primärenergiebedarf!E30/0.913)-1</f>
        <v>#N/A</v>
      </c>
      <c r="E9" s="394" t="e">
        <f>Primärenergiebedarf!#REF!/(Primärenergiebedarf!E30/0.913)-1</f>
        <v>#REF!</v>
      </c>
    </row>
    <row r="10" spans="1:13" ht="15" customHeight="1" x14ac:dyDescent="0.35">
      <c r="A10" s="291" t="s">
        <v>2201</v>
      </c>
      <c r="B10" s="292">
        <v>-4.5999999999999999E-2</v>
      </c>
      <c r="C10" s="304">
        <v>-0.25</v>
      </c>
      <c r="D10" s="297" t="e">
        <f>'Strom - Flows'!G21/('Strom - Flows'!D21/0.954)-1</f>
        <v>#N/A</v>
      </c>
      <c r="E10" s="394" t="e">
        <f>'Strom - Flows'!#REF!/('Strom - Flows'!D21/0.954)-1</f>
        <v>#REF!</v>
      </c>
    </row>
    <row r="11" spans="1:13" ht="15" customHeight="1" x14ac:dyDescent="0.35">
      <c r="A11" s="291" t="s">
        <v>2202</v>
      </c>
      <c r="B11" s="292">
        <v>-0.14799999999999999</v>
      </c>
      <c r="C11" s="304">
        <v>-0.8</v>
      </c>
      <c r="D11" s="297" t="e">
        <f>(('Strom - Nachfrage'!G60+'Raumwärme - Energieträger'!$G$4+'Raumwärme - Energieträger'!$G$5+'Raumwärme - Energieträger'!$G$6+'Raumwärme - Energieträger'!$G$7+'Raumwärme - Energieträger'!$G$8+'Raumwärme - Energieträger'!$G$10+'Raumwärme - Energieträger'!$G$11+'Raumwärme - Energieträger'!$G$12)/1216666)-1</f>
        <v>#N/A</v>
      </c>
      <c r="E11" s="394" t="e">
        <f>(('Strom - Nachfrage'!#REF!+'Raumwärme - Energieträger'!#REF!+'Raumwärme - Energieträger'!#REF!+'Raumwärme - Energieträger'!#REF!+'Raumwärme - Energieträger'!#REF!+'Raumwärme - Energieträger'!#REF!+'Raumwärme - Energieträger'!#REF!+'Raumwärme - Energieträger'!#REF!+'Raumwärme - Energieträger'!#REF!)/1216666)-1</f>
        <v>#REF!</v>
      </c>
    </row>
    <row r="12" spans="1:13" ht="15" customHeight="1" x14ac:dyDescent="0.35">
      <c r="A12" s="291" t="s">
        <v>2203</v>
      </c>
      <c r="B12" s="292">
        <v>-0.124</v>
      </c>
      <c r="C12" s="304" t="s">
        <v>2205</v>
      </c>
      <c r="D12" s="293" t="e">
        <f>SUM('Gebäude - Wärmeverbrauch'!BC13:BC16)/(SUM('Gebäude - Wärmeverbrauch'!AZ13:AZ16)/0.876)-1</f>
        <v>#N/A</v>
      </c>
      <c r="E12" s="392" t="e">
        <f>SUM('Gebäude - Wärmeverbrauch'!#REF!)/(SUM('Gebäude - Wärmeverbrauch'!AZ13:AZ16)/0.876)-1</f>
        <v>#REF!</v>
      </c>
      <c r="J12" t="s">
        <v>2384</v>
      </c>
    </row>
    <row r="13" spans="1:13" ht="15" customHeight="1" x14ac:dyDescent="0.35">
      <c r="A13" s="291" t="s">
        <v>2271</v>
      </c>
      <c r="B13" s="292">
        <v>-1.7000000000000001E-2</v>
      </c>
      <c r="C13" s="304">
        <v>-0.4</v>
      </c>
      <c r="D13" s="297" t="e">
        <f>(SUM('Endenergiebedarf nach Sektor'!CA31:CA35)/(SUM('Endenergiebedarf nach Sektor'!BX31:BX35)/0.983))-1</f>
        <v>#DIV/0!</v>
      </c>
      <c r="E13" s="394" t="e">
        <f>(SUM('Endenergiebedarf nach Sektor'!#REF!)/(SUM('Endenergiebedarf nach Sektor'!BX31:BX35)/0.983))-1</f>
        <v>#REF!</v>
      </c>
      <c r="H13" t="s">
        <v>2383</v>
      </c>
      <c r="J13">
        <v>2030</v>
      </c>
      <c r="L13" s="352">
        <v>2050</v>
      </c>
      <c r="M13" s="352"/>
    </row>
    <row r="14" spans="1:13" s="190" customFormat="1" ht="15" customHeight="1" x14ac:dyDescent="0.35">
      <c r="A14" s="294" t="s">
        <v>2218</v>
      </c>
      <c r="B14" s="295"/>
      <c r="C14" s="306" t="s">
        <v>2217</v>
      </c>
      <c r="D14" s="300"/>
      <c r="E14" s="393"/>
      <c r="H14" s="360" t="s">
        <v>2379</v>
      </c>
      <c r="I14" s="190" t="s">
        <v>2380</v>
      </c>
      <c r="J14" s="190" t="s">
        <v>2381</v>
      </c>
      <c r="K14" s="190" t="s">
        <v>2382</v>
      </c>
      <c r="L14" s="352" t="s">
        <v>2381</v>
      </c>
      <c r="M14" s="352" t="s">
        <v>2382</v>
      </c>
    </row>
    <row r="15" spans="1:13" s="190" customFormat="1" ht="15" customHeight="1" x14ac:dyDescent="0.35">
      <c r="A15" s="291" t="s">
        <v>1163</v>
      </c>
      <c r="B15" s="292">
        <v>-0.26300000000000001</v>
      </c>
      <c r="C15" s="304">
        <v>-0.61</v>
      </c>
      <c r="D15" s="297" t="e">
        <f>('CO2-Emissionen'!AE96+J15)/466000-1</f>
        <v>#N/A</v>
      </c>
      <c r="E15" s="394" t="e">
        <f>('CO2-Emissionen'!#REF!+L15)/466000-1</f>
        <v>#REF!</v>
      </c>
      <c r="H15" s="360">
        <v>183</v>
      </c>
      <c r="I15" s="280" t="e">
        <f>'CO2-Emissionen'!AE96/1000</f>
        <v>#N/A</v>
      </c>
      <c r="J15" s="84">
        <v>8.5697541221744888</v>
      </c>
      <c r="K15" s="84">
        <v>8.2034896416794574</v>
      </c>
      <c r="L15" s="84">
        <v>4.83964763175375</v>
      </c>
      <c r="M15" s="84">
        <v>1.2099119079384375</v>
      </c>
    </row>
    <row r="16" spans="1:13" s="190" customFormat="1" ht="15" customHeight="1" x14ac:dyDescent="0.35">
      <c r="A16" s="291" t="s">
        <v>1164</v>
      </c>
      <c r="B16" s="292">
        <v>-0.378</v>
      </c>
      <c r="C16" s="304">
        <v>-0.66</v>
      </c>
      <c r="D16" s="297" t="e">
        <f>('CO2-Emissionen'!AE98+K16)/209000-1</f>
        <v>#N/A</v>
      </c>
      <c r="E16" s="394" t="e">
        <f>('CO2-Emissionen'!#REF!+L16)/209000-1</f>
        <v>#REF!</v>
      </c>
      <c r="H16" s="360">
        <v>98</v>
      </c>
      <c r="I16" s="280" t="e">
        <f>'CO2-Emissionen'!AE98/1000</f>
        <v>#N/A</v>
      </c>
      <c r="J16" s="84">
        <v>0.83232940105041842</v>
      </c>
      <c r="K16" s="84">
        <v>0.79675630393113728</v>
      </c>
      <c r="L16" s="84">
        <v>0.47004627638144703</v>
      </c>
      <c r="M16" s="84">
        <v>0.11751156909536176</v>
      </c>
    </row>
    <row r="17" spans="1:13" x14ac:dyDescent="0.35">
      <c r="A17" s="291" t="s">
        <v>1165</v>
      </c>
      <c r="B17" s="303">
        <v>1.6E-2</v>
      </c>
      <c r="C17" s="307">
        <v>-0.4</v>
      </c>
      <c r="D17" s="302" t="e">
        <f>('CO2-Emissionen'!AE99+J17)/163000-1</f>
        <v>#N/A</v>
      </c>
      <c r="E17" s="395" t="e">
        <f>('CO2-Emissionen'!#REF!+L17)/163000-1</f>
        <v>#REF!</v>
      </c>
      <c r="H17" s="360">
        <v>72</v>
      </c>
      <c r="I17" s="280" t="e">
        <f>'CO2-Emissionen'!AE99/1000</f>
        <v>#N/A</v>
      </c>
      <c r="J17" s="84">
        <v>1.1574075671226436</v>
      </c>
      <c r="K17" s="84">
        <v>1.107940887536552</v>
      </c>
      <c r="L17" s="84">
        <v>0.65362958042227481</v>
      </c>
      <c r="M17" s="84">
        <v>0.1634073951055687</v>
      </c>
    </row>
    <row r="18" spans="1:13" s="190" customFormat="1" x14ac:dyDescent="0.35">
      <c r="A18" s="291" t="s">
        <v>1166</v>
      </c>
      <c r="B18" s="303">
        <v>-0.33500000000000002</v>
      </c>
      <c r="C18" s="307">
        <v>-0.49</v>
      </c>
      <c r="D18" s="302" t="e">
        <f>('CO2-Emissionen'!AE97+J18)/283000-1</f>
        <v>#N/A</v>
      </c>
      <c r="E18" s="395" t="e">
        <f>('CO2-Emissionen'!#REF!+L18)/283000-1</f>
        <v>#REF!</v>
      </c>
      <c r="H18" s="360">
        <v>143</v>
      </c>
      <c r="I18" s="280" t="e">
        <f>'CO2-Emissionen'!AE97/1000</f>
        <v>#N/A</v>
      </c>
      <c r="J18" s="84">
        <v>11.775234671690139</v>
      </c>
      <c r="K18" s="84">
        <v>11.271970500017575</v>
      </c>
      <c r="L18" s="84">
        <v>6.6498975092799624</v>
      </c>
      <c r="M18" s="84">
        <v>1.6624743773199906</v>
      </c>
    </row>
    <row r="19" spans="1:13" s="190" customFormat="1" ht="15.75" customHeight="1" x14ac:dyDescent="0.35">
      <c r="A19" s="299"/>
      <c r="H19" s="361">
        <f>SUM(H15:H18)</f>
        <v>496</v>
      </c>
      <c r="I19" s="350" t="e">
        <f>SUM(I15:I18)</f>
        <v>#N/A</v>
      </c>
    </row>
    <row r="20" spans="1:13" x14ac:dyDescent="0.35">
      <c r="B20" s="133">
        <v>2030</v>
      </c>
      <c r="C20" s="133">
        <v>2050</v>
      </c>
    </row>
    <row r="21" spans="1:13" x14ac:dyDescent="0.35">
      <c r="A21" t="s">
        <v>2211</v>
      </c>
      <c r="B21" s="280" t="e">
        <f>'Endenergiebedarf nach Sektor'!G9/1000</f>
        <v>#DIV/0!</v>
      </c>
      <c r="C21" s="280" t="e">
        <f>'Endenergiebedarf nach Sektor'!K9/1000</f>
        <v>#DIV/0!</v>
      </c>
      <c r="D21" t="s">
        <v>2210</v>
      </c>
      <c r="J21" s="84"/>
      <c r="K21" s="84"/>
    </row>
    <row r="22" spans="1:13" x14ac:dyDescent="0.35">
      <c r="A22" s="365" t="s">
        <v>2212</v>
      </c>
      <c r="B22" s="280" t="e">
        <f>('Endenergiebedarf nach Sektor'!AE89+'Endenergiebedarf nach Sektor'!AE90+'Endenergiebedarf nach Sektor'!AE86*'Strom - Flows'!T127+'Endenergiebedarf nach Sektor'!AE87*Erdgas!I16+'Endenergiebedarf nach Sektor'!AE91*'Wasserstoff - Produktion'!H20+'Endenergiebedarf nach Sektor'!AE92*'Wärme - Erzeugung'!G13+'Endenergiebedarf nach Sektor'!AQ16*'Strom - Flows'!T127+('Endenergiebedarf nach Sektor'!AQ17+'Endenergiebedarf nach Sektor'!AQ18)*'Wärme - Erzeugung'!G13+('Endenergiebedarf nach Sektor'!BN309+'Endenergiebedarf nach Sektor'!BN310+'Endenergiebedarf nach Sektor'!BN311+'Endenergiebedarf nach Sektor'!BN314)*'Wärme - Erzeugung'!G13+'Endenergiebedarf nach Sektor'!BN312*'Strom - Flows'!T127+'Endenergiebedarf nach Sektor'!BZ31*'Strom - Flows'!T127+'Endenergiebedarf nach Sektor'!BZ32*'Wasserstoff - Produktion'!H20+SUM('Verkehr - EE im Kraftstoff'!Q5:Q8)+'Verkehr - EE im Kraftstoff'!Q17+'Verkehr - EE im Kraftstoff'!Q21+'Verkehr - EE im Kraftstoff'!Q20+'Verkehr - EE im Kraftstoff'!Q19+'Verkehr - EE im Kraftstoff'!Q18*Erdgas!I16+'Verkehr - EE im Kraftstoff'!Q57+'Verkehr - EE im Kraftstoff'!Q58+'Verkehr - EE im Kraftstoff'!Q59)/1000</f>
        <v>#DIV/0!</v>
      </c>
      <c r="C22" s="280" t="e">
        <f>('Endenergiebedarf nach Sektor'!AI89+'Endenergiebedarf nach Sektor'!AI90+'Endenergiebedarf nach Sektor'!AI86*'Strom - Flows'!X127+'Endenergiebedarf nach Sektor'!AI87*Erdgas!M16+'Endenergiebedarf nach Sektor'!AI91*'Wasserstoff - Produktion'!L20+'Endenergiebedarf nach Sektor'!AI92*'Wärme - Erzeugung'!K13+'Endenergiebedarf nach Sektor'!AU16*'Strom - Flows'!X127+('Endenergiebedarf nach Sektor'!AU17+'Endenergiebedarf nach Sektor'!AU18)*'Wärme - Erzeugung'!K13+('Endenergiebedarf nach Sektor'!BR309+'Endenergiebedarf nach Sektor'!BR310+'Endenergiebedarf nach Sektor'!BR311+'Endenergiebedarf nach Sektor'!BR314)*'Wärme - Erzeugung'!K13+'Endenergiebedarf nach Sektor'!BR312*'Strom - Flows'!X127+'Endenergiebedarf nach Sektor'!CD31*'Strom - Flows'!X127+'Endenergiebedarf nach Sektor'!CD32*'Wasserstoff - Produktion'!L20+SUM('Verkehr - EE im Kraftstoff'!U5:U8)+'Verkehr - EE im Kraftstoff'!U17+'Verkehr - EE im Kraftstoff'!U21+'Verkehr - EE im Kraftstoff'!U20+'Verkehr - EE im Kraftstoff'!U19+'Verkehr - EE im Kraftstoff'!U18*Erdgas!M16+'Verkehr - EE im Kraftstoff'!U57+'Verkehr - EE im Kraftstoff'!U58+'Verkehr - EE im Kraftstoff'!U59)/1000</f>
        <v>#DIV/0!</v>
      </c>
      <c r="D22" s="280" t="s">
        <v>2210</v>
      </c>
      <c r="E22" s="280"/>
    </row>
    <row r="23" spans="1:13" x14ac:dyDescent="0.35">
      <c r="B23" s="146" t="e">
        <f>B22/B21</f>
        <v>#DIV/0!</v>
      </c>
      <c r="C23" s="146" t="e">
        <f>C22/C21</f>
        <v>#DIV/0!</v>
      </c>
      <c r="D23"/>
    </row>
  </sheetData>
  <conditionalFormatting sqref="D10:E10">
    <cfRule type="cellIs" dxfId="160" priority="7" operator="greaterThan">
      <formula>0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2" id="{82DC6E2A-2027-49E3-B29E-69ACB96647F3}">
            <x14:iconSet custom="1">
              <x14:cfvo type="percent">
                <xm:f>0</xm:f>
              </x14:cfvo>
              <x14:cfvo type="num">
                <xm:f>$C$2-0.01</xm:f>
              </x14:cfvo>
              <x14:cfvo type="num" gte="0">
                <xm:f>$C$2+0.01</xm:f>
              </x14:cfvo>
              <x14:cfIcon iconSet="3Arrows" iconId="2"/>
              <x14:cfIcon iconSet="3TrafficLights1" iconId="2"/>
              <x14:cfIcon iconSet="3Arrows" iconId="0"/>
            </x14:iconSet>
          </x14:cfRule>
          <xm:sqref>D2:E2</xm:sqref>
        </x14:conditionalFormatting>
        <x14:conditionalFormatting xmlns:xm="http://schemas.microsoft.com/office/excel/2006/main">
          <x14:cfRule type="iconSet" priority="11" id="{1993F020-FA1A-46D8-9F7B-BEA375C9CEBE}">
            <x14:iconSet custom="1">
              <x14:cfvo type="percent">
                <xm:f>0</xm:f>
              </x14:cfvo>
              <x14:cfvo type="num">
                <xm:f>$C$4*0.9</xm:f>
              </x14:cfvo>
              <x14:cfvo type="num">
                <xm:f>$C$4*1.1</xm:f>
              </x14:cfvo>
              <x14:cfIcon iconSet="3Arrows" iconId="0"/>
              <x14:cfIcon iconSet="3TrafficLights1" iconId="2"/>
              <x14:cfIcon iconSet="3Arrows" iconId="2"/>
            </x14:iconSet>
          </x14:cfRule>
          <xm:sqref>D4:E4</xm:sqref>
        </x14:conditionalFormatting>
        <x14:conditionalFormatting xmlns:xm="http://schemas.microsoft.com/office/excel/2006/main">
          <x14:cfRule type="iconSet" priority="10" id="{356D17A5-B00C-4D0A-B168-FE1B554C03DA}">
            <x14:iconSet custom="1">
              <x14:cfvo type="percent">
                <xm:f>0</xm:f>
              </x14:cfvo>
              <x14:cfvo type="num">
                <xm:f>$C$5*0.9</xm:f>
              </x14:cfvo>
              <x14:cfvo type="num">
                <xm:f>$C$5*1.1</xm:f>
              </x14:cfvo>
              <x14:cfIcon iconSet="3Arrows" iconId="0"/>
              <x14:cfIcon iconSet="3TrafficLights1" iconId="2"/>
              <x14:cfIcon iconSet="3Arrows" iconId="2"/>
            </x14:iconSet>
          </x14:cfRule>
          <xm:sqref>D5:E5</xm:sqref>
        </x14:conditionalFormatting>
        <x14:conditionalFormatting xmlns:xm="http://schemas.microsoft.com/office/excel/2006/main">
          <x14:cfRule type="iconSet" priority="9" id="{B54A4186-4739-482B-AA9F-7DC7A1076AC1}">
            <x14:iconSet custom="1">
              <x14:cfvo type="percent">
                <xm:f>0</xm:f>
              </x14:cfvo>
              <x14:cfvo type="num">
                <xm:f>$C$9*1.1</xm:f>
              </x14:cfvo>
              <x14:cfvo type="num">
                <xm:f>$C$9*0.9</xm:f>
              </x14:cfvo>
              <x14:cfIcon iconSet="3Arrows" iconId="2"/>
              <x14:cfIcon iconSet="3TrafficLights1" iconId="2"/>
              <x14:cfIcon iconSet="3Arrows" iconId="0"/>
            </x14:iconSet>
          </x14:cfRule>
          <xm:sqref>D9:E9</xm:sqref>
        </x14:conditionalFormatting>
        <x14:conditionalFormatting xmlns:xm="http://schemas.microsoft.com/office/excel/2006/main">
          <x14:cfRule type="iconSet" priority="8" id="{9B341216-88B8-4190-8295-38EF1E12CEB5}">
            <x14:iconSet iconSet="4Arrows" custom="1">
              <x14:cfvo type="percent">
                <xm:f>0</xm:f>
              </x14:cfvo>
              <x14:cfvo type="num">
                <xm:f>$C$10*1.1</xm:f>
              </x14:cfvo>
              <x14:cfvo type="num">
                <xm:f>$C$10*0.9</xm:f>
              </x14:cfvo>
              <x14:cfvo type="num" gte="0">
                <xm:f>0</xm:f>
              </x14:cfvo>
              <x14:cfIcon iconSet="3Arrows" iconId="2"/>
              <x14:cfIcon iconSet="3TrafficLights1" iconId="2"/>
              <x14:cfIcon iconSet="3Arrows" iconId="0"/>
              <x14:cfIcon iconSet="3TrafficLights1" iconId="0"/>
            </x14:iconSet>
          </x14:cfRule>
          <xm:sqref>D10:E10</xm:sqref>
        </x14:conditionalFormatting>
        <x14:conditionalFormatting xmlns:xm="http://schemas.microsoft.com/office/excel/2006/main">
          <x14:cfRule type="iconSet" priority="6" id="{0FC0EC9A-3E41-433B-93B5-270142AA0F9F}">
            <x14:iconSet custom="1">
              <x14:cfvo type="percent">
                <xm:f>0</xm:f>
              </x14:cfvo>
              <x14:cfvo type="num">
                <xm:f>$C$11*1.1</xm:f>
              </x14:cfvo>
              <x14:cfvo type="num">
                <xm:f>$C$11*0.9</xm:f>
              </x14:cfvo>
              <x14:cfIcon iconSet="3Arrows" iconId="2"/>
              <x14:cfIcon iconSet="3TrafficLights1" iconId="2"/>
              <x14:cfIcon iconSet="3Arrows" iconId="0"/>
            </x14:iconSet>
          </x14:cfRule>
          <xm:sqref>D11:E11</xm:sqref>
        </x14:conditionalFormatting>
        <x14:conditionalFormatting xmlns:xm="http://schemas.microsoft.com/office/excel/2006/main">
          <x14:cfRule type="iconSet" priority="5" id="{7CF8F8AA-722F-4821-A7BC-54B6A058B3BD}">
            <x14:iconSet custom="1">
              <x14:cfvo type="percent">
                <xm:f>0</xm:f>
              </x14:cfvo>
              <x14:cfvo type="num">
                <xm:f>$C$13*1.1</xm:f>
              </x14:cfvo>
              <x14:cfvo type="num">
                <xm:f>$C$13*0.9</xm:f>
              </x14:cfvo>
              <x14:cfIcon iconSet="3Arrows" iconId="2"/>
              <x14:cfIcon iconSet="3TrafficLights1" iconId="2"/>
              <x14:cfIcon iconSet="3Arrows" iconId="0"/>
            </x14:iconSet>
          </x14:cfRule>
          <xm:sqref>D13:E13</xm:sqref>
        </x14:conditionalFormatting>
        <x14:conditionalFormatting xmlns:xm="http://schemas.microsoft.com/office/excel/2006/main">
          <x14:cfRule type="iconSet" priority="4" id="{C010CF68-4358-4EBE-B73F-82E12DD3F6CA}">
            <x14:iconSet custom="1">
              <x14:cfvo type="percent">
                <xm:f>0</xm:f>
              </x14:cfvo>
              <x14:cfvo type="num">
                <xm:f>$C$15*1.1</xm:f>
              </x14:cfvo>
              <x14:cfvo type="num">
                <xm:f>$C$15*0.9</xm:f>
              </x14:cfvo>
              <x14:cfIcon iconSet="3Arrows" iconId="2"/>
              <x14:cfIcon iconSet="3TrafficLights1" iconId="2"/>
              <x14:cfIcon iconSet="3Arrows" iconId="0"/>
            </x14:iconSet>
          </x14:cfRule>
          <xm:sqref>D15:E15</xm:sqref>
        </x14:conditionalFormatting>
        <x14:conditionalFormatting xmlns:xm="http://schemas.microsoft.com/office/excel/2006/main">
          <x14:cfRule type="iconSet" priority="3" id="{773F916E-CC37-4993-8A52-63B993BE7F67}">
            <x14:iconSet custom="1">
              <x14:cfvo type="percent">
                <xm:f>0</xm:f>
              </x14:cfvo>
              <x14:cfvo type="num">
                <xm:f>$C$16*1.1</xm:f>
              </x14:cfvo>
              <x14:cfvo type="num">
                <xm:f>$C$16*0.9</xm:f>
              </x14:cfvo>
              <x14:cfIcon iconSet="3Arrows" iconId="2"/>
              <x14:cfIcon iconSet="3TrafficLights1" iconId="2"/>
              <x14:cfIcon iconSet="3Arrows" iconId="0"/>
            </x14:iconSet>
          </x14:cfRule>
          <xm:sqref>D16:E16</xm:sqref>
        </x14:conditionalFormatting>
        <x14:conditionalFormatting xmlns:xm="http://schemas.microsoft.com/office/excel/2006/main">
          <x14:cfRule type="iconSet" priority="2" id="{7F4DF240-51C0-428D-9048-CBDBCAF345FF}">
            <x14:iconSet custom="1">
              <x14:cfvo type="percent">
                <xm:f>0</xm:f>
              </x14:cfvo>
              <x14:cfvo type="num">
                <xm:f>$C$17*1.1</xm:f>
              </x14:cfvo>
              <x14:cfvo type="num">
                <xm:f>$C$17*0.9</xm:f>
              </x14:cfvo>
              <x14:cfIcon iconSet="3Arrows" iconId="2"/>
              <x14:cfIcon iconSet="3TrafficLights1" iconId="2"/>
              <x14:cfIcon iconSet="3Arrows" iconId="0"/>
            </x14:iconSet>
          </x14:cfRule>
          <xm:sqref>D17:E17</xm:sqref>
        </x14:conditionalFormatting>
        <x14:conditionalFormatting xmlns:xm="http://schemas.microsoft.com/office/excel/2006/main">
          <x14:cfRule type="iconSet" priority="1" id="{776D4425-9862-4909-A68F-FC14560A8A2C}">
            <x14:iconSet custom="1">
              <x14:cfvo type="percent">
                <xm:f>0</xm:f>
              </x14:cfvo>
              <x14:cfvo type="num">
                <xm:f>$C$18*1.1</xm:f>
              </x14:cfvo>
              <x14:cfvo type="num">
                <xm:f>$C$18*0.9</xm:f>
              </x14:cfvo>
              <x14:cfIcon iconSet="3Arrows" iconId="2"/>
              <x14:cfIcon iconSet="3TrafficLights1" iconId="2"/>
              <x14:cfIcon iconSet="3Arrows" iconId="0"/>
            </x14:iconSet>
          </x14:cfRule>
          <xm:sqref>D18:E18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B1:L16"/>
  <sheetViews>
    <sheetView topLeftCell="B1" zoomScale="85" zoomScaleNormal="85" workbookViewId="0">
      <selection activeCell="M71" sqref="M71"/>
    </sheetView>
  </sheetViews>
  <sheetFormatPr baseColWidth="10" defaultColWidth="11.453125" defaultRowHeight="14" x14ac:dyDescent="0.3"/>
  <cols>
    <col min="1" max="1" width="11.453125" style="15"/>
    <col min="2" max="2" width="29" style="15" bestFit="1" customWidth="1"/>
    <col min="3" max="4" width="29" style="15" customWidth="1"/>
    <col min="5" max="16384" width="11.453125" style="15"/>
  </cols>
  <sheetData>
    <row r="1" spans="2:12" ht="14.5" thickBot="1" x14ac:dyDescent="0.35"/>
    <row r="2" spans="2:12" ht="14.5" x14ac:dyDescent="0.35">
      <c r="B2" s="196" t="s">
        <v>1172</v>
      </c>
      <c r="C2" s="36" t="s">
        <v>1828</v>
      </c>
      <c r="D2" s="36"/>
      <c r="E2" s="89">
        <v>2</v>
      </c>
      <c r="F2" s="89">
        <v>3</v>
      </c>
      <c r="G2" s="89">
        <v>4</v>
      </c>
      <c r="H2" s="89">
        <v>5</v>
      </c>
      <c r="I2" s="89">
        <v>6</v>
      </c>
      <c r="J2" s="89">
        <v>7</v>
      </c>
      <c r="K2" s="89">
        <v>8</v>
      </c>
      <c r="L2" s="89">
        <v>9</v>
      </c>
    </row>
    <row r="3" spans="2:12" ht="14.5" x14ac:dyDescent="0.35">
      <c r="B3" s="205" t="s">
        <v>1277</v>
      </c>
      <c r="C3" s="210" t="s">
        <v>1259</v>
      </c>
      <c r="D3" s="210"/>
      <c r="E3" s="133" t="s">
        <v>1417</v>
      </c>
      <c r="F3" s="133">
        <v>2020</v>
      </c>
      <c r="G3" s="133">
        <v>2025</v>
      </c>
      <c r="H3" s="133">
        <v>2030</v>
      </c>
      <c r="I3" s="133">
        <v>2035</v>
      </c>
      <c r="J3" s="133">
        <v>2040</v>
      </c>
      <c r="K3" s="133">
        <v>2045</v>
      </c>
      <c r="L3" s="133">
        <v>2050</v>
      </c>
    </row>
    <row r="4" spans="2:12" x14ac:dyDescent="0.3">
      <c r="B4" s="19"/>
      <c r="C4" s="199" t="s">
        <v>1829</v>
      </c>
      <c r="D4" s="199" t="s">
        <v>1830</v>
      </c>
      <c r="E4" s="9" t="e">
        <f>SUM(#REF!)</f>
        <v>#REF!</v>
      </c>
      <c r="F4" s="9" t="e">
        <f>SUM(#REF!)</f>
        <v>#REF!</v>
      </c>
      <c r="G4" s="9" t="e">
        <f>SUM(#REF!)</f>
        <v>#REF!</v>
      </c>
      <c r="H4" s="9" t="e">
        <f>SUM(#REF!)</f>
        <v>#REF!</v>
      </c>
      <c r="I4" s="9" t="e">
        <f>SUM(#REF!)</f>
        <v>#REF!</v>
      </c>
      <c r="J4" s="9" t="e">
        <f>SUM(#REF!)</f>
        <v>#REF!</v>
      </c>
      <c r="K4" s="9" t="e">
        <f>SUM(#REF!)</f>
        <v>#REF!</v>
      </c>
      <c r="L4" s="9" t="e">
        <f>SUM(#REF!)</f>
        <v>#REF!</v>
      </c>
    </row>
    <row r="5" spans="2:12" x14ac:dyDescent="0.3">
      <c r="B5" s="19" t="s">
        <v>107</v>
      </c>
      <c r="C5" s="199" t="s">
        <v>1167</v>
      </c>
      <c r="D5" s="199" t="s">
        <v>1340</v>
      </c>
      <c r="E5" s="9" t="e">
        <f>VLOOKUP($B5,capacities!$A$2:$J$2856,E$2,FALSE)</f>
        <v>#N/A</v>
      </c>
      <c r="F5" s="9" t="e">
        <f>VLOOKUP($B5,capacities!$A$2:$J$2856,F$2,FALSE)</f>
        <v>#N/A</v>
      </c>
      <c r="G5" s="9" t="e">
        <f>VLOOKUP($B5,capacities!$A$2:$J$2856,G$2,FALSE)</f>
        <v>#N/A</v>
      </c>
      <c r="H5" s="9" t="e">
        <f>VLOOKUP($B5,capacities!$A$2:$J$2856,H$2,FALSE)</f>
        <v>#N/A</v>
      </c>
      <c r="I5" s="9" t="e">
        <f>VLOOKUP($B5,capacities!$A$2:$J$2856,I$2,FALSE)</f>
        <v>#N/A</v>
      </c>
      <c r="J5" s="9" t="e">
        <f>VLOOKUP($B5,capacities!$A$2:$J$2856,J$2,FALSE)</f>
        <v>#N/A</v>
      </c>
      <c r="K5" s="9" t="e">
        <f>VLOOKUP($B5,capacities!$A$2:$J$2856,K$2,FALSE)</f>
        <v>#N/A</v>
      </c>
      <c r="L5" s="9" t="e">
        <f>VLOOKUP($B5,capacities!$A$2:$J$2856,L$2,FALSE)</f>
        <v>#N/A</v>
      </c>
    </row>
    <row r="6" spans="2:12" x14ac:dyDescent="0.3">
      <c r="B6" s="19"/>
      <c r="C6" s="199" t="s">
        <v>1162</v>
      </c>
      <c r="D6" s="199" t="s">
        <v>1816</v>
      </c>
      <c r="E6" s="9" t="e">
        <f>SUM('Wasserstoff - Speicher'!E4:E6)</f>
        <v>#N/A</v>
      </c>
      <c r="F6" s="9" t="e">
        <f>SUM('Wasserstoff - Speicher'!F4:F6)</f>
        <v>#N/A</v>
      </c>
      <c r="G6" s="9" t="e">
        <f>SUM('Wasserstoff - Speicher'!G4:G6)</f>
        <v>#N/A</v>
      </c>
      <c r="H6" s="9" t="e">
        <f>SUM('Wasserstoff - Speicher'!H4:H6)</f>
        <v>#N/A</v>
      </c>
      <c r="I6" s="9" t="e">
        <f>SUM('Wasserstoff - Speicher'!I4:I6)</f>
        <v>#N/A</v>
      </c>
      <c r="J6" s="9" t="e">
        <f>SUM('Wasserstoff - Speicher'!J4:J6)</f>
        <v>#N/A</v>
      </c>
      <c r="K6" s="9" t="e">
        <f>SUM('Wasserstoff - Speicher'!K4:K6)</f>
        <v>#N/A</v>
      </c>
      <c r="L6" s="9">
        <f>SUM('Wasserstoff - Speicher'!L4:L6)</f>
        <v>58225.728329905673</v>
      </c>
    </row>
    <row r="7" spans="2:12" x14ac:dyDescent="0.3">
      <c r="B7" s="19"/>
      <c r="C7" s="199" t="s">
        <v>1168</v>
      </c>
      <c r="D7" s="199" t="s">
        <v>1530</v>
      </c>
      <c r="E7" s="9" t="e">
        <f>SUM('Wärme - Speicher'!E4:E6)</f>
        <v>#N/A</v>
      </c>
      <c r="F7" s="9" t="e">
        <f>SUM('Wärme - Speicher'!F4:F6)</f>
        <v>#N/A</v>
      </c>
      <c r="G7" s="9" t="e">
        <f>SUM('Wärme - Speicher'!G4:G6)</f>
        <v>#N/A</v>
      </c>
      <c r="H7" s="9" t="e">
        <f>SUM('Wärme - Speicher'!H4:H6)</f>
        <v>#N/A</v>
      </c>
      <c r="I7" s="9" t="e">
        <f>SUM('Wärme - Speicher'!I4:I6)</f>
        <v>#N/A</v>
      </c>
      <c r="J7" s="9" t="e">
        <f>SUM('Wärme - Speicher'!J4:J6)</f>
        <v>#N/A</v>
      </c>
      <c r="K7" s="9" t="e">
        <f>SUM('Wärme - Speicher'!K4:K6)</f>
        <v>#N/A</v>
      </c>
      <c r="L7" s="9">
        <f>SUM('Wärme - Speicher'!L4:L6)</f>
        <v>5451.5764148130647</v>
      </c>
    </row>
    <row r="8" spans="2:12" x14ac:dyDescent="0.3">
      <c r="B8" s="19" t="s">
        <v>183</v>
      </c>
      <c r="C8" s="199" t="s">
        <v>1411</v>
      </c>
      <c r="D8" s="199" t="s">
        <v>1831</v>
      </c>
      <c r="E8" s="9" t="e">
        <f>VLOOKUP($B8,capacities!$A$2:$J$2856,E$2,FALSE)</f>
        <v>#N/A</v>
      </c>
      <c r="F8" s="9" t="e">
        <f>VLOOKUP($B8,capacities!$A$2:$J$2856,F$2,FALSE)</f>
        <v>#N/A</v>
      </c>
      <c r="G8" s="9" t="e">
        <f>VLOOKUP($B8,capacities!$A$2:$J$2856,G$2,FALSE)</f>
        <v>#N/A</v>
      </c>
      <c r="H8" s="9" t="e">
        <f>VLOOKUP($B8,capacities!$A$2:$J$2856,H$2,FALSE)</f>
        <v>#N/A</v>
      </c>
      <c r="I8" s="9" t="e">
        <f>VLOOKUP($B8,capacities!$A$2:$J$2856,I$2,FALSE)</f>
        <v>#N/A</v>
      </c>
      <c r="J8" s="9" t="e">
        <f>VLOOKUP($B8,capacities!$A$2:$J$2856,J$2,FALSE)</f>
        <v>#N/A</v>
      </c>
      <c r="K8" s="9" t="e">
        <f>VLOOKUP($B8,capacities!$A$2:$J$2856,K$2,FALSE)</f>
        <v>#N/A</v>
      </c>
      <c r="L8" s="9" t="e">
        <f>VLOOKUP($B8,capacities!$A$2:$J$2856,L$2,FALSE)</f>
        <v>#N/A</v>
      </c>
    </row>
    <row r="9" spans="2:12" x14ac:dyDescent="0.3">
      <c r="B9" s="19" t="s">
        <v>112</v>
      </c>
      <c r="C9" s="199" t="s">
        <v>1255</v>
      </c>
      <c r="D9" s="199" t="s">
        <v>1832</v>
      </c>
      <c r="E9" s="9" t="e">
        <f>VLOOKUP($B9,capacities!$A$2:$J$2856,E$2,FALSE)</f>
        <v>#N/A</v>
      </c>
      <c r="F9" s="9" t="e">
        <f>VLOOKUP($B9,capacities!$A$2:$J$2856,F$2,FALSE)</f>
        <v>#N/A</v>
      </c>
      <c r="G9" s="9" t="e">
        <f>VLOOKUP($B9,capacities!$A$2:$J$2856,G$2,FALSE)</f>
        <v>#N/A</v>
      </c>
      <c r="H9" s="9" t="e">
        <f>VLOOKUP($B9,capacities!$A$2:$J$2856,H$2,FALSE)</f>
        <v>#N/A</v>
      </c>
      <c r="I9" s="9" t="e">
        <f>VLOOKUP($B9,capacities!$A$2:$J$2856,I$2,FALSE)</f>
        <v>#N/A</v>
      </c>
      <c r="J9" s="9" t="e">
        <f>VLOOKUP($B9,capacities!$A$2:$J$2856,J$2,FALSE)</f>
        <v>#N/A</v>
      </c>
      <c r="K9" s="9" t="e">
        <f>VLOOKUP($B9,capacities!$A$2:$J$2856,K$2,FALSE)</f>
        <v>#N/A</v>
      </c>
      <c r="L9" s="9" t="e">
        <f>VLOOKUP($B9,capacities!$A$2:$J$2856,L$2,FALSE)</f>
        <v>#N/A</v>
      </c>
    </row>
    <row r="10" spans="2:12" x14ac:dyDescent="0.3">
      <c r="B10" s="19" t="s">
        <v>106</v>
      </c>
      <c r="C10" s="199" t="s">
        <v>1833</v>
      </c>
      <c r="D10" s="199" t="s">
        <v>1834</v>
      </c>
      <c r="E10" s="9" t="e">
        <f>VLOOKUP($B10,capacities!$A$2:$J$2856,E$2,FALSE)</f>
        <v>#N/A</v>
      </c>
      <c r="F10" s="9" t="e">
        <f>VLOOKUP($B10,capacities!$A$2:$J$2856,F$2,FALSE)</f>
        <v>#N/A</v>
      </c>
      <c r="G10" s="9" t="e">
        <f>VLOOKUP($B10,capacities!$A$2:$J$2856,G$2,FALSE)</f>
        <v>#N/A</v>
      </c>
      <c r="H10" s="9" t="e">
        <f>VLOOKUP($B10,capacities!$A$2:$J$2856,H$2,FALSE)</f>
        <v>#N/A</v>
      </c>
      <c r="I10" s="9" t="e">
        <f>VLOOKUP($B10,capacities!$A$2:$J$2856,I$2,FALSE)</f>
        <v>#N/A</v>
      </c>
      <c r="J10" s="9" t="e">
        <f>VLOOKUP($B10,capacities!$A$2:$J$2856,J$2,FALSE)</f>
        <v>#N/A</v>
      </c>
      <c r="K10" s="9" t="e">
        <f>VLOOKUP($B10,capacities!$A$2:$J$2856,K$2,FALSE)</f>
        <v>#N/A</v>
      </c>
      <c r="L10" s="9" t="e">
        <f>VLOOKUP($B10,capacities!$A$2:$J$2856,L$2,FALSE)</f>
        <v>#N/A</v>
      </c>
    </row>
    <row r="11" spans="2:12" x14ac:dyDescent="0.3">
      <c r="B11" s="19" t="s">
        <v>2220</v>
      </c>
      <c r="C11" s="344" t="s">
        <v>4123</v>
      </c>
      <c r="D11" s="344" t="s">
        <v>4124</v>
      </c>
      <c r="E11" s="9" t="e">
        <f>VLOOKUP($B11,capacities!$A$2:$J$2856,E$2,FALSE)</f>
        <v>#N/A</v>
      </c>
      <c r="F11" s="9" t="e">
        <f>VLOOKUP($B11,capacities!$A$2:$J$2856,F$2,FALSE)</f>
        <v>#N/A</v>
      </c>
      <c r="G11" s="9" t="e">
        <f>VLOOKUP($B11,capacities!$A$2:$J$2856,G$2,FALSE)</f>
        <v>#N/A</v>
      </c>
      <c r="H11" s="9" t="e">
        <f>VLOOKUP($B11,capacities!$A$2:$J$2856,H$2,FALSE)</f>
        <v>#N/A</v>
      </c>
      <c r="I11" s="9" t="e">
        <f>VLOOKUP($B11,capacities!$A$2:$J$2856,I$2,FALSE)</f>
        <v>#N/A</v>
      </c>
      <c r="J11" s="9" t="e">
        <f>VLOOKUP($B11,capacities!$A$2:$J$2856,J$2,FALSE)</f>
        <v>#N/A</v>
      </c>
      <c r="K11" s="9" t="e">
        <f>VLOOKUP($B11,capacities!$A$2:$J$2856,K$2,FALSE)</f>
        <v>#N/A</v>
      </c>
      <c r="L11" s="9" t="e">
        <f>VLOOKUP($B11,capacities!$A$2:$J$2856,L$2,FALSE)</f>
        <v>#N/A</v>
      </c>
    </row>
    <row r="12" spans="2:12" x14ac:dyDescent="0.3">
      <c r="B12" s="19"/>
      <c r="C12" s="199"/>
      <c r="D12" s="199"/>
      <c r="E12" s="9"/>
      <c r="F12" s="9"/>
      <c r="G12" s="9"/>
      <c r="H12" s="9"/>
      <c r="I12" s="9"/>
      <c r="J12" s="9"/>
      <c r="K12" s="9"/>
      <c r="L12" s="9"/>
    </row>
    <row r="13" spans="2:12" x14ac:dyDescent="0.3">
      <c r="B13" s="198" t="s">
        <v>206</v>
      </c>
      <c r="C13" s="199" t="s">
        <v>206</v>
      </c>
      <c r="D13" s="199"/>
      <c r="E13" s="9" t="e">
        <f>VLOOKUP($B13,capacities!$A$2:$J$2856,E$2,FALSE)</f>
        <v>#N/A</v>
      </c>
      <c r="F13" s="9" t="e">
        <f>VLOOKUP($B13,capacities!$A$2:$J$2856,F$2,FALSE)</f>
        <v>#N/A</v>
      </c>
      <c r="G13" s="9" t="e">
        <f>VLOOKUP($B13,capacities!$A$2:$J$2856,G$2,FALSE)</f>
        <v>#N/A</v>
      </c>
      <c r="H13" s="9" t="e">
        <f>VLOOKUP($B13,capacities!$A$2:$J$2856,H$2,FALSE)</f>
        <v>#N/A</v>
      </c>
      <c r="I13" s="9" t="e">
        <f>VLOOKUP($B13,capacities!$A$2:$J$2856,I$2,FALSE)</f>
        <v>#N/A</v>
      </c>
      <c r="J13" s="9" t="e">
        <f>VLOOKUP($B13,capacities!$A$2:$J$2856,J$2,FALSE)</f>
        <v>#N/A</v>
      </c>
      <c r="K13" s="9" t="e">
        <f>VLOOKUP($B13,capacities!$A$2:$J$2856,K$2,FALSE)</f>
        <v>#N/A</v>
      </c>
      <c r="L13" s="9" t="e">
        <f>VLOOKUP($B13,capacities!$A$2:$J$2856,L$2,FALSE)</f>
        <v>#N/A</v>
      </c>
    </row>
    <row r="14" spans="2:12" x14ac:dyDescent="0.3">
      <c r="B14" s="198" t="s">
        <v>223</v>
      </c>
      <c r="C14" s="199" t="s">
        <v>223</v>
      </c>
      <c r="D14" s="199"/>
      <c r="E14" s="9" t="e">
        <f>VLOOKUP($B14,capacities!$A$2:$J$2856,E$2,FALSE)</f>
        <v>#N/A</v>
      </c>
      <c r="F14" s="9" t="e">
        <f>VLOOKUP($B14,capacities!$A$2:$J$2856,F$2,FALSE)</f>
        <v>#N/A</v>
      </c>
      <c r="G14" s="9" t="e">
        <f>VLOOKUP($B14,capacities!$A$2:$J$2856,G$2,FALSE)</f>
        <v>#N/A</v>
      </c>
      <c r="H14" s="9" t="e">
        <f>VLOOKUP($B14,capacities!$A$2:$J$2856,H$2,FALSE)</f>
        <v>#N/A</v>
      </c>
      <c r="I14" s="9" t="e">
        <f>VLOOKUP($B14,capacities!$A$2:$J$2856,I$2,FALSE)</f>
        <v>#N/A</v>
      </c>
      <c r="J14" s="9" t="e">
        <f>VLOOKUP($B14,capacities!$A$2:$J$2856,J$2,FALSE)</f>
        <v>#N/A</v>
      </c>
      <c r="K14" s="9" t="e">
        <f>VLOOKUP($B14,capacities!$A$2:$J$2856,K$2,FALSE)</f>
        <v>#N/A</v>
      </c>
      <c r="L14" s="9" t="e">
        <f>VLOOKUP($B14,capacities!$A$2:$J$2856,L$2,FALSE)</f>
        <v>#N/A</v>
      </c>
    </row>
    <row r="15" spans="2:12" x14ac:dyDescent="0.3">
      <c r="B15" s="198" t="s">
        <v>466</v>
      </c>
      <c r="C15" s="199" t="s">
        <v>466</v>
      </c>
      <c r="D15" s="199"/>
      <c r="E15" s="9" t="e">
        <f>VLOOKUP($B15,capacities!$A$2:$J$2856,E$2,FALSE)</f>
        <v>#N/A</v>
      </c>
      <c r="F15" s="9" t="e">
        <f>VLOOKUP($B15,capacities!$A$2:$J$2856,F$2,FALSE)</f>
        <v>#N/A</v>
      </c>
      <c r="G15" s="9" t="e">
        <f>VLOOKUP($B15,capacities!$A$2:$J$2856,G$2,FALSE)</f>
        <v>#N/A</v>
      </c>
      <c r="H15" s="9" t="e">
        <f>VLOOKUP($B15,capacities!$A$2:$J$2856,H$2,FALSE)</f>
        <v>#N/A</v>
      </c>
      <c r="I15" s="9" t="e">
        <f>VLOOKUP($B15,capacities!$A$2:$J$2856,I$2,FALSE)</f>
        <v>#N/A</v>
      </c>
      <c r="J15" s="9" t="e">
        <f>VLOOKUP($B15,capacities!$A$2:$J$2856,J$2,FALSE)</f>
        <v>#N/A</v>
      </c>
      <c r="K15" s="9" t="e">
        <f>VLOOKUP($B15,capacities!$A$2:$J$2856,K$2,FALSE)</f>
        <v>#N/A</v>
      </c>
      <c r="L15" s="9" t="e">
        <f>VLOOKUP($B15,capacities!$A$2:$J$2856,L$2,FALSE)</f>
        <v>#N/A</v>
      </c>
    </row>
    <row r="16" spans="2:12" ht="14.5" thickBot="1" x14ac:dyDescent="0.35">
      <c r="B16" s="201" t="s">
        <v>518</v>
      </c>
      <c r="C16" s="211" t="s">
        <v>518</v>
      </c>
      <c r="D16" s="211"/>
      <c r="E16" s="9" t="e">
        <f>VLOOKUP($B16,capacities!$A$2:$J$2856,E$2,FALSE)</f>
        <v>#N/A</v>
      </c>
      <c r="F16" s="9" t="e">
        <f>VLOOKUP($B16,capacities!$A$2:$J$2856,F$2,FALSE)</f>
        <v>#N/A</v>
      </c>
      <c r="G16" s="9" t="e">
        <f>VLOOKUP($B16,capacities!$A$2:$J$2856,G$2,FALSE)</f>
        <v>#N/A</v>
      </c>
      <c r="H16" s="9" t="e">
        <f>VLOOKUP($B16,capacities!$A$2:$J$2856,H$2,FALSE)</f>
        <v>#N/A</v>
      </c>
      <c r="I16" s="9" t="e">
        <f>VLOOKUP($B16,capacities!$A$2:$J$2856,I$2,FALSE)</f>
        <v>#N/A</v>
      </c>
      <c r="J16" s="9" t="e">
        <f>VLOOKUP($B16,capacities!$A$2:$J$2856,J$2,FALSE)</f>
        <v>#N/A</v>
      </c>
      <c r="K16" s="9" t="e">
        <f>VLOOKUP($B16,capacities!$A$2:$J$2856,K$2,FALSE)</f>
        <v>#N/A</v>
      </c>
      <c r="L16" s="9" t="e">
        <f>VLOOKUP($B16,capacities!$A$2:$J$2856,L$2,FALSE)</f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/>
  </sheetPr>
  <dimension ref="A2:AG111"/>
  <sheetViews>
    <sheetView zoomScale="70" zoomScaleNormal="70" workbookViewId="0">
      <selection activeCell="V75" sqref="V75"/>
    </sheetView>
  </sheetViews>
  <sheetFormatPr baseColWidth="10" defaultColWidth="11.453125" defaultRowHeight="14.5" x14ac:dyDescent="0.35"/>
  <cols>
    <col min="1" max="1" width="15.54296875" style="190" bestFit="1" customWidth="1"/>
    <col min="2" max="2" width="21.81640625" style="132" bestFit="1" customWidth="1"/>
    <col min="3" max="14" width="11.453125" style="132"/>
    <col min="15" max="15" width="30" style="132" bestFit="1" customWidth="1"/>
    <col min="16" max="24" width="11.453125" style="132"/>
    <col min="25" max="25" width="30" style="190" bestFit="1" customWidth="1"/>
    <col min="26" max="26" width="14.54296875" style="132" bestFit="1" customWidth="1"/>
    <col min="27" max="16384" width="11.453125" style="132"/>
  </cols>
  <sheetData>
    <row r="2" spans="1:33" ht="15" thickBot="1" x14ac:dyDescent="0.4">
      <c r="Y2" s="24" t="s">
        <v>4101</v>
      </c>
      <c r="Z2" s="133"/>
    </row>
    <row r="3" spans="1:33" x14ac:dyDescent="0.35">
      <c r="B3" s="91" t="s">
        <v>1462</v>
      </c>
      <c r="C3" s="89"/>
      <c r="D3" s="89"/>
      <c r="E3" s="89"/>
      <c r="F3" s="89"/>
      <c r="G3" s="89"/>
      <c r="H3" s="89"/>
      <c r="I3" s="89"/>
      <c r="J3" s="89"/>
      <c r="O3" s="91" t="s">
        <v>4085</v>
      </c>
      <c r="P3" s="89">
        <v>2</v>
      </c>
      <c r="Q3" s="89">
        <v>3</v>
      </c>
      <c r="R3" s="89">
        <v>4</v>
      </c>
      <c r="S3" s="89">
        <v>5</v>
      </c>
      <c r="T3" s="89">
        <v>6</v>
      </c>
      <c r="U3" s="89">
        <v>7</v>
      </c>
      <c r="V3" s="89">
        <v>8</v>
      </c>
      <c r="W3" s="90">
        <v>9</v>
      </c>
      <c r="Y3" s="91" t="s">
        <v>3276</v>
      </c>
      <c r="Z3" s="89">
        <v>2</v>
      </c>
      <c r="AA3" s="89">
        <v>3</v>
      </c>
      <c r="AB3" s="89">
        <v>4</v>
      </c>
      <c r="AC3" s="89">
        <v>5</v>
      </c>
      <c r="AD3" s="89">
        <v>6</v>
      </c>
      <c r="AE3" s="89">
        <v>7</v>
      </c>
      <c r="AF3" s="89">
        <v>8</v>
      </c>
      <c r="AG3" s="90">
        <v>9</v>
      </c>
    </row>
    <row r="4" spans="1:33" x14ac:dyDescent="0.35">
      <c r="B4" s="40"/>
      <c r="C4" s="92" t="s">
        <v>23</v>
      </c>
      <c r="D4" s="92">
        <v>2020</v>
      </c>
      <c r="E4" s="92">
        <v>2025</v>
      </c>
      <c r="F4" s="92">
        <v>2030</v>
      </c>
      <c r="G4" s="92">
        <v>2035</v>
      </c>
      <c r="H4" s="92">
        <v>2040</v>
      </c>
      <c r="I4" s="92">
        <v>2045</v>
      </c>
      <c r="J4" s="92" t="s">
        <v>4477</v>
      </c>
      <c r="K4" s="133" t="s">
        <v>4411</v>
      </c>
      <c r="M4" s="900" t="s">
        <v>1631</v>
      </c>
      <c r="N4" s="900" t="s">
        <v>4432</v>
      </c>
      <c r="O4" s="40"/>
      <c r="P4" s="102" t="s">
        <v>1417</v>
      </c>
      <c r="Q4" s="102">
        <v>2020</v>
      </c>
      <c r="R4" s="102">
        <v>2025</v>
      </c>
      <c r="S4" s="102">
        <v>2030</v>
      </c>
      <c r="T4" s="102">
        <v>2035</v>
      </c>
      <c r="U4" s="102">
        <v>2040</v>
      </c>
      <c r="V4" s="102">
        <v>2045</v>
      </c>
      <c r="W4" s="274">
        <v>2050</v>
      </c>
      <c r="Y4" s="40"/>
      <c r="Z4" s="102" t="s">
        <v>1417</v>
      </c>
      <c r="AA4" s="102">
        <v>2020</v>
      </c>
      <c r="AB4" s="102">
        <v>2025</v>
      </c>
      <c r="AC4" s="102">
        <v>2030</v>
      </c>
      <c r="AD4" s="102">
        <v>2035</v>
      </c>
      <c r="AE4" s="102">
        <v>2040</v>
      </c>
      <c r="AF4" s="102">
        <v>2045</v>
      </c>
      <c r="AG4" s="274">
        <v>2050</v>
      </c>
    </row>
    <row r="5" spans="1:33" x14ac:dyDescent="0.35">
      <c r="A5" s="352" t="s">
        <v>1342</v>
      </c>
      <c r="B5" s="40" t="s">
        <v>2264</v>
      </c>
      <c r="C5" s="96" t="e">
        <f>P9</f>
        <v>#N/A</v>
      </c>
      <c r="D5" s="96" t="e">
        <f t="shared" ref="D5:I5" si="0">Q9</f>
        <v>#N/A</v>
      </c>
      <c r="E5" s="96" t="e">
        <f t="shared" si="0"/>
        <v>#N/A</v>
      </c>
      <c r="F5" s="96" t="e">
        <f t="shared" si="0"/>
        <v>#N/A</v>
      </c>
      <c r="G5" s="96" t="e">
        <f t="shared" si="0"/>
        <v>#N/A</v>
      </c>
      <c r="H5" s="96" t="e">
        <f t="shared" si="0"/>
        <v>#N/A</v>
      </c>
      <c r="I5" s="96" t="e">
        <f t="shared" si="0"/>
        <v>#N/A</v>
      </c>
      <c r="J5" s="965">
        <v>0</v>
      </c>
      <c r="K5" s="132">
        <v>0</v>
      </c>
      <c r="L5" s="84">
        <f>J5-K5</f>
        <v>0</v>
      </c>
      <c r="M5" s="84"/>
      <c r="N5" s="900"/>
      <c r="O5" s="40"/>
      <c r="P5" s="92"/>
      <c r="Q5" s="92"/>
      <c r="R5" s="92"/>
      <c r="S5" s="92"/>
      <c r="T5" s="92"/>
      <c r="U5" s="92"/>
      <c r="V5" s="92"/>
      <c r="W5" s="93"/>
      <c r="Y5" s="40"/>
      <c r="Z5" s="92"/>
      <c r="AA5" s="92"/>
      <c r="AB5" s="92"/>
      <c r="AC5" s="92"/>
      <c r="AD5" s="92"/>
      <c r="AE5" s="92"/>
      <c r="AF5" s="92"/>
      <c r="AG5" s="93"/>
    </row>
    <row r="6" spans="1:33" x14ac:dyDescent="0.35">
      <c r="A6" s="352" t="s">
        <v>1343</v>
      </c>
      <c r="B6" s="40" t="s">
        <v>1310</v>
      </c>
      <c r="C6" s="96" t="e">
        <f>P14</f>
        <v>#N/A</v>
      </c>
      <c r="D6" s="96" t="e">
        <f t="shared" ref="D6:I6" si="1">Q14</f>
        <v>#N/A</v>
      </c>
      <c r="E6" s="96" t="e">
        <f t="shared" si="1"/>
        <v>#N/A</v>
      </c>
      <c r="F6" s="96" t="e">
        <f t="shared" si="1"/>
        <v>#N/A</v>
      </c>
      <c r="G6" s="96" t="e">
        <f t="shared" si="1"/>
        <v>#N/A</v>
      </c>
      <c r="H6" s="96" t="e">
        <f t="shared" si="1"/>
        <v>#N/A</v>
      </c>
      <c r="I6" s="96" t="e">
        <f t="shared" si="1"/>
        <v>#N/A</v>
      </c>
      <c r="J6" s="965">
        <v>0</v>
      </c>
      <c r="K6" s="132">
        <v>0</v>
      </c>
      <c r="L6" s="84">
        <f t="shared" ref="L6:L18" si="2">J6-K6</f>
        <v>0</v>
      </c>
      <c r="M6" s="84"/>
      <c r="N6" s="900"/>
      <c r="O6" s="40" t="s">
        <v>207</v>
      </c>
      <c r="P6" s="96">
        <f>IFERROR(VLOOKUP($O6,capacities!$A$2:$J$2352,P$3,FALSE),0)</f>
        <v>0</v>
      </c>
      <c r="Q6" s="96">
        <f>IFERROR(VLOOKUP($O6,capacities!$A$2:$J$2352,Q$3,FALSE),0)</f>
        <v>0</v>
      </c>
      <c r="R6" s="96">
        <f>IFERROR(VLOOKUP($O6,capacities!$A$2:$J$2352,R$3,FALSE),0)</f>
        <v>0</v>
      </c>
      <c r="S6" s="96">
        <f>IFERROR(VLOOKUP($O6,capacities!$A$2:$J$2352,S$3,FALSE),0)</f>
        <v>0</v>
      </c>
      <c r="T6" s="96">
        <f>IFERROR(VLOOKUP($O6,capacities!$A$2:$J$2352,T$3,FALSE),0)</f>
        <v>0</v>
      </c>
      <c r="U6" s="96">
        <f>IFERROR(VLOOKUP($O6,capacities!$A$2:$J$2352,U$3,FALSE),0)</f>
        <v>0</v>
      </c>
      <c r="V6" s="96">
        <f>IFERROR(VLOOKUP($O6,capacities!$A$2:$J$2352,V$3,FALSE),0)</f>
        <v>0</v>
      </c>
      <c r="W6" s="863">
        <f>IFERROR(VLOOKUP($O6,capacities!$A$2:$J$2352,W$3,FALSE),0)</f>
        <v>0</v>
      </c>
      <c r="Y6" s="40" t="s">
        <v>207</v>
      </c>
      <c r="Z6" s="96">
        <f>IFERROR(VLOOKUP($Y6,costs!$A$2:$J$2352,Z$3,FALSE),0)</f>
        <v>0</v>
      </c>
      <c r="AA6" s="96">
        <f>IFERROR(VLOOKUP($Y6,costs!$A$2:$J$2352,AA$3,FALSE),0)</f>
        <v>0</v>
      </c>
      <c r="AB6" s="96">
        <f>IFERROR(VLOOKUP($Y6,costs!$A$2:$J$2352,AB$3,FALSE),0)</f>
        <v>0</v>
      </c>
      <c r="AC6" s="96">
        <f>IFERROR(VLOOKUP($Y6,costs!$A$2:$J$2352,AC$3,FALSE),0)</f>
        <v>0</v>
      </c>
      <c r="AD6" s="96">
        <f>IFERROR(VLOOKUP($Y6,costs!$A$2:$J$2352,AD$3,FALSE),0)</f>
        <v>0</v>
      </c>
      <c r="AE6" s="96">
        <f>IFERROR(VLOOKUP($Y6,costs!$A$2:$J$2352,AE$3,FALSE),0)</f>
        <v>0</v>
      </c>
      <c r="AF6" s="96">
        <f>IFERROR(VLOOKUP($Y6,costs!$A$2:$J$2352,AF$3,FALSE),0)</f>
        <v>0</v>
      </c>
      <c r="AG6" s="96">
        <f>IFERROR(VLOOKUP($Y6,costs!$A$2:$J$2352,AG$3,FALSE),0)</f>
        <v>0</v>
      </c>
    </row>
    <row r="7" spans="1:33" x14ac:dyDescent="0.35">
      <c r="A7" s="352" t="s">
        <v>1936</v>
      </c>
      <c r="B7" s="40" t="s">
        <v>2343</v>
      </c>
      <c r="C7" s="136" t="e">
        <f t="shared" ref="C7:I7" si="3">P84</f>
        <v>#N/A</v>
      </c>
      <c r="D7" s="136" t="e">
        <f t="shared" si="3"/>
        <v>#N/A</v>
      </c>
      <c r="E7" s="136" t="e">
        <f t="shared" si="3"/>
        <v>#N/A</v>
      </c>
      <c r="F7" s="136" t="e">
        <f t="shared" si="3"/>
        <v>#N/A</v>
      </c>
      <c r="G7" s="136" t="e">
        <f t="shared" si="3"/>
        <v>#N/A</v>
      </c>
      <c r="H7" s="136" t="e">
        <f t="shared" si="3"/>
        <v>#N/A</v>
      </c>
      <c r="I7" s="136" t="e">
        <f t="shared" si="3"/>
        <v>#N/A</v>
      </c>
      <c r="J7" s="965">
        <v>0</v>
      </c>
      <c r="K7" s="132">
        <v>0</v>
      </c>
      <c r="L7" s="84">
        <f t="shared" si="2"/>
        <v>0</v>
      </c>
      <c r="M7" s="84"/>
      <c r="N7" s="900"/>
      <c r="O7" s="40" t="s">
        <v>54</v>
      </c>
      <c r="P7" s="96" t="e">
        <f>VLOOKUP($O7,capacities!$A$2:$J$2352,P$3,FALSE)</f>
        <v>#N/A</v>
      </c>
      <c r="Q7" s="96" t="e">
        <f>VLOOKUP($O7,capacities!$A$2:$J$2352,Q$3,FALSE)</f>
        <v>#N/A</v>
      </c>
      <c r="R7" s="96" t="e">
        <f>VLOOKUP($O7,capacities!$A$2:$J$2352,R$3,FALSE)</f>
        <v>#N/A</v>
      </c>
      <c r="S7" s="96" t="e">
        <f>VLOOKUP($O7,capacities!$A$2:$J$2352,S$3,FALSE)</f>
        <v>#N/A</v>
      </c>
      <c r="T7" s="96" t="e">
        <f>VLOOKUP($O7,capacities!$A$2:$J$2352,T$3,FALSE)</f>
        <v>#N/A</v>
      </c>
      <c r="U7" s="96" t="e">
        <f>VLOOKUP($O7,capacities!$A$2:$J$2352,U$3,FALSE)</f>
        <v>#N/A</v>
      </c>
      <c r="V7" s="96" t="e">
        <f>VLOOKUP($O7,capacities!$A$2:$J$2352,V$3,FALSE)</f>
        <v>#N/A</v>
      </c>
      <c r="W7" s="863" t="e">
        <f>VLOOKUP($O7,capacities!$A$2:$J$2352,W$3,FALSE)</f>
        <v>#N/A</v>
      </c>
      <c r="Y7" s="40" t="s">
        <v>54</v>
      </c>
      <c r="Z7" s="96">
        <f>IFERROR(VLOOKUP($Y7,costs!$A$2:$J$2352,Z$3,FALSE),0)</f>
        <v>0</v>
      </c>
      <c r="AA7" s="96">
        <f>IFERROR(VLOOKUP($Y7,costs!$A$2:$J$2352,AA$3,FALSE),0)</f>
        <v>0</v>
      </c>
      <c r="AB7" s="96">
        <f>IFERROR(VLOOKUP($Y7,costs!$A$2:$J$2352,AB$3,FALSE),0)</f>
        <v>0</v>
      </c>
      <c r="AC7" s="96">
        <f>IFERROR(VLOOKUP($Y7,costs!$A$2:$J$2352,AC$3,FALSE),0)</f>
        <v>0</v>
      </c>
      <c r="AD7" s="96">
        <f>IFERROR(VLOOKUP($Y7,costs!$A$2:$J$2352,AD$3,FALSE),0)</f>
        <v>0</v>
      </c>
      <c r="AE7" s="96">
        <f>IFERROR(VLOOKUP($Y7,costs!$A$2:$J$2352,AE$3,FALSE),0)</f>
        <v>0</v>
      </c>
      <c r="AF7" s="96">
        <f>IFERROR(VLOOKUP($Y7,costs!$A$2:$J$2352,AF$3,FALSE),0)</f>
        <v>0</v>
      </c>
      <c r="AG7" s="96">
        <f>IFERROR(VLOOKUP($Y7,costs!$A$2:$J$2352,AG$3,FALSE),0)</f>
        <v>0</v>
      </c>
    </row>
    <row r="8" spans="1:33" x14ac:dyDescent="0.35">
      <c r="A8" s="352" t="s">
        <v>1340</v>
      </c>
      <c r="B8" s="40" t="s">
        <v>1167</v>
      </c>
      <c r="C8" s="136" t="e">
        <f>P24</f>
        <v>#N/A</v>
      </c>
      <c r="D8" s="136" t="e">
        <f t="shared" ref="D8:I9" si="4">Q24</f>
        <v>#N/A</v>
      </c>
      <c r="E8" s="136" t="e">
        <f t="shared" si="4"/>
        <v>#N/A</v>
      </c>
      <c r="F8" s="136" t="e">
        <f t="shared" si="4"/>
        <v>#N/A</v>
      </c>
      <c r="G8" s="136" t="e">
        <f t="shared" si="4"/>
        <v>#N/A</v>
      </c>
      <c r="H8" s="136" t="e">
        <f t="shared" si="4"/>
        <v>#N/A</v>
      </c>
      <c r="I8" s="136" t="e">
        <f t="shared" si="4"/>
        <v>#N/A</v>
      </c>
      <c r="J8" s="965">
        <v>1.7451811154900996E-4</v>
      </c>
      <c r="K8" s="132">
        <v>8.9082124668594736E-4</v>
      </c>
      <c r="L8" s="84">
        <f t="shared" si="2"/>
        <v>-7.163031351369374E-4</v>
      </c>
      <c r="M8" s="84"/>
      <c r="N8" s="900"/>
      <c r="O8" s="40" t="s">
        <v>210</v>
      </c>
      <c r="P8" s="96" t="e">
        <f>VLOOKUP($O8,capacities!$A$2:$J$2352,P$3,FALSE)</f>
        <v>#N/A</v>
      </c>
      <c r="Q8" s="96" t="e">
        <f>VLOOKUP($O8,capacities!$A$2:$J$2352,Q$3,FALSE)</f>
        <v>#N/A</v>
      </c>
      <c r="R8" s="96" t="e">
        <f>VLOOKUP($O8,capacities!$A$2:$J$2352,R$3,FALSE)</f>
        <v>#N/A</v>
      </c>
      <c r="S8" s="96" t="e">
        <f>VLOOKUP($O8,capacities!$A$2:$J$2352,S$3,FALSE)</f>
        <v>#N/A</v>
      </c>
      <c r="T8" s="96" t="e">
        <f>VLOOKUP($O8,capacities!$A$2:$J$2352,T$3,FALSE)</f>
        <v>#N/A</v>
      </c>
      <c r="U8" s="96" t="e">
        <f>VLOOKUP($O8,capacities!$A$2:$J$2352,U$3,FALSE)</f>
        <v>#N/A</v>
      </c>
      <c r="V8" s="96" t="e">
        <f>VLOOKUP($O8,capacities!$A$2:$J$2352,V$3,FALSE)</f>
        <v>#N/A</v>
      </c>
      <c r="W8" s="863" t="e">
        <f>VLOOKUP($O8,capacities!$A$2:$J$2352,W$3,FALSE)</f>
        <v>#N/A</v>
      </c>
      <c r="Y8" s="40" t="s">
        <v>210</v>
      </c>
      <c r="Z8" s="96">
        <f>IFERROR(VLOOKUP($Y8,costs!$A$2:$J$2352,Z$3,FALSE),0)</f>
        <v>0</v>
      </c>
      <c r="AA8" s="96">
        <f>IFERROR(VLOOKUP($Y8,costs!$A$2:$J$2352,AA$3,FALSE),0)</f>
        <v>0</v>
      </c>
      <c r="AB8" s="96">
        <f>IFERROR(VLOOKUP($Y8,costs!$A$2:$J$2352,AB$3,FALSE),0)</f>
        <v>0</v>
      </c>
      <c r="AC8" s="96">
        <f>IFERROR(VLOOKUP($Y8,costs!$A$2:$J$2352,AC$3,FALSE),0)</f>
        <v>0</v>
      </c>
      <c r="AD8" s="96">
        <f>IFERROR(VLOOKUP($Y8,costs!$A$2:$J$2352,AD$3,FALSE),0)</f>
        <v>0</v>
      </c>
      <c r="AE8" s="96">
        <f>IFERROR(VLOOKUP($Y8,costs!$A$2:$J$2352,AE$3,FALSE),0)</f>
        <v>0</v>
      </c>
      <c r="AF8" s="96">
        <f>IFERROR(VLOOKUP($Y8,costs!$A$2:$J$2352,AF$3,FALSE),0)</f>
        <v>0</v>
      </c>
      <c r="AG8" s="96">
        <f>IFERROR(VLOOKUP($Y8,costs!$A$2:$J$2352,AG$3,FALSE),0)</f>
        <v>0</v>
      </c>
    </row>
    <row r="9" spans="1:33" x14ac:dyDescent="0.35">
      <c r="A9" s="862" t="s">
        <v>4218</v>
      </c>
      <c r="B9" s="40" t="s">
        <v>4219</v>
      </c>
      <c r="C9" s="136" t="e">
        <f>P25</f>
        <v>#N/A</v>
      </c>
      <c r="D9" s="136" t="e">
        <f t="shared" si="4"/>
        <v>#N/A</v>
      </c>
      <c r="E9" s="136" t="e">
        <f t="shared" si="4"/>
        <v>#N/A</v>
      </c>
      <c r="F9" s="136" t="e">
        <f t="shared" si="4"/>
        <v>#N/A</v>
      </c>
      <c r="G9" s="136" t="e">
        <f t="shared" si="4"/>
        <v>#N/A</v>
      </c>
      <c r="H9" s="136" t="e">
        <f t="shared" si="4"/>
        <v>#N/A</v>
      </c>
      <c r="I9" s="967" t="e">
        <f t="shared" si="4"/>
        <v>#N/A</v>
      </c>
      <c r="J9" s="967">
        <v>54.648759710330779</v>
      </c>
      <c r="K9" s="862">
        <v>34.017144044142512</v>
      </c>
      <c r="L9" s="84"/>
      <c r="M9" s="84"/>
      <c r="N9" s="900"/>
      <c r="O9" s="99" t="s">
        <v>1206</v>
      </c>
      <c r="P9" s="96" t="e">
        <f>SUM(P6:P8)</f>
        <v>#N/A</v>
      </c>
      <c r="Q9" s="96" t="e">
        <f t="shared" ref="Q9:W9" si="5">SUM(Q6:Q8)</f>
        <v>#N/A</v>
      </c>
      <c r="R9" s="96" t="e">
        <f t="shared" si="5"/>
        <v>#N/A</v>
      </c>
      <c r="S9" s="96" t="e">
        <f t="shared" si="5"/>
        <v>#N/A</v>
      </c>
      <c r="T9" s="96" t="e">
        <f t="shared" si="5"/>
        <v>#N/A</v>
      </c>
      <c r="U9" s="96" t="e">
        <f t="shared" si="5"/>
        <v>#N/A</v>
      </c>
      <c r="V9" s="96" t="e">
        <f t="shared" si="5"/>
        <v>#N/A</v>
      </c>
      <c r="W9" s="863" t="e">
        <f t="shared" si="5"/>
        <v>#N/A</v>
      </c>
      <c r="Y9" s="865" t="s">
        <v>653</v>
      </c>
      <c r="Z9" s="866">
        <f>IFERROR(VLOOKUP($Y9,flows!$A$2:$J$2352,Z$3,FALSE),0)</f>
        <v>0</v>
      </c>
      <c r="AA9" s="866">
        <f>IFERROR(VLOOKUP($Y9,flows!$A$2:$J$2352,AA$3,FALSE),0)</f>
        <v>0</v>
      </c>
      <c r="AB9" s="866">
        <f>IFERROR(VLOOKUP($Y9,flows!$A$2:$J$2352,AB$3,FALSE),0)</f>
        <v>0</v>
      </c>
      <c r="AC9" s="866">
        <f>IFERROR(VLOOKUP($Y9,flows!$A$2:$J$2352,AC$3,FALSE),0)</f>
        <v>0</v>
      </c>
      <c r="AD9" s="866">
        <f>IFERROR(VLOOKUP($Y9,flows!$A$2:$J$2352,AD$3,FALSE),0)</f>
        <v>0</v>
      </c>
      <c r="AE9" s="866">
        <f>IFERROR(VLOOKUP($Y9,flows!$A$2:$J$2352,AE$3,FALSE),0)</f>
        <v>0</v>
      </c>
      <c r="AF9" s="866">
        <f>IFERROR(VLOOKUP($Y9,flows!$A$2:$J$2352,AF$3,FALSE),0)</f>
        <v>0</v>
      </c>
      <c r="AG9" s="866">
        <f>IFERROR(VLOOKUP($Y9,flows!$A$2:$J$2352,AG$3,FALSE),0)</f>
        <v>0</v>
      </c>
    </row>
    <row r="10" spans="1:33" x14ac:dyDescent="0.35">
      <c r="A10" s="352" t="s">
        <v>1884</v>
      </c>
      <c r="B10" s="40" t="s">
        <v>2326</v>
      </c>
      <c r="C10" s="136" t="e">
        <f t="shared" ref="C10:I10" si="6">P83</f>
        <v>#N/A</v>
      </c>
      <c r="D10" s="136" t="e">
        <f t="shared" si="6"/>
        <v>#N/A</v>
      </c>
      <c r="E10" s="136" t="e">
        <f t="shared" si="6"/>
        <v>#N/A</v>
      </c>
      <c r="F10" s="136" t="e">
        <f t="shared" si="6"/>
        <v>#N/A</v>
      </c>
      <c r="G10" s="136" t="e">
        <f t="shared" si="6"/>
        <v>#N/A</v>
      </c>
      <c r="H10" s="136" t="e">
        <f t="shared" si="6"/>
        <v>#N/A</v>
      </c>
      <c r="I10" s="136" t="e">
        <f t="shared" si="6"/>
        <v>#N/A</v>
      </c>
      <c r="J10" s="965">
        <v>2.3908005195254239E-4</v>
      </c>
      <c r="K10" s="132">
        <v>6.2000427038179104E-3</v>
      </c>
      <c r="L10" s="84">
        <f t="shared" si="2"/>
        <v>-5.9609626518653683E-3</v>
      </c>
      <c r="M10" s="84"/>
      <c r="N10" s="900"/>
      <c r="O10" s="40"/>
      <c r="P10" s="92"/>
      <c r="Q10" s="92"/>
      <c r="R10" s="92"/>
      <c r="S10" s="92"/>
      <c r="T10" s="92"/>
      <c r="U10" s="92"/>
      <c r="V10" s="92"/>
      <c r="W10" s="93"/>
      <c r="Y10" s="867" t="s">
        <v>645</v>
      </c>
      <c r="Z10" s="866">
        <f>IFERROR(VLOOKUP($Y10,flows!$A$2:$J$2352,Z$3,FALSE),0)</f>
        <v>0</v>
      </c>
      <c r="AA10" s="866">
        <f>IFERROR(VLOOKUP($Y10,flows!$A$2:$J$2352,AA$3,FALSE),0)</f>
        <v>0</v>
      </c>
      <c r="AB10" s="866">
        <f>IFERROR(VLOOKUP($Y10,flows!$A$2:$J$2352,AB$3,FALSE),0)</f>
        <v>0</v>
      </c>
      <c r="AC10" s="866">
        <f>IFERROR(VLOOKUP($Y10,flows!$A$2:$J$2352,AC$3,FALSE),0)</f>
        <v>0</v>
      </c>
      <c r="AD10" s="866">
        <f>IFERROR(VLOOKUP($Y10,flows!$A$2:$J$2352,AD$3,FALSE),0)</f>
        <v>0</v>
      </c>
      <c r="AE10" s="866">
        <f>IFERROR(VLOOKUP($Y10,flows!$A$2:$J$2352,AE$3,FALSE),0)</f>
        <v>0</v>
      </c>
      <c r="AF10" s="866">
        <f>IFERROR(VLOOKUP($Y10,flows!$A$2:$J$2352,AF$3,FALSE),0)</f>
        <v>0</v>
      </c>
      <c r="AG10" s="866">
        <f>IFERROR(VLOOKUP($Y10,flows!$A$2:$J$2352,AG$3,FALSE),0)</f>
        <v>0</v>
      </c>
    </row>
    <row r="11" spans="1:33" x14ac:dyDescent="0.35">
      <c r="A11" s="118" t="s">
        <v>2344</v>
      </c>
      <c r="B11" s="899" t="s">
        <v>2345</v>
      </c>
      <c r="C11" s="894" t="e">
        <f t="shared" ref="C11:I11" si="7">P43</f>
        <v>#N/A</v>
      </c>
      <c r="D11" s="894" t="e">
        <f t="shared" si="7"/>
        <v>#N/A</v>
      </c>
      <c r="E11" s="894" t="e">
        <f t="shared" si="7"/>
        <v>#N/A</v>
      </c>
      <c r="F11" s="894" t="e">
        <f t="shared" si="7"/>
        <v>#N/A</v>
      </c>
      <c r="G11" s="894" t="e">
        <f t="shared" si="7"/>
        <v>#N/A</v>
      </c>
      <c r="H11" s="894" t="e">
        <f t="shared" si="7"/>
        <v>#N/A</v>
      </c>
      <c r="I11" s="967" t="e">
        <f t="shared" si="7"/>
        <v>#N/A</v>
      </c>
      <c r="J11" s="967">
        <v>175.60571889805138</v>
      </c>
      <c r="K11" s="132">
        <v>145.97542852196273</v>
      </c>
      <c r="L11" s="84">
        <f t="shared" si="2"/>
        <v>29.630290376088652</v>
      </c>
      <c r="M11" s="895">
        <v>454.65744712104055</v>
      </c>
      <c r="N11" s="941" t="e">
        <f>I11/M11</f>
        <v>#N/A</v>
      </c>
      <c r="O11" s="40" t="s">
        <v>361</v>
      </c>
      <c r="P11" s="96">
        <f>IFERROR(VLOOKUP($O11,capacities!$A$2:$J$2352,P$3,FALSE),0)</f>
        <v>0</v>
      </c>
      <c r="Q11" s="96">
        <f>IFERROR(VLOOKUP($O11,capacities!$A$2:$J$2352,Q$3,FALSE),0)</f>
        <v>0</v>
      </c>
      <c r="R11" s="96">
        <f>IFERROR(VLOOKUP($O11,capacities!$A$2:$J$2352,R$3,FALSE),0)</f>
        <v>0</v>
      </c>
      <c r="S11" s="96">
        <f>IFERROR(VLOOKUP($O11,capacities!$A$2:$J$2352,S$3,FALSE),0)</f>
        <v>0</v>
      </c>
      <c r="T11" s="96">
        <f>IFERROR(VLOOKUP($O11,capacities!$A$2:$J$2352,T$3,FALSE),0)</f>
        <v>0</v>
      </c>
      <c r="U11" s="96">
        <f>IFERROR(VLOOKUP($O11,capacities!$A$2:$J$2352,U$3,FALSE),0)</f>
        <v>0</v>
      </c>
      <c r="V11" s="96">
        <f>IFERROR(VLOOKUP($O11,capacities!$A$2:$J$2352,V$3,FALSE),0)</f>
        <v>0</v>
      </c>
      <c r="W11" s="863">
        <f>IFERROR(VLOOKUP($O11,capacities!$A$2:$J$2352,W$3,FALSE),0)</f>
        <v>0</v>
      </c>
      <c r="Y11" s="867" t="s">
        <v>646</v>
      </c>
      <c r="Z11" s="866">
        <f>IFERROR(VLOOKUP($Y11,flows!$A$2:$J$2352,Z$3,FALSE),0)</f>
        <v>0</v>
      </c>
      <c r="AA11" s="866">
        <f>IFERROR(VLOOKUP($Y11,flows!$A$2:$J$2352,AA$3,FALSE),0)</f>
        <v>0</v>
      </c>
      <c r="AB11" s="866">
        <f>IFERROR(VLOOKUP($Y11,flows!$A$2:$J$2352,AB$3,FALSE),0)</f>
        <v>0</v>
      </c>
      <c r="AC11" s="866">
        <f>IFERROR(VLOOKUP($Y11,flows!$A$2:$J$2352,AC$3,FALSE),0)</f>
        <v>0</v>
      </c>
      <c r="AD11" s="866">
        <f>IFERROR(VLOOKUP($Y11,flows!$A$2:$J$2352,AD$3,FALSE),0)</f>
        <v>0</v>
      </c>
      <c r="AE11" s="866">
        <f>IFERROR(VLOOKUP($Y11,flows!$A$2:$J$2352,AE$3,FALSE),0)</f>
        <v>0</v>
      </c>
      <c r="AF11" s="866">
        <f>IFERROR(VLOOKUP($Y11,flows!$A$2:$J$2352,AF$3,FALSE),0)</f>
        <v>0</v>
      </c>
      <c r="AG11" s="866">
        <f>IFERROR(VLOOKUP($Y11,flows!$A$2:$J$2352,AG$3,FALSE),0)</f>
        <v>0</v>
      </c>
    </row>
    <row r="12" spans="1:33" x14ac:dyDescent="0.35">
      <c r="A12" s="118" t="s">
        <v>1944</v>
      </c>
      <c r="B12" s="899" t="s">
        <v>2346</v>
      </c>
      <c r="C12" s="894" t="e">
        <f t="shared" ref="C12:I12" si="8">P34</f>
        <v>#N/A</v>
      </c>
      <c r="D12" s="894" t="e">
        <f t="shared" si="8"/>
        <v>#N/A</v>
      </c>
      <c r="E12" s="894" t="e">
        <f t="shared" si="8"/>
        <v>#N/A</v>
      </c>
      <c r="F12" s="894" t="e">
        <f t="shared" si="8"/>
        <v>#N/A</v>
      </c>
      <c r="G12" s="894" t="e">
        <f t="shared" si="8"/>
        <v>#N/A</v>
      </c>
      <c r="H12" s="894" t="e">
        <f t="shared" si="8"/>
        <v>#N/A</v>
      </c>
      <c r="I12" s="894" t="e">
        <f t="shared" si="8"/>
        <v>#N/A</v>
      </c>
      <c r="J12" s="965">
        <v>245.89998925834772</v>
      </c>
      <c r="K12" s="132">
        <v>245.89897114375063</v>
      </c>
      <c r="L12" s="84">
        <f t="shared" si="2"/>
        <v>1.0181145970875605E-3</v>
      </c>
      <c r="M12" s="895">
        <v>245.9</v>
      </c>
      <c r="N12" s="941" t="e">
        <f t="shared" ref="N12:N14" si="9">I12/M12</f>
        <v>#N/A</v>
      </c>
      <c r="O12" s="40" t="s">
        <v>57</v>
      </c>
      <c r="P12" s="96" t="e">
        <f>VLOOKUP($O12,capacities!$A$2:$J$2352,P$3,FALSE)</f>
        <v>#N/A</v>
      </c>
      <c r="Q12" s="96" t="e">
        <f>VLOOKUP($O12,capacities!$A$2:$J$2352,Q$3,FALSE)</f>
        <v>#N/A</v>
      </c>
      <c r="R12" s="96" t="e">
        <f>VLOOKUP($O12,capacities!$A$2:$J$2352,R$3,FALSE)</f>
        <v>#N/A</v>
      </c>
      <c r="S12" s="96" t="e">
        <f>VLOOKUP($O12,capacities!$A$2:$J$2352,S$3,FALSE)</f>
        <v>#N/A</v>
      </c>
      <c r="T12" s="96" t="e">
        <f>VLOOKUP($O12,capacities!$A$2:$J$2352,T$3,FALSE)</f>
        <v>#N/A</v>
      </c>
      <c r="U12" s="96" t="e">
        <f>VLOOKUP($O12,capacities!$A$2:$J$2352,U$3,FALSE)</f>
        <v>#N/A</v>
      </c>
      <c r="V12" s="96" t="e">
        <f>VLOOKUP($O12,capacities!$A$2:$J$2352,V$3,FALSE)</f>
        <v>#N/A</v>
      </c>
      <c r="W12" s="863" t="e">
        <f>VLOOKUP($O12,capacities!$A$2:$J$2352,W$3,FALSE)</f>
        <v>#N/A</v>
      </c>
      <c r="Y12" s="867" t="s">
        <v>649</v>
      </c>
      <c r="Z12" s="866">
        <f>IFERROR(VLOOKUP($Y12,flows!$A$2:$J$2352,Z$3,FALSE),0)</f>
        <v>0</v>
      </c>
      <c r="AA12" s="866">
        <f>IFERROR(VLOOKUP($Y12,flows!$A$2:$J$2352,AA$3,FALSE),0)</f>
        <v>0</v>
      </c>
      <c r="AB12" s="866">
        <f>IFERROR(VLOOKUP($Y12,flows!$A$2:$J$2352,AB$3,FALSE),0)</f>
        <v>0</v>
      </c>
      <c r="AC12" s="866">
        <f>IFERROR(VLOOKUP($Y12,flows!$A$2:$J$2352,AC$3,FALSE),0)</f>
        <v>0</v>
      </c>
      <c r="AD12" s="866">
        <f>IFERROR(VLOOKUP($Y12,flows!$A$2:$J$2352,AD$3,FALSE),0)</f>
        <v>0</v>
      </c>
      <c r="AE12" s="866">
        <f>IFERROR(VLOOKUP($Y12,flows!$A$2:$J$2352,AE$3,FALSE),0)</f>
        <v>0</v>
      </c>
      <c r="AF12" s="866">
        <f>IFERROR(VLOOKUP($Y12,flows!$A$2:$J$2352,AF$3,FALSE),0)</f>
        <v>0</v>
      </c>
      <c r="AG12" s="866">
        <f>IFERROR(VLOOKUP($Y12,flows!$A$2:$J$2352,AG$3,FALSE),0)</f>
        <v>0</v>
      </c>
    </row>
    <row r="13" spans="1:33" x14ac:dyDescent="0.35">
      <c r="A13" s="898" t="s">
        <v>1654</v>
      </c>
      <c r="B13" s="902" t="s">
        <v>2347</v>
      </c>
      <c r="C13" s="896" t="e">
        <f t="shared" ref="C13:I13" si="10">P56</f>
        <v>#N/A</v>
      </c>
      <c r="D13" s="896" t="e">
        <f t="shared" si="10"/>
        <v>#N/A</v>
      </c>
      <c r="E13" s="896" t="e">
        <f t="shared" si="10"/>
        <v>#N/A</v>
      </c>
      <c r="F13" s="896" t="e">
        <f t="shared" si="10"/>
        <v>#N/A</v>
      </c>
      <c r="G13" s="896" t="e">
        <f t="shared" si="10"/>
        <v>#N/A</v>
      </c>
      <c r="H13" s="896" t="e">
        <f t="shared" si="10"/>
        <v>#N/A</v>
      </c>
      <c r="I13" s="967" t="e">
        <f t="shared" si="10"/>
        <v>#N/A</v>
      </c>
      <c r="J13" s="967">
        <v>127.63553445401585</v>
      </c>
      <c r="K13" s="132">
        <v>91.538253207350692</v>
      </c>
      <c r="L13" s="84">
        <f>J13-K13</f>
        <v>36.097281246665162</v>
      </c>
      <c r="M13" s="897">
        <v>377.1</v>
      </c>
      <c r="N13" s="941" t="e">
        <f t="shared" si="9"/>
        <v>#N/A</v>
      </c>
      <c r="O13" s="40" t="s">
        <v>362</v>
      </c>
      <c r="P13" s="96" t="e">
        <f>VLOOKUP($O13,capacities!$A$2:$J$2352,P$3,FALSE)</f>
        <v>#N/A</v>
      </c>
      <c r="Q13" s="96" t="e">
        <f>VLOOKUP($O13,capacities!$A$2:$J$2352,Q$3,FALSE)</f>
        <v>#N/A</v>
      </c>
      <c r="R13" s="96" t="e">
        <f>VLOOKUP($O13,capacities!$A$2:$J$2352,R$3,FALSE)</f>
        <v>#N/A</v>
      </c>
      <c r="S13" s="96" t="e">
        <f>VLOOKUP($O13,capacities!$A$2:$J$2352,S$3,FALSE)</f>
        <v>#N/A</v>
      </c>
      <c r="T13" s="96" t="e">
        <f>VLOOKUP($O13,capacities!$A$2:$J$2352,T$3,FALSE)</f>
        <v>#N/A</v>
      </c>
      <c r="U13" s="96" t="e">
        <f>VLOOKUP($O13,capacities!$A$2:$J$2352,U$3,FALSE)</f>
        <v>#N/A</v>
      </c>
      <c r="V13" s="96" t="e">
        <f>VLOOKUP($O13,capacities!$A$2:$J$2352,V$3,FALSE)</f>
        <v>#N/A</v>
      </c>
      <c r="W13" s="863" t="e">
        <f>VLOOKUP($O13,capacities!$A$2:$J$2352,W$3,FALSE)</f>
        <v>#N/A</v>
      </c>
      <c r="Y13" s="865" t="s">
        <v>4086</v>
      </c>
      <c r="Z13" s="868">
        <f>IF(Z9=0,0,SUM(Z10:Z12)/Z9)</f>
        <v>0</v>
      </c>
      <c r="AA13" s="868">
        <f t="shared" ref="AA13" si="11">IF(AA9=0,0,SUM(AA10:AA12)/AA9)</f>
        <v>0</v>
      </c>
      <c r="AB13" s="868">
        <f t="shared" ref="AB13" si="12">IF(AB9=0,0,SUM(AB10:AB12)/AB9)</f>
        <v>0</v>
      </c>
      <c r="AC13" s="868">
        <f t="shared" ref="AC13" si="13">IF(AC9=0,0,SUM(AC10:AC12)/AC9)</f>
        <v>0</v>
      </c>
      <c r="AD13" s="868">
        <f t="shared" ref="AD13" si="14">IF(AD9=0,0,SUM(AD10:AD12)/AD9)</f>
        <v>0</v>
      </c>
      <c r="AE13" s="868">
        <f t="shared" ref="AE13" si="15">IF(AE9=0,0,SUM(AE10:AE12)/AE9)</f>
        <v>0</v>
      </c>
      <c r="AF13" s="868">
        <f t="shared" ref="AF13" si="16">IF(AF9=0,0,SUM(AF10:AF12)/AF9)</f>
        <v>0</v>
      </c>
      <c r="AG13" s="868">
        <f t="shared" ref="AG13" si="17">IF(AG9=0,0,SUM(AG10:AG12)/AG9)</f>
        <v>0</v>
      </c>
    </row>
    <row r="14" spans="1:33" x14ac:dyDescent="0.35">
      <c r="A14" s="898" t="s">
        <v>1655</v>
      </c>
      <c r="B14" s="902" t="s">
        <v>2348</v>
      </c>
      <c r="C14" s="896" t="e">
        <f t="shared" ref="C14:I14" si="18">P47</f>
        <v>#N/A</v>
      </c>
      <c r="D14" s="896" t="e">
        <f t="shared" si="18"/>
        <v>#N/A</v>
      </c>
      <c r="E14" s="896" t="e">
        <f t="shared" si="18"/>
        <v>#N/A</v>
      </c>
      <c r="F14" s="896" t="e">
        <f t="shared" si="18"/>
        <v>#N/A</v>
      </c>
      <c r="G14" s="896" t="e">
        <f t="shared" si="18"/>
        <v>#N/A</v>
      </c>
      <c r="H14" s="896" t="e">
        <f t="shared" si="18"/>
        <v>#N/A</v>
      </c>
      <c r="I14" s="967" t="e">
        <f t="shared" si="18"/>
        <v>#N/A</v>
      </c>
      <c r="J14" s="967">
        <v>54.010862087939188</v>
      </c>
      <c r="K14" s="132">
        <v>58.8252793406335</v>
      </c>
      <c r="L14" s="84">
        <f t="shared" si="2"/>
        <v>-4.8144172526943123</v>
      </c>
      <c r="M14" s="897">
        <f>76.5+5.7</f>
        <v>82.2</v>
      </c>
      <c r="N14" s="941" t="e">
        <f t="shared" si="9"/>
        <v>#N/A</v>
      </c>
      <c r="O14" s="99" t="s">
        <v>1310</v>
      </c>
      <c r="P14" s="96" t="e">
        <f>SUM(P11:P13)</f>
        <v>#N/A</v>
      </c>
      <c r="Q14" s="96" t="e">
        <f t="shared" ref="Q14:W14" si="19">SUM(Q11:Q13)</f>
        <v>#N/A</v>
      </c>
      <c r="R14" s="96" t="e">
        <f t="shared" si="19"/>
        <v>#N/A</v>
      </c>
      <c r="S14" s="96" t="e">
        <f t="shared" si="19"/>
        <v>#N/A</v>
      </c>
      <c r="T14" s="96" t="e">
        <f t="shared" si="19"/>
        <v>#N/A</v>
      </c>
      <c r="U14" s="96" t="e">
        <f t="shared" si="19"/>
        <v>#N/A</v>
      </c>
      <c r="V14" s="96" t="e">
        <f t="shared" si="19"/>
        <v>#N/A</v>
      </c>
      <c r="W14" s="863" t="e">
        <f t="shared" si="19"/>
        <v>#N/A</v>
      </c>
      <c r="Y14" s="867" t="s">
        <v>211</v>
      </c>
      <c r="Z14" s="866">
        <f>IFERROR(VLOOKUP($Y14,costs!$A$2:$J$2352,Z$3,FALSE),0)</f>
        <v>0</v>
      </c>
      <c r="AA14" s="866">
        <f>IFERROR(VLOOKUP($Y14,costs!$A$2:$J$2352,AA$3,FALSE),0)</f>
        <v>0</v>
      </c>
      <c r="AB14" s="866">
        <f>IFERROR(VLOOKUP($Y14,costs!$A$2:$J$2352,AB$3,FALSE),0)</f>
        <v>0</v>
      </c>
      <c r="AC14" s="866">
        <f>IFERROR(VLOOKUP($Y14,costs!$A$2:$J$2352,AC$3,FALSE),0)</f>
        <v>0</v>
      </c>
      <c r="AD14" s="866">
        <f>IFERROR(VLOOKUP($Y14,costs!$A$2:$J$2352,AD$3,FALSE),0)</f>
        <v>0</v>
      </c>
      <c r="AE14" s="866">
        <f>IFERROR(VLOOKUP($Y14,costs!$A$2:$J$2352,AE$3,FALSE),0)</f>
        <v>0</v>
      </c>
      <c r="AF14" s="866">
        <f>IFERROR(VLOOKUP($Y14,costs!$A$2:$J$2352,AF$3,FALSE),0)</f>
        <v>0</v>
      </c>
      <c r="AG14" s="866">
        <f>IFERROR(VLOOKUP($Y14,costs!$A$2:$J$2352,AG$3,FALSE),0)</f>
        <v>0</v>
      </c>
    </row>
    <row r="15" spans="1:33" x14ac:dyDescent="0.35">
      <c r="A15" s="352" t="s">
        <v>1523</v>
      </c>
      <c r="B15" s="40" t="s">
        <v>2349</v>
      </c>
      <c r="C15" s="96" t="e">
        <f t="shared" ref="C15:I15" si="20">P82</f>
        <v>#N/A</v>
      </c>
      <c r="D15" s="96" t="e">
        <f t="shared" si="20"/>
        <v>#N/A</v>
      </c>
      <c r="E15" s="96" t="e">
        <f t="shared" si="20"/>
        <v>#N/A</v>
      </c>
      <c r="F15" s="96" t="e">
        <f t="shared" si="20"/>
        <v>#N/A</v>
      </c>
      <c r="G15" s="96" t="e">
        <f t="shared" si="20"/>
        <v>#N/A</v>
      </c>
      <c r="H15" s="96" t="e">
        <f t="shared" si="20"/>
        <v>#N/A</v>
      </c>
      <c r="I15" s="96" t="e">
        <f t="shared" si="20"/>
        <v>#N/A</v>
      </c>
      <c r="J15" s="965">
        <v>3.270219724950048</v>
      </c>
      <c r="K15" s="132">
        <v>3.104210765134491</v>
      </c>
      <c r="L15" s="84">
        <f t="shared" si="2"/>
        <v>0.16600895981555697</v>
      </c>
      <c r="M15" s="84"/>
      <c r="N15" s="900"/>
      <c r="O15" s="40"/>
      <c r="P15" s="92"/>
      <c r="Q15" s="92"/>
      <c r="R15" s="92"/>
      <c r="S15" s="92"/>
      <c r="T15" s="92"/>
      <c r="U15" s="92"/>
      <c r="V15" s="92"/>
      <c r="W15" s="93"/>
      <c r="Y15" s="869" t="s">
        <v>4087</v>
      </c>
      <c r="Z15" s="870">
        <f>SUM(Z6:Z8)+(Z14*Z13)</f>
        <v>0</v>
      </c>
      <c r="AA15" s="870">
        <f>SUM(AA6:AA8)+(AA14*AA13)</f>
        <v>0</v>
      </c>
      <c r="AB15" s="870">
        <f t="shared" ref="AB15:AG15" si="21">SUM(AB6:AB8)+(AB14*AB13)</f>
        <v>0</v>
      </c>
      <c r="AC15" s="870">
        <f t="shared" si="21"/>
        <v>0</v>
      </c>
      <c r="AD15" s="870">
        <f t="shared" si="21"/>
        <v>0</v>
      </c>
      <c r="AE15" s="870">
        <f t="shared" si="21"/>
        <v>0</v>
      </c>
      <c r="AF15" s="870">
        <f t="shared" si="21"/>
        <v>0</v>
      </c>
      <c r="AG15" s="870">
        <f t="shared" si="21"/>
        <v>0</v>
      </c>
    </row>
    <row r="16" spans="1:33" x14ac:dyDescent="0.35">
      <c r="A16" s="352" t="s">
        <v>1885</v>
      </c>
      <c r="B16" s="40" t="s">
        <v>1209</v>
      </c>
      <c r="C16" s="96" t="e">
        <f>P67</f>
        <v>#N/A</v>
      </c>
      <c r="D16" s="96" t="e">
        <f t="shared" ref="D16:I16" si="22">Q67</f>
        <v>#N/A</v>
      </c>
      <c r="E16" s="96" t="e">
        <f t="shared" si="22"/>
        <v>#N/A</v>
      </c>
      <c r="F16" s="96" t="e">
        <f t="shared" si="22"/>
        <v>#N/A</v>
      </c>
      <c r="G16" s="96" t="e">
        <f t="shared" si="22"/>
        <v>#N/A</v>
      </c>
      <c r="H16" s="96" t="e">
        <f t="shared" si="22"/>
        <v>#N/A</v>
      </c>
      <c r="I16" s="967" t="e">
        <f t="shared" si="22"/>
        <v>#N/A</v>
      </c>
      <c r="J16" s="967">
        <v>17.257626629640839</v>
      </c>
      <c r="K16" s="132">
        <v>14.530543146947515</v>
      </c>
      <c r="L16" s="84">
        <f t="shared" si="2"/>
        <v>2.7270834826933239</v>
      </c>
      <c r="M16" s="84"/>
      <c r="N16" s="900"/>
      <c r="O16" s="40" t="s">
        <v>285</v>
      </c>
      <c r="P16" s="96" t="e">
        <f>VLOOKUP($O16,capacities!$A$2:$J$2352,P$3,FALSE)</f>
        <v>#N/A</v>
      </c>
      <c r="Q16" s="96" t="e">
        <f>VLOOKUP($O16,capacities!$A$2:$J$2352,Q$3,FALSE)</f>
        <v>#N/A</v>
      </c>
      <c r="R16" s="96" t="e">
        <f>VLOOKUP($O16,capacities!$A$2:$J$2352,R$3,FALSE)</f>
        <v>#N/A</v>
      </c>
      <c r="S16" s="96" t="e">
        <f>VLOOKUP($O16,capacities!$A$2:$J$2352,S$3,FALSE)</f>
        <v>#N/A</v>
      </c>
      <c r="T16" s="96" t="e">
        <f>VLOOKUP($O16,capacities!$A$2:$J$2352,T$3,FALSE)</f>
        <v>#N/A</v>
      </c>
      <c r="U16" s="96" t="e">
        <f>VLOOKUP($O16,capacities!$A$2:$J$2352,U$3,FALSE)</f>
        <v>#N/A</v>
      </c>
      <c r="V16" s="96" t="e">
        <f>VLOOKUP($O16,capacities!$A$2:$J$2352,V$3,FALSE)</f>
        <v>#N/A</v>
      </c>
      <c r="W16" s="863" t="e">
        <f>VLOOKUP($O16,capacities!$A$2:$J$2352,W$3,FALSE)</f>
        <v>#N/A</v>
      </c>
      <c r="Y16" s="40"/>
      <c r="Z16" s="96"/>
      <c r="AA16" s="96"/>
      <c r="AB16" s="96"/>
      <c r="AC16" s="96"/>
      <c r="AD16" s="96"/>
      <c r="AE16" s="96"/>
      <c r="AF16" s="96"/>
      <c r="AG16" s="96"/>
    </row>
    <row r="17" spans="1:33" x14ac:dyDescent="0.35">
      <c r="A17" s="352" t="s">
        <v>1816</v>
      </c>
      <c r="B17" s="40" t="s">
        <v>1162</v>
      </c>
      <c r="C17" s="96" t="e">
        <f t="shared" ref="C17:I17" si="23">P76</f>
        <v>#N/A</v>
      </c>
      <c r="D17" s="96" t="e">
        <f t="shared" si="23"/>
        <v>#N/A</v>
      </c>
      <c r="E17" s="96" t="e">
        <f t="shared" si="23"/>
        <v>#N/A</v>
      </c>
      <c r="F17" s="96" t="e">
        <f t="shared" si="23"/>
        <v>#N/A</v>
      </c>
      <c r="G17" s="96" t="e">
        <f t="shared" si="23"/>
        <v>#N/A</v>
      </c>
      <c r="H17" s="96" t="e">
        <f t="shared" si="23"/>
        <v>#N/A</v>
      </c>
      <c r="I17" s="967" t="e">
        <f t="shared" si="23"/>
        <v>#N/A</v>
      </c>
      <c r="J17" s="967">
        <v>53.680587325688577</v>
      </c>
      <c r="K17" s="132">
        <v>50.130414852513248</v>
      </c>
      <c r="L17" s="84">
        <f t="shared" si="2"/>
        <v>3.5501724731753299</v>
      </c>
      <c r="M17" s="84"/>
      <c r="O17" s="40" t="s">
        <v>55</v>
      </c>
      <c r="P17" s="96" t="e">
        <f>VLOOKUP($O17,capacities!$A$2:$J$2352,P$3,FALSE)</f>
        <v>#N/A</v>
      </c>
      <c r="Q17" s="96" t="e">
        <f>VLOOKUP($O17,capacities!$A$2:$J$2352,Q$3,FALSE)</f>
        <v>#N/A</v>
      </c>
      <c r="R17" s="96" t="e">
        <f>VLOOKUP($O17,capacities!$A$2:$J$2352,R$3,FALSE)</f>
        <v>#N/A</v>
      </c>
      <c r="S17" s="96" t="e">
        <f>VLOOKUP($O17,capacities!$A$2:$J$2352,S$3,FALSE)</f>
        <v>#N/A</v>
      </c>
      <c r="T17" s="96" t="e">
        <f>VLOOKUP($O17,capacities!$A$2:$J$2352,T$3,FALSE)</f>
        <v>#N/A</v>
      </c>
      <c r="U17" s="96" t="e">
        <f>VLOOKUP($O17,capacities!$A$2:$J$2352,U$3,FALSE)</f>
        <v>#N/A</v>
      </c>
      <c r="V17" s="96" t="e">
        <f>VLOOKUP($O17,capacities!$A$2:$J$2352,V$3,FALSE)</f>
        <v>#N/A</v>
      </c>
      <c r="W17" s="863" t="e">
        <f>VLOOKUP($O17,capacities!$A$2:$J$2352,W$3,FALSE)</f>
        <v>#N/A</v>
      </c>
      <c r="Y17" s="40"/>
      <c r="Z17" s="96"/>
      <c r="AA17" s="96"/>
      <c r="AB17" s="96"/>
      <c r="AC17" s="96"/>
      <c r="AD17" s="96"/>
      <c r="AE17" s="96"/>
      <c r="AF17" s="96"/>
      <c r="AG17" s="96"/>
    </row>
    <row r="18" spans="1:33" x14ac:dyDescent="0.35">
      <c r="A18" s="352" t="s">
        <v>1942</v>
      </c>
      <c r="B18" s="40" t="s">
        <v>1208</v>
      </c>
      <c r="C18" s="96" t="e">
        <f t="shared" ref="C18:I18" si="24">P80</f>
        <v>#N/A</v>
      </c>
      <c r="D18" s="96" t="e">
        <f t="shared" si="24"/>
        <v>#N/A</v>
      </c>
      <c r="E18" s="96" t="e">
        <f t="shared" si="24"/>
        <v>#N/A</v>
      </c>
      <c r="F18" s="96" t="e">
        <f t="shared" si="24"/>
        <v>#N/A</v>
      </c>
      <c r="G18" s="96" t="e">
        <f t="shared" si="24"/>
        <v>#N/A</v>
      </c>
      <c r="H18" s="96" t="e">
        <f t="shared" si="24"/>
        <v>#N/A</v>
      </c>
      <c r="I18" s="96" t="e">
        <f t="shared" si="24"/>
        <v>#N/A</v>
      </c>
      <c r="J18" s="965">
        <v>1.7815090745196605</v>
      </c>
      <c r="K18" s="132">
        <v>0.33754853086188003</v>
      </c>
      <c r="L18" s="84">
        <f t="shared" si="2"/>
        <v>1.4439605436577805</v>
      </c>
      <c r="M18" s="84"/>
      <c r="O18" s="40" t="s">
        <v>289</v>
      </c>
      <c r="P18" s="96" t="e">
        <f>VLOOKUP($O18,capacities!$A$2:$J$2352,P$3,FALSE)</f>
        <v>#N/A</v>
      </c>
      <c r="Q18" s="96" t="e">
        <f>VLOOKUP($O18,capacities!$A$2:$J$2352,Q$3,FALSE)</f>
        <v>#N/A</v>
      </c>
      <c r="R18" s="96" t="e">
        <f>VLOOKUP($O18,capacities!$A$2:$J$2352,R$3,FALSE)</f>
        <v>#N/A</v>
      </c>
      <c r="S18" s="96" t="e">
        <f>VLOOKUP($O18,capacities!$A$2:$J$2352,S$3,FALSE)</f>
        <v>#N/A</v>
      </c>
      <c r="T18" s="96" t="e">
        <f>VLOOKUP($O18,capacities!$A$2:$J$2352,T$3,FALSE)</f>
        <v>#N/A</v>
      </c>
      <c r="U18" s="96" t="e">
        <f>VLOOKUP($O18,capacities!$A$2:$J$2352,U$3,FALSE)</f>
        <v>#N/A</v>
      </c>
      <c r="V18" s="96" t="e">
        <f>VLOOKUP($O18,capacities!$A$2:$J$2352,V$3,FALSE)</f>
        <v>#N/A</v>
      </c>
      <c r="W18" s="863" t="e">
        <f>VLOOKUP($O18,capacities!$A$2:$J$2352,W$3,FALSE)</f>
        <v>#N/A</v>
      </c>
      <c r="Y18" s="40" t="s">
        <v>361</v>
      </c>
      <c r="Z18" s="96">
        <f>IFERROR(VLOOKUP($Y18,costs!$A$2:$J$2352,Z$3,FALSE),0)</f>
        <v>0</v>
      </c>
      <c r="AA18" s="96">
        <f>IFERROR(VLOOKUP($Y18,costs!$A$2:$J$2352,AA$3,FALSE),0)</f>
        <v>0</v>
      </c>
      <c r="AB18" s="96">
        <f>IFERROR(VLOOKUP($Y18,costs!$A$2:$J$2352,AB$3,FALSE),0)</f>
        <v>0</v>
      </c>
      <c r="AC18" s="96">
        <f>IFERROR(VLOOKUP($Y18,costs!$A$2:$J$2352,AC$3,FALSE),0)</f>
        <v>0</v>
      </c>
      <c r="AD18" s="96">
        <f>IFERROR(VLOOKUP($Y18,costs!$A$2:$J$2352,AD$3,FALSE),0)</f>
        <v>0</v>
      </c>
      <c r="AE18" s="96">
        <f>IFERROR(VLOOKUP($Y18,costs!$A$2:$J$2352,AE$3,FALSE),0)</f>
        <v>0</v>
      </c>
      <c r="AF18" s="96">
        <f>IFERROR(VLOOKUP($Y18,costs!$A$2:$J$2352,AF$3,FALSE),0)</f>
        <v>0</v>
      </c>
      <c r="AG18" s="96">
        <f>IFERROR(VLOOKUP($Y18,costs!$A$2:$J$2352,AG$3,FALSE),0)</f>
        <v>0</v>
      </c>
    </row>
    <row r="19" spans="1:33" x14ac:dyDescent="0.35">
      <c r="B19" s="40"/>
      <c r="C19" s="92"/>
      <c r="D19" s="92"/>
      <c r="E19" s="92"/>
      <c r="F19" s="92"/>
      <c r="G19" s="92"/>
      <c r="H19" s="92"/>
      <c r="I19" s="92"/>
      <c r="J19" s="962"/>
      <c r="L19" s="133" t="s">
        <v>4043</v>
      </c>
      <c r="M19" s="862"/>
      <c r="O19" s="40" t="s">
        <v>20</v>
      </c>
      <c r="P19" s="96" t="e">
        <f>VLOOKUP($O19,capacities!$A$2:$J$2352,P$3,FALSE)</f>
        <v>#N/A</v>
      </c>
      <c r="Q19" s="96" t="e">
        <f>VLOOKUP($O19,capacities!$A$2:$J$2352,Q$3,FALSE)</f>
        <v>#N/A</v>
      </c>
      <c r="R19" s="96" t="e">
        <f>VLOOKUP($O19,capacities!$A$2:$J$2352,R$3,FALSE)</f>
        <v>#N/A</v>
      </c>
      <c r="S19" s="96" t="e">
        <f>VLOOKUP($O19,capacities!$A$2:$J$2352,S$3,FALSE)</f>
        <v>#N/A</v>
      </c>
      <c r="T19" s="96" t="e">
        <f>VLOOKUP($O19,capacities!$A$2:$J$2352,T$3,FALSE)</f>
        <v>#N/A</v>
      </c>
      <c r="U19" s="96" t="e">
        <f>VLOOKUP($O19,capacities!$A$2:$J$2352,U$3,FALSE)</f>
        <v>#N/A</v>
      </c>
      <c r="V19" s="96" t="e">
        <f>VLOOKUP($O19,capacities!$A$2:$J$2352,V$3,FALSE)</f>
        <v>#N/A</v>
      </c>
      <c r="W19" s="863" t="e">
        <f>VLOOKUP($O19,capacities!$A$2:$J$2352,W$3,FALSE)</f>
        <v>#N/A</v>
      </c>
      <c r="Y19" s="40" t="s">
        <v>57</v>
      </c>
      <c r="Z19" s="96">
        <f>IFERROR(VLOOKUP($Y19,costs!$A$2:$J$2352,Z$3,FALSE),0)</f>
        <v>0</v>
      </c>
      <c r="AA19" s="96">
        <f>IFERROR(VLOOKUP($Y19,costs!$A$2:$J$2352,AA$3,FALSE),0)</f>
        <v>0</v>
      </c>
      <c r="AB19" s="96">
        <f>IFERROR(VLOOKUP($Y19,costs!$A$2:$J$2352,AB$3,FALSE),0)</f>
        <v>0</v>
      </c>
      <c r="AC19" s="96">
        <f>IFERROR(VLOOKUP($Y19,costs!$A$2:$J$2352,AC$3,FALSE),0)</f>
        <v>0</v>
      </c>
      <c r="AD19" s="96">
        <f>IFERROR(VLOOKUP($Y19,costs!$A$2:$J$2352,AD$3,FALSE),0)</f>
        <v>0</v>
      </c>
      <c r="AE19" s="96">
        <f>IFERROR(VLOOKUP($Y19,costs!$A$2:$J$2352,AE$3,FALSE),0)</f>
        <v>0</v>
      </c>
      <c r="AF19" s="96">
        <f>IFERROR(VLOOKUP($Y19,costs!$A$2:$J$2352,AF$3,FALSE),0)</f>
        <v>0</v>
      </c>
      <c r="AG19" s="96">
        <f>IFERROR(VLOOKUP($Y19,costs!$A$2:$J$2352,AG$3,FALSE),0)</f>
        <v>0</v>
      </c>
    </row>
    <row r="20" spans="1:33" ht="15" thickBot="1" x14ac:dyDescent="0.4">
      <c r="B20" s="41" t="s">
        <v>1229</v>
      </c>
      <c r="C20" s="101" t="e">
        <f t="shared" ref="C20:J20" si="25">SUM(C5:C18)</f>
        <v>#N/A</v>
      </c>
      <c r="D20" s="101" t="e">
        <f t="shared" si="25"/>
        <v>#N/A</v>
      </c>
      <c r="E20" s="101" t="e">
        <f t="shared" si="25"/>
        <v>#N/A</v>
      </c>
      <c r="F20" s="101" t="e">
        <f t="shared" si="25"/>
        <v>#N/A</v>
      </c>
      <c r="G20" s="101" t="e">
        <f t="shared" si="25"/>
        <v>#N/A</v>
      </c>
      <c r="H20" s="101" t="e">
        <f t="shared" si="25"/>
        <v>#N/A</v>
      </c>
      <c r="I20" s="101" t="e">
        <f t="shared" si="25"/>
        <v>#N/A</v>
      </c>
      <c r="J20" s="966">
        <f t="shared" si="25"/>
        <v>733.79122076164765</v>
      </c>
      <c r="K20" s="132">
        <v>644.36488441724771</v>
      </c>
      <c r="L20" s="855" t="e">
        <f>J20/D20</f>
        <v>#N/A</v>
      </c>
      <c r="M20" s="101">
        <v>660.11209785786173</v>
      </c>
      <c r="N20" s="132">
        <v>623.79427922471154</v>
      </c>
      <c r="O20" s="40" t="s">
        <v>196</v>
      </c>
      <c r="P20" s="96" t="e">
        <f>VLOOKUP($O20,capacities!$A$2:$J$2352,P$3,FALSE)</f>
        <v>#N/A</v>
      </c>
      <c r="Q20" s="96" t="e">
        <f>VLOOKUP($O20,capacities!$A$2:$J$2352,Q$3,FALSE)</f>
        <v>#N/A</v>
      </c>
      <c r="R20" s="96" t="e">
        <f>VLOOKUP($O20,capacities!$A$2:$J$2352,R$3,FALSE)</f>
        <v>#N/A</v>
      </c>
      <c r="S20" s="96" t="e">
        <f>VLOOKUP($O20,capacities!$A$2:$J$2352,S$3,FALSE)</f>
        <v>#N/A</v>
      </c>
      <c r="T20" s="96" t="e">
        <f>VLOOKUP($O20,capacities!$A$2:$J$2352,T$3,FALSE)</f>
        <v>#N/A</v>
      </c>
      <c r="U20" s="96" t="e">
        <f>VLOOKUP($O20,capacities!$A$2:$J$2352,U$3,FALSE)</f>
        <v>#N/A</v>
      </c>
      <c r="V20" s="96" t="e">
        <f>VLOOKUP($O20,capacities!$A$2:$J$2352,V$3,FALSE)</f>
        <v>#N/A</v>
      </c>
      <c r="W20" s="863" t="e">
        <f>VLOOKUP($O20,capacities!$A$2:$J$2352,W$3,FALSE)</f>
        <v>#N/A</v>
      </c>
      <c r="Y20" s="40" t="s">
        <v>362</v>
      </c>
      <c r="Z20" s="96">
        <f>IFERROR(VLOOKUP($Y20,costs!$A$2:$J$2352,Z$3,FALSE),0)</f>
        <v>0</v>
      </c>
      <c r="AA20" s="96">
        <f>IFERROR(VLOOKUP($Y20,costs!$A$2:$J$2352,AA$3,FALSE),0)</f>
        <v>0</v>
      </c>
      <c r="AB20" s="96">
        <f>IFERROR(VLOOKUP($Y20,costs!$A$2:$J$2352,AB$3,FALSE),0)</f>
        <v>0</v>
      </c>
      <c r="AC20" s="96">
        <f>IFERROR(VLOOKUP($Y20,costs!$A$2:$J$2352,AC$3,FALSE),0)</f>
        <v>0</v>
      </c>
      <c r="AD20" s="96">
        <f>IFERROR(VLOOKUP($Y20,costs!$A$2:$J$2352,AD$3,FALSE),0)</f>
        <v>0</v>
      </c>
      <c r="AE20" s="96">
        <f>IFERROR(VLOOKUP($Y20,costs!$A$2:$J$2352,AE$3,FALSE),0)</f>
        <v>0</v>
      </c>
      <c r="AF20" s="96">
        <f>IFERROR(VLOOKUP($Y20,costs!$A$2:$J$2352,AF$3,FALSE),0)</f>
        <v>0</v>
      </c>
      <c r="AG20" s="96">
        <f>IFERROR(VLOOKUP($Y20,costs!$A$2:$J$2352,AG$3,FALSE),0)</f>
        <v>0</v>
      </c>
    </row>
    <row r="21" spans="1:33" x14ac:dyDescent="0.35">
      <c r="C21" s="132">
        <v>660.80293358522567</v>
      </c>
      <c r="D21" s="132">
        <v>225.94999999991683</v>
      </c>
      <c r="E21" s="132">
        <v>207.25323704089178</v>
      </c>
      <c r="F21" s="132">
        <v>214.17292815832843</v>
      </c>
      <c r="G21" s="132">
        <v>256.76871771350164</v>
      </c>
      <c r="H21" s="132">
        <v>365.49767928462006</v>
      </c>
      <c r="I21" s="132">
        <v>518.42060995794986</v>
      </c>
      <c r="J21" s="132">
        <v>679.48493621725208</v>
      </c>
      <c r="O21" s="40" t="s">
        <v>58</v>
      </c>
      <c r="P21" s="96" t="e">
        <f>VLOOKUP($O21,capacities!$A$2:$J$2352,P$3,FALSE)</f>
        <v>#N/A</v>
      </c>
      <c r="Q21" s="96" t="e">
        <f>VLOOKUP($O21,capacities!$A$2:$J$2352,Q$3,FALSE)</f>
        <v>#N/A</v>
      </c>
      <c r="R21" s="96" t="e">
        <f>VLOOKUP($O21,capacities!$A$2:$J$2352,R$3,FALSE)</f>
        <v>#N/A</v>
      </c>
      <c r="S21" s="96" t="e">
        <f>VLOOKUP($O21,capacities!$A$2:$J$2352,S$3,FALSE)</f>
        <v>#N/A</v>
      </c>
      <c r="T21" s="96" t="e">
        <f>VLOOKUP($O21,capacities!$A$2:$J$2352,T$3,FALSE)</f>
        <v>#N/A</v>
      </c>
      <c r="U21" s="96" t="e">
        <f>VLOOKUP($O21,capacities!$A$2:$J$2352,U$3,FALSE)</f>
        <v>#N/A</v>
      </c>
      <c r="V21" s="96" t="e">
        <f>VLOOKUP($O21,capacities!$A$2:$J$2352,V$3,FALSE)</f>
        <v>#N/A</v>
      </c>
      <c r="W21" s="863" t="e">
        <f>VLOOKUP($O21,capacities!$A$2:$J$2352,W$3,FALSE)</f>
        <v>#N/A</v>
      </c>
      <c r="Y21" s="865" t="s">
        <v>901</v>
      </c>
      <c r="Z21" s="866">
        <f>IFERROR(VLOOKUP($Y21,flows!$A$2:$J$2352,Z$3,FALSE),0)</f>
        <v>0</v>
      </c>
      <c r="AA21" s="866">
        <f>IFERROR(VLOOKUP($Y21,flows!$A$2:$J$2352,AA$3,FALSE),0)</f>
        <v>0</v>
      </c>
      <c r="AB21" s="866">
        <f>IFERROR(VLOOKUP($Y21,flows!$A$2:$J$2352,AB$3,FALSE),0)</f>
        <v>0</v>
      </c>
      <c r="AC21" s="866">
        <f>IFERROR(VLOOKUP($Y21,flows!$A$2:$J$2352,AC$3,FALSE),0)</f>
        <v>0</v>
      </c>
      <c r="AD21" s="866">
        <f>IFERROR(VLOOKUP($Y21,flows!$A$2:$J$2352,AD$3,FALSE),0)</f>
        <v>0</v>
      </c>
      <c r="AE21" s="866">
        <f>IFERROR(VLOOKUP($Y21,flows!$A$2:$J$2352,AE$3,FALSE),0)</f>
        <v>0</v>
      </c>
      <c r="AF21" s="866">
        <f>IFERROR(VLOOKUP($Y21,flows!$A$2:$J$2352,AF$3,FALSE),0)</f>
        <v>0</v>
      </c>
      <c r="AG21" s="866">
        <f>IFERROR(VLOOKUP($Y21,flows!$A$2:$J$2352,AG$3,FALSE),0)</f>
        <v>0</v>
      </c>
    </row>
    <row r="22" spans="1:33" x14ac:dyDescent="0.35">
      <c r="O22" s="99" t="s">
        <v>1161</v>
      </c>
      <c r="P22" s="96" t="e">
        <f>SUM(P16:P21)</f>
        <v>#N/A</v>
      </c>
      <c r="Q22" s="96" t="e">
        <f t="shared" ref="Q22:W22" si="26">SUM(Q16:Q21)</f>
        <v>#N/A</v>
      </c>
      <c r="R22" s="96" t="e">
        <f t="shared" si="26"/>
        <v>#N/A</v>
      </c>
      <c r="S22" s="96" t="e">
        <f t="shared" si="26"/>
        <v>#N/A</v>
      </c>
      <c r="T22" s="96" t="e">
        <f t="shared" si="26"/>
        <v>#N/A</v>
      </c>
      <c r="U22" s="96" t="e">
        <f t="shared" si="26"/>
        <v>#N/A</v>
      </c>
      <c r="V22" s="96" t="e">
        <f t="shared" si="26"/>
        <v>#N/A</v>
      </c>
      <c r="W22" s="863" t="e">
        <f t="shared" si="26"/>
        <v>#N/A</v>
      </c>
      <c r="Y22" s="867" t="s">
        <v>897</v>
      </c>
      <c r="Z22" s="866">
        <f>IFERROR(VLOOKUP($Y22,flows!$A$2:$J$2352,Z$3,FALSE),0)</f>
        <v>0</v>
      </c>
      <c r="AA22" s="866">
        <f>IFERROR(VLOOKUP($Y22,flows!$A$2:$J$2352,AA$3,FALSE),0)</f>
        <v>0</v>
      </c>
      <c r="AB22" s="866">
        <f>IFERROR(VLOOKUP($Y22,flows!$A$2:$J$2352,AB$3,FALSE),0)</f>
        <v>0</v>
      </c>
      <c r="AC22" s="866">
        <f>IFERROR(VLOOKUP($Y22,flows!$A$2:$J$2352,AC$3,FALSE),0)</f>
        <v>0</v>
      </c>
      <c r="AD22" s="866">
        <f>IFERROR(VLOOKUP($Y22,flows!$A$2:$J$2352,AD$3,FALSE),0)</f>
        <v>0</v>
      </c>
      <c r="AE22" s="866">
        <f>IFERROR(VLOOKUP($Y22,flows!$A$2:$J$2352,AE$3,FALSE),0)</f>
        <v>0</v>
      </c>
      <c r="AF22" s="866">
        <f>IFERROR(VLOOKUP($Y22,flows!$A$2:$J$2352,AF$3,FALSE),0)</f>
        <v>0</v>
      </c>
      <c r="AG22" s="866">
        <f>IFERROR(VLOOKUP($Y22,flows!$A$2:$J$2352,AG$3,FALSE),0)</f>
        <v>0</v>
      </c>
    </row>
    <row r="23" spans="1:33" x14ac:dyDescent="0.35">
      <c r="O23" s="99" t="s">
        <v>4064</v>
      </c>
      <c r="P23" s="97" t="e">
        <f>Erdgas!F16</f>
        <v>#N/A</v>
      </c>
      <c r="Q23" s="97" t="e">
        <f>Erdgas!G16</f>
        <v>#N/A</v>
      </c>
      <c r="R23" s="97" t="e">
        <f>Erdgas!H16</f>
        <v>#N/A</v>
      </c>
      <c r="S23" s="97" t="e">
        <f>Erdgas!I16</f>
        <v>#N/A</v>
      </c>
      <c r="T23" s="97" t="e">
        <f>Erdgas!J16</f>
        <v>#N/A</v>
      </c>
      <c r="U23" s="97" t="e">
        <f>Erdgas!K16</f>
        <v>#N/A</v>
      </c>
      <c r="V23" s="97" t="e">
        <f>Erdgas!L16</f>
        <v>#N/A</v>
      </c>
      <c r="W23" s="98" t="e">
        <f>Erdgas!M16</f>
        <v>#N/A</v>
      </c>
      <c r="Y23" s="867" t="s">
        <v>898</v>
      </c>
      <c r="Z23" s="866">
        <f>IFERROR(VLOOKUP($Y23,flows!$A$2:$J$2352,Z$3,FALSE),0)</f>
        <v>0</v>
      </c>
      <c r="AA23" s="866">
        <f>IFERROR(VLOOKUP($Y23,flows!$A$2:$J$2352,AA$3,FALSE),0)</f>
        <v>0</v>
      </c>
      <c r="AB23" s="866">
        <f>IFERROR(VLOOKUP($Y23,flows!$A$2:$J$2352,AB$3,FALSE),0)</f>
        <v>0</v>
      </c>
      <c r="AC23" s="866">
        <f>IFERROR(VLOOKUP($Y23,flows!$A$2:$J$2352,AC$3,FALSE),0)</f>
        <v>0</v>
      </c>
      <c r="AD23" s="866">
        <f>IFERROR(VLOOKUP($Y23,flows!$A$2:$J$2352,AD$3,FALSE),0)</f>
        <v>0</v>
      </c>
      <c r="AE23" s="866">
        <f>IFERROR(VLOOKUP($Y23,flows!$A$2:$J$2352,AE$3,FALSE),0)</f>
        <v>0</v>
      </c>
      <c r="AF23" s="866">
        <f>IFERROR(VLOOKUP($Y23,flows!$A$2:$J$2352,AF$3,FALSE),0)</f>
        <v>0</v>
      </c>
      <c r="AG23" s="866">
        <f>IFERROR(VLOOKUP($Y23,flows!$A$2:$J$2352,AG$3,FALSE),0)</f>
        <v>0</v>
      </c>
    </row>
    <row r="24" spans="1:33" ht="15" thickBot="1" x14ac:dyDescent="0.4">
      <c r="O24" s="99" t="s">
        <v>4065</v>
      </c>
      <c r="P24" s="92" t="e">
        <f>(1-P23)*P22</f>
        <v>#N/A</v>
      </c>
      <c r="Q24" s="92" t="e">
        <f t="shared" ref="Q24:V24" si="27">(1-Q23)*Q22</f>
        <v>#N/A</v>
      </c>
      <c r="R24" s="92" t="e">
        <f t="shared" si="27"/>
        <v>#N/A</v>
      </c>
      <c r="S24" s="92" t="e">
        <f t="shared" si="27"/>
        <v>#N/A</v>
      </c>
      <c r="T24" s="92" t="e">
        <f t="shared" si="27"/>
        <v>#N/A</v>
      </c>
      <c r="U24" s="92" t="e">
        <f t="shared" si="27"/>
        <v>#N/A</v>
      </c>
      <c r="V24" s="92" t="e">
        <f t="shared" si="27"/>
        <v>#N/A</v>
      </c>
      <c r="W24" s="93" t="e">
        <f>(1-W23)*W22</f>
        <v>#N/A</v>
      </c>
      <c r="Y24" s="867" t="s">
        <v>899</v>
      </c>
      <c r="Z24" s="866">
        <f>IFERROR(VLOOKUP($Y24,flows!$A$2:$J$2352,Z$3,FALSE),0)</f>
        <v>0</v>
      </c>
      <c r="AA24" s="866">
        <f>IFERROR(VLOOKUP($Y24,flows!$A$2:$J$2352,AA$3,FALSE),0)</f>
        <v>0</v>
      </c>
      <c r="AB24" s="866">
        <f>IFERROR(VLOOKUP($Y24,flows!$A$2:$J$2352,AB$3,FALSE),0)</f>
        <v>0</v>
      </c>
      <c r="AC24" s="866">
        <f>IFERROR(VLOOKUP($Y24,flows!$A$2:$J$2352,AC$3,FALSE),0)</f>
        <v>0</v>
      </c>
      <c r="AD24" s="866">
        <f>IFERROR(VLOOKUP($Y24,flows!$A$2:$J$2352,AD$3,FALSE),0)</f>
        <v>0</v>
      </c>
      <c r="AE24" s="866">
        <f>IFERROR(VLOOKUP($Y24,flows!$A$2:$J$2352,AE$3,FALSE),0)</f>
        <v>0</v>
      </c>
      <c r="AF24" s="866">
        <f>IFERROR(VLOOKUP($Y24,flows!$A$2:$J$2352,AF$3,FALSE),0)</f>
        <v>0</v>
      </c>
      <c r="AG24" s="866">
        <f>IFERROR(VLOOKUP($Y24,flows!$A$2:$J$2352,AG$3,FALSE),0)</f>
        <v>0</v>
      </c>
    </row>
    <row r="25" spans="1:33" x14ac:dyDescent="0.35">
      <c r="B25" s="91" t="s">
        <v>1443</v>
      </c>
      <c r="C25" s="89"/>
      <c r="D25" s="90"/>
      <c r="O25" s="99" t="s">
        <v>4217</v>
      </c>
      <c r="P25" s="92" t="e">
        <f>P23*P22</f>
        <v>#N/A</v>
      </c>
      <c r="Q25" s="92" t="e">
        <f t="shared" ref="Q25:V25" si="28">Q23*Q22</f>
        <v>#N/A</v>
      </c>
      <c r="R25" s="92" t="e">
        <f t="shared" si="28"/>
        <v>#N/A</v>
      </c>
      <c r="S25" s="92" t="e">
        <f t="shared" si="28"/>
        <v>#N/A</v>
      </c>
      <c r="T25" s="92" t="e">
        <f t="shared" si="28"/>
        <v>#N/A</v>
      </c>
      <c r="U25" s="92" t="e">
        <f t="shared" si="28"/>
        <v>#N/A</v>
      </c>
      <c r="V25" s="92" t="e">
        <f t="shared" si="28"/>
        <v>#N/A</v>
      </c>
      <c r="W25" s="92" t="e">
        <f>W23*W22</f>
        <v>#N/A</v>
      </c>
      <c r="Y25" s="865" t="s">
        <v>4088</v>
      </c>
      <c r="Z25" s="868">
        <f>IF(Z21=0,0,SUM(Z22:Z24)/Z21)</f>
        <v>0</v>
      </c>
      <c r="AA25" s="868">
        <f t="shared" ref="AA25:AG25" si="29">IF(AA21=0,0,SUM(AA22:AA24)/AA21)</f>
        <v>0</v>
      </c>
      <c r="AB25" s="868">
        <f t="shared" si="29"/>
        <v>0</v>
      </c>
      <c r="AC25" s="868">
        <f t="shared" si="29"/>
        <v>0</v>
      </c>
      <c r="AD25" s="868">
        <f t="shared" si="29"/>
        <v>0</v>
      </c>
      <c r="AE25" s="868">
        <f t="shared" si="29"/>
        <v>0</v>
      </c>
      <c r="AF25" s="868">
        <f t="shared" si="29"/>
        <v>0</v>
      </c>
      <c r="AG25" s="868">
        <f t="shared" si="29"/>
        <v>0</v>
      </c>
    </row>
    <row r="26" spans="1:33" x14ac:dyDescent="0.35">
      <c r="B26" s="40"/>
      <c r="C26" s="92">
        <v>2020</v>
      </c>
      <c r="D26" s="93">
        <v>2050</v>
      </c>
      <c r="O26" s="40"/>
      <c r="P26" s="92"/>
      <c r="Q26" s="92"/>
      <c r="R26" s="92"/>
      <c r="S26" s="92"/>
      <c r="T26" s="92"/>
      <c r="U26" s="92"/>
      <c r="V26" s="92"/>
      <c r="W26" s="93"/>
      <c r="Y26" s="867" t="s">
        <v>363</v>
      </c>
      <c r="Z26" s="866">
        <f>IFERROR(VLOOKUP($Y26,costs!$A$2:$J$2352,Z$3,FALSE),0)</f>
        <v>0</v>
      </c>
      <c r="AA26" s="866">
        <f>IFERROR(VLOOKUP($Y26,costs!$A$2:$J$2352,AA$3,FALSE),0)</f>
        <v>0</v>
      </c>
      <c r="AB26" s="866">
        <f>IFERROR(VLOOKUP($Y26,costs!$A$2:$J$2352,AB$3,FALSE),0)</f>
        <v>0</v>
      </c>
      <c r="AC26" s="866">
        <f>IFERROR(VLOOKUP($Y26,costs!$A$2:$J$2352,AC$3,FALSE),0)</f>
        <v>0</v>
      </c>
      <c r="AD26" s="866">
        <f>IFERROR(VLOOKUP($Y26,costs!$A$2:$J$2352,AD$3,FALSE),0)</f>
        <v>0</v>
      </c>
      <c r="AE26" s="866">
        <f>IFERROR(VLOOKUP($Y26,costs!$A$2:$J$2352,AE$3,FALSE),0)</f>
        <v>0</v>
      </c>
      <c r="AF26" s="866">
        <f>IFERROR(VLOOKUP($Y26,costs!$A$2:$J$2352,AF$3,FALSE),0)</f>
        <v>0</v>
      </c>
      <c r="AG26" s="866">
        <f>IFERROR(VLOOKUP($Y26,costs!$A$2:$J$2352,AG$3,FALSE),0)</f>
        <v>0</v>
      </c>
    </row>
    <row r="27" spans="1:33" x14ac:dyDescent="0.35">
      <c r="A27" s="190" t="s">
        <v>1342</v>
      </c>
      <c r="B27" s="40" t="s">
        <v>1206</v>
      </c>
      <c r="C27" s="97" t="e">
        <f>D5/$D$20</f>
        <v>#N/A</v>
      </c>
      <c r="D27" s="98">
        <f>J5/$J$20</f>
        <v>0</v>
      </c>
      <c r="O27" s="40" t="s">
        <v>444</v>
      </c>
      <c r="P27" s="96" t="e">
        <f>VLOOKUP($O27,capacities!$A$2:$J$2352,P$3,FALSE)</f>
        <v>#N/A</v>
      </c>
      <c r="Q27" s="96" t="e">
        <f>VLOOKUP($O27,capacities!$A$2:$J$2352,Q$3,FALSE)</f>
        <v>#N/A</v>
      </c>
      <c r="R27" s="96" t="e">
        <f>VLOOKUP($O27,capacities!$A$2:$J$2352,R$3,FALSE)</f>
        <v>#N/A</v>
      </c>
      <c r="S27" s="96" t="e">
        <f>VLOOKUP($O27,capacities!$A$2:$J$2352,S$3,FALSE)</f>
        <v>#N/A</v>
      </c>
      <c r="T27" s="96" t="e">
        <f>VLOOKUP($O27,capacities!$A$2:$J$2352,T$3,FALSE)</f>
        <v>#N/A</v>
      </c>
      <c r="U27" s="96" t="e">
        <f>VLOOKUP($O27,capacities!$A$2:$J$2352,U$3,FALSE)</f>
        <v>#N/A</v>
      </c>
      <c r="V27" s="96" t="e">
        <f>VLOOKUP($O27,capacities!$A$2:$J$2352,V$3,FALSE)</f>
        <v>#N/A</v>
      </c>
      <c r="W27" s="863" t="e">
        <f>VLOOKUP($O27,capacities!$A$2:$J$2352,W$3,FALSE)</f>
        <v>#N/A</v>
      </c>
      <c r="Y27" s="869" t="s">
        <v>4087</v>
      </c>
      <c r="Z27" s="870">
        <f>SUM(Z18:Z20)+(Z26*Z25)</f>
        <v>0</v>
      </c>
      <c r="AA27" s="870">
        <f>SUM(AA18:AA20)+(AA26*AA25)</f>
        <v>0</v>
      </c>
      <c r="AB27" s="870">
        <f t="shared" ref="AB27" si="30">SUM(AB18:AB20)+(AB26*AB25)</f>
        <v>0</v>
      </c>
      <c r="AC27" s="870">
        <f t="shared" ref="AC27" si="31">SUM(AC18:AC20)+(AC26*AC25)</f>
        <v>0</v>
      </c>
      <c r="AD27" s="870">
        <f t="shared" ref="AD27" si="32">SUM(AD18:AD20)+(AD26*AD25)</f>
        <v>0</v>
      </c>
      <c r="AE27" s="870">
        <f t="shared" ref="AE27" si="33">SUM(AE18:AE20)+(AE26*AE25)</f>
        <v>0</v>
      </c>
      <c r="AF27" s="870">
        <f t="shared" ref="AF27" si="34">SUM(AF18:AF20)+(AF26*AF25)</f>
        <v>0</v>
      </c>
      <c r="AG27" s="870">
        <f t="shared" ref="AG27" si="35">SUM(AG18:AG20)+(AG26*AG25)</f>
        <v>0</v>
      </c>
    </row>
    <row r="28" spans="1:33" x14ac:dyDescent="0.35">
      <c r="A28" s="190" t="s">
        <v>1343</v>
      </c>
      <c r="B28" s="40" t="s">
        <v>1310</v>
      </c>
      <c r="C28" s="97" t="e">
        <f>D6/$D$20</f>
        <v>#N/A</v>
      </c>
      <c r="D28" s="98">
        <f>J6/$J$20</f>
        <v>0</v>
      </c>
      <c r="O28" s="40" t="s">
        <v>445</v>
      </c>
      <c r="P28" s="96" t="e">
        <f>VLOOKUP($O28,capacities!$A$2:$J$2352,P$3,FALSE)</f>
        <v>#N/A</v>
      </c>
      <c r="Q28" s="96" t="e">
        <f>VLOOKUP($O28,capacities!$A$2:$J$2352,Q$3,FALSE)</f>
        <v>#N/A</v>
      </c>
      <c r="R28" s="96" t="e">
        <f>VLOOKUP($O28,capacities!$A$2:$J$2352,R$3,FALSE)</f>
        <v>#N/A</v>
      </c>
      <c r="S28" s="96" t="e">
        <f>VLOOKUP($O28,capacities!$A$2:$J$2352,S$3,FALSE)</f>
        <v>#N/A</v>
      </c>
      <c r="T28" s="96" t="e">
        <f>VLOOKUP($O28,capacities!$A$2:$J$2352,T$3,FALSE)</f>
        <v>#N/A</v>
      </c>
      <c r="U28" s="96" t="e">
        <f>VLOOKUP($O28,capacities!$A$2:$J$2352,U$3,FALSE)</f>
        <v>#N/A</v>
      </c>
      <c r="V28" s="96" t="e">
        <f>VLOOKUP($O28,capacities!$A$2:$J$2352,V$3,FALSE)</f>
        <v>#N/A</v>
      </c>
      <c r="W28" s="863" t="e">
        <f>VLOOKUP($O28,capacities!$A$2:$J$2352,W$3,FALSE)</f>
        <v>#N/A</v>
      </c>
      <c r="Y28" s="165"/>
      <c r="Z28" s="855"/>
      <c r="AA28" s="855"/>
      <c r="AB28" s="855"/>
      <c r="AC28" s="855"/>
      <c r="AD28" s="855"/>
      <c r="AE28" s="855"/>
      <c r="AF28" s="855"/>
      <c r="AG28" s="855"/>
    </row>
    <row r="29" spans="1:33" x14ac:dyDescent="0.35">
      <c r="A29" s="190" t="s">
        <v>1936</v>
      </c>
      <c r="B29" s="40" t="s">
        <v>1421</v>
      </c>
      <c r="C29" s="97" t="e">
        <f>D7/$D$20</f>
        <v>#N/A</v>
      </c>
      <c r="D29" s="98">
        <f>J7/$J$20</f>
        <v>0</v>
      </c>
      <c r="O29" s="40" t="s">
        <v>446</v>
      </c>
      <c r="P29" s="96" t="e">
        <f>VLOOKUP($O29,capacities!$A$2:$J$2352,P$3,FALSE)</f>
        <v>#N/A</v>
      </c>
      <c r="Q29" s="96" t="e">
        <f>VLOOKUP($O29,capacities!$A$2:$J$2352,Q$3,FALSE)</f>
        <v>#N/A</v>
      </c>
      <c r="R29" s="96" t="e">
        <f>VLOOKUP($O29,capacities!$A$2:$J$2352,R$3,FALSE)</f>
        <v>#N/A</v>
      </c>
      <c r="S29" s="96" t="e">
        <f>VLOOKUP($O29,capacities!$A$2:$J$2352,S$3,FALSE)</f>
        <v>#N/A</v>
      </c>
      <c r="T29" s="96" t="e">
        <f>VLOOKUP($O29,capacities!$A$2:$J$2352,T$3,FALSE)</f>
        <v>#N/A</v>
      </c>
      <c r="U29" s="96" t="e">
        <f>VLOOKUP($O29,capacities!$A$2:$J$2352,U$3,FALSE)</f>
        <v>#N/A</v>
      </c>
      <c r="V29" s="96" t="e">
        <f>VLOOKUP($O29,capacities!$A$2:$J$2352,V$3,FALSE)</f>
        <v>#N/A</v>
      </c>
      <c r="W29" s="863" t="e">
        <f>VLOOKUP($O29,capacities!$A$2:$J$2352,W$3,FALSE)</f>
        <v>#N/A</v>
      </c>
      <c r="Y29" s="165"/>
      <c r="Z29" s="855"/>
      <c r="AA29" s="855"/>
      <c r="AB29" s="855"/>
      <c r="AC29" s="855"/>
      <c r="AD29" s="855"/>
      <c r="AE29" s="855"/>
      <c r="AF29" s="855"/>
      <c r="AG29" s="855"/>
    </row>
    <row r="30" spans="1:33" x14ac:dyDescent="0.35">
      <c r="A30" s="190" t="s">
        <v>1340</v>
      </c>
      <c r="B30" s="40" t="s">
        <v>1161</v>
      </c>
      <c r="C30" s="97" t="e">
        <f>D8/$D$20</f>
        <v>#N/A</v>
      </c>
      <c r="D30" s="98">
        <f>J8/$J$20</f>
        <v>2.3783074342026977E-7</v>
      </c>
      <c r="O30" s="40" t="s">
        <v>447</v>
      </c>
      <c r="P30" s="96" t="e">
        <f>VLOOKUP($O30,capacities!$A$2:$J$2352,P$3,FALSE)</f>
        <v>#N/A</v>
      </c>
      <c r="Q30" s="96" t="e">
        <f>VLOOKUP($O30,capacities!$A$2:$J$2352,Q$3,FALSE)</f>
        <v>#N/A</v>
      </c>
      <c r="R30" s="96" t="e">
        <f>VLOOKUP($O30,capacities!$A$2:$J$2352,R$3,FALSE)</f>
        <v>#N/A</v>
      </c>
      <c r="S30" s="96" t="e">
        <f>VLOOKUP($O30,capacities!$A$2:$J$2352,S$3,FALSE)</f>
        <v>#N/A</v>
      </c>
      <c r="T30" s="96" t="e">
        <f>VLOOKUP($O30,capacities!$A$2:$J$2352,T$3,FALSE)</f>
        <v>#N/A</v>
      </c>
      <c r="U30" s="96" t="e">
        <f>VLOOKUP($O30,capacities!$A$2:$J$2352,U$3,FALSE)</f>
        <v>#N/A</v>
      </c>
      <c r="V30" s="96" t="e">
        <f>VLOOKUP($O30,capacities!$A$2:$J$2352,V$3,FALSE)</f>
        <v>#N/A</v>
      </c>
      <c r="W30" s="863" t="e">
        <f>VLOOKUP($O30,capacities!$A$2:$J$2352,W$3,FALSE)</f>
        <v>#N/A</v>
      </c>
      <c r="Y30" s="40" t="s">
        <v>285</v>
      </c>
      <c r="Z30" s="96">
        <f>IFERROR(VLOOKUP($Y30,costs!$A$2:$J$2352,Z$3,FALSE),0)</f>
        <v>0</v>
      </c>
      <c r="AA30" s="96">
        <f>IFERROR(VLOOKUP($Y30,costs!$A$2:$J$2352,AA$3,FALSE),0)</f>
        <v>0</v>
      </c>
      <c r="AB30" s="96">
        <f>IFERROR(VLOOKUP($Y30,costs!$A$2:$J$2352,AB$3,FALSE),0)</f>
        <v>0</v>
      </c>
      <c r="AC30" s="96">
        <f>IFERROR(VLOOKUP($Y30,costs!$A$2:$J$2352,AC$3,FALSE),0)</f>
        <v>0</v>
      </c>
      <c r="AD30" s="96">
        <f>IFERROR(VLOOKUP($Y30,costs!$A$2:$J$2352,AD$3,FALSE),0)</f>
        <v>0</v>
      </c>
      <c r="AE30" s="96">
        <f>IFERROR(VLOOKUP($Y30,costs!$A$2:$J$2352,AE$3,FALSE),0)</f>
        <v>0</v>
      </c>
      <c r="AF30" s="96">
        <f>IFERROR(VLOOKUP($Y30,costs!$A$2:$J$2352,AF$3,FALSE),0)</f>
        <v>0</v>
      </c>
      <c r="AG30" s="96">
        <f>IFERROR(VLOOKUP($Y30,costs!$A$2:$J$2352,AG$3,FALSE),0)</f>
        <v>0</v>
      </c>
    </row>
    <row r="31" spans="1:33" x14ac:dyDescent="0.35">
      <c r="A31" s="190" t="s">
        <v>1884</v>
      </c>
      <c r="B31" s="40" t="s">
        <v>1207</v>
      </c>
      <c r="C31" s="97" t="e">
        <f t="shared" ref="C31:C39" si="36">D10/$D$20</f>
        <v>#N/A</v>
      </c>
      <c r="D31" s="98">
        <f t="shared" ref="D31:D39" si="37">J10/$J$20</f>
        <v>3.2581481651468425E-7</v>
      </c>
      <c r="O31" s="40" t="s">
        <v>448</v>
      </c>
      <c r="P31" s="96" t="e">
        <f>VLOOKUP($O31,capacities!$A$2:$J$2352,P$3,FALSE)</f>
        <v>#N/A</v>
      </c>
      <c r="Q31" s="96" t="e">
        <f>VLOOKUP($O31,capacities!$A$2:$J$2352,Q$3,FALSE)</f>
        <v>#N/A</v>
      </c>
      <c r="R31" s="96" t="e">
        <f>VLOOKUP($O31,capacities!$A$2:$J$2352,R$3,FALSE)</f>
        <v>#N/A</v>
      </c>
      <c r="S31" s="96" t="e">
        <f>VLOOKUP($O31,capacities!$A$2:$J$2352,S$3,FALSE)</f>
        <v>#N/A</v>
      </c>
      <c r="T31" s="96" t="e">
        <f>VLOOKUP($O31,capacities!$A$2:$J$2352,T$3,FALSE)</f>
        <v>#N/A</v>
      </c>
      <c r="U31" s="96" t="e">
        <f>VLOOKUP($O31,capacities!$A$2:$J$2352,U$3,FALSE)</f>
        <v>#N/A</v>
      </c>
      <c r="V31" s="96" t="e">
        <f>VLOOKUP($O31,capacities!$A$2:$J$2352,V$3,FALSE)</f>
        <v>#N/A</v>
      </c>
      <c r="W31" s="863" t="e">
        <f>VLOOKUP($O31,capacities!$A$2:$J$2352,W$3,FALSE)</f>
        <v>#N/A</v>
      </c>
      <c r="Y31" s="40" t="s">
        <v>55</v>
      </c>
      <c r="Z31" s="96">
        <f>IFERROR(VLOOKUP($Y31,costs!$A$2:$J$2352,Z$3,FALSE),0)</f>
        <v>0</v>
      </c>
      <c r="AA31" s="96">
        <f>IFERROR(VLOOKUP($Y31,costs!$A$2:$J$2352,AA$3,FALSE),0)</f>
        <v>0</v>
      </c>
      <c r="AB31" s="96">
        <f>IFERROR(VLOOKUP($Y31,costs!$A$2:$J$2352,AB$3,FALSE),0)</f>
        <v>0</v>
      </c>
      <c r="AC31" s="96">
        <f>IFERROR(VLOOKUP($Y31,costs!$A$2:$J$2352,AC$3,FALSE),0)</f>
        <v>0</v>
      </c>
      <c r="AD31" s="96">
        <f>IFERROR(VLOOKUP($Y31,costs!$A$2:$J$2352,AD$3,FALSE),0)</f>
        <v>0</v>
      </c>
      <c r="AE31" s="96">
        <f>IFERROR(VLOOKUP($Y31,costs!$A$2:$J$2352,AE$3,FALSE),0)</f>
        <v>0</v>
      </c>
      <c r="AF31" s="96">
        <f>IFERROR(VLOOKUP($Y31,costs!$A$2:$J$2352,AF$3,FALSE),0)</f>
        <v>0</v>
      </c>
      <c r="AG31" s="96">
        <f>IFERROR(VLOOKUP($Y31,costs!$A$2:$J$2352,AG$3,FALSE),0)</f>
        <v>0</v>
      </c>
    </row>
    <row r="32" spans="1:33" x14ac:dyDescent="0.35">
      <c r="A32" s="190" t="s">
        <v>1945</v>
      </c>
      <c r="B32" s="40" t="s">
        <v>1322</v>
      </c>
      <c r="C32" s="97" t="e">
        <f t="shared" si="36"/>
        <v>#N/A</v>
      </c>
      <c r="D32" s="98">
        <f t="shared" si="37"/>
        <v>0.23931291889235096</v>
      </c>
      <c r="O32" s="40" t="s">
        <v>449</v>
      </c>
      <c r="P32" s="96" t="e">
        <f>VLOOKUP($O32,capacities!$A$2:$J$2352,P$3,FALSE)</f>
        <v>#N/A</v>
      </c>
      <c r="Q32" s="96" t="e">
        <f>VLOOKUP($O32,capacities!$A$2:$J$2352,Q$3,FALSE)</f>
        <v>#N/A</v>
      </c>
      <c r="R32" s="96" t="e">
        <f>VLOOKUP($O32,capacities!$A$2:$J$2352,R$3,FALSE)</f>
        <v>#N/A</v>
      </c>
      <c r="S32" s="96" t="e">
        <f>VLOOKUP($O32,capacities!$A$2:$J$2352,S$3,FALSE)</f>
        <v>#N/A</v>
      </c>
      <c r="T32" s="96" t="e">
        <f>VLOOKUP($O32,capacities!$A$2:$J$2352,T$3,FALSE)</f>
        <v>#N/A</v>
      </c>
      <c r="U32" s="96" t="e">
        <f>VLOOKUP($O32,capacities!$A$2:$J$2352,U$3,FALSE)</f>
        <v>#N/A</v>
      </c>
      <c r="V32" s="96" t="e">
        <f>VLOOKUP($O32,capacities!$A$2:$J$2352,V$3,FALSE)</f>
        <v>#N/A</v>
      </c>
      <c r="W32" s="863" t="e">
        <f>VLOOKUP($O32,capacities!$A$2:$J$2352,W$3,FALSE)</f>
        <v>#N/A</v>
      </c>
      <c r="Y32" s="40" t="s">
        <v>289</v>
      </c>
      <c r="Z32" s="96">
        <f>IFERROR(VLOOKUP($Y32,costs!$A$2:$J$2352,Z$3,FALSE),0)</f>
        <v>0</v>
      </c>
      <c r="AA32" s="96">
        <f>IFERROR(VLOOKUP($Y32,costs!$A$2:$J$2352,AA$3,FALSE),0)</f>
        <v>0</v>
      </c>
      <c r="AB32" s="96">
        <f>IFERROR(VLOOKUP($Y32,costs!$A$2:$J$2352,AB$3,FALSE),0)</f>
        <v>0</v>
      </c>
      <c r="AC32" s="96">
        <f>IFERROR(VLOOKUP($Y32,costs!$A$2:$J$2352,AC$3,FALSE),0)</f>
        <v>0</v>
      </c>
      <c r="AD32" s="96">
        <f>IFERROR(VLOOKUP($Y32,costs!$A$2:$J$2352,AD$3,FALSE),0)</f>
        <v>0</v>
      </c>
      <c r="AE32" s="96">
        <f>IFERROR(VLOOKUP($Y32,costs!$A$2:$J$2352,AE$3,FALSE),0)</f>
        <v>0</v>
      </c>
      <c r="AF32" s="96">
        <f>IFERROR(VLOOKUP($Y32,costs!$A$2:$J$2352,AF$3,FALSE),0)</f>
        <v>0</v>
      </c>
      <c r="AG32" s="96">
        <f>IFERROR(VLOOKUP($Y32,costs!$A$2:$J$2352,AG$3,FALSE),0)</f>
        <v>0</v>
      </c>
    </row>
    <row r="33" spans="1:33" x14ac:dyDescent="0.35">
      <c r="A33" s="190" t="s">
        <v>1952</v>
      </c>
      <c r="B33" s="40" t="s">
        <v>1321</v>
      </c>
      <c r="C33" s="97" t="e">
        <f t="shared" si="36"/>
        <v>#N/A</v>
      </c>
      <c r="D33" s="98">
        <f t="shared" si="37"/>
        <v>0.33510892785431912</v>
      </c>
      <c r="O33" s="40" t="s">
        <v>450</v>
      </c>
      <c r="P33" s="96" t="e">
        <f>VLOOKUP($O33,capacities!$A$2:$J$2352,P$3,FALSE)</f>
        <v>#N/A</v>
      </c>
      <c r="Q33" s="96" t="e">
        <f>VLOOKUP($O33,capacities!$A$2:$J$2352,Q$3,FALSE)</f>
        <v>#N/A</v>
      </c>
      <c r="R33" s="96" t="e">
        <f>VLOOKUP($O33,capacities!$A$2:$J$2352,R$3,FALSE)</f>
        <v>#N/A</v>
      </c>
      <c r="S33" s="96" t="e">
        <f>VLOOKUP($O33,capacities!$A$2:$J$2352,S$3,FALSE)</f>
        <v>#N/A</v>
      </c>
      <c r="T33" s="96" t="e">
        <f>VLOOKUP($O33,capacities!$A$2:$J$2352,T$3,FALSE)</f>
        <v>#N/A</v>
      </c>
      <c r="U33" s="96" t="e">
        <f>VLOOKUP($O33,capacities!$A$2:$J$2352,U$3,FALSE)</f>
        <v>#N/A</v>
      </c>
      <c r="V33" s="96" t="e">
        <f>VLOOKUP($O33,capacities!$A$2:$J$2352,V$3,FALSE)</f>
        <v>#N/A</v>
      </c>
      <c r="W33" s="863" t="e">
        <f>VLOOKUP($O33,capacities!$A$2:$J$2352,W$3,FALSE)</f>
        <v>#N/A</v>
      </c>
      <c r="Y33" s="40" t="s">
        <v>20</v>
      </c>
      <c r="Z33" s="96">
        <f>IFERROR(VLOOKUP($Y33,costs!$A$2:$J$2352,Z$3,FALSE),0)</f>
        <v>0</v>
      </c>
      <c r="AA33" s="96">
        <f>IFERROR(VLOOKUP($Y33,costs!$A$2:$J$2352,AA$3,FALSE),0)</f>
        <v>0</v>
      </c>
      <c r="AB33" s="96">
        <f>IFERROR(VLOOKUP($Y33,costs!$A$2:$J$2352,AB$3,FALSE),0)</f>
        <v>0</v>
      </c>
      <c r="AC33" s="96">
        <f>IFERROR(VLOOKUP($Y33,costs!$A$2:$J$2352,AC$3,FALSE),0)</f>
        <v>0</v>
      </c>
      <c r="AD33" s="96">
        <f>IFERROR(VLOOKUP($Y33,costs!$A$2:$J$2352,AD$3,FALSE),0)</f>
        <v>0</v>
      </c>
      <c r="AE33" s="96">
        <f>IFERROR(VLOOKUP($Y33,costs!$A$2:$J$2352,AE$3,FALSE),0)</f>
        <v>0</v>
      </c>
      <c r="AF33" s="96">
        <f>IFERROR(VLOOKUP($Y33,costs!$A$2:$J$2352,AF$3,FALSE),0)</f>
        <v>0</v>
      </c>
      <c r="AG33" s="96">
        <f>IFERROR(VLOOKUP($Y33,costs!$A$2:$J$2352,AG$3,FALSE),0)</f>
        <v>0</v>
      </c>
    </row>
    <row r="34" spans="1:33" x14ac:dyDescent="0.35">
      <c r="A34" s="190" t="s">
        <v>1654</v>
      </c>
      <c r="B34" s="40" t="s">
        <v>1324</v>
      </c>
      <c r="C34" s="97" t="e">
        <f t="shared" si="36"/>
        <v>#N/A</v>
      </c>
      <c r="D34" s="98">
        <f t="shared" si="37"/>
        <v>0.17393984943228807</v>
      </c>
      <c r="O34" s="99" t="s">
        <v>1321</v>
      </c>
      <c r="P34" s="96" t="e">
        <f>SUM(P27:P33)</f>
        <v>#N/A</v>
      </c>
      <c r="Q34" s="96" t="e">
        <f t="shared" ref="Q34:W34" si="38">SUM(Q27:Q33)</f>
        <v>#N/A</v>
      </c>
      <c r="R34" s="96" t="e">
        <f t="shared" si="38"/>
        <v>#N/A</v>
      </c>
      <c r="S34" s="96" t="e">
        <f t="shared" si="38"/>
        <v>#N/A</v>
      </c>
      <c r="T34" s="96" t="e">
        <f t="shared" si="38"/>
        <v>#N/A</v>
      </c>
      <c r="U34" s="96" t="e">
        <f t="shared" si="38"/>
        <v>#N/A</v>
      </c>
      <c r="V34" s="96" t="e">
        <f t="shared" si="38"/>
        <v>#N/A</v>
      </c>
      <c r="W34" s="863" t="e">
        <f t="shared" si="38"/>
        <v>#N/A</v>
      </c>
      <c r="Y34" s="40" t="s">
        <v>196</v>
      </c>
      <c r="Z34" s="96">
        <f>IFERROR(VLOOKUP($Y34,costs!$A$2:$J$2352,Z$3,FALSE),0)</f>
        <v>0</v>
      </c>
      <c r="AA34" s="96">
        <f>IFERROR(VLOOKUP($Y34,costs!$A$2:$J$2352,AA$3,FALSE),0)</f>
        <v>0</v>
      </c>
      <c r="AB34" s="96">
        <f>IFERROR(VLOOKUP($Y34,costs!$A$2:$J$2352,AB$3,FALSE),0)</f>
        <v>0</v>
      </c>
      <c r="AC34" s="96">
        <f>IFERROR(VLOOKUP($Y34,costs!$A$2:$J$2352,AC$3,FALSE),0)</f>
        <v>0</v>
      </c>
      <c r="AD34" s="96">
        <f>IFERROR(VLOOKUP($Y34,costs!$A$2:$J$2352,AD$3,FALSE),0)</f>
        <v>0</v>
      </c>
      <c r="AE34" s="96">
        <f>IFERROR(VLOOKUP($Y34,costs!$A$2:$J$2352,AE$3,FALSE),0)</f>
        <v>0</v>
      </c>
      <c r="AF34" s="96">
        <f>IFERROR(VLOOKUP($Y34,costs!$A$2:$J$2352,AF$3,FALSE),0)</f>
        <v>0</v>
      </c>
      <c r="AG34" s="96">
        <f>IFERROR(VLOOKUP($Y34,costs!$A$2:$J$2352,AG$3,FALSE),0)</f>
        <v>0</v>
      </c>
    </row>
    <row r="35" spans="1:33" x14ac:dyDescent="0.35">
      <c r="A35" s="190" t="s">
        <v>1655</v>
      </c>
      <c r="B35" s="40" t="s">
        <v>1323</v>
      </c>
      <c r="C35" s="97" t="e">
        <f t="shared" si="36"/>
        <v>#N/A</v>
      </c>
      <c r="D35" s="98">
        <f t="shared" si="37"/>
        <v>7.3605217069615453E-2</v>
      </c>
      <c r="O35" s="40"/>
      <c r="P35" s="96"/>
      <c r="Q35" s="96"/>
      <c r="R35" s="96"/>
      <c r="S35" s="96"/>
      <c r="T35" s="96"/>
      <c r="U35" s="96"/>
      <c r="V35" s="96"/>
      <c r="W35" s="863"/>
      <c r="Y35" s="40" t="s">
        <v>58</v>
      </c>
      <c r="Z35" s="96">
        <f>IFERROR(VLOOKUP($Y35,costs!$A$2:$J$2352,Z$3,FALSE),0)</f>
        <v>0</v>
      </c>
      <c r="AA35" s="96">
        <f>IFERROR(VLOOKUP($Y35,costs!$A$2:$J$2352,AA$3,FALSE),0)</f>
        <v>0</v>
      </c>
      <c r="AB35" s="96">
        <f>IFERROR(VLOOKUP($Y35,costs!$A$2:$J$2352,AB$3,FALSE),0)</f>
        <v>0</v>
      </c>
      <c r="AC35" s="96">
        <f>IFERROR(VLOOKUP($Y35,costs!$A$2:$J$2352,AC$3,FALSE),0)</f>
        <v>0</v>
      </c>
      <c r="AD35" s="96">
        <f>IFERROR(VLOOKUP($Y35,costs!$A$2:$J$2352,AD$3,FALSE),0)</f>
        <v>0</v>
      </c>
      <c r="AE35" s="96">
        <f>IFERROR(VLOOKUP($Y35,costs!$A$2:$J$2352,AE$3,FALSE),0)</f>
        <v>0</v>
      </c>
      <c r="AF35" s="96">
        <f>IFERROR(VLOOKUP($Y35,costs!$A$2:$J$2352,AF$3,FALSE),0)</f>
        <v>0</v>
      </c>
      <c r="AG35" s="96">
        <f>IFERROR(VLOOKUP($Y35,costs!$A$2:$J$2352,AG$3,FALSE),0)</f>
        <v>0</v>
      </c>
    </row>
    <row r="36" spans="1:33" x14ac:dyDescent="0.35">
      <c r="A36" s="190" t="s">
        <v>1523</v>
      </c>
      <c r="B36" s="40" t="s">
        <v>1427</v>
      </c>
      <c r="C36" s="97" t="e">
        <f t="shared" si="36"/>
        <v>#N/A</v>
      </c>
      <c r="D36" s="98">
        <f t="shared" si="37"/>
        <v>4.4566078639584747E-3</v>
      </c>
      <c r="O36" s="40" t="s">
        <v>451</v>
      </c>
      <c r="P36" s="96" t="e">
        <f>VLOOKUP($O36,capacities!$A$2:$J$2352,P$3,FALSE)</f>
        <v>#N/A</v>
      </c>
      <c r="Q36" s="96" t="e">
        <f>VLOOKUP($O36,capacities!$A$2:$J$2352,Q$3,FALSE)</f>
        <v>#N/A</v>
      </c>
      <c r="R36" s="96" t="e">
        <f>VLOOKUP($O36,capacities!$A$2:$J$2352,R$3,FALSE)</f>
        <v>#N/A</v>
      </c>
      <c r="S36" s="96" t="e">
        <f>VLOOKUP($O36,capacities!$A$2:$J$2352,S$3,FALSE)</f>
        <v>#N/A</v>
      </c>
      <c r="T36" s="96" t="e">
        <f>VLOOKUP($O36,capacities!$A$2:$J$2352,T$3,FALSE)</f>
        <v>#N/A</v>
      </c>
      <c r="U36" s="96" t="e">
        <f>VLOOKUP($O36,capacities!$A$2:$J$2352,U$3,FALSE)</f>
        <v>#N/A</v>
      </c>
      <c r="V36" s="96" t="e">
        <f>VLOOKUP($O36,capacities!$A$2:$J$2352,V$3,FALSE)</f>
        <v>#N/A</v>
      </c>
      <c r="W36" s="863" t="e">
        <f>VLOOKUP($O36,capacities!$A$2:$J$2352,W$3,FALSE)</f>
        <v>#N/A</v>
      </c>
      <c r="Y36" s="865" t="s">
        <v>621</v>
      </c>
      <c r="Z36" s="866">
        <f>IFERROR(VLOOKUP($Y36,flows!$A$2:$J$2352,Z$3,FALSE),0)</f>
        <v>0</v>
      </c>
      <c r="AA36" s="866">
        <f>IFERROR(VLOOKUP($Y36,flows!$A$2:$J$2352,AA$3,FALSE),0)</f>
        <v>0</v>
      </c>
      <c r="AB36" s="866">
        <f>IFERROR(VLOOKUP($Y36,flows!$A$2:$J$2352,AB$3,FALSE),0)</f>
        <v>0</v>
      </c>
      <c r="AC36" s="866">
        <f>IFERROR(VLOOKUP($Y36,flows!$A$2:$J$2352,AC$3,FALSE),0)</f>
        <v>0</v>
      </c>
      <c r="AD36" s="866">
        <f>IFERROR(VLOOKUP($Y36,flows!$A$2:$J$2352,AD$3,FALSE),0)</f>
        <v>0</v>
      </c>
      <c r="AE36" s="866">
        <f>IFERROR(VLOOKUP($Y36,flows!$A$2:$J$2352,AE$3,FALSE),0)</f>
        <v>0</v>
      </c>
      <c r="AF36" s="866">
        <f>IFERROR(VLOOKUP($Y36,flows!$A$2:$J$2352,AF$3,FALSE),0)</f>
        <v>0</v>
      </c>
      <c r="AG36" s="866">
        <f>IFERROR(VLOOKUP($Y36,flows!$A$2:$J$2352,AG$3,FALSE),0)</f>
        <v>0</v>
      </c>
    </row>
    <row r="37" spans="1:33" x14ac:dyDescent="0.35">
      <c r="A37" s="190" t="s">
        <v>1885</v>
      </c>
      <c r="B37" s="40" t="s">
        <v>1209</v>
      </c>
      <c r="C37" s="97" t="e">
        <f t="shared" si="36"/>
        <v>#N/A</v>
      </c>
      <c r="D37" s="98">
        <f t="shared" si="37"/>
        <v>2.3518442496120454E-2</v>
      </c>
      <c r="O37" s="40" t="s">
        <v>452</v>
      </c>
      <c r="P37" s="96" t="e">
        <f>VLOOKUP($O37,capacities!$A$2:$J$2352,P$3,FALSE)</f>
        <v>#N/A</v>
      </c>
      <c r="Q37" s="96" t="e">
        <f>VLOOKUP($O37,capacities!$A$2:$J$2352,Q$3,FALSE)</f>
        <v>#N/A</v>
      </c>
      <c r="R37" s="96" t="e">
        <f>VLOOKUP($O37,capacities!$A$2:$J$2352,R$3,FALSE)</f>
        <v>#N/A</v>
      </c>
      <c r="S37" s="96" t="e">
        <f>VLOOKUP($O37,capacities!$A$2:$J$2352,S$3,FALSE)</f>
        <v>#N/A</v>
      </c>
      <c r="T37" s="96" t="e">
        <f>VLOOKUP($O37,capacities!$A$2:$J$2352,T$3,FALSE)</f>
        <v>#N/A</v>
      </c>
      <c r="U37" s="96" t="e">
        <f>VLOOKUP($O37,capacities!$A$2:$J$2352,U$3,FALSE)</f>
        <v>#N/A</v>
      </c>
      <c r="V37" s="96" t="e">
        <f>VLOOKUP($O37,capacities!$A$2:$J$2352,V$3,FALSE)</f>
        <v>#N/A</v>
      </c>
      <c r="W37" s="863" t="e">
        <f>VLOOKUP($O37,capacities!$A$2:$J$2352,W$3,FALSE)</f>
        <v>#N/A</v>
      </c>
      <c r="Y37" s="867" t="s">
        <v>161</v>
      </c>
      <c r="Z37" s="866" t="e">
        <f>IFERROR(VLOOKUP($Y37,flows!$A$2:$J$2352,Z$3,FALSE),0)*(1-Z$46)</f>
        <v>#N/A</v>
      </c>
      <c r="AA37" s="866" t="e">
        <f>IFERROR(VLOOKUP($Y37,flows!$A$2:$J$2352,AA$3,FALSE),0)*(1-AA$46)</f>
        <v>#N/A</v>
      </c>
      <c r="AB37" s="866" t="e">
        <f>IFERROR(VLOOKUP($Y37,flows!$A$2:$J$2352,AB$3,FALSE),0)*(1-AB$46)</f>
        <v>#N/A</v>
      </c>
      <c r="AC37" s="866" t="e">
        <f>IFERROR(VLOOKUP($Y37,flows!$A$2:$J$2352,AC$3,FALSE),0)*(1-AC$46)</f>
        <v>#N/A</v>
      </c>
      <c r="AD37" s="866" t="e">
        <f>IFERROR(VLOOKUP($Y37,flows!$A$2:$J$2352,AD$3,FALSE),0)*(1-AD$46)</f>
        <v>#N/A</v>
      </c>
      <c r="AE37" s="866" t="e">
        <f>IFERROR(VLOOKUP($Y37,flows!$A$2:$J$2352,AE$3,FALSE),0)*(1-AE$46)</f>
        <v>#N/A</v>
      </c>
      <c r="AF37" s="866" t="e">
        <f>IFERROR(VLOOKUP($Y37,flows!$A$2:$J$2352,AF$3,FALSE),0)*(1-AF$46)</f>
        <v>#N/A</v>
      </c>
      <c r="AG37" s="866" t="e">
        <f>IFERROR(VLOOKUP($Y37,flows!$A$2:$J$2352,AG$3,FALSE),0)*(1-AG$46)</f>
        <v>#N/A</v>
      </c>
    </row>
    <row r="38" spans="1:33" x14ac:dyDescent="0.35">
      <c r="A38" s="190" t="s">
        <v>1816</v>
      </c>
      <c r="B38" s="40" t="s">
        <v>1162</v>
      </c>
      <c r="C38" s="97" t="e">
        <f t="shared" si="36"/>
        <v>#N/A</v>
      </c>
      <c r="D38" s="98">
        <f t="shared" si="37"/>
        <v>7.3155123428664287E-2</v>
      </c>
      <c r="O38" s="40" t="s">
        <v>453</v>
      </c>
      <c r="P38" s="96" t="e">
        <f>VLOOKUP($O38,capacities!$A$2:$J$2352,P$3,FALSE)</f>
        <v>#N/A</v>
      </c>
      <c r="Q38" s="96" t="e">
        <f>VLOOKUP($O38,capacities!$A$2:$J$2352,Q$3,FALSE)</f>
        <v>#N/A</v>
      </c>
      <c r="R38" s="96" t="e">
        <f>VLOOKUP($O38,capacities!$A$2:$J$2352,R$3,FALSE)</f>
        <v>#N/A</v>
      </c>
      <c r="S38" s="96" t="e">
        <f>VLOOKUP($O38,capacities!$A$2:$J$2352,S$3,FALSE)</f>
        <v>#N/A</v>
      </c>
      <c r="T38" s="96" t="e">
        <f>VLOOKUP($O38,capacities!$A$2:$J$2352,T$3,FALSE)</f>
        <v>#N/A</v>
      </c>
      <c r="U38" s="96" t="e">
        <f>VLOOKUP($O38,capacities!$A$2:$J$2352,U$3,FALSE)</f>
        <v>#N/A</v>
      </c>
      <c r="V38" s="96" t="e">
        <f>VLOOKUP($O38,capacities!$A$2:$J$2352,V$3,FALSE)</f>
        <v>#N/A</v>
      </c>
      <c r="W38" s="863" t="e">
        <f>VLOOKUP($O38,capacities!$A$2:$J$2352,W$3,FALSE)</f>
        <v>#N/A</v>
      </c>
      <c r="Y38" s="867" t="s">
        <v>162</v>
      </c>
      <c r="Z38" s="866" t="e">
        <f>IFERROR(VLOOKUP($Y38,flows!$A$2:$J$2352,Z$3,FALSE),0)*(1-Z$46)</f>
        <v>#N/A</v>
      </c>
      <c r="AA38" s="866" t="e">
        <f>IFERROR(VLOOKUP($Y38,flows!$A$2:$J$2352,AA$3,FALSE),0)*(1-AA$46)</f>
        <v>#N/A</v>
      </c>
      <c r="AB38" s="866" t="e">
        <f>IFERROR(VLOOKUP($Y38,flows!$A$2:$J$2352,AB$3,FALSE),0)*(1-AB$46)</f>
        <v>#N/A</v>
      </c>
      <c r="AC38" s="866" t="e">
        <f>IFERROR(VLOOKUP($Y38,flows!$A$2:$J$2352,AC$3,FALSE),0)*(1-AC$46)</f>
        <v>#N/A</v>
      </c>
      <c r="AD38" s="866" t="e">
        <f>IFERROR(VLOOKUP($Y38,flows!$A$2:$J$2352,AD$3,FALSE),0)*(1-AD$46)</f>
        <v>#N/A</v>
      </c>
      <c r="AE38" s="866" t="e">
        <f>IFERROR(VLOOKUP($Y38,flows!$A$2:$J$2352,AE$3,FALSE),0)*(1-AE$46)</f>
        <v>#N/A</v>
      </c>
      <c r="AF38" s="866" t="e">
        <f>IFERROR(VLOOKUP($Y38,flows!$A$2:$J$2352,AF$3,FALSE),0)*(1-AF$46)</f>
        <v>#N/A</v>
      </c>
      <c r="AG38" s="866" t="e">
        <f>IFERROR(VLOOKUP($Y38,flows!$A$2:$J$2352,AG$3,FALSE),0)*(1-AG$46)</f>
        <v>#N/A</v>
      </c>
    </row>
    <row r="39" spans="1:33" ht="15" thickBot="1" x14ac:dyDescent="0.4">
      <c r="A39" s="190" t="s">
        <v>1942</v>
      </c>
      <c r="B39" s="41" t="s">
        <v>1208</v>
      </c>
      <c r="C39" s="100" t="e">
        <f t="shared" si="36"/>
        <v>#N/A</v>
      </c>
      <c r="D39" s="98">
        <f t="shared" si="37"/>
        <v>2.4278146482462968E-3</v>
      </c>
      <c r="O39" s="40" t="s">
        <v>454</v>
      </c>
      <c r="P39" s="96" t="e">
        <f>VLOOKUP($O39,capacities!$A$2:$J$2352,P$3,FALSE)</f>
        <v>#N/A</v>
      </c>
      <c r="Q39" s="96" t="e">
        <f>VLOOKUP($O39,capacities!$A$2:$J$2352,Q$3,FALSE)</f>
        <v>#N/A</v>
      </c>
      <c r="R39" s="96" t="e">
        <f>VLOOKUP($O39,capacities!$A$2:$J$2352,R$3,FALSE)</f>
        <v>#N/A</v>
      </c>
      <c r="S39" s="96" t="e">
        <f>VLOOKUP($O39,capacities!$A$2:$J$2352,S$3,FALSE)</f>
        <v>#N/A</v>
      </c>
      <c r="T39" s="96" t="e">
        <f>VLOOKUP($O39,capacities!$A$2:$J$2352,T$3,FALSE)</f>
        <v>#N/A</v>
      </c>
      <c r="U39" s="96" t="e">
        <f>VLOOKUP($O39,capacities!$A$2:$J$2352,U$3,FALSE)</f>
        <v>#N/A</v>
      </c>
      <c r="V39" s="96" t="e">
        <f>VLOOKUP($O39,capacities!$A$2:$J$2352,V$3,FALSE)</f>
        <v>#N/A</v>
      </c>
      <c r="W39" s="863" t="e">
        <f>VLOOKUP($O39,capacities!$A$2:$J$2352,W$3,FALSE)</f>
        <v>#N/A</v>
      </c>
      <c r="Y39" s="867" t="s">
        <v>167</v>
      </c>
      <c r="Z39" s="866" t="e">
        <f>IFERROR(VLOOKUP($Y39,flows!$A$2:$J$2352,Z$3,FALSE),0)*(1-Z$46)</f>
        <v>#N/A</v>
      </c>
      <c r="AA39" s="866" t="e">
        <f>IFERROR(VLOOKUP($Y39,flows!$A$2:$J$2352,AA$3,FALSE),0)*(1-AA$46)</f>
        <v>#N/A</v>
      </c>
      <c r="AB39" s="866" t="e">
        <f>IFERROR(VLOOKUP($Y39,flows!$A$2:$J$2352,AB$3,FALSE),0)*(1-AB$46)</f>
        <v>#N/A</v>
      </c>
      <c r="AC39" s="866" t="e">
        <f>IFERROR(VLOOKUP($Y39,flows!$A$2:$J$2352,AC$3,FALSE),0)*(1-AC$46)</f>
        <v>#N/A</v>
      </c>
      <c r="AD39" s="866" t="e">
        <f>IFERROR(VLOOKUP($Y39,flows!$A$2:$J$2352,AD$3,FALSE),0)*(1-AD$46)</f>
        <v>#N/A</v>
      </c>
      <c r="AE39" s="866" t="e">
        <f>IFERROR(VLOOKUP($Y39,flows!$A$2:$J$2352,AE$3,FALSE),0)*(1-AE$46)</f>
        <v>#N/A</v>
      </c>
      <c r="AF39" s="866" t="e">
        <f>IFERROR(VLOOKUP($Y39,flows!$A$2:$J$2352,AF$3,FALSE),0)*(1-AF$46)</f>
        <v>#N/A</v>
      </c>
      <c r="AG39" s="866" t="e">
        <f>IFERROR(VLOOKUP($Y39,flows!$A$2:$J$2352,AG$3,FALSE),0)*(1-AG$46)</f>
        <v>#N/A</v>
      </c>
    </row>
    <row r="40" spans="1:33" x14ac:dyDescent="0.35">
      <c r="O40" s="40" t="s">
        <v>455</v>
      </c>
      <c r="P40" s="96" t="e">
        <f>VLOOKUP($O40,capacities!$A$2:$J$2352,P$3,FALSE)</f>
        <v>#N/A</v>
      </c>
      <c r="Q40" s="96" t="e">
        <f>VLOOKUP($O40,capacities!$A$2:$J$2352,Q$3,FALSE)</f>
        <v>#N/A</v>
      </c>
      <c r="R40" s="96" t="e">
        <f>VLOOKUP($O40,capacities!$A$2:$J$2352,R$3,FALSE)</f>
        <v>#N/A</v>
      </c>
      <c r="S40" s="96" t="e">
        <f>VLOOKUP($O40,capacities!$A$2:$J$2352,S$3,FALSE)</f>
        <v>#N/A</v>
      </c>
      <c r="T40" s="96" t="e">
        <f>VLOOKUP($O40,capacities!$A$2:$J$2352,T$3,FALSE)</f>
        <v>#N/A</v>
      </c>
      <c r="U40" s="96" t="e">
        <f>VLOOKUP($O40,capacities!$A$2:$J$2352,U$3,FALSE)</f>
        <v>#N/A</v>
      </c>
      <c r="V40" s="96" t="e">
        <f>VLOOKUP($O40,capacities!$A$2:$J$2352,V$3,FALSE)</f>
        <v>#N/A</v>
      </c>
      <c r="W40" s="863" t="e">
        <f>VLOOKUP($O40,capacities!$A$2:$J$2352,W$3,FALSE)</f>
        <v>#N/A</v>
      </c>
      <c r="Y40" s="867" t="s">
        <v>156</v>
      </c>
      <c r="Z40" s="866" t="e">
        <f>IFERROR(VLOOKUP($Y40,flows!$A$2:$J$2352,Z$3,FALSE),0)*(1-Z$46)</f>
        <v>#N/A</v>
      </c>
      <c r="AA40" s="866" t="e">
        <f>IFERROR(VLOOKUP($Y40,flows!$A$2:$J$2352,AA$3,FALSE),0)*(1-AA$46)</f>
        <v>#N/A</v>
      </c>
      <c r="AB40" s="866" t="e">
        <f>IFERROR(VLOOKUP($Y40,flows!$A$2:$J$2352,AB$3,FALSE),0)*(1-AB$46)</f>
        <v>#N/A</v>
      </c>
      <c r="AC40" s="866" t="e">
        <f>IFERROR(VLOOKUP($Y40,flows!$A$2:$J$2352,AC$3,FALSE),0)*(1-AC$46)</f>
        <v>#N/A</v>
      </c>
      <c r="AD40" s="866" t="e">
        <f>IFERROR(VLOOKUP($Y40,flows!$A$2:$J$2352,AD$3,FALSE),0)*(1-AD$46)</f>
        <v>#N/A</v>
      </c>
      <c r="AE40" s="866" t="e">
        <f>IFERROR(VLOOKUP($Y40,flows!$A$2:$J$2352,AE$3,FALSE),0)*(1-AE$46)</f>
        <v>#N/A</v>
      </c>
      <c r="AF40" s="866" t="e">
        <f>IFERROR(VLOOKUP($Y40,flows!$A$2:$J$2352,AF$3,FALSE),0)*(1-AF$46)</f>
        <v>#N/A</v>
      </c>
      <c r="AG40" s="866" t="e">
        <f>IFERROR(VLOOKUP($Y40,flows!$A$2:$J$2352,AG$3,FALSE),0)*(1-AG$46)</f>
        <v>#N/A</v>
      </c>
    </row>
    <row r="41" spans="1:33" x14ac:dyDescent="0.35">
      <c r="O41" s="40" t="s">
        <v>456</v>
      </c>
      <c r="P41" s="96" t="e">
        <f>VLOOKUP($O41,capacities!$A$2:$J$2352,P$3,FALSE)</f>
        <v>#N/A</v>
      </c>
      <c r="Q41" s="96" t="e">
        <f>VLOOKUP($O41,capacities!$A$2:$J$2352,Q$3,FALSE)</f>
        <v>#N/A</v>
      </c>
      <c r="R41" s="96" t="e">
        <f>VLOOKUP($O41,capacities!$A$2:$J$2352,R$3,FALSE)</f>
        <v>#N/A</v>
      </c>
      <c r="S41" s="96" t="e">
        <f>VLOOKUP($O41,capacities!$A$2:$J$2352,S$3,FALSE)</f>
        <v>#N/A</v>
      </c>
      <c r="T41" s="96" t="e">
        <f>VLOOKUP($O41,capacities!$A$2:$J$2352,T$3,FALSE)</f>
        <v>#N/A</v>
      </c>
      <c r="U41" s="96" t="e">
        <f>VLOOKUP($O41,capacities!$A$2:$J$2352,U$3,FALSE)</f>
        <v>#N/A</v>
      </c>
      <c r="V41" s="96" t="e">
        <f>VLOOKUP($O41,capacities!$A$2:$J$2352,V$3,FALSE)</f>
        <v>#N/A</v>
      </c>
      <c r="W41" s="863" t="e">
        <f>VLOOKUP($O41,capacities!$A$2:$J$2352,W$3,FALSE)</f>
        <v>#N/A</v>
      </c>
      <c r="Y41" s="867" t="s">
        <v>157</v>
      </c>
      <c r="Z41" s="866" t="e">
        <f>IFERROR(VLOOKUP($Y41,flows!$A$2:$J$2352,Z$3,FALSE),0)*(1-Z$46)</f>
        <v>#N/A</v>
      </c>
      <c r="AA41" s="866" t="e">
        <f>IFERROR(VLOOKUP($Y41,flows!$A$2:$J$2352,AA$3,FALSE),0)*(1-AA$46)</f>
        <v>#N/A</v>
      </c>
      <c r="AB41" s="866" t="e">
        <f>IFERROR(VLOOKUP($Y41,flows!$A$2:$J$2352,AB$3,FALSE),0)*(1-AB$46)</f>
        <v>#N/A</v>
      </c>
      <c r="AC41" s="866" t="e">
        <f>IFERROR(VLOOKUP($Y41,flows!$A$2:$J$2352,AC$3,FALSE),0)*(1-AC$46)</f>
        <v>#N/A</v>
      </c>
      <c r="AD41" s="866" t="e">
        <f>IFERROR(VLOOKUP($Y41,flows!$A$2:$J$2352,AD$3,FALSE),0)*(1-AD$46)</f>
        <v>#N/A</v>
      </c>
      <c r="AE41" s="866" t="e">
        <f>IFERROR(VLOOKUP($Y41,flows!$A$2:$J$2352,AE$3,FALSE),0)*(1-AE$46)</f>
        <v>#N/A</v>
      </c>
      <c r="AF41" s="866" t="e">
        <f>IFERROR(VLOOKUP($Y41,flows!$A$2:$J$2352,AF$3,FALSE),0)*(1-AF$46)</f>
        <v>#N/A</v>
      </c>
      <c r="AG41" s="866" t="e">
        <f>IFERROR(VLOOKUP($Y41,flows!$A$2:$J$2352,AG$3,FALSE),0)*(1-AG$46)</f>
        <v>#N/A</v>
      </c>
    </row>
    <row r="42" spans="1:33" x14ac:dyDescent="0.35">
      <c r="O42" s="40" t="s">
        <v>457</v>
      </c>
      <c r="P42" s="96" t="e">
        <f>VLOOKUP($O42,capacities!$A$2:$J$2352,P$3,FALSE)</f>
        <v>#N/A</v>
      </c>
      <c r="Q42" s="96" t="e">
        <f>VLOOKUP($O42,capacities!$A$2:$J$2352,Q$3,FALSE)</f>
        <v>#N/A</v>
      </c>
      <c r="R42" s="96" t="e">
        <f>VLOOKUP($O42,capacities!$A$2:$J$2352,R$3,FALSE)</f>
        <v>#N/A</v>
      </c>
      <c r="S42" s="96" t="e">
        <f>VLOOKUP($O42,capacities!$A$2:$J$2352,S$3,FALSE)</f>
        <v>#N/A</v>
      </c>
      <c r="T42" s="96" t="e">
        <f>VLOOKUP($O42,capacities!$A$2:$J$2352,T$3,FALSE)</f>
        <v>#N/A</v>
      </c>
      <c r="U42" s="96" t="e">
        <f>VLOOKUP($O42,capacities!$A$2:$J$2352,U$3,FALSE)</f>
        <v>#N/A</v>
      </c>
      <c r="V42" s="96" t="e">
        <f>VLOOKUP($O42,capacities!$A$2:$J$2352,V$3,FALSE)</f>
        <v>#N/A</v>
      </c>
      <c r="W42" s="863" t="e">
        <f>VLOOKUP($O42,capacities!$A$2:$J$2352,W$3,FALSE)</f>
        <v>#N/A</v>
      </c>
      <c r="Y42" s="867" t="s">
        <v>169</v>
      </c>
      <c r="Z42" s="866" t="e">
        <f>IFERROR(VLOOKUP($Y42,flows!$A$2:$J$2352,Z$3,FALSE),0)*(1-Z$46)</f>
        <v>#N/A</v>
      </c>
      <c r="AA42" s="866" t="e">
        <f>IFERROR(VLOOKUP($Y42,flows!$A$2:$J$2352,AA$3,FALSE),0)*(1-AA$46)</f>
        <v>#N/A</v>
      </c>
      <c r="AB42" s="866" t="e">
        <f>IFERROR(VLOOKUP($Y42,flows!$A$2:$J$2352,AB$3,FALSE),0)*(1-AB$46)</f>
        <v>#N/A</v>
      </c>
      <c r="AC42" s="866" t="e">
        <f>IFERROR(VLOOKUP($Y42,flows!$A$2:$J$2352,AC$3,FALSE),0)*(1-AC$46)</f>
        <v>#N/A</v>
      </c>
      <c r="AD42" s="866" t="e">
        <f>IFERROR(VLOOKUP($Y42,flows!$A$2:$J$2352,AD$3,FALSE),0)*(1-AD$46)</f>
        <v>#N/A</v>
      </c>
      <c r="AE42" s="866" t="e">
        <f>IFERROR(VLOOKUP($Y42,flows!$A$2:$J$2352,AE$3,FALSE),0)*(1-AE$46)</f>
        <v>#N/A</v>
      </c>
      <c r="AF42" s="866" t="e">
        <f>IFERROR(VLOOKUP($Y42,flows!$A$2:$J$2352,AF$3,FALSE),0)*(1-AF$46)</f>
        <v>#N/A</v>
      </c>
      <c r="AG42" s="866" t="e">
        <f>IFERROR(VLOOKUP($Y42,flows!$A$2:$J$2352,AG$3,FALSE),0)*(1-AG$46)</f>
        <v>#N/A</v>
      </c>
    </row>
    <row r="43" spans="1:33" x14ac:dyDescent="0.35">
      <c r="O43" s="99" t="s">
        <v>1322</v>
      </c>
      <c r="P43" s="96" t="e">
        <f>SUM(P36:P42)</f>
        <v>#N/A</v>
      </c>
      <c r="Q43" s="96" t="e">
        <f t="shared" ref="Q43:W43" si="39">SUM(Q36:Q42)</f>
        <v>#N/A</v>
      </c>
      <c r="R43" s="96" t="e">
        <f t="shared" si="39"/>
        <v>#N/A</v>
      </c>
      <c r="S43" s="96" t="e">
        <f t="shared" si="39"/>
        <v>#N/A</v>
      </c>
      <c r="T43" s="96" t="e">
        <f t="shared" si="39"/>
        <v>#N/A</v>
      </c>
      <c r="U43" s="96" t="e">
        <f t="shared" si="39"/>
        <v>#N/A</v>
      </c>
      <c r="V43" s="96" t="e">
        <f t="shared" si="39"/>
        <v>#N/A</v>
      </c>
      <c r="W43" s="863" t="e">
        <f t="shared" si="39"/>
        <v>#N/A</v>
      </c>
      <c r="Y43" s="865" t="s">
        <v>4089</v>
      </c>
      <c r="Z43" s="868">
        <f t="shared" ref="Z43:AG43" si="40">IF(Z36=0,0,SUM(Z37:Z39)/Z36)</f>
        <v>0</v>
      </c>
      <c r="AA43" s="868">
        <f t="shared" si="40"/>
        <v>0</v>
      </c>
      <c r="AB43" s="868">
        <f t="shared" si="40"/>
        <v>0</v>
      </c>
      <c r="AC43" s="868">
        <f t="shared" si="40"/>
        <v>0</v>
      </c>
      <c r="AD43" s="868">
        <f t="shared" si="40"/>
        <v>0</v>
      </c>
      <c r="AE43" s="868">
        <f t="shared" si="40"/>
        <v>0</v>
      </c>
      <c r="AF43" s="868">
        <f t="shared" si="40"/>
        <v>0</v>
      </c>
      <c r="AG43" s="868">
        <f t="shared" si="40"/>
        <v>0</v>
      </c>
    </row>
    <row r="44" spans="1:33" x14ac:dyDescent="0.35">
      <c r="O44" s="40"/>
      <c r="P44" s="92"/>
      <c r="Q44" s="92"/>
      <c r="R44" s="92"/>
      <c r="S44" s="92"/>
      <c r="T44" s="92"/>
      <c r="U44" s="92"/>
      <c r="V44" s="92"/>
      <c r="W44" s="93"/>
      <c r="Y44" s="867" t="s">
        <v>199</v>
      </c>
      <c r="Z44" s="866">
        <f>IFERROR(VLOOKUP($Y44,costs!$A$2:$J$2352,Z$3,FALSE),0)</f>
        <v>0</v>
      </c>
      <c r="AA44" s="866">
        <f>IFERROR(VLOOKUP($Y44,costs!$A$2:$J$2352,AA$3,FALSE),0)</f>
        <v>0</v>
      </c>
      <c r="AB44" s="866">
        <f>IFERROR(VLOOKUP($Y44,costs!$A$2:$J$2352,AB$3,FALSE),0)</f>
        <v>0</v>
      </c>
      <c r="AC44" s="866">
        <f>IFERROR(VLOOKUP($Y44,costs!$A$2:$J$2352,AC$3,FALSE),0)</f>
        <v>0</v>
      </c>
      <c r="AD44" s="866">
        <f>IFERROR(VLOOKUP($Y44,costs!$A$2:$J$2352,AD$3,FALSE),0)</f>
        <v>0</v>
      </c>
      <c r="AE44" s="866">
        <f>IFERROR(VLOOKUP($Y44,costs!$A$2:$J$2352,AE$3,FALSE),0)</f>
        <v>0</v>
      </c>
      <c r="AF44" s="866">
        <f>IFERROR(VLOOKUP($Y44,costs!$A$2:$J$2352,AF$3,FALSE),0)</f>
        <v>0</v>
      </c>
      <c r="AG44" s="866">
        <f>IFERROR(VLOOKUP($Y44,costs!$A$2:$J$2352,AG$3,FALSE),0)</f>
        <v>0</v>
      </c>
    </row>
    <row r="45" spans="1:33" x14ac:dyDescent="0.35">
      <c r="O45" s="40" t="s">
        <v>379</v>
      </c>
      <c r="P45" s="96" t="e">
        <f>VLOOKUP($O45,capacities!$A$2:$J$2352,P$3,FALSE)</f>
        <v>#N/A</v>
      </c>
      <c r="Q45" s="96" t="e">
        <f>VLOOKUP($O45,capacities!$A$2:$J$2352,Q$3,FALSE)</f>
        <v>#N/A</v>
      </c>
      <c r="R45" s="96" t="e">
        <f>VLOOKUP($O45,capacities!$A$2:$J$2352,R$3,FALSE)</f>
        <v>#N/A</v>
      </c>
      <c r="S45" s="96" t="e">
        <f>VLOOKUP($O45,capacities!$A$2:$J$2352,S$3,FALSE)</f>
        <v>#N/A</v>
      </c>
      <c r="T45" s="96" t="e">
        <f>VLOOKUP($O45,capacities!$A$2:$J$2352,T$3,FALSE)</f>
        <v>#N/A</v>
      </c>
      <c r="U45" s="96" t="e">
        <f>VLOOKUP($O45,capacities!$A$2:$J$2352,U$3,FALSE)</f>
        <v>#N/A</v>
      </c>
      <c r="V45" s="96" t="e">
        <f>VLOOKUP($O45,capacities!$A$2:$J$2352,V$3,FALSE)</f>
        <v>#N/A</v>
      </c>
      <c r="W45" s="863" t="e">
        <f>VLOOKUP($O45,capacities!$A$2:$J$2352,W$3,FALSE)</f>
        <v>#N/A</v>
      </c>
      <c r="Y45" s="869" t="s">
        <v>4090</v>
      </c>
      <c r="Z45" s="870">
        <f>SUM(Z30:Z35)+(Z44*Z43)</f>
        <v>0</v>
      </c>
      <c r="AA45" s="870">
        <f t="shared" ref="AA45:AG45" si="41">SUM(AA30:AA35)+(AA44*AA43)</f>
        <v>0</v>
      </c>
      <c r="AB45" s="870">
        <f t="shared" si="41"/>
        <v>0</v>
      </c>
      <c r="AC45" s="870">
        <f t="shared" si="41"/>
        <v>0</v>
      </c>
      <c r="AD45" s="870">
        <f t="shared" si="41"/>
        <v>0</v>
      </c>
      <c r="AE45" s="870">
        <f t="shared" si="41"/>
        <v>0</v>
      </c>
      <c r="AF45" s="870">
        <f t="shared" si="41"/>
        <v>0</v>
      </c>
      <c r="AG45" s="870">
        <f t="shared" si="41"/>
        <v>0</v>
      </c>
    </row>
    <row r="46" spans="1:33" x14ac:dyDescent="0.35">
      <c r="O46" s="40" t="s">
        <v>380</v>
      </c>
      <c r="P46" s="96" t="e">
        <f>VLOOKUP($O46,capacities!$A$2:$J$2352,P$3,FALSE)</f>
        <v>#N/A</v>
      </c>
      <c r="Q46" s="96" t="e">
        <f>VLOOKUP($O46,capacities!$A$2:$J$2352,Q$3,FALSE)</f>
        <v>#N/A</v>
      </c>
      <c r="R46" s="96" t="e">
        <f>VLOOKUP($O46,capacities!$A$2:$J$2352,R$3,FALSE)</f>
        <v>#N/A</v>
      </c>
      <c r="S46" s="96" t="e">
        <f>VLOOKUP($O46,capacities!$A$2:$J$2352,S$3,FALSE)</f>
        <v>#N/A</v>
      </c>
      <c r="T46" s="96" t="e">
        <f>VLOOKUP($O46,capacities!$A$2:$J$2352,T$3,FALSE)</f>
        <v>#N/A</v>
      </c>
      <c r="U46" s="96" t="e">
        <f>VLOOKUP($O46,capacities!$A$2:$J$2352,U$3,FALSE)</f>
        <v>#N/A</v>
      </c>
      <c r="V46" s="96" t="e">
        <f>VLOOKUP($O46,capacities!$A$2:$J$2352,V$3,FALSE)</f>
        <v>#N/A</v>
      </c>
      <c r="W46" s="863" t="e">
        <f>VLOOKUP($O46,capacities!$A$2:$J$2352,W$3,FALSE)</f>
        <v>#N/A</v>
      </c>
      <c r="Y46" s="99" t="s">
        <v>4091</v>
      </c>
      <c r="Z46" s="97" t="e">
        <f>Erdgas!F16</f>
        <v>#N/A</v>
      </c>
      <c r="AA46" s="97" t="e">
        <f>Erdgas!G16</f>
        <v>#N/A</v>
      </c>
      <c r="AB46" s="97" t="e">
        <f>Erdgas!H16</f>
        <v>#N/A</v>
      </c>
      <c r="AC46" s="97" t="e">
        <f>Erdgas!I16</f>
        <v>#N/A</v>
      </c>
      <c r="AD46" s="97" t="e">
        <f>Erdgas!J16</f>
        <v>#N/A</v>
      </c>
      <c r="AE46" s="97" t="e">
        <f>Erdgas!K16</f>
        <v>#N/A</v>
      </c>
      <c r="AF46" s="97" t="e">
        <f>Erdgas!L16</f>
        <v>#N/A</v>
      </c>
      <c r="AG46" s="97" t="e">
        <f>Erdgas!M16</f>
        <v>#N/A</v>
      </c>
    </row>
    <row r="47" spans="1:33" x14ac:dyDescent="0.35">
      <c r="O47" s="99" t="s">
        <v>1323</v>
      </c>
      <c r="P47" s="96" t="e">
        <f>P45+P46</f>
        <v>#N/A</v>
      </c>
      <c r="Q47" s="96" t="e">
        <f t="shared" ref="Q47:W47" si="42">Q45+Q46</f>
        <v>#N/A</v>
      </c>
      <c r="R47" s="96" t="e">
        <f t="shared" si="42"/>
        <v>#N/A</v>
      </c>
      <c r="S47" s="96" t="e">
        <f t="shared" si="42"/>
        <v>#N/A</v>
      </c>
      <c r="T47" s="96" t="e">
        <f t="shared" si="42"/>
        <v>#N/A</v>
      </c>
      <c r="U47" s="96" t="e">
        <f t="shared" si="42"/>
        <v>#N/A</v>
      </c>
      <c r="V47" s="96" t="e">
        <f t="shared" si="42"/>
        <v>#N/A</v>
      </c>
      <c r="W47" s="863" t="e">
        <f t="shared" si="42"/>
        <v>#N/A</v>
      </c>
      <c r="Y47" s="40"/>
      <c r="Z47" s="96"/>
      <c r="AA47" s="96"/>
      <c r="AB47" s="96"/>
      <c r="AC47" s="96"/>
      <c r="AD47" s="96"/>
      <c r="AE47" s="96"/>
      <c r="AF47" s="96"/>
      <c r="AG47" s="863"/>
    </row>
    <row r="48" spans="1:33" x14ac:dyDescent="0.35">
      <c r="O48" s="40"/>
      <c r="P48" s="96"/>
      <c r="Q48" s="96"/>
      <c r="R48" s="96"/>
      <c r="S48" s="96"/>
      <c r="T48" s="96"/>
      <c r="U48" s="96"/>
      <c r="V48" s="96"/>
      <c r="W48" s="863"/>
      <c r="Y48" s="40" t="s">
        <v>444</v>
      </c>
      <c r="Z48" s="96">
        <f>IFERROR(VLOOKUP($Y48,costs!$A$2:$J$2352,Z$3,FALSE),0)</f>
        <v>0</v>
      </c>
      <c r="AA48" s="96">
        <f>IFERROR(VLOOKUP($Y48,costs!$A$2:$J$2352,AA$3,FALSE),0)</f>
        <v>0</v>
      </c>
      <c r="AB48" s="96">
        <f>IFERROR(VLOOKUP($Y48,costs!$A$2:$J$2352,AB$3,FALSE),0)</f>
        <v>0</v>
      </c>
      <c r="AC48" s="96">
        <f>IFERROR(VLOOKUP($Y48,costs!$A$2:$J$2352,AC$3,FALSE),0)</f>
        <v>0</v>
      </c>
      <c r="AD48" s="96">
        <f>IFERROR(VLOOKUP($Y48,costs!$A$2:$J$2352,AD$3,FALSE),0)</f>
        <v>0</v>
      </c>
      <c r="AE48" s="96">
        <f>IFERROR(VLOOKUP($Y48,costs!$A$2:$J$2352,AE$3,FALSE),0)</f>
        <v>0</v>
      </c>
      <c r="AF48" s="96">
        <f>IFERROR(VLOOKUP($Y48,costs!$A$2:$J$2352,AF$3,FALSE),0)</f>
        <v>0</v>
      </c>
      <c r="AG48" s="96">
        <f>IFERROR(VLOOKUP($Y48,costs!$A$2:$J$2352,AG$3,FALSE),0)</f>
        <v>0</v>
      </c>
    </row>
    <row r="49" spans="15:33" x14ac:dyDescent="0.35">
      <c r="O49" s="40" t="s">
        <v>391</v>
      </c>
      <c r="P49" s="96" t="e">
        <f>VLOOKUP($O49,capacities!$A$2:$J$2352,P$3,FALSE)</f>
        <v>#N/A</v>
      </c>
      <c r="Q49" s="96" t="e">
        <f>VLOOKUP($O49,capacities!$A$2:$J$2352,Q$3,FALSE)</f>
        <v>#N/A</v>
      </c>
      <c r="R49" s="96" t="e">
        <f>VLOOKUP($O49,capacities!$A$2:$J$2352,R$3,FALSE)</f>
        <v>#N/A</v>
      </c>
      <c r="S49" s="96" t="e">
        <f>VLOOKUP($O49,capacities!$A$2:$J$2352,S$3,FALSE)</f>
        <v>#N/A</v>
      </c>
      <c r="T49" s="96" t="e">
        <f>VLOOKUP($O49,capacities!$A$2:$J$2352,T$3,FALSE)</f>
        <v>#N/A</v>
      </c>
      <c r="U49" s="96" t="e">
        <f>VLOOKUP($O49,capacities!$A$2:$J$2352,U$3,FALSE)</f>
        <v>#N/A</v>
      </c>
      <c r="V49" s="96" t="e">
        <f>VLOOKUP($O49,capacities!$A$2:$J$2352,V$3,FALSE)</f>
        <v>#N/A</v>
      </c>
      <c r="W49" s="863" t="e">
        <f>VLOOKUP($O49,capacities!$A$2:$J$2352,W$3,FALSE)</f>
        <v>#N/A</v>
      </c>
      <c r="Y49" s="40" t="s">
        <v>445</v>
      </c>
      <c r="Z49" s="96">
        <f>IFERROR(VLOOKUP($Y49,costs!$A$2:$J$2352,Z$3,FALSE),0)</f>
        <v>0</v>
      </c>
      <c r="AA49" s="96">
        <f>IFERROR(VLOOKUP($Y49,costs!$A$2:$J$2352,AA$3,FALSE),0)</f>
        <v>0</v>
      </c>
      <c r="AB49" s="96">
        <f>IFERROR(VLOOKUP($Y49,costs!$A$2:$J$2352,AB$3,FALSE),0)</f>
        <v>0</v>
      </c>
      <c r="AC49" s="96">
        <f>IFERROR(VLOOKUP($Y49,costs!$A$2:$J$2352,AC$3,FALSE),0)</f>
        <v>0</v>
      </c>
      <c r="AD49" s="96">
        <f>IFERROR(VLOOKUP($Y49,costs!$A$2:$J$2352,AD$3,FALSE),0)</f>
        <v>0</v>
      </c>
      <c r="AE49" s="96">
        <f>IFERROR(VLOOKUP($Y49,costs!$A$2:$J$2352,AE$3,FALSE),0)</f>
        <v>0</v>
      </c>
      <c r="AF49" s="96">
        <f>IFERROR(VLOOKUP($Y49,costs!$A$2:$J$2352,AF$3,FALSE),0)</f>
        <v>0</v>
      </c>
      <c r="AG49" s="96">
        <f>IFERROR(VLOOKUP($Y49,costs!$A$2:$J$2352,AG$3,FALSE),0)</f>
        <v>0</v>
      </c>
    </row>
    <row r="50" spans="15:33" x14ac:dyDescent="0.35">
      <c r="O50" s="40" t="s">
        <v>392</v>
      </c>
      <c r="P50" s="96" t="e">
        <f>VLOOKUP($O50,capacities!$A$2:$J$2352,P$3,FALSE)</f>
        <v>#N/A</v>
      </c>
      <c r="Q50" s="96" t="e">
        <f>VLOOKUP($O50,capacities!$A$2:$J$2352,Q$3,FALSE)</f>
        <v>#N/A</v>
      </c>
      <c r="R50" s="96" t="e">
        <f>VLOOKUP($O50,capacities!$A$2:$J$2352,R$3,FALSE)</f>
        <v>#N/A</v>
      </c>
      <c r="S50" s="96" t="e">
        <f>VLOOKUP($O50,capacities!$A$2:$J$2352,S$3,FALSE)</f>
        <v>#N/A</v>
      </c>
      <c r="T50" s="96" t="e">
        <f>VLOOKUP($O50,capacities!$A$2:$J$2352,T$3,FALSE)</f>
        <v>#N/A</v>
      </c>
      <c r="U50" s="96" t="e">
        <f>VLOOKUP($O50,capacities!$A$2:$J$2352,U$3,FALSE)</f>
        <v>#N/A</v>
      </c>
      <c r="V50" s="96" t="e">
        <f>VLOOKUP($O50,capacities!$A$2:$J$2352,V$3,FALSE)</f>
        <v>#N/A</v>
      </c>
      <c r="W50" s="863" t="e">
        <f>VLOOKUP($O50,capacities!$A$2:$J$2352,W$3,FALSE)</f>
        <v>#N/A</v>
      </c>
      <c r="Y50" s="40" t="s">
        <v>446</v>
      </c>
      <c r="Z50" s="96">
        <f>IFERROR(VLOOKUP($Y50,costs!$A$2:$J$2352,Z$3,FALSE),0)</f>
        <v>0</v>
      </c>
      <c r="AA50" s="96">
        <f>IFERROR(VLOOKUP($Y50,costs!$A$2:$J$2352,AA$3,FALSE),0)</f>
        <v>0</v>
      </c>
      <c r="AB50" s="96">
        <f>IFERROR(VLOOKUP($Y50,costs!$A$2:$J$2352,AB$3,FALSE),0)</f>
        <v>0</v>
      </c>
      <c r="AC50" s="96">
        <f>IFERROR(VLOOKUP($Y50,costs!$A$2:$J$2352,AC$3,FALSE),0)</f>
        <v>0</v>
      </c>
      <c r="AD50" s="96">
        <f>IFERROR(VLOOKUP($Y50,costs!$A$2:$J$2352,AD$3,FALSE),0)</f>
        <v>0</v>
      </c>
      <c r="AE50" s="96">
        <f>IFERROR(VLOOKUP($Y50,costs!$A$2:$J$2352,AE$3,FALSE),0)</f>
        <v>0</v>
      </c>
      <c r="AF50" s="96">
        <f>IFERROR(VLOOKUP($Y50,costs!$A$2:$J$2352,AF$3,FALSE),0)</f>
        <v>0</v>
      </c>
      <c r="AG50" s="96">
        <f>IFERROR(VLOOKUP($Y50,costs!$A$2:$J$2352,AG$3,FALSE),0)</f>
        <v>0</v>
      </c>
    </row>
    <row r="51" spans="15:33" x14ac:dyDescent="0.35">
      <c r="O51" s="40" t="s">
        <v>393</v>
      </c>
      <c r="P51" s="96" t="e">
        <f>VLOOKUP($O51,capacities!$A$2:$J$2352,P$3,FALSE)</f>
        <v>#N/A</v>
      </c>
      <c r="Q51" s="96" t="e">
        <f>VLOOKUP($O51,capacities!$A$2:$J$2352,Q$3,FALSE)</f>
        <v>#N/A</v>
      </c>
      <c r="R51" s="96" t="e">
        <f>VLOOKUP($O51,capacities!$A$2:$J$2352,R$3,FALSE)</f>
        <v>#N/A</v>
      </c>
      <c r="S51" s="96" t="e">
        <f>VLOOKUP($O51,capacities!$A$2:$J$2352,S$3,FALSE)</f>
        <v>#N/A</v>
      </c>
      <c r="T51" s="96" t="e">
        <f>VLOOKUP($O51,capacities!$A$2:$J$2352,T$3,FALSE)</f>
        <v>#N/A</v>
      </c>
      <c r="U51" s="96" t="e">
        <f>VLOOKUP($O51,capacities!$A$2:$J$2352,U$3,FALSE)</f>
        <v>#N/A</v>
      </c>
      <c r="V51" s="96" t="e">
        <f>VLOOKUP($O51,capacities!$A$2:$J$2352,V$3,FALSE)</f>
        <v>#N/A</v>
      </c>
      <c r="W51" s="863" t="e">
        <f>VLOOKUP($O51,capacities!$A$2:$J$2352,W$3,FALSE)</f>
        <v>#N/A</v>
      </c>
      <c r="Y51" s="40" t="s">
        <v>447</v>
      </c>
      <c r="Z51" s="96">
        <f>IFERROR(VLOOKUP($Y51,costs!$A$2:$J$2352,Z$3,FALSE),0)</f>
        <v>0</v>
      </c>
      <c r="AA51" s="96">
        <f>IFERROR(VLOOKUP($Y51,costs!$A$2:$J$2352,AA$3,FALSE),0)</f>
        <v>0</v>
      </c>
      <c r="AB51" s="96">
        <f>IFERROR(VLOOKUP($Y51,costs!$A$2:$J$2352,AB$3,FALSE),0)</f>
        <v>0</v>
      </c>
      <c r="AC51" s="96">
        <f>IFERROR(VLOOKUP($Y51,costs!$A$2:$J$2352,AC$3,FALSE),0)</f>
        <v>0</v>
      </c>
      <c r="AD51" s="96">
        <f>IFERROR(VLOOKUP($Y51,costs!$A$2:$J$2352,AD$3,FALSE),0)</f>
        <v>0</v>
      </c>
      <c r="AE51" s="96">
        <f>IFERROR(VLOOKUP($Y51,costs!$A$2:$J$2352,AE$3,FALSE),0)</f>
        <v>0</v>
      </c>
      <c r="AF51" s="96">
        <f>IFERROR(VLOOKUP($Y51,costs!$A$2:$J$2352,AF$3,FALSE),0)</f>
        <v>0</v>
      </c>
      <c r="AG51" s="96">
        <f>IFERROR(VLOOKUP($Y51,costs!$A$2:$J$2352,AG$3,FALSE),0)</f>
        <v>0</v>
      </c>
    </row>
    <row r="52" spans="15:33" x14ac:dyDescent="0.35">
      <c r="O52" s="40" t="s">
        <v>394</v>
      </c>
      <c r="P52" s="96" t="e">
        <f>VLOOKUP($O52,capacities!$A$2:$J$2352,P$3,FALSE)</f>
        <v>#N/A</v>
      </c>
      <c r="Q52" s="96" t="e">
        <f>VLOOKUP($O52,capacities!$A$2:$J$2352,Q$3,FALSE)</f>
        <v>#N/A</v>
      </c>
      <c r="R52" s="96" t="e">
        <f>VLOOKUP($O52,capacities!$A$2:$J$2352,R$3,FALSE)</f>
        <v>#N/A</v>
      </c>
      <c r="S52" s="96" t="e">
        <f>VLOOKUP($O52,capacities!$A$2:$J$2352,S$3,FALSE)</f>
        <v>#N/A</v>
      </c>
      <c r="T52" s="96" t="e">
        <f>VLOOKUP($O52,capacities!$A$2:$J$2352,T$3,FALSE)</f>
        <v>#N/A</v>
      </c>
      <c r="U52" s="96" t="e">
        <f>VLOOKUP($O52,capacities!$A$2:$J$2352,U$3,FALSE)</f>
        <v>#N/A</v>
      </c>
      <c r="V52" s="96" t="e">
        <f>VLOOKUP($O52,capacities!$A$2:$J$2352,V$3,FALSE)</f>
        <v>#N/A</v>
      </c>
      <c r="W52" s="863" t="e">
        <f>VLOOKUP($O52,capacities!$A$2:$J$2352,W$3,FALSE)</f>
        <v>#N/A</v>
      </c>
      <c r="Y52" s="40" t="s">
        <v>448</v>
      </c>
      <c r="Z52" s="96">
        <f>IFERROR(VLOOKUP($Y52,costs!$A$2:$J$2352,Z$3,FALSE),0)</f>
        <v>0</v>
      </c>
      <c r="AA52" s="96">
        <f>IFERROR(VLOOKUP($Y52,costs!$A$2:$J$2352,AA$3,FALSE),0)</f>
        <v>0</v>
      </c>
      <c r="AB52" s="96">
        <f>IFERROR(VLOOKUP($Y52,costs!$A$2:$J$2352,AB$3,FALSE),0)</f>
        <v>0</v>
      </c>
      <c r="AC52" s="96">
        <f>IFERROR(VLOOKUP($Y52,costs!$A$2:$J$2352,AC$3,FALSE),0)</f>
        <v>0</v>
      </c>
      <c r="AD52" s="96">
        <f>IFERROR(VLOOKUP($Y52,costs!$A$2:$J$2352,AD$3,FALSE),0)</f>
        <v>0</v>
      </c>
      <c r="AE52" s="96">
        <f>IFERROR(VLOOKUP($Y52,costs!$A$2:$J$2352,AE$3,FALSE),0)</f>
        <v>0</v>
      </c>
      <c r="AF52" s="96">
        <f>IFERROR(VLOOKUP($Y52,costs!$A$2:$J$2352,AF$3,FALSE),0)</f>
        <v>0</v>
      </c>
      <c r="AG52" s="96">
        <f>IFERROR(VLOOKUP($Y52,costs!$A$2:$J$2352,AG$3,FALSE),0)</f>
        <v>0</v>
      </c>
    </row>
    <row r="53" spans="15:33" x14ac:dyDescent="0.35">
      <c r="O53" s="40" t="s">
        <v>395</v>
      </c>
      <c r="P53" s="96" t="e">
        <f>VLOOKUP($O53,capacities!$A$2:$J$2352,P$3,FALSE)</f>
        <v>#N/A</v>
      </c>
      <c r="Q53" s="96" t="e">
        <f>VLOOKUP($O53,capacities!$A$2:$J$2352,Q$3,FALSE)</f>
        <v>#N/A</v>
      </c>
      <c r="R53" s="96" t="e">
        <f>VLOOKUP($O53,capacities!$A$2:$J$2352,R$3,FALSE)</f>
        <v>#N/A</v>
      </c>
      <c r="S53" s="96" t="e">
        <f>VLOOKUP($O53,capacities!$A$2:$J$2352,S$3,FALSE)</f>
        <v>#N/A</v>
      </c>
      <c r="T53" s="96" t="e">
        <f>VLOOKUP($O53,capacities!$A$2:$J$2352,T$3,FALSE)</f>
        <v>#N/A</v>
      </c>
      <c r="U53" s="96" t="e">
        <f>VLOOKUP($O53,capacities!$A$2:$J$2352,U$3,FALSE)</f>
        <v>#N/A</v>
      </c>
      <c r="V53" s="96" t="e">
        <f>VLOOKUP($O53,capacities!$A$2:$J$2352,V$3,FALSE)</f>
        <v>#N/A</v>
      </c>
      <c r="W53" s="863" t="e">
        <f>VLOOKUP($O53,capacities!$A$2:$J$2352,W$3,FALSE)</f>
        <v>#N/A</v>
      </c>
      <c r="Y53" s="40" t="s">
        <v>449</v>
      </c>
      <c r="Z53" s="96">
        <f>IFERROR(VLOOKUP($Y53,costs!$A$2:$J$2352,Z$3,FALSE),0)</f>
        <v>0</v>
      </c>
      <c r="AA53" s="96">
        <f>IFERROR(VLOOKUP($Y53,costs!$A$2:$J$2352,AA$3,FALSE),0)</f>
        <v>0</v>
      </c>
      <c r="AB53" s="96">
        <f>IFERROR(VLOOKUP($Y53,costs!$A$2:$J$2352,AB$3,FALSE),0)</f>
        <v>0</v>
      </c>
      <c r="AC53" s="96">
        <f>IFERROR(VLOOKUP($Y53,costs!$A$2:$J$2352,AC$3,FALSE),0)</f>
        <v>0</v>
      </c>
      <c r="AD53" s="96">
        <f>IFERROR(VLOOKUP($Y53,costs!$A$2:$J$2352,AD$3,FALSE),0)</f>
        <v>0</v>
      </c>
      <c r="AE53" s="96">
        <f>IFERROR(VLOOKUP($Y53,costs!$A$2:$J$2352,AE$3,FALSE),0)</f>
        <v>0</v>
      </c>
      <c r="AF53" s="96">
        <f>IFERROR(VLOOKUP($Y53,costs!$A$2:$J$2352,AF$3,FALSE),0)</f>
        <v>0</v>
      </c>
      <c r="AG53" s="96">
        <f>IFERROR(VLOOKUP($Y53,costs!$A$2:$J$2352,AG$3,FALSE),0)</f>
        <v>0</v>
      </c>
    </row>
    <row r="54" spans="15:33" x14ac:dyDescent="0.35">
      <c r="O54" s="40" t="s">
        <v>396</v>
      </c>
      <c r="P54" s="96" t="e">
        <f>VLOOKUP($O54,capacities!$A$2:$J$2352,P$3,FALSE)</f>
        <v>#N/A</v>
      </c>
      <c r="Q54" s="96" t="e">
        <f>VLOOKUP($O54,capacities!$A$2:$J$2352,Q$3,FALSE)</f>
        <v>#N/A</v>
      </c>
      <c r="R54" s="96" t="e">
        <f>VLOOKUP($O54,capacities!$A$2:$J$2352,R$3,FALSE)</f>
        <v>#N/A</v>
      </c>
      <c r="S54" s="96" t="e">
        <f>VLOOKUP($O54,capacities!$A$2:$J$2352,S$3,FALSE)</f>
        <v>#N/A</v>
      </c>
      <c r="T54" s="96" t="e">
        <f>VLOOKUP($O54,capacities!$A$2:$J$2352,T$3,FALSE)</f>
        <v>#N/A</v>
      </c>
      <c r="U54" s="96" t="e">
        <f>VLOOKUP($O54,capacities!$A$2:$J$2352,U$3,FALSE)</f>
        <v>#N/A</v>
      </c>
      <c r="V54" s="96" t="e">
        <f>VLOOKUP($O54,capacities!$A$2:$J$2352,V$3,FALSE)</f>
        <v>#N/A</v>
      </c>
      <c r="W54" s="863" t="e">
        <f>VLOOKUP($O54,capacities!$A$2:$J$2352,W$3,FALSE)</f>
        <v>#N/A</v>
      </c>
      <c r="Y54" s="40" t="s">
        <v>450</v>
      </c>
      <c r="Z54" s="96">
        <f>IFERROR(VLOOKUP($Y54,costs!$A$2:$J$2352,Z$3,FALSE),0)</f>
        <v>0</v>
      </c>
      <c r="AA54" s="96">
        <f>IFERROR(VLOOKUP($Y54,costs!$A$2:$J$2352,AA$3,FALSE),0)</f>
        <v>0</v>
      </c>
      <c r="AB54" s="96">
        <f>IFERROR(VLOOKUP($Y54,costs!$A$2:$J$2352,AB$3,FALSE),0)</f>
        <v>0</v>
      </c>
      <c r="AC54" s="96">
        <f>IFERROR(VLOOKUP($Y54,costs!$A$2:$J$2352,AC$3,FALSE),0)</f>
        <v>0</v>
      </c>
      <c r="AD54" s="96">
        <f>IFERROR(VLOOKUP($Y54,costs!$A$2:$J$2352,AD$3,FALSE),0)</f>
        <v>0</v>
      </c>
      <c r="AE54" s="96">
        <f>IFERROR(VLOOKUP($Y54,costs!$A$2:$J$2352,AE$3,FALSE),0)</f>
        <v>0</v>
      </c>
      <c r="AF54" s="96">
        <f>IFERROR(VLOOKUP($Y54,costs!$A$2:$J$2352,AF$3,FALSE),0)</f>
        <v>0</v>
      </c>
      <c r="AG54" s="96">
        <f>IFERROR(VLOOKUP($Y54,costs!$A$2:$J$2352,AG$3,FALSE),0)</f>
        <v>0</v>
      </c>
    </row>
    <row r="55" spans="15:33" x14ac:dyDescent="0.35">
      <c r="O55" s="40" t="s">
        <v>397</v>
      </c>
      <c r="P55" s="96" t="e">
        <f>VLOOKUP($O55,capacities!$A$2:$J$2352,P$3,FALSE)</f>
        <v>#N/A</v>
      </c>
      <c r="Q55" s="96" t="e">
        <f>VLOOKUP($O55,capacities!$A$2:$J$2352,Q$3,FALSE)</f>
        <v>#N/A</v>
      </c>
      <c r="R55" s="96" t="e">
        <f>VLOOKUP($O55,capacities!$A$2:$J$2352,R$3,FALSE)</f>
        <v>#N/A</v>
      </c>
      <c r="S55" s="96" t="e">
        <f>VLOOKUP($O55,capacities!$A$2:$J$2352,S$3,FALSE)</f>
        <v>#N/A</v>
      </c>
      <c r="T55" s="96" t="e">
        <f>VLOOKUP($O55,capacities!$A$2:$J$2352,T$3,FALSE)</f>
        <v>#N/A</v>
      </c>
      <c r="U55" s="96" t="e">
        <f>VLOOKUP($O55,capacities!$A$2:$J$2352,U$3,FALSE)</f>
        <v>#N/A</v>
      </c>
      <c r="V55" s="96" t="e">
        <f>VLOOKUP($O55,capacities!$A$2:$J$2352,V$3,FALSE)</f>
        <v>#N/A</v>
      </c>
      <c r="W55" s="863" t="e">
        <f>VLOOKUP($O55,capacities!$A$2:$J$2352,W$3,FALSE)</f>
        <v>#N/A</v>
      </c>
      <c r="Y55" s="869" t="s">
        <v>4092</v>
      </c>
      <c r="Z55" s="871">
        <f>SUM(Z48:Z54)</f>
        <v>0</v>
      </c>
      <c r="AA55" s="871">
        <f t="shared" ref="AA55:AG55" si="43">SUM(AA48:AA54)</f>
        <v>0</v>
      </c>
      <c r="AB55" s="871">
        <f t="shared" si="43"/>
        <v>0</v>
      </c>
      <c r="AC55" s="871">
        <f t="shared" si="43"/>
        <v>0</v>
      </c>
      <c r="AD55" s="871">
        <f t="shared" si="43"/>
        <v>0</v>
      </c>
      <c r="AE55" s="871">
        <f t="shared" si="43"/>
        <v>0</v>
      </c>
      <c r="AF55" s="871">
        <f t="shared" si="43"/>
        <v>0</v>
      </c>
      <c r="AG55" s="871">
        <f t="shared" si="43"/>
        <v>0</v>
      </c>
    </row>
    <row r="56" spans="15:33" x14ac:dyDescent="0.35">
      <c r="O56" s="99" t="s">
        <v>1324</v>
      </c>
      <c r="P56" s="96" t="e">
        <f>SUM(P49:P55)</f>
        <v>#N/A</v>
      </c>
      <c r="Q56" s="96" t="e">
        <f t="shared" ref="Q56:W56" si="44">SUM(Q49:Q55)</f>
        <v>#N/A</v>
      </c>
      <c r="R56" s="96" t="e">
        <f t="shared" si="44"/>
        <v>#N/A</v>
      </c>
      <c r="S56" s="96" t="e">
        <f t="shared" si="44"/>
        <v>#N/A</v>
      </c>
      <c r="T56" s="96" t="e">
        <f t="shared" si="44"/>
        <v>#N/A</v>
      </c>
      <c r="U56" s="96" t="e">
        <f t="shared" si="44"/>
        <v>#N/A</v>
      </c>
      <c r="V56" s="96" t="e">
        <f t="shared" si="44"/>
        <v>#N/A</v>
      </c>
      <c r="W56" s="863" t="e">
        <f t="shared" si="44"/>
        <v>#N/A</v>
      </c>
      <c r="Y56" s="165"/>
      <c r="Z56" s="136"/>
      <c r="AA56" s="136"/>
      <c r="AB56" s="136"/>
      <c r="AC56" s="136"/>
      <c r="AD56" s="136"/>
      <c r="AE56" s="136"/>
      <c r="AF56" s="136"/>
      <c r="AG56" s="136"/>
    </row>
    <row r="57" spans="15:33" x14ac:dyDescent="0.35">
      <c r="O57" s="40"/>
      <c r="P57" s="92"/>
      <c r="Q57" s="92"/>
      <c r="R57" s="92"/>
      <c r="S57" s="92"/>
      <c r="T57" s="92"/>
      <c r="U57" s="92"/>
      <c r="V57" s="92"/>
      <c r="W57" s="93"/>
      <c r="Y57" s="165"/>
      <c r="Z57" s="136"/>
      <c r="AA57" s="136"/>
      <c r="AB57" s="136"/>
      <c r="AC57" s="136"/>
      <c r="AD57" s="136"/>
      <c r="AE57" s="136"/>
      <c r="AF57" s="136"/>
      <c r="AG57" s="136"/>
    </row>
    <row r="58" spans="15:33" x14ac:dyDescent="0.35">
      <c r="O58" s="40" t="s">
        <v>510</v>
      </c>
      <c r="P58" s="96" t="e">
        <f>VLOOKUP($O58,capacities!$A$2:$J$2352,P$3,FALSE)</f>
        <v>#N/A</v>
      </c>
      <c r="Q58" s="96" t="e">
        <f>VLOOKUP($O58,capacities!$A$2:$J$2352,Q$3,FALSE)</f>
        <v>#N/A</v>
      </c>
      <c r="R58" s="96" t="e">
        <f>VLOOKUP($O58,capacities!$A$2:$J$2352,R$3,FALSE)</f>
        <v>#N/A</v>
      </c>
      <c r="S58" s="96" t="e">
        <f>VLOOKUP($O58,capacities!$A$2:$J$2352,S$3,FALSE)</f>
        <v>#N/A</v>
      </c>
      <c r="T58" s="96" t="e">
        <f>VLOOKUP($O58,capacities!$A$2:$J$2352,T$3,FALSE)</f>
        <v>#N/A</v>
      </c>
      <c r="U58" s="96" t="e">
        <f>VLOOKUP($O58,capacities!$A$2:$J$2352,U$3,FALSE)</f>
        <v>#N/A</v>
      </c>
      <c r="V58" s="96" t="e">
        <f>VLOOKUP($O58,capacities!$A$2:$J$2352,V$3,FALSE)</f>
        <v>#N/A</v>
      </c>
      <c r="W58" s="863" t="e">
        <f>VLOOKUP($O58,capacities!$A$2:$J$2352,W$3,FALSE)</f>
        <v>#N/A</v>
      </c>
      <c r="Y58" s="40" t="s">
        <v>451</v>
      </c>
      <c r="Z58" s="96">
        <f>IFERROR(VLOOKUP($Y58,costs!$A$2:$J$2352,Z$3,FALSE),0)</f>
        <v>0</v>
      </c>
      <c r="AA58" s="96">
        <f>IFERROR(VLOOKUP($Y58,costs!$A$2:$J$2352,AA$3,FALSE),0)</f>
        <v>0</v>
      </c>
      <c r="AB58" s="96">
        <f>IFERROR(VLOOKUP($Y58,costs!$A$2:$J$2352,AB$3,FALSE),0)</f>
        <v>0</v>
      </c>
      <c r="AC58" s="96">
        <f>IFERROR(VLOOKUP($Y58,costs!$A$2:$J$2352,AC$3,FALSE),0)</f>
        <v>0</v>
      </c>
      <c r="AD58" s="96">
        <f>IFERROR(VLOOKUP($Y58,costs!$A$2:$J$2352,AD$3,FALSE),0)</f>
        <v>0</v>
      </c>
      <c r="AE58" s="96">
        <f>IFERROR(VLOOKUP($Y58,costs!$A$2:$J$2352,AE$3,FALSE),0)</f>
        <v>0</v>
      </c>
      <c r="AF58" s="96">
        <f>IFERROR(VLOOKUP($Y58,costs!$A$2:$J$2352,AF$3,FALSE),0)</f>
        <v>0</v>
      </c>
      <c r="AG58" s="96">
        <f>IFERROR(VLOOKUP($Y58,costs!$A$2:$J$2352,AG$3,FALSE),0)</f>
        <v>0</v>
      </c>
    </row>
    <row r="59" spans="15:33" x14ac:dyDescent="0.35">
      <c r="O59" s="40" t="s">
        <v>511</v>
      </c>
      <c r="P59" s="96" t="e">
        <f>VLOOKUP($O59,capacities!$A$2:$J$2352,P$3,FALSE)</f>
        <v>#N/A</v>
      </c>
      <c r="Q59" s="96" t="e">
        <f>VLOOKUP($O59,capacities!$A$2:$J$2352,Q$3,FALSE)</f>
        <v>#N/A</v>
      </c>
      <c r="R59" s="96" t="e">
        <f>VLOOKUP($O59,capacities!$A$2:$J$2352,R$3,FALSE)</f>
        <v>#N/A</v>
      </c>
      <c r="S59" s="96" t="e">
        <f>VLOOKUP($O59,capacities!$A$2:$J$2352,S$3,FALSE)</f>
        <v>#N/A</v>
      </c>
      <c r="T59" s="96" t="e">
        <f>VLOOKUP($O59,capacities!$A$2:$J$2352,T$3,FALSE)</f>
        <v>#N/A</v>
      </c>
      <c r="U59" s="96" t="e">
        <f>VLOOKUP($O59,capacities!$A$2:$J$2352,U$3,FALSE)</f>
        <v>#N/A</v>
      </c>
      <c r="V59" s="96" t="e">
        <f>VLOOKUP($O59,capacities!$A$2:$J$2352,V$3,FALSE)</f>
        <v>#N/A</v>
      </c>
      <c r="W59" s="863" t="e">
        <f>VLOOKUP($O59,capacities!$A$2:$J$2352,W$3,FALSE)</f>
        <v>#N/A</v>
      </c>
      <c r="Y59" s="40" t="s">
        <v>452</v>
      </c>
      <c r="Z59" s="96">
        <f>IFERROR(VLOOKUP($Y59,costs!$A$2:$J$2352,Z$3,FALSE),0)</f>
        <v>0</v>
      </c>
      <c r="AA59" s="96">
        <f>IFERROR(VLOOKUP($Y59,costs!$A$2:$J$2352,AA$3,FALSE),0)</f>
        <v>0</v>
      </c>
      <c r="AB59" s="96">
        <f>IFERROR(VLOOKUP($Y59,costs!$A$2:$J$2352,AB$3,FALSE),0)</f>
        <v>0</v>
      </c>
      <c r="AC59" s="96">
        <f>IFERROR(VLOOKUP($Y59,costs!$A$2:$J$2352,AC$3,FALSE),0)</f>
        <v>0</v>
      </c>
      <c r="AD59" s="96">
        <f>IFERROR(VLOOKUP($Y59,costs!$A$2:$J$2352,AD$3,FALSE),0)</f>
        <v>0</v>
      </c>
      <c r="AE59" s="96">
        <f>IFERROR(VLOOKUP($Y59,costs!$A$2:$J$2352,AE$3,FALSE),0)</f>
        <v>0</v>
      </c>
      <c r="AF59" s="96">
        <f>IFERROR(VLOOKUP($Y59,costs!$A$2:$J$2352,AF$3,FALSE),0)</f>
        <v>0</v>
      </c>
      <c r="AG59" s="96">
        <f>IFERROR(VLOOKUP($Y59,costs!$A$2:$J$2352,AG$3,FALSE),0)</f>
        <v>0</v>
      </c>
    </row>
    <row r="60" spans="15:33" x14ac:dyDescent="0.35">
      <c r="O60" s="40" t="s">
        <v>512</v>
      </c>
      <c r="P60" s="96" t="e">
        <f>VLOOKUP($O60,capacities!$A$2:$J$2352,P$3,FALSE)</f>
        <v>#N/A</v>
      </c>
      <c r="Q60" s="96" t="e">
        <f>VLOOKUP($O60,capacities!$A$2:$J$2352,Q$3,FALSE)</f>
        <v>#N/A</v>
      </c>
      <c r="R60" s="96" t="e">
        <f>VLOOKUP($O60,capacities!$A$2:$J$2352,R$3,FALSE)</f>
        <v>#N/A</v>
      </c>
      <c r="S60" s="96" t="e">
        <f>VLOOKUP($O60,capacities!$A$2:$J$2352,S$3,FALSE)</f>
        <v>#N/A</v>
      </c>
      <c r="T60" s="96" t="e">
        <f>VLOOKUP($O60,capacities!$A$2:$J$2352,T$3,FALSE)</f>
        <v>#N/A</v>
      </c>
      <c r="U60" s="96" t="e">
        <f>VLOOKUP($O60,capacities!$A$2:$J$2352,U$3,FALSE)</f>
        <v>#N/A</v>
      </c>
      <c r="V60" s="96" t="e">
        <f>VLOOKUP($O60,capacities!$A$2:$J$2352,V$3,FALSE)</f>
        <v>#N/A</v>
      </c>
      <c r="W60" s="863" t="e">
        <f>VLOOKUP($O60,capacities!$A$2:$J$2352,W$3,FALSE)</f>
        <v>#N/A</v>
      </c>
      <c r="Y60" s="40" t="s">
        <v>453</v>
      </c>
      <c r="Z60" s="96">
        <f>IFERROR(VLOOKUP($Y60,costs!$A$2:$J$2352,Z$3,FALSE),0)</f>
        <v>0</v>
      </c>
      <c r="AA60" s="96">
        <f>IFERROR(VLOOKUP($Y60,costs!$A$2:$J$2352,AA$3,FALSE),0)</f>
        <v>0</v>
      </c>
      <c r="AB60" s="96">
        <f>IFERROR(VLOOKUP($Y60,costs!$A$2:$J$2352,AB$3,FALSE),0)</f>
        <v>0</v>
      </c>
      <c r="AC60" s="96">
        <f>IFERROR(VLOOKUP($Y60,costs!$A$2:$J$2352,AC$3,FALSE),0)</f>
        <v>0</v>
      </c>
      <c r="AD60" s="96">
        <f>IFERROR(VLOOKUP($Y60,costs!$A$2:$J$2352,AD$3,FALSE),0)</f>
        <v>0</v>
      </c>
      <c r="AE60" s="96">
        <f>IFERROR(VLOOKUP($Y60,costs!$A$2:$J$2352,AE$3,FALSE),0)</f>
        <v>0</v>
      </c>
      <c r="AF60" s="96">
        <f>IFERROR(VLOOKUP($Y60,costs!$A$2:$J$2352,AF$3,FALSE),0)</f>
        <v>0</v>
      </c>
      <c r="AG60" s="96">
        <f>IFERROR(VLOOKUP($Y60,costs!$A$2:$J$2352,AG$3,FALSE),0)</f>
        <v>0</v>
      </c>
    </row>
    <row r="61" spans="15:33" x14ac:dyDescent="0.35">
      <c r="O61" s="40" t="s">
        <v>513</v>
      </c>
      <c r="P61" s="96" t="e">
        <f>VLOOKUP($O61,capacities!$A$2:$J$2352,P$3,FALSE)</f>
        <v>#N/A</v>
      </c>
      <c r="Q61" s="96" t="e">
        <f>VLOOKUP($O61,capacities!$A$2:$J$2352,Q$3,FALSE)</f>
        <v>#N/A</v>
      </c>
      <c r="R61" s="96" t="e">
        <f>VLOOKUP($O61,capacities!$A$2:$J$2352,R$3,FALSE)</f>
        <v>#N/A</v>
      </c>
      <c r="S61" s="96" t="e">
        <f>VLOOKUP($O61,capacities!$A$2:$J$2352,S$3,FALSE)</f>
        <v>#N/A</v>
      </c>
      <c r="T61" s="96" t="e">
        <f>VLOOKUP($O61,capacities!$A$2:$J$2352,T$3,FALSE)</f>
        <v>#N/A</v>
      </c>
      <c r="U61" s="96" t="e">
        <f>VLOOKUP($O61,capacities!$A$2:$J$2352,U$3,FALSE)</f>
        <v>#N/A</v>
      </c>
      <c r="V61" s="96" t="e">
        <f>VLOOKUP($O61,capacities!$A$2:$J$2352,V$3,FALSE)</f>
        <v>#N/A</v>
      </c>
      <c r="W61" s="863" t="e">
        <f>VLOOKUP($O61,capacities!$A$2:$J$2352,W$3,FALSE)</f>
        <v>#N/A</v>
      </c>
      <c r="Y61" s="40" t="s">
        <v>454</v>
      </c>
      <c r="Z61" s="96">
        <f>IFERROR(VLOOKUP($Y61,costs!$A$2:$J$2352,Z$3,FALSE),0)</f>
        <v>0</v>
      </c>
      <c r="AA61" s="96">
        <f>IFERROR(VLOOKUP($Y61,costs!$A$2:$J$2352,AA$3,FALSE),0)</f>
        <v>0</v>
      </c>
      <c r="AB61" s="96">
        <f>IFERROR(VLOOKUP($Y61,costs!$A$2:$J$2352,AB$3,FALSE),0)</f>
        <v>0</v>
      </c>
      <c r="AC61" s="96">
        <f>IFERROR(VLOOKUP($Y61,costs!$A$2:$J$2352,AC$3,FALSE),0)</f>
        <v>0</v>
      </c>
      <c r="AD61" s="96">
        <f>IFERROR(VLOOKUP($Y61,costs!$A$2:$J$2352,AD$3,FALSE),0)</f>
        <v>0</v>
      </c>
      <c r="AE61" s="96">
        <f>IFERROR(VLOOKUP($Y61,costs!$A$2:$J$2352,AE$3,FALSE),0)</f>
        <v>0</v>
      </c>
      <c r="AF61" s="96">
        <f>IFERROR(VLOOKUP($Y61,costs!$A$2:$J$2352,AF$3,FALSE),0)</f>
        <v>0</v>
      </c>
      <c r="AG61" s="96">
        <f>IFERROR(VLOOKUP($Y61,costs!$A$2:$J$2352,AG$3,FALSE),0)</f>
        <v>0</v>
      </c>
    </row>
    <row r="62" spans="15:33" x14ac:dyDescent="0.35">
      <c r="O62" s="40" t="s">
        <v>517</v>
      </c>
      <c r="P62" s="96" t="e">
        <f>VLOOKUP($O62,capacities!$A$2:$J$2352,P$3,FALSE)</f>
        <v>#N/A</v>
      </c>
      <c r="Q62" s="96" t="e">
        <f>VLOOKUP($O62,capacities!$A$2:$J$2352,Q$3,FALSE)</f>
        <v>#N/A</v>
      </c>
      <c r="R62" s="96" t="e">
        <f>VLOOKUP($O62,capacities!$A$2:$J$2352,R$3,FALSE)</f>
        <v>#N/A</v>
      </c>
      <c r="S62" s="96" t="e">
        <f>VLOOKUP($O62,capacities!$A$2:$J$2352,S$3,FALSE)</f>
        <v>#N/A</v>
      </c>
      <c r="T62" s="96" t="e">
        <f>VLOOKUP($O62,capacities!$A$2:$J$2352,T$3,FALSE)</f>
        <v>#N/A</v>
      </c>
      <c r="U62" s="96" t="e">
        <f>VLOOKUP($O62,capacities!$A$2:$J$2352,U$3,FALSE)</f>
        <v>#N/A</v>
      </c>
      <c r="V62" s="96" t="e">
        <f>VLOOKUP($O62,capacities!$A$2:$J$2352,V$3,FALSE)</f>
        <v>#N/A</v>
      </c>
      <c r="W62" s="863" t="e">
        <f>VLOOKUP($O62,capacities!$A$2:$J$2352,W$3,FALSE)</f>
        <v>#N/A</v>
      </c>
      <c r="Y62" s="40" t="s">
        <v>455</v>
      </c>
      <c r="Z62" s="96">
        <f>IFERROR(VLOOKUP($Y62,costs!$A$2:$J$2352,Z$3,FALSE),0)</f>
        <v>0</v>
      </c>
      <c r="AA62" s="96">
        <f>IFERROR(VLOOKUP($Y62,costs!$A$2:$J$2352,AA$3,FALSE),0)</f>
        <v>0</v>
      </c>
      <c r="AB62" s="96">
        <f>IFERROR(VLOOKUP($Y62,costs!$A$2:$J$2352,AB$3,FALSE),0)</f>
        <v>0</v>
      </c>
      <c r="AC62" s="96">
        <f>IFERROR(VLOOKUP($Y62,costs!$A$2:$J$2352,AC$3,FALSE),0)</f>
        <v>0</v>
      </c>
      <c r="AD62" s="96">
        <f>IFERROR(VLOOKUP($Y62,costs!$A$2:$J$2352,AD$3,FALSE),0)</f>
        <v>0</v>
      </c>
      <c r="AE62" s="96">
        <f>IFERROR(VLOOKUP($Y62,costs!$A$2:$J$2352,AE$3,FALSE),0)</f>
        <v>0</v>
      </c>
      <c r="AF62" s="96">
        <f>IFERROR(VLOOKUP($Y62,costs!$A$2:$J$2352,AF$3,FALSE),0)</f>
        <v>0</v>
      </c>
      <c r="AG62" s="96">
        <f>IFERROR(VLOOKUP($Y62,costs!$A$2:$J$2352,AG$3,FALSE),0)</f>
        <v>0</v>
      </c>
    </row>
    <row r="63" spans="15:33" x14ac:dyDescent="0.35">
      <c r="O63" s="40" t="s">
        <v>459</v>
      </c>
      <c r="P63" s="96" t="e">
        <f>VLOOKUP($O63,capacities!$A$2:$J$2352,P$3,FALSE)</f>
        <v>#N/A</v>
      </c>
      <c r="Q63" s="96" t="e">
        <f>VLOOKUP($O63,capacities!$A$2:$J$2352,Q$3,FALSE)</f>
        <v>#N/A</v>
      </c>
      <c r="R63" s="96" t="e">
        <f>VLOOKUP($O63,capacities!$A$2:$J$2352,R$3,FALSE)</f>
        <v>#N/A</v>
      </c>
      <c r="S63" s="96" t="e">
        <f>VLOOKUP($O63,capacities!$A$2:$J$2352,S$3,FALSE)</f>
        <v>#N/A</v>
      </c>
      <c r="T63" s="96" t="e">
        <f>VLOOKUP($O63,capacities!$A$2:$J$2352,T$3,FALSE)</f>
        <v>#N/A</v>
      </c>
      <c r="U63" s="96" t="e">
        <f>VLOOKUP($O63,capacities!$A$2:$J$2352,U$3,FALSE)</f>
        <v>#N/A</v>
      </c>
      <c r="V63" s="96" t="e">
        <f>VLOOKUP($O63,capacities!$A$2:$J$2352,V$3,FALSE)</f>
        <v>#N/A</v>
      </c>
      <c r="W63" s="863" t="e">
        <f>VLOOKUP($O63,capacities!$A$2:$J$2352,W$3,FALSE)</f>
        <v>#N/A</v>
      </c>
      <c r="Y63" s="40" t="s">
        <v>456</v>
      </c>
      <c r="Z63" s="96">
        <f>IFERROR(VLOOKUP($Y63,costs!$A$2:$J$2352,Z$3,FALSE),0)</f>
        <v>0</v>
      </c>
      <c r="AA63" s="96">
        <f>IFERROR(VLOOKUP($Y63,costs!$A$2:$J$2352,AA$3,FALSE),0)</f>
        <v>0</v>
      </c>
      <c r="AB63" s="96">
        <f>IFERROR(VLOOKUP($Y63,costs!$A$2:$J$2352,AB$3,FALSE),0)</f>
        <v>0</v>
      </c>
      <c r="AC63" s="96">
        <f>IFERROR(VLOOKUP($Y63,costs!$A$2:$J$2352,AC$3,FALSE),0)</f>
        <v>0</v>
      </c>
      <c r="AD63" s="96">
        <f>IFERROR(VLOOKUP($Y63,costs!$A$2:$J$2352,AD$3,FALSE),0)</f>
        <v>0</v>
      </c>
      <c r="AE63" s="96">
        <f>IFERROR(VLOOKUP($Y63,costs!$A$2:$J$2352,AE$3,FALSE),0)</f>
        <v>0</v>
      </c>
      <c r="AF63" s="96">
        <f>IFERROR(VLOOKUP($Y63,costs!$A$2:$J$2352,AF$3,FALSE),0)</f>
        <v>0</v>
      </c>
      <c r="AG63" s="96">
        <f>IFERROR(VLOOKUP($Y63,costs!$A$2:$J$2352,AG$3,FALSE),0)</f>
        <v>0</v>
      </c>
    </row>
    <row r="64" spans="15:33" x14ac:dyDescent="0.35">
      <c r="O64" s="40" t="s">
        <v>460</v>
      </c>
      <c r="P64" s="96" t="e">
        <f>VLOOKUP($O64,capacities!$A$2:$J$2352,P$3,FALSE)</f>
        <v>#N/A</v>
      </c>
      <c r="Q64" s="96" t="e">
        <f>VLOOKUP($O64,capacities!$A$2:$J$2352,Q$3,FALSE)</f>
        <v>#N/A</v>
      </c>
      <c r="R64" s="96" t="e">
        <f>VLOOKUP($O64,capacities!$A$2:$J$2352,R$3,FALSE)</f>
        <v>#N/A</v>
      </c>
      <c r="S64" s="96" t="e">
        <f>VLOOKUP($O64,capacities!$A$2:$J$2352,S$3,FALSE)</f>
        <v>#N/A</v>
      </c>
      <c r="T64" s="96" t="e">
        <f>VLOOKUP($O64,capacities!$A$2:$J$2352,T$3,FALSE)</f>
        <v>#N/A</v>
      </c>
      <c r="U64" s="96" t="e">
        <f>VLOOKUP($O64,capacities!$A$2:$J$2352,U$3,FALSE)</f>
        <v>#N/A</v>
      </c>
      <c r="V64" s="96" t="e">
        <f>VLOOKUP($O64,capacities!$A$2:$J$2352,V$3,FALSE)</f>
        <v>#N/A</v>
      </c>
      <c r="W64" s="863" t="e">
        <f>VLOOKUP($O64,capacities!$A$2:$J$2352,W$3,FALSE)</f>
        <v>#N/A</v>
      </c>
      <c r="Y64" s="40" t="s">
        <v>457</v>
      </c>
      <c r="Z64" s="96">
        <f>IFERROR(VLOOKUP($Y64,costs!$A$2:$J$2352,Z$3,FALSE),0)</f>
        <v>0</v>
      </c>
      <c r="AA64" s="96">
        <f>IFERROR(VLOOKUP($Y64,costs!$A$2:$J$2352,AA$3,FALSE),0)</f>
        <v>0</v>
      </c>
      <c r="AB64" s="96">
        <f>IFERROR(VLOOKUP($Y64,costs!$A$2:$J$2352,AB$3,FALSE),0)</f>
        <v>0</v>
      </c>
      <c r="AC64" s="96">
        <f>IFERROR(VLOOKUP($Y64,costs!$A$2:$J$2352,AC$3,FALSE),0)</f>
        <v>0</v>
      </c>
      <c r="AD64" s="96">
        <f>IFERROR(VLOOKUP($Y64,costs!$A$2:$J$2352,AD$3,FALSE),0)</f>
        <v>0</v>
      </c>
      <c r="AE64" s="96">
        <f>IFERROR(VLOOKUP($Y64,costs!$A$2:$J$2352,AE$3,FALSE),0)</f>
        <v>0</v>
      </c>
      <c r="AF64" s="96">
        <f>IFERROR(VLOOKUP($Y64,costs!$A$2:$J$2352,AF$3,FALSE),0)</f>
        <v>0</v>
      </c>
      <c r="AG64" s="96">
        <f>IFERROR(VLOOKUP($Y64,costs!$A$2:$J$2352,AG$3,FALSE),0)</f>
        <v>0</v>
      </c>
    </row>
    <row r="65" spans="15:33" x14ac:dyDescent="0.35">
      <c r="O65" s="40" t="s">
        <v>461</v>
      </c>
      <c r="P65" s="96" t="e">
        <f>VLOOKUP($O65,capacities!$A$2:$J$2352,P$3,FALSE)</f>
        <v>#N/A</v>
      </c>
      <c r="Q65" s="96" t="e">
        <f>VLOOKUP($O65,capacities!$A$2:$J$2352,Q$3,FALSE)</f>
        <v>#N/A</v>
      </c>
      <c r="R65" s="96" t="e">
        <f>VLOOKUP($O65,capacities!$A$2:$J$2352,R$3,FALSE)</f>
        <v>#N/A</v>
      </c>
      <c r="S65" s="96" t="e">
        <f>VLOOKUP($O65,capacities!$A$2:$J$2352,S$3,FALSE)</f>
        <v>#N/A</v>
      </c>
      <c r="T65" s="96" t="e">
        <f>VLOOKUP($O65,capacities!$A$2:$J$2352,T$3,FALSE)</f>
        <v>#N/A</v>
      </c>
      <c r="U65" s="96" t="e">
        <f>VLOOKUP($O65,capacities!$A$2:$J$2352,U$3,FALSE)</f>
        <v>#N/A</v>
      </c>
      <c r="V65" s="96" t="e">
        <f>VLOOKUP($O65,capacities!$A$2:$J$2352,V$3,FALSE)</f>
        <v>#N/A</v>
      </c>
      <c r="W65" s="863" t="e">
        <f>VLOOKUP($O65,capacities!$A$2:$J$2352,W$3,FALSE)</f>
        <v>#N/A</v>
      </c>
      <c r="Y65" s="869" t="s">
        <v>4093</v>
      </c>
      <c r="Z65" s="871">
        <f>SUM(Z58:Z64)</f>
        <v>0</v>
      </c>
      <c r="AA65" s="871">
        <f t="shared" ref="AA65" si="45">SUM(AA58:AA64)</f>
        <v>0</v>
      </c>
      <c r="AB65" s="871">
        <f t="shared" ref="AB65" si="46">SUM(AB58:AB64)</f>
        <v>0</v>
      </c>
      <c r="AC65" s="871">
        <f t="shared" ref="AC65" si="47">SUM(AC58:AC64)</f>
        <v>0</v>
      </c>
      <c r="AD65" s="871">
        <f t="shared" ref="AD65" si="48">SUM(AD58:AD64)</f>
        <v>0</v>
      </c>
      <c r="AE65" s="871">
        <f t="shared" ref="AE65" si="49">SUM(AE58:AE64)</f>
        <v>0</v>
      </c>
      <c r="AF65" s="871">
        <f t="shared" ref="AF65" si="50">SUM(AF58:AF64)</f>
        <v>0</v>
      </c>
      <c r="AG65" s="871">
        <f t="shared" ref="AG65" si="51">SUM(AG58:AG64)</f>
        <v>0</v>
      </c>
    </row>
    <row r="66" spans="15:33" x14ac:dyDescent="0.35">
      <c r="O66" s="40" t="s">
        <v>182</v>
      </c>
      <c r="P66" s="96" t="e">
        <f>VLOOKUP($O66,capacities!$A$2:$J$2352,P$3,FALSE)</f>
        <v>#N/A</v>
      </c>
      <c r="Q66" s="96" t="e">
        <f>VLOOKUP($O66,capacities!$A$2:$J$2352,Q$3,FALSE)</f>
        <v>#N/A</v>
      </c>
      <c r="R66" s="96" t="e">
        <f>VLOOKUP($O66,capacities!$A$2:$J$2352,R$3,FALSE)</f>
        <v>#N/A</v>
      </c>
      <c r="S66" s="96" t="e">
        <f>VLOOKUP($O66,capacities!$A$2:$J$2352,S$3,FALSE)</f>
        <v>#N/A</v>
      </c>
      <c r="T66" s="96" t="e">
        <f>VLOOKUP($O66,capacities!$A$2:$J$2352,T$3,FALSE)</f>
        <v>#N/A</v>
      </c>
      <c r="U66" s="96" t="e">
        <f>VLOOKUP($O66,capacities!$A$2:$J$2352,U$3,FALSE)</f>
        <v>#N/A</v>
      </c>
      <c r="V66" s="96" t="e">
        <f>VLOOKUP($O66,capacities!$A$2:$J$2352,V$3,FALSE)</f>
        <v>#N/A</v>
      </c>
      <c r="W66" s="863" t="e">
        <f>VLOOKUP($O66,capacities!$A$2:$J$2352,W$3,FALSE)</f>
        <v>#N/A</v>
      </c>
      <c r="Y66" s="40"/>
      <c r="Z66" s="96"/>
      <c r="AA66" s="96"/>
      <c r="AB66" s="96"/>
      <c r="AC66" s="96"/>
      <c r="AD66" s="96"/>
      <c r="AE66" s="96"/>
      <c r="AF66" s="96"/>
      <c r="AG66" s="863"/>
    </row>
    <row r="67" spans="15:33" x14ac:dyDescent="0.35">
      <c r="O67" s="99" t="s">
        <v>1209</v>
      </c>
      <c r="P67" s="96" t="e">
        <f>SUM(P58:P66)</f>
        <v>#N/A</v>
      </c>
      <c r="Q67" s="96" t="e">
        <f t="shared" ref="Q67:V67" si="52">SUM(Q58:Q66)</f>
        <v>#N/A</v>
      </c>
      <c r="R67" s="96" t="e">
        <f t="shared" si="52"/>
        <v>#N/A</v>
      </c>
      <c r="S67" s="96" t="e">
        <f t="shared" si="52"/>
        <v>#N/A</v>
      </c>
      <c r="T67" s="96" t="e">
        <f t="shared" si="52"/>
        <v>#N/A</v>
      </c>
      <c r="U67" s="96" t="e">
        <f t="shared" si="52"/>
        <v>#N/A</v>
      </c>
      <c r="V67" s="96" t="e">
        <f t="shared" si="52"/>
        <v>#N/A</v>
      </c>
      <c r="W67" s="863" t="e">
        <f>SUM(W58:W66)</f>
        <v>#N/A</v>
      </c>
      <c r="Y67" s="40" t="s">
        <v>379</v>
      </c>
      <c r="Z67" s="96">
        <f>IFERROR(VLOOKUP($Y67,costs!$A$2:$J$2352,Z$3,FALSE),0)</f>
        <v>0</v>
      </c>
      <c r="AA67" s="96">
        <f>IFERROR(VLOOKUP($Y67,costs!$A$2:$J$2352,AA$3,FALSE),0)</f>
        <v>0</v>
      </c>
      <c r="AB67" s="96">
        <f>IFERROR(VLOOKUP($Y67,costs!$A$2:$J$2352,AB$3,FALSE),0)</f>
        <v>0</v>
      </c>
      <c r="AC67" s="96">
        <f>IFERROR(VLOOKUP($Y67,costs!$A$2:$J$2352,AC$3,FALSE),0)</f>
        <v>0</v>
      </c>
      <c r="AD67" s="96">
        <f>IFERROR(VLOOKUP($Y67,costs!$A$2:$J$2352,AD$3,FALSE),0)</f>
        <v>0</v>
      </c>
      <c r="AE67" s="96">
        <f>IFERROR(VLOOKUP($Y67,costs!$A$2:$J$2352,AE$3,FALSE),0)</f>
        <v>0</v>
      </c>
      <c r="AF67" s="96">
        <f>IFERROR(VLOOKUP($Y67,costs!$A$2:$J$2352,AF$3,FALSE),0)</f>
        <v>0</v>
      </c>
      <c r="AG67" s="96">
        <f>IFERROR(VLOOKUP($Y67,costs!$A$2:$J$2352,AG$3,FALSE),0)</f>
        <v>0</v>
      </c>
    </row>
    <row r="68" spans="15:33" x14ac:dyDescent="0.35">
      <c r="O68" s="99" t="s">
        <v>4066</v>
      </c>
      <c r="P68" s="96" t="e">
        <f t="shared" ref="P68:V68" si="53">P67+P23*P22</f>
        <v>#N/A</v>
      </c>
      <c r="Q68" s="96" t="e">
        <f t="shared" si="53"/>
        <v>#N/A</v>
      </c>
      <c r="R68" s="96" t="e">
        <f t="shared" si="53"/>
        <v>#N/A</v>
      </c>
      <c r="S68" s="96" t="e">
        <f t="shared" si="53"/>
        <v>#N/A</v>
      </c>
      <c r="T68" s="96" t="e">
        <f t="shared" si="53"/>
        <v>#N/A</v>
      </c>
      <c r="U68" s="96" t="e">
        <f t="shared" si="53"/>
        <v>#N/A</v>
      </c>
      <c r="V68" s="96" t="e">
        <f t="shared" si="53"/>
        <v>#N/A</v>
      </c>
      <c r="W68" s="863" t="e">
        <f>W67+W23*W22</f>
        <v>#N/A</v>
      </c>
      <c r="Y68" s="40" t="s">
        <v>380</v>
      </c>
      <c r="Z68" s="96">
        <f>IFERROR(VLOOKUP($Y68,costs!$A$2:$J$2352,Z$3,FALSE),0)</f>
        <v>0</v>
      </c>
      <c r="AA68" s="96">
        <f>IFERROR(VLOOKUP($Y68,costs!$A$2:$J$2352,AA$3,FALSE),0)</f>
        <v>0</v>
      </c>
      <c r="AB68" s="96">
        <f>IFERROR(VLOOKUP($Y68,costs!$A$2:$J$2352,AB$3,FALSE),0)</f>
        <v>0</v>
      </c>
      <c r="AC68" s="96">
        <f>IFERROR(VLOOKUP($Y68,costs!$A$2:$J$2352,AC$3,FALSE),0)</f>
        <v>0</v>
      </c>
      <c r="AD68" s="96">
        <f>IFERROR(VLOOKUP($Y68,costs!$A$2:$J$2352,AD$3,FALSE),0)</f>
        <v>0</v>
      </c>
      <c r="AE68" s="96">
        <f>IFERROR(VLOOKUP($Y68,costs!$A$2:$J$2352,AE$3,FALSE),0)</f>
        <v>0</v>
      </c>
      <c r="AF68" s="96">
        <f>IFERROR(VLOOKUP($Y68,costs!$A$2:$J$2352,AF$3,FALSE),0)</f>
        <v>0</v>
      </c>
      <c r="AG68" s="96">
        <f>IFERROR(VLOOKUP($Y68,costs!$A$2:$J$2352,AG$3,FALSE),0)</f>
        <v>0</v>
      </c>
    </row>
    <row r="69" spans="15:33" x14ac:dyDescent="0.35">
      <c r="O69" s="99"/>
      <c r="P69" s="96"/>
      <c r="Q69" s="96"/>
      <c r="R69" s="96"/>
      <c r="S69" s="96"/>
      <c r="T69" s="96"/>
      <c r="U69" s="96"/>
      <c r="V69" s="96"/>
      <c r="W69" s="863"/>
      <c r="Y69" s="869" t="s">
        <v>4094</v>
      </c>
      <c r="Z69" s="871">
        <f>SUM(Z67:Z68)</f>
        <v>0</v>
      </c>
      <c r="AA69" s="871">
        <f t="shared" ref="AA69:AG69" si="54">SUM(AA67:AA68)</f>
        <v>0</v>
      </c>
      <c r="AB69" s="871">
        <f t="shared" si="54"/>
        <v>0</v>
      </c>
      <c r="AC69" s="871">
        <f t="shared" si="54"/>
        <v>0</v>
      </c>
      <c r="AD69" s="871">
        <f t="shared" si="54"/>
        <v>0</v>
      </c>
      <c r="AE69" s="871">
        <f t="shared" si="54"/>
        <v>0</v>
      </c>
      <c r="AF69" s="871">
        <f t="shared" si="54"/>
        <v>0</v>
      </c>
      <c r="AG69" s="871">
        <f t="shared" si="54"/>
        <v>0</v>
      </c>
    </row>
    <row r="70" spans="15:33" x14ac:dyDescent="0.35">
      <c r="O70" s="40"/>
      <c r="P70" s="92"/>
      <c r="Q70" s="92"/>
      <c r="R70" s="92"/>
      <c r="S70" s="92"/>
      <c r="T70" s="92"/>
      <c r="U70" s="92"/>
      <c r="V70" s="92"/>
      <c r="W70" s="93"/>
      <c r="Y70" s="40"/>
      <c r="Z70" s="96"/>
      <c r="AA70" s="96"/>
      <c r="AB70" s="96"/>
      <c r="AC70" s="96"/>
      <c r="AD70" s="96"/>
      <c r="AE70" s="96"/>
      <c r="AF70" s="96"/>
      <c r="AG70" s="863"/>
    </row>
    <row r="71" spans="15:33" x14ac:dyDescent="0.35">
      <c r="O71" s="40" t="s">
        <v>15</v>
      </c>
      <c r="P71" s="96" t="e">
        <f>VLOOKUP($O71,capacities!$A$2:$J$2352,P$3,FALSE)</f>
        <v>#N/A</v>
      </c>
      <c r="Q71" s="96" t="e">
        <f>VLOOKUP($O71,capacities!$A$2:$J$2352,Q$3,FALSE)</f>
        <v>#N/A</v>
      </c>
      <c r="R71" s="96" t="e">
        <f>VLOOKUP($O71,capacities!$A$2:$J$2352,R$3,FALSE)</f>
        <v>#N/A</v>
      </c>
      <c r="S71" s="96" t="e">
        <f>VLOOKUP($O71,capacities!$A$2:$J$2352,S$3,FALSE)</f>
        <v>#N/A</v>
      </c>
      <c r="T71" s="96" t="e">
        <f>VLOOKUP($O71,capacities!$A$2:$J$2352,T$3,FALSE)</f>
        <v>#N/A</v>
      </c>
      <c r="U71" s="96" t="e">
        <f>VLOOKUP($O71,capacities!$A$2:$J$2352,U$3,FALSE)</f>
        <v>#N/A</v>
      </c>
      <c r="V71" s="96" t="e">
        <f>VLOOKUP($O71,capacities!$A$2:$J$2352,V$3,FALSE)</f>
        <v>#N/A</v>
      </c>
      <c r="W71" s="863" t="e">
        <f>VLOOKUP($O71,capacities!$A$2:$J$2352,W$3,FALSE)</f>
        <v>#N/A</v>
      </c>
      <c r="Y71" s="40" t="s">
        <v>391</v>
      </c>
      <c r="Z71" s="96">
        <f>IFERROR(VLOOKUP($Y71,costs!$A$2:$J$2352,Z$3,FALSE),0)</f>
        <v>0</v>
      </c>
      <c r="AA71" s="96">
        <f>IFERROR(VLOOKUP($Y71,costs!$A$2:$J$2352,AA$3,FALSE),0)</f>
        <v>0</v>
      </c>
      <c r="AB71" s="96">
        <f>IFERROR(VLOOKUP($Y71,costs!$A$2:$J$2352,AB$3,FALSE),0)</f>
        <v>0</v>
      </c>
      <c r="AC71" s="96">
        <f>IFERROR(VLOOKUP($Y71,costs!$A$2:$J$2352,AC$3,FALSE),0)</f>
        <v>0</v>
      </c>
      <c r="AD71" s="96">
        <f>IFERROR(VLOOKUP($Y71,costs!$A$2:$J$2352,AD$3,FALSE),0)</f>
        <v>0</v>
      </c>
      <c r="AE71" s="96">
        <f>IFERROR(VLOOKUP($Y71,costs!$A$2:$J$2352,AE$3,FALSE),0)</f>
        <v>0</v>
      </c>
      <c r="AF71" s="96">
        <f>IFERROR(VLOOKUP($Y71,costs!$A$2:$J$2352,AF$3,FALSE),0)</f>
        <v>0</v>
      </c>
      <c r="AG71" s="96">
        <f>IFERROR(VLOOKUP($Y71,costs!$A$2:$J$2352,AG$3,FALSE),0)</f>
        <v>0</v>
      </c>
    </row>
    <row r="72" spans="15:33" x14ac:dyDescent="0.35">
      <c r="O72" s="40" t="s">
        <v>295</v>
      </c>
      <c r="P72" s="96" t="e">
        <f>VLOOKUP($O72,capacities!$A$2:$J$2352,P$3,FALSE)</f>
        <v>#N/A</v>
      </c>
      <c r="Q72" s="96" t="e">
        <f>VLOOKUP($O72,capacities!$A$2:$J$2352,Q$3,FALSE)</f>
        <v>#N/A</v>
      </c>
      <c r="R72" s="96" t="e">
        <f>VLOOKUP($O72,capacities!$A$2:$J$2352,R$3,FALSE)</f>
        <v>#N/A</v>
      </c>
      <c r="S72" s="96" t="e">
        <f>VLOOKUP($O72,capacities!$A$2:$J$2352,S$3,FALSE)</f>
        <v>#N/A</v>
      </c>
      <c r="T72" s="96" t="e">
        <f>VLOOKUP($O72,capacities!$A$2:$J$2352,T$3,FALSE)</f>
        <v>#N/A</v>
      </c>
      <c r="U72" s="96" t="e">
        <f>VLOOKUP($O72,capacities!$A$2:$J$2352,U$3,FALSE)</f>
        <v>#N/A</v>
      </c>
      <c r="V72" s="96" t="e">
        <f>VLOOKUP($O72,capacities!$A$2:$J$2352,V$3,FALSE)</f>
        <v>#N/A</v>
      </c>
      <c r="W72" s="863" t="e">
        <f>VLOOKUP($O72,capacities!$A$2:$J$2352,W$3,FALSE)</f>
        <v>#N/A</v>
      </c>
      <c r="Y72" s="40" t="s">
        <v>392</v>
      </c>
      <c r="Z72" s="96">
        <f>IFERROR(VLOOKUP($Y72,costs!$A$2:$J$2352,Z$3,FALSE),0)</f>
        <v>0</v>
      </c>
      <c r="AA72" s="96">
        <f>IFERROR(VLOOKUP($Y72,costs!$A$2:$J$2352,AA$3,FALSE),0)</f>
        <v>0</v>
      </c>
      <c r="AB72" s="96">
        <f>IFERROR(VLOOKUP($Y72,costs!$A$2:$J$2352,AB$3,FALSE),0)</f>
        <v>0</v>
      </c>
      <c r="AC72" s="96">
        <f>IFERROR(VLOOKUP($Y72,costs!$A$2:$J$2352,AC$3,FALSE),0)</f>
        <v>0</v>
      </c>
      <c r="AD72" s="96">
        <f>IFERROR(VLOOKUP($Y72,costs!$A$2:$J$2352,AD$3,FALSE),0)</f>
        <v>0</v>
      </c>
      <c r="AE72" s="96">
        <f>IFERROR(VLOOKUP($Y72,costs!$A$2:$J$2352,AE$3,FALSE),0)</f>
        <v>0</v>
      </c>
      <c r="AF72" s="96">
        <f>IFERROR(VLOOKUP($Y72,costs!$A$2:$J$2352,AF$3,FALSE),0)</f>
        <v>0</v>
      </c>
      <c r="AG72" s="96">
        <f>IFERROR(VLOOKUP($Y72,costs!$A$2:$J$2352,AG$3,FALSE),0)</f>
        <v>0</v>
      </c>
    </row>
    <row r="73" spans="15:33" x14ac:dyDescent="0.35">
      <c r="O73" s="40" t="s">
        <v>21</v>
      </c>
      <c r="P73" s="96" t="e">
        <f>VLOOKUP($O73,capacities!$A$2:$J$2352,P$3,FALSE)</f>
        <v>#N/A</v>
      </c>
      <c r="Q73" s="96" t="e">
        <f>VLOOKUP($O73,capacities!$A$2:$J$2352,Q$3,FALSE)</f>
        <v>#N/A</v>
      </c>
      <c r="R73" s="96" t="e">
        <f>VLOOKUP($O73,capacities!$A$2:$J$2352,R$3,FALSE)</f>
        <v>#N/A</v>
      </c>
      <c r="S73" s="96" t="e">
        <f>VLOOKUP($O73,capacities!$A$2:$J$2352,S$3,FALSE)</f>
        <v>#N/A</v>
      </c>
      <c r="T73" s="96" t="e">
        <f>VLOOKUP($O73,capacities!$A$2:$J$2352,T$3,FALSE)</f>
        <v>#N/A</v>
      </c>
      <c r="U73" s="96" t="e">
        <f>VLOOKUP($O73,capacities!$A$2:$J$2352,U$3,FALSE)</f>
        <v>#N/A</v>
      </c>
      <c r="V73" s="96" t="e">
        <f>VLOOKUP($O73,capacities!$A$2:$J$2352,V$3,FALSE)</f>
        <v>#N/A</v>
      </c>
      <c r="W73" s="863" t="e">
        <f>VLOOKUP($O73,capacities!$A$2:$J$2352,W$3,FALSE)</f>
        <v>#N/A</v>
      </c>
      <c r="Y73" s="40" t="s">
        <v>393</v>
      </c>
      <c r="Z73" s="96">
        <f>IFERROR(VLOOKUP($Y73,costs!$A$2:$J$2352,Z$3,FALSE),0)</f>
        <v>0</v>
      </c>
      <c r="AA73" s="96">
        <f>IFERROR(VLOOKUP($Y73,costs!$A$2:$J$2352,AA$3,FALSE),0)</f>
        <v>0</v>
      </c>
      <c r="AB73" s="96">
        <f>IFERROR(VLOOKUP($Y73,costs!$A$2:$J$2352,AB$3,FALSE),0)</f>
        <v>0</v>
      </c>
      <c r="AC73" s="96">
        <f>IFERROR(VLOOKUP($Y73,costs!$A$2:$J$2352,AC$3,FALSE),0)</f>
        <v>0</v>
      </c>
      <c r="AD73" s="96">
        <f>IFERROR(VLOOKUP($Y73,costs!$A$2:$J$2352,AD$3,FALSE),0)</f>
        <v>0</v>
      </c>
      <c r="AE73" s="96">
        <f>IFERROR(VLOOKUP($Y73,costs!$A$2:$J$2352,AE$3,FALSE),0)</f>
        <v>0</v>
      </c>
      <c r="AF73" s="96">
        <f>IFERROR(VLOOKUP($Y73,costs!$A$2:$J$2352,AF$3,FALSE),0)</f>
        <v>0</v>
      </c>
      <c r="AG73" s="96">
        <f>IFERROR(VLOOKUP($Y73,costs!$A$2:$J$2352,AG$3,FALSE),0)</f>
        <v>0</v>
      </c>
    </row>
    <row r="74" spans="15:33" x14ac:dyDescent="0.35">
      <c r="O74" s="40" t="s">
        <v>356</v>
      </c>
      <c r="P74" s="96" t="e">
        <f>VLOOKUP($O74,capacities!$A$2:$J$2352,P$3,FALSE)</f>
        <v>#N/A</v>
      </c>
      <c r="Q74" s="96" t="e">
        <f>VLOOKUP($O74,capacities!$A$2:$J$2352,Q$3,FALSE)</f>
        <v>#N/A</v>
      </c>
      <c r="R74" s="96" t="e">
        <f>VLOOKUP($O74,capacities!$A$2:$J$2352,R$3,FALSE)</f>
        <v>#N/A</v>
      </c>
      <c r="S74" s="96" t="e">
        <f>VLOOKUP($O74,capacities!$A$2:$J$2352,S$3,FALSE)</f>
        <v>#N/A</v>
      </c>
      <c r="T74" s="96" t="e">
        <f>VLOOKUP($O74,capacities!$A$2:$J$2352,T$3,FALSE)</f>
        <v>#N/A</v>
      </c>
      <c r="U74" s="96" t="e">
        <f>VLOOKUP($O74,capacities!$A$2:$J$2352,U$3,FALSE)</f>
        <v>#N/A</v>
      </c>
      <c r="V74" s="96" t="e">
        <f>VLOOKUP($O74,capacities!$A$2:$J$2352,V$3,FALSE)</f>
        <v>#N/A</v>
      </c>
      <c r="W74" s="863" t="e">
        <f>VLOOKUP($O74,capacities!$A$2:$J$2352,W$3,FALSE)</f>
        <v>#N/A</v>
      </c>
      <c r="Y74" s="40" t="s">
        <v>394</v>
      </c>
      <c r="Z74" s="96">
        <f>IFERROR(VLOOKUP($Y74,costs!$A$2:$J$2352,Z$3,FALSE),0)</f>
        <v>0</v>
      </c>
      <c r="AA74" s="96">
        <f>IFERROR(VLOOKUP($Y74,costs!$A$2:$J$2352,AA$3,FALSE),0)</f>
        <v>0</v>
      </c>
      <c r="AB74" s="96">
        <f>IFERROR(VLOOKUP($Y74,costs!$A$2:$J$2352,AB$3,FALSE),0)</f>
        <v>0</v>
      </c>
      <c r="AC74" s="96">
        <f>IFERROR(VLOOKUP($Y74,costs!$A$2:$J$2352,AC$3,FALSE),0)</f>
        <v>0</v>
      </c>
      <c r="AD74" s="96">
        <f>IFERROR(VLOOKUP($Y74,costs!$A$2:$J$2352,AD$3,FALSE),0)</f>
        <v>0</v>
      </c>
      <c r="AE74" s="96">
        <f>IFERROR(VLOOKUP($Y74,costs!$A$2:$J$2352,AE$3,FALSE),0)</f>
        <v>0</v>
      </c>
      <c r="AF74" s="96">
        <f>IFERROR(VLOOKUP($Y74,costs!$A$2:$J$2352,AF$3,FALSE),0)</f>
        <v>0</v>
      </c>
      <c r="AG74" s="96">
        <f>IFERROR(VLOOKUP($Y74,costs!$A$2:$J$2352,AG$3,FALSE),0)</f>
        <v>0</v>
      </c>
    </row>
    <row r="75" spans="15:33" x14ac:dyDescent="0.35">
      <c r="O75" s="40" t="s">
        <v>440</v>
      </c>
      <c r="P75" s="96" t="e">
        <f>VLOOKUP($O75,capacities!$A$2:$J$2352,P$3,FALSE)</f>
        <v>#N/A</v>
      </c>
      <c r="Q75" s="96" t="e">
        <f>VLOOKUP($O75,capacities!$A$2:$J$2352,Q$3,FALSE)</f>
        <v>#N/A</v>
      </c>
      <c r="R75" s="96" t="e">
        <f>VLOOKUP($O75,capacities!$A$2:$J$2352,R$3,FALSE)</f>
        <v>#N/A</v>
      </c>
      <c r="S75" s="96" t="e">
        <f>VLOOKUP($O75,capacities!$A$2:$J$2352,S$3,FALSE)</f>
        <v>#N/A</v>
      </c>
      <c r="T75" s="96" t="e">
        <f>VLOOKUP($O75,capacities!$A$2:$J$2352,T$3,FALSE)</f>
        <v>#N/A</v>
      </c>
      <c r="U75" s="96" t="e">
        <f>VLOOKUP($O75,capacities!$A$2:$J$2352,U$3,FALSE)</f>
        <v>#N/A</v>
      </c>
      <c r="V75" s="96" t="e">
        <f>VLOOKUP($O75,capacities!$A$2:$J$2352,V$3,FALSE)</f>
        <v>#N/A</v>
      </c>
      <c r="W75" s="863" t="e">
        <f>VLOOKUP($O75,capacities!$A$2:$J$2352,W$3,FALSE)</f>
        <v>#N/A</v>
      </c>
      <c r="Y75" s="40" t="s">
        <v>395</v>
      </c>
      <c r="Z75" s="96">
        <f>IFERROR(VLOOKUP($Y75,costs!$A$2:$J$2352,Z$3,FALSE),0)</f>
        <v>0</v>
      </c>
      <c r="AA75" s="96">
        <f>IFERROR(VLOOKUP($Y75,costs!$A$2:$J$2352,AA$3,FALSE),0)</f>
        <v>0</v>
      </c>
      <c r="AB75" s="96">
        <f>IFERROR(VLOOKUP($Y75,costs!$A$2:$J$2352,AB$3,FALSE),0)</f>
        <v>0</v>
      </c>
      <c r="AC75" s="96">
        <f>IFERROR(VLOOKUP($Y75,costs!$A$2:$J$2352,AC$3,FALSE),0)</f>
        <v>0</v>
      </c>
      <c r="AD75" s="96">
        <f>IFERROR(VLOOKUP($Y75,costs!$A$2:$J$2352,AD$3,FALSE),0)</f>
        <v>0</v>
      </c>
      <c r="AE75" s="96">
        <f>IFERROR(VLOOKUP($Y75,costs!$A$2:$J$2352,AE$3,FALSE),0)</f>
        <v>0</v>
      </c>
      <c r="AF75" s="96">
        <f>IFERROR(VLOOKUP($Y75,costs!$A$2:$J$2352,AF$3,FALSE),0)</f>
        <v>0</v>
      </c>
      <c r="AG75" s="96">
        <f>IFERROR(VLOOKUP($Y75,costs!$A$2:$J$2352,AG$3,FALSE),0)</f>
        <v>0</v>
      </c>
    </row>
    <row r="76" spans="15:33" x14ac:dyDescent="0.35">
      <c r="O76" s="99" t="s">
        <v>1464</v>
      </c>
      <c r="P76" s="96" t="e">
        <f>SUM(P71:P75)</f>
        <v>#N/A</v>
      </c>
      <c r="Q76" s="96" t="e">
        <f t="shared" ref="Q76:W76" si="55">SUM(Q71:Q75)</f>
        <v>#N/A</v>
      </c>
      <c r="R76" s="96" t="e">
        <f t="shared" si="55"/>
        <v>#N/A</v>
      </c>
      <c r="S76" s="96" t="e">
        <f t="shared" si="55"/>
        <v>#N/A</v>
      </c>
      <c r="T76" s="96" t="e">
        <f t="shared" si="55"/>
        <v>#N/A</v>
      </c>
      <c r="U76" s="96" t="e">
        <f t="shared" si="55"/>
        <v>#N/A</v>
      </c>
      <c r="V76" s="96" t="e">
        <f t="shared" si="55"/>
        <v>#N/A</v>
      </c>
      <c r="W76" s="863" t="e">
        <f t="shared" si="55"/>
        <v>#N/A</v>
      </c>
      <c r="Y76" s="40" t="s">
        <v>396</v>
      </c>
      <c r="Z76" s="96">
        <f>IFERROR(VLOOKUP($Y76,costs!$A$2:$J$2352,Z$3,FALSE),0)</f>
        <v>0</v>
      </c>
      <c r="AA76" s="96">
        <f>IFERROR(VLOOKUP($Y76,costs!$A$2:$J$2352,AA$3,FALSE),0)</f>
        <v>0</v>
      </c>
      <c r="AB76" s="96">
        <f>IFERROR(VLOOKUP($Y76,costs!$A$2:$J$2352,AB$3,FALSE),0)</f>
        <v>0</v>
      </c>
      <c r="AC76" s="96">
        <f>IFERROR(VLOOKUP($Y76,costs!$A$2:$J$2352,AC$3,FALSE),0)</f>
        <v>0</v>
      </c>
      <c r="AD76" s="96">
        <f>IFERROR(VLOOKUP($Y76,costs!$A$2:$J$2352,AD$3,FALSE),0)</f>
        <v>0</v>
      </c>
      <c r="AE76" s="96">
        <f>IFERROR(VLOOKUP($Y76,costs!$A$2:$J$2352,AE$3,FALSE),0)</f>
        <v>0</v>
      </c>
      <c r="AF76" s="96">
        <f>IFERROR(VLOOKUP($Y76,costs!$A$2:$J$2352,AF$3,FALSE),0)</f>
        <v>0</v>
      </c>
      <c r="AG76" s="96">
        <f>IFERROR(VLOOKUP($Y76,costs!$A$2:$J$2352,AG$3,FALSE),0)</f>
        <v>0</v>
      </c>
    </row>
    <row r="77" spans="15:33" x14ac:dyDescent="0.35">
      <c r="O77" s="40"/>
      <c r="P77" s="92"/>
      <c r="Q77" s="92"/>
      <c r="R77" s="92"/>
      <c r="S77" s="92"/>
      <c r="T77" s="92"/>
      <c r="U77" s="92"/>
      <c r="V77" s="92"/>
      <c r="W77" s="93"/>
      <c r="Y77" s="40" t="s">
        <v>397</v>
      </c>
      <c r="Z77" s="96">
        <f>IFERROR(VLOOKUP($Y77,costs!$A$2:$J$2352,Z$3,FALSE),0)</f>
        <v>0</v>
      </c>
      <c r="AA77" s="96">
        <f>IFERROR(VLOOKUP($Y77,costs!$A$2:$J$2352,AA$3,FALSE),0)</f>
        <v>0</v>
      </c>
      <c r="AB77" s="96">
        <f>IFERROR(VLOOKUP($Y77,costs!$A$2:$J$2352,AB$3,FALSE),0)</f>
        <v>0</v>
      </c>
      <c r="AC77" s="96">
        <f>IFERROR(VLOOKUP($Y77,costs!$A$2:$J$2352,AC$3,FALSE),0)</f>
        <v>0</v>
      </c>
      <c r="AD77" s="96">
        <f>IFERROR(VLOOKUP($Y77,costs!$A$2:$J$2352,AD$3,FALSE),0)</f>
        <v>0</v>
      </c>
      <c r="AE77" s="96">
        <f>IFERROR(VLOOKUP($Y77,costs!$A$2:$J$2352,AE$3,FALSE),0)</f>
        <v>0</v>
      </c>
      <c r="AF77" s="96">
        <f>IFERROR(VLOOKUP($Y77,costs!$A$2:$J$2352,AF$3,FALSE),0)</f>
        <v>0</v>
      </c>
      <c r="AG77" s="96">
        <f>IFERROR(VLOOKUP($Y77,costs!$A$2:$J$2352,AG$3,FALSE),0)</f>
        <v>0</v>
      </c>
    </row>
    <row r="78" spans="15:33" x14ac:dyDescent="0.35">
      <c r="O78" s="40" t="s">
        <v>59</v>
      </c>
      <c r="P78" s="96" t="e">
        <f>VLOOKUP($O78,capacities!$A$2:$J$2352,P$3,FALSE)</f>
        <v>#N/A</v>
      </c>
      <c r="Q78" s="96" t="e">
        <f>VLOOKUP($O78,capacities!$A$2:$J$2352,Q$3,FALSE)</f>
        <v>#N/A</v>
      </c>
      <c r="R78" s="96" t="e">
        <f>VLOOKUP($O78,capacities!$A$2:$J$2352,R$3,FALSE)</f>
        <v>#N/A</v>
      </c>
      <c r="S78" s="96" t="e">
        <f>VLOOKUP($O78,capacities!$A$2:$J$2352,S$3,FALSE)</f>
        <v>#N/A</v>
      </c>
      <c r="T78" s="96" t="e">
        <f>VLOOKUP($O78,capacities!$A$2:$J$2352,T$3,FALSE)</f>
        <v>#N/A</v>
      </c>
      <c r="U78" s="96" t="e">
        <f>VLOOKUP($O78,capacities!$A$2:$J$2352,U$3,FALSE)</f>
        <v>#N/A</v>
      </c>
      <c r="V78" s="96" t="e">
        <f>VLOOKUP($O78,capacities!$A$2:$J$2352,V$3,FALSE)</f>
        <v>#N/A</v>
      </c>
      <c r="W78" s="863" t="e">
        <f>VLOOKUP($O78,capacities!$A$2:$J$2352,W$3,FALSE)</f>
        <v>#N/A</v>
      </c>
      <c r="Y78" s="869" t="s">
        <v>4095</v>
      </c>
      <c r="Z78" s="871">
        <f>SUM(Z71:Z77)</f>
        <v>0</v>
      </c>
      <c r="AA78" s="871">
        <f t="shared" ref="AA78" si="56">SUM(AA71:AA77)</f>
        <v>0</v>
      </c>
      <c r="AB78" s="871">
        <f t="shared" ref="AB78" si="57">SUM(AB71:AB77)</f>
        <v>0</v>
      </c>
      <c r="AC78" s="871">
        <f t="shared" ref="AC78" si="58">SUM(AC71:AC77)</f>
        <v>0</v>
      </c>
      <c r="AD78" s="871">
        <f t="shared" ref="AD78" si="59">SUM(AD71:AD77)</f>
        <v>0</v>
      </c>
      <c r="AE78" s="871">
        <f t="shared" ref="AE78" si="60">SUM(AE71:AE77)</f>
        <v>0</v>
      </c>
      <c r="AF78" s="871">
        <f t="shared" ref="AF78" si="61">SUM(AF71:AF77)</f>
        <v>0</v>
      </c>
      <c r="AG78" s="871">
        <f t="shared" ref="AG78" si="62">SUM(AG71:AG77)</f>
        <v>0</v>
      </c>
    </row>
    <row r="79" spans="15:33" x14ac:dyDescent="0.35">
      <c r="O79" s="40" t="s">
        <v>507</v>
      </c>
      <c r="P79" s="96" t="e">
        <f>VLOOKUP($O79,capacities!$A$2:$J$2352,P$3,FALSE)</f>
        <v>#N/A</v>
      </c>
      <c r="Q79" s="96" t="e">
        <f>VLOOKUP($O79,capacities!$A$2:$J$2352,Q$3,FALSE)</f>
        <v>#N/A</v>
      </c>
      <c r="R79" s="96" t="e">
        <f>VLOOKUP($O79,capacities!$A$2:$J$2352,R$3,FALSE)</f>
        <v>#N/A</v>
      </c>
      <c r="S79" s="96" t="e">
        <f>VLOOKUP($O79,capacities!$A$2:$J$2352,S$3,FALSE)</f>
        <v>#N/A</v>
      </c>
      <c r="T79" s="96" t="e">
        <f>VLOOKUP($O79,capacities!$A$2:$J$2352,T$3,FALSE)</f>
        <v>#N/A</v>
      </c>
      <c r="U79" s="96" t="e">
        <f>VLOOKUP($O79,capacities!$A$2:$J$2352,U$3,FALSE)</f>
        <v>#N/A</v>
      </c>
      <c r="V79" s="96" t="e">
        <f>VLOOKUP($O79,capacities!$A$2:$J$2352,V$3,FALSE)</f>
        <v>#N/A</v>
      </c>
      <c r="W79" s="863" t="e">
        <f>VLOOKUP($O79,capacities!$A$2:$J$2352,W$3,FALSE)</f>
        <v>#N/A</v>
      </c>
      <c r="Y79" s="40"/>
      <c r="Z79" s="96"/>
      <c r="AA79" s="96"/>
      <c r="AB79" s="96"/>
      <c r="AC79" s="96"/>
      <c r="AD79" s="96"/>
      <c r="AE79" s="96"/>
      <c r="AF79" s="96"/>
      <c r="AG79" s="863"/>
    </row>
    <row r="80" spans="15:33" x14ac:dyDescent="0.35">
      <c r="O80" s="99" t="s">
        <v>1208</v>
      </c>
      <c r="P80" s="96" t="e">
        <f>SUM(P78:P79)</f>
        <v>#N/A</v>
      </c>
      <c r="Q80" s="96" t="e">
        <f t="shared" ref="Q80:W80" si="63">SUM(Q78:Q79)</f>
        <v>#N/A</v>
      </c>
      <c r="R80" s="96" t="e">
        <f t="shared" si="63"/>
        <v>#N/A</v>
      </c>
      <c r="S80" s="96" t="e">
        <f t="shared" si="63"/>
        <v>#N/A</v>
      </c>
      <c r="T80" s="96" t="e">
        <f t="shared" si="63"/>
        <v>#N/A</v>
      </c>
      <c r="U80" s="96" t="e">
        <f t="shared" si="63"/>
        <v>#N/A</v>
      </c>
      <c r="V80" s="96" t="e">
        <f t="shared" si="63"/>
        <v>#N/A</v>
      </c>
      <c r="W80" s="863" t="e">
        <f t="shared" si="63"/>
        <v>#N/A</v>
      </c>
      <c r="Y80" s="40" t="s">
        <v>510</v>
      </c>
      <c r="Z80" s="96">
        <f>IFERROR(VLOOKUP($Y80,costs!$A$2:$J$2352,Z$3,FALSE),0)</f>
        <v>0</v>
      </c>
      <c r="AA80" s="96">
        <f>IFERROR(VLOOKUP($Y80,costs!$A$2:$J$2352,AA$3,FALSE),0)</f>
        <v>0</v>
      </c>
      <c r="AB80" s="96">
        <f>IFERROR(VLOOKUP($Y80,costs!$A$2:$J$2352,AB$3,FALSE),0)</f>
        <v>0</v>
      </c>
      <c r="AC80" s="96">
        <f>IFERROR(VLOOKUP($Y80,costs!$A$2:$J$2352,AC$3,FALSE),0)</f>
        <v>0</v>
      </c>
      <c r="AD80" s="96">
        <f>IFERROR(VLOOKUP($Y80,costs!$A$2:$J$2352,AD$3,FALSE),0)</f>
        <v>0</v>
      </c>
      <c r="AE80" s="96">
        <f>IFERROR(VLOOKUP($Y80,costs!$A$2:$J$2352,AE$3,FALSE),0)</f>
        <v>0</v>
      </c>
      <c r="AF80" s="96">
        <f>IFERROR(VLOOKUP($Y80,costs!$A$2:$J$2352,AF$3,FALSE),0)</f>
        <v>0</v>
      </c>
      <c r="AG80" s="96">
        <f>IFERROR(VLOOKUP($Y80,costs!$A$2:$J$2352,AG$3,FALSE),0)</f>
        <v>0</v>
      </c>
    </row>
    <row r="81" spans="15:33" x14ac:dyDescent="0.35">
      <c r="O81" s="40"/>
      <c r="P81" s="92"/>
      <c r="Q81" s="92"/>
      <c r="R81" s="92"/>
      <c r="S81" s="92"/>
      <c r="T81" s="92"/>
      <c r="U81" s="92"/>
      <c r="V81" s="92"/>
      <c r="W81" s="93"/>
      <c r="Y81" s="40" t="s">
        <v>511</v>
      </c>
      <c r="Z81" s="96">
        <f>IFERROR(VLOOKUP($Y81,costs!$A$2:$J$2352,Z$3,FALSE),0)</f>
        <v>0</v>
      </c>
      <c r="AA81" s="96">
        <f>IFERROR(VLOOKUP($Y81,costs!$A$2:$J$2352,AA$3,FALSE),0)</f>
        <v>0</v>
      </c>
      <c r="AB81" s="96">
        <f>IFERROR(VLOOKUP($Y81,costs!$A$2:$J$2352,AB$3,FALSE),0)</f>
        <v>0</v>
      </c>
      <c r="AC81" s="96">
        <f>IFERROR(VLOOKUP($Y81,costs!$A$2:$J$2352,AC$3,FALSE),0)</f>
        <v>0</v>
      </c>
      <c r="AD81" s="96">
        <f>IFERROR(VLOOKUP($Y81,costs!$A$2:$J$2352,AD$3,FALSE),0)</f>
        <v>0</v>
      </c>
      <c r="AE81" s="96">
        <f>IFERROR(VLOOKUP($Y81,costs!$A$2:$J$2352,AE$3,FALSE),0)</f>
        <v>0</v>
      </c>
      <c r="AF81" s="96">
        <f>IFERROR(VLOOKUP($Y81,costs!$A$2:$J$2352,AF$3,FALSE),0)</f>
        <v>0</v>
      </c>
      <c r="AG81" s="96">
        <f>IFERROR(VLOOKUP($Y81,costs!$A$2:$J$2352,AG$3,FALSE),0)</f>
        <v>0</v>
      </c>
    </row>
    <row r="82" spans="15:33" x14ac:dyDescent="0.35">
      <c r="O82" s="40" t="s">
        <v>324</v>
      </c>
      <c r="P82" s="96" t="e">
        <f>VLOOKUP($O82,capacities!$A$2:$J$2352,P$3,FALSE)</f>
        <v>#N/A</v>
      </c>
      <c r="Q82" s="96" t="e">
        <f>VLOOKUP($O82,capacities!$A$2:$J$2352,Q$3,FALSE)</f>
        <v>#N/A</v>
      </c>
      <c r="R82" s="96" t="e">
        <f>VLOOKUP($O82,capacities!$A$2:$J$2352,R$3,FALSE)</f>
        <v>#N/A</v>
      </c>
      <c r="S82" s="96" t="e">
        <f>VLOOKUP($O82,capacities!$A$2:$J$2352,S$3,FALSE)</f>
        <v>#N/A</v>
      </c>
      <c r="T82" s="96" t="e">
        <f>VLOOKUP($O82,capacities!$A$2:$J$2352,T$3,FALSE)</f>
        <v>#N/A</v>
      </c>
      <c r="U82" s="96" t="e">
        <f>VLOOKUP($O82,capacities!$A$2:$J$2352,U$3,FALSE)</f>
        <v>#N/A</v>
      </c>
      <c r="V82" s="96" t="e">
        <f>VLOOKUP($O82,capacities!$A$2:$J$2352,V$3,FALSE)</f>
        <v>#N/A</v>
      </c>
      <c r="W82" s="863" t="e">
        <f>VLOOKUP($O82,capacities!$A$2:$J$2352,W$3,FALSE)</f>
        <v>#N/A</v>
      </c>
      <c r="Y82" s="40" t="s">
        <v>512</v>
      </c>
      <c r="Z82" s="96">
        <f>IFERROR(VLOOKUP($Y82,costs!$A$2:$J$2352,Z$3,FALSE),0)</f>
        <v>0</v>
      </c>
      <c r="AA82" s="96">
        <f>IFERROR(VLOOKUP($Y82,costs!$A$2:$J$2352,AA$3,FALSE),0)</f>
        <v>0</v>
      </c>
      <c r="AB82" s="96">
        <f>IFERROR(VLOOKUP($Y82,costs!$A$2:$J$2352,AB$3,FALSE),0)</f>
        <v>0</v>
      </c>
      <c r="AC82" s="96">
        <f>IFERROR(VLOOKUP($Y82,costs!$A$2:$J$2352,AC$3,FALSE),0)</f>
        <v>0</v>
      </c>
      <c r="AD82" s="96">
        <f>IFERROR(VLOOKUP($Y82,costs!$A$2:$J$2352,AD$3,FALSE),0)</f>
        <v>0</v>
      </c>
      <c r="AE82" s="96">
        <f>IFERROR(VLOOKUP($Y82,costs!$A$2:$J$2352,AE$3,FALSE),0)</f>
        <v>0</v>
      </c>
      <c r="AF82" s="96">
        <f>IFERROR(VLOOKUP($Y82,costs!$A$2:$J$2352,AF$3,FALSE),0)</f>
        <v>0</v>
      </c>
      <c r="AG82" s="96">
        <f>IFERROR(VLOOKUP($Y82,costs!$A$2:$J$2352,AG$3,FALSE),0)</f>
        <v>0</v>
      </c>
    </row>
    <row r="83" spans="15:33" x14ac:dyDescent="0.35">
      <c r="O83" s="134" t="s">
        <v>387</v>
      </c>
      <c r="P83" s="96" t="e">
        <f>VLOOKUP($O83,capacities!$A$2:$J$2352,P$3,FALSE)</f>
        <v>#N/A</v>
      </c>
      <c r="Q83" s="96" t="e">
        <f>VLOOKUP($O83,capacities!$A$2:$J$2352,Q$3,FALSE)</f>
        <v>#N/A</v>
      </c>
      <c r="R83" s="96" t="e">
        <f>VLOOKUP($O83,capacities!$A$2:$J$2352,R$3,FALSE)</f>
        <v>#N/A</v>
      </c>
      <c r="S83" s="96" t="e">
        <f>VLOOKUP($O83,capacities!$A$2:$J$2352,S$3,FALSE)</f>
        <v>#N/A</v>
      </c>
      <c r="T83" s="96" t="e">
        <f>VLOOKUP($O83,capacities!$A$2:$J$2352,T$3,FALSE)</f>
        <v>#N/A</v>
      </c>
      <c r="U83" s="96" t="e">
        <f>VLOOKUP($O83,capacities!$A$2:$J$2352,U$3,FALSE)</f>
        <v>#N/A</v>
      </c>
      <c r="V83" s="96" t="e">
        <f>VLOOKUP($O83,capacities!$A$2:$J$2352,V$3,FALSE)</f>
        <v>#N/A</v>
      </c>
      <c r="W83" s="863" t="e">
        <f>VLOOKUP($O83,capacities!$A$2:$J$2352,W$3,FALSE)</f>
        <v>#N/A</v>
      </c>
      <c r="Y83" s="40" t="s">
        <v>513</v>
      </c>
      <c r="Z83" s="96">
        <f>IFERROR(VLOOKUP($Y83,costs!$A$2:$J$2352,Z$3,FALSE),0)</f>
        <v>0</v>
      </c>
      <c r="AA83" s="96">
        <f>IFERROR(VLOOKUP($Y83,costs!$A$2:$J$2352,AA$3,FALSE),0)</f>
        <v>0</v>
      </c>
      <c r="AB83" s="96">
        <f>IFERROR(VLOOKUP($Y83,costs!$A$2:$J$2352,AB$3,FALSE),0)</f>
        <v>0</v>
      </c>
      <c r="AC83" s="96">
        <f>IFERROR(VLOOKUP($Y83,costs!$A$2:$J$2352,AC$3,FALSE),0)</f>
        <v>0</v>
      </c>
      <c r="AD83" s="96">
        <f>IFERROR(VLOOKUP($Y83,costs!$A$2:$J$2352,AD$3,FALSE),0)</f>
        <v>0</v>
      </c>
      <c r="AE83" s="96">
        <f>IFERROR(VLOOKUP($Y83,costs!$A$2:$J$2352,AE$3,FALSE),0)</f>
        <v>0</v>
      </c>
      <c r="AF83" s="96">
        <f>IFERROR(VLOOKUP($Y83,costs!$A$2:$J$2352,AF$3,FALSE),0)</f>
        <v>0</v>
      </c>
      <c r="AG83" s="96">
        <f>IFERROR(VLOOKUP($Y83,costs!$A$2:$J$2352,AG$3,FALSE),0)</f>
        <v>0</v>
      </c>
    </row>
    <row r="84" spans="15:33" ht="15" thickBot="1" x14ac:dyDescent="0.4">
      <c r="O84" s="135" t="s">
        <v>525</v>
      </c>
      <c r="P84" s="101" t="e">
        <f>VLOOKUP($O84,capacities!$A$2:$J$2352,P$3,FALSE)</f>
        <v>#N/A</v>
      </c>
      <c r="Q84" s="101" t="e">
        <f>VLOOKUP($O84,capacities!$A$2:$J$2352,Q$3,FALSE)</f>
        <v>#N/A</v>
      </c>
      <c r="R84" s="101" t="e">
        <f>VLOOKUP($O84,capacities!$A$2:$J$2352,R$3,FALSE)</f>
        <v>#N/A</v>
      </c>
      <c r="S84" s="101" t="e">
        <f>VLOOKUP($O84,capacities!$A$2:$J$2352,S$3,FALSE)</f>
        <v>#N/A</v>
      </c>
      <c r="T84" s="101" t="e">
        <f>VLOOKUP($O84,capacities!$A$2:$J$2352,T$3,FALSE)</f>
        <v>#N/A</v>
      </c>
      <c r="U84" s="101" t="e">
        <f>VLOOKUP($O84,capacities!$A$2:$J$2352,U$3,FALSE)</f>
        <v>#N/A</v>
      </c>
      <c r="V84" s="101" t="e">
        <f>VLOOKUP($O84,capacities!$A$2:$J$2352,V$3,FALSE)</f>
        <v>#N/A</v>
      </c>
      <c r="W84" s="864" t="e">
        <f>VLOOKUP($O84,capacities!$A$2:$J$2352,W$3,FALSE)</f>
        <v>#N/A</v>
      </c>
      <c r="Y84" s="40" t="s">
        <v>517</v>
      </c>
      <c r="Z84" s="96">
        <f>IFERROR(VLOOKUP($Y84,costs!$A$2:$J$2352,Z$3,FALSE),0)</f>
        <v>0</v>
      </c>
      <c r="AA84" s="96">
        <f>IFERROR(VLOOKUP($Y84,costs!$A$2:$J$2352,AA$3,FALSE),0)</f>
        <v>0</v>
      </c>
      <c r="AB84" s="96">
        <f>IFERROR(VLOOKUP($Y84,costs!$A$2:$J$2352,AB$3,FALSE),0)</f>
        <v>0</v>
      </c>
      <c r="AC84" s="96">
        <f>IFERROR(VLOOKUP($Y84,costs!$A$2:$J$2352,AC$3,FALSE),0)</f>
        <v>0</v>
      </c>
      <c r="AD84" s="96">
        <f>IFERROR(VLOOKUP($Y84,costs!$A$2:$J$2352,AD$3,FALSE),0)</f>
        <v>0</v>
      </c>
      <c r="AE84" s="96">
        <f>IFERROR(VLOOKUP($Y84,costs!$A$2:$J$2352,AE$3,FALSE),0)</f>
        <v>0</v>
      </c>
      <c r="AF84" s="96">
        <f>IFERROR(VLOOKUP($Y84,costs!$A$2:$J$2352,AF$3,FALSE),0)</f>
        <v>0</v>
      </c>
      <c r="AG84" s="96">
        <f>IFERROR(VLOOKUP($Y84,costs!$A$2:$J$2352,AG$3,FALSE),0)</f>
        <v>0</v>
      </c>
    </row>
    <row r="85" spans="15:33" x14ac:dyDescent="0.35">
      <c r="Y85" s="40" t="s">
        <v>459</v>
      </c>
      <c r="Z85" s="96">
        <f>IFERROR(VLOOKUP($Y85,costs!$A$2:$J$2352,Z$3,FALSE),0)</f>
        <v>0</v>
      </c>
      <c r="AA85" s="96">
        <f>IFERROR(VLOOKUP($Y85,costs!$A$2:$J$2352,AA$3,FALSE),0)</f>
        <v>0</v>
      </c>
      <c r="AB85" s="96">
        <f>IFERROR(VLOOKUP($Y85,costs!$A$2:$J$2352,AB$3,FALSE),0)</f>
        <v>0</v>
      </c>
      <c r="AC85" s="96">
        <f>IFERROR(VLOOKUP($Y85,costs!$A$2:$J$2352,AC$3,FALSE),0)</f>
        <v>0</v>
      </c>
      <c r="AD85" s="96">
        <f>IFERROR(VLOOKUP($Y85,costs!$A$2:$J$2352,AD$3,FALSE),0)</f>
        <v>0</v>
      </c>
      <c r="AE85" s="96">
        <f>IFERROR(VLOOKUP($Y85,costs!$A$2:$J$2352,AE$3,FALSE),0)</f>
        <v>0</v>
      </c>
      <c r="AF85" s="96">
        <f>IFERROR(VLOOKUP($Y85,costs!$A$2:$J$2352,AF$3,FALSE),0)</f>
        <v>0</v>
      </c>
      <c r="AG85" s="96">
        <f>IFERROR(VLOOKUP($Y85,costs!$A$2:$J$2352,AG$3,FALSE),0)</f>
        <v>0</v>
      </c>
    </row>
    <row r="86" spans="15:33" x14ac:dyDescent="0.35">
      <c r="Y86" s="40" t="s">
        <v>460</v>
      </c>
      <c r="Z86" s="96">
        <f>IFERROR(VLOOKUP($Y86,costs!$A$2:$J$2352,Z$3,FALSE),0)</f>
        <v>0</v>
      </c>
      <c r="AA86" s="96">
        <f>IFERROR(VLOOKUP($Y86,costs!$A$2:$J$2352,AA$3,FALSE),0)</f>
        <v>0</v>
      </c>
      <c r="AB86" s="96">
        <f>IFERROR(VLOOKUP($Y86,costs!$A$2:$J$2352,AB$3,FALSE),0)</f>
        <v>0</v>
      </c>
      <c r="AC86" s="96">
        <f>IFERROR(VLOOKUP($Y86,costs!$A$2:$J$2352,AC$3,FALSE),0)</f>
        <v>0</v>
      </c>
      <c r="AD86" s="96">
        <f>IFERROR(VLOOKUP($Y86,costs!$A$2:$J$2352,AD$3,FALSE),0)</f>
        <v>0</v>
      </c>
      <c r="AE86" s="96">
        <f>IFERROR(VLOOKUP($Y86,costs!$A$2:$J$2352,AE$3,FALSE),0)</f>
        <v>0</v>
      </c>
      <c r="AF86" s="96">
        <f>IFERROR(VLOOKUP($Y86,costs!$A$2:$J$2352,AF$3,FALSE),0)</f>
        <v>0</v>
      </c>
      <c r="AG86" s="96">
        <f>IFERROR(VLOOKUP($Y86,costs!$A$2:$J$2352,AG$3,FALSE),0)</f>
        <v>0</v>
      </c>
    </row>
    <row r="87" spans="15:33" x14ac:dyDescent="0.35">
      <c r="Y87" s="40" t="s">
        <v>461</v>
      </c>
      <c r="Z87" s="96">
        <f>IFERROR(VLOOKUP($Y87,costs!$A$2:$J$2352,Z$3,FALSE),0)</f>
        <v>0</v>
      </c>
      <c r="AA87" s="96">
        <f>IFERROR(VLOOKUP($Y87,costs!$A$2:$J$2352,AA$3,FALSE),0)</f>
        <v>0</v>
      </c>
      <c r="AB87" s="96">
        <f>IFERROR(VLOOKUP($Y87,costs!$A$2:$J$2352,AB$3,FALSE),0)</f>
        <v>0</v>
      </c>
      <c r="AC87" s="96">
        <f>IFERROR(VLOOKUP($Y87,costs!$A$2:$J$2352,AC$3,FALSE),0)</f>
        <v>0</v>
      </c>
      <c r="AD87" s="96">
        <f>IFERROR(VLOOKUP($Y87,costs!$A$2:$J$2352,AD$3,FALSE),0)</f>
        <v>0</v>
      </c>
      <c r="AE87" s="96">
        <f>IFERROR(VLOOKUP($Y87,costs!$A$2:$J$2352,AE$3,FALSE),0)</f>
        <v>0</v>
      </c>
      <c r="AF87" s="96">
        <f>IFERROR(VLOOKUP($Y87,costs!$A$2:$J$2352,AF$3,FALSE),0)</f>
        <v>0</v>
      </c>
      <c r="AG87" s="96">
        <f>IFERROR(VLOOKUP($Y87,costs!$A$2:$J$2352,AG$3,FALSE),0)</f>
        <v>0</v>
      </c>
    </row>
    <row r="88" spans="15:33" x14ac:dyDescent="0.35">
      <c r="Y88" s="40" t="s">
        <v>182</v>
      </c>
      <c r="Z88" s="96">
        <f>IFERROR(VLOOKUP($Y88,costs!$A$2:$J$2352,Z$3,FALSE),0)</f>
        <v>0</v>
      </c>
      <c r="AA88" s="96">
        <f>IFERROR(VLOOKUP($Y88,costs!$A$2:$J$2352,AA$3,FALSE),0)</f>
        <v>0</v>
      </c>
      <c r="AB88" s="96">
        <f>IFERROR(VLOOKUP($Y88,costs!$A$2:$J$2352,AB$3,FALSE),0)</f>
        <v>0</v>
      </c>
      <c r="AC88" s="96">
        <f>IFERROR(VLOOKUP($Y88,costs!$A$2:$J$2352,AC$3,FALSE),0)</f>
        <v>0</v>
      </c>
      <c r="AD88" s="96">
        <f>IFERROR(VLOOKUP($Y88,costs!$A$2:$J$2352,AD$3,FALSE),0)</f>
        <v>0</v>
      </c>
      <c r="AE88" s="96">
        <f>IFERROR(VLOOKUP($Y88,costs!$A$2:$J$2352,AE$3,FALSE),0)</f>
        <v>0</v>
      </c>
      <c r="AF88" s="96">
        <f>IFERROR(VLOOKUP($Y88,costs!$A$2:$J$2352,AF$3,FALSE),0)</f>
        <v>0</v>
      </c>
      <c r="AG88" s="96">
        <f>IFERROR(VLOOKUP($Y88,costs!$A$2:$J$2352,AG$3,FALSE),0)</f>
        <v>0</v>
      </c>
    </row>
    <row r="89" spans="15:33" x14ac:dyDescent="0.35">
      <c r="Y89" s="869" t="s">
        <v>4096</v>
      </c>
      <c r="Z89" s="871">
        <f>SUM(Z80:Z88)</f>
        <v>0</v>
      </c>
      <c r="AA89" s="871">
        <f t="shared" ref="AA89:AG89" si="64">SUM(AA80:AA88)</f>
        <v>0</v>
      </c>
      <c r="AB89" s="871">
        <f t="shared" si="64"/>
        <v>0</v>
      </c>
      <c r="AC89" s="871">
        <f t="shared" si="64"/>
        <v>0</v>
      </c>
      <c r="AD89" s="871">
        <f t="shared" si="64"/>
        <v>0</v>
      </c>
      <c r="AE89" s="871">
        <f>SUM(AE80:AE88)</f>
        <v>0</v>
      </c>
      <c r="AF89" s="871">
        <f t="shared" si="64"/>
        <v>0</v>
      </c>
      <c r="AG89" s="871">
        <f t="shared" si="64"/>
        <v>0</v>
      </c>
    </row>
    <row r="90" spans="15:33" x14ac:dyDescent="0.35">
      <c r="Y90" s="99"/>
      <c r="Z90" s="96"/>
      <c r="AA90" s="96"/>
      <c r="AB90" s="96"/>
      <c r="AC90" s="96"/>
      <c r="AD90" s="96"/>
      <c r="AE90" s="96"/>
      <c r="AF90" s="96"/>
      <c r="AG90" s="863"/>
    </row>
    <row r="91" spans="15:33" x14ac:dyDescent="0.35">
      <c r="Y91" s="99"/>
      <c r="Z91" s="96"/>
      <c r="AA91" s="96"/>
      <c r="AB91" s="96"/>
      <c r="AC91" s="96"/>
      <c r="AD91" s="96"/>
      <c r="AE91" s="96"/>
      <c r="AF91" s="96"/>
      <c r="AG91" s="863"/>
    </row>
    <row r="92" spans="15:33" x14ac:dyDescent="0.35">
      <c r="Y92" s="40"/>
      <c r="Z92" s="96"/>
      <c r="AA92" s="96"/>
      <c r="AB92" s="96"/>
      <c r="AC92" s="96"/>
      <c r="AD92" s="96"/>
      <c r="AE92" s="96"/>
      <c r="AF92" s="96"/>
      <c r="AG92" s="863"/>
    </row>
    <row r="93" spans="15:33" x14ac:dyDescent="0.35">
      <c r="Y93" s="40" t="s">
        <v>15</v>
      </c>
      <c r="Z93" s="96">
        <f>IFERROR(VLOOKUP($Y93,costs!$A$2:$J$2352,Z$3,FALSE),0)</f>
        <v>0</v>
      </c>
      <c r="AA93" s="96">
        <f>IFERROR(VLOOKUP($Y93,costs!$A$2:$J$2352,AA$3,FALSE),0)</f>
        <v>0</v>
      </c>
      <c r="AB93" s="96">
        <f>IFERROR(VLOOKUP($Y93,costs!$A$2:$J$2352,AB$3,FALSE),0)</f>
        <v>0</v>
      </c>
      <c r="AC93" s="96">
        <f>IFERROR(VLOOKUP($Y93,costs!$A$2:$J$2352,AC$3,FALSE),0)</f>
        <v>0</v>
      </c>
      <c r="AD93" s="96">
        <f>IFERROR(VLOOKUP($Y93,costs!$A$2:$J$2352,AD$3,FALSE),0)</f>
        <v>0</v>
      </c>
      <c r="AE93" s="96">
        <f>IFERROR(VLOOKUP($Y93,costs!$A$2:$J$2352,AE$3,FALSE),0)</f>
        <v>0</v>
      </c>
      <c r="AF93" s="96">
        <f>IFERROR(VLOOKUP($Y93,costs!$A$2:$J$2352,AF$3,FALSE),0)</f>
        <v>0</v>
      </c>
      <c r="AG93" s="96">
        <f>IFERROR(VLOOKUP($Y93,costs!$A$2:$J$2352,AG$3,FALSE),0)</f>
        <v>0</v>
      </c>
    </row>
    <row r="94" spans="15:33" x14ac:dyDescent="0.35">
      <c r="Y94" s="40" t="s">
        <v>295</v>
      </c>
      <c r="Z94" s="96">
        <f>IFERROR(VLOOKUP($Y94,costs!$A$2:$J$2352,Z$3,FALSE),0)</f>
        <v>0</v>
      </c>
      <c r="AA94" s="96">
        <f>IFERROR(VLOOKUP($Y94,costs!$A$2:$J$2352,AA$3,FALSE),0)</f>
        <v>0</v>
      </c>
      <c r="AB94" s="96">
        <f>IFERROR(VLOOKUP($Y94,costs!$A$2:$J$2352,AB$3,FALSE),0)</f>
        <v>0</v>
      </c>
      <c r="AC94" s="96">
        <f>IFERROR(VLOOKUP($Y94,costs!$A$2:$J$2352,AC$3,FALSE),0)</f>
        <v>0</v>
      </c>
      <c r="AD94" s="96">
        <f>IFERROR(VLOOKUP($Y94,costs!$A$2:$J$2352,AD$3,FALSE),0)</f>
        <v>0</v>
      </c>
      <c r="AE94" s="96">
        <f>IFERROR(VLOOKUP($Y94,costs!$A$2:$J$2352,AE$3,FALSE),0)</f>
        <v>0</v>
      </c>
      <c r="AF94" s="96">
        <f>IFERROR(VLOOKUP($Y94,costs!$A$2:$J$2352,AF$3,FALSE),0)</f>
        <v>0</v>
      </c>
      <c r="AG94" s="96">
        <f>IFERROR(VLOOKUP($Y94,costs!$A$2:$J$2352,AG$3,FALSE),0)</f>
        <v>0</v>
      </c>
    </row>
    <row r="95" spans="15:33" x14ac:dyDescent="0.35">
      <c r="Y95" s="40" t="s">
        <v>21</v>
      </c>
      <c r="Z95" s="96">
        <f>IFERROR(VLOOKUP($Y95,costs!$A$2:$J$2352,Z$3,FALSE),0)</f>
        <v>0</v>
      </c>
      <c r="AA95" s="96">
        <f>IFERROR(VLOOKUP($Y95,costs!$A$2:$J$2352,AA$3,FALSE),0)</f>
        <v>0</v>
      </c>
      <c r="AB95" s="96">
        <f>IFERROR(VLOOKUP($Y95,costs!$A$2:$J$2352,AB$3,FALSE),0)</f>
        <v>0</v>
      </c>
      <c r="AC95" s="96">
        <f>IFERROR(VLOOKUP($Y95,costs!$A$2:$J$2352,AC$3,FALSE),0)</f>
        <v>0</v>
      </c>
      <c r="AD95" s="96">
        <f>IFERROR(VLOOKUP($Y95,costs!$A$2:$J$2352,AD$3,FALSE),0)</f>
        <v>0</v>
      </c>
      <c r="AE95" s="96">
        <f>IFERROR(VLOOKUP($Y95,costs!$A$2:$J$2352,AE$3,FALSE),0)</f>
        <v>0</v>
      </c>
      <c r="AF95" s="96">
        <f>IFERROR(VLOOKUP($Y95,costs!$A$2:$J$2352,AF$3,FALSE),0)</f>
        <v>0</v>
      </c>
      <c r="AG95" s="96">
        <f>IFERROR(VLOOKUP($Y95,costs!$A$2:$J$2352,AG$3,FALSE),0)</f>
        <v>0</v>
      </c>
    </row>
    <row r="96" spans="15:33" x14ac:dyDescent="0.35">
      <c r="Y96" s="40" t="s">
        <v>356</v>
      </c>
      <c r="Z96" s="96">
        <f>IFERROR(VLOOKUP($Y96,costs!$A$2:$J$2352,Z$3,FALSE),0)</f>
        <v>0</v>
      </c>
      <c r="AA96" s="96">
        <f>IFERROR(VLOOKUP($Y96,costs!$A$2:$J$2352,AA$3,FALSE),0)</f>
        <v>0</v>
      </c>
      <c r="AB96" s="96">
        <f>IFERROR(VLOOKUP($Y96,costs!$A$2:$J$2352,AB$3,FALSE),0)</f>
        <v>0</v>
      </c>
      <c r="AC96" s="96">
        <f>IFERROR(VLOOKUP($Y96,costs!$A$2:$J$2352,AC$3,FALSE),0)</f>
        <v>0</v>
      </c>
      <c r="AD96" s="96">
        <f>IFERROR(VLOOKUP($Y96,costs!$A$2:$J$2352,AD$3,FALSE),0)</f>
        <v>0</v>
      </c>
      <c r="AE96" s="96">
        <f>IFERROR(VLOOKUP($Y96,costs!$A$2:$J$2352,AE$3,FALSE),0)</f>
        <v>0</v>
      </c>
      <c r="AF96" s="96">
        <f>IFERROR(VLOOKUP($Y96,costs!$A$2:$J$2352,AF$3,FALSE),0)</f>
        <v>0</v>
      </c>
      <c r="AG96" s="96">
        <f>IFERROR(VLOOKUP($Y96,costs!$A$2:$J$2352,AG$3,FALSE),0)</f>
        <v>0</v>
      </c>
    </row>
    <row r="97" spans="25:33" x14ac:dyDescent="0.35">
      <c r="Y97" s="40" t="s">
        <v>440</v>
      </c>
      <c r="Z97" s="96">
        <f>IFERROR(VLOOKUP($Y97,costs!$A$2:$J$2352,Z$3,FALSE),0)</f>
        <v>0</v>
      </c>
      <c r="AA97" s="96">
        <f>IFERROR(VLOOKUP($Y97,costs!$A$2:$J$2352,AA$3,FALSE),0)</f>
        <v>0</v>
      </c>
      <c r="AB97" s="96">
        <f>IFERROR(VLOOKUP($Y97,costs!$A$2:$J$2352,AB$3,FALSE),0)</f>
        <v>0</v>
      </c>
      <c r="AC97" s="96">
        <f>IFERROR(VLOOKUP($Y97,costs!$A$2:$J$2352,AC$3,FALSE),0)</f>
        <v>0</v>
      </c>
      <c r="AD97" s="96">
        <f>IFERROR(VLOOKUP($Y97,costs!$A$2:$J$2352,AD$3,FALSE),0)</f>
        <v>0</v>
      </c>
      <c r="AE97" s="96">
        <f>IFERROR(VLOOKUP($Y97,costs!$A$2:$J$2352,AE$3,FALSE),0)</f>
        <v>0</v>
      </c>
      <c r="AF97" s="96">
        <f>IFERROR(VLOOKUP($Y97,costs!$A$2:$J$2352,AF$3,FALSE),0)</f>
        <v>0</v>
      </c>
      <c r="AG97" s="96">
        <f>IFERROR(VLOOKUP($Y97,costs!$A$2:$J$2352,AG$3,FALSE),0)</f>
        <v>0</v>
      </c>
    </row>
    <row r="98" spans="25:33" x14ac:dyDescent="0.35">
      <c r="Y98" s="869" t="s">
        <v>4097</v>
      </c>
      <c r="Z98" s="871">
        <f>SUM(Z93:Z97)</f>
        <v>0</v>
      </c>
      <c r="AA98" s="871">
        <f t="shared" ref="AA98:AG98" si="65">SUM(AA93:AA97)</f>
        <v>0</v>
      </c>
      <c r="AB98" s="871">
        <f t="shared" si="65"/>
        <v>0</v>
      </c>
      <c r="AC98" s="871">
        <f t="shared" si="65"/>
        <v>0</v>
      </c>
      <c r="AD98" s="871">
        <f t="shared" si="65"/>
        <v>0</v>
      </c>
      <c r="AE98" s="871">
        <f t="shared" si="65"/>
        <v>0</v>
      </c>
      <c r="AF98" s="871">
        <f t="shared" si="65"/>
        <v>0</v>
      </c>
      <c r="AG98" s="871">
        <f t="shared" si="65"/>
        <v>0</v>
      </c>
    </row>
    <row r="99" spans="25:33" x14ac:dyDescent="0.35">
      <c r="Y99" s="40"/>
      <c r="Z99" s="96"/>
      <c r="AA99" s="96"/>
      <c r="AB99" s="96"/>
      <c r="AC99" s="96"/>
      <c r="AD99" s="96"/>
      <c r="AE99" s="96"/>
      <c r="AF99" s="96"/>
      <c r="AG99" s="863"/>
    </row>
    <row r="100" spans="25:33" x14ac:dyDescent="0.35">
      <c r="Y100" s="40" t="s">
        <v>59</v>
      </c>
      <c r="Z100" s="96">
        <f>IFERROR(VLOOKUP($Y100,costs!$A$2:$J$2352,Z$3,FALSE),0)</f>
        <v>0</v>
      </c>
      <c r="AA100" s="96">
        <f>IFERROR(VLOOKUP($Y100,costs!$A$2:$J$2352,AA$3,FALSE),0)</f>
        <v>0</v>
      </c>
      <c r="AB100" s="96">
        <f>IFERROR(VLOOKUP($Y100,costs!$A$2:$J$2352,AB$3,FALSE),0)</f>
        <v>0</v>
      </c>
      <c r="AC100" s="96">
        <f>IFERROR(VLOOKUP($Y100,costs!$A$2:$J$2352,AC$3,FALSE),0)</f>
        <v>0</v>
      </c>
      <c r="AD100" s="96">
        <f>IFERROR(VLOOKUP($Y100,costs!$A$2:$J$2352,AD$3,FALSE),0)</f>
        <v>0</v>
      </c>
      <c r="AE100" s="96">
        <f>IFERROR(VLOOKUP($Y100,costs!$A$2:$J$2352,AE$3,FALSE),0)</f>
        <v>0</v>
      </c>
      <c r="AF100" s="96">
        <f>IFERROR(VLOOKUP($Y100,costs!$A$2:$J$2352,AF$3,FALSE),0)</f>
        <v>0</v>
      </c>
      <c r="AG100" s="96">
        <f>IFERROR(VLOOKUP($Y100,costs!$A$2:$J$2352,AG$3,FALSE),0)</f>
        <v>0</v>
      </c>
    </row>
    <row r="101" spans="25:33" x14ac:dyDescent="0.35">
      <c r="Y101" s="40" t="s">
        <v>507</v>
      </c>
      <c r="Z101" s="96">
        <f>IFERROR(VLOOKUP($Y101,costs!$A$2:$J$2352,Z$3,FALSE),0)</f>
        <v>0</v>
      </c>
      <c r="AA101" s="96">
        <f>IFERROR(VLOOKUP($Y101,costs!$A$2:$J$2352,AA$3,FALSE),0)</f>
        <v>0</v>
      </c>
      <c r="AB101" s="96">
        <f>IFERROR(VLOOKUP($Y101,costs!$A$2:$J$2352,AB$3,FALSE),0)</f>
        <v>0</v>
      </c>
      <c r="AC101" s="96">
        <f>IFERROR(VLOOKUP($Y101,costs!$A$2:$J$2352,AC$3,FALSE),0)</f>
        <v>0</v>
      </c>
      <c r="AD101" s="96">
        <f>IFERROR(VLOOKUP($Y101,costs!$A$2:$J$2352,AD$3,FALSE),0)</f>
        <v>0</v>
      </c>
      <c r="AE101" s="96">
        <f>IFERROR(VLOOKUP($Y101,costs!$A$2:$J$2352,AE$3,FALSE),0)</f>
        <v>0</v>
      </c>
      <c r="AF101" s="96">
        <f>IFERROR(VLOOKUP($Y101,costs!$A$2:$J$2352,AF$3,FALSE),0)</f>
        <v>0</v>
      </c>
      <c r="AG101" s="96">
        <f>IFERROR(VLOOKUP($Y101,costs!$A$2:$J$2352,AG$3,FALSE),0)</f>
        <v>0</v>
      </c>
    </row>
    <row r="102" spans="25:33" x14ac:dyDescent="0.35">
      <c r="Y102" s="869" t="s">
        <v>4098</v>
      </c>
      <c r="Z102" s="871">
        <f>SUM(Z100:Z101)</f>
        <v>0</v>
      </c>
      <c r="AA102" s="871">
        <f t="shared" ref="AA102:AG102" si="66">SUM(AA100:AA101)</f>
        <v>0</v>
      </c>
      <c r="AB102" s="871">
        <f t="shared" si="66"/>
        <v>0</v>
      </c>
      <c r="AC102" s="871">
        <f t="shared" si="66"/>
        <v>0</v>
      </c>
      <c r="AD102" s="871">
        <f t="shared" si="66"/>
        <v>0</v>
      </c>
      <c r="AE102" s="871">
        <f t="shared" si="66"/>
        <v>0</v>
      </c>
      <c r="AF102" s="871">
        <f t="shared" si="66"/>
        <v>0</v>
      </c>
      <c r="AG102" s="871">
        <f t="shared" si="66"/>
        <v>0</v>
      </c>
    </row>
    <row r="103" spans="25:33" x14ac:dyDescent="0.35">
      <c r="Y103" s="40"/>
      <c r="Z103" s="96"/>
      <c r="AA103" s="96"/>
      <c r="AB103" s="96"/>
      <c r="AC103" s="96"/>
      <c r="AD103" s="96"/>
      <c r="AE103" s="96"/>
      <c r="AF103" s="96"/>
      <c r="AG103" s="863"/>
    </row>
    <row r="104" spans="25:33" x14ac:dyDescent="0.35">
      <c r="Y104" s="40" t="s">
        <v>324</v>
      </c>
      <c r="Z104" s="96">
        <f>IFERROR(VLOOKUP($Y104,costs!$A$2:$J$2352,Z$3,FALSE),0)</f>
        <v>0</v>
      </c>
      <c r="AA104" s="96">
        <f>IFERROR(VLOOKUP($Y104,costs!$A$2:$J$2352,AA$3,FALSE),0)</f>
        <v>0</v>
      </c>
      <c r="AB104" s="96">
        <f>IFERROR(VLOOKUP($Y104,costs!$A$2:$J$2352,AB$3,FALSE),0)</f>
        <v>0</v>
      </c>
      <c r="AC104" s="96">
        <f>IFERROR(VLOOKUP($Y104,costs!$A$2:$J$2352,AC$3,FALSE),0)</f>
        <v>0</v>
      </c>
      <c r="AD104" s="96">
        <f>IFERROR(VLOOKUP($Y104,costs!$A$2:$J$2352,AD$3,FALSE),0)</f>
        <v>0</v>
      </c>
      <c r="AE104" s="96">
        <f>IFERROR(VLOOKUP($Y104,costs!$A$2:$J$2352,AE$3,FALSE),0)</f>
        <v>0</v>
      </c>
      <c r="AF104" s="96">
        <f>IFERROR(VLOOKUP($Y104,costs!$A$2:$J$2352,AF$3,FALSE),0)</f>
        <v>0</v>
      </c>
      <c r="AG104" s="96">
        <f>IFERROR(VLOOKUP($Y104,costs!$A$2:$J$2352,AG$3,FALSE),0)</f>
        <v>0</v>
      </c>
    </row>
    <row r="105" spans="25:33" x14ac:dyDescent="0.35">
      <c r="Y105" s="134" t="s">
        <v>387</v>
      </c>
      <c r="Z105" s="96">
        <f>IFERROR(VLOOKUP($Y105,costs!$A$2:$J$2352,Z$3,FALSE),0)</f>
        <v>0</v>
      </c>
      <c r="AA105" s="96">
        <f>IFERROR(VLOOKUP($Y105,costs!$A$2:$J$2352,AA$3,FALSE),0)</f>
        <v>0</v>
      </c>
      <c r="AB105" s="96">
        <f>IFERROR(VLOOKUP($Y105,costs!$A$2:$J$2352,AB$3,FALSE),0)</f>
        <v>0</v>
      </c>
      <c r="AC105" s="96">
        <f>IFERROR(VLOOKUP($Y105,costs!$A$2:$J$2352,AC$3,FALSE),0)</f>
        <v>0</v>
      </c>
      <c r="AD105" s="96">
        <f>IFERROR(VLOOKUP($Y105,costs!$A$2:$J$2352,AD$3,FALSE),0)</f>
        <v>0</v>
      </c>
      <c r="AE105" s="96">
        <f>IFERROR(VLOOKUP($Y105,costs!$A$2:$J$2352,AE$3,FALSE),0)</f>
        <v>0</v>
      </c>
      <c r="AF105" s="96">
        <f>IFERROR(VLOOKUP($Y105,costs!$A$2:$J$2352,AF$3,FALSE),0)</f>
        <v>0</v>
      </c>
      <c r="AG105" s="96">
        <f>IFERROR(VLOOKUP($Y105,costs!$A$2:$J$2352,AG$3,FALSE),0)</f>
        <v>0</v>
      </c>
    </row>
    <row r="106" spans="25:33" ht="15" thickBot="1" x14ac:dyDescent="0.4">
      <c r="Y106" s="135" t="s">
        <v>525</v>
      </c>
      <c r="Z106" s="96">
        <f>IFERROR(VLOOKUP($Y106,costs!$A$2:$J$2352,Z$3,FALSE),0)</f>
        <v>0</v>
      </c>
      <c r="AA106" s="96">
        <f>IFERROR(VLOOKUP($Y106,costs!$A$2:$J$2352,AA$3,FALSE),0)</f>
        <v>0</v>
      </c>
      <c r="AB106" s="96">
        <f>IFERROR(VLOOKUP($Y106,costs!$A$2:$J$2352,AB$3,FALSE),0)</f>
        <v>0</v>
      </c>
      <c r="AC106" s="96">
        <f>IFERROR(VLOOKUP($Y106,costs!$A$2:$J$2352,AC$3,FALSE),0)</f>
        <v>0</v>
      </c>
      <c r="AD106" s="96">
        <f>IFERROR(VLOOKUP($Y106,costs!$A$2:$J$2352,AD$3,FALSE),0)</f>
        <v>0</v>
      </c>
      <c r="AE106" s="96">
        <f>IFERROR(VLOOKUP($Y106,costs!$A$2:$J$2352,AE$3,FALSE),0)</f>
        <v>0</v>
      </c>
      <c r="AF106" s="96">
        <f>IFERROR(VLOOKUP($Y106,costs!$A$2:$J$2352,AF$3,FALSE),0)</f>
        <v>0</v>
      </c>
      <c r="AG106" s="96">
        <f>IFERROR(VLOOKUP($Y106,costs!$A$2:$J$2352,AG$3,FALSE),0)</f>
        <v>0</v>
      </c>
    </row>
    <row r="107" spans="25:33" x14ac:dyDescent="0.35">
      <c r="Y107" s="869" t="s">
        <v>4099</v>
      </c>
      <c r="Z107" s="871">
        <f>SUM(Z104:Z106)</f>
        <v>0</v>
      </c>
      <c r="AA107" s="871">
        <f t="shared" ref="AA107:AG107" si="67">SUM(AA104:AA106)</f>
        <v>0</v>
      </c>
      <c r="AB107" s="871">
        <f t="shared" si="67"/>
        <v>0</v>
      </c>
      <c r="AC107" s="871">
        <f t="shared" si="67"/>
        <v>0</v>
      </c>
      <c r="AD107" s="871">
        <f t="shared" si="67"/>
        <v>0</v>
      </c>
      <c r="AE107" s="871">
        <f t="shared" si="67"/>
        <v>0</v>
      </c>
      <c r="AF107" s="871">
        <f t="shared" si="67"/>
        <v>0</v>
      </c>
      <c r="AG107" s="871">
        <f t="shared" si="67"/>
        <v>0</v>
      </c>
    </row>
    <row r="108" spans="25:33" x14ac:dyDescent="0.35">
      <c r="Y108" s="134"/>
    </row>
    <row r="109" spans="25:33" x14ac:dyDescent="0.35">
      <c r="Y109" s="134" t="s">
        <v>4102</v>
      </c>
      <c r="Z109" s="84">
        <f>SUM(Z15,Z27,Z45,Z55,Z65,Z69,Z78,Z89,Z98,Z102,Z107)</f>
        <v>0</v>
      </c>
      <c r="AA109" s="84">
        <f t="shared" ref="AA109:AG109" si="68">SUM(AA15,AA27,AA45,AA55,AA65,AA69,AA78,AA89,AA98,AA102,AA107)</f>
        <v>0</v>
      </c>
      <c r="AB109" s="84">
        <f t="shared" si="68"/>
        <v>0</v>
      </c>
      <c r="AC109" s="84">
        <f t="shared" si="68"/>
        <v>0</v>
      </c>
      <c r="AD109" s="84">
        <f t="shared" si="68"/>
        <v>0</v>
      </c>
      <c r="AE109" s="84">
        <f t="shared" si="68"/>
        <v>0</v>
      </c>
      <c r="AF109" s="84">
        <f t="shared" si="68"/>
        <v>0</v>
      </c>
      <c r="AG109" s="84">
        <f t="shared" si="68"/>
        <v>0</v>
      </c>
    </row>
    <row r="110" spans="25:33" x14ac:dyDescent="0.35">
      <c r="Y110" s="134" t="s">
        <v>4103</v>
      </c>
      <c r="Z110" s="132" t="e">
        <f>'Strom - Flows'!C21</f>
        <v>#N/A</v>
      </c>
      <c r="AA110" s="862" t="e">
        <f>'Strom - Flows'!D21</f>
        <v>#N/A</v>
      </c>
      <c r="AB110" s="862" t="e">
        <f>'Strom - Flows'!E21</f>
        <v>#N/A</v>
      </c>
      <c r="AC110" s="862" t="e">
        <f>'Strom - Flows'!F21</f>
        <v>#N/A</v>
      </c>
      <c r="AD110" s="862" t="e">
        <f>'Strom - Flows'!G21</f>
        <v>#N/A</v>
      </c>
      <c r="AE110" s="862" t="e">
        <f>'Strom - Flows'!H21</f>
        <v>#N/A</v>
      </c>
      <c r="AF110" s="862" t="e">
        <f>'Strom - Flows'!I21</f>
        <v>#N/A</v>
      </c>
      <c r="AG110" s="862" t="e">
        <f>'Strom - Flows'!J21</f>
        <v>#N/A</v>
      </c>
    </row>
    <row r="111" spans="25:33" x14ac:dyDescent="0.35">
      <c r="Y111" s="165" t="s">
        <v>4100</v>
      </c>
      <c r="Z111" s="133" t="e">
        <f>ROUND(Z109/Z110,3)</f>
        <v>#N/A</v>
      </c>
      <c r="AA111" s="133" t="e">
        <f t="shared" ref="AA111:AG111" si="69">ROUND(AA109/AA110,3)</f>
        <v>#N/A</v>
      </c>
      <c r="AB111" s="133" t="e">
        <f t="shared" si="69"/>
        <v>#N/A</v>
      </c>
      <c r="AC111" s="133" t="e">
        <f t="shared" si="69"/>
        <v>#N/A</v>
      </c>
      <c r="AD111" s="133" t="e">
        <f t="shared" si="69"/>
        <v>#N/A</v>
      </c>
      <c r="AE111" s="133" t="e">
        <f t="shared" si="69"/>
        <v>#N/A</v>
      </c>
      <c r="AF111" s="133" t="e">
        <f t="shared" si="69"/>
        <v>#N/A</v>
      </c>
      <c r="AG111" s="133" t="e">
        <f t="shared" si="69"/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/>
  </sheetPr>
  <dimension ref="A1:AI67"/>
  <sheetViews>
    <sheetView zoomScale="85" zoomScaleNormal="85" workbookViewId="0">
      <selection activeCell="AU7" sqref="AU7"/>
    </sheetView>
  </sheetViews>
  <sheetFormatPr baseColWidth="10" defaultColWidth="11.453125" defaultRowHeight="14.5" x14ac:dyDescent="0.35"/>
  <cols>
    <col min="1" max="1" width="33.453125" style="132" bestFit="1" customWidth="1"/>
    <col min="2" max="11" width="11.453125" style="132"/>
    <col min="12" max="12" width="11.453125" style="190"/>
    <col min="13" max="13" width="36.453125" style="132" bestFit="1" customWidth="1"/>
    <col min="14" max="23" width="11.453125" style="132"/>
    <col min="24" max="24" width="40.54296875" style="132" bestFit="1" customWidth="1"/>
    <col min="25" max="16384" width="11.453125" style="132"/>
  </cols>
  <sheetData>
    <row r="1" spans="1:35" ht="15" thickBot="1" x14ac:dyDescent="0.4"/>
    <row r="2" spans="1:35" x14ac:dyDescent="0.35">
      <c r="A2" s="87"/>
      <c r="B2" s="88" t="s">
        <v>1467</v>
      </c>
      <c r="C2" s="89">
        <v>2</v>
      </c>
      <c r="D2" s="89">
        <v>3</v>
      </c>
      <c r="E2" s="89">
        <v>4</v>
      </c>
      <c r="F2" s="89">
        <v>5</v>
      </c>
      <c r="G2" s="89">
        <v>6</v>
      </c>
      <c r="H2" s="89">
        <v>7</v>
      </c>
      <c r="I2" s="89">
        <v>8</v>
      </c>
      <c r="J2" s="89">
        <v>9</v>
      </c>
      <c r="M2" s="87"/>
      <c r="N2" s="88" t="s">
        <v>1468</v>
      </c>
      <c r="O2" s="89">
        <v>2</v>
      </c>
      <c r="P2" s="89">
        <v>3</v>
      </c>
      <c r="Q2" s="89">
        <v>4</v>
      </c>
      <c r="R2" s="89">
        <v>5</v>
      </c>
      <c r="S2" s="89">
        <v>6</v>
      </c>
      <c r="T2" s="89">
        <v>7</v>
      </c>
      <c r="U2" s="89">
        <v>8</v>
      </c>
      <c r="V2" s="89">
        <v>9</v>
      </c>
      <c r="X2" s="87"/>
      <c r="Y2" s="88" t="s">
        <v>1165</v>
      </c>
      <c r="Z2" s="89">
        <v>2</v>
      </c>
      <c r="AA2" s="89">
        <v>3</v>
      </c>
      <c r="AB2" s="89">
        <v>4</v>
      </c>
      <c r="AC2" s="89">
        <v>5</v>
      </c>
      <c r="AD2" s="89">
        <v>6</v>
      </c>
      <c r="AE2" s="89">
        <v>7</v>
      </c>
      <c r="AF2" s="89">
        <v>8</v>
      </c>
      <c r="AG2" s="89">
        <v>9</v>
      </c>
    </row>
    <row r="3" spans="1:35" x14ac:dyDescent="0.35">
      <c r="A3" s="40" t="s">
        <v>1415</v>
      </c>
      <c r="B3" s="92"/>
      <c r="C3" s="133" t="s">
        <v>1417</v>
      </c>
      <c r="D3" s="133">
        <v>2020</v>
      </c>
      <c r="E3" s="133">
        <v>2025</v>
      </c>
      <c r="F3" s="133">
        <v>2030</v>
      </c>
      <c r="G3" s="133">
        <v>2035</v>
      </c>
      <c r="H3" s="133">
        <v>2040</v>
      </c>
      <c r="I3" s="133">
        <v>2045</v>
      </c>
      <c r="J3" s="133">
        <v>2050</v>
      </c>
      <c r="M3" s="40" t="s">
        <v>1415</v>
      </c>
      <c r="N3" s="92"/>
      <c r="O3" s="133" t="s">
        <v>1417</v>
      </c>
      <c r="P3" s="133">
        <v>2020</v>
      </c>
      <c r="Q3" s="133">
        <v>2025</v>
      </c>
      <c r="R3" s="133">
        <v>2030</v>
      </c>
      <c r="S3" s="133">
        <v>2035</v>
      </c>
      <c r="T3" s="133">
        <v>2040</v>
      </c>
      <c r="U3" s="133">
        <v>2045</v>
      </c>
      <c r="V3" s="133">
        <v>2050</v>
      </c>
      <c r="X3" s="40" t="s">
        <v>1415</v>
      </c>
      <c r="Y3" s="92"/>
      <c r="Z3" s="133" t="s">
        <v>1417</v>
      </c>
      <c r="AA3" s="133">
        <v>2020</v>
      </c>
      <c r="AB3" s="133">
        <v>2025</v>
      </c>
      <c r="AC3" s="133">
        <v>2030</v>
      </c>
      <c r="AD3" s="133">
        <v>2035</v>
      </c>
      <c r="AE3" s="133">
        <v>2040</v>
      </c>
      <c r="AF3" s="133">
        <v>2045</v>
      </c>
      <c r="AG3" s="133">
        <v>2050</v>
      </c>
    </row>
    <row r="4" spans="1:35" x14ac:dyDescent="0.35">
      <c r="A4" s="40" t="s">
        <v>780</v>
      </c>
      <c r="B4" s="92"/>
      <c r="C4" s="96" t="e">
        <f>VLOOKUP($A4,flows!$A$2:$J$4985,C$2,FALSE)</f>
        <v>#N/A</v>
      </c>
      <c r="D4" s="96" t="e">
        <f>VLOOKUP($A4,flows!$A$2:$J$4985,D$2,FALSE)</f>
        <v>#N/A</v>
      </c>
      <c r="E4" s="96" t="e">
        <f>VLOOKUP($A4,flows!$A$2:$J$4985,E$2,FALSE)</f>
        <v>#N/A</v>
      </c>
      <c r="F4" s="96" t="e">
        <f>VLOOKUP($A4,flows!$A$2:$J$4985,F$2,FALSE)</f>
        <v>#N/A</v>
      </c>
      <c r="G4" s="96" t="e">
        <f>VLOOKUP($A4,flows!$A$2:$J$4985,G$2,FALSE)</f>
        <v>#N/A</v>
      </c>
      <c r="H4" s="96" t="e">
        <f>VLOOKUP($A4,flows!$A$2:$J$4985,H$2,FALSE)</f>
        <v>#N/A</v>
      </c>
      <c r="I4" s="96" t="e">
        <f>VLOOKUP($A4,flows!$A$2:$J$4985,I$2,FALSE)</f>
        <v>#N/A</v>
      </c>
      <c r="J4" s="96" t="e">
        <f>VLOOKUP($A4,flows!$A$2:$J$4985,J$2,FALSE)</f>
        <v>#N/A</v>
      </c>
      <c r="M4" s="40" t="s">
        <v>124</v>
      </c>
      <c r="N4" s="92"/>
      <c r="O4" s="96" t="e">
        <f>VLOOKUP($M4,flows!$A$2:$J$4985,O$2,FALSE)</f>
        <v>#N/A</v>
      </c>
      <c r="P4" s="96" t="e">
        <f>VLOOKUP($M4,flows!$A$2:$J$4985,P$2,FALSE)</f>
        <v>#N/A</v>
      </c>
      <c r="Q4" s="96" t="e">
        <f>VLOOKUP($M4,flows!$A$2:$J$4985,Q$2,FALSE)</f>
        <v>#N/A</v>
      </c>
      <c r="R4" s="96" t="e">
        <f>VLOOKUP($M4,flows!$A$2:$J$4985,R$2,FALSE)</f>
        <v>#N/A</v>
      </c>
      <c r="S4" s="96" t="e">
        <f>VLOOKUP($M4,flows!$A$2:$J$4985,S$2,FALSE)</f>
        <v>#N/A</v>
      </c>
      <c r="T4" s="96" t="e">
        <f>VLOOKUP($M4,flows!$A$2:$J$4985,T$2,FALSE)</f>
        <v>#N/A</v>
      </c>
      <c r="U4" s="96" t="e">
        <f>VLOOKUP($M4,flows!$A$2:$J$4985,U$2,FALSE)</f>
        <v>#N/A</v>
      </c>
      <c r="V4" s="96" t="e">
        <f>VLOOKUP($M4,flows!$A$2:$J$4985,V$2,FALSE)</f>
        <v>#N/A</v>
      </c>
      <c r="X4" s="40" t="s">
        <v>3132</v>
      </c>
      <c r="Y4" s="92"/>
      <c r="Z4" s="96" t="e">
        <f>VLOOKUP($X4,flows!$A$2:$J$4985,Z$2,FALSE)</f>
        <v>#N/A</v>
      </c>
      <c r="AA4" s="96" t="e">
        <f>VLOOKUP($X4,flows!$A$2:$J$4985,AA$2,FALSE)</f>
        <v>#N/A</v>
      </c>
      <c r="AB4" s="96" t="e">
        <f>VLOOKUP($X4,flows!$A$2:$J$4985,AB$2,FALSE)</f>
        <v>#N/A</v>
      </c>
      <c r="AC4" s="96" t="e">
        <f>VLOOKUP($X4,flows!$A$2:$J$4985,AC$2,FALSE)</f>
        <v>#N/A</v>
      </c>
      <c r="AD4" s="96" t="e">
        <f>VLOOKUP($X4,flows!$A$2:$J$4985,AD$2,FALSE)</f>
        <v>#N/A</v>
      </c>
      <c r="AE4" s="96" t="e">
        <f>VLOOKUP($X4,flows!$A$2:$J$4985,AE$2,FALSE)</f>
        <v>#N/A</v>
      </c>
      <c r="AF4" s="96" t="e">
        <f>VLOOKUP($X4,flows!$A$2:$J$4985,AF$2,FALSE)</f>
        <v>#N/A</v>
      </c>
      <c r="AG4" s="96" t="e">
        <f>VLOOKUP($X4,flows!$A$2:$J$4985,AG$2,FALSE)</f>
        <v>#N/A</v>
      </c>
      <c r="AI4" s="31"/>
    </row>
    <row r="5" spans="1:35" x14ac:dyDescent="0.35">
      <c r="A5" s="40" t="s">
        <v>781</v>
      </c>
      <c r="B5" s="92"/>
      <c r="C5" s="96" t="e">
        <f>VLOOKUP($A5,flows!$A$2:$J$4985,C$2,FALSE)</f>
        <v>#N/A</v>
      </c>
      <c r="D5" s="96" t="e">
        <f>VLOOKUP($A5,flows!$A$2:$J$4985,D$2,FALSE)</f>
        <v>#N/A</v>
      </c>
      <c r="E5" s="96" t="e">
        <f>VLOOKUP($A5,flows!$A$2:$J$4985,E$2,FALSE)</f>
        <v>#N/A</v>
      </c>
      <c r="F5" s="96" t="e">
        <f>VLOOKUP($A5,flows!$A$2:$J$4985,F$2,FALSE)</f>
        <v>#N/A</v>
      </c>
      <c r="G5" s="96" t="e">
        <f>VLOOKUP($A5,flows!$A$2:$J$4985,G$2,FALSE)</f>
        <v>#N/A</v>
      </c>
      <c r="H5" s="96" t="e">
        <f>VLOOKUP($A5,flows!$A$2:$J$4985,H$2,FALSE)</f>
        <v>#N/A</v>
      </c>
      <c r="I5" s="96" t="e">
        <f>VLOOKUP($A5,flows!$A$2:$J$4985,I$2,FALSE)</f>
        <v>#N/A</v>
      </c>
      <c r="J5" s="96" t="e">
        <f>VLOOKUP($A5,flows!$A$2:$J$4985,J$2,FALSE)</f>
        <v>#N/A</v>
      </c>
      <c r="M5" s="40" t="s">
        <v>125</v>
      </c>
      <c r="N5" s="92"/>
      <c r="O5" s="96" t="e">
        <f>VLOOKUP($M5,flows!$A$2:$J$4985,O$2,FALSE)</f>
        <v>#N/A</v>
      </c>
      <c r="P5" s="96" t="e">
        <f>VLOOKUP($M5,flows!$A$2:$J$4985,P$2,FALSE)</f>
        <v>#N/A</v>
      </c>
      <c r="Q5" s="96" t="e">
        <f>VLOOKUP($M5,flows!$A$2:$J$4985,Q$2,FALSE)</f>
        <v>#N/A</v>
      </c>
      <c r="R5" s="96" t="e">
        <f>VLOOKUP($M5,flows!$A$2:$J$4985,R$2,FALSE)</f>
        <v>#N/A</v>
      </c>
      <c r="S5" s="96" t="e">
        <f>VLOOKUP($M5,flows!$A$2:$J$4985,S$2,FALSE)</f>
        <v>#N/A</v>
      </c>
      <c r="T5" s="96" t="e">
        <f>VLOOKUP($M5,flows!$A$2:$J$4985,T$2,FALSE)</f>
        <v>#N/A</v>
      </c>
      <c r="U5" s="96" t="e">
        <f>VLOOKUP($M5,flows!$A$2:$J$4985,U$2,FALSE)</f>
        <v>#N/A</v>
      </c>
      <c r="V5" s="96" t="e">
        <f>VLOOKUP($M5,flows!$A$2:$J$4985,V$2,FALSE)</f>
        <v>#N/A</v>
      </c>
      <c r="X5" s="40" t="s">
        <v>118</v>
      </c>
      <c r="Y5" s="92"/>
      <c r="Z5" s="96" t="e">
        <f>VLOOKUP($X5,flows!$A$2:$J$4985,Z$2,FALSE)</f>
        <v>#N/A</v>
      </c>
      <c r="AA5" s="96" t="e">
        <f>VLOOKUP($X5,flows!$A$2:$J$4985,AA$2,FALSE)</f>
        <v>#N/A</v>
      </c>
      <c r="AB5" s="96" t="e">
        <f>VLOOKUP($X5,flows!$A$2:$J$4985,AB$2,FALSE)</f>
        <v>#N/A</v>
      </c>
      <c r="AC5" s="96" t="e">
        <f>VLOOKUP($X5,flows!$A$2:$J$4985,AC$2,FALSE)</f>
        <v>#N/A</v>
      </c>
      <c r="AD5" s="96" t="e">
        <f>VLOOKUP($X5,flows!$A$2:$J$4985,AD$2,FALSE)</f>
        <v>#N/A</v>
      </c>
      <c r="AE5" s="96" t="e">
        <f>VLOOKUP($X5,flows!$A$2:$J$4985,AE$2,FALSE)</f>
        <v>#N/A</v>
      </c>
      <c r="AF5" s="96" t="e">
        <f>VLOOKUP($X5,flows!$A$2:$J$4985,AF$2,FALSE)</f>
        <v>#N/A</v>
      </c>
      <c r="AG5" s="96" t="e">
        <f>VLOOKUP($X5,flows!$A$2:$J$4985,AG$2,FALSE)</f>
        <v>#N/A</v>
      </c>
      <c r="AI5" s="31"/>
    </row>
    <row r="6" spans="1:35" x14ac:dyDescent="0.35">
      <c r="A6" s="40" t="s">
        <v>782</v>
      </c>
      <c r="B6" s="92"/>
      <c r="C6" s="96" t="e">
        <f>VLOOKUP($A6,flows!$A$2:$J$4985,C$2,FALSE)</f>
        <v>#N/A</v>
      </c>
      <c r="D6" s="96" t="e">
        <f>VLOOKUP($A6,flows!$A$2:$J$4985,D$2,FALSE)</f>
        <v>#N/A</v>
      </c>
      <c r="E6" s="96" t="e">
        <f>VLOOKUP($A6,flows!$A$2:$J$4985,E$2,FALSE)</f>
        <v>#N/A</v>
      </c>
      <c r="F6" s="96" t="e">
        <f>VLOOKUP($A6,flows!$A$2:$J$4985,F$2,FALSE)</f>
        <v>#N/A</v>
      </c>
      <c r="G6" s="96" t="e">
        <f>VLOOKUP($A6,flows!$A$2:$J$4985,G$2,FALSE)</f>
        <v>#N/A</v>
      </c>
      <c r="H6" s="96" t="e">
        <f>VLOOKUP($A6,flows!$A$2:$J$4985,H$2,FALSE)</f>
        <v>#N/A</v>
      </c>
      <c r="I6" s="96" t="e">
        <f>VLOOKUP($A6,flows!$A$2:$J$4985,I$2,FALSE)</f>
        <v>#N/A</v>
      </c>
      <c r="J6" s="96" t="e">
        <f>VLOOKUP($A6,flows!$A$2:$J$4985,J$2,FALSE)</f>
        <v>#N/A</v>
      </c>
      <c r="M6" s="40" t="s">
        <v>126</v>
      </c>
      <c r="N6" s="92"/>
      <c r="O6" s="96" t="e">
        <f>VLOOKUP($M6,flows!$A$2:$J$4985,O$2,FALSE)</f>
        <v>#N/A</v>
      </c>
      <c r="P6" s="96" t="e">
        <f>VLOOKUP($M6,flows!$A$2:$J$4985,P$2,FALSE)</f>
        <v>#N/A</v>
      </c>
      <c r="Q6" s="96" t="e">
        <f>VLOOKUP($M6,flows!$A$2:$J$4985,Q$2,FALSE)</f>
        <v>#N/A</v>
      </c>
      <c r="R6" s="96" t="e">
        <f>VLOOKUP($M6,flows!$A$2:$J$4985,R$2,FALSE)</f>
        <v>#N/A</v>
      </c>
      <c r="S6" s="96" t="e">
        <f>VLOOKUP($M6,flows!$A$2:$J$4985,S$2,FALSE)</f>
        <v>#N/A</v>
      </c>
      <c r="T6" s="96" t="e">
        <f>VLOOKUP($M6,flows!$A$2:$J$4985,T$2,FALSE)</f>
        <v>#N/A</v>
      </c>
      <c r="U6" s="96" t="e">
        <f>VLOOKUP($M6,flows!$A$2:$J$4985,U$2,FALSE)</f>
        <v>#N/A</v>
      </c>
      <c r="V6" s="96" t="e">
        <f>VLOOKUP($M6,flows!$A$2:$J$4985,V$2,FALSE)</f>
        <v>#N/A</v>
      </c>
      <c r="X6" s="40" t="s">
        <v>120</v>
      </c>
      <c r="Y6" s="92"/>
      <c r="Z6" s="96" t="e">
        <f>VLOOKUP($X6,flows!$A$2:$J$4985,Z$2,FALSE)</f>
        <v>#N/A</v>
      </c>
      <c r="AA6" s="96" t="e">
        <f>VLOOKUP($X6,flows!$A$2:$J$4985,AA$2,FALSE)</f>
        <v>#N/A</v>
      </c>
      <c r="AB6" s="96" t="e">
        <f>VLOOKUP($X6,flows!$A$2:$J$4985,AB$2,FALSE)</f>
        <v>#N/A</v>
      </c>
      <c r="AC6" s="96" t="e">
        <f>VLOOKUP($X6,flows!$A$2:$J$4985,AC$2,FALSE)</f>
        <v>#N/A</v>
      </c>
      <c r="AD6" s="96" t="e">
        <f>VLOOKUP($X6,flows!$A$2:$J$4985,AD$2,FALSE)</f>
        <v>#N/A</v>
      </c>
      <c r="AE6" s="96" t="e">
        <f>VLOOKUP($X6,flows!$A$2:$J$4985,AE$2,FALSE)</f>
        <v>#N/A</v>
      </c>
      <c r="AF6" s="96" t="e">
        <f>VLOOKUP($X6,flows!$A$2:$J$4985,AF$2,FALSE)</f>
        <v>#N/A</v>
      </c>
      <c r="AG6" s="96" t="e">
        <f>VLOOKUP($X6,flows!$A$2:$J$4985,AG$2,FALSE)</f>
        <v>#N/A</v>
      </c>
      <c r="AI6" s="31"/>
    </row>
    <row r="7" spans="1:35" x14ac:dyDescent="0.35">
      <c r="A7" s="40" t="s">
        <v>783</v>
      </c>
      <c r="B7" s="92"/>
      <c r="C7" s="96" t="e">
        <f>VLOOKUP($A7,flows!$A$2:$J$4985,C$2,FALSE)</f>
        <v>#N/A</v>
      </c>
      <c r="D7" s="96" t="e">
        <f>VLOOKUP($A7,flows!$A$2:$J$4985,D$2,FALSE)</f>
        <v>#N/A</v>
      </c>
      <c r="E7" s="96" t="e">
        <f>VLOOKUP($A7,flows!$A$2:$J$4985,E$2,FALSE)</f>
        <v>#N/A</v>
      </c>
      <c r="F7" s="96" t="e">
        <f>VLOOKUP($A7,flows!$A$2:$J$4985,F$2,FALSE)</f>
        <v>#N/A</v>
      </c>
      <c r="G7" s="96" t="e">
        <f>VLOOKUP($A7,flows!$A$2:$J$4985,G$2,FALSE)</f>
        <v>#N/A</v>
      </c>
      <c r="H7" s="96" t="e">
        <f>VLOOKUP($A7,flows!$A$2:$J$4985,H$2,FALSE)</f>
        <v>#N/A</v>
      </c>
      <c r="I7" s="96" t="e">
        <f>VLOOKUP($A7,flows!$A$2:$J$4985,I$2,FALSE)</f>
        <v>#N/A</v>
      </c>
      <c r="J7" s="96" t="e">
        <f>VLOOKUP($A7,flows!$A$2:$J$4985,J$2,FALSE)</f>
        <v>#N/A</v>
      </c>
      <c r="M7" s="40" t="s">
        <v>127</v>
      </c>
      <c r="N7" s="92"/>
      <c r="O7" s="96" t="e">
        <f>VLOOKUP($M7,flows!$A$2:$J$4985,O$2,FALSE)</f>
        <v>#N/A</v>
      </c>
      <c r="P7" s="96" t="e">
        <f>VLOOKUP($M7,flows!$A$2:$J$4985,P$2,FALSE)</f>
        <v>#N/A</v>
      </c>
      <c r="Q7" s="96" t="e">
        <f>VLOOKUP($M7,flows!$A$2:$J$4985,Q$2,FALSE)</f>
        <v>#N/A</v>
      </c>
      <c r="R7" s="96" t="e">
        <f>VLOOKUP($M7,flows!$A$2:$J$4985,R$2,FALSE)</f>
        <v>#N/A</v>
      </c>
      <c r="S7" s="96" t="e">
        <f>VLOOKUP($M7,flows!$A$2:$J$4985,S$2,FALSE)</f>
        <v>#N/A</v>
      </c>
      <c r="T7" s="96" t="e">
        <f>VLOOKUP($M7,flows!$A$2:$J$4985,T$2,FALSE)</f>
        <v>#N/A</v>
      </c>
      <c r="U7" s="96" t="e">
        <f>VLOOKUP($M7,flows!$A$2:$J$4985,U$2,FALSE)</f>
        <v>#N/A</v>
      </c>
      <c r="V7" s="96" t="e">
        <f>VLOOKUP($M7,flows!$A$2:$J$4985,V$2,FALSE)</f>
        <v>#N/A</v>
      </c>
      <c r="X7" s="40" t="s">
        <v>137</v>
      </c>
      <c r="Y7" s="92"/>
      <c r="Z7" s="96" t="e">
        <f>VLOOKUP($X7,flows!$A$2:$J$4985,Z$2,FALSE)</f>
        <v>#N/A</v>
      </c>
      <c r="AA7" s="96" t="e">
        <f>VLOOKUP($X7,flows!$A$2:$J$4985,AA$2,FALSE)</f>
        <v>#N/A</v>
      </c>
      <c r="AB7" s="96" t="e">
        <f>VLOOKUP($X7,flows!$A$2:$J$4985,AB$2,FALSE)</f>
        <v>#N/A</v>
      </c>
      <c r="AC7" s="96" t="e">
        <f>VLOOKUP($X7,flows!$A$2:$J$4985,AC$2,FALSE)</f>
        <v>#N/A</v>
      </c>
      <c r="AD7" s="96" t="e">
        <f>VLOOKUP($X7,flows!$A$2:$J$4985,AD$2,FALSE)</f>
        <v>#N/A</v>
      </c>
      <c r="AE7" s="96" t="e">
        <f>VLOOKUP($X7,flows!$A$2:$J$4985,AE$2,FALSE)</f>
        <v>#N/A</v>
      </c>
      <c r="AF7" s="96" t="e">
        <f>VLOOKUP($X7,flows!$A$2:$J$4985,AF$2,FALSE)</f>
        <v>#N/A</v>
      </c>
      <c r="AG7" s="96" t="e">
        <f>VLOOKUP($X7,flows!$A$2:$J$4985,AG$2,FALSE)</f>
        <v>#N/A</v>
      </c>
      <c r="AI7" s="31"/>
    </row>
    <row r="8" spans="1:35" x14ac:dyDescent="0.35">
      <c r="A8" s="40" t="s">
        <v>784</v>
      </c>
      <c r="B8" s="92"/>
      <c r="C8" s="96" t="e">
        <f>VLOOKUP($A8,flows!$A$2:$J$4985,C$2,FALSE)</f>
        <v>#N/A</v>
      </c>
      <c r="D8" s="96" t="e">
        <f>VLOOKUP($A8,flows!$A$2:$J$4985,D$2,FALSE)</f>
        <v>#N/A</v>
      </c>
      <c r="E8" s="96" t="e">
        <f>VLOOKUP($A8,flows!$A$2:$J$4985,E$2,FALSE)</f>
        <v>#N/A</v>
      </c>
      <c r="F8" s="96" t="e">
        <f>VLOOKUP($A8,flows!$A$2:$J$4985,F$2,FALSE)</f>
        <v>#N/A</v>
      </c>
      <c r="G8" s="96" t="e">
        <f>VLOOKUP($A8,flows!$A$2:$J$4985,G$2,FALSE)</f>
        <v>#N/A</v>
      </c>
      <c r="H8" s="96" t="e">
        <f>VLOOKUP($A8,flows!$A$2:$J$4985,H$2,FALSE)</f>
        <v>#N/A</v>
      </c>
      <c r="I8" s="96" t="e">
        <f>VLOOKUP($A8,flows!$A$2:$J$4985,I$2,FALSE)</f>
        <v>#N/A</v>
      </c>
      <c r="J8" s="96" t="e">
        <f>VLOOKUP($A8,flows!$A$2:$J$4985,J$2,FALSE)</f>
        <v>#N/A</v>
      </c>
      <c r="M8" s="40" t="s">
        <v>128</v>
      </c>
      <c r="N8" s="92"/>
      <c r="O8" s="96" t="e">
        <f>VLOOKUP($M8,flows!$A$2:$J$4985,O$2,FALSE)</f>
        <v>#N/A</v>
      </c>
      <c r="P8" s="96" t="e">
        <f>VLOOKUP($M8,flows!$A$2:$J$4985,P$2,FALSE)</f>
        <v>#N/A</v>
      </c>
      <c r="Q8" s="96" t="e">
        <f>VLOOKUP($M8,flows!$A$2:$J$4985,Q$2,FALSE)</f>
        <v>#N/A</v>
      </c>
      <c r="R8" s="96" t="e">
        <f>VLOOKUP($M8,flows!$A$2:$J$4985,R$2,FALSE)</f>
        <v>#N/A</v>
      </c>
      <c r="S8" s="96" t="e">
        <f>VLOOKUP($M8,flows!$A$2:$J$4985,S$2,FALSE)</f>
        <v>#N/A</v>
      </c>
      <c r="T8" s="96" t="e">
        <f>VLOOKUP($M8,flows!$A$2:$J$4985,T$2,FALSE)</f>
        <v>#N/A</v>
      </c>
      <c r="U8" s="96" t="e">
        <f>VLOOKUP($M8,flows!$A$2:$J$4985,U$2,FALSE)</f>
        <v>#N/A</v>
      </c>
      <c r="V8" s="96" t="e">
        <f>VLOOKUP($M8,flows!$A$2:$J$4985,V$2,FALSE)</f>
        <v>#N/A</v>
      </c>
      <c r="X8" s="40" t="s">
        <v>3133</v>
      </c>
      <c r="Y8" s="92"/>
      <c r="Z8" s="96" t="e">
        <f>VLOOKUP($X8,flows!$A$2:$J$4985,Z$2,FALSE)</f>
        <v>#N/A</v>
      </c>
      <c r="AA8" s="96" t="e">
        <f>VLOOKUP($X8,flows!$A$2:$J$4985,AA$2,FALSE)</f>
        <v>#N/A</v>
      </c>
      <c r="AB8" s="96" t="e">
        <f>VLOOKUP($X8,flows!$A$2:$J$4985,AB$2,FALSE)</f>
        <v>#N/A</v>
      </c>
      <c r="AC8" s="96" t="e">
        <f>VLOOKUP($X8,flows!$A$2:$J$4985,AC$2,FALSE)</f>
        <v>#N/A</v>
      </c>
      <c r="AD8" s="96" t="e">
        <f>VLOOKUP($X8,flows!$A$2:$J$4985,AD$2,FALSE)</f>
        <v>#N/A</v>
      </c>
      <c r="AE8" s="96" t="e">
        <f>VLOOKUP($X8,flows!$A$2:$J$4985,AE$2,FALSE)</f>
        <v>#N/A</v>
      </c>
      <c r="AF8" s="96" t="e">
        <f>VLOOKUP($X8,flows!$A$2:$J$4985,AF$2,FALSE)</f>
        <v>#N/A</v>
      </c>
      <c r="AG8" s="96" t="e">
        <f>VLOOKUP($X8,flows!$A$2:$J$4985,AG$2,FALSE)</f>
        <v>#N/A</v>
      </c>
      <c r="AI8" s="31"/>
    </row>
    <row r="9" spans="1:35" x14ac:dyDescent="0.35">
      <c r="A9" s="40" t="s">
        <v>785</v>
      </c>
      <c r="B9" s="92"/>
      <c r="C9" s="96" t="e">
        <f>VLOOKUP($A9,flows!$A$2:$J$4985,C$2,FALSE)</f>
        <v>#N/A</v>
      </c>
      <c r="D9" s="96" t="e">
        <f>VLOOKUP($A9,flows!$A$2:$J$4985,D$2,FALSE)</f>
        <v>#N/A</v>
      </c>
      <c r="E9" s="96" t="e">
        <f>VLOOKUP($A9,flows!$A$2:$J$4985,E$2,FALSE)</f>
        <v>#N/A</v>
      </c>
      <c r="F9" s="96" t="e">
        <f>VLOOKUP($A9,flows!$A$2:$J$4985,F$2,FALSE)</f>
        <v>#N/A</v>
      </c>
      <c r="G9" s="96" t="e">
        <f>VLOOKUP($A9,flows!$A$2:$J$4985,G$2,FALSE)</f>
        <v>#N/A</v>
      </c>
      <c r="H9" s="96" t="e">
        <f>VLOOKUP($A9,flows!$A$2:$J$4985,H$2,FALSE)</f>
        <v>#N/A</v>
      </c>
      <c r="I9" s="96" t="e">
        <f>VLOOKUP($A9,flows!$A$2:$J$4985,I$2,FALSE)</f>
        <v>#N/A</v>
      </c>
      <c r="J9" s="96" t="e">
        <f>VLOOKUP($A9,flows!$A$2:$J$4985,J$2,FALSE)</f>
        <v>#N/A</v>
      </c>
      <c r="M9" s="40" t="s">
        <v>129</v>
      </c>
      <c r="N9" s="92"/>
      <c r="O9" s="96" t="e">
        <f>VLOOKUP($M9,flows!$A$2:$J$4985,O$2,FALSE)</f>
        <v>#N/A</v>
      </c>
      <c r="P9" s="96" t="e">
        <f>VLOOKUP($M9,flows!$A$2:$J$4985,P$2,FALSE)</f>
        <v>#N/A</v>
      </c>
      <c r="Q9" s="96" t="e">
        <f>VLOOKUP($M9,flows!$A$2:$J$4985,Q$2,FALSE)</f>
        <v>#N/A</v>
      </c>
      <c r="R9" s="96" t="e">
        <f>VLOOKUP($M9,flows!$A$2:$J$4985,R$2,FALSE)</f>
        <v>#N/A</v>
      </c>
      <c r="S9" s="96" t="e">
        <f>VLOOKUP($M9,flows!$A$2:$J$4985,S$2,FALSE)</f>
        <v>#N/A</v>
      </c>
      <c r="T9" s="96" t="e">
        <f>VLOOKUP($M9,flows!$A$2:$J$4985,T$2,FALSE)</f>
        <v>#N/A</v>
      </c>
      <c r="U9" s="96" t="e">
        <f>VLOOKUP($M9,flows!$A$2:$J$4985,U$2,FALSE)</f>
        <v>#N/A</v>
      </c>
      <c r="V9" s="96" t="e">
        <f>VLOOKUP($M9,flows!$A$2:$J$4985,V$2,FALSE)</f>
        <v>#N/A</v>
      </c>
      <c r="X9" s="40" t="s">
        <v>138</v>
      </c>
      <c r="Y9" s="92"/>
      <c r="Z9" s="96" t="e">
        <f>VLOOKUP($X9,flows!$A$2:$J$4985,Z$2,FALSE)</f>
        <v>#N/A</v>
      </c>
      <c r="AA9" s="96" t="e">
        <f>VLOOKUP($X9,flows!$A$2:$J$4985,AA$2,FALSE)</f>
        <v>#N/A</v>
      </c>
      <c r="AB9" s="96" t="e">
        <f>VLOOKUP($X9,flows!$A$2:$J$4985,AB$2,FALSE)</f>
        <v>#N/A</v>
      </c>
      <c r="AC9" s="96" t="e">
        <f>VLOOKUP($X9,flows!$A$2:$J$4985,AC$2,FALSE)</f>
        <v>#N/A</v>
      </c>
      <c r="AD9" s="96" t="e">
        <f>VLOOKUP($X9,flows!$A$2:$J$4985,AD$2,FALSE)</f>
        <v>#N/A</v>
      </c>
      <c r="AE9" s="96" t="e">
        <f>VLOOKUP($X9,flows!$A$2:$J$4985,AE$2,FALSE)</f>
        <v>#N/A</v>
      </c>
      <c r="AF9" s="96" t="e">
        <f>VLOOKUP($X9,flows!$A$2:$J$4985,AF$2,FALSE)</f>
        <v>#N/A</v>
      </c>
      <c r="AG9" s="96" t="e">
        <f>VLOOKUP($X9,flows!$A$2:$J$4985,AG$2,FALSE)</f>
        <v>#N/A</v>
      </c>
      <c r="AI9" s="31"/>
    </row>
    <row r="10" spans="1:35" x14ac:dyDescent="0.35">
      <c r="A10" s="40" t="s">
        <v>786</v>
      </c>
      <c r="B10" s="92"/>
      <c r="C10" s="96" t="e">
        <f>VLOOKUP($A10,flows!$A$2:$J$4985,C$2,FALSE)</f>
        <v>#N/A</v>
      </c>
      <c r="D10" s="96" t="e">
        <f>VLOOKUP($A10,flows!$A$2:$J$4985,D$2,FALSE)</f>
        <v>#N/A</v>
      </c>
      <c r="E10" s="96" t="e">
        <f>VLOOKUP($A10,flows!$A$2:$J$4985,E$2,FALSE)</f>
        <v>#N/A</v>
      </c>
      <c r="F10" s="96" t="e">
        <f>VLOOKUP($A10,flows!$A$2:$J$4985,F$2,FALSE)</f>
        <v>#N/A</v>
      </c>
      <c r="G10" s="96" t="e">
        <f>VLOOKUP($A10,flows!$A$2:$J$4985,G$2,FALSE)</f>
        <v>#N/A</v>
      </c>
      <c r="H10" s="96" t="e">
        <f>VLOOKUP($A10,flows!$A$2:$J$4985,H$2,FALSE)</f>
        <v>#N/A</v>
      </c>
      <c r="I10" s="96" t="e">
        <f>VLOOKUP($A10,flows!$A$2:$J$4985,I$2,FALSE)</f>
        <v>#N/A</v>
      </c>
      <c r="J10" s="96" t="e">
        <f>VLOOKUP($A10,flows!$A$2:$J$4985,J$2,FALSE)</f>
        <v>#N/A</v>
      </c>
      <c r="M10" s="40" t="s">
        <v>130</v>
      </c>
      <c r="N10" s="92"/>
      <c r="O10" s="96" t="e">
        <f>VLOOKUP($M10,flows!$A$2:$J$4985,O$2,FALSE)</f>
        <v>#N/A</v>
      </c>
      <c r="P10" s="96" t="e">
        <f>VLOOKUP($M10,flows!$A$2:$J$4985,P$2,FALSE)</f>
        <v>#N/A</v>
      </c>
      <c r="Q10" s="96" t="e">
        <f>VLOOKUP($M10,flows!$A$2:$J$4985,Q$2,FALSE)</f>
        <v>#N/A</v>
      </c>
      <c r="R10" s="96" t="e">
        <f>VLOOKUP($M10,flows!$A$2:$J$4985,R$2,FALSE)</f>
        <v>#N/A</v>
      </c>
      <c r="S10" s="96" t="e">
        <f>VLOOKUP($M10,flows!$A$2:$J$4985,S$2,FALSE)</f>
        <v>#N/A</v>
      </c>
      <c r="T10" s="96" t="e">
        <f>VLOOKUP($M10,flows!$A$2:$J$4985,T$2,FALSE)</f>
        <v>#N/A</v>
      </c>
      <c r="U10" s="96" t="e">
        <f>VLOOKUP($M10,flows!$A$2:$J$4985,U$2,FALSE)</f>
        <v>#N/A</v>
      </c>
      <c r="V10" s="96" t="e">
        <f>VLOOKUP($M10,flows!$A$2:$J$4985,V$2,FALSE)</f>
        <v>#N/A</v>
      </c>
      <c r="X10" s="40"/>
      <c r="Y10" s="92"/>
      <c r="Z10" s="92"/>
      <c r="AA10" s="92"/>
      <c r="AB10" s="92"/>
      <c r="AC10" s="92"/>
      <c r="AD10" s="92"/>
      <c r="AE10" s="92"/>
      <c r="AF10" s="92"/>
      <c r="AG10" s="92"/>
    </row>
    <row r="11" spans="1:35" ht="15" thickBot="1" x14ac:dyDescent="0.4">
      <c r="A11" s="40" t="s">
        <v>787</v>
      </c>
      <c r="B11" s="92"/>
      <c r="C11" s="96" t="e">
        <f>VLOOKUP($A11,flows!$A$2:$J$4985,C$2,FALSE)</f>
        <v>#N/A</v>
      </c>
      <c r="D11" s="96" t="e">
        <f>VLOOKUP($A11,flows!$A$2:$J$4985,D$2,FALSE)</f>
        <v>#N/A</v>
      </c>
      <c r="E11" s="96" t="e">
        <f>VLOOKUP($A11,flows!$A$2:$J$4985,E$2,FALSE)</f>
        <v>#N/A</v>
      </c>
      <c r="F11" s="96" t="e">
        <f>VLOOKUP($A11,flows!$A$2:$J$4985,F$2,FALSE)</f>
        <v>#N/A</v>
      </c>
      <c r="G11" s="96" t="e">
        <f>VLOOKUP($A11,flows!$A$2:$J$4985,G$2,FALSE)</f>
        <v>#N/A</v>
      </c>
      <c r="H11" s="96" t="e">
        <f>VLOOKUP($A11,flows!$A$2:$J$4985,H$2,FALSE)</f>
        <v>#N/A</v>
      </c>
      <c r="I11" s="96" t="e">
        <f>VLOOKUP($A11,flows!$A$2:$J$4985,I$2,FALSE)</f>
        <v>#N/A</v>
      </c>
      <c r="J11" s="96" t="e">
        <f>VLOOKUP($A11,flows!$A$2:$J$4985,J$2,FALSE)</f>
        <v>#N/A</v>
      </c>
      <c r="M11" s="40" t="s">
        <v>131</v>
      </c>
      <c r="N11" s="92"/>
      <c r="O11" s="96" t="e">
        <f>VLOOKUP($M11,flows!$A$2:$J$4985,O$2,FALSE)</f>
        <v>#N/A</v>
      </c>
      <c r="P11" s="96" t="e">
        <f>VLOOKUP($M11,flows!$A$2:$J$4985,P$2,FALSE)</f>
        <v>#N/A</v>
      </c>
      <c r="Q11" s="96" t="e">
        <f>VLOOKUP($M11,flows!$A$2:$J$4985,Q$2,FALSE)</f>
        <v>#N/A</v>
      </c>
      <c r="R11" s="96" t="e">
        <f>VLOOKUP($M11,flows!$A$2:$J$4985,R$2,FALSE)</f>
        <v>#N/A</v>
      </c>
      <c r="S11" s="96" t="e">
        <f>VLOOKUP($M11,flows!$A$2:$J$4985,S$2,FALSE)</f>
        <v>#N/A</v>
      </c>
      <c r="T11" s="96" t="e">
        <f>VLOOKUP($M11,flows!$A$2:$J$4985,T$2,FALSE)</f>
        <v>#N/A</v>
      </c>
      <c r="U11" s="96" t="e">
        <f>VLOOKUP($M11,flows!$A$2:$J$4985,U$2,FALSE)</f>
        <v>#N/A</v>
      </c>
      <c r="V11" s="96" t="e">
        <f>VLOOKUP($M11,flows!$A$2:$J$4985,V$2,FALSE)</f>
        <v>#N/A</v>
      </c>
      <c r="X11" s="41" t="s">
        <v>1229</v>
      </c>
      <c r="Y11" s="77"/>
      <c r="Z11" s="101" t="e">
        <f t="shared" ref="Z11:AG11" si="0">SUM(Z4:Z9)</f>
        <v>#N/A</v>
      </c>
      <c r="AA11" s="101" t="e">
        <f t="shared" si="0"/>
        <v>#N/A</v>
      </c>
      <c r="AB11" s="101" t="e">
        <f t="shared" si="0"/>
        <v>#N/A</v>
      </c>
      <c r="AC11" s="101" t="e">
        <f t="shared" si="0"/>
        <v>#N/A</v>
      </c>
      <c r="AD11" s="101" t="e">
        <f t="shared" si="0"/>
        <v>#N/A</v>
      </c>
      <c r="AE11" s="101" t="e">
        <f t="shared" si="0"/>
        <v>#N/A</v>
      </c>
      <c r="AF11" s="101" t="e">
        <f t="shared" si="0"/>
        <v>#N/A</v>
      </c>
      <c r="AG11" s="101" t="e">
        <f t="shared" si="0"/>
        <v>#N/A</v>
      </c>
    </row>
    <row r="12" spans="1:35" ht="15" thickBot="1" x14ac:dyDescent="0.4">
      <c r="A12" s="40" t="s">
        <v>788</v>
      </c>
      <c r="B12" s="92"/>
      <c r="C12" s="96" t="e">
        <f>VLOOKUP($A12,flows!$A$2:$J$4985,C$2,FALSE)</f>
        <v>#N/A</v>
      </c>
      <c r="D12" s="96" t="e">
        <f>VLOOKUP($A12,flows!$A$2:$J$4985,D$2,FALSE)</f>
        <v>#N/A</v>
      </c>
      <c r="E12" s="96" t="e">
        <f>VLOOKUP($A12,flows!$A$2:$J$4985,E$2,FALSE)</f>
        <v>#N/A</v>
      </c>
      <c r="F12" s="96" t="e">
        <f>VLOOKUP($A12,flows!$A$2:$J$4985,F$2,FALSE)</f>
        <v>#N/A</v>
      </c>
      <c r="G12" s="96" t="e">
        <f>VLOOKUP($A12,flows!$A$2:$J$4985,G$2,FALSE)</f>
        <v>#N/A</v>
      </c>
      <c r="H12" s="96" t="e">
        <f>VLOOKUP($A12,flows!$A$2:$J$4985,H$2,FALSE)</f>
        <v>#N/A</v>
      </c>
      <c r="I12" s="96" t="e">
        <f>VLOOKUP($A12,flows!$A$2:$J$4985,I$2,FALSE)</f>
        <v>#N/A</v>
      </c>
      <c r="J12" s="96" t="e">
        <f>VLOOKUP($A12,flows!$A$2:$J$4985,J$2,FALSE)</f>
        <v>#N/A</v>
      </c>
      <c r="M12" s="40" t="s">
        <v>132</v>
      </c>
      <c r="N12" s="92"/>
      <c r="O12" s="96" t="e">
        <f>VLOOKUP($M12,flows!$A$2:$J$4985,O$2,FALSE)</f>
        <v>#N/A</v>
      </c>
      <c r="P12" s="96" t="e">
        <f>VLOOKUP($M12,flows!$A$2:$J$4985,P$2,FALSE)</f>
        <v>#N/A</v>
      </c>
      <c r="Q12" s="96" t="e">
        <f>VLOOKUP($M12,flows!$A$2:$J$4985,Q$2,FALSE)</f>
        <v>#N/A</v>
      </c>
      <c r="R12" s="96" t="e">
        <f>VLOOKUP($M12,flows!$A$2:$J$4985,R$2,FALSE)</f>
        <v>#N/A</v>
      </c>
      <c r="S12" s="96" t="e">
        <f>VLOOKUP($M12,flows!$A$2:$J$4985,S$2,FALSE)</f>
        <v>#N/A</v>
      </c>
      <c r="T12" s="96" t="e">
        <f>VLOOKUP($M12,flows!$A$2:$J$4985,T$2,FALSE)</f>
        <v>#N/A</v>
      </c>
      <c r="U12" s="96" t="e">
        <f>VLOOKUP($M12,flows!$A$2:$J$4985,U$2,FALSE)</f>
        <v>#N/A</v>
      </c>
      <c r="V12" s="96" t="e">
        <f>VLOOKUP($M12,flows!$A$2:$J$4985,V$2,FALSE)</f>
        <v>#N/A</v>
      </c>
    </row>
    <row r="13" spans="1:35" x14ac:dyDescent="0.35">
      <c r="A13" s="40" t="s">
        <v>791</v>
      </c>
      <c r="B13" s="92"/>
      <c r="C13" s="96" t="e">
        <f>VLOOKUP($A13,flows!$A$2:$J$4985,C$2,FALSE)</f>
        <v>#N/A</v>
      </c>
      <c r="D13" s="96" t="e">
        <f>VLOOKUP($A13,flows!$A$2:$J$4985,D$2,FALSE)</f>
        <v>#N/A</v>
      </c>
      <c r="E13" s="96" t="e">
        <f>VLOOKUP($A13,flows!$A$2:$J$4985,E$2,FALSE)</f>
        <v>#N/A</v>
      </c>
      <c r="F13" s="96" t="e">
        <f>VLOOKUP($A13,flows!$A$2:$J$4985,F$2,FALSE)</f>
        <v>#N/A</v>
      </c>
      <c r="G13" s="96" t="e">
        <f>VLOOKUP($A13,flows!$A$2:$J$4985,G$2,FALSE)</f>
        <v>#N/A</v>
      </c>
      <c r="H13" s="96" t="e">
        <f>VLOOKUP($A13,flows!$A$2:$J$4985,H$2,FALSE)</f>
        <v>#N/A</v>
      </c>
      <c r="I13" s="96" t="e">
        <f>VLOOKUP($A13,flows!$A$2:$J$4985,I$2,FALSE)</f>
        <v>#N/A</v>
      </c>
      <c r="J13" s="96" t="e">
        <f>VLOOKUP($A13,flows!$A$2:$J$4985,J$2,FALSE)</f>
        <v>#N/A</v>
      </c>
      <c r="M13" s="40" t="s">
        <v>3023</v>
      </c>
      <c r="N13" s="92"/>
      <c r="O13" s="96">
        <f>VLOOKUP($M13,flows!$A$2:$J$4985,O$2,FALSE)</f>
        <v>16962.440116572521</v>
      </c>
      <c r="P13" s="96">
        <f>VLOOKUP($M13,flows!$A$2:$J$4985,P$2,FALSE)</f>
        <v>8914.2583358706434</v>
      </c>
      <c r="Q13" s="96">
        <f>VLOOKUP($M13,flows!$A$2:$J$4985,Q$2,FALSE)</f>
        <v>9201.1003304431615</v>
      </c>
      <c r="R13" s="96">
        <f>VLOOKUP($M13,flows!$A$2:$J$4985,R$2,FALSE)</f>
        <v>5189.8356660075406</v>
      </c>
      <c r="S13" s="96">
        <f>VLOOKUP($M13,flows!$A$2:$J$4985,S$2,FALSE)</f>
        <v>8269.3169607167292</v>
      </c>
      <c r="T13" s="96">
        <f>VLOOKUP($M13,flows!$A$2:$J$4985,T$2,FALSE)</f>
        <v>9286.4567816581311</v>
      </c>
      <c r="U13" s="96">
        <f>VLOOKUP($M13,flows!$A$2:$J$4985,U$2,FALSE)</f>
        <v>14343.316454349169</v>
      </c>
      <c r="V13" s="96">
        <f>VLOOKUP($M13,flows!$A$2:$J$4985,V$2,FALSE)</f>
        <v>0</v>
      </c>
      <c r="X13" s="87"/>
      <c r="Y13" s="88" t="s">
        <v>1331</v>
      </c>
      <c r="Z13" s="89">
        <v>2</v>
      </c>
      <c r="AA13" s="89">
        <v>3</v>
      </c>
      <c r="AB13" s="89">
        <v>4</v>
      </c>
      <c r="AC13" s="89">
        <v>5</v>
      </c>
      <c r="AD13" s="89">
        <v>6</v>
      </c>
      <c r="AE13" s="89">
        <v>7</v>
      </c>
      <c r="AF13" s="89">
        <v>8</v>
      </c>
      <c r="AG13" s="89">
        <v>9</v>
      </c>
    </row>
    <row r="14" spans="1:35" x14ac:dyDescent="0.35">
      <c r="A14" s="40" t="s">
        <v>792</v>
      </c>
      <c r="B14" s="92"/>
      <c r="C14" s="96" t="e">
        <f>VLOOKUP($A14,flows!$A$2:$J$4985,C$2,FALSE)</f>
        <v>#N/A</v>
      </c>
      <c r="D14" s="96" t="e">
        <f>VLOOKUP($A14,flows!$A$2:$J$4985,D$2,FALSE)</f>
        <v>#N/A</v>
      </c>
      <c r="E14" s="96" t="e">
        <f>VLOOKUP($A14,flows!$A$2:$J$4985,E$2,FALSE)</f>
        <v>#N/A</v>
      </c>
      <c r="F14" s="96" t="e">
        <f>VLOOKUP($A14,flows!$A$2:$J$4985,F$2,FALSE)</f>
        <v>#N/A</v>
      </c>
      <c r="G14" s="96" t="e">
        <f>VLOOKUP($A14,flows!$A$2:$J$4985,G$2,FALSE)</f>
        <v>#N/A</v>
      </c>
      <c r="H14" s="96" t="e">
        <f>VLOOKUP($A14,flows!$A$2:$J$4985,H$2,FALSE)</f>
        <v>#N/A</v>
      </c>
      <c r="I14" s="96" t="e">
        <f>VLOOKUP($A14,flows!$A$2:$J$4985,I$2,FALSE)</f>
        <v>#N/A</v>
      </c>
      <c r="J14" s="96" t="e">
        <f>VLOOKUP($A14,flows!$A$2:$J$4985,J$2,FALSE)</f>
        <v>#N/A</v>
      </c>
      <c r="M14" s="40" t="s">
        <v>133</v>
      </c>
      <c r="N14" s="92"/>
      <c r="O14" s="96" t="e">
        <f>VLOOKUP($M14,flows!$A$2:$J$4985,O$2,FALSE)</f>
        <v>#N/A</v>
      </c>
      <c r="P14" s="96" t="e">
        <f>VLOOKUP($M14,flows!$A$2:$J$4985,P$2,FALSE)</f>
        <v>#N/A</v>
      </c>
      <c r="Q14" s="96" t="e">
        <f>VLOOKUP($M14,flows!$A$2:$J$4985,Q$2,FALSE)</f>
        <v>#N/A</v>
      </c>
      <c r="R14" s="96" t="e">
        <f>VLOOKUP($M14,flows!$A$2:$J$4985,R$2,FALSE)</f>
        <v>#N/A</v>
      </c>
      <c r="S14" s="96" t="e">
        <f>VLOOKUP($M14,flows!$A$2:$J$4985,S$2,FALSE)</f>
        <v>#N/A</v>
      </c>
      <c r="T14" s="96" t="e">
        <f>VLOOKUP($M14,flows!$A$2:$J$4985,T$2,FALSE)</f>
        <v>#N/A</v>
      </c>
      <c r="U14" s="96" t="e">
        <f>VLOOKUP($M14,flows!$A$2:$J$4985,U$2,FALSE)</f>
        <v>#N/A</v>
      </c>
      <c r="V14" s="96" t="e">
        <f>VLOOKUP($M14,flows!$A$2:$J$4985,V$2,FALSE)</f>
        <v>#N/A</v>
      </c>
      <c r="X14" s="40" t="s">
        <v>1415</v>
      </c>
      <c r="Y14" s="92"/>
      <c r="Z14" s="133" t="s">
        <v>1417</v>
      </c>
      <c r="AA14" s="133">
        <v>2020</v>
      </c>
      <c r="AB14" s="133">
        <v>2025</v>
      </c>
      <c r="AC14" s="133">
        <v>2030</v>
      </c>
      <c r="AD14" s="133">
        <v>2035</v>
      </c>
      <c r="AE14" s="133">
        <v>2040</v>
      </c>
      <c r="AF14" s="133">
        <v>2045</v>
      </c>
      <c r="AG14" s="133">
        <v>2050</v>
      </c>
    </row>
    <row r="15" spans="1:35" x14ac:dyDescent="0.35">
      <c r="A15" s="40" t="s">
        <v>793</v>
      </c>
      <c r="B15" s="92"/>
      <c r="C15" s="96" t="e">
        <f>VLOOKUP($A15,flows!$A$2:$J$4985,C$2,FALSE)</f>
        <v>#N/A</v>
      </c>
      <c r="D15" s="96" t="e">
        <f>VLOOKUP($A15,flows!$A$2:$J$4985,D$2,FALSE)</f>
        <v>#N/A</v>
      </c>
      <c r="E15" s="96" t="e">
        <f>VLOOKUP($A15,flows!$A$2:$J$4985,E$2,FALSE)</f>
        <v>#N/A</v>
      </c>
      <c r="F15" s="96" t="e">
        <f>VLOOKUP($A15,flows!$A$2:$J$4985,F$2,FALSE)</f>
        <v>#N/A</v>
      </c>
      <c r="G15" s="96" t="e">
        <f>VLOOKUP($A15,flows!$A$2:$J$4985,G$2,FALSE)</f>
        <v>#N/A</v>
      </c>
      <c r="H15" s="96" t="e">
        <f>VLOOKUP($A15,flows!$A$2:$J$4985,H$2,FALSE)</f>
        <v>#N/A</v>
      </c>
      <c r="I15" s="96" t="e">
        <f>VLOOKUP($A15,flows!$A$2:$J$4985,I$2,FALSE)</f>
        <v>#N/A</v>
      </c>
      <c r="J15" s="96" t="e">
        <f>VLOOKUP($A15,flows!$A$2:$J$4985,J$2,FALSE)</f>
        <v>#N/A</v>
      </c>
      <c r="M15" s="40" t="s">
        <v>134</v>
      </c>
      <c r="N15" s="92"/>
      <c r="O15" s="96" t="e">
        <f>VLOOKUP($M15,flows!$A$2:$J$4985,O$2,FALSE)</f>
        <v>#N/A</v>
      </c>
      <c r="P15" s="96" t="e">
        <f>VLOOKUP($M15,flows!$A$2:$J$4985,P$2,FALSE)</f>
        <v>#N/A</v>
      </c>
      <c r="Q15" s="96" t="e">
        <f>VLOOKUP($M15,flows!$A$2:$J$4985,Q$2,FALSE)</f>
        <v>#N/A</v>
      </c>
      <c r="R15" s="96" t="e">
        <f>VLOOKUP($M15,flows!$A$2:$J$4985,R$2,FALSE)</f>
        <v>#N/A</v>
      </c>
      <c r="S15" s="96" t="e">
        <f>VLOOKUP($M15,flows!$A$2:$J$4985,S$2,FALSE)</f>
        <v>#N/A</v>
      </c>
      <c r="T15" s="96" t="e">
        <f>VLOOKUP($M15,flows!$A$2:$J$4985,T$2,FALSE)</f>
        <v>#N/A</v>
      </c>
      <c r="U15" s="96" t="e">
        <f>VLOOKUP($M15,flows!$A$2:$J$4985,U$2,FALSE)</f>
        <v>#N/A</v>
      </c>
      <c r="V15" s="96" t="e">
        <f>VLOOKUP($M15,flows!$A$2:$J$4985,V$2,FALSE)</f>
        <v>#N/A</v>
      </c>
      <c r="X15" s="40" t="s">
        <v>790</v>
      </c>
      <c r="Y15" s="92"/>
      <c r="Z15" s="96" t="e">
        <f>VLOOKUP($X15,flows!$A$2:$J$4985,Z$13,FALSE)</f>
        <v>#N/A</v>
      </c>
      <c r="AA15" s="96" t="e">
        <f>VLOOKUP($X15,flows!$A$2:$J$4985,AA$13,FALSE)</f>
        <v>#N/A</v>
      </c>
      <c r="AB15" s="96" t="e">
        <f>VLOOKUP($X15,flows!$A$2:$J$4985,AB$13,FALSE)</f>
        <v>#N/A</v>
      </c>
      <c r="AC15" s="96" t="e">
        <f>VLOOKUP($X15,flows!$A$2:$J$4985,AC$13,FALSE)</f>
        <v>#N/A</v>
      </c>
      <c r="AD15" s="96" t="e">
        <f>VLOOKUP($X15,flows!$A$2:$J$4985,AD$13,FALSE)</f>
        <v>#N/A</v>
      </c>
      <c r="AE15" s="96" t="e">
        <f>VLOOKUP($X15,flows!$A$2:$J$4985,AE$13,FALSE)</f>
        <v>#N/A</v>
      </c>
      <c r="AF15" s="96" t="e">
        <f>VLOOKUP($X15,flows!$A$2:$J$4985,AF$13,FALSE)</f>
        <v>#N/A</v>
      </c>
      <c r="AG15" s="96" t="e">
        <f>VLOOKUP($X15,flows!$A$2:$J$4985,AG$13,FALSE)</f>
        <v>#N/A</v>
      </c>
    </row>
    <row r="16" spans="1:35" x14ac:dyDescent="0.35">
      <c r="A16" s="40" t="s">
        <v>794</v>
      </c>
      <c r="B16" s="92"/>
      <c r="C16" s="96" t="e">
        <f>VLOOKUP($A16,flows!$A$2:$J$4985,C$2,FALSE)</f>
        <v>#N/A</v>
      </c>
      <c r="D16" s="96" t="e">
        <f>VLOOKUP($A16,flows!$A$2:$J$4985,D$2,FALSE)</f>
        <v>#N/A</v>
      </c>
      <c r="E16" s="96" t="e">
        <f>VLOOKUP($A16,flows!$A$2:$J$4985,E$2,FALSE)</f>
        <v>#N/A</v>
      </c>
      <c r="F16" s="96" t="e">
        <f>VLOOKUP($A16,flows!$A$2:$J$4985,F$2,FALSE)</f>
        <v>#N/A</v>
      </c>
      <c r="G16" s="96" t="e">
        <f>VLOOKUP($A16,flows!$A$2:$J$4985,G$2,FALSE)</f>
        <v>#N/A</v>
      </c>
      <c r="H16" s="96" t="e">
        <f>VLOOKUP($A16,flows!$A$2:$J$4985,H$2,FALSE)</f>
        <v>#N/A</v>
      </c>
      <c r="I16" s="96" t="e">
        <f>VLOOKUP($A16,flows!$A$2:$J$4985,I$2,FALSE)</f>
        <v>#N/A</v>
      </c>
      <c r="J16" s="96" t="e">
        <f>VLOOKUP($A16,flows!$A$2:$J$4985,J$2,FALSE)</f>
        <v>#N/A</v>
      </c>
      <c r="M16" s="40" t="s">
        <v>135</v>
      </c>
      <c r="N16" s="92"/>
      <c r="O16" s="96" t="e">
        <f>VLOOKUP($M16,flows!$A$2:$J$4985,O$2,FALSE)</f>
        <v>#N/A</v>
      </c>
      <c r="P16" s="96" t="e">
        <f>VLOOKUP($M16,flows!$A$2:$J$4985,P$2,FALSE)</f>
        <v>#N/A</v>
      </c>
      <c r="Q16" s="96" t="e">
        <f>VLOOKUP($M16,flows!$A$2:$J$4985,Q$2,FALSE)</f>
        <v>#N/A</v>
      </c>
      <c r="R16" s="96" t="e">
        <f>VLOOKUP($M16,flows!$A$2:$J$4985,R$2,FALSE)</f>
        <v>#N/A</v>
      </c>
      <c r="S16" s="96" t="e">
        <f>VLOOKUP($M16,flows!$A$2:$J$4985,S$2,FALSE)</f>
        <v>#N/A</v>
      </c>
      <c r="T16" s="96" t="e">
        <f>VLOOKUP($M16,flows!$A$2:$J$4985,T$2,FALSE)</f>
        <v>#N/A</v>
      </c>
      <c r="U16" s="96" t="e">
        <f>VLOOKUP($M16,flows!$A$2:$J$4985,U$2,FALSE)</f>
        <v>#N/A</v>
      </c>
      <c r="V16" s="96" t="e">
        <f>VLOOKUP($M16,flows!$A$2:$J$4985,V$2,FALSE)</f>
        <v>#N/A</v>
      </c>
      <c r="X16" s="40" t="s">
        <v>805</v>
      </c>
      <c r="Y16" s="92"/>
      <c r="Z16" s="96" t="e">
        <f>VLOOKUP($X16,flows!$A$2:$J$4985,Z$13,FALSE)</f>
        <v>#N/A</v>
      </c>
      <c r="AA16" s="96" t="e">
        <f>VLOOKUP($X16,flows!$A$2:$J$4985,AA$13,FALSE)</f>
        <v>#N/A</v>
      </c>
      <c r="AB16" s="96" t="e">
        <f>VLOOKUP($X16,flows!$A$2:$J$4985,AB$13,FALSE)</f>
        <v>#N/A</v>
      </c>
      <c r="AC16" s="96" t="e">
        <f>VLOOKUP($X16,flows!$A$2:$J$4985,AC$13,FALSE)</f>
        <v>#N/A</v>
      </c>
      <c r="AD16" s="96" t="e">
        <f>VLOOKUP($X16,flows!$A$2:$J$4985,AD$13,FALSE)</f>
        <v>#N/A</v>
      </c>
      <c r="AE16" s="96" t="e">
        <f>VLOOKUP($X16,flows!$A$2:$J$4985,AE$13,FALSE)</f>
        <v>#N/A</v>
      </c>
      <c r="AF16" s="96" t="e">
        <f>VLOOKUP($X16,flows!$A$2:$J$4985,AF$13,FALSE)</f>
        <v>#N/A</v>
      </c>
      <c r="AG16" s="96" t="e">
        <f>VLOOKUP($X16,flows!$A$2:$J$4985,AG$13,FALSE)</f>
        <v>#N/A</v>
      </c>
    </row>
    <row r="17" spans="1:33" x14ac:dyDescent="0.35">
      <c r="A17" s="40" t="s">
        <v>795</v>
      </c>
      <c r="B17" s="92"/>
      <c r="C17" s="96" t="e">
        <f>VLOOKUP($A17,flows!$A$2:$J$4985,C$2,FALSE)</f>
        <v>#N/A</v>
      </c>
      <c r="D17" s="96" t="e">
        <f>VLOOKUP($A17,flows!$A$2:$J$4985,D$2,FALSE)</f>
        <v>#N/A</v>
      </c>
      <c r="E17" s="96" t="e">
        <f>VLOOKUP($A17,flows!$A$2:$J$4985,E$2,FALSE)</f>
        <v>#N/A</v>
      </c>
      <c r="F17" s="96" t="e">
        <f>VLOOKUP($A17,flows!$A$2:$J$4985,F$2,FALSE)</f>
        <v>#N/A</v>
      </c>
      <c r="G17" s="96" t="e">
        <f>VLOOKUP($A17,flows!$A$2:$J$4985,G$2,FALSE)</f>
        <v>#N/A</v>
      </c>
      <c r="H17" s="96" t="e">
        <f>VLOOKUP($A17,flows!$A$2:$J$4985,H$2,FALSE)</f>
        <v>#N/A</v>
      </c>
      <c r="I17" s="96" t="e">
        <f>VLOOKUP($A17,flows!$A$2:$J$4985,I$2,FALSE)</f>
        <v>#N/A</v>
      </c>
      <c r="J17" s="96" t="e">
        <f>VLOOKUP($A17,flows!$A$2:$J$4985,J$2,FALSE)</f>
        <v>#N/A</v>
      </c>
      <c r="M17" s="40" t="s">
        <v>4143</v>
      </c>
      <c r="N17" s="92"/>
      <c r="O17" s="96" t="e">
        <f>VLOOKUP($M17,flows!$A$2:$J$4985,O$2,FALSE)</f>
        <v>#N/A</v>
      </c>
      <c r="P17" s="96" t="e">
        <f>VLOOKUP($M17,flows!$A$2:$J$4985,P$2,FALSE)</f>
        <v>#N/A</v>
      </c>
      <c r="Q17" s="96" t="e">
        <f>VLOOKUP($M17,flows!$A$2:$J$4985,Q$2,FALSE)</f>
        <v>#N/A</v>
      </c>
      <c r="R17" s="96" t="e">
        <f>VLOOKUP($M17,flows!$A$2:$J$4985,R$2,FALSE)</f>
        <v>#N/A</v>
      </c>
      <c r="S17" s="96" t="e">
        <f>VLOOKUP($M17,flows!$A$2:$J$4985,S$2,FALSE)</f>
        <v>#N/A</v>
      </c>
      <c r="T17" s="96" t="e">
        <f>VLOOKUP($M17,flows!$A$2:$J$4985,T$2,FALSE)</f>
        <v>#N/A</v>
      </c>
      <c r="U17" s="96" t="e">
        <f>VLOOKUP($M17,flows!$A$2:$J$4985,U$2,FALSE)</f>
        <v>#N/A</v>
      </c>
      <c r="V17" s="96" t="e">
        <f>VLOOKUP($M17,flows!$A$2:$J$4985,V$2,FALSE)</f>
        <v>#N/A</v>
      </c>
      <c r="X17" s="40" t="s">
        <v>806</v>
      </c>
      <c r="Y17" s="92"/>
      <c r="Z17" s="96" t="e">
        <f>VLOOKUP($X17,flows!$A$2:$J$4985,Z$13,FALSE)</f>
        <v>#N/A</v>
      </c>
      <c r="AA17" s="96" t="e">
        <f>VLOOKUP($X17,flows!$A$2:$J$4985,AA$13,FALSE)</f>
        <v>#N/A</v>
      </c>
      <c r="AB17" s="96" t="e">
        <f>VLOOKUP($X17,flows!$A$2:$J$4985,AB$13,FALSE)</f>
        <v>#N/A</v>
      </c>
      <c r="AC17" s="96" t="e">
        <f>VLOOKUP($X17,flows!$A$2:$J$4985,AC$13,FALSE)</f>
        <v>#N/A</v>
      </c>
      <c r="AD17" s="96" t="e">
        <f>VLOOKUP($X17,flows!$A$2:$J$4985,AD$13,FALSE)</f>
        <v>#N/A</v>
      </c>
      <c r="AE17" s="96" t="e">
        <f>VLOOKUP($X17,flows!$A$2:$J$4985,AE$13,FALSE)</f>
        <v>#N/A</v>
      </c>
      <c r="AF17" s="96" t="e">
        <f>VLOOKUP($X17,flows!$A$2:$J$4985,AF$13,FALSE)</f>
        <v>#N/A</v>
      </c>
      <c r="AG17" s="96" t="e">
        <f>VLOOKUP($X17,flows!$A$2:$J$4985,AG$13,FALSE)</f>
        <v>#N/A</v>
      </c>
    </row>
    <row r="18" spans="1:33" x14ac:dyDescent="0.35">
      <c r="A18" s="40" t="s">
        <v>796</v>
      </c>
      <c r="B18" s="92"/>
      <c r="C18" s="96" t="e">
        <f>VLOOKUP($A18,flows!$A$2:$J$4985,C$2,FALSE)</f>
        <v>#N/A</v>
      </c>
      <c r="D18" s="96" t="e">
        <f>VLOOKUP($A18,flows!$A$2:$J$4985,D$2,FALSE)</f>
        <v>#N/A</v>
      </c>
      <c r="E18" s="96" t="e">
        <f>VLOOKUP($A18,flows!$A$2:$J$4985,E$2,FALSE)</f>
        <v>#N/A</v>
      </c>
      <c r="F18" s="96" t="e">
        <f>VLOOKUP($A18,flows!$A$2:$J$4985,F$2,FALSE)</f>
        <v>#N/A</v>
      </c>
      <c r="G18" s="96" t="e">
        <f>VLOOKUP($A18,flows!$A$2:$J$4985,G$2,FALSE)</f>
        <v>#N/A</v>
      </c>
      <c r="H18" s="96" t="e">
        <f>VLOOKUP($A18,flows!$A$2:$J$4985,H$2,FALSE)</f>
        <v>#N/A</v>
      </c>
      <c r="I18" s="96" t="e">
        <f>VLOOKUP($A18,flows!$A$2:$J$4985,I$2,FALSE)</f>
        <v>#N/A</v>
      </c>
      <c r="J18" s="96" t="e">
        <f>VLOOKUP($A18,flows!$A$2:$J$4985,J$2,FALSE)</f>
        <v>#N/A</v>
      </c>
      <c r="M18" s="40" t="s">
        <v>119</v>
      </c>
      <c r="N18" s="92"/>
      <c r="O18" s="96" t="e">
        <f>VLOOKUP($M18,flows!$A$2:$J$4985,O$2,FALSE)</f>
        <v>#N/A</v>
      </c>
      <c r="P18" s="96" t="e">
        <f>VLOOKUP($M18,flows!$A$2:$J$4985,P$2,FALSE)</f>
        <v>#N/A</v>
      </c>
      <c r="Q18" s="96" t="e">
        <f>VLOOKUP($M18,flows!$A$2:$J$4985,Q$2,FALSE)</f>
        <v>#N/A</v>
      </c>
      <c r="R18" s="96" t="e">
        <f>VLOOKUP($M18,flows!$A$2:$J$4985,R$2,FALSE)</f>
        <v>#N/A</v>
      </c>
      <c r="S18" s="96" t="e">
        <f>VLOOKUP($M18,flows!$A$2:$J$4985,S$2,FALSE)</f>
        <v>#N/A</v>
      </c>
      <c r="T18" s="96" t="e">
        <f>VLOOKUP($M18,flows!$A$2:$J$4985,T$2,FALSE)</f>
        <v>#N/A</v>
      </c>
      <c r="U18" s="96" t="e">
        <f>VLOOKUP($M18,flows!$A$2:$J$4985,U$2,FALSE)</f>
        <v>#N/A</v>
      </c>
      <c r="V18" s="96" t="e">
        <f>VLOOKUP($M18,flows!$A$2:$J$4985,V$2,FALSE)</f>
        <v>#N/A</v>
      </c>
      <c r="X18" s="40" t="s">
        <v>789</v>
      </c>
      <c r="Y18" s="92"/>
      <c r="Z18" s="96" t="e">
        <f>VLOOKUP($X18,flows!$A$2:$J$4985,Z$13,FALSE)</f>
        <v>#N/A</v>
      </c>
      <c r="AA18" s="96" t="e">
        <f>VLOOKUP($X18,flows!$A$2:$J$4985,AA$13,FALSE)</f>
        <v>#N/A</v>
      </c>
      <c r="AB18" s="96" t="e">
        <f>VLOOKUP($X18,flows!$A$2:$J$4985,AB$13,FALSE)</f>
        <v>#N/A</v>
      </c>
      <c r="AC18" s="96" t="e">
        <f>VLOOKUP($X18,flows!$A$2:$J$4985,AC$13,FALSE)</f>
        <v>#N/A</v>
      </c>
      <c r="AD18" s="96" t="e">
        <f>VLOOKUP($X18,flows!$A$2:$J$4985,AD$13,FALSE)</f>
        <v>#N/A</v>
      </c>
      <c r="AE18" s="96" t="e">
        <f>VLOOKUP($X18,flows!$A$2:$J$4985,AE$13,FALSE)</f>
        <v>#N/A</v>
      </c>
      <c r="AF18" s="96" t="e">
        <f>VLOOKUP($X18,flows!$A$2:$J$4985,AF$13,FALSE)</f>
        <v>#N/A</v>
      </c>
      <c r="AG18" s="96" t="e">
        <f>VLOOKUP($X18,flows!$A$2:$J$4985,AG$13,FALSE)</f>
        <v>#N/A</v>
      </c>
    </row>
    <row r="19" spans="1:33" ht="15" thickBot="1" x14ac:dyDescent="0.4">
      <c r="A19" s="40" t="s">
        <v>797</v>
      </c>
      <c r="B19" s="92"/>
      <c r="C19" s="96" t="e">
        <f>VLOOKUP($A19,flows!$A$2:$J$4985,C$2,FALSE)</f>
        <v>#N/A</v>
      </c>
      <c r="D19" s="96" t="e">
        <f>VLOOKUP($A19,flows!$A$2:$J$4985,D$2,FALSE)</f>
        <v>#N/A</v>
      </c>
      <c r="E19" s="96" t="e">
        <f>VLOOKUP($A19,flows!$A$2:$J$4985,E$2,FALSE)</f>
        <v>#N/A</v>
      </c>
      <c r="F19" s="96" t="e">
        <f>VLOOKUP($A19,flows!$A$2:$J$4985,F$2,FALSE)</f>
        <v>#N/A</v>
      </c>
      <c r="G19" s="96" t="e">
        <f>VLOOKUP($A19,flows!$A$2:$J$4985,G$2,FALSE)</f>
        <v>#N/A</v>
      </c>
      <c r="H19" s="96" t="e">
        <f>VLOOKUP($A19,flows!$A$2:$J$2880,H$2,FALSE)</f>
        <v>#N/A</v>
      </c>
      <c r="I19" s="96" t="e">
        <f>VLOOKUP($A19,flows!$A$2:$J$4985,I$2,FALSE)</f>
        <v>#N/A</v>
      </c>
      <c r="J19" s="96" t="e">
        <f>VLOOKUP($A19,flows!$A$2:$J$4985,J$2,FALSE)</f>
        <v>#N/A</v>
      </c>
      <c r="M19" s="40" t="s">
        <v>2862</v>
      </c>
      <c r="N19" s="92"/>
      <c r="O19" s="96" t="e">
        <f>VLOOKUP($M19,flows!$A$2:$J$4985,O$2,FALSE)</f>
        <v>#N/A</v>
      </c>
      <c r="P19" s="96" t="e">
        <f>VLOOKUP($M19,flows!$A$2:$J$4985,P$2,FALSE)</f>
        <v>#N/A</v>
      </c>
      <c r="Q19" s="96" t="e">
        <f>VLOOKUP($M19,flows!$A$2:$J$4985,Q$2,FALSE)</f>
        <v>#N/A</v>
      </c>
      <c r="R19" s="96" t="e">
        <f>VLOOKUP($M19,flows!$A$2:$J$4985,R$2,FALSE)</f>
        <v>#N/A</v>
      </c>
      <c r="S19" s="96" t="e">
        <f>VLOOKUP($M19,flows!$A$2:$J$4985,S$2,FALSE)</f>
        <v>#N/A</v>
      </c>
      <c r="T19" s="96" t="e">
        <f>VLOOKUP($M19,flows!$A$2:$J$4985,T$2,FALSE)</f>
        <v>#N/A</v>
      </c>
      <c r="U19" s="96" t="e">
        <f>VLOOKUP($M19,flows!$A$2:$J$4985,U$2,FALSE)</f>
        <v>#N/A</v>
      </c>
      <c r="V19" s="96" t="e">
        <f>VLOOKUP($M19,flows!$A$2:$J$4985,V$2,FALSE)</f>
        <v>#N/A</v>
      </c>
      <c r="X19" s="135" t="s">
        <v>1229</v>
      </c>
      <c r="Y19" s="77"/>
      <c r="Z19" s="101" t="e">
        <f>SUM(Z15:Z18)</f>
        <v>#N/A</v>
      </c>
      <c r="AA19" s="101" t="e">
        <f t="shared" ref="AA19:AG19" si="1">SUM(AA15:AA18)</f>
        <v>#N/A</v>
      </c>
      <c r="AB19" s="101" t="e">
        <f t="shared" si="1"/>
        <v>#N/A</v>
      </c>
      <c r="AC19" s="101" t="e">
        <f t="shared" si="1"/>
        <v>#N/A</v>
      </c>
      <c r="AD19" s="101" t="e">
        <f t="shared" si="1"/>
        <v>#N/A</v>
      </c>
      <c r="AE19" s="101" t="e">
        <f t="shared" si="1"/>
        <v>#N/A</v>
      </c>
      <c r="AF19" s="101" t="e">
        <f t="shared" si="1"/>
        <v>#N/A</v>
      </c>
      <c r="AG19" s="101" t="e">
        <f t="shared" si="1"/>
        <v>#N/A</v>
      </c>
    </row>
    <row r="20" spans="1:33" x14ac:dyDescent="0.35">
      <c r="A20" s="40" t="s">
        <v>798</v>
      </c>
      <c r="B20" s="92"/>
      <c r="C20" s="96" t="e">
        <f>VLOOKUP($A20,flows!$A$2:$J$4985,C$2,FALSE)</f>
        <v>#N/A</v>
      </c>
      <c r="D20" s="96" t="e">
        <f>VLOOKUP($A20,flows!$A$2:$J$4985,D$2,FALSE)</f>
        <v>#N/A</v>
      </c>
      <c r="E20" s="96" t="e">
        <f>VLOOKUP($A20,flows!$A$2:$J$4985,E$2,FALSE)</f>
        <v>#N/A</v>
      </c>
      <c r="F20" s="96" t="e">
        <f>VLOOKUP($A20,flows!$A$2:$J$4985,F$2,FALSE)</f>
        <v>#N/A</v>
      </c>
      <c r="G20" s="96" t="e">
        <f>VLOOKUP($A20,flows!$A$2:$J$4985,G$2,FALSE)</f>
        <v>#N/A</v>
      </c>
      <c r="H20" s="96" t="e">
        <f>VLOOKUP($A20,flows!$A$2:$J$4985,H$2,FALSE)</f>
        <v>#N/A</v>
      </c>
      <c r="I20" s="96" t="e">
        <f>VLOOKUP($A20,flows!$A$2:$J$4985,I$2,FALSE)</f>
        <v>#N/A</v>
      </c>
      <c r="J20" s="96" t="e">
        <f>VLOOKUP($A20,flows!$A$2:$J$4985,J$2,FALSE)</f>
        <v>#N/A</v>
      </c>
      <c r="M20" s="134" t="s">
        <v>2585</v>
      </c>
      <c r="O20" s="96" t="e">
        <f>VLOOKUP($M20,flows!$A$2:$J$4985,O$2,FALSE)</f>
        <v>#N/A</v>
      </c>
      <c r="P20" s="96" t="e">
        <f>VLOOKUP($M20,flows!$A$2:$J$4985,P$2,FALSE)</f>
        <v>#N/A</v>
      </c>
      <c r="Q20" s="96" t="e">
        <f>VLOOKUP($M20,flows!$A$2:$J$4985,Q$2,FALSE)</f>
        <v>#N/A</v>
      </c>
      <c r="R20" s="96" t="e">
        <f>VLOOKUP($M20,flows!$A$2:$J$4985,R$2,FALSE)</f>
        <v>#N/A</v>
      </c>
      <c r="S20" s="96" t="e">
        <f>VLOOKUP($M20,flows!$A$2:$J$4985,S$2,FALSE)</f>
        <v>#N/A</v>
      </c>
      <c r="T20" s="96" t="e">
        <f>VLOOKUP($M20,flows!$A$2:$J$4985,T$2,FALSE)</f>
        <v>#N/A</v>
      </c>
      <c r="U20" s="96" t="e">
        <f>VLOOKUP($M20,flows!$A$2:$J$4985,U$2,FALSE)</f>
        <v>#N/A</v>
      </c>
      <c r="V20" s="96" t="e">
        <f>VLOOKUP($M20,flows!$A$2:$J$4985,V$2,FALSE)</f>
        <v>#N/A</v>
      </c>
    </row>
    <row r="21" spans="1:33" x14ac:dyDescent="0.35">
      <c r="A21" s="40" t="s">
        <v>799</v>
      </c>
      <c r="B21" s="92"/>
      <c r="C21" s="96" t="e">
        <f>VLOOKUP($A21,flows!$A$2:$J$4985,C$2,FALSE)</f>
        <v>#N/A</v>
      </c>
      <c r="D21" s="96" t="e">
        <f>VLOOKUP($A21,flows!$A$2:$J$4985,D$2,FALSE)</f>
        <v>#N/A</v>
      </c>
      <c r="E21" s="96" t="e">
        <f>VLOOKUP($A21,flows!$A$2:$J$4985,E$2,FALSE)</f>
        <v>#N/A</v>
      </c>
      <c r="F21" s="96" t="e">
        <f>VLOOKUP($A21,flows!$A$2:$J$4985,F$2,FALSE)</f>
        <v>#N/A</v>
      </c>
      <c r="G21" s="96" t="e">
        <f>VLOOKUP($A21,flows!$A$2:$J$4985,G$2,FALSE)</f>
        <v>#N/A</v>
      </c>
      <c r="H21" s="96" t="e">
        <f>VLOOKUP($A21,flows!$A$2:$J$4985,H$2,FALSE)</f>
        <v>#N/A</v>
      </c>
      <c r="I21" s="96" t="e">
        <f>VLOOKUP($A21,flows!$A$2:$J$4985,I$2,FALSE)</f>
        <v>#N/A</v>
      </c>
      <c r="J21" s="96" t="e">
        <f>VLOOKUP($A21,flows!$A$2:$J$4985,J$2,FALSE)</f>
        <v>#N/A</v>
      </c>
      <c r="M21" s="134" t="s">
        <v>4148</v>
      </c>
      <c r="N21" s="862"/>
      <c r="O21" s="96">
        <f>VLOOKUP($M21,flows!$A$2:$J$4985,O$2,FALSE)</f>
        <v>8.8465562889195146E-4</v>
      </c>
      <c r="P21" s="96">
        <f>VLOOKUP($M21,flows!$A$2:$J$4985,P$2,FALSE)</f>
        <v>0</v>
      </c>
      <c r="Q21" s="96">
        <f>VLOOKUP($M21,flows!$A$2:$J$4985,Q$2,FALSE)</f>
        <v>0.72771572971397591</v>
      </c>
      <c r="R21" s="96">
        <f>VLOOKUP($M21,flows!$A$2:$J$4985,R$2,FALSE)</f>
        <v>3.5798441773447812E-3</v>
      </c>
      <c r="S21" s="96">
        <f>VLOOKUP($M21,flows!$A$2:$J$4985,S$2,FALSE)</f>
        <v>2.4243121413485848E-3</v>
      </c>
      <c r="T21" s="96">
        <f>VLOOKUP($M21,flows!$A$2:$J$4985,T$2,FALSE)</f>
        <v>3433.1926499807341</v>
      </c>
      <c r="U21" s="96">
        <f>VLOOKUP($M21,flows!$A$2:$J$4985,U$2,FALSE)</f>
        <v>9.3622537683307305E-2</v>
      </c>
      <c r="V21" s="96">
        <f>VLOOKUP($M21,flows!$A$2:$J$4985,V$2,FALSE)</f>
        <v>0</v>
      </c>
    </row>
    <row r="22" spans="1:33" x14ac:dyDescent="0.35">
      <c r="A22" s="40" t="s">
        <v>800</v>
      </c>
      <c r="B22" s="92"/>
      <c r="C22" s="96" t="e">
        <f>VLOOKUP($A22,flows!$A$2:$J$4985,C$2,FALSE)</f>
        <v>#N/A</v>
      </c>
      <c r="D22" s="96" t="e">
        <f>VLOOKUP($A22,flows!$A$2:$J$4985,D$2,FALSE)</f>
        <v>#N/A</v>
      </c>
      <c r="E22" s="96" t="e">
        <f>VLOOKUP($A22,flows!$A$2:$J$4985,E$2,FALSE)</f>
        <v>#N/A</v>
      </c>
      <c r="F22" s="96" t="e">
        <f>VLOOKUP($A22,flows!$A$2:$J$4985,F$2,FALSE)</f>
        <v>#N/A</v>
      </c>
      <c r="G22" s="96" t="e">
        <f>VLOOKUP($A22,flows!$A$2:$J$4985,G$2,FALSE)</f>
        <v>#N/A</v>
      </c>
      <c r="H22" s="96" t="e">
        <f>VLOOKUP($A22,flows!$A$2:$J$4985,H$2,FALSE)</f>
        <v>#N/A</v>
      </c>
      <c r="I22" s="96" t="e">
        <f>VLOOKUP($A22,flows!$A$2:$J$4985,I$2,FALSE)</f>
        <v>#N/A</v>
      </c>
      <c r="J22" s="96" t="e">
        <f>VLOOKUP($A22,flows!$A$2:$J$4985,J$2,FALSE)</f>
        <v>#N/A</v>
      </c>
      <c r="M22" s="134" t="s">
        <v>2586</v>
      </c>
      <c r="O22" s="96" t="e">
        <f>VLOOKUP($M22,flows!$A$2:$J$4985,O$2,FALSE)</f>
        <v>#N/A</v>
      </c>
      <c r="P22" s="96" t="e">
        <f>VLOOKUP($M22,flows!$A$2:$J$4985,P$2,FALSE)</f>
        <v>#N/A</v>
      </c>
      <c r="Q22" s="96" t="e">
        <f>VLOOKUP($M22,flows!$A$2:$J$4985,Q$2,FALSE)</f>
        <v>#N/A</v>
      </c>
      <c r="R22" s="96" t="e">
        <f>VLOOKUP($M22,flows!$A$2:$J$4985,R$2,FALSE)</f>
        <v>#N/A</v>
      </c>
      <c r="S22" s="96" t="e">
        <f>VLOOKUP($M22,flows!$A$2:$J$4985,S$2,FALSE)</f>
        <v>#N/A</v>
      </c>
      <c r="T22" s="96" t="e">
        <f>VLOOKUP($M22,flows!$A$2:$J$4985,T$2,FALSE)</f>
        <v>#N/A</v>
      </c>
      <c r="U22" s="96" t="e">
        <f>VLOOKUP($M22,flows!$A$2:$J$4985,U$2,FALSE)</f>
        <v>#N/A</v>
      </c>
      <c r="V22" s="96" t="e">
        <f>VLOOKUP($M22,flows!$A$2:$J$4985,V$2,FALSE)</f>
        <v>#N/A</v>
      </c>
    </row>
    <row r="23" spans="1:33" x14ac:dyDescent="0.35">
      <c r="A23" s="40" t="s">
        <v>801</v>
      </c>
      <c r="B23" s="92"/>
      <c r="C23" s="96" t="e">
        <f>VLOOKUP($A23,flows!$A$2:$J$4985,C$2,FALSE)</f>
        <v>#N/A</v>
      </c>
      <c r="D23" s="96" t="e">
        <f>VLOOKUP($A23,flows!$A$2:$J$4985,D$2,FALSE)</f>
        <v>#N/A</v>
      </c>
      <c r="E23" s="96" t="e">
        <f>VLOOKUP($A23,flows!$A$2:$J$4985,E$2,FALSE)</f>
        <v>#N/A</v>
      </c>
      <c r="F23" s="96" t="e">
        <f>VLOOKUP($A23,flows!$A$2:$J$4985,F$2,FALSE)</f>
        <v>#N/A</v>
      </c>
      <c r="G23" s="96" t="e">
        <f>VLOOKUP($A23,flows!$A$2:$J$4985,G$2,FALSE)</f>
        <v>#N/A</v>
      </c>
      <c r="H23" s="96" t="e">
        <f>VLOOKUP($A23,flows!$A$2:$J$4985,H$2,FALSE)</f>
        <v>#N/A</v>
      </c>
      <c r="I23" s="96" t="e">
        <f>VLOOKUP($A23,flows!$A$2:$J$4985,I$2,FALSE)</f>
        <v>#N/A</v>
      </c>
      <c r="J23" s="96" t="e">
        <f>VLOOKUP($A23,flows!$A$2:$J$4985,J$2,FALSE)</f>
        <v>#N/A</v>
      </c>
      <c r="M23" s="40" t="s">
        <v>121</v>
      </c>
      <c r="N23" s="92"/>
      <c r="O23" s="96" t="e">
        <f>VLOOKUP($M23,flows!$A$2:$J$4985,O$2,FALSE)</f>
        <v>#N/A</v>
      </c>
      <c r="P23" s="96" t="e">
        <f>VLOOKUP($M23,flows!$A$2:$J$4985,P$2,FALSE)</f>
        <v>#N/A</v>
      </c>
      <c r="Q23" s="96" t="e">
        <f>VLOOKUP($M23,flows!$A$2:$J$4985,Q$2,FALSE)</f>
        <v>#N/A</v>
      </c>
      <c r="R23" s="96" t="e">
        <f>VLOOKUP($M23,flows!$A$2:$J$4985,R$2,FALSE)</f>
        <v>#N/A</v>
      </c>
      <c r="S23" s="96" t="e">
        <f>VLOOKUP($M23,flows!$A$2:$J$4985,S$2,FALSE)</f>
        <v>#N/A</v>
      </c>
      <c r="T23" s="96" t="e">
        <f>VLOOKUP($M23,flows!$A$2:$J$4985,T$2,FALSE)</f>
        <v>#N/A</v>
      </c>
      <c r="U23" s="96" t="e">
        <f>VLOOKUP($M23,flows!$A$2:$J$4985,U$2,FALSE)</f>
        <v>#N/A</v>
      </c>
      <c r="V23" s="96" t="e">
        <f>VLOOKUP($M23,flows!$A$2:$J$4985,V$2,FALSE)</f>
        <v>#N/A</v>
      </c>
    </row>
    <row r="24" spans="1:33" x14ac:dyDescent="0.35">
      <c r="A24" s="40" t="s">
        <v>802</v>
      </c>
      <c r="B24" s="92"/>
      <c r="C24" s="96" t="e">
        <f>VLOOKUP($A24,flows!$A$2:$J$4985,C$2,FALSE)</f>
        <v>#N/A</v>
      </c>
      <c r="D24" s="96" t="e">
        <f>VLOOKUP($A24,flows!$A$2:$J$4985,D$2,FALSE)</f>
        <v>#N/A</v>
      </c>
      <c r="E24" s="96" t="e">
        <f>VLOOKUP($A24,flows!$A$2:$J$4985,E$2,FALSE)</f>
        <v>#N/A</v>
      </c>
      <c r="F24" s="96" t="e">
        <f>VLOOKUP($A24,flows!$A$2:$J$4985,F$2,FALSE)</f>
        <v>#N/A</v>
      </c>
      <c r="G24" s="96" t="e">
        <f>VLOOKUP($A24,flows!$A$2:$J$4985,G$2,FALSE)</f>
        <v>#N/A</v>
      </c>
      <c r="H24" s="96" t="e">
        <f>VLOOKUP($A24,flows!$A$2:$J$4985,H$2,FALSE)</f>
        <v>#N/A</v>
      </c>
      <c r="I24" s="96" t="e">
        <f>VLOOKUP($A24,flows!$A$2:$J$4985,I$2,FALSE)</f>
        <v>#N/A</v>
      </c>
      <c r="J24" s="96" t="e">
        <f>VLOOKUP($A24,flows!$A$2:$J$4985,J$2,FALSE)</f>
        <v>#N/A</v>
      </c>
      <c r="M24" s="40" t="s">
        <v>2265</v>
      </c>
      <c r="N24" s="92"/>
      <c r="O24" s="96">
        <f>Glasindustrie!E642</f>
        <v>8739.8214268714528</v>
      </c>
      <c r="P24" s="96">
        <f>Glasindustrie!F642</f>
        <v>955.60756391407494</v>
      </c>
      <c r="Q24" s="96">
        <f>Glasindustrie!G642</f>
        <v>590.41079993558969</v>
      </c>
      <c r="R24" s="96">
        <f>Glasindustrie!H642</f>
        <v>926.8501846280742</v>
      </c>
      <c r="S24" s="96">
        <f>Glasindustrie!I642</f>
        <v>2388.2611111495407</v>
      </c>
      <c r="T24" s="96">
        <f>Glasindustrie!J642</f>
        <v>4360.6593201656979</v>
      </c>
      <c r="U24" s="96">
        <f>Glasindustrie!K642</f>
        <v>8739.7086826049963</v>
      </c>
      <c r="V24" s="96">
        <f>Glasindustrie!L642</f>
        <v>0</v>
      </c>
    </row>
    <row r="25" spans="1:33" x14ac:dyDescent="0.35">
      <c r="A25" s="40" t="s">
        <v>803</v>
      </c>
      <c r="B25" s="92"/>
      <c r="C25" s="96" t="e">
        <f>VLOOKUP($A25,flows!$A$2:$J$4985,C$2,FALSE)</f>
        <v>#N/A</v>
      </c>
      <c r="D25" s="96" t="e">
        <f>VLOOKUP($A25,flows!$A$2:$J$4985,D$2,FALSE)</f>
        <v>#N/A</v>
      </c>
      <c r="E25" s="96" t="e">
        <f>VLOOKUP($A25,flows!$A$2:$J$4985,E$2,FALSE)</f>
        <v>#N/A</v>
      </c>
      <c r="F25" s="96" t="e">
        <f>VLOOKUP($A25,flows!$A$2:$J$4985,F$2,FALSE)</f>
        <v>#N/A</v>
      </c>
      <c r="G25" s="96" t="e">
        <f>VLOOKUP($A25,flows!$A$2:$J$4985,G$2,FALSE)</f>
        <v>#N/A</v>
      </c>
      <c r="H25" s="96" t="e">
        <f>VLOOKUP($A25,flows!$A$2:$J$4985,H$2,FALSE)</f>
        <v>#N/A</v>
      </c>
      <c r="I25" s="96" t="e">
        <f>VLOOKUP($A25,flows!$A$2:$J$4985,I$2,FALSE)</f>
        <v>#N/A</v>
      </c>
      <c r="J25" s="96" t="e">
        <f>VLOOKUP($A25,flows!$A$2:$J$4985,J$2,FALSE)</f>
        <v>#N/A</v>
      </c>
      <c r="M25" s="40" t="s">
        <v>3906</v>
      </c>
      <c r="N25" s="92"/>
      <c r="O25" s="96">
        <f>Glasindustrie!R80</f>
        <v>70.773552497707556</v>
      </c>
      <c r="P25" s="96">
        <f>Glasindustrie!S80</f>
        <v>227.04942148183051</v>
      </c>
      <c r="Q25" s="96">
        <f>Glasindustrie!T80</f>
        <v>231.73801936370936</v>
      </c>
      <c r="R25" s="96">
        <f>Glasindustrie!U80</f>
        <v>216.79924678410327</v>
      </c>
      <c r="S25" s="96">
        <f>Glasindustrie!V80</f>
        <v>199.52664988700801</v>
      </c>
      <c r="T25" s="96">
        <f>Glasindustrie!W80</f>
        <v>164.45093344767457</v>
      </c>
      <c r="U25" s="96">
        <f>Glasindustrie!X80</f>
        <v>70.770014754176159</v>
      </c>
      <c r="V25" s="96">
        <f>Glasindustrie!Y80</f>
        <v>0</v>
      </c>
    </row>
    <row r="26" spans="1:33" x14ac:dyDescent="0.35">
      <c r="A26" s="40" t="s">
        <v>804</v>
      </c>
      <c r="B26" s="92"/>
      <c r="C26" s="96" t="e">
        <f>VLOOKUP($A26,flows!$A$2:$J$4985,C$2,FALSE)</f>
        <v>#N/A</v>
      </c>
      <c r="D26" s="96" t="e">
        <f>VLOOKUP($A26,flows!$A$2:$J$4985,D$2,FALSE)</f>
        <v>#N/A</v>
      </c>
      <c r="E26" s="96" t="e">
        <f>VLOOKUP($A26,flows!$A$2:$J$4985,E$2,FALSE)</f>
        <v>#N/A</v>
      </c>
      <c r="F26" s="96" t="e">
        <f>VLOOKUP($A26,flows!$A$2:$J$4985,F$2,FALSE)</f>
        <v>#N/A</v>
      </c>
      <c r="G26" s="96" t="e">
        <f>VLOOKUP($A26,flows!$A$2:$J$4985,G$2,FALSE)</f>
        <v>#N/A</v>
      </c>
      <c r="H26" s="96" t="e">
        <f>VLOOKUP($A26,flows!$A$2:$J$4985,H$2,FALSE)</f>
        <v>#N/A</v>
      </c>
      <c r="I26" s="96" t="e">
        <f>VLOOKUP($A26,flows!$A$2:$J$4985,I$2,FALSE)</f>
        <v>#N/A</v>
      </c>
      <c r="J26" s="96" t="e">
        <f>VLOOKUP($A26,flows!$A$2:$J$4985,J$2,FALSE)</f>
        <v>#N/A</v>
      </c>
      <c r="M26" s="40" t="s">
        <v>3907</v>
      </c>
      <c r="N26" s="92"/>
      <c r="O26" s="96">
        <f>Glasindustrie!R31</f>
        <v>1096.9619463963847</v>
      </c>
      <c r="P26" s="96">
        <f>Glasindustrie!S31</f>
        <v>1732.8658649157112</v>
      </c>
      <c r="Q26" s="96">
        <f>Glasindustrie!T31</f>
        <v>1276.8068999986629</v>
      </c>
      <c r="R26" s="96">
        <f>Glasindustrie!U31</f>
        <v>1071.1463287797619</v>
      </c>
      <c r="S26" s="96">
        <f>Glasindustrie!V31</f>
        <v>1075.6087388363683</v>
      </c>
      <c r="T26" s="96">
        <f>Glasindustrie!W31</f>
        <v>1073.5547013279668</v>
      </c>
      <c r="U26" s="96">
        <f>Glasindustrie!X31</f>
        <v>1096.9753833329887</v>
      </c>
      <c r="V26" s="96">
        <f>Glasindustrie!Y31</f>
        <v>0</v>
      </c>
    </row>
    <row r="27" spans="1:33" x14ac:dyDescent="0.35">
      <c r="A27" s="40" t="s">
        <v>807</v>
      </c>
      <c r="B27" s="92"/>
      <c r="C27" s="96" t="e">
        <f>VLOOKUP($A27,flows!$A$2:$J$4985,C$2,FALSE)</f>
        <v>#N/A</v>
      </c>
      <c r="D27" s="96" t="e">
        <f>VLOOKUP($A27,flows!$A$2:$J$4985,D$2,FALSE)</f>
        <v>#N/A</v>
      </c>
      <c r="E27" s="96" t="e">
        <f>VLOOKUP($A27,flows!$A$2:$J$4985,E$2,FALSE)</f>
        <v>#N/A</v>
      </c>
      <c r="F27" s="96" t="e">
        <f>VLOOKUP($A27,flows!$A$2:$J$4985,F$2,FALSE)</f>
        <v>#N/A</v>
      </c>
      <c r="G27" s="96" t="e">
        <f>VLOOKUP($A27,flows!$A$2:$J$4985,G$2,FALSE)</f>
        <v>#N/A</v>
      </c>
      <c r="H27" s="96" t="e">
        <f>VLOOKUP($A27,flows!$A$2:$J$4985,H$2,FALSE)</f>
        <v>#N/A</v>
      </c>
      <c r="I27" s="96" t="e">
        <f>VLOOKUP($A27,flows!$A$2:$J$4985,I$2,FALSE)</f>
        <v>#N/A</v>
      </c>
      <c r="J27" s="96" t="e">
        <f>VLOOKUP($A27,flows!$A$2:$J$4985,J$2,FALSE)</f>
        <v>#N/A</v>
      </c>
      <c r="M27" s="40" t="s">
        <v>2587</v>
      </c>
      <c r="N27" s="92"/>
      <c r="O27" s="96" t="e">
        <f>VLOOKUP($M27,flows!$A$2:$J$4985,O$2,FALSE)</f>
        <v>#N/A</v>
      </c>
      <c r="P27" s="96" t="e">
        <f>VLOOKUP($M27,flows!$A$2:$J$4985,P$2,FALSE)</f>
        <v>#N/A</v>
      </c>
      <c r="Q27" s="96" t="e">
        <f>VLOOKUP($M27,flows!$A$2:$J$4985,Q$2,FALSE)</f>
        <v>#N/A</v>
      </c>
      <c r="R27" s="96" t="e">
        <f>VLOOKUP($M27,flows!$A$2:$J$4985,R$2,FALSE)</f>
        <v>#N/A</v>
      </c>
      <c r="S27" s="96" t="e">
        <f>VLOOKUP($M27,flows!$A$2:$J$4985,S$2,FALSE)</f>
        <v>#N/A</v>
      </c>
      <c r="T27" s="96" t="e">
        <f>VLOOKUP($M27,flows!$A$2:$J$4985,T$2,FALSE)</f>
        <v>#N/A</v>
      </c>
      <c r="U27" s="96" t="e">
        <f>VLOOKUP($M27,flows!$A$2:$J$4985,U$2,FALSE)</f>
        <v>#N/A</v>
      </c>
      <c r="V27" s="96" t="e">
        <f>VLOOKUP($M27,flows!$A$2:$J$4985,V$2,FALSE)</f>
        <v>#N/A</v>
      </c>
    </row>
    <row r="28" spans="1:33" x14ac:dyDescent="0.35">
      <c r="A28" s="40" t="s">
        <v>808</v>
      </c>
      <c r="B28" s="92"/>
      <c r="C28" s="96" t="e">
        <f>VLOOKUP($A28,flows!$A$2:$J$4985,C$2,FALSE)</f>
        <v>#N/A</v>
      </c>
      <c r="D28" s="96" t="e">
        <f>VLOOKUP($A28,flows!$A$2:$J$4985,D$2,FALSE)</f>
        <v>#N/A</v>
      </c>
      <c r="E28" s="96" t="e">
        <f>VLOOKUP($A28,flows!$A$2:$J$4985,E$2,FALSE)</f>
        <v>#N/A</v>
      </c>
      <c r="F28" s="96" t="e">
        <f>VLOOKUP($A28,flows!$A$2:$J$4985,F$2,FALSE)</f>
        <v>#N/A</v>
      </c>
      <c r="G28" s="96" t="e">
        <f>VLOOKUP($A28,flows!$A$2:$J$4985,G$2,FALSE)</f>
        <v>#N/A</v>
      </c>
      <c r="H28" s="96" t="e">
        <f>VLOOKUP($A28,flows!$A$2:$J$4985,H$2,FALSE)</f>
        <v>#N/A</v>
      </c>
      <c r="I28" s="96" t="e">
        <f>VLOOKUP($A28,flows!$A$2:$J$4985,I$2,FALSE)</f>
        <v>#N/A</v>
      </c>
      <c r="J28" s="96" t="e">
        <f>VLOOKUP($A28,flows!$A$2:$J$4985,J$2,FALSE)</f>
        <v>#N/A</v>
      </c>
      <c r="M28" s="40" t="s">
        <v>2588</v>
      </c>
      <c r="N28" s="92"/>
      <c r="O28" s="96" t="e">
        <f>VLOOKUP($M28,flows!$A$2:$J$4985,O$2,FALSE)</f>
        <v>#N/A</v>
      </c>
      <c r="P28" s="96" t="e">
        <f>VLOOKUP($M28,flows!$A$2:$J$4985,P$2,FALSE)</f>
        <v>#N/A</v>
      </c>
      <c r="Q28" s="96" t="e">
        <f>VLOOKUP($M28,flows!$A$2:$J$4985,Q$2,FALSE)</f>
        <v>#N/A</v>
      </c>
      <c r="R28" s="96" t="e">
        <f>VLOOKUP($M28,flows!$A$2:$J$4985,R$2,FALSE)</f>
        <v>#N/A</v>
      </c>
      <c r="S28" s="96" t="e">
        <f>VLOOKUP($M28,flows!$A$2:$J$4985,S$2,FALSE)</f>
        <v>#N/A</v>
      </c>
      <c r="T28" s="96" t="e">
        <f>VLOOKUP($M28,flows!$A$2:$J$4985,T$2,FALSE)</f>
        <v>#N/A</v>
      </c>
      <c r="U28" s="96" t="e">
        <f>VLOOKUP($M28,flows!$A$2:$J$4985,U$2,FALSE)</f>
        <v>#N/A</v>
      </c>
      <c r="V28" s="96" t="e">
        <f>VLOOKUP($M28,flows!$A$2:$J$4985,V$2,FALSE)</f>
        <v>#N/A</v>
      </c>
    </row>
    <row r="29" spans="1:33" x14ac:dyDescent="0.35">
      <c r="A29" s="40" t="s">
        <v>809</v>
      </c>
      <c r="B29" s="92"/>
      <c r="C29" s="96" t="e">
        <f>VLOOKUP($A29,flows!$A$2:$J$4985,C$2,FALSE)</f>
        <v>#N/A</v>
      </c>
      <c r="D29" s="96" t="e">
        <f>VLOOKUP($A29,flows!$A$2:$J$4985,D$2,FALSE)</f>
        <v>#N/A</v>
      </c>
      <c r="E29" s="96" t="e">
        <f>VLOOKUP($A29,flows!$A$2:$J$4985,E$2,FALSE)</f>
        <v>#N/A</v>
      </c>
      <c r="F29" s="96" t="e">
        <f>VLOOKUP($A29,flows!$A$2:$J$4985,F$2,FALSE)</f>
        <v>#N/A</v>
      </c>
      <c r="G29" s="96" t="e">
        <f>VLOOKUP($A29,flows!$A$2:$J$4985,G$2,FALSE)</f>
        <v>#N/A</v>
      </c>
      <c r="H29" s="96" t="e">
        <f>VLOOKUP($A29,flows!$A$2:$J$4985,H$2,FALSE)</f>
        <v>#N/A</v>
      </c>
      <c r="I29" s="96" t="e">
        <f>VLOOKUP($A29,flows!$A$2:$J$4985,I$2,FALSE)</f>
        <v>#N/A</v>
      </c>
      <c r="J29" s="96" t="e">
        <f>VLOOKUP($A29,flows!$A$2:$J$4985,J$2,FALSE)</f>
        <v>#N/A</v>
      </c>
      <c r="M29" s="40" t="s">
        <v>2589</v>
      </c>
      <c r="N29" s="92"/>
      <c r="O29" s="96" t="e">
        <f>VLOOKUP($M29,flows!$A$2:$J$4985,O$2,FALSE)</f>
        <v>#N/A</v>
      </c>
      <c r="P29" s="96" t="e">
        <f>VLOOKUP($M29,flows!$A$2:$J$4985,P$2,FALSE)</f>
        <v>#N/A</v>
      </c>
      <c r="Q29" s="96" t="e">
        <f>VLOOKUP($M29,flows!$A$2:$J$4985,Q$2,FALSE)</f>
        <v>#N/A</v>
      </c>
      <c r="R29" s="96" t="e">
        <f>VLOOKUP($M29,flows!$A$2:$J$4985,R$2,FALSE)</f>
        <v>#N/A</v>
      </c>
      <c r="S29" s="96" t="e">
        <f>VLOOKUP($M29,flows!$A$2:$J$4985,S$2,FALSE)</f>
        <v>#N/A</v>
      </c>
      <c r="T29" s="96" t="e">
        <f>VLOOKUP($M29,flows!$A$2:$J$4985,T$2,FALSE)</f>
        <v>#N/A</v>
      </c>
      <c r="U29" s="96" t="e">
        <f>VLOOKUP($M29,flows!$A$2:$J$4985,U$2,FALSE)</f>
        <v>#N/A</v>
      </c>
      <c r="V29" s="96" t="e">
        <f>VLOOKUP($M29,flows!$A$2:$J$4985,V$2,FALSE)</f>
        <v>#N/A</v>
      </c>
    </row>
    <row r="30" spans="1:33" x14ac:dyDescent="0.35">
      <c r="A30" s="40" t="s">
        <v>810</v>
      </c>
      <c r="B30" s="92"/>
      <c r="C30" s="96" t="e">
        <f>VLOOKUP($A30,flows!$A$2:$J$4985,C$2,FALSE)</f>
        <v>#N/A</v>
      </c>
      <c r="D30" s="96" t="e">
        <f>VLOOKUP($A30,flows!$A$2:$J$4985,D$2,FALSE)</f>
        <v>#N/A</v>
      </c>
      <c r="E30" s="96" t="e">
        <f>VLOOKUP($A30,flows!$A$2:$J$4985,E$2,FALSE)</f>
        <v>#N/A</v>
      </c>
      <c r="F30" s="96" t="e">
        <f>VLOOKUP($A30,flows!$A$2:$J$4985,F$2,FALSE)</f>
        <v>#N/A</v>
      </c>
      <c r="G30" s="96" t="e">
        <f>VLOOKUP($A30,flows!$A$2:$J$4985,G$2,FALSE)</f>
        <v>#N/A</v>
      </c>
      <c r="H30" s="96" t="e">
        <f>VLOOKUP($A30,flows!$A$2:$J$4985,H$2,FALSE)</f>
        <v>#N/A</v>
      </c>
      <c r="I30" s="96" t="e">
        <f>VLOOKUP($A30,flows!$A$2:$J$4985,I$2,FALSE)</f>
        <v>#N/A</v>
      </c>
      <c r="J30" s="96" t="e">
        <f>VLOOKUP($A30,flows!$A$2:$J$4985,J$2,FALSE)</f>
        <v>#N/A</v>
      </c>
      <c r="M30" s="40" t="s">
        <v>4146</v>
      </c>
      <c r="N30" s="92"/>
      <c r="O30" s="96">
        <f>VLOOKUP($M30,flows!$A$2:$J$4985,O$2,FALSE)</f>
        <v>26.625547887702041</v>
      </c>
      <c r="P30" s="96">
        <f>VLOOKUP($M30,flows!$A$2:$J$4985,P$2,FALSE)</f>
        <v>0</v>
      </c>
      <c r="Q30" s="96">
        <f>VLOOKUP($M30,flows!$A$2:$J$4985,Q$2,FALSE)</f>
        <v>0.54333152698231624</v>
      </c>
      <c r="R30" s="96">
        <f>VLOOKUP($M30,flows!$A$2:$J$4985,R$2,FALSE)</f>
        <v>6.8036625943153559E-3</v>
      </c>
      <c r="S30" s="96">
        <f>VLOOKUP($M30,flows!$A$2:$J$4985,S$2,FALSE)</f>
        <v>8.3131897570195132</v>
      </c>
      <c r="T30" s="96">
        <f>VLOOKUP($M30,flows!$A$2:$J$4985,T$2,FALSE)</f>
        <v>103.25671176038399</v>
      </c>
      <c r="U30" s="96">
        <f>VLOOKUP($M30,flows!$A$2:$J$4985,U$2,FALSE)</f>
        <v>26.627084695426539</v>
      </c>
      <c r="V30" s="96">
        <f>VLOOKUP($M30,flows!$A$2:$J$4985,V$2,FALSE)</f>
        <v>0</v>
      </c>
    </row>
    <row r="31" spans="1:33" x14ac:dyDescent="0.35">
      <c r="A31" s="40" t="s">
        <v>811</v>
      </c>
      <c r="B31" s="92"/>
      <c r="C31" s="96" t="e">
        <f>VLOOKUP($A31,flows!$A$2:$J$4985,C$2,FALSE)</f>
        <v>#N/A</v>
      </c>
      <c r="D31" s="96" t="e">
        <f>VLOOKUP($A31,flows!$A$2:$J$4985,D$2,FALSE)</f>
        <v>#N/A</v>
      </c>
      <c r="E31" s="96" t="e">
        <f>VLOOKUP($A31,flows!$A$2:$J$4985,E$2,FALSE)</f>
        <v>#N/A</v>
      </c>
      <c r="F31" s="96" t="e">
        <f>VLOOKUP($A31,flows!$A$2:$J$4985,F$2,FALSE)</f>
        <v>#N/A</v>
      </c>
      <c r="G31" s="96" t="e">
        <f>VLOOKUP($A31,flows!$A$2:$J$4985,G$2,FALSE)</f>
        <v>#N/A</v>
      </c>
      <c r="H31" s="96" t="e">
        <f>VLOOKUP($A31,flows!$A$2:$J$4985,H$2,FALSE)</f>
        <v>#N/A</v>
      </c>
      <c r="I31" s="96" t="e">
        <f>VLOOKUP($A31,flows!$A$2:$J$4985,I$2,FALSE)</f>
        <v>#N/A</v>
      </c>
      <c r="J31" s="96" t="e">
        <f>VLOOKUP($A31,flows!$A$2:$J$4985,J$2,FALSE)</f>
        <v>#N/A</v>
      </c>
      <c r="M31" s="40" t="s">
        <v>2590</v>
      </c>
      <c r="N31" s="92"/>
      <c r="O31" s="96">
        <f>VLOOKUP($M31,flows!$A$2:$J$4985,O$2,FALSE)</f>
        <v>22.476112590323002</v>
      </c>
      <c r="P31" s="96">
        <f>VLOOKUP($M31,flows!$A$2:$J$4985,P$2,FALSE)</f>
        <v>29.11999995587983</v>
      </c>
      <c r="Q31" s="96">
        <f>VLOOKUP($M31,flows!$A$2:$J$4985,Q$2,FALSE)</f>
        <v>31.348388390187608</v>
      </c>
      <c r="R31" s="96">
        <f>VLOOKUP($M31,flows!$A$2:$J$4985,R$2,FALSE)</f>
        <v>33.711840071601557</v>
      </c>
      <c r="S31" s="96">
        <f>VLOOKUP($M31,flows!$A$2:$J$4985,S$2,FALSE)</f>
        <v>36.007937200895249</v>
      </c>
      <c r="T31" s="96">
        <f>VLOOKUP($M31,flows!$A$2:$J$4985,T$2,FALSE)</f>
        <v>38.303992975168953</v>
      </c>
      <c r="U31" s="96">
        <f>VLOOKUP($M31,flows!$A$2:$J$4985,U$2,FALSE)</f>
        <v>22.477222212753251</v>
      </c>
      <c r="V31" s="96">
        <f>VLOOKUP($M31,flows!$A$2:$J$4985,V$2,FALSE)</f>
        <v>0</v>
      </c>
    </row>
    <row r="32" spans="1:33" x14ac:dyDescent="0.35">
      <c r="A32" s="40" t="s">
        <v>812</v>
      </c>
      <c r="B32" s="92"/>
      <c r="C32" s="96" t="e">
        <f>VLOOKUP($A32,flows!$A$2:$J$4985,C$2,FALSE)</f>
        <v>#N/A</v>
      </c>
      <c r="D32" s="96" t="e">
        <f>VLOOKUP($A32,flows!$A$2:$J$4985,D$2,FALSE)</f>
        <v>#N/A</v>
      </c>
      <c r="E32" s="96" t="e">
        <f>VLOOKUP($A32,flows!$A$2:$J$4985,E$2,FALSE)</f>
        <v>#N/A</v>
      </c>
      <c r="F32" s="96" t="e">
        <f>VLOOKUP($A32,flows!$A$2:$J$4985,F$2,FALSE)</f>
        <v>#N/A</v>
      </c>
      <c r="G32" s="96" t="e">
        <f>VLOOKUP($A32,flows!$A$2:$J$4985,G$2,FALSE)</f>
        <v>#N/A</v>
      </c>
      <c r="H32" s="96" t="e">
        <f>VLOOKUP($A32,flows!$A$2:$J$4985,H$2,FALSE)</f>
        <v>#N/A</v>
      </c>
      <c r="I32" s="96" t="e">
        <f>VLOOKUP($A32,flows!$A$2:$J$4985,I$2,FALSE)</f>
        <v>#N/A</v>
      </c>
      <c r="J32" s="96" t="e">
        <f>VLOOKUP($A32,flows!$A$2:$J$4985,J$2,FALSE)</f>
        <v>#N/A</v>
      </c>
      <c r="M32" s="40" t="s">
        <v>2591</v>
      </c>
      <c r="N32" s="92"/>
      <c r="O32" s="96">
        <f>VLOOKUP($M32,flows!$A$2:$J$4985,O$2,FALSE)</f>
        <v>12664.91479432756</v>
      </c>
      <c r="P32" s="96">
        <f>VLOOKUP($M32,flows!$A$2:$J$4985,P$2,FALSE)</f>
        <v>6811.9073983881608</v>
      </c>
      <c r="Q32" s="96">
        <f>VLOOKUP($M32,flows!$A$2:$J$4985,Q$2,FALSE)</f>
        <v>7205.0999330130326</v>
      </c>
      <c r="R32" s="96">
        <f>VLOOKUP($M32,flows!$A$2:$J$4985,R$2,FALSE)</f>
        <v>9803.041345666159</v>
      </c>
      <c r="S32" s="96">
        <f>VLOOKUP($M32,flows!$A$2:$J$4985,S$2,FALSE)</f>
        <v>11232.05327968354</v>
      </c>
      <c r="T32" s="96">
        <f>VLOOKUP($M32,flows!$A$2:$J$4985,T$2,FALSE)</f>
        <v>11948.57403864455</v>
      </c>
      <c r="U32" s="96">
        <f>VLOOKUP($M32,flows!$A$2:$J$4985,U$2,FALSE)</f>
        <v>12664.97184989032</v>
      </c>
      <c r="V32" s="96">
        <f>VLOOKUP($M32,flows!$A$2:$J$4985,V$2,FALSE)</f>
        <v>0</v>
      </c>
    </row>
    <row r="33" spans="1:22" x14ac:dyDescent="0.35">
      <c r="A33" s="40" t="s">
        <v>813</v>
      </c>
      <c r="B33" s="92"/>
      <c r="C33" s="96" t="e">
        <f>VLOOKUP($A33,flows!$A$2:$J$4985,C$2,FALSE)</f>
        <v>#N/A</v>
      </c>
      <c r="D33" s="96" t="e">
        <f>VLOOKUP($A33,flows!$A$2:$J$4985,D$2,FALSE)</f>
        <v>#N/A</v>
      </c>
      <c r="E33" s="96" t="e">
        <f>VLOOKUP($A33,flows!$A$2:$J$4985,E$2,FALSE)</f>
        <v>#N/A</v>
      </c>
      <c r="F33" s="96" t="e">
        <f>VLOOKUP($A33,flows!$A$2:$J$4985,F$2,FALSE)</f>
        <v>#N/A</v>
      </c>
      <c r="G33" s="96" t="e">
        <f>VLOOKUP($A33,flows!$A$2:$J$4985,G$2,FALSE)</f>
        <v>#N/A</v>
      </c>
      <c r="H33" s="96" t="e">
        <f>VLOOKUP($A33,flows!$A$2:$J$4985,H$2,FALSE)</f>
        <v>#N/A</v>
      </c>
      <c r="I33" s="96" t="e">
        <f>VLOOKUP($A33,flows!$A$2:$J$4985,I$2,FALSE)</f>
        <v>#N/A</v>
      </c>
      <c r="J33" s="96" t="e">
        <f>VLOOKUP($A33,flows!$A$2:$J$4985,J$2,FALSE)</f>
        <v>#N/A</v>
      </c>
      <c r="M33" s="40" t="s">
        <v>2592</v>
      </c>
      <c r="N33" s="92"/>
      <c r="O33" s="96">
        <f>VLOOKUP($M33,flows!$A$2:$J$4985,O$2,FALSE)</f>
        <v>267.85072131844612</v>
      </c>
      <c r="P33" s="96">
        <f>VLOOKUP($M33,flows!$A$2:$J$4985,P$2,FALSE)</f>
        <v>76.840428797585943</v>
      </c>
      <c r="Q33" s="96">
        <f>VLOOKUP($M33,flows!$A$2:$J$4985,Q$2,FALSE)</f>
        <v>86.441620397202414</v>
      </c>
      <c r="R33" s="96">
        <f>VLOOKUP($M33,flows!$A$2:$J$4985,R$2,FALSE)</f>
        <v>438.56806732190648</v>
      </c>
      <c r="S33" s="96">
        <f>VLOOKUP($M33,flows!$A$2:$J$4985,S$2,FALSE)</f>
        <v>1047.3060296371279</v>
      </c>
      <c r="T33" s="96">
        <f>VLOOKUP($M33,flows!$A$2:$J$4985,T$2,FALSE)</f>
        <v>2058.915949536216</v>
      </c>
      <c r="U33" s="96">
        <f>VLOOKUP($M33,flows!$A$2:$J$4985,U$2,FALSE)</f>
        <v>264.04845608780198</v>
      </c>
      <c r="V33" s="96">
        <f>VLOOKUP($M33,flows!$A$2:$J$4985,V$2,FALSE)</f>
        <v>0</v>
      </c>
    </row>
    <row r="34" spans="1:22" x14ac:dyDescent="0.35">
      <c r="A34" s="40" t="s">
        <v>814</v>
      </c>
      <c r="B34" s="92"/>
      <c r="C34" s="96" t="e">
        <f>VLOOKUP($A34,flows!$A$2:$J$4985,C$2,FALSE)</f>
        <v>#N/A</v>
      </c>
      <c r="D34" s="96" t="e">
        <f>VLOOKUP($A34,flows!$A$2:$J$4985,D$2,FALSE)</f>
        <v>#N/A</v>
      </c>
      <c r="E34" s="96" t="e">
        <f>VLOOKUP($A34,flows!$A$2:$J$4985,E$2,FALSE)</f>
        <v>#N/A</v>
      </c>
      <c r="F34" s="96" t="e">
        <f>VLOOKUP($A34,flows!$A$2:$J$4985,F$2,FALSE)</f>
        <v>#N/A</v>
      </c>
      <c r="G34" s="96" t="e">
        <f>VLOOKUP($A34,flows!$A$2:$J$4985,G$2,FALSE)</f>
        <v>#N/A</v>
      </c>
      <c r="H34" s="96" t="e">
        <f>VLOOKUP($A34,flows!$A$2:$J$4985,H$2,FALSE)</f>
        <v>#N/A</v>
      </c>
      <c r="I34" s="96" t="e">
        <f>VLOOKUP($A34,flows!$A$2:$J$4985,I$2,FALSE)</f>
        <v>#N/A</v>
      </c>
      <c r="J34" s="96" t="e">
        <f>VLOOKUP($A34,flows!$A$2:$J$4985,J$2,FALSE)</f>
        <v>#N/A</v>
      </c>
      <c r="M34" s="40" t="s">
        <v>4144</v>
      </c>
      <c r="N34" s="92"/>
      <c r="O34" s="96">
        <f>VLOOKUP($M34,flows!$A$2:$J$4985,O$2,FALSE)</f>
        <v>68.536449789311447</v>
      </c>
      <c r="P34" s="96">
        <f>VLOOKUP($M34,flows!$A$2:$J$4985,P$2,FALSE)</f>
        <v>0</v>
      </c>
      <c r="Q34" s="96">
        <f>VLOOKUP($M34,flows!$A$2:$J$4985,Q$2,FALSE)</f>
        <v>0.53984480303872406</v>
      </c>
      <c r="R34" s="96">
        <f>VLOOKUP($M34,flows!$A$2:$J$4985,R$2,FALSE)</f>
        <v>6.8766110867916307E-3</v>
      </c>
      <c r="S34" s="96">
        <f>VLOOKUP($M34,flows!$A$2:$J$4985,S$2,FALSE)</f>
        <v>5.7155701306533331</v>
      </c>
      <c r="T34" s="96">
        <f>VLOOKUP($M34,flows!$A$2:$J$4985,T$2,FALSE)</f>
        <v>526.84024074703586</v>
      </c>
      <c r="U34" s="96">
        <f>VLOOKUP($M34,flows!$A$2:$J$4985,U$2,FALSE)</f>
        <v>67.565333373980181</v>
      </c>
      <c r="V34" s="96">
        <f>VLOOKUP($M34,flows!$A$2:$J$4985,V$2,FALSE)</f>
        <v>0</v>
      </c>
    </row>
    <row r="35" spans="1:22" x14ac:dyDescent="0.35">
      <c r="A35" s="40" t="s">
        <v>815</v>
      </c>
      <c r="B35" s="92"/>
      <c r="C35" s="96" t="e">
        <f>VLOOKUP($A35,flows!$A$2:$J$4985,C$2,FALSE)</f>
        <v>#N/A</v>
      </c>
      <c r="D35" s="96" t="e">
        <f>VLOOKUP($A35,flows!$A$2:$J$4985,D$2,FALSE)</f>
        <v>#N/A</v>
      </c>
      <c r="E35" s="96" t="e">
        <f>VLOOKUP($A35,flows!$A$2:$J$4985,E$2,FALSE)</f>
        <v>#N/A</v>
      </c>
      <c r="F35" s="96" t="e">
        <f>VLOOKUP($A35,flows!$A$2:$J$4985,F$2,FALSE)</f>
        <v>#N/A</v>
      </c>
      <c r="G35" s="96" t="e">
        <f>VLOOKUP($A35,flows!$A$2:$J$4985,G$2,FALSE)</f>
        <v>#N/A</v>
      </c>
      <c r="H35" s="96" t="e">
        <f>VLOOKUP($A35,flows!$A$2:$J$4985,H$2,FALSE)</f>
        <v>#N/A</v>
      </c>
      <c r="I35" s="96" t="e">
        <f>VLOOKUP($A35,flows!$A$2:$J$4985,I$2,FALSE)</f>
        <v>#N/A</v>
      </c>
      <c r="J35" s="96" t="e">
        <f>VLOOKUP($A35,flows!$A$2:$J$4985,J$2,FALSE)</f>
        <v>#N/A</v>
      </c>
      <c r="M35" s="40" t="s">
        <v>2593</v>
      </c>
      <c r="N35" s="92"/>
      <c r="O35" s="96">
        <f>VLOOKUP($M35,flows!$A$2:$J$4985,O$2,FALSE)</f>
        <v>24754.00606815498</v>
      </c>
      <c r="P35" s="96">
        <f>VLOOKUP($M35,flows!$A$2:$J$4985,P$2,FALSE)</f>
        <v>0</v>
      </c>
      <c r="Q35" s="96">
        <f>VLOOKUP($M35,flows!$A$2:$J$4985,Q$2,FALSE)</f>
        <v>0.73661520885552578</v>
      </c>
      <c r="R35" s="96">
        <f>VLOOKUP($M35,flows!$A$2:$J$4985,R$2,FALSE)</f>
        <v>4.0683627670837098E-3</v>
      </c>
      <c r="S35" s="96">
        <f>VLOOKUP($M35,flows!$A$2:$J$4985,S$2,FALSE)</f>
        <v>4.4602589311861507E-3</v>
      </c>
      <c r="T35" s="96">
        <f>VLOOKUP($M35,flows!$A$2:$J$4985,T$2,FALSE)</f>
        <v>3.2223217939971192E-4</v>
      </c>
      <c r="U35" s="96">
        <f>VLOOKUP($M35,flows!$A$2:$J$4985,U$2,FALSE)</f>
        <v>24714.547177744938</v>
      </c>
      <c r="V35" s="96">
        <f>VLOOKUP($M35,flows!$A$2:$J$4985,V$2,FALSE)</f>
        <v>0</v>
      </c>
    </row>
    <row r="36" spans="1:22" x14ac:dyDescent="0.35">
      <c r="A36" s="40" t="s">
        <v>819</v>
      </c>
      <c r="B36" s="92"/>
      <c r="C36" s="96" t="e">
        <f>VLOOKUP($A36,flows!$A$2:$J$4985,C$2,FALSE)</f>
        <v>#N/A</v>
      </c>
      <c r="D36" s="96" t="e">
        <f>VLOOKUP($A36,flows!$A$2:$J$4985,D$2,FALSE)</f>
        <v>#N/A</v>
      </c>
      <c r="E36" s="96" t="e">
        <f>VLOOKUP($A36,flows!$A$2:$J$4985,E$2,FALSE)</f>
        <v>#N/A</v>
      </c>
      <c r="F36" s="96" t="e">
        <f>VLOOKUP($A36,flows!$A$2:$J$4985,F$2,FALSE)</f>
        <v>#N/A</v>
      </c>
      <c r="G36" s="96" t="e">
        <f>VLOOKUP($A36,flows!$A$2:$J$4985,G$2,FALSE)</f>
        <v>#N/A</v>
      </c>
      <c r="H36" s="96" t="e">
        <f>VLOOKUP($A36,flows!$A$2:$J$4985,H$2,FALSE)</f>
        <v>#N/A</v>
      </c>
      <c r="I36" s="96" t="e">
        <f>VLOOKUP($A36,flows!$A$2:$J$4985,I$2,FALSE)</f>
        <v>#N/A</v>
      </c>
      <c r="J36" s="96" t="e">
        <f>VLOOKUP($A36,flows!$A$2:$J$4985,J$2,FALSE)</f>
        <v>#N/A</v>
      </c>
      <c r="M36" s="40" t="s">
        <v>2594</v>
      </c>
      <c r="N36" s="92"/>
      <c r="O36" s="96">
        <f>VLOOKUP($M36,flows!$A$2:$J$4985,O$2,FALSE)</f>
        <v>2.5681816478003452E-3</v>
      </c>
      <c r="P36" s="96">
        <f>VLOOKUP($M36,flows!$A$2:$J$4985,P$2,FALSE)</f>
        <v>0</v>
      </c>
      <c r="Q36" s="96">
        <f>VLOOKUP($M36,flows!$A$2:$J$4985,Q$2,FALSE)</f>
        <v>0.28801157532834187</v>
      </c>
      <c r="R36" s="96">
        <f>VLOOKUP($M36,flows!$A$2:$J$4985,R$2,FALSE)</f>
        <v>1.031309964235345E-4</v>
      </c>
      <c r="S36" s="96">
        <f>VLOOKUP($M36,flows!$A$2:$J$4985,S$2,FALSE)</f>
        <v>2.8806912517132649E-5</v>
      </c>
      <c r="T36" s="96">
        <f>VLOOKUP($M36,flows!$A$2:$J$4985,T$2,FALSE)</f>
        <v>4.0694767006365541E-6</v>
      </c>
      <c r="U36" s="96">
        <f>VLOOKUP($M36,flows!$A$2:$J$4985,U$2,FALSE)</f>
        <v>4.7567494308064657E-6</v>
      </c>
      <c r="V36" s="96">
        <f>VLOOKUP($M36,flows!$A$2:$J$4985,V$2,FALSE)</f>
        <v>0</v>
      </c>
    </row>
    <row r="37" spans="1:22" x14ac:dyDescent="0.35">
      <c r="A37" s="40" t="s">
        <v>820</v>
      </c>
      <c r="B37" s="92"/>
      <c r="C37" s="96" t="e">
        <f>VLOOKUP($A37,flows!$A$2:$J$4985,C$2,FALSE)</f>
        <v>#N/A</v>
      </c>
      <c r="D37" s="96" t="e">
        <f>VLOOKUP($A37,flows!$A$2:$J$4985,D$2,FALSE)</f>
        <v>#N/A</v>
      </c>
      <c r="E37" s="96" t="e">
        <f>VLOOKUP($A37,flows!$A$2:$J$4985,E$2,FALSE)</f>
        <v>#N/A</v>
      </c>
      <c r="F37" s="96" t="e">
        <f>VLOOKUP($A37,flows!$A$2:$J$4985,F$2,FALSE)</f>
        <v>#N/A</v>
      </c>
      <c r="G37" s="96" t="e">
        <f>VLOOKUP($A37,flows!$A$2:$J$4985,G$2,FALSE)</f>
        <v>#N/A</v>
      </c>
      <c r="H37" s="96" t="e">
        <f>VLOOKUP($A37,flows!$A$2:$J$4985,H$2,FALSE)</f>
        <v>#N/A</v>
      </c>
      <c r="I37" s="96" t="e">
        <f>VLOOKUP($A37,flows!$A$2:$J$4985,I$2,FALSE)</f>
        <v>#N/A</v>
      </c>
      <c r="J37" s="96" t="e">
        <f>VLOOKUP($A37,flows!$A$2:$J$4985,J$2,FALSE)</f>
        <v>#N/A</v>
      </c>
      <c r="M37" s="40" t="s">
        <v>2597</v>
      </c>
      <c r="N37" s="92"/>
      <c r="O37" s="96">
        <f>VLOOKUP($M37,flows!$A$2:$J$4985,O$2,FALSE)</f>
        <v>6.3976184353030374E-2</v>
      </c>
      <c r="P37" s="96">
        <f>VLOOKUP($M37,flows!$A$2:$J$4985,P$2,FALSE)</f>
        <v>2512.1927982145121</v>
      </c>
      <c r="Q37" s="96">
        <f>VLOOKUP($M37,flows!$A$2:$J$4985,Q$2,FALSE)</f>
        <v>2655.6815265115179</v>
      </c>
      <c r="R37" s="96">
        <f>VLOOKUP($M37,flows!$A$2:$J$4985,R$2,FALSE)</f>
        <v>788.3019294795406</v>
      </c>
      <c r="S37" s="96">
        <f>VLOOKUP($M37,flows!$A$2:$J$4985,S$2,FALSE)</f>
        <v>7.4433592913400607E-3</v>
      </c>
      <c r="T37" s="96">
        <f>VLOOKUP($M37,flows!$A$2:$J$4985,T$2,FALSE)</f>
        <v>1.064038092511176E-3</v>
      </c>
      <c r="U37" s="96">
        <f>VLOOKUP($M37,flows!$A$2:$J$4985,U$2,FALSE)</f>
        <v>7.1969262658185928E-4</v>
      </c>
      <c r="V37" s="96">
        <f>VLOOKUP($M37,flows!$A$2:$J$4985,V$2,FALSE)</f>
        <v>0</v>
      </c>
    </row>
    <row r="38" spans="1:22" x14ac:dyDescent="0.35">
      <c r="A38" s="40" t="s">
        <v>821</v>
      </c>
      <c r="B38" s="92"/>
      <c r="C38" s="96" t="e">
        <f>VLOOKUP($A38,flows!$A$2:$J$4985,C$2,FALSE)</f>
        <v>#N/A</v>
      </c>
      <c r="D38" s="96" t="e">
        <f>VLOOKUP($A38,flows!$A$2:$J$4985,D$2,FALSE)</f>
        <v>#N/A</v>
      </c>
      <c r="E38" s="96" t="e">
        <f>VLOOKUP($A38,flows!$A$2:$J$4985,E$2,FALSE)</f>
        <v>#N/A</v>
      </c>
      <c r="F38" s="96" t="e">
        <f>VLOOKUP($A38,flows!$A$2:$J$4985,F$2,FALSE)</f>
        <v>#N/A</v>
      </c>
      <c r="G38" s="96" t="e">
        <f>VLOOKUP($A38,flows!$A$2:$J$4985,G$2,FALSE)</f>
        <v>#N/A</v>
      </c>
      <c r="H38" s="96" t="e">
        <f>VLOOKUP($A38,flows!$A$2:$J$4985,H$2,FALSE)</f>
        <v>#N/A</v>
      </c>
      <c r="I38" s="96" t="e">
        <f>VLOOKUP($A38,flows!$A$2:$J$4985,I$2,FALSE)</f>
        <v>#N/A</v>
      </c>
      <c r="J38" s="96" t="e">
        <f>VLOOKUP($A38,flows!$A$2:$J$4985,J$2,FALSE)</f>
        <v>#N/A</v>
      </c>
      <c r="M38" s="40" t="s">
        <v>4145</v>
      </c>
      <c r="N38" s="92"/>
      <c r="O38" s="96">
        <f>VLOOKUP($M38,flows!$A$2:$J$4985,O$2,FALSE)</f>
        <v>3.7037690324618402E-4</v>
      </c>
      <c r="P38" s="96">
        <f>VLOOKUP($M38,flows!$A$2:$J$4985,P$2,FALSE)</f>
        <v>0</v>
      </c>
      <c r="Q38" s="96">
        <f>VLOOKUP($M38,flows!$A$2:$J$4985,Q$2,FALSE)</f>
        <v>0.53641749141493344</v>
      </c>
      <c r="R38" s="96">
        <f>VLOOKUP($M38,flows!$A$2:$J$4985,R$2,FALSE)</f>
        <v>4.6176676952852089E-4</v>
      </c>
      <c r="S38" s="96">
        <f>VLOOKUP($M38,flows!$A$2:$J$4985,S$2,FALSE)</f>
        <v>1.5476229981382469E-4</v>
      </c>
      <c r="T38" s="96">
        <f>VLOOKUP($M38,flows!$A$2:$J$4985,T$2,FALSE)</f>
        <v>5.7016621373264621E-5</v>
      </c>
      <c r="U38" s="96">
        <f>VLOOKUP($M38,flows!$A$2:$J$4985,U$2,FALSE)</f>
        <v>2.604180713347343E-6</v>
      </c>
      <c r="V38" s="96">
        <f>VLOOKUP($M38,flows!$A$2:$J$4985,V$2,FALSE)</f>
        <v>0</v>
      </c>
    </row>
    <row r="39" spans="1:22" x14ac:dyDescent="0.35">
      <c r="A39" s="40" t="s">
        <v>822</v>
      </c>
      <c r="B39" s="92"/>
      <c r="C39" s="96" t="e">
        <f>VLOOKUP($A39,flows!$A$2:$J$4985,C$2,FALSE)</f>
        <v>#N/A</v>
      </c>
      <c r="D39" s="96" t="e">
        <f>VLOOKUP($A39,flows!$A$2:$J$4985,D$2,FALSE)</f>
        <v>#N/A</v>
      </c>
      <c r="E39" s="96" t="e">
        <f>VLOOKUP($A39,flows!$A$2:$J$4985,E$2,FALSE)</f>
        <v>#N/A</v>
      </c>
      <c r="F39" s="96" t="e">
        <f>VLOOKUP($A39,flows!$A$2:$J$4985,F$2,FALSE)</f>
        <v>#N/A</v>
      </c>
      <c r="G39" s="96" t="e">
        <f>VLOOKUP($A39,flows!$A$2:$J$4985,G$2,FALSE)</f>
        <v>#N/A</v>
      </c>
      <c r="H39" s="96" t="e">
        <f>VLOOKUP($A39,flows!$A$2:$J$4985,H$2,FALSE)</f>
        <v>#N/A</v>
      </c>
      <c r="I39" s="96" t="e">
        <f>VLOOKUP($A39,flows!$A$2:$J$4985,I$2,FALSE)</f>
        <v>#N/A</v>
      </c>
      <c r="J39" s="96" t="e">
        <f>VLOOKUP($A39,flows!$A$2:$J$4985,J$2,FALSE)</f>
        <v>#N/A</v>
      </c>
      <c r="M39" s="40" t="s">
        <v>2595</v>
      </c>
      <c r="N39" s="92"/>
      <c r="O39" s="96">
        <f>VLOOKUP($M39,flows!$A$2:$J$4985,O$2,FALSE)</f>
        <v>7.9706497892875576E-4</v>
      </c>
      <c r="P39" s="96">
        <f>VLOOKUP($M39,flows!$A$2:$J$4985,P$2,FALSE)</f>
        <v>122.0406723703766</v>
      </c>
      <c r="Q39" s="96">
        <f>VLOOKUP($M39,flows!$A$2:$J$4985,Q$2,FALSE)</f>
        <v>127.563367780029</v>
      </c>
      <c r="R39" s="96">
        <f>VLOOKUP($M39,flows!$A$2:$J$4985,R$2,FALSE)</f>
        <v>7.5949246595208427E-4</v>
      </c>
      <c r="S39" s="96">
        <f>VLOOKUP($M39,flows!$A$2:$J$4985,S$2,FALSE)</f>
        <v>2.5322270915387022E-4</v>
      </c>
      <c r="T39" s="96">
        <f>VLOOKUP($M39,flows!$A$2:$J$4985,T$2,FALSE)</f>
        <v>6.8546637538640076E-5</v>
      </c>
      <c r="U39" s="96">
        <f>VLOOKUP($M39,flows!$A$2:$J$4985,U$2,FALSE)</f>
        <v>4.1086225363883912E-6</v>
      </c>
      <c r="V39" s="96">
        <f>VLOOKUP($M39,flows!$A$2:$J$4985,V$2,FALSE)</f>
        <v>0</v>
      </c>
    </row>
    <row r="40" spans="1:22" x14ac:dyDescent="0.35">
      <c r="A40" s="40" t="s">
        <v>823</v>
      </c>
      <c r="B40" s="92"/>
      <c r="C40" s="96" t="e">
        <f>VLOOKUP($A40,flows!$A$2:$J$4985,C$2,FALSE)</f>
        <v>#N/A</v>
      </c>
      <c r="D40" s="96" t="e">
        <f>VLOOKUP($A40,flows!$A$2:$J$4985,D$2,FALSE)</f>
        <v>#N/A</v>
      </c>
      <c r="E40" s="96" t="e">
        <f>VLOOKUP($A40,flows!$A$2:$J$4985,E$2,FALSE)</f>
        <v>#N/A</v>
      </c>
      <c r="F40" s="96" t="e">
        <f>VLOOKUP($A40,flows!$A$2:$J$4985,F$2,FALSE)</f>
        <v>#N/A</v>
      </c>
      <c r="G40" s="96" t="e">
        <f>VLOOKUP($A40,flows!$A$2:$J$4985,G$2,FALSE)</f>
        <v>#N/A</v>
      </c>
      <c r="H40" s="96" t="e">
        <f>VLOOKUP($A40,flows!$A$2:$J$4985,H$2,FALSE)</f>
        <v>#N/A</v>
      </c>
      <c r="I40" s="96" t="e">
        <f>VLOOKUP($A40,flows!$A$2:$J$4985,I$2,FALSE)</f>
        <v>#N/A</v>
      </c>
      <c r="J40" s="96" t="e">
        <f>VLOOKUP($A40,flows!$A$2:$J$4985,J$2,FALSE)</f>
        <v>#N/A</v>
      </c>
      <c r="M40" s="40" t="s">
        <v>4344</v>
      </c>
      <c r="N40" s="92"/>
      <c r="O40" s="96">
        <f>VLOOKUP($M40,flows!$A$2:$J$4985,O$2,FALSE)</f>
        <v>9800.5319517464595</v>
      </c>
      <c r="P40" s="96">
        <f>VLOOKUP($M40,flows!$A$2:$J$4985,P$2,FALSE)</f>
        <v>0</v>
      </c>
      <c r="Q40" s="96">
        <f>VLOOKUP($M40,flows!$A$2:$J$4985,Q$2,FALSE)</f>
        <v>1.152538620010497E-4</v>
      </c>
      <c r="R40" s="96">
        <f>VLOOKUP($M40,flows!$A$2:$J$4985,R$2,FALSE)</f>
        <v>755.12603447194886</v>
      </c>
      <c r="S40" s="96">
        <f>VLOOKUP($M40,flows!$A$2:$J$4985,S$2,FALSE)</f>
        <v>2828.7713181294471</v>
      </c>
      <c r="T40" s="96">
        <f>VLOOKUP($M40,flows!$A$2:$J$4985,T$2,FALSE)</f>
        <v>6309.8064327091524</v>
      </c>
      <c r="U40" s="96">
        <f>VLOOKUP($M40,flows!$A$2:$J$4985,U$2,FALSE)</f>
        <v>9771.6161599888146</v>
      </c>
      <c r="V40" s="96">
        <f>VLOOKUP($M40,flows!$A$2:$J$4985,V$2,FALSE)</f>
        <v>0</v>
      </c>
    </row>
    <row r="41" spans="1:22" x14ac:dyDescent="0.35">
      <c r="A41" s="40" t="s">
        <v>824</v>
      </c>
      <c r="B41" s="92"/>
      <c r="C41" s="96" t="e">
        <f>VLOOKUP($A41,flows!$A$2:$J$4985,C$2,FALSE)</f>
        <v>#N/A</v>
      </c>
      <c r="D41" s="96" t="e">
        <f>VLOOKUP($A41,flows!$A$2:$J$4985,D$2,FALSE)</f>
        <v>#N/A</v>
      </c>
      <c r="E41" s="96" t="e">
        <f>VLOOKUP($A41,flows!$A$2:$J$4985,E$2,FALSE)</f>
        <v>#N/A</v>
      </c>
      <c r="F41" s="96" t="e">
        <f>VLOOKUP($A41,flows!$A$2:$J$4985,F$2,FALSE)</f>
        <v>#N/A</v>
      </c>
      <c r="G41" s="96" t="e">
        <f>VLOOKUP($A41,flows!$A$2:$J$4985,G$2,FALSE)</f>
        <v>#N/A</v>
      </c>
      <c r="H41" s="96" t="e">
        <f>VLOOKUP($A41,flows!$A$2:$J$4985,H$2,FALSE)</f>
        <v>#N/A</v>
      </c>
      <c r="I41" s="96" t="e">
        <f>VLOOKUP($A41,flows!$A$2:$J$4985,I$2,FALSE)</f>
        <v>#N/A</v>
      </c>
      <c r="J41" s="96" t="e">
        <f>VLOOKUP($A41,flows!$A$2:$J$4985,J$2,FALSE)</f>
        <v>#N/A</v>
      </c>
      <c r="M41" s="40" t="s">
        <v>2596</v>
      </c>
      <c r="N41" s="92"/>
      <c r="O41" s="96">
        <f>VLOOKUP($M41,flows!$A$2:$J$4985,O$2,FALSE)</f>
        <v>18.126751549723121</v>
      </c>
      <c r="P41" s="96">
        <f>VLOOKUP($M41,flows!$A$2:$J$4985,P$2,FALSE)</f>
        <v>0</v>
      </c>
      <c r="Q41" s="96">
        <f>VLOOKUP($M41,flows!$A$2:$J$4985,Q$2,FALSE)</f>
        <v>6.7793703718837472E-2</v>
      </c>
      <c r="R41" s="96">
        <f>VLOOKUP($M41,flows!$A$2:$J$4985,R$2,FALSE)</f>
        <v>1.6022977992310501E-4</v>
      </c>
      <c r="S41" s="96">
        <f>VLOOKUP($M41,flows!$A$2:$J$4985,S$2,FALSE)</f>
        <v>6.2972791540316439E-5</v>
      </c>
      <c r="T41" s="96">
        <f>VLOOKUP($M41,flows!$A$2:$J$4985,T$2,FALSE)</f>
        <v>7.0336580276762563E-6</v>
      </c>
      <c r="U41" s="96">
        <f>VLOOKUP($M41,flows!$A$2:$J$4985,U$2,FALSE)</f>
        <v>18.125639146643518</v>
      </c>
      <c r="V41" s="96">
        <f>VLOOKUP($M41,flows!$A$2:$J$4985,V$2,FALSE)</f>
        <v>0</v>
      </c>
    </row>
    <row r="42" spans="1:22" x14ac:dyDescent="0.35">
      <c r="A42" s="40" t="s">
        <v>825</v>
      </c>
      <c r="B42" s="92"/>
      <c r="C42" s="96" t="e">
        <f>VLOOKUP($A42,flows!$A$2:$J$4985,C$2,FALSE)</f>
        <v>#N/A</v>
      </c>
      <c r="D42" s="96" t="e">
        <f>VLOOKUP($A42,flows!$A$2:$J$4985,D$2,FALSE)</f>
        <v>#N/A</v>
      </c>
      <c r="E42" s="96" t="e">
        <f>VLOOKUP($A42,flows!$A$2:$J$4985,E$2,FALSE)</f>
        <v>#N/A</v>
      </c>
      <c r="F42" s="96" t="e">
        <f>VLOOKUP($A42,flows!$A$2:$J$4985,F$2,FALSE)</f>
        <v>#N/A</v>
      </c>
      <c r="G42" s="96" t="e">
        <f>VLOOKUP($A42,flows!$A$2:$J$4985,G$2,FALSE)</f>
        <v>#N/A</v>
      </c>
      <c r="H42" s="96" t="e">
        <f>VLOOKUP($A42,flows!$A$2:$J$4985,H$2,FALSE)</f>
        <v>#N/A</v>
      </c>
      <c r="I42" s="96" t="e">
        <f>VLOOKUP($A42,flows!$A$2:$J$4985,I$2,FALSE)</f>
        <v>#N/A</v>
      </c>
      <c r="J42" s="96" t="e">
        <f>VLOOKUP($A42,flows!$A$2:$J$4985,J$2,FALSE)</f>
        <v>#N/A</v>
      </c>
      <c r="M42" s="40" t="s">
        <v>4147</v>
      </c>
      <c r="N42" s="92"/>
      <c r="O42" s="96">
        <f>VLOOKUP($M42,flows!$A$2:$J$4985,O$2,FALSE)</f>
        <v>54.130875044198277</v>
      </c>
      <c r="P42" s="96">
        <f>VLOOKUP($M42,flows!$A$2:$J$4985,P$2,FALSE)</f>
        <v>0</v>
      </c>
      <c r="Q42" s="96">
        <f>VLOOKUP($M42,flows!$A$2:$J$4985,Q$2,FALSE)</f>
        <v>0.69825695688208944</v>
      </c>
      <c r="R42" s="96">
        <f>VLOOKUP($M42,flows!$A$2:$J$4985,R$2,FALSE)</f>
        <v>2.58274741014254E-3</v>
      </c>
      <c r="S42" s="96">
        <f>VLOOKUP($M42,flows!$A$2:$J$4985,S$2,FALSE)</f>
        <v>1.2723369430225661E-3</v>
      </c>
      <c r="T42" s="96">
        <f>VLOOKUP($M42,flows!$A$2:$J$4985,T$2,FALSE)</f>
        <v>1285.215821332125</v>
      </c>
      <c r="U42" s="96">
        <f>VLOOKUP($M42,flows!$A$2:$J$4985,U$2,FALSE)</f>
        <v>40.594135460190671</v>
      </c>
      <c r="V42" s="96">
        <f>VLOOKUP($M42,flows!$A$2:$J$4985,V$2,FALSE)</f>
        <v>0</v>
      </c>
    </row>
    <row r="43" spans="1:22" x14ac:dyDescent="0.35">
      <c r="A43" s="40" t="s">
        <v>826</v>
      </c>
      <c r="B43" s="92"/>
      <c r="C43" s="96" t="e">
        <f>VLOOKUP($A43,flows!$A$2:$J$4985,C$2,FALSE)</f>
        <v>#N/A</v>
      </c>
      <c r="D43" s="96" t="e">
        <f>VLOOKUP($A43,flows!$A$2:$J$4985,D$2,FALSE)</f>
        <v>#N/A</v>
      </c>
      <c r="E43" s="96" t="e">
        <f>VLOOKUP($A43,flows!$A$2:$J$4985,E$2,FALSE)</f>
        <v>#N/A</v>
      </c>
      <c r="F43" s="96" t="e">
        <f>VLOOKUP($A43,flows!$A$2:$J$4985,F$2,FALSE)</f>
        <v>#N/A</v>
      </c>
      <c r="G43" s="96" t="e">
        <f>VLOOKUP($A43,flows!$A$2:$J$4985,G$2,FALSE)</f>
        <v>#N/A</v>
      </c>
      <c r="H43" s="96" t="e">
        <f>VLOOKUP($A43,flows!$A$2:$J$4985,H$2,FALSE)</f>
        <v>#N/A</v>
      </c>
      <c r="I43" s="96" t="e">
        <f>VLOOKUP($A43,flows!$A$2:$J$4985,I$2,FALSE)</f>
        <v>#N/A</v>
      </c>
      <c r="J43" s="96" t="e">
        <f>VLOOKUP($A43,flows!$A$2:$J$4985,J$2,FALSE)</f>
        <v>#N/A</v>
      </c>
      <c r="M43" s="40" t="s">
        <v>3930</v>
      </c>
      <c r="N43" s="92"/>
      <c r="O43" s="96">
        <f>VLOOKUP($M43,flows!$A$2:$J$4985,O$2,FALSE)</f>
        <v>42.701817575834362</v>
      </c>
      <c r="P43" s="96">
        <f>VLOOKUP($M43,flows!$A$2:$J$4985,P$2,FALSE)</f>
        <v>1260.4936855359999</v>
      </c>
      <c r="Q43" s="96">
        <f>VLOOKUP($M43,flows!$A$2:$J$4985,Q$2,FALSE)</f>
        <v>1326.6193243436751</v>
      </c>
      <c r="R43" s="96">
        <f>VLOOKUP($M43,flows!$A$2:$J$4985,R$2,FALSE)</f>
        <v>1329.259600293911</v>
      </c>
      <c r="S43" s="96">
        <f>VLOOKUP($M43,flows!$A$2:$J$4985,S$2,FALSE)</f>
        <v>1176.858848619687</v>
      </c>
      <c r="T43" s="96">
        <f>VLOOKUP($M43,flows!$A$2:$J$4985,T$2,FALSE)</f>
        <v>1066.188038257957</v>
      </c>
      <c r="U43" s="96">
        <f>VLOOKUP($M43,flows!$A$2:$J$4985,U$2,FALSE)</f>
        <v>25.48282558981742</v>
      </c>
      <c r="V43" s="96">
        <f>VLOOKUP($M43,flows!$A$2:$J$4985,V$2,FALSE)</f>
        <v>0</v>
      </c>
    </row>
    <row r="44" spans="1:22" x14ac:dyDescent="0.35">
      <c r="A44" s="40" t="s">
        <v>827</v>
      </c>
      <c r="B44" s="92"/>
      <c r="C44" s="96" t="e">
        <f>VLOOKUP($A44,flows!$A$2:$J$4985,C$2,FALSE)</f>
        <v>#N/A</v>
      </c>
      <c r="D44" s="96" t="e">
        <f>VLOOKUP($A44,flows!$A$2:$J$4985,D$2,FALSE)</f>
        <v>#N/A</v>
      </c>
      <c r="E44" s="96" t="e">
        <f>VLOOKUP($A44,flows!$A$2:$J$4985,E$2,FALSE)</f>
        <v>#N/A</v>
      </c>
      <c r="F44" s="96" t="e">
        <f>VLOOKUP($A44,flows!$A$2:$J$4985,F$2,FALSE)</f>
        <v>#N/A</v>
      </c>
      <c r="G44" s="96" t="e">
        <f>VLOOKUP($A44,flows!$A$2:$J$4985,G$2,FALSE)</f>
        <v>#N/A</v>
      </c>
      <c r="H44" s="96" t="e">
        <f>VLOOKUP($A44,flows!$A$2:$J$4985,H$2,FALSE)</f>
        <v>#N/A</v>
      </c>
      <c r="I44" s="96" t="e">
        <f>VLOOKUP($A44,flows!$A$2:$J$4985,I$2,FALSE)</f>
        <v>#N/A</v>
      </c>
      <c r="J44" s="96" t="e">
        <f>VLOOKUP($A44,flows!$A$2:$J$4985,J$2,FALSE)</f>
        <v>#N/A</v>
      </c>
      <c r="M44" s="40" t="s">
        <v>3931</v>
      </c>
      <c r="N44" s="92"/>
      <c r="O44" s="96">
        <f>VLOOKUP($M44,flows!$A$2:$J$4985,O$2,FALSE)</f>
        <v>39262.487954058357</v>
      </c>
      <c r="P44" s="96">
        <f>VLOOKUP($M44,flows!$A$2:$J$4985,P$2,FALSE)</f>
        <v>0</v>
      </c>
      <c r="Q44" s="96">
        <f>VLOOKUP($M44,flows!$A$2:$J$4985,Q$2,FALSE)</f>
        <v>1.40110818978799</v>
      </c>
      <c r="R44" s="96">
        <f>VLOOKUP($M44,flows!$A$2:$J$4985,R$2,FALSE)</f>
        <v>394.09253541686053</v>
      </c>
      <c r="S44" s="96">
        <f>VLOOKUP($M44,flows!$A$2:$J$4985,S$2,FALSE)</f>
        <v>3576.8511009840608</v>
      </c>
      <c r="T44" s="96">
        <f>VLOOKUP($M44,flows!$A$2:$J$4985,T$2,FALSE)</f>
        <v>1.0594888656842371E-3</v>
      </c>
      <c r="U44" s="96">
        <f>VLOOKUP($M44,flows!$A$2:$J$4985,U$2,FALSE)</f>
        <v>40169.593012550104</v>
      </c>
      <c r="V44" s="96">
        <f>VLOOKUP($M44,flows!$A$2:$J$4985,V$2,FALSE)</f>
        <v>0</v>
      </c>
    </row>
    <row r="45" spans="1:22" x14ac:dyDescent="0.35">
      <c r="A45" s="40" t="s">
        <v>828</v>
      </c>
      <c r="B45" s="92"/>
      <c r="C45" s="96" t="e">
        <f>VLOOKUP($A45,flows!$A$2:$J$4985,C$2,FALSE)</f>
        <v>#N/A</v>
      </c>
      <c r="D45" s="96" t="e">
        <f>VLOOKUP($A45,flows!$A$2:$J$4985,D$2,FALSE)</f>
        <v>#N/A</v>
      </c>
      <c r="E45" s="96" t="e">
        <f>VLOOKUP($A45,flows!$A$2:$J$4985,E$2,FALSE)</f>
        <v>#N/A</v>
      </c>
      <c r="F45" s="96" t="e">
        <f>VLOOKUP($A45,flows!$A$2:$J$4985,F$2,FALSE)</f>
        <v>#N/A</v>
      </c>
      <c r="G45" s="96" t="e">
        <f>VLOOKUP($A45,flows!$A$2:$J$4985,G$2,FALSE)</f>
        <v>#N/A</v>
      </c>
      <c r="H45" s="96" t="e">
        <f>VLOOKUP($A45,flows!$A$2:$J$4985,H$2,FALSE)</f>
        <v>#N/A</v>
      </c>
      <c r="I45" s="96" t="e">
        <f>VLOOKUP($A45,flows!$A$2:$J$4985,I$2,FALSE)</f>
        <v>#N/A</v>
      </c>
      <c r="J45" s="96" t="e">
        <f>VLOOKUP($A45,flows!$A$2:$J$4985,J$2,FALSE)</f>
        <v>#N/A</v>
      </c>
      <c r="M45" s="40" t="s">
        <v>3983</v>
      </c>
      <c r="N45" s="92"/>
      <c r="O45" s="96">
        <f>VLOOKUP($M45,flows!$A$2:$J$4985,O$2,FALSE)</f>
        <v>394.22459428053332</v>
      </c>
      <c r="P45" s="96">
        <f>VLOOKUP($M45,flows!$A$2:$J$4985,P$2,FALSE)</f>
        <v>0</v>
      </c>
      <c r="Q45" s="96">
        <f>VLOOKUP($M45,flows!$A$2:$J$4985,Q$2,FALSE)</f>
        <v>2.5487253887334641E-6</v>
      </c>
      <c r="R45" s="96">
        <f>VLOOKUP($M45,flows!$A$2:$J$4985,R$2,FALSE)</f>
        <v>4.1003570800233202E-9</v>
      </c>
      <c r="S45" s="96">
        <f>VLOOKUP($M45,flows!$A$2:$J$4985,S$2,FALSE)</f>
        <v>9.4057131697178074E-9</v>
      </c>
      <c r="T45" s="96">
        <f>VLOOKUP($M45,flows!$A$2:$J$4985,T$2,FALSE)</f>
        <v>359.88561064731277</v>
      </c>
      <c r="U45" s="96">
        <f>VLOOKUP($M45,flows!$A$2:$J$4985,U$2,FALSE)</f>
        <v>394.22457204240118</v>
      </c>
      <c r="V45" s="96">
        <f>VLOOKUP($M45,flows!$A$2:$J$4985,V$2,FALSE)</f>
        <v>0</v>
      </c>
    </row>
    <row r="46" spans="1:22" x14ac:dyDescent="0.35">
      <c r="A46" s="40" t="s">
        <v>829</v>
      </c>
      <c r="B46" s="92"/>
      <c r="C46" s="96" t="e">
        <f>VLOOKUP($A46,flows!$A$2:$J$4985,C$2,FALSE)</f>
        <v>#N/A</v>
      </c>
      <c r="D46" s="96" t="e">
        <f>VLOOKUP($A46,flows!$A$2:$J$4985,D$2,FALSE)</f>
        <v>#N/A</v>
      </c>
      <c r="E46" s="96" t="e">
        <f>VLOOKUP($A46,flows!$A$2:$J$4985,E$2,FALSE)</f>
        <v>#N/A</v>
      </c>
      <c r="F46" s="96" t="e">
        <f>VLOOKUP($A46,flows!$A$2:$J$4985,F$2,FALSE)</f>
        <v>#N/A</v>
      </c>
      <c r="G46" s="96" t="e">
        <f>VLOOKUP($A46,flows!$A$2:$J$4985,G$2,FALSE)</f>
        <v>#N/A</v>
      </c>
      <c r="H46" s="96" t="e">
        <f>VLOOKUP($A46,flows!$A$2:$J$4985,H$2,FALSE)</f>
        <v>#N/A</v>
      </c>
      <c r="I46" s="96" t="e">
        <f>VLOOKUP($A46,flows!$A$2:$J$4985,I$2,FALSE)</f>
        <v>#N/A</v>
      </c>
      <c r="J46" s="96" t="e">
        <f>VLOOKUP($A46,flows!$A$2:$J$4985,J$2,FALSE)</f>
        <v>#N/A</v>
      </c>
      <c r="M46" s="40" t="s">
        <v>3984</v>
      </c>
      <c r="N46" s="92"/>
      <c r="O46" s="96">
        <f>VLOOKUP($M46,flows!$A$2:$J$4985,O$2,FALSE)</f>
        <v>1.9055911422199889E-4</v>
      </c>
      <c r="P46" s="96">
        <f>VLOOKUP($M46,flows!$A$2:$J$4985,P$2,FALSE)</f>
        <v>0</v>
      </c>
      <c r="Q46" s="96">
        <f>VLOOKUP($M46,flows!$A$2:$J$4985,Q$2,FALSE)</f>
        <v>5.6195081887828378E-6</v>
      </c>
      <c r="R46" s="96">
        <f>VLOOKUP($M46,flows!$A$2:$J$4985,R$2,FALSE)</f>
        <v>1.055815935408965E-8</v>
      </c>
      <c r="S46" s="96">
        <f>VLOOKUP($M46,flows!$A$2:$J$4985,S$2,FALSE)</f>
        <v>1.6342277725675351E-8</v>
      </c>
      <c r="T46" s="96">
        <f>VLOOKUP($M46,flows!$A$2:$J$4985,T$2,FALSE)</f>
        <v>1.4740342977600579E-6</v>
      </c>
      <c r="U46" s="96">
        <f>VLOOKUP($M46,flows!$A$2:$J$4985,U$2,FALSE)</f>
        <v>5.7081735640857255E-7</v>
      </c>
      <c r="V46" s="96">
        <f>VLOOKUP($M46,flows!$A$2:$J$4985,V$2,FALSE)</f>
        <v>0</v>
      </c>
    </row>
    <row r="47" spans="1:22" x14ac:dyDescent="0.35">
      <c r="A47" s="40" t="s">
        <v>830</v>
      </c>
      <c r="B47" s="92"/>
      <c r="C47" s="96" t="e">
        <f>VLOOKUP($A47,flows!$A$2:$J$4985,C$2,FALSE)</f>
        <v>#N/A</v>
      </c>
      <c r="D47" s="96" t="e">
        <f>VLOOKUP($A47,flows!$A$2:$J$4985,D$2,FALSE)</f>
        <v>#N/A</v>
      </c>
      <c r="E47" s="96" t="e">
        <f>VLOOKUP($A47,flows!$A$2:$J$4985,E$2,FALSE)</f>
        <v>#N/A</v>
      </c>
      <c r="F47" s="96" t="e">
        <f>VLOOKUP($A47,flows!$A$2:$J$4985,F$2,FALSE)</f>
        <v>#N/A</v>
      </c>
      <c r="G47" s="96" t="e">
        <f>VLOOKUP($A47,flows!$A$2:$J$4985,G$2,FALSE)</f>
        <v>#N/A</v>
      </c>
      <c r="H47" s="96" t="e">
        <f>VLOOKUP($A47,flows!$A$2:$J$4985,H$2,FALSE)</f>
        <v>#N/A</v>
      </c>
      <c r="I47" s="96" t="e">
        <f>VLOOKUP($A47,flows!$A$2:$J$4985,I$2,FALSE)</f>
        <v>#N/A</v>
      </c>
      <c r="J47" s="96" t="e">
        <f>VLOOKUP($A47,flows!$A$2:$J$4985,J$2,FALSE)</f>
        <v>#N/A</v>
      </c>
      <c r="M47" s="40" t="s">
        <v>2877</v>
      </c>
      <c r="N47" s="92"/>
      <c r="O47" s="96">
        <f>VLOOKUP($M47,flows!$A$2:$J$4985,O$2,FALSE)</f>
        <v>919.68199053053877</v>
      </c>
      <c r="P47" s="96">
        <f>VLOOKUP($M47,flows!$A$2:$J$4985,P$2,FALSE)</f>
        <v>0</v>
      </c>
      <c r="Q47" s="96">
        <f>VLOOKUP($M47,flows!$A$2:$J$4985,Q$2,FALSE)</f>
        <v>3.1172560806065281E-3</v>
      </c>
      <c r="R47" s="96">
        <f>VLOOKUP($M47,flows!$A$2:$J$4985,R$2,FALSE)</f>
        <v>8.5357969499872604E-6</v>
      </c>
      <c r="S47" s="96">
        <f>VLOOKUP($M47,flows!$A$2:$J$4985,S$2,FALSE)</f>
        <v>4.9670050767779704E-6</v>
      </c>
      <c r="T47" s="96">
        <f>VLOOKUP($M47,flows!$A$2:$J$4985,T$2,FALSE)</f>
        <v>890.89414266379663</v>
      </c>
      <c r="U47" s="96">
        <f>VLOOKUP($M47,flows!$A$2:$J$4985,U$2,FALSE)</f>
        <v>1187.0062860631581</v>
      </c>
      <c r="V47" s="96">
        <f>VLOOKUP($M47,flows!$A$2:$J$4985,V$2,FALSE)</f>
        <v>0</v>
      </c>
    </row>
    <row r="48" spans="1:22" x14ac:dyDescent="0.35">
      <c r="A48" s="40" t="s">
        <v>831</v>
      </c>
      <c r="B48" s="92"/>
      <c r="C48" s="96" t="e">
        <f>VLOOKUP($A48,flows!$A$2:$J$4985,C$2,FALSE)</f>
        <v>#N/A</v>
      </c>
      <c r="D48" s="96" t="e">
        <f>VLOOKUP($A48,flows!$A$2:$J$4985,D$2,FALSE)</f>
        <v>#N/A</v>
      </c>
      <c r="E48" s="96" t="e">
        <f>VLOOKUP($A48,flows!$A$2:$J$4985,E$2,FALSE)</f>
        <v>#N/A</v>
      </c>
      <c r="F48" s="96" t="e">
        <f>VLOOKUP($A48,flows!$A$2:$J$4985,F$2,FALSE)</f>
        <v>#N/A</v>
      </c>
      <c r="G48" s="96" t="e">
        <f>VLOOKUP($A48,flows!$A$2:$J$4985,G$2,FALSE)</f>
        <v>#N/A</v>
      </c>
      <c r="H48" s="96" t="e">
        <f>VLOOKUP($A48,flows!$A$2:$J$4985,H$2,FALSE)</f>
        <v>#N/A</v>
      </c>
      <c r="I48" s="96" t="e">
        <f>VLOOKUP($A48,flows!$A$2:$J$4985,I$2,FALSE)</f>
        <v>#N/A</v>
      </c>
      <c r="J48" s="96" t="e">
        <f>VLOOKUP($A48,flows!$A$2:$J$4985,J$2,FALSE)</f>
        <v>#N/A</v>
      </c>
      <c r="M48" s="40" t="s">
        <v>4078</v>
      </c>
      <c r="N48" s="92"/>
      <c r="O48" s="96">
        <f>VLOOKUP($M48,flows!$A$2:$J$4985,O$2,FALSE)</f>
        <v>471.09967108361741</v>
      </c>
      <c r="P48" s="96">
        <f>VLOOKUP($M48,flows!$A$2:$J$4985,P$2,FALSE)</f>
        <v>5340.2272571732883</v>
      </c>
      <c r="Q48" s="96">
        <f>VLOOKUP($M48,flows!$A$2:$J$4985,Q$2,FALSE)</f>
        <v>5758.2531257755563</v>
      </c>
      <c r="R48" s="96">
        <f>VLOOKUP($M48,flows!$A$2:$J$4985,R$2,FALSE)</f>
        <v>5466.9041315814447</v>
      </c>
      <c r="S48" s="96">
        <f>VLOOKUP($M48,flows!$A$2:$J$4985,S$2,FALSE)</f>
        <v>4419.3504622962446</v>
      </c>
      <c r="T48" s="96">
        <f>VLOOKUP($M48,flows!$A$2:$J$4985,T$2,FALSE)</f>
        <v>1826.849820600574</v>
      </c>
      <c r="U48" s="96">
        <f>VLOOKUP($M48,flows!$A$2:$J$4985,U$2,FALSE)</f>
        <v>471.09469826850147</v>
      </c>
      <c r="V48" s="96">
        <f>VLOOKUP($M48,flows!$A$2:$J$4985,V$2,FALSE)</f>
        <v>0</v>
      </c>
    </row>
    <row r="49" spans="1:22" x14ac:dyDescent="0.35">
      <c r="A49" s="40" t="s">
        <v>832</v>
      </c>
      <c r="B49" s="92"/>
      <c r="C49" s="96" t="e">
        <f>VLOOKUP($A49,flows!$A$2:$J$4985,C$2,FALSE)</f>
        <v>#N/A</v>
      </c>
      <c r="D49" s="96" t="e">
        <f>VLOOKUP($A49,flows!$A$2:$J$4985,D$2,FALSE)</f>
        <v>#N/A</v>
      </c>
      <c r="E49" s="96" t="e">
        <f>VLOOKUP($A49,flows!$A$2:$J$4985,E$2,FALSE)</f>
        <v>#N/A</v>
      </c>
      <c r="F49" s="96" t="e">
        <f>VLOOKUP($A49,flows!$A$2:$J$4985,F$2,FALSE)</f>
        <v>#N/A</v>
      </c>
      <c r="G49" s="96" t="e">
        <f>VLOOKUP($A49,flows!$A$2:$J$4985,G$2,FALSE)</f>
        <v>#N/A</v>
      </c>
      <c r="H49" s="96" t="e">
        <f>VLOOKUP($A49,flows!$A$2:$J$4985,H$2,FALSE)</f>
        <v>#N/A</v>
      </c>
      <c r="I49" s="96" t="e">
        <f>VLOOKUP($A49,flows!$A$2:$J$4985,I$2,FALSE)</f>
        <v>#N/A</v>
      </c>
      <c r="J49" s="96" t="e">
        <f>VLOOKUP($A49,flows!$A$2:$J$4985,J$2,FALSE)</f>
        <v>#N/A</v>
      </c>
      <c r="M49" s="40" t="s">
        <v>4079</v>
      </c>
      <c r="N49" s="92"/>
      <c r="O49" s="96">
        <f>VLOOKUP($M49,flows!$A$2:$J$4985,O$2,FALSE)</f>
        <v>5796.3490475133694</v>
      </c>
      <c r="P49" s="96">
        <f>VLOOKUP($M49,flows!$A$2:$J$4985,P$2,FALSE)</f>
        <v>0</v>
      </c>
      <c r="Q49" s="96">
        <f>VLOOKUP($M49,flows!$A$2:$J$4985,Q$2,FALSE)</f>
        <v>3.2209231737105082</v>
      </c>
      <c r="R49" s="96">
        <f>VLOOKUP($M49,flows!$A$2:$J$4985,R$2,FALSE)</f>
        <v>595.15036144691476</v>
      </c>
      <c r="S49" s="96">
        <f>VLOOKUP($M49,flows!$A$2:$J$4985,S$2,FALSE)</f>
        <v>1815.5961537343021</v>
      </c>
      <c r="T49" s="96">
        <f>VLOOKUP($M49,flows!$A$2:$J$4985,T$2,FALSE)</f>
        <v>4319.7659988160794</v>
      </c>
      <c r="U49" s="96">
        <f>VLOOKUP($M49,flows!$A$2:$J$4985,U$2,FALSE)</f>
        <v>5796.3518297123301</v>
      </c>
      <c r="V49" s="96">
        <f>VLOOKUP($M49,flows!$A$2:$J$4985,V$2,FALSE)</f>
        <v>0</v>
      </c>
    </row>
    <row r="50" spans="1:22" x14ac:dyDescent="0.35">
      <c r="A50" s="40" t="s">
        <v>833</v>
      </c>
      <c r="B50" s="92"/>
      <c r="C50" s="96" t="e">
        <f>VLOOKUP($A50,flows!$A$2:$J$4985,C$2,FALSE)</f>
        <v>#N/A</v>
      </c>
      <c r="D50" s="96" t="e">
        <f>VLOOKUP($A50,flows!$A$2:$J$4985,D$2,FALSE)</f>
        <v>#N/A</v>
      </c>
      <c r="E50" s="96" t="e">
        <f>VLOOKUP($A50,flows!$A$2:$J$4985,E$2,FALSE)</f>
        <v>#N/A</v>
      </c>
      <c r="F50" s="96" t="e">
        <f>VLOOKUP($A50,flows!$A$2:$J$4985,F$2,FALSE)</f>
        <v>#N/A</v>
      </c>
      <c r="G50" s="96" t="e">
        <f>VLOOKUP($A50,flows!$A$2:$J$4985,G$2,FALSE)</f>
        <v>#N/A</v>
      </c>
      <c r="H50" s="96" t="e">
        <f>VLOOKUP($A50,flows!$A$2:$J$4985,H$2,FALSE)</f>
        <v>#N/A</v>
      </c>
      <c r="I50" s="96" t="e">
        <f>VLOOKUP($A50,flows!$A$2:$J$4985,I$2,FALSE)</f>
        <v>#N/A</v>
      </c>
      <c r="J50" s="96" t="e">
        <f>VLOOKUP($A50,flows!$A$2:$J$4985,J$2,FALSE)</f>
        <v>#N/A</v>
      </c>
      <c r="L50" s="190" t="s">
        <v>1528</v>
      </c>
      <c r="M50" s="40"/>
      <c r="N50" s="92"/>
      <c r="O50" s="96"/>
      <c r="P50" s="96"/>
      <c r="Q50" s="96"/>
      <c r="R50" s="96"/>
      <c r="S50" s="96"/>
      <c r="T50" s="96"/>
      <c r="U50" s="96"/>
      <c r="V50" s="96"/>
    </row>
    <row r="51" spans="1:22" x14ac:dyDescent="0.35">
      <c r="A51" s="40" t="s">
        <v>834</v>
      </c>
      <c r="B51" s="92"/>
      <c r="C51" s="96" t="e">
        <f>VLOOKUP($A51,flows!$A$2:$J$4985,C$2,FALSE)</f>
        <v>#N/A</v>
      </c>
      <c r="D51" s="96" t="e">
        <f>VLOOKUP($A51,flows!$A$2:$J$4985,D$2,FALSE)</f>
        <v>#N/A</v>
      </c>
      <c r="E51" s="96" t="e">
        <f>VLOOKUP($A51,flows!$A$2:$J$4985,E$2,FALSE)</f>
        <v>#N/A</v>
      </c>
      <c r="F51" s="96" t="e">
        <f>VLOOKUP($A51,flows!$A$2:$J$4985,F$2,FALSE)</f>
        <v>#N/A</v>
      </c>
      <c r="G51" s="96" t="e">
        <f>VLOOKUP($A51,flows!$A$2:$J$4985,G$2,FALSE)</f>
        <v>#N/A</v>
      </c>
      <c r="H51" s="96" t="e">
        <f>VLOOKUP($A51,flows!$A$2:$J$4985,H$2,FALSE)</f>
        <v>#N/A</v>
      </c>
      <c r="I51" s="96" t="e">
        <f>VLOOKUP($A51,flows!$A$2:$J$4985,I$2,FALSE)</f>
        <v>#N/A</v>
      </c>
      <c r="J51" s="96" t="e">
        <f>VLOOKUP($A51,flows!$A$2:$J$4985,J$2,FALSE)</f>
        <v>#N/A</v>
      </c>
      <c r="L51" s="190" t="s">
        <v>1331</v>
      </c>
      <c r="M51" s="40"/>
      <c r="N51" s="92"/>
      <c r="O51" s="96"/>
      <c r="P51" s="96"/>
      <c r="Q51" s="96"/>
      <c r="R51" s="96"/>
      <c r="S51" s="96"/>
      <c r="T51" s="96"/>
      <c r="U51" s="96"/>
      <c r="V51" s="96"/>
    </row>
    <row r="52" spans="1:22" ht="15" thickBot="1" x14ac:dyDescent="0.4">
      <c r="A52" s="40" t="s">
        <v>835</v>
      </c>
      <c r="B52" s="92"/>
      <c r="C52" s="96" t="e">
        <f>VLOOKUP($A52,flows!$A$2:$J$4985,C$2,FALSE)</f>
        <v>#N/A</v>
      </c>
      <c r="D52" s="96" t="e">
        <f>VLOOKUP($A52,flows!$A$2:$J$4985,D$2,FALSE)</f>
        <v>#N/A</v>
      </c>
      <c r="E52" s="96" t="e">
        <f>VLOOKUP($A52,flows!$A$2:$J$4985,E$2,FALSE)</f>
        <v>#N/A</v>
      </c>
      <c r="F52" s="96" t="e">
        <f>VLOOKUP($A52,flows!$A$2:$J$4985,F$2,FALSE)</f>
        <v>#N/A</v>
      </c>
      <c r="G52" s="96" t="e">
        <f>VLOOKUP($A52,flows!$A$2:$J$4985,G$2,FALSE)</f>
        <v>#N/A</v>
      </c>
      <c r="H52" s="96" t="e">
        <f>VLOOKUP($A52,flows!$A$2:$J$4985,H$2,FALSE)</f>
        <v>#N/A</v>
      </c>
      <c r="I52" s="96" t="e">
        <f>VLOOKUP($A52,flows!$A$2:$J$4985,I$2,FALSE)</f>
        <v>#N/A</v>
      </c>
      <c r="J52" s="96" t="e">
        <f>VLOOKUP($A52,flows!$A$2:$J$4985,J$2,FALSE)</f>
        <v>#N/A</v>
      </c>
      <c r="L52" s="190" t="s">
        <v>1468</v>
      </c>
      <c r="M52" s="95" t="s">
        <v>1229</v>
      </c>
      <c r="N52" s="77"/>
      <c r="O52" s="101" t="e">
        <f t="shared" ref="O52:V52" si="2">SUM(O4:O50)</f>
        <v>#N/A</v>
      </c>
      <c r="P52" s="101" t="e">
        <f t="shared" si="2"/>
        <v>#N/A</v>
      </c>
      <c r="Q52" s="101" t="e">
        <f t="shared" si="2"/>
        <v>#N/A</v>
      </c>
      <c r="R52" s="101" t="e">
        <f t="shared" si="2"/>
        <v>#N/A</v>
      </c>
      <c r="S52" s="101" t="e">
        <f t="shared" si="2"/>
        <v>#N/A</v>
      </c>
      <c r="T52" s="101" t="e">
        <f t="shared" si="2"/>
        <v>#N/A</v>
      </c>
      <c r="U52" s="101" t="e">
        <f t="shared" si="2"/>
        <v>#N/A</v>
      </c>
      <c r="V52" s="101" t="e">
        <f t="shared" si="2"/>
        <v>#N/A</v>
      </c>
    </row>
    <row r="53" spans="1:22" x14ac:dyDescent="0.35">
      <c r="A53" s="40"/>
      <c r="B53" s="92"/>
      <c r="C53" s="96"/>
      <c r="D53" s="96"/>
      <c r="E53" s="96"/>
      <c r="F53" s="96"/>
      <c r="G53" s="96"/>
      <c r="H53" s="96"/>
      <c r="I53" s="96"/>
      <c r="J53" s="96"/>
      <c r="L53" s="137" t="s">
        <v>1165</v>
      </c>
    </row>
    <row r="54" spans="1:22" ht="15" thickBot="1" x14ac:dyDescent="0.4">
      <c r="A54" s="40"/>
      <c r="B54" s="92"/>
      <c r="C54" s="96"/>
      <c r="D54" s="96"/>
      <c r="E54" s="96"/>
      <c r="F54" s="96"/>
      <c r="G54" s="96"/>
      <c r="H54" s="96"/>
      <c r="I54" s="96"/>
      <c r="J54" s="96"/>
      <c r="L54" s="137" t="s">
        <v>2388</v>
      </c>
      <c r="U54" s="92"/>
      <c r="V54" s="92"/>
    </row>
    <row r="55" spans="1:22" x14ac:dyDescent="0.35">
      <c r="A55" s="40"/>
      <c r="B55" s="92"/>
      <c r="C55" s="96"/>
      <c r="D55" s="96"/>
      <c r="E55" s="96"/>
      <c r="F55" s="96"/>
      <c r="G55" s="96"/>
      <c r="H55" s="96"/>
      <c r="I55" s="96"/>
      <c r="J55" s="96"/>
      <c r="L55" s="137" t="s">
        <v>2387</v>
      </c>
      <c r="M55" s="87" t="s">
        <v>1414</v>
      </c>
      <c r="N55" s="88">
        <v>2020</v>
      </c>
      <c r="O55" s="88">
        <v>2025</v>
      </c>
      <c r="P55" s="88">
        <v>2030</v>
      </c>
      <c r="Q55" s="88">
        <v>2035</v>
      </c>
      <c r="R55" s="88">
        <v>2040</v>
      </c>
      <c r="S55" s="88">
        <v>2045</v>
      </c>
      <c r="T55" s="88" t="s">
        <v>4477</v>
      </c>
      <c r="U55" s="102"/>
      <c r="V55" s="92">
        <v>2050</v>
      </c>
    </row>
    <row r="56" spans="1:22" x14ac:dyDescent="0.35">
      <c r="A56" s="40"/>
      <c r="B56" s="92"/>
      <c r="C56" s="96"/>
      <c r="D56" s="96"/>
      <c r="E56" s="96"/>
      <c r="F56" s="96"/>
      <c r="G56" s="96"/>
      <c r="H56" s="96"/>
      <c r="I56" s="96"/>
      <c r="J56" s="96"/>
      <c r="M56" s="99" t="s">
        <v>1218</v>
      </c>
      <c r="N56" s="96" t="e">
        <f t="shared" ref="N56:S56" si="3">D60</f>
        <v>#N/A</v>
      </c>
      <c r="O56" s="96" t="e">
        <f t="shared" si="3"/>
        <v>#N/A</v>
      </c>
      <c r="P56" s="96" t="e">
        <f t="shared" si="3"/>
        <v>#N/A</v>
      </c>
      <c r="Q56" s="96" t="e">
        <f t="shared" si="3"/>
        <v>#N/A</v>
      </c>
      <c r="R56" s="96" t="e">
        <f t="shared" si="3"/>
        <v>#N/A</v>
      </c>
      <c r="S56" s="96" t="e">
        <f t="shared" si="3"/>
        <v>#N/A</v>
      </c>
      <c r="T56" s="965">
        <v>67448.428211467428</v>
      </c>
      <c r="U56" s="96"/>
      <c r="V56" s="92">
        <v>67362.452132268852</v>
      </c>
    </row>
    <row r="57" spans="1:22" x14ac:dyDescent="0.35">
      <c r="A57" s="40"/>
      <c r="B57" s="92"/>
      <c r="C57" s="96"/>
      <c r="D57" s="96"/>
      <c r="E57" s="96"/>
      <c r="F57" s="96"/>
      <c r="G57" s="96"/>
      <c r="H57" s="96"/>
      <c r="I57" s="96"/>
      <c r="J57" s="96"/>
      <c r="M57" s="165" t="s">
        <v>1331</v>
      </c>
      <c r="N57" s="96" t="e">
        <f t="shared" ref="N57:S57" si="4">AA19</f>
        <v>#N/A</v>
      </c>
      <c r="O57" s="96" t="e">
        <f t="shared" si="4"/>
        <v>#N/A</v>
      </c>
      <c r="P57" s="96" t="e">
        <f t="shared" si="4"/>
        <v>#N/A</v>
      </c>
      <c r="Q57" s="96" t="e">
        <f t="shared" si="4"/>
        <v>#N/A</v>
      </c>
      <c r="R57" s="96" t="e">
        <f t="shared" si="4"/>
        <v>#N/A</v>
      </c>
      <c r="S57" s="96" t="e">
        <f t="shared" si="4"/>
        <v>#N/A</v>
      </c>
      <c r="T57" s="965">
        <v>136551.56321179462</v>
      </c>
      <c r="U57" s="96"/>
      <c r="V57" s="92">
        <v>133693.55898107885</v>
      </c>
    </row>
    <row r="58" spans="1:22" x14ac:dyDescent="0.35">
      <c r="A58" s="40"/>
      <c r="B58" s="92"/>
      <c r="C58" s="96"/>
      <c r="D58" s="96"/>
      <c r="E58" s="96"/>
      <c r="F58" s="96"/>
      <c r="G58" s="96"/>
      <c r="H58" s="96"/>
      <c r="I58" s="96"/>
      <c r="J58" s="96"/>
      <c r="M58" s="99" t="s">
        <v>1166</v>
      </c>
      <c r="N58" s="96" t="e">
        <f t="shared" ref="N58:S58" si="5">P52</f>
        <v>#N/A</v>
      </c>
      <c r="O58" s="96" t="e">
        <f t="shared" si="5"/>
        <v>#N/A</v>
      </c>
      <c r="P58" s="96" t="e">
        <f t="shared" si="5"/>
        <v>#N/A</v>
      </c>
      <c r="Q58" s="96" t="e">
        <f t="shared" si="5"/>
        <v>#N/A</v>
      </c>
      <c r="R58" s="96" t="e">
        <f t="shared" si="5"/>
        <v>#N/A</v>
      </c>
      <c r="S58" s="96" t="e">
        <f t="shared" si="5"/>
        <v>#N/A</v>
      </c>
      <c r="T58" s="965">
        <v>346030.2046735115</v>
      </c>
      <c r="U58" s="96"/>
      <c r="V58" s="92">
        <v>304793.19716979505</v>
      </c>
    </row>
    <row r="59" spans="1:22" x14ac:dyDescent="0.35">
      <c r="A59" s="40"/>
      <c r="B59" s="92"/>
      <c r="C59" s="96"/>
      <c r="D59" s="96"/>
      <c r="E59" s="96"/>
      <c r="F59" s="96"/>
      <c r="G59" s="96"/>
      <c r="H59" s="96"/>
      <c r="I59" s="96"/>
      <c r="J59" s="96"/>
      <c r="M59" s="99" t="s">
        <v>1165</v>
      </c>
      <c r="N59" s="96" t="e">
        <f>AA11</f>
        <v>#N/A</v>
      </c>
      <c r="O59" s="96" t="e">
        <f t="shared" ref="O59:S59" si="6">AB11</f>
        <v>#N/A</v>
      </c>
      <c r="P59" s="96" t="e">
        <f t="shared" si="6"/>
        <v>#N/A</v>
      </c>
      <c r="Q59" s="96" t="e">
        <f t="shared" si="6"/>
        <v>#N/A</v>
      </c>
      <c r="R59" s="96" t="e">
        <f t="shared" si="6"/>
        <v>#N/A</v>
      </c>
      <c r="S59" s="96" t="e">
        <f t="shared" si="6"/>
        <v>#N/A</v>
      </c>
      <c r="T59" s="965">
        <v>70135.635563166521</v>
      </c>
      <c r="U59" s="96"/>
      <c r="V59" s="92">
        <v>48757.165685262757</v>
      </c>
    </row>
    <row r="60" spans="1:22" ht="15" thickBot="1" x14ac:dyDescent="0.4">
      <c r="A60" s="95" t="s">
        <v>1229</v>
      </c>
      <c r="B60" s="77"/>
      <c r="C60" s="101" t="e">
        <f t="shared" ref="C60:J60" si="7">SUM(C4:C52)</f>
        <v>#N/A</v>
      </c>
      <c r="D60" s="101" t="e">
        <f t="shared" si="7"/>
        <v>#N/A</v>
      </c>
      <c r="E60" s="101" t="e">
        <f t="shared" si="7"/>
        <v>#N/A</v>
      </c>
      <c r="F60" s="101" t="e">
        <f t="shared" si="7"/>
        <v>#N/A</v>
      </c>
      <c r="G60" s="101" t="e">
        <f t="shared" si="7"/>
        <v>#N/A</v>
      </c>
      <c r="H60" s="101" t="e">
        <f t="shared" si="7"/>
        <v>#N/A</v>
      </c>
      <c r="I60" s="101" t="e">
        <f t="shared" si="7"/>
        <v>#N/A</v>
      </c>
      <c r="J60" s="101" t="e">
        <f t="shared" si="7"/>
        <v>#N/A</v>
      </c>
      <c r="M60" s="40" t="s">
        <v>2389</v>
      </c>
      <c r="N60" s="92">
        <f>SUM('Endenergiebedarf nach Sektor'!Q14:Q15)</f>
        <v>0</v>
      </c>
      <c r="O60" s="92">
        <f>SUM('Endenergiebedarf nach Sektor'!R14:R15)</f>
        <v>0</v>
      </c>
      <c r="P60" s="92">
        <f>SUM('Endenergiebedarf nach Sektor'!S14:S15)</f>
        <v>0</v>
      </c>
      <c r="Q60" s="92">
        <f>SUM('Endenergiebedarf nach Sektor'!T14:T15)</f>
        <v>0</v>
      </c>
      <c r="R60" s="92">
        <f>SUM('Endenergiebedarf nach Sektor'!U14:U15)</f>
        <v>0</v>
      </c>
      <c r="S60" s="968">
        <f>SUM('Endenergiebedarf nach Sektor'!V14:V15)</f>
        <v>0</v>
      </c>
      <c r="T60" s="968">
        <v>152601.65638740096</v>
      </c>
      <c r="U60" s="92"/>
      <c r="V60" s="92">
        <v>200623.00403173949</v>
      </c>
    </row>
    <row r="61" spans="1:22" x14ac:dyDescent="0.35">
      <c r="L61" s="900" t="s">
        <v>4429</v>
      </c>
      <c r="M61" s="40" t="s">
        <v>4430</v>
      </c>
      <c r="N61" s="900">
        <f>'Endenergiebedarf nach Sektor'!Q35</f>
        <v>11255.74357974178</v>
      </c>
      <c r="O61" s="900">
        <f>'Endenergiebedarf nach Sektor'!R35</f>
        <v>23595.561665013891</v>
      </c>
      <c r="P61" s="900">
        <f>'Endenergiebedarf nach Sektor'!S35</f>
        <v>53171.177409763957</v>
      </c>
      <c r="Q61" s="900">
        <f>'Endenergiebedarf nach Sektor'!T35</f>
        <v>120820.89994711414</v>
      </c>
      <c r="R61" s="900">
        <f>'Endenergiebedarf nach Sektor'!U35</f>
        <v>152048.88552776614</v>
      </c>
      <c r="S61" s="119">
        <f>'Endenergiebedarf nach Sektor'!V35</f>
        <v>212897.43861535739</v>
      </c>
      <c r="T61" s="119">
        <v>167968.88451722293</v>
      </c>
      <c r="U61" s="92"/>
      <c r="V61" s="92">
        <v>235361.2594952095</v>
      </c>
    </row>
    <row r="62" spans="1:22" ht="15" thickBot="1" x14ac:dyDescent="0.4">
      <c r="M62" s="40" t="s">
        <v>2390</v>
      </c>
      <c r="N62" s="77">
        <f>'Endenergiebedarf nach Sektor'!Q36-N60-N61</f>
        <v>0</v>
      </c>
      <c r="O62" s="77">
        <f>'Endenergiebedarf nach Sektor'!R36-O60-O61</f>
        <v>2.0795236992889841</v>
      </c>
      <c r="P62" s="77">
        <f>'Endenergiebedarf nach Sektor'!S36-P60-P61</f>
        <v>8.5035135271027684E-3</v>
      </c>
      <c r="Q62" s="77">
        <f>'Endenergiebedarf nach Sektor'!T36-Q60-Q61</f>
        <v>5.0274440582143143E-3</v>
      </c>
      <c r="R62" s="77">
        <f>'Endenergiebedarf nach Sektor'!U36-R60-R61</f>
        <v>6038.7710199074063</v>
      </c>
      <c r="S62" s="77">
        <f>'Endenergiebedarf nach Sektor'!V36-S60-S61</f>
        <v>34745.762364364287</v>
      </c>
      <c r="T62" s="963">
        <v>71644.984431463323</v>
      </c>
      <c r="V62" s="132">
        <v>990590.63749535452</v>
      </c>
    </row>
    <row r="63" spans="1:22" x14ac:dyDescent="0.35">
      <c r="M63" s="165" t="s">
        <v>4081</v>
      </c>
      <c r="N63" s="84" t="e">
        <f t="shared" ref="N63:S63" si="8">SUM(N56:N62)</f>
        <v>#N/A</v>
      </c>
      <c r="O63" s="84" t="e">
        <f t="shared" si="8"/>
        <v>#N/A</v>
      </c>
      <c r="P63" s="84" t="e">
        <f t="shared" si="8"/>
        <v>#N/A</v>
      </c>
      <c r="Q63" s="84" t="e">
        <f t="shared" si="8"/>
        <v>#N/A</v>
      </c>
      <c r="R63" s="84" t="e">
        <f t="shared" si="8"/>
        <v>#N/A</v>
      </c>
      <c r="S63" s="84" t="e">
        <f t="shared" si="8"/>
        <v>#N/A</v>
      </c>
      <c r="T63" s="957">
        <v>1012381.3569960273</v>
      </c>
      <c r="V63" s="132">
        <v>48910.874143562374</v>
      </c>
    </row>
    <row r="64" spans="1:22" x14ac:dyDescent="0.35">
      <c r="M64" s="165" t="s">
        <v>1674</v>
      </c>
      <c r="N64" s="900" t="e">
        <f>'Strom - Flows'!R112</f>
        <v>#N/A</v>
      </c>
      <c r="O64" s="900" t="e">
        <f>'Strom - Flows'!S112</f>
        <v>#N/A</v>
      </c>
      <c r="P64" s="900" t="e">
        <f>'Strom - Flows'!T112</f>
        <v>#N/A</v>
      </c>
      <c r="Q64" s="900" t="e">
        <f>'Strom - Flows'!U112</f>
        <v>#N/A</v>
      </c>
      <c r="R64" s="900" t="e">
        <f>'Strom - Flows'!V112</f>
        <v>#N/A</v>
      </c>
      <c r="S64" s="854" t="e">
        <f>'Strom - Flows'!W112</f>
        <v>#N/A</v>
      </c>
      <c r="T64" s="958">
        <v>78627.721404067081</v>
      </c>
      <c r="V64" s="132">
        <v>1039501.5116389169</v>
      </c>
    </row>
    <row r="65" spans="13:20" x14ac:dyDescent="0.35">
      <c r="M65" s="165" t="s">
        <v>4082</v>
      </c>
      <c r="N65" s="84" t="e">
        <f>N63+N64</f>
        <v>#N/A</v>
      </c>
      <c r="O65" s="84" t="e">
        <f t="shared" ref="O65:S65" si="9">O63+O64</f>
        <v>#N/A</v>
      </c>
      <c r="P65" s="84" t="e">
        <f t="shared" si="9"/>
        <v>#N/A</v>
      </c>
      <c r="Q65" s="84" t="e">
        <f t="shared" si="9"/>
        <v>#N/A</v>
      </c>
      <c r="R65" s="84" t="e">
        <f t="shared" si="9"/>
        <v>#N/A</v>
      </c>
      <c r="S65" s="84" t="e">
        <f t="shared" si="9"/>
        <v>#N/A</v>
      </c>
      <c r="T65" s="957">
        <v>1091009.0784000943</v>
      </c>
    </row>
    <row r="66" spans="13:20" x14ac:dyDescent="0.35">
      <c r="M66" s="165"/>
      <c r="N66" s="96"/>
      <c r="O66" s="96"/>
      <c r="P66" s="96"/>
      <c r="Q66" s="96"/>
      <c r="R66" s="96"/>
      <c r="S66" s="96"/>
      <c r="T66" s="96"/>
    </row>
    <row r="67" spans="13:20" x14ac:dyDescent="0.35">
      <c r="M67" s="165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/>
  </sheetPr>
  <dimension ref="A2:AC127"/>
  <sheetViews>
    <sheetView zoomScale="70" zoomScaleNormal="70" workbookViewId="0">
      <selection activeCell="Q93" sqref="Q93"/>
    </sheetView>
  </sheetViews>
  <sheetFormatPr baseColWidth="10" defaultColWidth="11.453125" defaultRowHeight="14.5" x14ac:dyDescent="0.35"/>
  <cols>
    <col min="1" max="1" width="11.453125" style="190"/>
    <col min="2" max="2" width="19" style="132" bestFit="1" customWidth="1"/>
    <col min="3" max="11" width="11.453125" style="132"/>
    <col min="12" max="12" width="11.453125" style="900"/>
    <col min="13" max="15" width="11.453125" style="132"/>
    <col min="16" max="16" width="41.1796875" style="132" bestFit="1" customWidth="1"/>
    <col min="17" max="17" width="14.81640625" style="132" bestFit="1" customWidth="1"/>
    <col min="18" max="18" width="14.54296875" style="132" bestFit="1" customWidth="1"/>
    <col min="19" max="21" width="14.81640625" style="132" bestFit="1" customWidth="1"/>
    <col min="22" max="23" width="14.54296875" style="132" bestFit="1" customWidth="1"/>
    <col min="24" max="24" width="13.81640625" style="132" bestFit="1" customWidth="1"/>
    <col min="25" max="25" width="11.453125" style="132"/>
    <col min="26" max="26" width="11.453125" style="190"/>
    <col min="27" max="27" width="15.81640625" style="132" bestFit="1" customWidth="1"/>
    <col min="28" max="28" width="11.453125" style="132" customWidth="1"/>
    <col min="29" max="29" width="10.453125" style="132" customWidth="1"/>
    <col min="30" max="16384" width="11.453125" style="132"/>
  </cols>
  <sheetData>
    <row r="2" spans="1:29" ht="15" thickBot="1" x14ac:dyDescent="0.4"/>
    <row r="3" spans="1:29" ht="15" thickBot="1" x14ac:dyDescent="0.4">
      <c r="B3" s="91" t="s">
        <v>1465</v>
      </c>
      <c r="C3" s="89"/>
      <c r="D3" s="89"/>
      <c r="E3" s="89"/>
      <c r="F3" s="89"/>
      <c r="G3" s="89"/>
      <c r="H3" s="89"/>
      <c r="I3" s="89"/>
      <c r="J3" s="89"/>
      <c r="L3" s="900" t="s">
        <v>4399</v>
      </c>
      <c r="P3" s="91" t="s">
        <v>1463</v>
      </c>
      <c r="Q3" s="89">
        <v>2</v>
      </c>
      <c r="R3" s="89">
        <v>3</v>
      </c>
      <c r="S3" s="89">
        <v>4</v>
      </c>
      <c r="T3" s="89">
        <v>5</v>
      </c>
      <c r="U3" s="89">
        <v>6</v>
      </c>
      <c r="V3" s="89">
        <v>7</v>
      </c>
      <c r="W3" s="89">
        <v>8</v>
      </c>
      <c r="X3" s="89">
        <v>9</v>
      </c>
      <c r="AA3" s="87" t="s">
        <v>1443</v>
      </c>
      <c r="AB3" s="89"/>
      <c r="AC3" s="90"/>
    </row>
    <row r="4" spans="1:29" x14ac:dyDescent="0.35">
      <c r="B4" s="87"/>
      <c r="C4" s="89" t="s">
        <v>23</v>
      </c>
      <c r="D4" s="89">
        <v>2020</v>
      </c>
      <c r="E4" s="89">
        <v>2025</v>
      </c>
      <c r="F4" s="89">
        <v>2030</v>
      </c>
      <c r="G4" s="89">
        <v>2035</v>
      </c>
      <c r="H4" s="89">
        <v>2040</v>
      </c>
      <c r="I4" s="89">
        <v>2045</v>
      </c>
      <c r="J4" s="89">
        <v>2050</v>
      </c>
      <c r="K4" s="132" t="s">
        <v>4411</v>
      </c>
      <c r="L4" s="900">
        <v>2050</v>
      </c>
      <c r="M4" s="862" t="s">
        <v>4342</v>
      </c>
      <c r="N4" s="862" t="s">
        <v>4343</v>
      </c>
      <c r="P4" s="40"/>
      <c r="Q4" s="133" t="s">
        <v>1417</v>
      </c>
      <c r="R4" s="133">
        <v>2020</v>
      </c>
      <c r="S4" s="133">
        <v>2025</v>
      </c>
      <c r="T4" s="133">
        <v>2030</v>
      </c>
      <c r="U4" s="133">
        <v>2035</v>
      </c>
      <c r="V4" s="133">
        <v>2040</v>
      </c>
      <c r="W4" s="133">
        <v>2045</v>
      </c>
      <c r="X4" s="133">
        <v>2050</v>
      </c>
      <c r="AA4" s="40"/>
      <c r="AB4" s="92">
        <v>2013</v>
      </c>
      <c r="AC4" s="93">
        <v>2045</v>
      </c>
    </row>
    <row r="5" spans="1:29" x14ac:dyDescent="0.35">
      <c r="A5" s="352" t="s">
        <v>1342</v>
      </c>
      <c r="B5" s="40" t="s">
        <v>2264</v>
      </c>
      <c r="C5" s="96" t="e">
        <f t="shared" ref="C5:J5" si="0">Q9</f>
        <v>#N/A</v>
      </c>
      <c r="D5" s="96" t="e">
        <f t="shared" si="0"/>
        <v>#N/A</v>
      </c>
      <c r="E5" s="96" t="e">
        <f t="shared" si="0"/>
        <v>#N/A</v>
      </c>
      <c r="F5" s="96" t="e">
        <f t="shared" si="0"/>
        <v>#N/A</v>
      </c>
      <c r="G5" s="96" t="e">
        <f t="shared" si="0"/>
        <v>#N/A</v>
      </c>
      <c r="H5" s="96" t="e">
        <f t="shared" si="0"/>
        <v>#N/A</v>
      </c>
      <c r="I5" s="96" t="e">
        <f t="shared" si="0"/>
        <v>#N/A</v>
      </c>
      <c r="J5" s="96" t="e">
        <f t="shared" si="0"/>
        <v>#N/A</v>
      </c>
      <c r="K5" s="132">
        <v>0</v>
      </c>
      <c r="L5" s="900">
        <v>0</v>
      </c>
      <c r="M5" s="84">
        <f>IF('Strom - Inst. Kapazitäten'!J5&lt;=0,0,I5/'Strom - Inst. Kapazitäten'!J5)</f>
        <v>0</v>
      </c>
      <c r="N5" s="385" t="e">
        <f t="shared" ref="N5:N18" si="1">J5/$J$21</f>
        <v>#N/A</v>
      </c>
      <c r="P5" s="40"/>
      <c r="Q5" s="92"/>
      <c r="R5" s="92"/>
      <c r="S5" s="92"/>
      <c r="T5" s="92"/>
      <c r="U5" s="92"/>
      <c r="V5" s="92"/>
      <c r="W5" s="92"/>
      <c r="X5" s="92"/>
      <c r="Z5" s="190" t="s">
        <v>1342</v>
      </c>
      <c r="AA5" s="40" t="s">
        <v>1206</v>
      </c>
      <c r="AB5" s="97" t="e">
        <f>D5/$D$21</f>
        <v>#N/A</v>
      </c>
      <c r="AC5" s="98" t="e">
        <f>I5/$I$21</f>
        <v>#N/A</v>
      </c>
    </row>
    <row r="6" spans="1:29" x14ac:dyDescent="0.35">
      <c r="A6" s="352" t="s">
        <v>1343</v>
      </c>
      <c r="B6" s="40" t="s">
        <v>1310</v>
      </c>
      <c r="C6" s="96" t="e">
        <f t="shared" ref="C6:J6" si="2">Q14</f>
        <v>#N/A</v>
      </c>
      <c r="D6" s="96" t="e">
        <f t="shared" si="2"/>
        <v>#N/A</v>
      </c>
      <c r="E6" s="96" t="e">
        <f t="shared" si="2"/>
        <v>#N/A</v>
      </c>
      <c r="F6" s="96" t="e">
        <f t="shared" si="2"/>
        <v>#N/A</v>
      </c>
      <c r="G6" s="96" t="e">
        <f t="shared" si="2"/>
        <v>#N/A</v>
      </c>
      <c r="H6" s="96" t="e">
        <f t="shared" si="2"/>
        <v>#N/A</v>
      </c>
      <c r="I6" s="96" t="e">
        <f t="shared" si="2"/>
        <v>#N/A</v>
      </c>
      <c r="J6" s="96" t="e">
        <f t="shared" si="2"/>
        <v>#N/A</v>
      </c>
      <c r="K6" s="132">
        <v>0</v>
      </c>
      <c r="L6" s="900">
        <v>0</v>
      </c>
      <c r="M6" s="84">
        <f>IF('Strom - Inst. Kapazitäten'!J6&lt;=0,0,I6/'Strom - Inst. Kapazitäten'!J6)</f>
        <v>0</v>
      </c>
      <c r="N6" s="385" t="e">
        <f t="shared" si="1"/>
        <v>#N/A</v>
      </c>
      <c r="P6" s="40" t="s">
        <v>643</v>
      </c>
      <c r="Q6" s="96" t="e">
        <f>VLOOKUP($P6,flows!$A$2:$J$2822,Q$3,FALSE)</f>
        <v>#N/A</v>
      </c>
      <c r="R6" s="96" t="e">
        <f>VLOOKUP($P6,flows!$A$2:$J$2822,R$3,FALSE)</f>
        <v>#N/A</v>
      </c>
      <c r="S6" s="96" t="e">
        <f>VLOOKUP($P6,flows!$A$2:$J$2822,S$3,FALSE)</f>
        <v>#N/A</v>
      </c>
      <c r="T6" s="96" t="e">
        <f>VLOOKUP($P6,flows!$A$2:$J$2822,T$3,FALSE)</f>
        <v>#N/A</v>
      </c>
      <c r="U6" s="96" t="e">
        <f>VLOOKUP($P6,flows!$A$2:$J$2822,U$3,FALSE)</f>
        <v>#N/A</v>
      </c>
      <c r="V6" s="96" t="e">
        <f>VLOOKUP($P6,flows!$A$2:$J$2822,V$3,FALSE)</f>
        <v>#N/A</v>
      </c>
      <c r="W6" s="96" t="e">
        <f>VLOOKUP($P6,flows!$A$2:$J$2822,W$3,FALSE)</f>
        <v>#N/A</v>
      </c>
      <c r="X6" s="96" t="e">
        <f>VLOOKUP($P6,flows!$A$2:$J$2822,X$3,FALSE)</f>
        <v>#N/A</v>
      </c>
      <c r="Z6" s="190" t="s">
        <v>1343</v>
      </c>
      <c r="AA6" s="40" t="s">
        <v>1310</v>
      </c>
      <c r="AB6" s="97" t="e">
        <f>D6/$D$21</f>
        <v>#N/A</v>
      </c>
      <c r="AC6" s="98" t="e">
        <f>I6/$I$21</f>
        <v>#N/A</v>
      </c>
    </row>
    <row r="7" spans="1:29" x14ac:dyDescent="0.35">
      <c r="A7" s="352" t="s">
        <v>1936</v>
      </c>
      <c r="B7" s="40" t="s">
        <v>2343</v>
      </c>
      <c r="C7" s="96" t="e">
        <f t="shared" ref="C7:J7" si="3">Q17</f>
        <v>#N/A</v>
      </c>
      <c r="D7" s="96" t="e">
        <f t="shared" si="3"/>
        <v>#N/A</v>
      </c>
      <c r="E7" s="96" t="e">
        <f t="shared" si="3"/>
        <v>#N/A</v>
      </c>
      <c r="F7" s="96" t="e">
        <f t="shared" si="3"/>
        <v>#N/A</v>
      </c>
      <c r="G7" s="96" t="e">
        <f t="shared" si="3"/>
        <v>#N/A</v>
      </c>
      <c r="H7" s="96" t="e">
        <f t="shared" si="3"/>
        <v>#N/A</v>
      </c>
      <c r="I7" s="96" t="e">
        <f t="shared" si="3"/>
        <v>#N/A</v>
      </c>
      <c r="J7" s="96" t="e">
        <f t="shared" si="3"/>
        <v>#N/A</v>
      </c>
      <c r="K7" s="132">
        <v>0</v>
      </c>
      <c r="L7" s="900">
        <v>0</v>
      </c>
      <c r="M7" s="84">
        <f>IF('Strom - Inst. Kapazitäten'!J7&lt;=0,0,I7/'Strom - Inst. Kapazitäten'!J7)</f>
        <v>0</v>
      </c>
      <c r="N7" s="385" t="e">
        <f t="shared" si="1"/>
        <v>#N/A</v>
      </c>
      <c r="P7" s="40" t="s">
        <v>644</v>
      </c>
      <c r="Q7" s="96" t="e">
        <f>VLOOKUP($P7,flows!$A$2:$J$2822,Q$3,FALSE)</f>
        <v>#N/A</v>
      </c>
      <c r="R7" s="96" t="e">
        <f>VLOOKUP($P7,flows!$A$2:$J$2822,R$3,FALSE)</f>
        <v>#N/A</v>
      </c>
      <c r="S7" s="96" t="e">
        <f>VLOOKUP($P7,flows!$A$2:$J$2822,S$3,FALSE)</f>
        <v>#N/A</v>
      </c>
      <c r="T7" s="96" t="e">
        <f>VLOOKUP($P7,flows!$A$2:$J$2822,T$3,FALSE)</f>
        <v>#N/A</v>
      </c>
      <c r="U7" s="96" t="e">
        <f>VLOOKUP($P7,flows!$A$2:$J$2822,U$3,FALSE)</f>
        <v>#N/A</v>
      </c>
      <c r="V7" s="96" t="e">
        <f>VLOOKUP($P7,flows!$A$2:$J$2822,V$3,FALSE)</f>
        <v>#N/A</v>
      </c>
      <c r="W7" s="96" t="e">
        <f>VLOOKUP($P7,flows!$A$2:$J$2822,W$3,FALSE)</f>
        <v>#N/A</v>
      </c>
      <c r="X7" s="96" t="e">
        <f>VLOOKUP($P7,flows!$A$2:$J$2822,X$3,FALSE)</f>
        <v>#N/A</v>
      </c>
      <c r="Z7" s="190" t="s">
        <v>1936</v>
      </c>
      <c r="AA7" s="40" t="s">
        <v>1421</v>
      </c>
      <c r="AB7" s="97" t="e">
        <f>D7/$D$21</f>
        <v>#N/A</v>
      </c>
      <c r="AC7" s="98" t="e">
        <f>I7/$I$21</f>
        <v>#N/A</v>
      </c>
    </row>
    <row r="8" spans="1:29" x14ac:dyDescent="0.35">
      <c r="A8" s="352" t="s">
        <v>1340</v>
      </c>
      <c r="B8" s="40" t="s">
        <v>1167</v>
      </c>
      <c r="C8" s="96" t="e">
        <f>Q27</f>
        <v>#N/A</v>
      </c>
      <c r="D8" s="96" t="e">
        <f t="shared" ref="D8:J9" si="4">R27</f>
        <v>#N/A</v>
      </c>
      <c r="E8" s="96" t="e">
        <f t="shared" si="4"/>
        <v>#N/A</v>
      </c>
      <c r="F8" s="96" t="e">
        <f t="shared" si="4"/>
        <v>#N/A</v>
      </c>
      <c r="G8" s="96" t="e">
        <f t="shared" si="4"/>
        <v>#N/A</v>
      </c>
      <c r="H8" s="96" t="e">
        <f t="shared" si="4"/>
        <v>#N/A</v>
      </c>
      <c r="I8" s="96" t="e">
        <f t="shared" si="4"/>
        <v>#N/A</v>
      </c>
      <c r="J8" s="96" t="e">
        <f t="shared" si="4"/>
        <v>#N/A</v>
      </c>
      <c r="K8" s="132">
        <v>0.9650194631113459</v>
      </c>
      <c r="L8" s="900">
        <v>2.3509679623866497</v>
      </c>
      <c r="M8" s="84" t="e">
        <f>IF('Strom - Inst. Kapazitäten'!J8&lt;=0,0,I8/'Strom - Inst. Kapazitäten'!I8)</f>
        <v>#N/A</v>
      </c>
      <c r="N8" s="385" t="e">
        <f t="shared" si="1"/>
        <v>#N/A</v>
      </c>
      <c r="P8" s="40" t="s">
        <v>652</v>
      </c>
      <c r="Q8" s="96" t="e">
        <f>VLOOKUP($P8,flows!$A$2:$J$2822,Q$3,FALSE)</f>
        <v>#N/A</v>
      </c>
      <c r="R8" s="96" t="e">
        <f>VLOOKUP($P8,flows!$A$2:$J$2822,R$3,FALSE)</f>
        <v>#N/A</v>
      </c>
      <c r="S8" s="96" t="e">
        <f>VLOOKUP($P8,flows!$A$2:$J$2822,S$3,FALSE)</f>
        <v>#N/A</v>
      </c>
      <c r="T8" s="96" t="e">
        <f>VLOOKUP($P8,flows!$A$2:$J$2822,T$3,FALSE)</f>
        <v>#N/A</v>
      </c>
      <c r="U8" s="96" t="e">
        <f>VLOOKUP($P8,flows!$A$2:$J$2822,U$3,FALSE)</f>
        <v>#N/A</v>
      </c>
      <c r="V8" s="96" t="e">
        <f>VLOOKUP($P8,flows!$A$2:$J$2822,V$3,FALSE)</f>
        <v>#N/A</v>
      </c>
      <c r="W8" s="96" t="e">
        <f>VLOOKUP($P8,flows!$A$2:$J$2822,W$3,FALSE)</f>
        <v>#N/A</v>
      </c>
      <c r="X8" s="96" t="e">
        <f>VLOOKUP($P8,flows!$A$2:$J$2822,X$3,FALSE)</f>
        <v>#N/A</v>
      </c>
      <c r="Z8" s="190" t="s">
        <v>1340</v>
      </c>
      <c r="AA8" s="40" t="s">
        <v>1161</v>
      </c>
      <c r="AB8" s="97" t="e">
        <f>D8/$D$21</f>
        <v>#N/A</v>
      </c>
      <c r="AC8" s="98" t="e">
        <f>I8/$I$21</f>
        <v>#N/A</v>
      </c>
    </row>
    <row r="9" spans="1:29" x14ac:dyDescent="0.35">
      <c r="A9" s="862" t="s">
        <v>4218</v>
      </c>
      <c r="B9" s="40" t="s">
        <v>4219</v>
      </c>
      <c r="C9" s="96" t="e">
        <f>Q28</f>
        <v>#N/A</v>
      </c>
      <c r="D9" s="96" t="e">
        <f t="shared" si="4"/>
        <v>#N/A</v>
      </c>
      <c r="E9" s="96" t="e">
        <f t="shared" si="4"/>
        <v>#N/A</v>
      </c>
      <c r="F9" s="96" t="e">
        <f t="shared" si="4"/>
        <v>#N/A</v>
      </c>
      <c r="G9" s="96" t="e">
        <f t="shared" si="4"/>
        <v>#N/A</v>
      </c>
      <c r="H9" s="96" t="e">
        <f t="shared" si="4"/>
        <v>#N/A</v>
      </c>
      <c r="I9" s="96" t="e">
        <f t="shared" si="4"/>
        <v>#N/A</v>
      </c>
      <c r="J9" s="96" t="e">
        <f t="shared" si="4"/>
        <v>#N/A</v>
      </c>
      <c r="K9" s="132">
        <v>36850.497452978598</v>
      </c>
      <c r="L9" s="900">
        <v>15177.066058568882</v>
      </c>
      <c r="M9" s="84" t="e">
        <f>IF('Strom - Inst. Kapazitäten'!I9&lt;=0,0,I9/'Strom - Inst. Kapazitäten'!I9)</f>
        <v>#N/A</v>
      </c>
      <c r="N9" s="385" t="e">
        <f t="shared" si="1"/>
        <v>#N/A</v>
      </c>
      <c r="P9" s="99" t="s">
        <v>1206</v>
      </c>
      <c r="Q9" s="96" t="e">
        <f>SUM(Q6:Q8)</f>
        <v>#N/A</v>
      </c>
      <c r="R9" s="96" t="e">
        <f t="shared" ref="R9:X9" si="5">SUM(R6:R8)</f>
        <v>#N/A</v>
      </c>
      <c r="S9" s="96" t="e">
        <f t="shared" si="5"/>
        <v>#N/A</v>
      </c>
      <c r="T9" s="96" t="e">
        <f t="shared" si="5"/>
        <v>#N/A</v>
      </c>
      <c r="U9" s="96" t="e">
        <f t="shared" si="5"/>
        <v>#N/A</v>
      </c>
      <c r="V9" s="96" t="e">
        <f t="shared" si="5"/>
        <v>#N/A</v>
      </c>
      <c r="W9" s="96" t="e">
        <f t="shared" si="5"/>
        <v>#N/A</v>
      </c>
      <c r="X9" s="96" t="e">
        <f t="shared" si="5"/>
        <v>#N/A</v>
      </c>
      <c r="Z9" s="190" t="s">
        <v>1884</v>
      </c>
      <c r="AA9" s="40" t="s">
        <v>1207</v>
      </c>
      <c r="AB9" s="97" t="e">
        <f t="shared" ref="AB9:AB18" si="6">D10/$D$21</f>
        <v>#N/A</v>
      </c>
      <c r="AC9" s="98" t="e">
        <f>I10/$I$21</f>
        <v>#N/A</v>
      </c>
    </row>
    <row r="10" spans="1:29" x14ac:dyDescent="0.35">
      <c r="A10" s="352" t="s">
        <v>1884</v>
      </c>
      <c r="B10" s="40" t="s">
        <v>2326</v>
      </c>
      <c r="C10" s="96" t="e">
        <f t="shared" ref="C10:J10" si="7">Q31</f>
        <v>#N/A</v>
      </c>
      <c r="D10" s="96" t="e">
        <f t="shared" si="7"/>
        <v>#N/A</v>
      </c>
      <c r="E10" s="96" t="e">
        <f t="shared" si="7"/>
        <v>#N/A</v>
      </c>
      <c r="F10" s="96" t="e">
        <f t="shared" si="7"/>
        <v>#N/A</v>
      </c>
      <c r="G10" s="96" t="e">
        <f t="shared" si="7"/>
        <v>#N/A</v>
      </c>
      <c r="H10" s="96" t="e">
        <f t="shared" si="7"/>
        <v>#N/A</v>
      </c>
      <c r="I10" s="96" t="e">
        <f t="shared" si="7"/>
        <v>#N/A</v>
      </c>
      <c r="J10" s="96" t="e">
        <f t="shared" si="7"/>
        <v>#N/A</v>
      </c>
      <c r="K10" s="132">
        <v>0.22890020849436271</v>
      </c>
      <c r="L10" s="900">
        <v>0.28073396367315678</v>
      </c>
      <c r="M10" s="84" t="e">
        <f>IF('Strom - Inst. Kapazitäten'!I10&lt;=0,0,I10/'Strom - Inst. Kapazitäten'!I10)</f>
        <v>#N/A</v>
      </c>
      <c r="N10" s="385" t="e">
        <f t="shared" si="1"/>
        <v>#N/A</v>
      </c>
      <c r="P10" s="40"/>
      <c r="Q10" s="92"/>
      <c r="R10" s="92"/>
      <c r="S10" s="92"/>
      <c r="T10" s="92"/>
      <c r="U10" s="92"/>
      <c r="V10" s="92"/>
      <c r="W10" s="92"/>
      <c r="X10" s="92"/>
      <c r="Z10" s="190" t="s">
        <v>1945</v>
      </c>
      <c r="AA10" s="40" t="s">
        <v>1322</v>
      </c>
      <c r="AB10" s="97" t="e">
        <f t="shared" si="6"/>
        <v>#N/A</v>
      </c>
      <c r="AC10" s="98" t="e">
        <f>I11/$I$21</f>
        <v>#N/A</v>
      </c>
    </row>
    <row r="11" spans="1:29" x14ac:dyDescent="0.35">
      <c r="A11" s="118" t="s">
        <v>2344</v>
      </c>
      <c r="B11" s="899" t="s">
        <v>2345</v>
      </c>
      <c r="C11" s="894" t="e">
        <f t="shared" ref="C11:J11" si="8">Q51</f>
        <v>#N/A</v>
      </c>
      <c r="D11" s="894" t="e">
        <f>R51</f>
        <v>#N/A</v>
      </c>
      <c r="E11" s="894" t="e">
        <f t="shared" si="8"/>
        <v>#N/A</v>
      </c>
      <c r="F11" s="894" t="e">
        <f t="shared" si="8"/>
        <v>#N/A</v>
      </c>
      <c r="G11" s="894" t="e">
        <f t="shared" si="8"/>
        <v>#N/A</v>
      </c>
      <c r="H11" s="894" t="e">
        <f t="shared" si="8"/>
        <v>#N/A</v>
      </c>
      <c r="I11" s="894" t="e">
        <f t="shared" si="8"/>
        <v>#N/A</v>
      </c>
      <c r="J11" s="894" t="e">
        <f t="shared" si="8"/>
        <v>#N/A</v>
      </c>
      <c r="K11" s="118">
        <v>149092.3429834095</v>
      </c>
      <c r="L11" s="118">
        <v>102058.59494317076</v>
      </c>
      <c r="M11" s="84" t="e">
        <f>IF('Strom - Inst. Kapazitäten'!I11&lt;=0,0,I11/'Strom - Inst. Kapazitäten'!I11)</f>
        <v>#N/A</v>
      </c>
      <c r="N11" s="385" t="e">
        <f t="shared" si="1"/>
        <v>#N/A</v>
      </c>
      <c r="P11" s="40" t="s">
        <v>895</v>
      </c>
      <c r="Q11" s="96" t="e">
        <f>VLOOKUP($P11,flows!$A$2:$J$4985,Q$3,FALSE)</f>
        <v>#N/A</v>
      </c>
      <c r="R11" s="96" t="e">
        <f>VLOOKUP($P11,flows!$A$2:$J$4985,R$3,FALSE)</f>
        <v>#N/A</v>
      </c>
      <c r="S11" s="96" t="e">
        <f>VLOOKUP($P11,flows!$A$2:$J$4985,S$3,FALSE)</f>
        <v>#N/A</v>
      </c>
      <c r="T11" s="96" t="e">
        <f>VLOOKUP($P11,flows!$A$2:$J$4985,T$3,FALSE)</f>
        <v>#N/A</v>
      </c>
      <c r="U11" s="96" t="e">
        <f>VLOOKUP($P11,flows!$A$2:$J$4985,U$3,FALSE)</f>
        <v>#N/A</v>
      </c>
      <c r="V11" s="96" t="e">
        <f>VLOOKUP($P11,flows!$A$2:$J$4985,V$3,FALSE)</f>
        <v>#N/A</v>
      </c>
      <c r="W11" s="96" t="e">
        <f>VLOOKUP($P11,flows!$A$2:$J$4985,W$3,FALSE)</f>
        <v>#N/A</v>
      </c>
      <c r="X11" s="96" t="e">
        <f>VLOOKUP($P11,flows!$A$2:$J$4985,X$3,FALSE)</f>
        <v>#N/A</v>
      </c>
      <c r="Z11" s="190" t="s">
        <v>1952</v>
      </c>
      <c r="AA11" s="40" t="s">
        <v>1321</v>
      </c>
      <c r="AB11" s="97" t="e">
        <f t="shared" si="6"/>
        <v>#N/A</v>
      </c>
      <c r="AC11" s="98" t="e">
        <f>I12/$I$21</f>
        <v>#N/A</v>
      </c>
    </row>
    <row r="12" spans="1:29" x14ac:dyDescent="0.35">
      <c r="A12" s="118" t="s">
        <v>1944</v>
      </c>
      <c r="B12" s="899" t="s">
        <v>2346</v>
      </c>
      <c r="C12" s="894" t="e">
        <f t="shared" ref="C12:J12" si="9">Q41</f>
        <v>#N/A</v>
      </c>
      <c r="D12" s="894" t="e">
        <f t="shared" si="9"/>
        <v>#N/A</v>
      </c>
      <c r="E12" s="894" t="e">
        <f t="shared" si="9"/>
        <v>#N/A</v>
      </c>
      <c r="F12" s="894" t="e">
        <f t="shared" si="9"/>
        <v>#N/A</v>
      </c>
      <c r="G12" s="894" t="e">
        <f t="shared" si="9"/>
        <v>#N/A</v>
      </c>
      <c r="H12" s="894" t="e">
        <f t="shared" si="9"/>
        <v>#N/A</v>
      </c>
      <c r="I12" s="894" t="e">
        <f t="shared" si="9"/>
        <v>#N/A</v>
      </c>
      <c r="J12" s="894" t="e">
        <f t="shared" si="9"/>
        <v>#N/A</v>
      </c>
      <c r="K12" s="118">
        <v>274374.68716603483</v>
      </c>
      <c r="L12" s="118">
        <v>246602.82180406473</v>
      </c>
      <c r="M12" s="84" t="e">
        <f>IF('Strom - Inst. Kapazitäten'!I12&lt;=0,0,I12/'Strom - Inst. Kapazitäten'!I12)</f>
        <v>#N/A</v>
      </c>
      <c r="N12" s="385" t="e">
        <f t="shared" si="1"/>
        <v>#N/A</v>
      </c>
      <c r="P12" s="40" t="s">
        <v>896</v>
      </c>
      <c r="Q12" s="96" t="e">
        <f>VLOOKUP($P12,flows!$A$2:$J$4985,Q$3,FALSE)</f>
        <v>#N/A</v>
      </c>
      <c r="R12" s="96" t="e">
        <f>VLOOKUP($P12,flows!$A$2:$J$4985,R$3,FALSE)</f>
        <v>#N/A</v>
      </c>
      <c r="S12" s="96" t="e">
        <f>VLOOKUP($P12,flows!$A$2:$J$4985,S$3,FALSE)</f>
        <v>#N/A</v>
      </c>
      <c r="T12" s="96" t="e">
        <f>VLOOKUP($P12,flows!$A$2:$J$4985,T$3,FALSE)</f>
        <v>#N/A</v>
      </c>
      <c r="U12" s="96" t="e">
        <f>VLOOKUP($P12,flows!$A$2:$J$4985,U$3,FALSE)</f>
        <v>#N/A</v>
      </c>
      <c r="V12" s="96" t="e">
        <f>VLOOKUP($P12,flows!$A$2:$J$4985,V$3,FALSE)</f>
        <v>#N/A</v>
      </c>
      <c r="W12" s="96" t="e">
        <f>VLOOKUP($P12,flows!$A$2:$J$4985,W$3,FALSE)</f>
        <v>#N/A</v>
      </c>
      <c r="X12" s="96" t="e">
        <f>VLOOKUP($P12,flows!$A$2:$J$4985,X$3,FALSE)</f>
        <v>#N/A</v>
      </c>
      <c r="Z12" s="190" t="s">
        <v>1654</v>
      </c>
      <c r="AA12" s="40" t="s">
        <v>1324</v>
      </c>
      <c r="AB12" s="97" t="e">
        <f t="shared" si="6"/>
        <v>#N/A</v>
      </c>
      <c r="AC12" s="98" t="e">
        <f>I13/$I$21</f>
        <v>#N/A</v>
      </c>
    </row>
    <row r="13" spans="1:29" x14ac:dyDescent="0.35">
      <c r="A13" s="898" t="s">
        <v>1654</v>
      </c>
      <c r="B13" s="902" t="s">
        <v>2347</v>
      </c>
      <c r="C13" s="896" t="e">
        <f>Q66</f>
        <v>#N/A</v>
      </c>
      <c r="D13" s="896" t="e">
        <f t="shared" ref="D13:J13" si="10">R66</f>
        <v>#N/A</v>
      </c>
      <c r="E13" s="896" t="e">
        <f t="shared" si="10"/>
        <v>#N/A</v>
      </c>
      <c r="F13" s="896" t="e">
        <f t="shared" si="10"/>
        <v>#N/A</v>
      </c>
      <c r="G13" s="896" t="e">
        <f t="shared" si="10"/>
        <v>#N/A</v>
      </c>
      <c r="H13" s="896" t="e">
        <f t="shared" si="10"/>
        <v>#N/A</v>
      </c>
      <c r="I13" s="896" t="e">
        <f t="shared" si="10"/>
        <v>#N/A</v>
      </c>
      <c r="J13" s="896" t="e">
        <f t="shared" si="10"/>
        <v>#N/A</v>
      </c>
      <c r="K13" s="898">
        <v>165263.00661774672</v>
      </c>
      <c r="L13" s="898">
        <v>252519.92328431009</v>
      </c>
      <c r="M13" s="84" t="e">
        <f>IF('Strom - Inst. Kapazitäten'!I13&lt;=0,0,I13/'Strom - Inst. Kapazitäten'!I13)</f>
        <v>#N/A</v>
      </c>
      <c r="N13" s="385" t="e">
        <f t="shared" si="1"/>
        <v>#N/A</v>
      </c>
      <c r="P13" s="40" t="s">
        <v>900</v>
      </c>
      <c r="Q13" s="96" t="e">
        <f>VLOOKUP($P13,flows!$A$2:$J$4985,Q$3,FALSE)</f>
        <v>#N/A</v>
      </c>
      <c r="R13" s="96" t="e">
        <f>VLOOKUP($P13,flows!$A$2:$J$4985,R$3,FALSE)</f>
        <v>#N/A</v>
      </c>
      <c r="S13" s="96" t="e">
        <f>VLOOKUP($P13,flows!$A$2:$J$4985,S$3,FALSE)</f>
        <v>#N/A</v>
      </c>
      <c r="T13" s="96" t="e">
        <f>VLOOKUP($P13,flows!$A$2:$J$4985,T$3,FALSE)</f>
        <v>#N/A</v>
      </c>
      <c r="U13" s="96" t="e">
        <f>VLOOKUP($P13,flows!$A$2:$J$4985,U$3,FALSE)</f>
        <v>#N/A</v>
      </c>
      <c r="V13" s="96" t="e">
        <f>VLOOKUP($P13,flows!$A$2:$J$4985,V$3,FALSE)</f>
        <v>#N/A</v>
      </c>
      <c r="W13" s="96" t="e">
        <f>VLOOKUP($P13,flows!$A$2:$J$4985,W$3,FALSE)</f>
        <v>#N/A</v>
      </c>
      <c r="X13" s="96" t="e">
        <f>VLOOKUP($P13,flows!$A$2:$J$4985,X$3,FALSE)</f>
        <v>#N/A</v>
      </c>
      <c r="Z13" s="190" t="s">
        <v>1655</v>
      </c>
      <c r="AA13" s="40" t="s">
        <v>1323</v>
      </c>
      <c r="AB13" s="97" t="e">
        <f t="shared" si="6"/>
        <v>#N/A</v>
      </c>
      <c r="AC13" s="98" t="e">
        <f t="shared" ref="AC13:AC17" si="11">I14/$I$21</f>
        <v>#N/A</v>
      </c>
    </row>
    <row r="14" spans="1:29" x14ac:dyDescent="0.35">
      <c r="A14" s="898" t="s">
        <v>1655</v>
      </c>
      <c r="B14" s="902" t="s">
        <v>2348</v>
      </c>
      <c r="C14" s="896" t="e">
        <f>Q56</f>
        <v>#N/A</v>
      </c>
      <c r="D14" s="896" t="e">
        <f t="shared" ref="D14:J14" si="12">R56</f>
        <v>#N/A</v>
      </c>
      <c r="E14" s="896" t="e">
        <f t="shared" si="12"/>
        <v>#N/A</v>
      </c>
      <c r="F14" s="896" t="e">
        <f t="shared" si="12"/>
        <v>#N/A</v>
      </c>
      <c r="G14" s="896" t="e">
        <f t="shared" si="12"/>
        <v>#N/A</v>
      </c>
      <c r="H14" s="896" t="e">
        <f t="shared" si="12"/>
        <v>#N/A</v>
      </c>
      <c r="I14" s="896" t="e">
        <f t="shared" si="12"/>
        <v>#N/A</v>
      </c>
      <c r="J14" s="896" t="e">
        <f t="shared" si="12"/>
        <v>#N/A</v>
      </c>
      <c r="K14" s="898">
        <v>264618.46900213789</v>
      </c>
      <c r="L14" s="898">
        <v>271017.1199475209</v>
      </c>
      <c r="M14" s="84" t="e">
        <f>IF('Strom - Inst. Kapazitäten'!I14&lt;=0,0,I14/'Strom - Inst. Kapazitäten'!I14)</f>
        <v>#N/A</v>
      </c>
      <c r="N14" s="385" t="e">
        <f t="shared" si="1"/>
        <v>#N/A</v>
      </c>
      <c r="P14" s="99" t="s">
        <v>1310</v>
      </c>
      <c r="Q14" s="96" t="e">
        <f t="shared" ref="Q14:X14" si="13">SUM(Q11:Q13)</f>
        <v>#N/A</v>
      </c>
      <c r="R14" s="96" t="e">
        <f t="shared" si="13"/>
        <v>#N/A</v>
      </c>
      <c r="S14" s="96" t="e">
        <f t="shared" si="13"/>
        <v>#N/A</v>
      </c>
      <c r="T14" s="96" t="e">
        <f t="shared" si="13"/>
        <v>#N/A</v>
      </c>
      <c r="U14" s="96" t="e">
        <f t="shared" si="13"/>
        <v>#N/A</v>
      </c>
      <c r="V14" s="96" t="e">
        <f t="shared" si="13"/>
        <v>#N/A</v>
      </c>
      <c r="W14" s="96" t="e">
        <f t="shared" si="13"/>
        <v>#N/A</v>
      </c>
      <c r="X14" s="96" t="e">
        <f t="shared" si="13"/>
        <v>#N/A</v>
      </c>
      <c r="Z14" s="190" t="s">
        <v>1523</v>
      </c>
      <c r="AA14" s="40" t="s">
        <v>1427</v>
      </c>
      <c r="AB14" s="97" t="e">
        <f t="shared" si="6"/>
        <v>#N/A</v>
      </c>
      <c r="AC14" s="98" t="e">
        <f t="shared" si="11"/>
        <v>#N/A</v>
      </c>
    </row>
    <row r="15" spans="1:29" x14ac:dyDescent="0.35">
      <c r="A15" s="352" t="s">
        <v>1523</v>
      </c>
      <c r="B15" s="40" t="s">
        <v>2349</v>
      </c>
      <c r="C15" s="96" t="e">
        <f t="shared" ref="C15:J15" si="14">Q69</f>
        <v>#N/A</v>
      </c>
      <c r="D15" s="96" t="e">
        <f t="shared" si="14"/>
        <v>#N/A</v>
      </c>
      <c r="E15" s="96" t="e">
        <f t="shared" si="14"/>
        <v>#N/A</v>
      </c>
      <c r="F15" s="96" t="e">
        <f t="shared" si="14"/>
        <v>#N/A</v>
      </c>
      <c r="G15" s="96" t="e">
        <f t="shared" si="14"/>
        <v>#N/A</v>
      </c>
      <c r="H15" s="96" t="e">
        <f t="shared" si="14"/>
        <v>#N/A</v>
      </c>
      <c r="I15" s="96" t="e">
        <f t="shared" si="14"/>
        <v>#N/A</v>
      </c>
      <c r="J15" s="96" t="e">
        <f t="shared" si="14"/>
        <v>#N/A</v>
      </c>
      <c r="K15" s="132">
        <v>23783.230189891499</v>
      </c>
      <c r="L15" s="900">
        <v>23667.916788316368</v>
      </c>
      <c r="M15" s="84" t="e">
        <f>IF('Strom - Inst. Kapazitäten'!I15&lt;=0,0,I15/'Strom - Inst. Kapazitäten'!I15)</f>
        <v>#N/A</v>
      </c>
      <c r="N15" s="385" t="e">
        <f t="shared" si="1"/>
        <v>#N/A</v>
      </c>
      <c r="P15" s="40"/>
      <c r="Q15" s="92"/>
      <c r="R15" s="92"/>
      <c r="S15" s="92"/>
      <c r="T15" s="92"/>
      <c r="U15" s="92"/>
      <c r="V15" s="92"/>
      <c r="W15" s="92"/>
      <c r="X15" s="92"/>
      <c r="Z15" s="190" t="s">
        <v>1885</v>
      </c>
      <c r="AA15" s="40" t="s">
        <v>1209</v>
      </c>
      <c r="AB15" s="97" t="e">
        <f t="shared" si="6"/>
        <v>#N/A</v>
      </c>
      <c r="AC15" s="98" t="e">
        <f t="shared" si="11"/>
        <v>#N/A</v>
      </c>
    </row>
    <row r="16" spans="1:29" x14ac:dyDescent="0.35">
      <c r="A16" s="352" t="s">
        <v>1885</v>
      </c>
      <c r="B16" s="40" t="s">
        <v>1209</v>
      </c>
      <c r="C16" s="96" t="e">
        <f>Q81</f>
        <v>#N/A</v>
      </c>
      <c r="D16" s="96" t="e">
        <f t="shared" ref="D16:J16" si="15">R81</f>
        <v>#N/A</v>
      </c>
      <c r="E16" s="96" t="e">
        <f t="shared" si="15"/>
        <v>#N/A</v>
      </c>
      <c r="F16" s="96" t="e">
        <f t="shared" si="15"/>
        <v>#N/A</v>
      </c>
      <c r="G16" s="96" t="e">
        <f t="shared" si="15"/>
        <v>#N/A</v>
      </c>
      <c r="H16" s="96" t="e">
        <f t="shared" si="15"/>
        <v>#N/A</v>
      </c>
      <c r="I16" s="96" t="e">
        <f t="shared" si="15"/>
        <v>#N/A</v>
      </c>
      <c r="J16" s="96" t="e">
        <f t="shared" si="15"/>
        <v>#N/A</v>
      </c>
      <c r="K16" s="132">
        <v>21363.124866393053</v>
      </c>
      <c r="L16" s="900">
        <v>14229.647058696093</v>
      </c>
      <c r="M16" s="84" t="e">
        <f>IF('Strom - Inst. Kapazitäten'!I16&lt;=0,0,I16/'Strom - Inst. Kapazitäten'!I16)</f>
        <v>#N/A</v>
      </c>
      <c r="N16" s="385" t="e">
        <f t="shared" si="1"/>
        <v>#N/A</v>
      </c>
      <c r="P16" s="40" t="s">
        <v>956</v>
      </c>
      <c r="Q16" s="96" t="e">
        <f>VLOOKUP($P16,flows!$A$2:$J$4985,Q$3,FALSE)</f>
        <v>#N/A</v>
      </c>
      <c r="R16" s="96" t="e">
        <f>VLOOKUP($P16,flows!$A$2:$J$4985,R$3,FALSE)</f>
        <v>#N/A</v>
      </c>
      <c r="S16" s="96" t="e">
        <f>VLOOKUP($P16,flows!$A$2:$J$4985,S$3,FALSE)</f>
        <v>#N/A</v>
      </c>
      <c r="T16" s="96" t="e">
        <f>VLOOKUP($P16,flows!$A$2:$J$4985,T$3,FALSE)</f>
        <v>#N/A</v>
      </c>
      <c r="U16" s="96" t="e">
        <f>VLOOKUP($P16,flows!$A$2:$J$4985,U$3,FALSE)</f>
        <v>#N/A</v>
      </c>
      <c r="V16" s="96" t="e">
        <f>VLOOKUP($P16,flows!$A$2:$J$4985,V$3,FALSE)</f>
        <v>#N/A</v>
      </c>
      <c r="W16" s="96" t="e">
        <f>VLOOKUP($P16,flows!$A$2:$J$4985,W$3,FALSE)</f>
        <v>#N/A</v>
      </c>
      <c r="X16" s="96" t="e">
        <f>VLOOKUP($P16,flows!$A$2:$J$4985,X$3,FALSE)</f>
        <v>#N/A</v>
      </c>
      <c r="Z16" s="190" t="s">
        <v>1816</v>
      </c>
      <c r="AA16" s="40" t="s">
        <v>1466</v>
      </c>
      <c r="AB16" s="97" t="e">
        <f t="shared" si="6"/>
        <v>#N/A</v>
      </c>
      <c r="AC16" s="98" t="e">
        <f t="shared" si="11"/>
        <v>#N/A</v>
      </c>
    </row>
    <row r="17" spans="1:29" x14ac:dyDescent="0.35">
      <c r="A17" s="352" t="s">
        <v>1816</v>
      </c>
      <c r="B17" s="40" t="s">
        <v>1162</v>
      </c>
      <c r="C17" s="96" t="e">
        <f>Q94</f>
        <v>#N/A</v>
      </c>
      <c r="D17" s="96" t="e">
        <f t="shared" ref="D17:J17" si="16">R94</f>
        <v>#N/A</v>
      </c>
      <c r="E17" s="96" t="e">
        <f t="shared" si="16"/>
        <v>#N/A</v>
      </c>
      <c r="F17" s="96" t="e">
        <f t="shared" si="16"/>
        <v>#N/A</v>
      </c>
      <c r="G17" s="96" t="e">
        <f t="shared" si="16"/>
        <v>#N/A</v>
      </c>
      <c r="H17" s="96" t="e">
        <f t="shared" si="16"/>
        <v>#N/A</v>
      </c>
      <c r="I17" s="96" t="e">
        <f t="shared" si="16"/>
        <v>#N/A</v>
      </c>
      <c r="J17" s="96" t="e">
        <f t="shared" si="16"/>
        <v>#N/A</v>
      </c>
      <c r="K17" s="132">
        <v>35976.666844614236</v>
      </c>
      <c r="L17" s="900">
        <v>58970.26166927741</v>
      </c>
      <c r="M17" s="84" t="e">
        <f>IF('Strom - Inst. Kapazitäten'!I17&lt;=0,0,I17/'Strom - Inst. Kapazitäten'!I17)</f>
        <v>#N/A</v>
      </c>
      <c r="N17" s="385" t="e">
        <f t="shared" si="1"/>
        <v>#N/A</v>
      </c>
      <c r="P17" s="99" t="s">
        <v>1421</v>
      </c>
      <c r="Q17" s="96" t="e">
        <f t="shared" ref="Q17:X17" si="17">SUM(Q16:Q16)</f>
        <v>#N/A</v>
      </c>
      <c r="R17" s="96" t="e">
        <f t="shared" si="17"/>
        <v>#N/A</v>
      </c>
      <c r="S17" s="96" t="e">
        <f t="shared" si="17"/>
        <v>#N/A</v>
      </c>
      <c r="T17" s="96" t="e">
        <f t="shared" si="17"/>
        <v>#N/A</v>
      </c>
      <c r="U17" s="96" t="e">
        <f t="shared" si="17"/>
        <v>#N/A</v>
      </c>
      <c r="V17" s="96" t="e">
        <f t="shared" si="17"/>
        <v>#N/A</v>
      </c>
      <c r="W17" s="96" t="e">
        <f t="shared" si="17"/>
        <v>#N/A</v>
      </c>
      <c r="X17" s="96" t="e">
        <f t="shared" si="17"/>
        <v>#N/A</v>
      </c>
      <c r="Z17" s="190" t="s">
        <v>1942</v>
      </c>
      <c r="AA17" s="40" t="s">
        <v>1208</v>
      </c>
      <c r="AB17" s="97" t="e">
        <f t="shared" si="6"/>
        <v>#N/A</v>
      </c>
      <c r="AC17" s="98" t="e">
        <f t="shared" si="11"/>
        <v>#N/A</v>
      </c>
    </row>
    <row r="18" spans="1:29" ht="15" thickBot="1" x14ac:dyDescent="0.4">
      <c r="A18" s="352" t="s">
        <v>1942</v>
      </c>
      <c r="B18" s="40" t="s">
        <v>1208</v>
      </c>
      <c r="C18" s="96" t="e">
        <f t="shared" ref="C18:J18" si="18">Q98</f>
        <v>#N/A</v>
      </c>
      <c r="D18" s="96" t="e">
        <f t="shared" si="18"/>
        <v>#N/A</v>
      </c>
      <c r="E18" s="96" t="e">
        <f t="shared" si="18"/>
        <v>#N/A</v>
      </c>
      <c r="F18" s="96" t="e">
        <f t="shared" si="18"/>
        <v>#N/A</v>
      </c>
      <c r="G18" s="96" t="e">
        <f t="shared" si="18"/>
        <v>#N/A</v>
      </c>
      <c r="H18" s="96" t="e">
        <f t="shared" si="18"/>
        <v>#N/A</v>
      </c>
      <c r="I18" s="96" t="e">
        <f t="shared" si="18"/>
        <v>#N/A</v>
      </c>
      <c r="J18" s="96" t="e">
        <f t="shared" si="18"/>
        <v>#N/A</v>
      </c>
      <c r="K18" s="132">
        <v>2214.2870108274155</v>
      </c>
      <c r="L18" s="900">
        <v>1230.2444909655615</v>
      </c>
      <c r="M18" s="84" t="e">
        <f>IF('Strom - Inst. Kapazitäten'!I18&lt;=0,0,I18/'Strom - Inst. Kapazitäten'!I18)</f>
        <v>#N/A</v>
      </c>
      <c r="N18" s="385" t="e">
        <f t="shared" si="1"/>
        <v>#N/A</v>
      </c>
      <c r="P18" s="40"/>
      <c r="Q18" s="92"/>
      <c r="R18" s="92"/>
      <c r="S18" s="92"/>
      <c r="T18" s="92"/>
      <c r="U18" s="92"/>
      <c r="V18" s="92"/>
      <c r="W18" s="92"/>
      <c r="X18" s="92"/>
      <c r="Z18" s="190" t="s">
        <v>1673</v>
      </c>
      <c r="AA18" s="135" t="s">
        <v>1657</v>
      </c>
      <c r="AB18" s="100" t="e">
        <f t="shared" si="6"/>
        <v>#N/A</v>
      </c>
      <c r="AC18" s="98" t="e">
        <f>I19/$I$21</f>
        <v>#N/A</v>
      </c>
    </row>
    <row r="19" spans="1:29" x14ac:dyDescent="0.35">
      <c r="A19" s="190" t="s">
        <v>2350</v>
      </c>
      <c r="B19" s="40" t="s">
        <v>2350</v>
      </c>
      <c r="C19" s="96" t="e">
        <f t="shared" ref="C19:J20" si="19">Q126</f>
        <v>#N/A</v>
      </c>
      <c r="D19" s="96" t="e">
        <f t="shared" si="19"/>
        <v>#N/A</v>
      </c>
      <c r="E19" s="96" t="e">
        <f t="shared" si="19"/>
        <v>#N/A</v>
      </c>
      <c r="F19" s="96" t="e">
        <f t="shared" si="19"/>
        <v>#N/A</v>
      </c>
      <c r="G19" s="96" t="e">
        <f t="shared" si="19"/>
        <v>#N/A</v>
      </c>
      <c r="H19" s="96" t="e">
        <f t="shared" si="19"/>
        <v>#N/A</v>
      </c>
      <c r="I19" s="96" t="e">
        <f t="shared" si="19"/>
        <v>#N/A</v>
      </c>
      <c r="J19" s="96" t="e">
        <f>X126</f>
        <v>#N/A</v>
      </c>
      <c r="K19" s="132">
        <v>77654.985682766099</v>
      </c>
      <c r="L19" s="900">
        <v>75827.112012227401</v>
      </c>
      <c r="M19" s="84"/>
      <c r="P19" s="40" t="s">
        <v>758</v>
      </c>
      <c r="Q19" s="96" t="e">
        <f>VLOOKUP($P19,flows!$A$2:$J$4985,Q$3,FALSE)</f>
        <v>#N/A</v>
      </c>
      <c r="R19" s="96" t="e">
        <f>VLOOKUP($P19,flows!$A$2:$J$4985,R$3,FALSE)</f>
        <v>#N/A</v>
      </c>
      <c r="S19" s="96" t="e">
        <f>VLOOKUP($P19,flows!$A$2:$J$4985,S$3,FALSE)</f>
        <v>#N/A</v>
      </c>
      <c r="T19" s="96" t="e">
        <f>VLOOKUP($P19,flows!$A$2:$J$4985,T$3,FALSE)</f>
        <v>#N/A</v>
      </c>
      <c r="U19" s="96" t="e">
        <f>VLOOKUP($P19,flows!$A$2:$J$4985,U$3,FALSE)</f>
        <v>#N/A</v>
      </c>
      <c r="V19" s="96" t="e">
        <f>VLOOKUP($P19,flows!$A$2:$J$4985,V$3,FALSE)</f>
        <v>#N/A</v>
      </c>
      <c r="W19" s="96" t="e">
        <f>VLOOKUP($P19,flows!$A$2:$J$4985,W$3,FALSE)</f>
        <v>#N/A</v>
      </c>
      <c r="X19" s="96" t="e">
        <f>VLOOKUP($P19,flows!$A$2:$J$4985,X$3,FALSE)</f>
        <v>#N/A</v>
      </c>
      <c r="AA19" s="157" t="s">
        <v>2213</v>
      </c>
      <c r="AB19" s="285" t="e">
        <f>AB18+AB15+AB14+AB13+AB12+AB11+AB10+AB8*Erdgas!G16+AB16*'Wasserstoff - Produktion'!F20</f>
        <v>#N/A</v>
      </c>
      <c r="AC19" s="98" t="e">
        <f>I20</f>
        <v>#N/A</v>
      </c>
    </row>
    <row r="20" spans="1:29" x14ac:dyDescent="0.35">
      <c r="A20" s="190" t="s">
        <v>2351</v>
      </c>
      <c r="B20" s="40" t="str">
        <f>P127</f>
        <v>RE share</v>
      </c>
      <c r="C20" s="386" t="e">
        <f>Q127</f>
        <v>#N/A</v>
      </c>
      <c r="D20" s="386" t="e">
        <f>R127</f>
        <v>#N/A</v>
      </c>
      <c r="E20" s="92" t="e">
        <f t="shared" si="19"/>
        <v>#N/A</v>
      </c>
      <c r="F20" s="92" t="e">
        <f t="shared" si="19"/>
        <v>#N/A</v>
      </c>
      <c r="G20" s="92" t="e">
        <f t="shared" si="19"/>
        <v>#N/A</v>
      </c>
      <c r="H20" s="92" t="e">
        <f t="shared" si="19"/>
        <v>#N/A</v>
      </c>
      <c r="I20" s="92" t="e">
        <f t="shared" si="19"/>
        <v>#N/A</v>
      </c>
      <c r="J20" s="92" t="e">
        <f t="shared" si="19"/>
        <v>#N/A</v>
      </c>
      <c r="K20" s="132">
        <v>0.99754063170735374</v>
      </c>
      <c r="L20" s="900">
        <v>0.99835942082545881</v>
      </c>
      <c r="M20" s="862"/>
      <c r="P20" s="40" t="s">
        <v>759</v>
      </c>
      <c r="Q20" s="96" t="e">
        <f>VLOOKUP($P20,flows!$A$2:$J$4985,Q$3,FALSE)</f>
        <v>#N/A</v>
      </c>
      <c r="R20" s="96" t="e">
        <f>VLOOKUP($P20,flows!$A$2:$J$4985,R$3,FALSE)</f>
        <v>#N/A</v>
      </c>
      <c r="S20" s="96" t="e">
        <f>VLOOKUP($P20,flows!$A$2:$J$4985,S$3,FALSE)</f>
        <v>#N/A</v>
      </c>
      <c r="T20" s="96" t="e">
        <f>VLOOKUP($P20,flows!$A$2:$J$4985,T$3,FALSE)</f>
        <v>#N/A</v>
      </c>
      <c r="U20" s="96" t="e">
        <f>VLOOKUP($P20,flows!$A$2:$J$4985,U$3,FALSE)</f>
        <v>#N/A</v>
      </c>
      <c r="V20" s="96" t="e">
        <f>VLOOKUP($P20,flows!$A$2:$J$4985,V$3,FALSE)</f>
        <v>#N/A</v>
      </c>
      <c r="W20" s="96" t="e">
        <f>VLOOKUP($P20,flows!$A$2:$J$4985,W$3,FALSE)</f>
        <v>#N/A</v>
      </c>
      <c r="X20" s="96" t="e">
        <f>VLOOKUP($P20,flows!$A$2:$J$4985,X$3,FALSE)</f>
        <v>#N/A</v>
      </c>
    </row>
    <row r="21" spans="1:29" ht="15" thickBot="1" x14ac:dyDescent="0.4">
      <c r="B21" s="41" t="s">
        <v>1229</v>
      </c>
      <c r="C21" s="101" t="e">
        <f t="shared" ref="C21:J21" si="20">SUM(C5:C19)</f>
        <v>#N/A</v>
      </c>
      <c r="D21" s="101" t="e">
        <f t="shared" si="20"/>
        <v>#N/A</v>
      </c>
      <c r="E21" s="101" t="e">
        <f t="shared" si="20"/>
        <v>#N/A</v>
      </c>
      <c r="F21" s="101" t="e">
        <f t="shared" si="20"/>
        <v>#N/A</v>
      </c>
      <c r="G21" s="101" t="e">
        <f t="shared" si="20"/>
        <v>#N/A</v>
      </c>
      <c r="H21" s="101" t="e">
        <f t="shared" si="20"/>
        <v>#N/A</v>
      </c>
      <c r="I21" s="101" t="e">
        <f t="shared" si="20"/>
        <v>#N/A</v>
      </c>
      <c r="J21" s="101" t="e">
        <f t="shared" si="20"/>
        <v>#N/A</v>
      </c>
      <c r="K21" s="132">
        <v>1051192.4917364714</v>
      </c>
      <c r="L21" s="900">
        <v>1061303.3397590443</v>
      </c>
      <c r="M21" s="101"/>
      <c r="P21" s="40" t="s">
        <v>761</v>
      </c>
      <c r="Q21" s="96" t="e">
        <f>VLOOKUP($P21,flows!$A$2:$J$4985,Q$3,FALSE)</f>
        <v>#N/A</v>
      </c>
      <c r="R21" s="96" t="e">
        <f>VLOOKUP($P21,flows!$A$2:$J$4985,R$3,FALSE)</f>
        <v>#N/A</v>
      </c>
      <c r="S21" s="96" t="e">
        <f>VLOOKUP($P21,flows!$A$2:$J$4985,S$3,FALSE)</f>
        <v>#N/A</v>
      </c>
      <c r="T21" s="96" t="e">
        <f>VLOOKUP($P21,flows!$A$2:$J$4985,T$3,FALSE)</f>
        <v>#N/A</v>
      </c>
      <c r="U21" s="96" t="e">
        <f>VLOOKUP($P21,flows!$A$2:$J$4985,U$3,FALSE)</f>
        <v>#N/A</v>
      </c>
      <c r="V21" s="96" t="e">
        <f>VLOOKUP($P21,flows!$A$2:$J$4985,V$3,FALSE)</f>
        <v>#N/A</v>
      </c>
      <c r="W21" s="96" t="e">
        <f>VLOOKUP($P21,flows!$A$2:$J$4985,W$3,FALSE)</f>
        <v>#N/A</v>
      </c>
      <c r="X21" s="96" t="e">
        <f>VLOOKUP($P21,flows!$A$2:$J$4985,X$3,FALSE)</f>
        <v>#N/A</v>
      </c>
    </row>
    <row r="22" spans="1:29" x14ac:dyDescent="0.35">
      <c r="D22" s="854"/>
      <c r="E22" s="854"/>
      <c r="F22" s="854"/>
      <c r="G22" s="854"/>
      <c r="H22" s="854"/>
      <c r="I22" s="854"/>
      <c r="J22" s="854"/>
      <c r="P22" s="40" t="s">
        <v>617</v>
      </c>
      <c r="Q22" s="96" t="e">
        <f>VLOOKUP($P22,flows!$A$2:$J$4985,Q$3,FALSE)</f>
        <v>#N/A</v>
      </c>
      <c r="R22" s="96" t="e">
        <f>VLOOKUP($P22,flows!$A$2:$J$4985,R$3,FALSE)</f>
        <v>#N/A</v>
      </c>
      <c r="S22" s="96" t="e">
        <f>VLOOKUP($P22,flows!$A$2:$J$4985,S$3,FALSE)</f>
        <v>#N/A</v>
      </c>
      <c r="T22" s="96" t="e">
        <f>VLOOKUP($P22,flows!$A$2:$J$4985,T$3,FALSE)</f>
        <v>#N/A</v>
      </c>
      <c r="U22" s="96" t="e">
        <f>VLOOKUP($P22,flows!$A$2:$J$4985,U$3,FALSE)</f>
        <v>#N/A</v>
      </c>
      <c r="V22" s="96" t="e">
        <f>VLOOKUP($P22,flows!$A$2:$J$4985,V$3,FALSE)</f>
        <v>#N/A</v>
      </c>
      <c r="W22" s="96" t="e">
        <f>VLOOKUP($P22,flows!$A$2:$J$4985,W$3,FALSE)</f>
        <v>#N/A</v>
      </c>
      <c r="X22" s="96" t="e">
        <f>VLOOKUP($P22,flows!$A$2:$J$4985,X$3,FALSE)</f>
        <v>#N/A</v>
      </c>
    </row>
    <row r="23" spans="1:29" x14ac:dyDescent="0.35">
      <c r="P23" s="40" t="s">
        <v>618</v>
      </c>
      <c r="Q23" s="96" t="e">
        <f>VLOOKUP($P23,flows!$A$2:$J$4985,Q$3,FALSE)</f>
        <v>#N/A</v>
      </c>
      <c r="R23" s="96" t="e">
        <f>VLOOKUP($P23,flows!$A$2:$J$4985,R$3,FALSE)</f>
        <v>#N/A</v>
      </c>
      <c r="S23" s="96" t="e">
        <f>VLOOKUP($P23,flows!$A$2:$J$4985,S$3,FALSE)</f>
        <v>#N/A</v>
      </c>
      <c r="T23" s="96" t="e">
        <f>VLOOKUP($P23,flows!$A$2:$J$4985,T$3,FALSE)</f>
        <v>#N/A</v>
      </c>
      <c r="U23" s="96" t="e">
        <f>VLOOKUP($P23,flows!$A$2:$J$4985,U$3,FALSE)</f>
        <v>#N/A</v>
      </c>
      <c r="V23" s="96" t="e">
        <f>VLOOKUP($P23,flows!$A$2:$J$4985,V$3,FALSE)</f>
        <v>#N/A</v>
      </c>
      <c r="W23" s="96" t="e">
        <f>VLOOKUP($P23,flows!$A$2:$J$4985,W$3,FALSE)</f>
        <v>#N/A</v>
      </c>
      <c r="X23" s="96" t="e">
        <f>VLOOKUP($P23,flows!$A$2:$J$4985,X$3,FALSE)</f>
        <v>#N/A</v>
      </c>
    </row>
    <row r="24" spans="1:29" x14ac:dyDescent="0.35">
      <c r="P24" s="40" t="s">
        <v>926</v>
      </c>
      <c r="Q24" s="96" t="e">
        <f>VLOOKUP($P24,flows!$A$2:$J$4985,Q$3,FALSE)</f>
        <v>#N/A</v>
      </c>
      <c r="R24" s="96" t="e">
        <f>VLOOKUP($P24,flows!$A$2:$J$4985,R$3,FALSE)</f>
        <v>#N/A</v>
      </c>
      <c r="S24" s="96" t="e">
        <f>VLOOKUP($P24,flows!$A$2:$J$4985,S$3,FALSE)</f>
        <v>#N/A</v>
      </c>
      <c r="T24" s="96" t="e">
        <f>VLOOKUP($P24,flows!$A$2:$J$4985,T$3,FALSE)</f>
        <v>#N/A</v>
      </c>
      <c r="U24" s="96" t="e">
        <f>VLOOKUP($P24,flows!$A$2:$J$4985,U$3,FALSE)</f>
        <v>#N/A</v>
      </c>
      <c r="V24" s="96" t="e">
        <f>VLOOKUP($P24,flows!$A$2:$J$4985,V$3,FALSE)</f>
        <v>#N/A</v>
      </c>
      <c r="W24" s="96" t="e">
        <f>VLOOKUP($P24,flows!$A$2:$J$4985,W$3,FALSE)</f>
        <v>#N/A</v>
      </c>
      <c r="X24" s="96" t="e">
        <f>VLOOKUP($P24,flows!$A$2:$J$4985,X$3,FALSE)</f>
        <v>#N/A</v>
      </c>
    </row>
    <row r="25" spans="1:29" x14ac:dyDescent="0.35">
      <c r="P25" s="99" t="s">
        <v>1161</v>
      </c>
      <c r="Q25" s="96" t="e">
        <f t="shared" ref="Q25:W25" si="21">SUM(Q19:Q24)</f>
        <v>#N/A</v>
      </c>
      <c r="R25" s="96" t="e">
        <f t="shared" si="21"/>
        <v>#N/A</v>
      </c>
      <c r="S25" s="96" t="e">
        <f t="shared" si="21"/>
        <v>#N/A</v>
      </c>
      <c r="T25" s="96" t="e">
        <f t="shared" si="21"/>
        <v>#N/A</v>
      </c>
      <c r="U25" s="96" t="e">
        <f t="shared" si="21"/>
        <v>#N/A</v>
      </c>
      <c r="V25" s="96" t="e">
        <f t="shared" si="21"/>
        <v>#N/A</v>
      </c>
      <c r="W25" s="96" t="e">
        <f t="shared" si="21"/>
        <v>#N/A</v>
      </c>
      <c r="X25" s="96" t="e">
        <f>SUM(X19:X24)</f>
        <v>#N/A</v>
      </c>
    </row>
    <row r="26" spans="1:29" x14ac:dyDescent="0.35">
      <c r="P26" s="99" t="s">
        <v>4064</v>
      </c>
      <c r="Q26" s="97" t="e">
        <f>Erdgas!F16</f>
        <v>#N/A</v>
      </c>
      <c r="R26" s="97" t="e">
        <f>Erdgas!G16</f>
        <v>#N/A</v>
      </c>
      <c r="S26" s="97" t="e">
        <f>Erdgas!H16</f>
        <v>#N/A</v>
      </c>
      <c r="T26" s="97" t="e">
        <f>Erdgas!I16</f>
        <v>#N/A</v>
      </c>
      <c r="U26" s="97" t="e">
        <f>Erdgas!J16</f>
        <v>#N/A</v>
      </c>
      <c r="V26" s="97" t="e">
        <f>Erdgas!K16</f>
        <v>#N/A</v>
      </c>
      <c r="W26" s="97" t="e">
        <f>Erdgas!L16</f>
        <v>#N/A</v>
      </c>
      <c r="X26" s="97" t="e">
        <f>Erdgas!M16</f>
        <v>#N/A</v>
      </c>
    </row>
    <row r="27" spans="1:29" x14ac:dyDescent="0.35">
      <c r="P27" s="99" t="s">
        <v>4067</v>
      </c>
      <c r="Q27" s="92" t="e">
        <f>Q25*(1-Q26)</f>
        <v>#N/A</v>
      </c>
      <c r="R27" s="92" t="e">
        <f t="shared" ref="R27:W27" si="22">R25*(1-R26)</f>
        <v>#N/A</v>
      </c>
      <c r="S27" s="92" t="e">
        <f t="shared" si="22"/>
        <v>#N/A</v>
      </c>
      <c r="T27" s="92" t="e">
        <f t="shared" si="22"/>
        <v>#N/A</v>
      </c>
      <c r="U27" s="92" t="e">
        <f t="shared" si="22"/>
        <v>#N/A</v>
      </c>
      <c r="V27" s="92" t="e">
        <f t="shared" si="22"/>
        <v>#N/A</v>
      </c>
      <c r="W27" s="92" t="e">
        <f t="shared" si="22"/>
        <v>#N/A</v>
      </c>
      <c r="X27" s="92" t="e">
        <f>X25*(1-X26)</f>
        <v>#N/A</v>
      </c>
    </row>
    <row r="28" spans="1:29" x14ac:dyDescent="0.35">
      <c r="P28" s="40" t="s">
        <v>4220</v>
      </c>
      <c r="Q28" s="92" t="e">
        <f>Q26*Q25</f>
        <v>#N/A</v>
      </c>
      <c r="R28" s="92" t="e">
        <f t="shared" ref="R28:X28" si="23">R26*R25</f>
        <v>#N/A</v>
      </c>
      <c r="S28" s="92" t="e">
        <f t="shared" si="23"/>
        <v>#N/A</v>
      </c>
      <c r="T28" s="92" t="e">
        <f t="shared" si="23"/>
        <v>#N/A</v>
      </c>
      <c r="U28" s="92" t="e">
        <f t="shared" si="23"/>
        <v>#N/A</v>
      </c>
      <c r="V28" s="92" t="e">
        <f t="shared" si="23"/>
        <v>#N/A</v>
      </c>
      <c r="W28" s="92" t="e">
        <f t="shared" si="23"/>
        <v>#N/A</v>
      </c>
      <c r="X28" s="92" t="e">
        <f t="shared" si="23"/>
        <v>#N/A</v>
      </c>
    </row>
    <row r="29" spans="1:29" x14ac:dyDescent="0.35">
      <c r="P29" s="40"/>
      <c r="Q29" s="92"/>
      <c r="R29" s="92"/>
      <c r="S29" s="92"/>
      <c r="T29" s="92"/>
      <c r="U29" s="92"/>
      <c r="V29" s="92"/>
      <c r="W29" s="92"/>
      <c r="X29" s="96"/>
    </row>
    <row r="30" spans="1:29" x14ac:dyDescent="0.35">
      <c r="P30" s="40" t="s">
        <v>974</v>
      </c>
      <c r="Q30" s="96" t="e">
        <f>VLOOKUP($P30,flows!$A$2:$J$4985,Q$3,FALSE)</f>
        <v>#N/A</v>
      </c>
      <c r="R30" s="96" t="e">
        <f>VLOOKUP($P30,flows!$A$2:$J$4985,R$3,FALSE)</f>
        <v>#N/A</v>
      </c>
      <c r="S30" s="96" t="e">
        <f>VLOOKUP($P30,flows!$A$2:$J$4985,S$3,FALSE)</f>
        <v>#N/A</v>
      </c>
      <c r="T30" s="96" t="e">
        <f>VLOOKUP($P30,flows!$A$2:$J$4985,T$3,FALSE)</f>
        <v>#N/A</v>
      </c>
      <c r="U30" s="96" t="e">
        <f>VLOOKUP($P30,flows!$A$2:$J$4985,U$3,FALSE)</f>
        <v>#N/A</v>
      </c>
      <c r="V30" s="96" t="e">
        <f>VLOOKUP($P30,flows!$A$2:$J$4985,V$3,FALSE)</f>
        <v>#N/A</v>
      </c>
      <c r="W30" s="96" t="e">
        <f>VLOOKUP($P30,flows!$A$2:$J$4985,W$3,FALSE)</f>
        <v>#N/A</v>
      </c>
      <c r="X30" s="96" t="e">
        <f>VLOOKUP($P30,flows!$A$2:$J$4985,X$3,FALSE)</f>
        <v>#N/A</v>
      </c>
    </row>
    <row r="31" spans="1:29" x14ac:dyDescent="0.35">
      <c r="P31" s="99" t="s">
        <v>1207</v>
      </c>
      <c r="Q31" s="96" t="e">
        <f t="shared" ref="Q31:X31" si="24">SUM(Q30:Q30)</f>
        <v>#N/A</v>
      </c>
      <c r="R31" s="96" t="e">
        <f t="shared" si="24"/>
        <v>#N/A</v>
      </c>
      <c r="S31" s="96" t="e">
        <f t="shared" si="24"/>
        <v>#N/A</v>
      </c>
      <c r="T31" s="96" t="e">
        <f t="shared" si="24"/>
        <v>#N/A</v>
      </c>
      <c r="U31" s="96" t="e">
        <f t="shared" si="24"/>
        <v>#N/A</v>
      </c>
      <c r="V31" s="96" t="e">
        <f t="shared" si="24"/>
        <v>#N/A</v>
      </c>
      <c r="W31" s="96" t="e">
        <f t="shared" si="24"/>
        <v>#N/A</v>
      </c>
      <c r="X31" s="96" t="e">
        <f t="shared" si="24"/>
        <v>#N/A</v>
      </c>
    </row>
    <row r="32" spans="1:29" x14ac:dyDescent="0.35">
      <c r="P32" s="40"/>
      <c r="Q32" s="92"/>
      <c r="R32" s="92"/>
      <c r="S32" s="92"/>
      <c r="T32" s="92"/>
      <c r="U32" s="92"/>
      <c r="V32" s="92"/>
      <c r="W32" s="92"/>
      <c r="X32" s="92"/>
    </row>
    <row r="33" spans="16:24" x14ac:dyDescent="0.35">
      <c r="P33" s="40"/>
      <c r="Q33" s="96"/>
      <c r="R33" s="96"/>
      <c r="S33" s="96"/>
      <c r="T33" s="96"/>
      <c r="U33" s="96"/>
      <c r="V33" s="96"/>
      <c r="W33" s="96"/>
      <c r="X33" s="96"/>
    </row>
    <row r="34" spans="16:24" x14ac:dyDescent="0.35">
      <c r="P34" s="40" t="s">
        <v>1053</v>
      </c>
      <c r="Q34" s="96" t="e">
        <f>VLOOKUP($P34,flows!$A$2:$J$4985,Q$3,FALSE)</f>
        <v>#N/A</v>
      </c>
      <c r="R34" s="96" t="e">
        <f>VLOOKUP($P34,flows!$A$2:$J$4985,R$3,FALSE)</f>
        <v>#N/A</v>
      </c>
      <c r="S34" s="96" t="e">
        <f>VLOOKUP($P34,flows!$A$2:$J$4985,S$3,FALSE)</f>
        <v>#N/A</v>
      </c>
      <c r="T34" s="96" t="e">
        <f>VLOOKUP($P34,flows!$A$2:$J$4985,T$3,FALSE)</f>
        <v>#N/A</v>
      </c>
      <c r="U34" s="96" t="e">
        <f>VLOOKUP($P34,flows!$A$2:$J$4985,U$3,FALSE)</f>
        <v>#N/A</v>
      </c>
      <c r="V34" s="96" t="e">
        <f>VLOOKUP($P34,flows!$A$2:$J$4985,V$3,FALSE)</f>
        <v>#N/A</v>
      </c>
      <c r="W34" s="96" t="e">
        <f>VLOOKUP($P34,flows!$A$2:$J$4985,W$3,FALSE)</f>
        <v>#N/A</v>
      </c>
      <c r="X34" s="96" t="e">
        <f>VLOOKUP($P34,flows!$A$2:$J$4985,X$3,FALSE)</f>
        <v>#N/A</v>
      </c>
    </row>
    <row r="35" spans="16:24" x14ac:dyDescent="0.35">
      <c r="P35" s="40" t="s">
        <v>1054</v>
      </c>
      <c r="Q35" s="96" t="e">
        <f>VLOOKUP($P35,flows!$A$2:$J$4985,Q$3,FALSE)</f>
        <v>#N/A</v>
      </c>
      <c r="R35" s="96" t="e">
        <f>VLOOKUP($P35,flows!$A$2:$J$4985,R$3,FALSE)</f>
        <v>#N/A</v>
      </c>
      <c r="S35" s="96" t="e">
        <f>VLOOKUP($P35,flows!$A$2:$J$4985,S$3,FALSE)</f>
        <v>#N/A</v>
      </c>
      <c r="T35" s="96" t="e">
        <f>VLOOKUP($P35,flows!$A$2:$J$4985,T$3,FALSE)</f>
        <v>#N/A</v>
      </c>
      <c r="U35" s="96" t="e">
        <f>VLOOKUP($P35,flows!$A$2:$J$4985,U$3,FALSE)</f>
        <v>#N/A</v>
      </c>
      <c r="V35" s="96" t="e">
        <f>VLOOKUP($P35,flows!$A$2:$J$4985,V$3,FALSE)</f>
        <v>#N/A</v>
      </c>
      <c r="W35" s="96" t="e">
        <f>VLOOKUP($P35,flows!$A$2:$J$4985,W$3,FALSE)</f>
        <v>#N/A</v>
      </c>
      <c r="X35" s="96" t="e">
        <f>VLOOKUP($P35,flows!$A$2:$J$4985,X$3,FALSE)</f>
        <v>#N/A</v>
      </c>
    </row>
    <row r="36" spans="16:24" x14ac:dyDescent="0.35">
      <c r="P36" s="40" t="s">
        <v>1055</v>
      </c>
      <c r="Q36" s="96" t="e">
        <f>VLOOKUP($P36,flows!$A$2:$J$4985,Q$3,FALSE)</f>
        <v>#N/A</v>
      </c>
      <c r="R36" s="96" t="e">
        <f>VLOOKUP($P36,flows!$A$2:$J$4985,R$3,FALSE)</f>
        <v>#N/A</v>
      </c>
      <c r="S36" s="96" t="e">
        <f>VLOOKUP($P36,flows!$A$2:$J$4985,S$3,FALSE)</f>
        <v>#N/A</v>
      </c>
      <c r="T36" s="96" t="e">
        <f>VLOOKUP($P36,flows!$A$2:$J$4985,T$3,FALSE)</f>
        <v>#N/A</v>
      </c>
      <c r="U36" s="96" t="e">
        <f>VLOOKUP($P36,flows!$A$2:$J$4985,U$3,FALSE)</f>
        <v>#N/A</v>
      </c>
      <c r="V36" s="96" t="e">
        <f>VLOOKUP($P36,flows!$A$2:$J$4985,V$3,FALSE)</f>
        <v>#N/A</v>
      </c>
      <c r="W36" s="96" t="e">
        <f>VLOOKUP($P36,flows!$A$2:$J$4985,W$3,FALSE)</f>
        <v>#N/A</v>
      </c>
      <c r="X36" s="96" t="e">
        <f>VLOOKUP($P36,flows!$A$2:$J$4985,X$3,FALSE)</f>
        <v>#N/A</v>
      </c>
    </row>
    <row r="37" spans="16:24" x14ac:dyDescent="0.35">
      <c r="P37" s="40" t="s">
        <v>1056</v>
      </c>
      <c r="Q37" s="96" t="e">
        <f>VLOOKUP($P37,flows!$A$2:$J$4985,Q$3,FALSE)</f>
        <v>#N/A</v>
      </c>
      <c r="R37" s="96" t="e">
        <f>VLOOKUP($P37,flows!$A$2:$J$4985,R$3,FALSE)</f>
        <v>#N/A</v>
      </c>
      <c r="S37" s="96" t="e">
        <f>VLOOKUP($P37,flows!$A$2:$J$4985,S$3,FALSE)</f>
        <v>#N/A</v>
      </c>
      <c r="T37" s="96" t="e">
        <f>VLOOKUP($P37,flows!$A$2:$J$4985,T$3,FALSE)</f>
        <v>#N/A</v>
      </c>
      <c r="U37" s="96" t="e">
        <f>VLOOKUP($P37,flows!$A$2:$J$4985,U$3,FALSE)</f>
        <v>#N/A</v>
      </c>
      <c r="V37" s="96" t="e">
        <f>VLOOKUP($P37,flows!$A$2:$J$4985,V$3,FALSE)</f>
        <v>#N/A</v>
      </c>
      <c r="W37" s="96" t="e">
        <f>VLOOKUP($P37,flows!$A$2:$J$4985,W$3,FALSE)</f>
        <v>#N/A</v>
      </c>
      <c r="X37" s="96" t="e">
        <f>VLOOKUP($P37,flows!$A$2:$J$4985,X$3,FALSE)</f>
        <v>#N/A</v>
      </c>
    </row>
    <row r="38" spans="16:24" x14ac:dyDescent="0.35">
      <c r="P38" s="40" t="s">
        <v>1057</v>
      </c>
      <c r="Q38" s="96" t="e">
        <f>VLOOKUP($P38,flows!$A$2:$J$4985,Q$3,FALSE)</f>
        <v>#N/A</v>
      </c>
      <c r="R38" s="96" t="e">
        <f>VLOOKUP($P38,flows!$A$2:$J$4985,R$3,FALSE)</f>
        <v>#N/A</v>
      </c>
      <c r="S38" s="96" t="e">
        <f>VLOOKUP($P38,flows!$A$2:$J$4985,S$3,FALSE)</f>
        <v>#N/A</v>
      </c>
      <c r="T38" s="96" t="e">
        <f>VLOOKUP($P38,flows!$A$2:$J$4985,T$3,FALSE)</f>
        <v>#N/A</v>
      </c>
      <c r="U38" s="96" t="e">
        <f>VLOOKUP($P38,flows!$A$2:$J$4985,U$3,FALSE)</f>
        <v>#N/A</v>
      </c>
      <c r="V38" s="96" t="e">
        <f>VLOOKUP($P38,flows!$A$2:$J$4985,V$3,FALSE)</f>
        <v>#N/A</v>
      </c>
      <c r="W38" s="96" t="e">
        <f>VLOOKUP($P38,flows!$A$2:$J$4985,W$3,FALSE)</f>
        <v>#N/A</v>
      </c>
      <c r="X38" s="96" t="e">
        <f>VLOOKUP($P38,flows!$A$2:$J$4985,X$3,FALSE)</f>
        <v>#N/A</v>
      </c>
    </row>
    <row r="39" spans="16:24" x14ac:dyDescent="0.35">
      <c r="P39" s="40" t="s">
        <v>1058</v>
      </c>
      <c r="Q39" s="96" t="e">
        <f>VLOOKUP($P39,flows!$A$2:$J$4985,Q$3,FALSE)</f>
        <v>#N/A</v>
      </c>
      <c r="R39" s="96" t="e">
        <f>VLOOKUP($P39,flows!$A$2:$J$4985,R$3,FALSE)</f>
        <v>#N/A</v>
      </c>
      <c r="S39" s="96" t="e">
        <f>VLOOKUP($P39,flows!$A$2:$J$4985,S$3,FALSE)</f>
        <v>#N/A</v>
      </c>
      <c r="T39" s="96" t="e">
        <f>VLOOKUP($P39,flows!$A$2:$J$4985,T$3,FALSE)</f>
        <v>#N/A</v>
      </c>
      <c r="U39" s="96" t="e">
        <f>VLOOKUP($P39,flows!$A$2:$J$4985,U$3,FALSE)</f>
        <v>#N/A</v>
      </c>
      <c r="V39" s="96" t="e">
        <f>VLOOKUP($P39,flows!$A$2:$J$4985,V$3,FALSE)</f>
        <v>#N/A</v>
      </c>
      <c r="W39" s="96" t="e">
        <f>VLOOKUP($P39,flows!$A$2:$J$4985,W$3,FALSE)</f>
        <v>#N/A</v>
      </c>
      <c r="X39" s="96" t="e">
        <f>VLOOKUP($P39,flows!$A$2:$J$4985,X$3,FALSE)</f>
        <v>#N/A</v>
      </c>
    </row>
    <row r="40" spans="16:24" x14ac:dyDescent="0.35">
      <c r="P40" s="40" t="s">
        <v>1059</v>
      </c>
      <c r="Q40" s="96" t="e">
        <f>VLOOKUP($P40,flows!$A$2:$J$4985,Q$3,FALSE)</f>
        <v>#N/A</v>
      </c>
      <c r="R40" s="96" t="e">
        <f>VLOOKUP($P40,flows!$A$2:$J$4985,R$3,FALSE)</f>
        <v>#N/A</v>
      </c>
      <c r="S40" s="96" t="e">
        <f>VLOOKUP($P40,flows!$A$2:$J$4985,S$3,FALSE)</f>
        <v>#N/A</v>
      </c>
      <c r="T40" s="96" t="e">
        <f>VLOOKUP($P40,flows!$A$2:$J$4985,T$3,FALSE)</f>
        <v>#N/A</v>
      </c>
      <c r="U40" s="96" t="e">
        <f>VLOOKUP($P40,flows!$A$2:$J$4985,U$3,FALSE)</f>
        <v>#N/A</v>
      </c>
      <c r="V40" s="96" t="e">
        <f>VLOOKUP($P40,flows!$A$2:$J$4985,V$3,FALSE)</f>
        <v>#N/A</v>
      </c>
      <c r="W40" s="96" t="e">
        <f>VLOOKUP($P40,flows!$A$2:$J$4985,W$3,FALSE)</f>
        <v>#N/A</v>
      </c>
      <c r="X40" s="96" t="e">
        <f>VLOOKUP($P40,flows!$A$2:$J$4985,X$3,FALSE)</f>
        <v>#N/A</v>
      </c>
    </row>
    <row r="41" spans="16:24" x14ac:dyDescent="0.35">
      <c r="P41" s="99" t="s">
        <v>1321</v>
      </c>
      <c r="Q41" s="96" t="e">
        <f>SUM(Q33:Q40)</f>
        <v>#N/A</v>
      </c>
      <c r="R41" s="96" t="e">
        <f t="shared" ref="R41:X41" si="25">SUM(R33:R40)</f>
        <v>#N/A</v>
      </c>
      <c r="S41" s="96" t="e">
        <f t="shared" si="25"/>
        <v>#N/A</v>
      </c>
      <c r="T41" s="96" t="e">
        <f t="shared" si="25"/>
        <v>#N/A</v>
      </c>
      <c r="U41" s="96" t="e">
        <f t="shared" si="25"/>
        <v>#N/A</v>
      </c>
      <c r="V41" s="96" t="e">
        <f t="shared" si="25"/>
        <v>#N/A</v>
      </c>
      <c r="W41" s="96" t="e">
        <f t="shared" si="25"/>
        <v>#N/A</v>
      </c>
      <c r="X41" s="96" t="e">
        <f t="shared" si="25"/>
        <v>#N/A</v>
      </c>
    </row>
    <row r="42" spans="16:24" x14ac:dyDescent="0.35">
      <c r="P42" s="40"/>
      <c r="Q42" s="96"/>
      <c r="R42" s="96"/>
      <c r="S42" s="96"/>
      <c r="T42" s="96"/>
      <c r="U42" s="96"/>
      <c r="V42" s="96"/>
      <c r="W42" s="96"/>
      <c r="X42" s="96"/>
    </row>
    <row r="43" spans="16:24" x14ac:dyDescent="0.35">
      <c r="P43" s="40"/>
      <c r="Q43" s="96"/>
      <c r="R43" s="96"/>
      <c r="S43" s="96"/>
      <c r="T43" s="96"/>
      <c r="U43" s="96"/>
      <c r="V43" s="96"/>
      <c r="W43" s="96"/>
      <c r="X43" s="96"/>
    </row>
    <row r="44" spans="16:24" x14ac:dyDescent="0.35">
      <c r="P44" s="40" t="s">
        <v>1061</v>
      </c>
      <c r="Q44" s="96" t="e">
        <f>VLOOKUP($P44,flows!$A$2:$J$4985,Q$3,FALSE)</f>
        <v>#N/A</v>
      </c>
      <c r="R44" s="96" t="e">
        <f>VLOOKUP($P44,flows!$A$2:$J$4985,R$3,FALSE)</f>
        <v>#N/A</v>
      </c>
      <c r="S44" s="96" t="e">
        <f>VLOOKUP($P44,flows!$A$2:$J$4985,S$3,FALSE)</f>
        <v>#N/A</v>
      </c>
      <c r="T44" s="96" t="e">
        <f>VLOOKUP($P44,flows!$A$2:$J$4985,T$3,FALSE)</f>
        <v>#N/A</v>
      </c>
      <c r="U44" s="96" t="e">
        <f>VLOOKUP($P44,flows!$A$2:$J$4985,U$3,FALSE)</f>
        <v>#N/A</v>
      </c>
      <c r="V44" s="96" t="e">
        <f>VLOOKUP($P44,flows!$A$2:$J$4985,V$3,FALSE)</f>
        <v>#N/A</v>
      </c>
      <c r="W44" s="96" t="e">
        <f>VLOOKUP($P44,flows!$A$2:$J$4985,W$3,FALSE)</f>
        <v>#N/A</v>
      </c>
      <c r="X44" s="96" t="e">
        <f>VLOOKUP($P44,flows!$A$2:$J$4985,X$3,FALSE)</f>
        <v>#N/A</v>
      </c>
    </row>
    <row r="45" spans="16:24" x14ac:dyDescent="0.35">
      <c r="P45" s="40" t="s">
        <v>1062</v>
      </c>
      <c r="Q45" s="96" t="e">
        <f>VLOOKUP($P45,flows!$A$2:$J$4985,Q$3,FALSE)</f>
        <v>#N/A</v>
      </c>
      <c r="R45" s="96" t="e">
        <f>VLOOKUP($P45,flows!$A$2:$J$4985,R$3,FALSE)</f>
        <v>#N/A</v>
      </c>
      <c r="S45" s="96" t="e">
        <f>VLOOKUP($P45,flows!$A$2:$J$4985,S$3,FALSE)</f>
        <v>#N/A</v>
      </c>
      <c r="T45" s="96" t="e">
        <f>VLOOKUP($P45,flows!$A$2:$J$4985,T$3,FALSE)</f>
        <v>#N/A</v>
      </c>
      <c r="U45" s="96" t="e">
        <f>VLOOKUP($P45,flows!$A$2:$J$4985,U$3,FALSE)</f>
        <v>#N/A</v>
      </c>
      <c r="V45" s="96" t="e">
        <f>VLOOKUP($P45,flows!$A$2:$J$4985,V$3,FALSE)</f>
        <v>#N/A</v>
      </c>
      <c r="W45" s="96" t="e">
        <f>VLOOKUP($P45,flows!$A$2:$J$4985,W$3,FALSE)</f>
        <v>#N/A</v>
      </c>
      <c r="X45" s="96" t="e">
        <f>VLOOKUP($P45,flows!$A$2:$J$4985,X$3,FALSE)</f>
        <v>#N/A</v>
      </c>
    </row>
    <row r="46" spans="16:24" x14ac:dyDescent="0.35">
      <c r="P46" s="40" t="s">
        <v>1063</v>
      </c>
      <c r="Q46" s="96" t="e">
        <f>VLOOKUP($P46,flows!$A$2:$J$4985,Q$3,FALSE)</f>
        <v>#N/A</v>
      </c>
      <c r="R46" s="96" t="e">
        <f>VLOOKUP($P46,flows!$A$2:$J$4985,R$3,FALSE)</f>
        <v>#N/A</v>
      </c>
      <c r="S46" s="96" t="e">
        <f>VLOOKUP($P46,flows!$A$2:$J$4985,S$3,FALSE)</f>
        <v>#N/A</v>
      </c>
      <c r="T46" s="96" t="e">
        <f>VLOOKUP($P46,flows!$A$2:$J$4985,T$3,FALSE)</f>
        <v>#N/A</v>
      </c>
      <c r="U46" s="96" t="e">
        <f>VLOOKUP($P46,flows!$A$2:$J$4985,U$3,FALSE)</f>
        <v>#N/A</v>
      </c>
      <c r="V46" s="96" t="e">
        <f>VLOOKUP($P46,flows!$A$2:$J$4985,V$3,FALSE)</f>
        <v>#N/A</v>
      </c>
      <c r="W46" s="96" t="e">
        <f>VLOOKUP($P46,flows!$A$2:$J$4985,W$3,FALSE)</f>
        <v>#N/A</v>
      </c>
      <c r="X46" s="96" t="e">
        <f>VLOOKUP($P46,flows!$A$2:$J$4985,X$3,FALSE)</f>
        <v>#N/A</v>
      </c>
    </row>
    <row r="47" spans="16:24" x14ac:dyDescent="0.35">
      <c r="P47" s="40" t="s">
        <v>1064</v>
      </c>
      <c r="Q47" s="96" t="e">
        <f>VLOOKUP($P47,flows!$A$2:$J$4985,Q$3,FALSE)</f>
        <v>#N/A</v>
      </c>
      <c r="R47" s="96" t="e">
        <f>VLOOKUP($P47,flows!$A$2:$J$4985,R$3,FALSE)</f>
        <v>#N/A</v>
      </c>
      <c r="S47" s="96" t="e">
        <f>VLOOKUP($P47,flows!$A$2:$J$4985,S$3,FALSE)</f>
        <v>#N/A</v>
      </c>
      <c r="T47" s="96" t="e">
        <f>VLOOKUP($P47,flows!$A$2:$J$4985,T$3,FALSE)</f>
        <v>#N/A</v>
      </c>
      <c r="U47" s="96" t="e">
        <f>VLOOKUP($P47,flows!$A$2:$J$4985,U$3,FALSE)</f>
        <v>#N/A</v>
      </c>
      <c r="V47" s="96" t="e">
        <f>VLOOKUP($P47,flows!$A$2:$J$4985,V$3,FALSE)</f>
        <v>#N/A</v>
      </c>
      <c r="W47" s="96" t="e">
        <f>VLOOKUP($P47,flows!$A$2:$J$4985,W$3,FALSE)</f>
        <v>#N/A</v>
      </c>
      <c r="X47" s="96" t="e">
        <f>VLOOKUP($P47,flows!$A$2:$J$4985,X$3,FALSE)</f>
        <v>#N/A</v>
      </c>
    </row>
    <row r="48" spans="16:24" x14ac:dyDescent="0.35">
      <c r="P48" s="40" t="s">
        <v>1065</v>
      </c>
      <c r="Q48" s="96" t="e">
        <f>VLOOKUP($P48,flows!$A$2:$J$4985,Q$3,FALSE)</f>
        <v>#N/A</v>
      </c>
      <c r="R48" s="96" t="e">
        <f>VLOOKUP($P48,flows!$A$2:$J$4985,R$3,FALSE)</f>
        <v>#N/A</v>
      </c>
      <c r="S48" s="96" t="e">
        <f>VLOOKUP($P48,flows!$A$2:$J$4985,S$3,FALSE)</f>
        <v>#N/A</v>
      </c>
      <c r="T48" s="96" t="e">
        <f>VLOOKUP($P48,flows!$A$2:$J$4985,T$3,FALSE)</f>
        <v>#N/A</v>
      </c>
      <c r="U48" s="96" t="e">
        <f>VLOOKUP($P48,flows!$A$2:$J$4985,U$3,FALSE)</f>
        <v>#N/A</v>
      </c>
      <c r="V48" s="96" t="e">
        <f>VLOOKUP($P48,flows!$A$2:$J$4985,V$3,FALSE)</f>
        <v>#N/A</v>
      </c>
      <c r="W48" s="96" t="e">
        <f>VLOOKUP($P48,flows!$A$2:$J$4985,W$3,FALSE)</f>
        <v>#N/A</v>
      </c>
      <c r="X48" s="96" t="e">
        <f>VLOOKUP($P48,flows!$A$2:$J$4985,X$3,FALSE)</f>
        <v>#N/A</v>
      </c>
    </row>
    <row r="49" spans="16:24" x14ac:dyDescent="0.35">
      <c r="P49" s="40" t="s">
        <v>1066</v>
      </c>
      <c r="Q49" s="96" t="e">
        <f>VLOOKUP($P49,flows!$A$2:$J$4985,Q$3,FALSE)</f>
        <v>#N/A</v>
      </c>
      <c r="R49" s="96" t="e">
        <f>VLOOKUP($P49,flows!$A$2:$J$4985,R$3,FALSE)</f>
        <v>#N/A</v>
      </c>
      <c r="S49" s="96" t="e">
        <f>VLOOKUP($P49,flows!$A$2:$J$4985,S$3,FALSE)</f>
        <v>#N/A</v>
      </c>
      <c r="T49" s="96" t="e">
        <f>VLOOKUP($P49,flows!$A$2:$J$4985,T$3,FALSE)</f>
        <v>#N/A</v>
      </c>
      <c r="U49" s="96" t="e">
        <f>VLOOKUP($P49,flows!$A$2:$J$4985,U$3,FALSE)</f>
        <v>#N/A</v>
      </c>
      <c r="V49" s="96" t="e">
        <f>VLOOKUP($P49,flows!$A$2:$J$4985,V$3,FALSE)</f>
        <v>#N/A</v>
      </c>
      <c r="W49" s="96" t="e">
        <f>VLOOKUP($P49,flows!$A$2:$J$4985,W$3,FALSE)</f>
        <v>#N/A</v>
      </c>
      <c r="X49" s="96" t="e">
        <f>VLOOKUP($P49,flows!$A$2:$J$4985,X$3,FALSE)</f>
        <v>#N/A</v>
      </c>
    </row>
    <row r="50" spans="16:24" x14ac:dyDescent="0.35">
      <c r="P50" s="40" t="s">
        <v>1067</v>
      </c>
      <c r="Q50" s="96" t="e">
        <f>VLOOKUP($P50,flows!$A$2:$J$4985,Q$3,FALSE)</f>
        <v>#N/A</v>
      </c>
      <c r="R50" s="96" t="e">
        <f>VLOOKUP($P50,flows!$A$2:$J$4985,R$3,FALSE)</f>
        <v>#N/A</v>
      </c>
      <c r="S50" s="96" t="e">
        <f>VLOOKUP($P50,flows!$A$2:$J$4985,S$3,FALSE)</f>
        <v>#N/A</v>
      </c>
      <c r="T50" s="96" t="e">
        <f>VLOOKUP($P50,flows!$A$2:$J$4985,T$3,FALSE)</f>
        <v>#N/A</v>
      </c>
      <c r="U50" s="96" t="e">
        <f>VLOOKUP($P50,flows!$A$2:$J$4985,U$3,FALSE)</f>
        <v>#N/A</v>
      </c>
      <c r="V50" s="96" t="e">
        <f>VLOOKUP($P50,flows!$A$2:$J$4985,V$3,FALSE)</f>
        <v>#N/A</v>
      </c>
      <c r="W50" s="96" t="e">
        <f>VLOOKUP($P50,flows!$A$2:$J$4985,W$3,FALSE)</f>
        <v>#N/A</v>
      </c>
      <c r="X50" s="96" t="e">
        <f>VLOOKUP($P50,flows!$A$2:$J$4985,X$3,FALSE)</f>
        <v>#N/A</v>
      </c>
    </row>
    <row r="51" spans="16:24" x14ac:dyDescent="0.35">
      <c r="P51" s="99" t="s">
        <v>1322</v>
      </c>
      <c r="Q51" s="96" t="e">
        <f>SUM(Q43:Q50)</f>
        <v>#N/A</v>
      </c>
      <c r="R51" s="96" t="e">
        <f t="shared" ref="R51:X51" si="26">SUM(R43:R50)</f>
        <v>#N/A</v>
      </c>
      <c r="S51" s="96" t="e">
        <f t="shared" si="26"/>
        <v>#N/A</v>
      </c>
      <c r="T51" s="96" t="e">
        <f t="shared" si="26"/>
        <v>#N/A</v>
      </c>
      <c r="U51" s="96" t="e">
        <f t="shared" si="26"/>
        <v>#N/A</v>
      </c>
      <c r="V51" s="96" t="e">
        <f t="shared" si="26"/>
        <v>#N/A</v>
      </c>
      <c r="W51" s="96" t="e">
        <f t="shared" si="26"/>
        <v>#N/A</v>
      </c>
      <c r="X51" s="96" t="e">
        <f t="shared" si="26"/>
        <v>#N/A</v>
      </c>
    </row>
    <row r="52" spans="16:24" x14ac:dyDescent="0.35">
      <c r="P52" s="40"/>
      <c r="Q52" s="92"/>
      <c r="R52" s="92"/>
      <c r="S52" s="92"/>
      <c r="T52" s="92"/>
      <c r="U52" s="92"/>
      <c r="V52" s="92"/>
      <c r="W52" s="92"/>
      <c r="X52" s="92"/>
    </row>
    <row r="53" spans="16:24" x14ac:dyDescent="0.35">
      <c r="P53" s="40"/>
      <c r="Q53" s="96"/>
      <c r="R53" s="96"/>
      <c r="S53" s="96"/>
      <c r="T53" s="96"/>
      <c r="U53" s="96"/>
      <c r="V53" s="96"/>
      <c r="W53" s="96"/>
      <c r="X53" s="96"/>
    </row>
    <row r="54" spans="16:24" x14ac:dyDescent="0.35">
      <c r="P54" s="40" t="s">
        <v>968</v>
      </c>
      <c r="Q54" s="96" t="e">
        <f>VLOOKUP($P54,flows!$A$2:$J$4985,Q$3,FALSE)</f>
        <v>#N/A</v>
      </c>
      <c r="R54" s="96" t="e">
        <f>VLOOKUP($P54,flows!$A$2:$J$4985,R$3,FALSE)</f>
        <v>#N/A</v>
      </c>
      <c r="S54" s="96" t="e">
        <f>VLOOKUP($P54,flows!$A$2:$J$4985,S$3,FALSE)</f>
        <v>#N/A</v>
      </c>
      <c r="T54" s="96" t="e">
        <f>VLOOKUP($P54,flows!$A$2:$J$4985,T$3,FALSE)</f>
        <v>#N/A</v>
      </c>
      <c r="U54" s="96" t="e">
        <f>VLOOKUP($P54,flows!$A$2:$J$4985,U$3,FALSE)</f>
        <v>#N/A</v>
      </c>
      <c r="V54" s="96" t="e">
        <f>VLOOKUP($P54,flows!$A$2:$J$4985,V$3,FALSE)</f>
        <v>#N/A</v>
      </c>
      <c r="W54" s="96" t="e">
        <f>VLOOKUP($P54,flows!$A$2:$J$4985,W$3,FALSE)</f>
        <v>#N/A</v>
      </c>
      <c r="X54" s="96" t="e">
        <f>VLOOKUP($P54,flows!$A$2:$J$4985,X$3,FALSE)</f>
        <v>#N/A</v>
      </c>
    </row>
    <row r="55" spans="16:24" x14ac:dyDescent="0.35">
      <c r="P55" s="40" t="s">
        <v>969</v>
      </c>
      <c r="Q55" s="96" t="e">
        <f>VLOOKUP($P55,flows!$A$2:$J$4985,Q$3,FALSE)</f>
        <v>#N/A</v>
      </c>
      <c r="R55" s="96" t="e">
        <f>VLOOKUP($P55,flows!$A$2:$J$4985,R$3,FALSE)</f>
        <v>#N/A</v>
      </c>
      <c r="S55" s="96" t="e">
        <f>VLOOKUP($P55,flows!$A$2:$J$4985,S$3,FALSE)</f>
        <v>#N/A</v>
      </c>
      <c r="T55" s="96" t="e">
        <f>VLOOKUP($P55,flows!$A$2:$J$4985,T$3,FALSE)</f>
        <v>#N/A</v>
      </c>
      <c r="U55" s="96" t="e">
        <f>VLOOKUP($P55,flows!$A$2:$J$4985,U$3,FALSE)</f>
        <v>#N/A</v>
      </c>
      <c r="V55" s="96" t="e">
        <f>VLOOKUP($P55,flows!$A$2:$J$4985,V$3,FALSE)</f>
        <v>#N/A</v>
      </c>
      <c r="W55" s="96" t="e">
        <f>VLOOKUP($P55,flows!$A$2:$J$4985,W$3,FALSE)</f>
        <v>#N/A</v>
      </c>
      <c r="X55" s="96" t="e">
        <f>VLOOKUP($P55,flows!$A$2:$J$4985,X$3,FALSE)</f>
        <v>#N/A</v>
      </c>
    </row>
    <row r="56" spans="16:24" x14ac:dyDescent="0.35">
      <c r="P56" s="99" t="s">
        <v>1323</v>
      </c>
      <c r="Q56" s="96" t="e">
        <f>SUM(Q53:Q55)</f>
        <v>#N/A</v>
      </c>
      <c r="R56" s="96" t="e">
        <f t="shared" ref="R56:X56" si="27">SUM(R53:R55)</f>
        <v>#N/A</v>
      </c>
      <c r="S56" s="96" t="e">
        <f t="shared" si="27"/>
        <v>#N/A</v>
      </c>
      <c r="T56" s="96" t="e">
        <f t="shared" si="27"/>
        <v>#N/A</v>
      </c>
      <c r="U56" s="96" t="e">
        <f t="shared" si="27"/>
        <v>#N/A</v>
      </c>
      <c r="V56" s="96" t="e">
        <f t="shared" si="27"/>
        <v>#N/A</v>
      </c>
      <c r="W56" s="96" t="e">
        <f t="shared" si="27"/>
        <v>#N/A</v>
      </c>
      <c r="X56" s="96" t="e">
        <f t="shared" si="27"/>
        <v>#N/A</v>
      </c>
    </row>
    <row r="57" spans="16:24" x14ac:dyDescent="0.35">
      <c r="P57" s="40"/>
      <c r="Q57" s="96"/>
      <c r="R57" s="96"/>
      <c r="S57" s="96"/>
      <c r="T57" s="96"/>
      <c r="U57" s="96"/>
      <c r="V57" s="96"/>
      <c r="W57" s="96"/>
      <c r="X57" s="96"/>
    </row>
    <row r="58" spans="16:24" x14ac:dyDescent="0.35">
      <c r="P58" s="40"/>
      <c r="Q58" s="96"/>
      <c r="R58" s="96"/>
      <c r="S58" s="96"/>
      <c r="T58" s="96"/>
      <c r="U58" s="96"/>
      <c r="V58" s="96"/>
      <c r="W58" s="96"/>
      <c r="X58" s="96"/>
    </row>
    <row r="59" spans="16:24" x14ac:dyDescent="0.35">
      <c r="P59" s="40" t="s">
        <v>976</v>
      </c>
      <c r="Q59" s="96" t="e">
        <f>VLOOKUP($P59,flows!$A$2:$J$4985,Q$3,FALSE)</f>
        <v>#N/A</v>
      </c>
      <c r="R59" s="96" t="e">
        <f>VLOOKUP($P59,flows!$A$2:$J$4985,R$3,FALSE)</f>
        <v>#N/A</v>
      </c>
      <c r="S59" s="96" t="e">
        <f>VLOOKUP($P59,flows!$A$2:$J$4985,S$3,FALSE)</f>
        <v>#N/A</v>
      </c>
      <c r="T59" s="96" t="e">
        <f>VLOOKUP($P59,flows!$A$2:$J$4985,T$3,FALSE)</f>
        <v>#N/A</v>
      </c>
      <c r="U59" s="96" t="e">
        <f>VLOOKUP($P59,flows!$A$2:$J$4985,U$3,FALSE)</f>
        <v>#N/A</v>
      </c>
      <c r="V59" s="96" t="e">
        <f>VLOOKUP($P59,flows!$A$2:$J$4985,V$3,FALSE)</f>
        <v>#N/A</v>
      </c>
      <c r="W59" s="96" t="e">
        <f>VLOOKUP($P59,flows!$A$2:$J$4985,W$3,FALSE)</f>
        <v>#N/A</v>
      </c>
      <c r="X59" s="96" t="e">
        <f>VLOOKUP($P59,flows!$A$2:$J$4985,X$3,FALSE)</f>
        <v>#N/A</v>
      </c>
    </row>
    <row r="60" spans="16:24" x14ac:dyDescent="0.35">
      <c r="P60" s="40" t="s">
        <v>977</v>
      </c>
      <c r="Q60" s="96" t="e">
        <f>VLOOKUP($P60,flows!$A$2:$J$4985,Q$3,FALSE)</f>
        <v>#N/A</v>
      </c>
      <c r="R60" s="96" t="e">
        <f>VLOOKUP($P60,flows!$A$2:$J$4985,R$3,FALSE)</f>
        <v>#N/A</v>
      </c>
      <c r="S60" s="96" t="e">
        <f>VLOOKUP($P60,flows!$A$2:$J$4985,S$3,FALSE)</f>
        <v>#N/A</v>
      </c>
      <c r="T60" s="96" t="e">
        <f>VLOOKUP($P60,flows!$A$2:$J$4985,T$3,FALSE)</f>
        <v>#N/A</v>
      </c>
      <c r="U60" s="96" t="e">
        <f>VLOOKUP($P60,flows!$A$2:$J$4985,U$3,FALSE)</f>
        <v>#N/A</v>
      </c>
      <c r="V60" s="96" t="e">
        <f>VLOOKUP($P60,flows!$A$2:$J$4985,V$3,FALSE)</f>
        <v>#N/A</v>
      </c>
      <c r="W60" s="96" t="e">
        <f>VLOOKUP($P60,flows!$A$2:$J$4985,W$3,FALSE)</f>
        <v>#N/A</v>
      </c>
      <c r="X60" s="96" t="e">
        <f>VLOOKUP($P60,flows!$A$2:$J$4985,X$3,FALSE)</f>
        <v>#N/A</v>
      </c>
    </row>
    <row r="61" spans="16:24" x14ac:dyDescent="0.35">
      <c r="P61" s="40" t="s">
        <v>978</v>
      </c>
      <c r="Q61" s="96" t="e">
        <f>VLOOKUP($P61,flows!$A$2:$J$4985,Q$3,FALSE)</f>
        <v>#N/A</v>
      </c>
      <c r="R61" s="96" t="e">
        <f>VLOOKUP($P61,flows!$A$2:$J$4985,R$3,FALSE)</f>
        <v>#N/A</v>
      </c>
      <c r="S61" s="96" t="e">
        <f>VLOOKUP($P61,flows!$A$2:$J$4985,S$3,FALSE)</f>
        <v>#N/A</v>
      </c>
      <c r="T61" s="96" t="e">
        <f>VLOOKUP($P61,flows!$A$2:$J$4985,T$3,FALSE)</f>
        <v>#N/A</v>
      </c>
      <c r="U61" s="96" t="e">
        <f>VLOOKUP($P61,flows!$A$2:$J$4985,U$3,FALSE)</f>
        <v>#N/A</v>
      </c>
      <c r="V61" s="96" t="e">
        <f>VLOOKUP($P61,flows!$A$2:$J$4985,V$3,FALSE)</f>
        <v>#N/A</v>
      </c>
      <c r="W61" s="96" t="e">
        <f>VLOOKUP($P61,flows!$A$2:$J$4985,W$3,FALSE)</f>
        <v>#N/A</v>
      </c>
      <c r="X61" s="96" t="e">
        <f>VLOOKUP($P61,flows!$A$2:$J$4985,X$3,FALSE)</f>
        <v>#N/A</v>
      </c>
    </row>
    <row r="62" spans="16:24" x14ac:dyDescent="0.35">
      <c r="P62" s="40" t="s">
        <v>979</v>
      </c>
      <c r="Q62" s="96" t="e">
        <f>VLOOKUP($P62,flows!$A$2:$J$4985,Q$3,FALSE)</f>
        <v>#N/A</v>
      </c>
      <c r="R62" s="96" t="e">
        <f>VLOOKUP($P62,flows!$A$2:$J$4985,R$3,FALSE)</f>
        <v>#N/A</v>
      </c>
      <c r="S62" s="96" t="e">
        <f>VLOOKUP($P62,flows!$A$2:$J$4985,S$3,FALSE)</f>
        <v>#N/A</v>
      </c>
      <c r="T62" s="96" t="e">
        <f>VLOOKUP($P62,flows!$A$2:$J$4985,T$3,FALSE)</f>
        <v>#N/A</v>
      </c>
      <c r="U62" s="96" t="e">
        <f>VLOOKUP($P62,flows!$A$2:$J$4985,U$3,FALSE)</f>
        <v>#N/A</v>
      </c>
      <c r="V62" s="96" t="e">
        <f>VLOOKUP($P62,flows!$A$2:$J$4985,V$3,FALSE)</f>
        <v>#N/A</v>
      </c>
      <c r="W62" s="96" t="e">
        <f>VLOOKUP($P62,flows!$A$2:$J$4985,W$3,FALSE)</f>
        <v>#N/A</v>
      </c>
      <c r="X62" s="96" t="e">
        <f>VLOOKUP($P62,flows!$A$2:$J$4985,X$3,FALSE)</f>
        <v>#N/A</v>
      </c>
    </row>
    <row r="63" spans="16:24" x14ac:dyDescent="0.35">
      <c r="P63" s="40" t="s">
        <v>980</v>
      </c>
      <c r="Q63" s="96" t="e">
        <f>VLOOKUP($P63,flows!$A$2:$J$4985,Q$3,FALSE)</f>
        <v>#N/A</v>
      </c>
      <c r="R63" s="96" t="e">
        <f>VLOOKUP($P63,flows!$A$2:$J$4985,R$3,FALSE)</f>
        <v>#N/A</v>
      </c>
      <c r="S63" s="96" t="e">
        <f>VLOOKUP($P63,flows!$A$2:$J$4985,S$3,FALSE)</f>
        <v>#N/A</v>
      </c>
      <c r="T63" s="96" t="e">
        <f>VLOOKUP($P63,flows!$A$2:$J$4985,T$3,FALSE)</f>
        <v>#N/A</v>
      </c>
      <c r="U63" s="96" t="e">
        <f>VLOOKUP($P63,flows!$A$2:$J$4985,U$3,FALSE)</f>
        <v>#N/A</v>
      </c>
      <c r="V63" s="96" t="e">
        <f>VLOOKUP($P63,flows!$A$2:$J$4985,V$3,FALSE)</f>
        <v>#N/A</v>
      </c>
      <c r="W63" s="96" t="e">
        <f>VLOOKUP($P63,flows!$A$2:$J$4985,W$3,FALSE)</f>
        <v>#N/A</v>
      </c>
      <c r="X63" s="96" t="e">
        <f>VLOOKUP($P63,flows!$A$2:$J$4985,X$3,FALSE)</f>
        <v>#N/A</v>
      </c>
    </row>
    <row r="64" spans="16:24" x14ac:dyDescent="0.35">
      <c r="P64" s="40" t="s">
        <v>981</v>
      </c>
      <c r="Q64" s="96" t="e">
        <f>VLOOKUP($P64,flows!$A$2:$J$4985,Q$3,FALSE)</f>
        <v>#N/A</v>
      </c>
      <c r="R64" s="96" t="e">
        <f>VLOOKUP($P64,flows!$A$2:$J$4985,R$3,FALSE)</f>
        <v>#N/A</v>
      </c>
      <c r="S64" s="96" t="e">
        <f>VLOOKUP($P64,flows!$A$2:$J$4985,S$3,FALSE)</f>
        <v>#N/A</v>
      </c>
      <c r="T64" s="96" t="e">
        <f>VLOOKUP($P64,flows!$A$2:$J$4985,T$3,FALSE)</f>
        <v>#N/A</v>
      </c>
      <c r="U64" s="96" t="e">
        <f>VLOOKUP($P64,flows!$A$2:$J$4985,U$3,FALSE)</f>
        <v>#N/A</v>
      </c>
      <c r="V64" s="96" t="e">
        <f>VLOOKUP($P64,flows!$A$2:$J$4985,V$3,FALSE)</f>
        <v>#N/A</v>
      </c>
      <c r="W64" s="96" t="e">
        <f>VLOOKUP($P64,flows!$A$2:$J$4985,W$3,FALSE)</f>
        <v>#N/A</v>
      </c>
      <c r="X64" s="96" t="e">
        <f>VLOOKUP($P64,flows!$A$2:$J$4985,X$3,FALSE)</f>
        <v>#N/A</v>
      </c>
    </row>
    <row r="65" spans="16:24" x14ac:dyDescent="0.35">
      <c r="P65" s="40" t="s">
        <v>982</v>
      </c>
      <c r="Q65" s="96" t="e">
        <f>VLOOKUP($P65,flows!$A$2:$J$4985,Q$3,FALSE)</f>
        <v>#N/A</v>
      </c>
      <c r="R65" s="96" t="e">
        <f>VLOOKUP($P65,flows!$A$2:$J$4985,R$3,FALSE)</f>
        <v>#N/A</v>
      </c>
      <c r="S65" s="96" t="e">
        <f>VLOOKUP($P65,flows!$A$2:$J$4985,S$3,FALSE)</f>
        <v>#N/A</v>
      </c>
      <c r="T65" s="96" t="e">
        <f>VLOOKUP($P65,flows!$A$2:$J$4985,T$3,FALSE)</f>
        <v>#N/A</v>
      </c>
      <c r="U65" s="96" t="e">
        <f>VLOOKUP($P65,flows!$A$2:$J$4985,U$3,FALSE)</f>
        <v>#N/A</v>
      </c>
      <c r="V65" s="96" t="e">
        <f>VLOOKUP($P65,flows!$A$2:$J$4985,V$3,FALSE)</f>
        <v>#N/A</v>
      </c>
      <c r="W65" s="96" t="e">
        <f>VLOOKUP($P65,flows!$A$2:$J$4985,W$3,FALSE)</f>
        <v>#N/A</v>
      </c>
      <c r="X65" s="96" t="e">
        <f>VLOOKUP($P65,flows!$A$2:$J$4985,X$3,FALSE)</f>
        <v>#N/A</v>
      </c>
    </row>
    <row r="66" spans="16:24" x14ac:dyDescent="0.35">
      <c r="P66" s="99" t="s">
        <v>1324</v>
      </c>
      <c r="Q66" s="96" t="e">
        <f>SUM(Q58:Q65)</f>
        <v>#N/A</v>
      </c>
      <c r="R66" s="96" t="e">
        <f t="shared" ref="R66:X66" si="28">SUM(R58:R65)</f>
        <v>#N/A</v>
      </c>
      <c r="S66" s="96" t="e">
        <f t="shared" si="28"/>
        <v>#N/A</v>
      </c>
      <c r="T66" s="96" t="e">
        <f t="shared" si="28"/>
        <v>#N/A</v>
      </c>
      <c r="U66" s="96" t="e">
        <f t="shared" si="28"/>
        <v>#N/A</v>
      </c>
      <c r="V66" s="96" t="e">
        <f t="shared" si="28"/>
        <v>#N/A</v>
      </c>
      <c r="W66" s="96" t="e">
        <f t="shared" si="28"/>
        <v>#N/A</v>
      </c>
      <c r="X66" s="96" t="e">
        <f t="shared" si="28"/>
        <v>#N/A</v>
      </c>
    </row>
    <row r="67" spans="16:24" x14ac:dyDescent="0.35">
      <c r="P67" s="40"/>
      <c r="Q67" s="92"/>
      <c r="R67" s="92"/>
      <c r="S67" s="92"/>
      <c r="T67" s="92"/>
      <c r="U67" s="92"/>
      <c r="V67" s="92"/>
      <c r="W67" s="92"/>
      <c r="X67" s="92"/>
    </row>
    <row r="68" spans="16:24" x14ac:dyDescent="0.35">
      <c r="P68" s="40" t="s">
        <v>859</v>
      </c>
      <c r="Q68" s="96" t="e">
        <f>VLOOKUP($P68,flows!$A$2:$J$4985,Q$3,FALSE)</f>
        <v>#N/A</v>
      </c>
      <c r="R68" s="96" t="e">
        <f>VLOOKUP($P68,flows!$A$2:$J$4985,R$3,FALSE)</f>
        <v>#N/A</v>
      </c>
      <c r="S68" s="96" t="e">
        <f>VLOOKUP($P68,flows!$A$2:$J$4985,S$3,FALSE)</f>
        <v>#N/A</v>
      </c>
      <c r="T68" s="96" t="e">
        <f>VLOOKUP($P68,flows!$A$2:$J$4985,T$3,FALSE)</f>
        <v>#N/A</v>
      </c>
      <c r="U68" s="96" t="e">
        <f>VLOOKUP($P68,flows!$A$2:$J$4985,U$3,FALSE)</f>
        <v>#N/A</v>
      </c>
      <c r="V68" s="96" t="e">
        <f>VLOOKUP($P68,flows!$A$2:$J$4985,V$3,FALSE)</f>
        <v>#N/A</v>
      </c>
      <c r="W68" s="96" t="e">
        <f>VLOOKUP($P68,flows!$A$2:$J$4985,W$3,FALSE)</f>
        <v>#N/A</v>
      </c>
      <c r="X68" s="96" t="e">
        <f>VLOOKUP($P68,flows!$A$2:$J$4985,X$3,FALSE)</f>
        <v>#N/A</v>
      </c>
    </row>
    <row r="69" spans="16:24" x14ac:dyDescent="0.35">
      <c r="P69" s="99" t="s">
        <v>1427</v>
      </c>
      <c r="Q69" s="96" t="e">
        <f t="shared" ref="Q69:X69" si="29">SUM(Q68:Q68)</f>
        <v>#N/A</v>
      </c>
      <c r="R69" s="96" t="e">
        <f t="shared" si="29"/>
        <v>#N/A</v>
      </c>
      <c r="S69" s="96" t="e">
        <f t="shared" si="29"/>
        <v>#N/A</v>
      </c>
      <c r="T69" s="96" t="e">
        <f t="shared" si="29"/>
        <v>#N/A</v>
      </c>
      <c r="U69" s="96" t="e">
        <f t="shared" si="29"/>
        <v>#N/A</v>
      </c>
      <c r="V69" s="96" t="e">
        <f t="shared" si="29"/>
        <v>#N/A</v>
      </c>
      <c r="W69" s="96" t="e">
        <f t="shared" si="29"/>
        <v>#N/A</v>
      </c>
      <c r="X69" s="96" t="e">
        <f t="shared" si="29"/>
        <v>#N/A</v>
      </c>
    </row>
    <row r="70" spans="16:24" x14ac:dyDescent="0.35">
      <c r="P70" s="40"/>
      <c r="Q70" s="92"/>
      <c r="R70" s="92"/>
      <c r="S70" s="92"/>
      <c r="T70" s="92"/>
      <c r="U70" s="92"/>
      <c r="V70" s="92"/>
      <c r="W70" s="92"/>
      <c r="X70" s="92"/>
    </row>
    <row r="71" spans="16:24" x14ac:dyDescent="0.35">
      <c r="P71" s="40" t="s">
        <v>1124</v>
      </c>
      <c r="Q71" s="96" t="e">
        <f>VLOOKUP($P71,flows!$A$2:$J$2822,Q$3,FALSE)</f>
        <v>#N/A</v>
      </c>
      <c r="R71" s="96" t="e">
        <f>VLOOKUP($P71,flows!$A$2:$J$2822,R$3,FALSE)</f>
        <v>#N/A</v>
      </c>
      <c r="S71" s="96" t="e">
        <f>VLOOKUP($P71,flows!$A$2:$J$2822,S$3,FALSE)</f>
        <v>#N/A</v>
      </c>
      <c r="T71" s="96" t="e">
        <f>VLOOKUP($P71,flows!$A$2:$J$2822,T$3,FALSE)</f>
        <v>#N/A</v>
      </c>
      <c r="U71" s="96" t="e">
        <f>VLOOKUP($P71,flows!$A$2:$J$2822,U$3,FALSE)</f>
        <v>#N/A</v>
      </c>
      <c r="V71" s="96" t="e">
        <f>VLOOKUP($P71,flows!$A$2:$J$2822,V$3,FALSE)</f>
        <v>#N/A</v>
      </c>
      <c r="W71" s="96" t="e">
        <f>VLOOKUP($P71,flows!$A$2:$J$2822,W$3,FALSE)</f>
        <v>#N/A</v>
      </c>
      <c r="X71" s="96" t="e">
        <f>VLOOKUP($P71,flows!$A$2:$J$2822,X$3,FALSE)</f>
        <v>#N/A</v>
      </c>
    </row>
    <row r="72" spans="16:24" x14ac:dyDescent="0.35">
      <c r="P72" s="40" t="s">
        <v>1126</v>
      </c>
      <c r="Q72" s="96" t="e">
        <f>VLOOKUP($P72,flows!$A$2:$J$2822,Q$3,FALSE)</f>
        <v>#N/A</v>
      </c>
      <c r="R72" s="96" t="e">
        <f>VLOOKUP($P72,flows!$A$2:$J$2822,R$3,FALSE)</f>
        <v>#N/A</v>
      </c>
      <c r="S72" s="96" t="e">
        <f>VLOOKUP($P72,flows!$A$2:$J$2822,S$3,FALSE)</f>
        <v>#N/A</v>
      </c>
      <c r="T72" s="96" t="e">
        <f>VLOOKUP($P72,flows!$A$2:$J$2822,T$3,FALSE)</f>
        <v>#N/A</v>
      </c>
      <c r="U72" s="96" t="e">
        <f>VLOOKUP($P72,flows!$A$2:$J$2822,U$3,FALSE)</f>
        <v>#N/A</v>
      </c>
      <c r="V72" s="96" t="e">
        <f>VLOOKUP($P72,flows!$A$2:$J$2822,V$3,FALSE)</f>
        <v>#N/A</v>
      </c>
      <c r="W72" s="96" t="e">
        <f>VLOOKUP($P72,flows!$A$2:$J$2822,W$3,FALSE)</f>
        <v>#N/A</v>
      </c>
      <c r="X72" s="96" t="e">
        <f>VLOOKUP($P72,flows!$A$2:$J$2822,X$3,FALSE)</f>
        <v>#N/A</v>
      </c>
    </row>
    <row r="73" spans="16:24" x14ac:dyDescent="0.35">
      <c r="P73" s="40" t="s">
        <v>1753</v>
      </c>
      <c r="Q73" s="96" t="e">
        <f>VLOOKUP($P73,flows!$A$2:$J$2822,Q$3,FALSE)</f>
        <v>#N/A</v>
      </c>
      <c r="R73" s="96" t="e">
        <f>VLOOKUP($P73,flows!$A$2:$J$2822,R$3,FALSE)</f>
        <v>#N/A</v>
      </c>
      <c r="S73" s="96" t="e">
        <f>VLOOKUP($P73,flows!$A$2:$J$2822,S$3,FALSE)</f>
        <v>#N/A</v>
      </c>
      <c r="T73" s="96" t="e">
        <f>VLOOKUP($P73,flows!$A$2:$J$2822,T$3,FALSE)</f>
        <v>#N/A</v>
      </c>
      <c r="U73" s="96" t="e">
        <f>VLOOKUP($P73,flows!$A$2:$J$2822,U$3,FALSE)</f>
        <v>#N/A</v>
      </c>
      <c r="V73" s="96" t="e">
        <f>VLOOKUP($P73,flows!$A$2:$J$2822,V$3,FALSE)</f>
        <v>#N/A</v>
      </c>
      <c r="W73" s="96" t="e">
        <f>VLOOKUP($P73,flows!$A$2:$J$2822,W$3,FALSE)</f>
        <v>#N/A</v>
      </c>
      <c r="X73" s="96" t="e">
        <f>VLOOKUP($P73,flows!$A$2:$J$2822,X$3,FALSE)</f>
        <v>#N/A</v>
      </c>
    </row>
    <row r="74" spans="16:24" x14ac:dyDescent="0.35">
      <c r="P74" s="40" t="s">
        <v>1127</v>
      </c>
      <c r="Q74" s="96" t="e">
        <f>VLOOKUP($P74,flows!$A$2:$J$2822,Q$3,FALSE)</f>
        <v>#N/A</v>
      </c>
      <c r="R74" s="96" t="e">
        <f>VLOOKUP($P74,flows!$A$2:$J$2822,R$3,FALSE)</f>
        <v>#N/A</v>
      </c>
      <c r="S74" s="96" t="e">
        <f>VLOOKUP($P74,flows!$A$2:$J$2822,S$3,FALSE)</f>
        <v>#N/A</v>
      </c>
      <c r="T74" s="96" t="e">
        <f>VLOOKUP($P74,flows!$A$2:$J$2822,T$3,FALSE)</f>
        <v>#N/A</v>
      </c>
      <c r="U74" s="96" t="e">
        <f>VLOOKUP($P74,flows!$A$2:$J$2822,U$3,FALSE)</f>
        <v>#N/A</v>
      </c>
      <c r="V74" s="96" t="e">
        <f>VLOOKUP($P74,flows!$A$2:$J$2822,V$3,FALSE)</f>
        <v>#N/A</v>
      </c>
      <c r="W74" s="96" t="e">
        <f>VLOOKUP($P74,flows!$A$2:$J$2822,W$3,FALSE)</f>
        <v>#N/A</v>
      </c>
      <c r="X74" s="96" t="e">
        <f>VLOOKUP($P74,flows!$A$2:$J$2822,X$3,FALSE)</f>
        <v>#N/A</v>
      </c>
    </row>
    <row r="75" spans="16:24" x14ac:dyDescent="0.35">
      <c r="P75" s="887" t="s">
        <v>1138</v>
      </c>
      <c r="Q75" s="96" t="e">
        <f>VLOOKUP($P75,flows!$A$2:$J$2822,Q$3,FALSE)</f>
        <v>#N/A</v>
      </c>
      <c r="R75" s="96" t="e">
        <f>VLOOKUP($P75,flows!$A$2:$J$2822,R$3,FALSE)</f>
        <v>#N/A</v>
      </c>
      <c r="S75" s="96" t="e">
        <f>VLOOKUP($P75,flows!$A$2:$J$2822,S$3,FALSE)</f>
        <v>#N/A</v>
      </c>
      <c r="T75" s="96" t="e">
        <f>VLOOKUP($P75,flows!$A$2:$J$2822,T$3,FALSE)</f>
        <v>#N/A</v>
      </c>
      <c r="U75" s="96" t="e">
        <f>VLOOKUP($P75,flows!$A$2:$J$2822,U$3,FALSE)</f>
        <v>#N/A</v>
      </c>
      <c r="V75" s="96" t="e">
        <f>VLOOKUP($P75,flows!$A$2:$J$2822,V$3,FALSE)</f>
        <v>#N/A</v>
      </c>
      <c r="W75" s="96" t="e">
        <f>VLOOKUP($P75,flows!$A$2:$J$2822,W$3,FALSE)</f>
        <v>#N/A</v>
      </c>
      <c r="X75" s="96" t="e">
        <f>VLOOKUP($P75,flows!$A$2:$J$2822,X$3,FALSE)</f>
        <v>#N/A</v>
      </c>
    </row>
    <row r="76" spans="16:24" x14ac:dyDescent="0.35">
      <c r="P76" s="40" t="s">
        <v>1069</v>
      </c>
      <c r="Q76" s="96" t="e">
        <f>VLOOKUP($P76,flows!$A$2:$J$2822,Q$3,FALSE)</f>
        <v>#N/A</v>
      </c>
      <c r="R76" s="96" t="e">
        <f>VLOOKUP($P76,flows!$A$2:$J$2822,R$3,FALSE)</f>
        <v>#N/A</v>
      </c>
      <c r="S76" s="96" t="e">
        <f>VLOOKUP($P76,flows!$A$2:$J$2822,S$3,FALSE)</f>
        <v>#N/A</v>
      </c>
      <c r="T76" s="96" t="e">
        <f>VLOOKUP($P76,flows!$A$2:$J$2822,T$3,FALSE)</f>
        <v>#N/A</v>
      </c>
      <c r="U76" s="96" t="e">
        <f>VLOOKUP($P76,flows!$A$2:$J$2822,U$3,FALSE)</f>
        <v>#N/A</v>
      </c>
      <c r="V76" s="96" t="e">
        <f>VLOOKUP($P76,flows!$A$2:$J$2822,V$3,FALSE)</f>
        <v>#N/A</v>
      </c>
      <c r="W76" s="96" t="e">
        <f>VLOOKUP($P76,flows!$A$2:$J$2822,W$3,FALSE)</f>
        <v>#N/A</v>
      </c>
      <c r="X76" s="96" t="e">
        <f>VLOOKUP($P76,flows!$A$2:$J$2822,X$3,FALSE)</f>
        <v>#N/A</v>
      </c>
    </row>
    <row r="77" spans="16:24" x14ac:dyDescent="0.35">
      <c r="P77" s="40" t="s">
        <v>1755</v>
      </c>
      <c r="Q77" s="96" t="e">
        <f>VLOOKUP($P77,flows!$A$2:$J$2822,Q$3,FALSE)</f>
        <v>#N/A</v>
      </c>
      <c r="R77" s="96" t="e">
        <f>VLOOKUP($P77,flows!$A$2:$J$2822,R$3,FALSE)</f>
        <v>#N/A</v>
      </c>
      <c r="S77" s="96" t="e">
        <f>VLOOKUP($P77,flows!$A$2:$J$2822,S$3,FALSE)</f>
        <v>#N/A</v>
      </c>
      <c r="T77" s="96" t="e">
        <f>VLOOKUP($P77,flows!$A$2:$J$2822,T$3,FALSE)</f>
        <v>#N/A</v>
      </c>
      <c r="U77" s="96" t="e">
        <f>VLOOKUP($P77,flows!$A$2:$J$2822,U$3,FALSE)</f>
        <v>#N/A</v>
      </c>
      <c r="V77" s="96" t="e">
        <f>VLOOKUP($P77,flows!$A$2:$J$2822,V$3,FALSE)</f>
        <v>#N/A</v>
      </c>
      <c r="W77" s="96" t="e">
        <f>VLOOKUP($P77,flows!$A$2:$J$2822,W$3,FALSE)</f>
        <v>#N/A</v>
      </c>
      <c r="X77" s="96" t="e">
        <f>VLOOKUP($P77,flows!$A$2:$J$2822,X$3,FALSE)</f>
        <v>#N/A</v>
      </c>
    </row>
    <row r="78" spans="16:24" x14ac:dyDescent="0.35">
      <c r="P78" s="40" t="s">
        <v>1070</v>
      </c>
      <c r="Q78" s="96" t="e">
        <f>VLOOKUP($P78,flows!$A$2:$J$2822,Q$3,FALSE)</f>
        <v>#N/A</v>
      </c>
      <c r="R78" s="96" t="e">
        <f>VLOOKUP($P78,flows!$A$2:$J$2822,R$3,FALSE)</f>
        <v>#N/A</v>
      </c>
      <c r="S78" s="96" t="e">
        <f>VLOOKUP($P78,flows!$A$2:$J$2822,S$3,FALSE)</f>
        <v>#N/A</v>
      </c>
      <c r="T78" s="96" t="e">
        <f>VLOOKUP($P78,flows!$A$2:$J$2822,T$3,FALSE)</f>
        <v>#N/A</v>
      </c>
      <c r="U78" s="96" t="e">
        <f>VLOOKUP($P78,flows!$A$2:$J$2822,U$3,FALSE)</f>
        <v>#N/A</v>
      </c>
      <c r="V78" s="96" t="e">
        <f>VLOOKUP($P78,flows!$A$2:$J$2822,V$3,FALSE)</f>
        <v>#N/A</v>
      </c>
      <c r="W78" s="96" t="e">
        <f>VLOOKUP($P78,flows!$A$2:$J$2822,W$3,FALSE)</f>
        <v>#N/A</v>
      </c>
      <c r="X78" s="96" t="e">
        <f>VLOOKUP($P78,flows!$A$2:$J$2822,X$3,FALSE)</f>
        <v>#N/A</v>
      </c>
    </row>
    <row r="79" spans="16:24" x14ac:dyDescent="0.35">
      <c r="P79" s="40" t="s">
        <v>600</v>
      </c>
      <c r="Q79" s="96" t="e">
        <f>VLOOKUP($P79,flows!$A$2:$J$2822,Q$3,FALSE)</f>
        <v>#N/A</v>
      </c>
      <c r="R79" s="96" t="e">
        <f>VLOOKUP($P79,flows!$A$2:$J$2822,R$3,FALSE)</f>
        <v>#N/A</v>
      </c>
      <c r="S79" s="96" t="e">
        <f>VLOOKUP($P79,flows!$A$2:$J$2822,S$3,FALSE)</f>
        <v>#N/A</v>
      </c>
      <c r="T79" s="96" t="e">
        <f>VLOOKUP($P79,flows!$A$2:$J$2822,T$3,FALSE)</f>
        <v>#N/A</v>
      </c>
      <c r="U79" s="96" t="e">
        <f>VLOOKUP($P79,flows!$A$2:$J$2822,U$3,FALSE)</f>
        <v>#N/A</v>
      </c>
      <c r="V79" s="96" t="e">
        <f>VLOOKUP($P79,flows!$A$2:$J$2822,V$3,FALSE)</f>
        <v>#N/A</v>
      </c>
      <c r="W79" s="96" t="e">
        <f>VLOOKUP($P79,flows!$A$2:$J$2822,W$3,FALSE)</f>
        <v>#N/A</v>
      </c>
      <c r="X79" s="96" t="e">
        <f>VLOOKUP($P79,flows!$A$2:$J$2822,X$3,FALSE)</f>
        <v>#N/A</v>
      </c>
    </row>
    <row r="80" spans="16:24" x14ac:dyDescent="0.35">
      <c r="P80" s="40" t="s">
        <v>1008</v>
      </c>
      <c r="Q80" s="96" t="e">
        <f>VLOOKUP($P80,flows!$A$2:$J$4985,Q$3,FALSE)</f>
        <v>#N/A</v>
      </c>
      <c r="R80" s="96" t="e">
        <f>VLOOKUP($P80,flows!$A$2:$J$4985,R$3,FALSE)</f>
        <v>#N/A</v>
      </c>
      <c r="S80" s="96" t="e">
        <f>VLOOKUP($P80,flows!$A$2:$J$4985,S$3,FALSE)</f>
        <v>#N/A</v>
      </c>
      <c r="T80" s="96" t="e">
        <f>VLOOKUP($P80,flows!$A$2:$J$4985,T$3,FALSE)</f>
        <v>#N/A</v>
      </c>
      <c r="U80" s="96" t="e">
        <f>VLOOKUP($P80,flows!$A$2:$J$4985,U$3,FALSE)</f>
        <v>#N/A</v>
      </c>
      <c r="V80" s="96" t="e">
        <f>VLOOKUP($P80,flows!$A$2:$J$4985,V$3,FALSE)</f>
        <v>#N/A</v>
      </c>
      <c r="W80" s="96" t="e">
        <f>VLOOKUP($P80,flows!$A$2:$J$4985,W$3,FALSE)</f>
        <v>#N/A</v>
      </c>
      <c r="X80" s="96" t="e">
        <f>VLOOKUP($P80,flows!$A$2:$J$4985,X$3,FALSE)</f>
        <v>#N/A</v>
      </c>
    </row>
    <row r="81" spans="16:24" x14ac:dyDescent="0.35">
      <c r="P81" s="99" t="s">
        <v>1209</v>
      </c>
      <c r="Q81" s="96" t="e">
        <f t="shared" ref="Q81:X81" si="30">SUM(Q71:Q80)</f>
        <v>#N/A</v>
      </c>
      <c r="R81" s="96" t="e">
        <f t="shared" si="30"/>
        <v>#N/A</v>
      </c>
      <c r="S81" s="96" t="e">
        <f t="shared" si="30"/>
        <v>#N/A</v>
      </c>
      <c r="T81" s="96" t="e">
        <f t="shared" si="30"/>
        <v>#N/A</v>
      </c>
      <c r="U81" s="96" t="e">
        <f t="shared" si="30"/>
        <v>#N/A</v>
      </c>
      <c r="V81" s="96" t="e">
        <f t="shared" si="30"/>
        <v>#N/A</v>
      </c>
      <c r="W81" s="96" t="e">
        <f t="shared" si="30"/>
        <v>#N/A</v>
      </c>
      <c r="X81" s="96" t="e">
        <f t="shared" si="30"/>
        <v>#N/A</v>
      </c>
    </row>
    <row r="82" spans="16:24" x14ac:dyDescent="0.35">
      <c r="P82" s="99" t="s">
        <v>4068</v>
      </c>
      <c r="Q82" s="96" t="e">
        <f>Q81+Q25*Q26</f>
        <v>#N/A</v>
      </c>
      <c r="R82" s="96" t="e">
        <f t="shared" ref="R82:X82" si="31">R81+R25*R26</f>
        <v>#N/A</v>
      </c>
      <c r="S82" s="96" t="e">
        <f t="shared" si="31"/>
        <v>#N/A</v>
      </c>
      <c r="T82" s="96" t="e">
        <f t="shared" si="31"/>
        <v>#N/A</v>
      </c>
      <c r="U82" s="96" t="e">
        <f t="shared" si="31"/>
        <v>#N/A</v>
      </c>
      <c r="V82" s="96" t="e">
        <f t="shared" si="31"/>
        <v>#N/A</v>
      </c>
      <c r="W82" s="96" t="e">
        <f t="shared" si="31"/>
        <v>#N/A</v>
      </c>
      <c r="X82" s="96" t="e">
        <f t="shared" si="31"/>
        <v>#N/A</v>
      </c>
    </row>
    <row r="83" spans="16:24" x14ac:dyDescent="0.35">
      <c r="P83" s="99"/>
      <c r="Q83" s="96"/>
      <c r="R83" s="96"/>
      <c r="S83" s="96"/>
      <c r="T83" s="96"/>
      <c r="U83" s="96"/>
      <c r="V83" s="96"/>
      <c r="W83" s="96"/>
      <c r="X83" s="96"/>
    </row>
    <row r="84" spans="16:24" x14ac:dyDescent="0.35">
      <c r="P84" s="99"/>
      <c r="Q84" s="96"/>
      <c r="R84" s="96"/>
      <c r="S84" s="96"/>
      <c r="T84" s="96"/>
      <c r="U84" s="96"/>
      <c r="V84" s="96"/>
      <c r="W84" s="96"/>
      <c r="X84" s="96"/>
    </row>
    <row r="85" spans="16:24" x14ac:dyDescent="0.35">
      <c r="P85" s="99"/>
      <c r="Q85" s="96"/>
      <c r="R85" s="96"/>
      <c r="S85" s="96"/>
      <c r="T85" s="96"/>
      <c r="U85" s="96"/>
      <c r="V85" s="96"/>
      <c r="W85" s="96"/>
      <c r="X85" s="96"/>
    </row>
    <row r="86" spans="16:24" x14ac:dyDescent="0.35">
      <c r="P86" s="40"/>
      <c r="Q86" s="92"/>
      <c r="R86" s="92"/>
      <c r="S86" s="92"/>
      <c r="T86" s="92"/>
      <c r="U86" s="92"/>
      <c r="V86" s="92"/>
      <c r="W86" s="92"/>
      <c r="X86" s="92"/>
    </row>
    <row r="87" spans="16:24" x14ac:dyDescent="0.35">
      <c r="P87" s="40" t="s">
        <v>2583</v>
      </c>
      <c r="Q87" s="96" t="e">
        <f>VLOOKUP($P87,flows!$A$2:$J$4985,Q$3,FALSE)</f>
        <v>#N/A</v>
      </c>
      <c r="R87" s="96" t="e">
        <f>VLOOKUP($P87,flows!$A$2:$J$4985,R$3,FALSE)</f>
        <v>#N/A</v>
      </c>
      <c r="S87" s="96" t="e">
        <f>VLOOKUP($P87,flows!$A$2:$J$4985,S$3,FALSE)</f>
        <v>#N/A</v>
      </c>
      <c r="T87" s="96" t="e">
        <f>VLOOKUP($P87,flows!$A$2:$J$4985,T$3,FALSE)</f>
        <v>#N/A</v>
      </c>
      <c r="U87" s="96" t="e">
        <f>VLOOKUP($P87,flows!$A$2:$J$4985,U$3,FALSE)</f>
        <v>#N/A</v>
      </c>
      <c r="V87" s="96" t="e">
        <f>VLOOKUP($P87,flows!$A$2:$J$4985,V$3,FALSE)</f>
        <v>#N/A</v>
      </c>
      <c r="W87" s="96" t="e">
        <f>VLOOKUP($P87,flows!$A$2:$J$4985,W$3,FALSE)</f>
        <v>#N/A</v>
      </c>
      <c r="X87" s="96" t="e">
        <f>VLOOKUP($P87,flows!$A$2:$J$4985,X$3,FALSE)</f>
        <v>#N/A</v>
      </c>
    </row>
    <row r="88" spans="16:24" x14ac:dyDescent="0.35">
      <c r="P88" s="40" t="s">
        <v>2584</v>
      </c>
      <c r="Q88" s="96" t="e">
        <f>VLOOKUP($P88,flows!$A$2:$J$4985,Q$3,FALSE)</f>
        <v>#N/A</v>
      </c>
      <c r="R88" s="96" t="e">
        <f>VLOOKUP($P88,flows!$A$2:$J$4985,R$3,FALSE)</f>
        <v>#N/A</v>
      </c>
      <c r="S88" s="96" t="e">
        <f>VLOOKUP($P88,flows!$A$2:$J$4985,S$3,FALSE)</f>
        <v>#N/A</v>
      </c>
      <c r="T88" s="96" t="e">
        <f>VLOOKUP($P88,flows!$A$2:$J$4985,T$3,FALSE)</f>
        <v>#N/A</v>
      </c>
      <c r="U88" s="96" t="e">
        <f>VLOOKUP($P88,flows!$A$2:$J$4985,U$3,FALSE)</f>
        <v>#N/A</v>
      </c>
      <c r="V88" s="96" t="e">
        <f>VLOOKUP($P88,flows!$A$2:$J$4985,V$3,FALSE)</f>
        <v>#N/A</v>
      </c>
      <c r="W88" s="96" t="e">
        <f>VLOOKUP($P88,flows!$A$2:$J$4985,W$3,FALSE)</f>
        <v>#N/A</v>
      </c>
      <c r="X88" s="96" t="e">
        <f>VLOOKUP($P88,flows!$A$2:$J$4985,X$3,FALSE)</f>
        <v>#N/A</v>
      </c>
    </row>
    <row r="89" spans="16:24" x14ac:dyDescent="0.35">
      <c r="P89" s="40" t="s">
        <v>878</v>
      </c>
      <c r="Q89" s="96" t="e">
        <f>VLOOKUP($P89,flows!$A$2:$J$4985,Q$3,FALSE)</f>
        <v>#N/A</v>
      </c>
      <c r="R89" s="96" t="e">
        <f>VLOOKUP($P89,flows!$A$2:$J$4985,R$3,FALSE)</f>
        <v>#N/A</v>
      </c>
      <c r="S89" s="96" t="e">
        <f>VLOOKUP($P89,flows!$A$2:$J$4985,S$3,FALSE)</f>
        <v>#N/A</v>
      </c>
      <c r="T89" s="96" t="e">
        <f>VLOOKUP($P89,flows!$A$2:$J$4985,T$3,FALSE)</f>
        <v>#N/A</v>
      </c>
      <c r="U89" s="96" t="e">
        <f>VLOOKUP($P89,flows!$A$2:$J$4985,U$3,FALSE)</f>
        <v>#N/A</v>
      </c>
      <c r="V89" s="96" t="e">
        <f>VLOOKUP($P89,flows!$A$2:$J$4985,V$3,FALSE)</f>
        <v>#N/A</v>
      </c>
      <c r="W89" s="96" t="e">
        <f>VLOOKUP($P89,flows!$A$2:$J$4985,W$3,FALSE)</f>
        <v>#N/A</v>
      </c>
      <c r="X89" s="96" t="e">
        <f>VLOOKUP($P89,flows!$A$2:$J$4985,X$3,FALSE)</f>
        <v>#N/A</v>
      </c>
    </row>
    <row r="90" spans="16:24" x14ac:dyDescent="0.35">
      <c r="P90" s="40" t="s">
        <v>1044</v>
      </c>
      <c r="Q90" s="96" t="e">
        <f>VLOOKUP($P90,flows!$A$2:$J$4985,Q$3,FALSE)</f>
        <v>#N/A</v>
      </c>
      <c r="R90" s="96" t="e">
        <f>VLOOKUP($P90,flows!$A$2:$J$4985,R$3,FALSE)</f>
        <v>#N/A</v>
      </c>
      <c r="S90" s="96" t="e">
        <f>VLOOKUP($P90,flows!$A$2:$J$4985,S$3,FALSE)</f>
        <v>#N/A</v>
      </c>
      <c r="T90" s="96" t="e">
        <f>VLOOKUP($P90,flows!$A$2:$J$4985,T$3,FALSE)</f>
        <v>#N/A</v>
      </c>
      <c r="U90" s="96" t="e">
        <f>VLOOKUP($P90,flows!$A$2:$J$4985,U$3,FALSE)</f>
        <v>#N/A</v>
      </c>
      <c r="V90" s="96" t="e">
        <f>VLOOKUP($P90,flows!$A$2:$J$4985,V$3,FALSE)</f>
        <v>#N/A</v>
      </c>
      <c r="W90" s="96" t="e">
        <f>VLOOKUP($P90,flows!$A$2:$J$4985,W$3,FALSE)</f>
        <v>#N/A</v>
      </c>
      <c r="X90" s="96" t="e">
        <f>VLOOKUP($P90,flows!$A$2:$J$4985,X$3,FALSE)</f>
        <v>#N/A</v>
      </c>
    </row>
    <row r="91" spans="16:24" x14ac:dyDescent="0.35">
      <c r="P91" s="40" t="s">
        <v>879</v>
      </c>
      <c r="Q91" s="96" t="e">
        <f>VLOOKUP($P91,flows!$A$2:$J$4985,Q$3,FALSE)</f>
        <v>#N/A</v>
      </c>
      <c r="R91" s="96" t="e">
        <f>VLOOKUP($P91,flows!$A$2:$J$4985,R$3,FALSE)</f>
        <v>#N/A</v>
      </c>
      <c r="S91" s="96" t="e">
        <f>VLOOKUP($P91,flows!$A$2:$J$4985,S$3,FALSE)</f>
        <v>#N/A</v>
      </c>
      <c r="T91" s="96" t="e">
        <f>VLOOKUP($P91,flows!$A$2:$J$4985,T$3,FALSE)</f>
        <v>#N/A</v>
      </c>
      <c r="U91" s="96" t="e">
        <f>VLOOKUP($P91,flows!$A$2:$J$4985,U$3,FALSE)</f>
        <v>#N/A</v>
      </c>
      <c r="V91" s="96" t="e">
        <f>VLOOKUP($P91,flows!$A$2:$J$4985,V$3,FALSE)</f>
        <v>#N/A</v>
      </c>
      <c r="W91" s="96" t="e">
        <f>VLOOKUP($P91,flows!$A$2:$J$4985,W$3,FALSE)</f>
        <v>#N/A</v>
      </c>
      <c r="X91" s="96" t="e">
        <f>VLOOKUP($P91,flows!$A$2:$J$4985,X$3,FALSE)</f>
        <v>#N/A</v>
      </c>
    </row>
    <row r="92" spans="16:24" x14ac:dyDescent="0.35">
      <c r="P92" s="40" t="s">
        <v>1046</v>
      </c>
      <c r="Q92" s="96" t="e">
        <f>VLOOKUP($P92,flows!$A$2:$J$4985,Q$3,FALSE)</f>
        <v>#N/A</v>
      </c>
      <c r="R92" s="96" t="e">
        <f>VLOOKUP($P92,flows!$A$2:$J$4985,R$3,FALSE)</f>
        <v>#N/A</v>
      </c>
      <c r="S92" s="96" t="e">
        <f>VLOOKUP($P92,flows!$A$2:$J$4985,S$3,FALSE)</f>
        <v>#N/A</v>
      </c>
      <c r="T92" s="96" t="e">
        <f>VLOOKUP($P92,flows!$A$2:$J$4985,T$3,FALSE)</f>
        <v>#N/A</v>
      </c>
      <c r="U92" s="96" t="e">
        <f>VLOOKUP($P92,flows!$A$2:$J$4985,U$3,FALSE)</f>
        <v>#N/A</v>
      </c>
      <c r="V92" s="96" t="e">
        <f>VLOOKUP($P92,flows!$A$2:$J$4985,V$3,FALSE)</f>
        <v>#N/A</v>
      </c>
      <c r="W92" s="96" t="e">
        <f>VLOOKUP($P92,flows!$A$2:$J$4985,W$3,FALSE)</f>
        <v>#N/A</v>
      </c>
      <c r="X92" s="96" t="e">
        <f>VLOOKUP($P92,flows!$A$2:$J$4985,X$3,FALSE)</f>
        <v>#N/A</v>
      </c>
    </row>
    <row r="93" spans="16:24" x14ac:dyDescent="0.35">
      <c r="P93" s="40" t="s">
        <v>1047</v>
      </c>
      <c r="Q93" s="96">
        <f xml:space="preserve">  IFERROR(VLOOKUP($P93,flows!$A$2:$J$4985,Q$3,FALSE),0)</f>
        <v>0</v>
      </c>
      <c r="R93" s="96">
        <f xml:space="preserve">  IFERROR(VLOOKUP($P93,flows!$A$2:$J$4985,R$3,FALSE),0)</f>
        <v>0</v>
      </c>
      <c r="S93" s="96">
        <f xml:space="preserve">  IFERROR(VLOOKUP($P93,flows!$A$2:$J$4985,S$3,FALSE),0)</f>
        <v>0</v>
      </c>
      <c r="T93" s="96">
        <f xml:space="preserve">  IFERROR(VLOOKUP($P93,flows!$A$2:$J$4985,T$3,FALSE),0)</f>
        <v>0</v>
      </c>
      <c r="U93" s="96">
        <f xml:space="preserve">  IFERROR(VLOOKUP($P93,flows!$A$2:$J$4985,U$3,FALSE),0)</f>
        <v>0</v>
      </c>
      <c r="V93" s="96">
        <f xml:space="preserve">  IFERROR(VLOOKUP($P93,flows!$A$2:$J$4985,V$3,FALSE),0)</f>
        <v>0</v>
      </c>
      <c r="W93" s="96">
        <f xml:space="preserve">  IFERROR(VLOOKUP($P93,flows!$A$2:$J$4985,W$3,FALSE),0)</f>
        <v>0</v>
      </c>
      <c r="X93" s="96">
        <f xml:space="preserve">  IFERROR(VLOOKUP($P93,flows!$A$2:$J$4985,X$3,FALSE),0)</f>
        <v>0</v>
      </c>
    </row>
    <row r="94" spans="16:24" x14ac:dyDescent="0.35">
      <c r="P94" s="99" t="s">
        <v>1464</v>
      </c>
      <c r="Q94" s="96" t="e">
        <f>SUM(Q87:Q93)</f>
        <v>#N/A</v>
      </c>
      <c r="R94" s="96" t="e">
        <f t="shared" ref="R94:X94" si="32">SUM(R87:R93)</f>
        <v>#N/A</v>
      </c>
      <c r="S94" s="96" t="e">
        <f t="shared" si="32"/>
        <v>#N/A</v>
      </c>
      <c r="T94" s="96" t="e">
        <f t="shared" si="32"/>
        <v>#N/A</v>
      </c>
      <c r="U94" s="96" t="e">
        <f t="shared" si="32"/>
        <v>#N/A</v>
      </c>
      <c r="V94" s="96" t="e">
        <f t="shared" si="32"/>
        <v>#N/A</v>
      </c>
      <c r="W94" s="96" t="e">
        <f t="shared" si="32"/>
        <v>#N/A</v>
      </c>
      <c r="X94" s="96" t="e">
        <f t="shared" si="32"/>
        <v>#N/A</v>
      </c>
    </row>
    <row r="95" spans="16:24" x14ac:dyDescent="0.35">
      <c r="P95" s="40"/>
      <c r="Q95" s="92"/>
      <c r="R95" s="92"/>
      <c r="S95" s="92"/>
      <c r="T95" s="92"/>
      <c r="U95" s="92"/>
      <c r="V95" s="92"/>
      <c r="W95" s="92"/>
      <c r="X95" s="92"/>
    </row>
    <row r="96" spans="16:24" x14ac:dyDescent="0.35">
      <c r="P96" s="40" t="s">
        <v>1116</v>
      </c>
      <c r="Q96" s="96" t="e">
        <f>VLOOKUP($P96,flows!$A$2:$J$4985,Q$3,FALSE)</f>
        <v>#N/A</v>
      </c>
      <c r="R96" s="96" t="e">
        <f>VLOOKUP($P96,flows!$A$2:$J$4985,R$3,FALSE)</f>
        <v>#N/A</v>
      </c>
      <c r="S96" s="96" t="e">
        <f>VLOOKUP($P96,flows!$A$2:$J$4985,S$3,FALSE)</f>
        <v>#N/A</v>
      </c>
      <c r="T96" s="96" t="e">
        <f>VLOOKUP($P96,flows!$A$2:$J$4985,T$3,FALSE)</f>
        <v>#N/A</v>
      </c>
      <c r="U96" s="96" t="e">
        <f>VLOOKUP($P96,flows!$A$2:$J$4985,U$3,FALSE)</f>
        <v>#N/A</v>
      </c>
      <c r="V96" s="96" t="e">
        <f>VLOOKUP($P96,flows!$A$2:$J$4985,V$3,FALSE)</f>
        <v>#N/A</v>
      </c>
      <c r="W96" s="96" t="e">
        <f>VLOOKUP($P96,flows!$A$2:$J$4985,W$3,FALSE)</f>
        <v>#N/A</v>
      </c>
      <c r="X96" s="96" t="e">
        <f>VLOOKUP($P96,flows!$A$2:$J$4985,X$3,FALSE)</f>
        <v>#N/A</v>
      </c>
    </row>
    <row r="97" spans="16:24" x14ac:dyDescent="0.35">
      <c r="P97" s="40" t="s">
        <v>1119</v>
      </c>
      <c r="Q97" s="96" t="e">
        <f>VLOOKUP($P97,flows!$A$2:$J$4985,Q$3,FALSE)</f>
        <v>#N/A</v>
      </c>
      <c r="R97" s="96" t="e">
        <f>VLOOKUP($P97,flows!$A$2:$J$4985,R$3,FALSE)</f>
        <v>#N/A</v>
      </c>
      <c r="S97" s="96" t="e">
        <f>VLOOKUP($P97,flows!$A$2:$J$4985,S$3,FALSE)</f>
        <v>#N/A</v>
      </c>
      <c r="T97" s="96" t="e">
        <f>VLOOKUP($P97,flows!$A$2:$J$4985,T$3,FALSE)</f>
        <v>#N/A</v>
      </c>
      <c r="U97" s="96" t="e">
        <f>VLOOKUP($P97,flows!$A$2:$J$4985,U$3,FALSE)</f>
        <v>#N/A</v>
      </c>
      <c r="V97" s="96" t="e">
        <f>VLOOKUP($P97,flows!$A$2:$J$4985,V$3,FALSE)</f>
        <v>#N/A</v>
      </c>
      <c r="W97" s="96" t="e">
        <f>VLOOKUP($P97,flows!$A$2:$J$4985,W$3,FALSE)</f>
        <v>#N/A</v>
      </c>
      <c r="X97" s="96" t="e">
        <f>VLOOKUP($P97,flows!$A$2:$J$4985,X$3,FALSE)</f>
        <v>#N/A</v>
      </c>
    </row>
    <row r="98" spans="16:24" x14ac:dyDescent="0.35">
      <c r="P98" s="99" t="s">
        <v>1208</v>
      </c>
      <c r="Q98" s="96" t="e">
        <f t="shared" ref="Q98:X98" si="33">SUM(Q96:Q97)</f>
        <v>#N/A</v>
      </c>
      <c r="R98" s="96" t="e">
        <f t="shared" si="33"/>
        <v>#N/A</v>
      </c>
      <c r="S98" s="96" t="e">
        <f t="shared" si="33"/>
        <v>#N/A</v>
      </c>
      <c r="T98" s="96" t="e">
        <f t="shared" si="33"/>
        <v>#N/A</v>
      </c>
      <c r="U98" s="96" t="e">
        <f t="shared" si="33"/>
        <v>#N/A</v>
      </c>
      <c r="V98" s="96" t="e">
        <f t="shared" si="33"/>
        <v>#N/A</v>
      </c>
      <c r="W98" s="96" t="e">
        <f t="shared" si="33"/>
        <v>#N/A</v>
      </c>
      <c r="X98" s="96" t="e">
        <f t="shared" si="33"/>
        <v>#N/A</v>
      </c>
    </row>
    <row r="99" spans="16:24" x14ac:dyDescent="0.35">
      <c r="P99" s="40"/>
      <c r="Q99" s="92"/>
      <c r="R99" s="92"/>
      <c r="S99" s="92"/>
      <c r="T99" s="92"/>
      <c r="U99" s="92"/>
      <c r="V99" s="92"/>
      <c r="W99" s="92"/>
      <c r="X99" s="92"/>
    </row>
    <row r="100" spans="16:24" x14ac:dyDescent="0.35">
      <c r="P100" s="40"/>
      <c r="Q100" s="96"/>
      <c r="R100" s="96"/>
      <c r="S100" s="96"/>
      <c r="T100" s="96"/>
      <c r="U100" s="96"/>
      <c r="V100" s="96"/>
      <c r="W100" s="96"/>
      <c r="X100" s="96"/>
    </row>
    <row r="101" spans="16:24" x14ac:dyDescent="0.35">
      <c r="P101" s="40" t="s">
        <v>4482</v>
      </c>
      <c r="Q101" s="96" t="e">
        <f>VLOOKUP($P101,flows!$A$2:$J$4985,Q$3,FALSE)</f>
        <v>#N/A</v>
      </c>
      <c r="R101" s="96" t="e">
        <f>VLOOKUP($P101,flows!$A$2:$J$4985,R$3,FALSE)</f>
        <v>#N/A</v>
      </c>
      <c r="S101" s="96" t="e">
        <f>VLOOKUP($P101,flows!$A$2:$J$4985,S$3,FALSE)</f>
        <v>#N/A</v>
      </c>
      <c r="T101" s="96" t="e">
        <f>VLOOKUP($P101,flows!$A$2:$J$4985,T$3,FALSE)</f>
        <v>#N/A</v>
      </c>
      <c r="U101" s="96" t="e">
        <f>VLOOKUP($P101,flows!$A$2:$J$4985,U$3,FALSE)</f>
        <v>#N/A</v>
      </c>
      <c r="V101" s="96" t="e">
        <f>VLOOKUP($P101,flows!$A$2:$J$4985,V$3,FALSE)</f>
        <v>#N/A</v>
      </c>
      <c r="W101" s="96" t="e">
        <f>VLOOKUP($P101,flows!$A$2:$J$4985,W$3,FALSE)</f>
        <v>#N/A</v>
      </c>
      <c r="X101" s="96" t="e">
        <f>VLOOKUP($P101,flows!$A$2:$J$4985,X$3,FALSE)</f>
        <v>#N/A</v>
      </c>
    </row>
    <row r="102" spans="16:24" x14ac:dyDescent="0.35">
      <c r="P102" s="40" t="s">
        <v>4483</v>
      </c>
      <c r="Q102" s="96" t="e">
        <f>VLOOKUP($P102,flows!$A$2:$J$4985,Q$3,FALSE)</f>
        <v>#N/A</v>
      </c>
      <c r="R102" s="96" t="e">
        <f>VLOOKUP($P102,flows!$A$2:$J$4985,R$3,FALSE)</f>
        <v>#N/A</v>
      </c>
      <c r="S102" s="96" t="e">
        <f>VLOOKUP($P102,flows!$A$2:$J$4985,S$3,FALSE)</f>
        <v>#N/A</v>
      </c>
      <c r="T102" s="96" t="e">
        <f>VLOOKUP($P102,flows!$A$2:$J$4985,T$3,FALSE)</f>
        <v>#N/A</v>
      </c>
      <c r="U102" s="96" t="e">
        <f>VLOOKUP($P102,flows!$A$2:$J$4985,U$3,FALSE)</f>
        <v>#N/A</v>
      </c>
      <c r="V102" s="96" t="e">
        <f>VLOOKUP($P102,flows!$A$2:$J$4985,V$3,FALSE)</f>
        <v>#N/A</v>
      </c>
      <c r="W102" s="96" t="e">
        <f>VLOOKUP($P102,flows!$A$2:$J$4985,W$3,FALSE)</f>
        <v>#N/A</v>
      </c>
      <c r="X102" s="96" t="e">
        <f>VLOOKUP($P102,flows!$A$2:$J$4985,X$3,FALSE)</f>
        <v>#N/A</v>
      </c>
    </row>
    <row r="103" spans="16:24" x14ac:dyDescent="0.35">
      <c r="P103" s="40" t="s">
        <v>4484</v>
      </c>
      <c r="Q103" s="96" t="e">
        <f>VLOOKUP($P103,flows!$A$2:$J$4985,Q$3,FALSE)</f>
        <v>#N/A</v>
      </c>
      <c r="R103" s="96" t="e">
        <f>VLOOKUP($P103,flows!$A$2:$J$4985,R$3,FALSE)</f>
        <v>#N/A</v>
      </c>
      <c r="S103" s="96" t="e">
        <f>VLOOKUP($P103,flows!$A$2:$J$4985,S$3,FALSE)</f>
        <v>#N/A</v>
      </c>
      <c r="T103" s="96" t="e">
        <f>VLOOKUP($P103,flows!$A$2:$J$4985,T$3,FALSE)</f>
        <v>#N/A</v>
      </c>
      <c r="U103" s="96" t="e">
        <f>VLOOKUP($P103,flows!$A$2:$J$4985,U$3,FALSE)</f>
        <v>#N/A</v>
      </c>
      <c r="V103" s="96" t="e">
        <f>VLOOKUP($P103,flows!$A$2:$J$4985,V$3,FALSE)</f>
        <v>#N/A</v>
      </c>
      <c r="W103" s="96" t="e">
        <f>VLOOKUP($P103,flows!$A$2:$J$4985,W$3,FALSE)</f>
        <v>#N/A</v>
      </c>
      <c r="X103" s="96" t="e">
        <f>VLOOKUP($P103,flows!$A$2:$J$4985,X$3,FALSE)</f>
        <v>#N/A</v>
      </c>
    </row>
    <row r="104" spans="16:24" x14ac:dyDescent="0.35">
      <c r="P104" s="40" t="s">
        <v>4485</v>
      </c>
      <c r="Q104" s="96" t="e">
        <f>VLOOKUP($P104,flows!$A$2:$J$4985,Q$3,FALSE)</f>
        <v>#N/A</v>
      </c>
      <c r="R104" s="96" t="e">
        <f>VLOOKUP($P104,flows!$A$2:$J$4985,R$3,FALSE)</f>
        <v>#N/A</v>
      </c>
      <c r="S104" s="96" t="e">
        <f>VLOOKUP($P104,flows!$A$2:$J$4985,S$3,FALSE)</f>
        <v>#N/A</v>
      </c>
      <c r="T104" s="96" t="e">
        <f>VLOOKUP($P104,flows!$A$2:$J$4985,T$3,FALSE)</f>
        <v>#N/A</v>
      </c>
      <c r="U104" s="96" t="e">
        <f>VLOOKUP($P104,flows!$A$2:$J$4985,U$3,FALSE)</f>
        <v>#N/A</v>
      </c>
      <c r="V104" s="96" t="e">
        <f>VLOOKUP($P104,flows!$A$2:$J$4985,V$3,FALSE)</f>
        <v>#N/A</v>
      </c>
      <c r="W104" s="96" t="e">
        <f>VLOOKUP($P104,flows!$A$2:$J$4985,W$3,FALSE)</f>
        <v>#N/A</v>
      </c>
      <c r="X104" s="96" t="e">
        <f>VLOOKUP($P104,flows!$A$2:$J$4985,X$3,FALSE)</f>
        <v>#N/A</v>
      </c>
    </row>
    <row r="105" spans="16:24" x14ac:dyDescent="0.35">
      <c r="P105" s="40" t="s">
        <v>4486</v>
      </c>
      <c r="Q105" s="96" t="e">
        <f>VLOOKUP($P105,flows!$A$2:$J$4985,Q$3,FALSE)</f>
        <v>#N/A</v>
      </c>
      <c r="R105" s="96" t="e">
        <f>VLOOKUP($P105,flows!$A$2:$J$4985,R$3,FALSE)</f>
        <v>#N/A</v>
      </c>
      <c r="S105" s="96" t="e">
        <f>VLOOKUP($P105,flows!$A$2:$J$4985,S$3,FALSE)</f>
        <v>#N/A</v>
      </c>
      <c r="T105" s="96" t="e">
        <f>VLOOKUP($P105,flows!$A$2:$J$4985,T$3,FALSE)</f>
        <v>#N/A</v>
      </c>
      <c r="U105" s="96" t="e">
        <f>VLOOKUP($P105,flows!$A$2:$J$4985,U$3,FALSE)</f>
        <v>#N/A</v>
      </c>
      <c r="V105" s="96" t="e">
        <f>VLOOKUP($P105,flows!$A$2:$J$4985,V$3,FALSE)</f>
        <v>#N/A</v>
      </c>
      <c r="W105" s="96" t="e">
        <f>VLOOKUP($P105,flows!$A$2:$J$4985,W$3,FALSE)</f>
        <v>#N/A</v>
      </c>
      <c r="X105" s="96" t="e">
        <f>VLOOKUP($P105,flows!$A$2:$J$4985,X$3,FALSE)</f>
        <v>#N/A</v>
      </c>
    </row>
    <row r="106" spans="16:24" x14ac:dyDescent="0.35">
      <c r="P106" s="40" t="s">
        <v>4487</v>
      </c>
      <c r="Q106" s="96" t="e">
        <f>VLOOKUP($P106,flows!$A$2:$J$4985,Q$3,FALSE)</f>
        <v>#N/A</v>
      </c>
      <c r="R106" s="96" t="e">
        <f>VLOOKUP($P106,flows!$A$2:$J$4985,R$3,FALSE)</f>
        <v>#N/A</v>
      </c>
      <c r="S106" s="96" t="e">
        <f>VLOOKUP($P106,flows!$A$2:$J$4985,S$3,FALSE)</f>
        <v>#N/A</v>
      </c>
      <c r="T106" s="96" t="e">
        <f>VLOOKUP($P106,flows!$A$2:$J$4985,T$3,FALSE)</f>
        <v>#N/A</v>
      </c>
      <c r="U106" s="96" t="e">
        <f>VLOOKUP($P106,flows!$A$2:$J$4985,U$3,FALSE)</f>
        <v>#N/A</v>
      </c>
      <c r="V106" s="96" t="e">
        <f>VLOOKUP($P106,flows!$A$2:$J$4985,V$3,FALSE)</f>
        <v>#N/A</v>
      </c>
      <c r="W106" s="96" t="e">
        <f>VLOOKUP($P106,flows!$A$2:$J$4985,W$3,FALSE)</f>
        <v>#N/A</v>
      </c>
      <c r="X106" s="96" t="e">
        <f>VLOOKUP($P106,flows!$A$2:$J$4985,X$3,FALSE)</f>
        <v>#N/A</v>
      </c>
    </row>
    <row r="107" spans="16:24" x14ac:dyDescent="0.35">
      <c r="P107" s="40" t="s">
        <v>4488</v>
      </c>
      <c r="Q107" s="96" t="e">
        <f>VLOOKUP($P107,flows!$A$2:$J$4985,Q$3,FALSE)</f>
        <v>#N/A</v>
      </c>
      <c r="R107" s="96" t="e">
        <f>VLOOKUP($P107,flows!$A$2:$J$4985,R$3,FALSE)</f>
        <v>#N/A</v>
      </c>
      <c r="S107" s="96" t="e">
        <f>VLOOKUP($P107,flows!$A$2:$J$4985,S$3,FALSE)</f>
        <v>#N/A</v>
      </c>
      <c r="T107" s="96" t="e">
        <f>VLOOKUP($P107,flows!$A$2:$J$4985,T$3,FALSE)</f>
        <v>#N/A</v>
      </c>
      <c r="U107" s="96" t="e">
        <f>VLOOKUP($P107,flows!$A$2:$J$4985,U$3,FALSE)</f>
        <v>#N/A</v>
      </c>
      <c r="V107" s="96" t="e">
        <f>VLOOKUP($P107,flows!$A$2:$J$4985,V$3,FALSE)</f>
        <v>#N/A</v>
      </c>
      <c r="W107" s="96" t="e">
        <f>VLOOKUP($P107,flows!$A$2:$J$4985,W$3,FALSE)</f>
        <v>#N/A</v>
      </c>
      <c r="X107" s="96" t="e">
        <f>VLOOKUP($P107,flows!$A$2:$J$4985,X$3,FALSE)</f>
        <v>#N/A</v>
      </c>
    </row>
    <row r="108" spans="16:24" x14ac:dyDescent="0.35">
      <c r="P108" s="40" t="s">
        <v>4489</v>
      </c>
      <c r="Q108" s="96" t="e">
        <f>VLOOKUP($P108,flows!$A$2:$J$4985,Q$3,FALSE)</f>
        <v>#N/A</v>
      </c>
      <c r="R108" s="96" t="e">
        <f>VLOOKUP($P108,flows!$A$2:$J$4985,R$3,FALSE)</f>
        <v>#N/A</v>
      </c>
      <c r="S108" s="96" t="e">
        <f>VLOOKUP($P108,flows!$A$2:$J$4985,S$3,FALSE)</f>
        <v>#N/A</v>
      </c>
      <c r="T108" s="96" t="e">
        <f>VLOOKUP($P108,flows!$A$2:$J$4985,T$3,FALSE)</f>
        <v>#N/A</v>
      </c>
      <c r="U108" s="96" t="e">
        <f>VLOOKUP($P108,flows!$A$2:$J$4985,U$3,FALSE)</f>
        <v>#N/A</v>
      </c>
      <c r="V108" s="96" t="e">
        <f>VLOOKUP($P108,flows!$A$2:$J$4985,V$3,FALSE)</f>
        <v>#N/A</v>
      </c>
      <c r="W108" s="96" t="e">
        <f>VLOOKUP($P108,flows!$A$2:$J$4985,W$3,FALSE)</f>
        <v>#N/A</v>
      </c>
      <c r="X108" s="96" t="e">
        <f>VLOOKUP($P108,flows!$A$2:$J$4985,X$3,FALSE)</f>
        <v>#N/A</v>
      </c>
    </row>
    <row r="109" spans="16:24" x14ac:dyDescent="0.35">
      <c r="P109" s="40" t="s">
        <v>4490</v>
      </c>
      <c r="Q109" s="96" t="e">
        <f>VLOOKUP($P109,flows!$A$2:$J$4985,Q$3,FALSE)</f>
        <v>#N/A</v>
      </c>
      <c r="R109" s="96" t="e">
        <f>VLOOKUP($P109,flows!$A$2:$J$4985,R$3,FALSE)</f>
        <v>#N/A</v>
      </c>
      <c r="S109" s="96" t="e">
        <f>VLOOKUP($P109,flows!$A$2:$J$4985,S$3,FALSE)</f>
        <v>#N/A</v>
      </c>
      <c r="T109" s="96" t="e">
        <f>VLOOKUP($P109,flows!$A$2:$J$4985,T$3,FALSE)</f>
        <v>#N/A</v>
      </c>
      <c r="U109" s="96" t="e">
        <f>VLOOKUP($P109,flows!$A$2:$J$4985,U$3,FALSE)</f>
        <v>#N/A</v>
      </c>
      <c r="V109" s="96" t="e">
        <f>VLOOKUP($P109,flows!$A$2:$J$4985,V$3,FALSE)</f>
        <v>#N/A</v>
      </c>
      <c r="W109" s="96" t="e">
        <f>VLOOKUP($P109,flows!$A$2:$J$4985,W$3,FALSE)</f>
        <v>#N/A</v>
      </c>
      <c r="X109" s="96" t="e">
        <f>VLOOKUP($P109,flows!$A$2:$J$4985,X$3,FALSE)</f>
        <v>#N/A</v>
      </c>
    </row>
    <row r="110" spans="16:24" x14ac:dyDescent="0.35">
      <c r="P110" s="40" t="s">
        <v>4491</v>
      </c>
      <c r="Q110" s="96" t="e">
        <f>VLOOKUP($P110,flows!$A$2:$J$4985,Q$3,FALSE)</f>
        <v>#N/A</v>
      </c>
      <c r="R110" s="96" t="e">
        <f>VLOOKUP($P110,flows!$A$2:$J$4985,R$3,FALSE)</f>
        <v>#N/A</v>
      </c>
      <c r="S110" s="96" t="e">
        <f>VLOOKUP($P110,flows!$A$2:$J$4985,S$3,FALSE)</f>
        <v>#N/A</v>
      </c>
      <c r="T110" s="96" t="e">
        <f>VLOOKUP($P110,flows!$A$2:$J$4985,T$3,FALSE)</f>
        <v>#N/A</v>
      </c>
      <c r="U110" s="96" t="e">
        <f>VLOOKUP($P110,flows!$A$2:$J$4985,U$3,FALSE)</f>
        <v>#N/A</v>
      </c>
      <c r="V110" s="96" t="e">
        <f>VLOOKUP($P110,flows!$A$2:$J$4985,V$3,FALSE)</f>
        <v>#N/A</v>
      </c>
      <c r="W110" s="96" t="e">
        <f>VLOOKUP($P110,flows!$A$2:$J$4985,W$3,FALSE)</f>
        <v>#N/A</v>
      </c>
      <c r="X110" s="96" t="e">
        <f>VLOOKUP($P110,flows!$A$2:$J$4985,X$3,FALSE)</f>
        <v>#N/A</v>
      </c>
    </row>
    <row r="111" spans="16:24" x14ac:dyDescent="0.35">
      <c r="P111" s="40" t="s">
        <v>4492</v>
      </c>
      <c r="Q111" s="96" t="e">
        <f>VLOOKUP($P111,flows!$A$2:$J$4985,Q$3,FALSE)</f>
        <v>#N/A</v>
      </c>
      <c r="R111" s="96" t="e">
        <f>VLOOKUP($P111,flows!$A$2:$J$4985,R$3,FALSE)</f>
        <v>#N/A</v>
      </c>
      <c r="S111" s="96" t="e">
        <f>VLOOKUP($P111,flows!$A$2:$J$4985,S$3,FALSE)</f>
        <v>#N/A</v>
      </c>
      <c r="T111" s="96" t="e">
        <f>VLOOKUP($P111,flows!$A$2:$J$4985,T$3,FALSE)</f>
        <v>#N/A</v>
      </c>
      <c r="U111" s="96" t="e">
        <f>VLOOKUP($P111,flows!$A$2:$J$4985,U$3,FALSE)</f>
        <v>#N/A</v>
      </c>
      <c r="V111" s="96" t="e">
        <f>VLOOKUP($P111,flows!$A$2:$J$4985,V$3,FALSE)</f>
        <v>#N/A</v>
      </c>
      <c r="W111" s="96" t="e">
        <f>VLOOKUP($P111,flows!$A$2:$J$4985,W$3,FALSE)</f>
        <v>#N/A</v>
      </c>
      <c r="X111" s="96" t="e">
        <f>VLOOKUP($P111,flows!$A$2:$J$4985,X$3,FALSE)</f>
        <v>#N/A</v>
      </c>
    </row>
    <row r="112" spans="16:24" x14ac:dyDescent="0.35">
      <c r="P112" s="99" t="s">
        <v>1658</v>
      </c>
      <c r="Q112" s="96" t="e">
        <f>SUM(Q100:Q111)</f>
        <v>#N/A</v>
      </c>
      <c r="R112" s="96" t="e">
        <f t="shared" ref="R112:X112" si="34">SUM(R100:R111)</f>
        <v>#N/A</v>
      </c>
      <c r="S112" s="96" t="e">
        <f t="shared" si="34"/>
        <v>#N/A</v>
      </c>
      <c r="T112" s="96" t="e">
        <f t="shared" si="34"/>
        <v>#N/A</v>
      </c>
      <c r="U112" s="96" t="e">
        <f t="shared" si="34"/>
        <v>#N/A</v>
      </c>
      <c r="V112" s="96" t="e">
        <f t="shared" si="34"/>
        <v>#N/A</v>
      </c>
      <c r="W112" s="96" t="e">
        <f t="shared" si="34"/>
        <v>#N/A</v>
      </c>
      <c r="X112" s="96" t="e">
        <f t="shared" si="34"/>
        <v>#N/A</v>
      </c>
    </row>
    <row r="113" spans="16:24" x14ac:dyDescent="0.35">
      <c r="P113" s="40"/>
      <c r="Q113" s="92"/>
      <c r="R113" s="92"/>
      <c r="S113" s="92"/>
      <c r="T113" s="92"/>
      <c r="U113" s="92"/>
      <c r="V113" s="92"/>
      <c r="W113" s="92"/>
      <c r="X113" s="92"/>
    </row>
    <row r="114" spans="16:24" x14ac:dyDescent="0.35">
      <c r="P114" s="40"/>
      <c r="Q114" s="96"/>
      <c r="R114" s="96"/>
      <c r="S114" s="96"/>
      <c r="T114" s="96"/>
      <c r="U114" s="96"/>
      <c r="V114" s="96"/>
      <c r="W114" s="96"/>
      <c r="X114" s="96"/>
    </row>
    <row r="115" spans="16:24" x14ac:dyDescent="0.35">
      <c r="P115" s="40" t="s">
        <v>701</v>
      </c>
      <c r="Q115" s="96" t="e">
        <f>VLOOKUP($P115,flows!$A$2:$J$4985,Q$3,FALSE)</f>
        <v>#N/A</v>
      </c>
      <c r="R115" s="96" t="e">
        <f>VLOOKUP($P115,flows!$A$2:$J$4985,R$3,FALSE)</f>
        <v>#N/A</v>
      </c>
      <c r="S115" s="96" t="e">
        <f>VLOOKUP($P115,flows!$A$2:$J$4985,S$3,FALSE)</f>
        <v>#N/A</v>
      </c>
      <c r="T115" s="96" t="e">
        <f>VLOOKUP($P115,flows!$A$2:$J$4985,T$3,FALSE)</f>
        <v>#N/A</v>
      </c>
      <c r="U115" s="96" t="e">
        <f>VLOOKUP($P115,flows!$A$2:$J$4985,U$3,FALSE)</f>
        <v>#N/A</v>
      </c>
      <c r="V115" s="96" t="e">
        <f>VLOOKUP($P115,flows!$A$2:$J$4985,V$3,FALSE)</f>
        <v>#N/A</v>
      </c>
      <c r="W115" s="96" t="e">
        <f>VLOOKUP($P115,flows!$A$2:$J$4985,W$3,FALSE)</f>
        <v>#N/A</v>
      </c>
      <c r="X115" s="96" t="e">
        <f>VLOOKUP($P115,flows!$A$2:$J$4985,X$3,FALSE)</f>
        <v>#N/A</v>
      </c>
    </row>
    <row r="116" spans="16:24" x14ac:dyDescent="0.35">
      <c r="P116" s="40" t="s">
        <v>702</v>
      </c>
      <c r="Q116" s="96" t="e">
        <f>VLOOKUP($P116,flows!$A$2:$J$4985,Q$3,FALSE)</f>
        <v>#N/A</v>
      </c>
      <c r="R116" s="96" t="e">
        <f>VLOOKUP($P116,flows!$A$2:$J$4985,R$3,FALSE)</f>
        <v>#N/A</v>
      </c>
      <c r="S116" s="96" t="e">
        <f>VLOOKUP($P116,flows!$A$2:$J$4985,S$3,FALSE)</f>
        <v>#N/A</v>
      </c>
      <c r="T116" s="96" t="e">
        <f>VLOOKUP($P116,flows!$A$2:$J$4985,T$3,FALSE)</f>
        <v>#N/A</v>
      </c>
      <c r="U116" s="96" t="e">
        <f>VLOOKUP($P116,flows!$A$2:$J$4985,U$3,FALSE)</f>
        <v>#N/A</v>
      </c>
      <c r="V116" s="96" t="e">
        <f>VLOOKUP($P116,flows!$A$2:$J$4985,V$3,FALSE)</f>
        <v>#N/A</v>
      </c>
      <c r="W116" s="96" t="e">
        <f>VLOOKUP($P116,flows!$A$2:$J$4985,W$3,FALSE)</f>
        <v>#N/A</v>
      </c>
      <c r="X116" s="96" t="e">
        <f>VLOOKUP($P116,flows!$A$2:$J$4985,X$3,FALSE)</f>
        <v>#N/A</v>
      </c>
    </row>
    <row r="117" spans="16:24" x14ac:dyDescent="0.35">
      <c r="P117" s="40" t="s">
        <v>703</v>
      </c>
      <c r="Q117" s="96" t="e">
        <f>VLOOKUP($P117,flows!$A$2:$J$4985,Q$3,FALSE)</f>
        <v>#N/A</v>
      </c>
      <c r="R117" s="96" t="e">
        <f>VLOOKUP($P117,flows!$A$2:$J$4985,R$3,FALSE)</f>
        <v>#N/A</v>
      </c>
      <c r="S117" s="96" t="e">
        <f>VLOOKUP($P117,flows!$A$2:$J$4985,S$3,FALSE)</f>
        <v>#N/A</v>
      </c>
      <c r="T117" s="96" t="e">
        <f>VLOOKUP($P117,flows!$A$2:$J$4985,T$3,FALSE)</f>
        <v>#N/A</v>
      </c>
      <c r="U117" s="96" t="e">
        <f>VLOOKUP($P117,flows!$A$2:$J$4985,U$3,FALSE)</f>
        <v>#N/A</v>
      </c>
      <c r="V117" s="96" t="e">
        <f>VLOOKUP($P117,flows!$A$2:$J$4985,V$3,FALSE)</f>
        <v>#N/A</v>
      </c>
      <c r="W117" s="96" t="e">
        <f>VLOOKUP($P117,flows!$A$2:$J$4985,W$3,FALSE)</f>
        <v>#N/A</v>
      </c>
      <c r="X117" s="96" t="e">
        <f>VLOOKUP($P117,flows!$A$2:$J$4985,X$3,FALSE)</f>
        <v>#N/A</v>
      </c>
    </row>
    <row r="118" spans="16:24" x14ac:dyDescent="0.35">
      <c r="P118" s="40" t="s">
        <v>704</v>
      </c>
      <c r="Q118" s="96" t="e">
        <f>VLOOKUP($P118,flows!$A$2:$J$4985,Q$3,FALSE)</f>
        <v>#N/A</v>
      </c>
      <c r="R118" s="96" t="e">
        <f>VLOOKUP($P118,flows!$A$2:$J$4985,R$3,FALSE)</f>
        <v>#N/A</v>
      </c>
      <c r="S118" s="96" t="e">
        <f>VLOOKUP($P118,flows!$A$2:$J$4985,S$3,FALSE)</f>
        <v>#N/A</v>
      </c>
      <c r="T118" s="96" t="e">
        <f>VLOOKUP($P118,flows!$A$2:$J$4985,T$3,FALSE)</f>
        <v>#N/A</v>
      </c>
      <c r="U118" s="96" t="e">
        <f>VLOOKUP($P118,flows!$A$2:$J$4985,U$3,FALSE)</f>
        <v>#N/A</v>
      </c>
      <c r="V118" s="96" t="e">
        <f>VLOOKUP($P118,flows!$A$2:$J$4985,V$3,FALSE)</f>
        <v>#N/A</v>
      </c>
      <c r="W118" s="96" t="e">
        <f>VLOOKUP($P118,flows!$A$2:$J$4985,W$3,FALSE)</f>
        <v>#N/A</v>
      </c>
      <c r="X118" s="96" t="e">
        <f>VLOOKUP($P118,flows!$A$2:$J$4985,X$3,FALSE)</f>
        <v>#N/A</v>
      </c>
    </row>
    <row r="119" spans="16:24" x14ac:dyDescent="0.35">
      <c r="P119" s="40" t="s">
        <v>705</v>
      </c>
      <c r="Q119" s="96" t="e">
        <f>VLOOKUP($P119,flows!$A$2:$J$4985,Q$3,FALSE)</f>
        <v>#N/A</v>
      </c>
      <c r="R119" s="96" t="e">
        <f>VLOOKUP($P119,flows!$A$2:$J$4985,R$3,FALSE)</f>
        <v>#N/A</v>
      </c>
      <c r="S119" s="96" t="e">
        <f>VLOOKUP($P119,flows!$A$2:$J$4985,S$3,FALSE)</f>
        <v>#N/A</v>
      </c>
      <c r="T119" s="96" t="e">
        <f>VLOOKUP($P119,flows!$A$2:$J$4985,T$3,FALSE)</f>
        <v>#N/A</v>
      </c>
      <c r="U119" s="96" t="e">
        <f>VLOOKUP($P119,flows!$A$2:$J$4985,U$3,FALSE)</f>
        <v>#N/A</v>
      </c>
      <c r="V119" s="96" t="e">
        <f>VLOOKUP($P119,flows!$A$2:$J$4985,V$3,FALSE)</f>
        <v>#N/A</v>
      </c>
      <c r="W119" s="96" t="e">
        <f>VLOOKUP($P119,flows!$A$2:$J$4985,W$3,FALSE)</f>
        <v>#N/A</v>
      </c>
      <c r="X119" s="96" t="e">
        <f>VLOOKUP($P119,flows!$A$2:$J$4985,X$3,FALSE)</f>
        <v>#N/A</v>
      </c>
    </row>
    <row r="120" spans="16:24" x14ac:dyDescent="0.35">
      <c r="P120" s="40" t="s">
        <v>706</v>
      </c>
      <c r="Q120" s="96" t="e">
        <f>VLOOKUP($P120,flows!$A$2:$J$4985,Q$3,FALSE)</f>
        <v>#N/A</v>
      </c>
      <c r="R120" s="96" t="e">
        <f>VLOOKUP($P120,flows!$A$2:$J$4985,R$3,FALSE)</f>
        <v>#N/A</v>
      </c>
      <c r="S120" s="96" t="e">
        <f>VLOOKUP($P120,flows!$A$2:$J$4985,S$3,FALSE)</f>
        <v>#N/A</v>
      </c>
      <c r="T120" s="96" t="e">
        <f>VLOOKUP($P120,flows!$A$2:$J$4985,T$3,FALSE)</f>
        <v>#N/A</v>
      </c>
      <c r="U120" s="96" t="e">
        <f>VLOOKUP($P120,flows!$A$2:$J$4985,U$3,FALSE)</f>
        <v>#N/A</v>
      </c>
      <c r="V120" s="96" t="e">
        <f>VLOOKUP($P120,flows!$A$2:$J$4985,V$3,FALSE)</f>
        <v>#N/A</v>
      </c>
      <c r="W120" s="96" t="e">
        <f>VLOOKUP($P120,flows!$A$2:$J$4985,W$3,FALSE)</f>
        <v>#N/A</v>
      </c>
      <c r="X120" s="96" t="e">
        <f>VLOOKUP($P120,flows!$A$2:$J$4985,X$3,FALSE)</f>
        <v>#N/A</v>
      </c>
    </row>
    <row r="121" spans="16:24" x14ac:dyDescent="0.35">
      <c r="P121" s="40" t="s">
        <v>707</v>
      </c>
      <c r="Q121" s="96" t="e">
        <f>VLOOKUP($P121,flows!$A$2:$J$4985,Q$3,FALSE)</f>
        <v>#N/A</v>
      </c>
      <c r="R121" s="96" t="e">
        <f>VLOOKUP($P121,flows!$A$2:$J$4985,R$3,FALSE)</f>
        <v>#N/A</v>
      </c>
      <c r="S121" s="96" t="e">
        <f>VLOOKUP($P121,flows!$A$2:$J$4985,S$3,FALSE)</f>
        <v>#N/A</v>
      </c>
      <c r="T121" s="96" t="e">
        <f>VLOOKUP($P121,flows!$A$2:$J$4985,T$3,FALSE)</f>
        <v>#N/A</v>
      </c>
      <c r="U121" s="96" t="e">
        <f>VLOOKUP($P121,flows!$A$2:$J$4985,U$3,FALSE)</f>
        <v>#N/A</v>
      </c>
      <c r="V121" s="96" t="e">
        <f>VLOOKUP($P121,flows!$A$2:$J$4985,V$3,FALSE)</f>
        <v>#N/A</v>
      </c>
      <c r="W121" s="96" t="e">
        <f>VLOOKUP($P121,flows!$A$2:$J$4985,W$3,FALSE)</f>
        <v>#N/A</v>
      </c>
      <c r="X121" s="96" t="e">
        <f>VLOOKUP($P121,flows!$A$2:$J$4985,X$3,FALSE)</f>
        <v>#N/A</v>
      </c>
    </row>
    <row r="122" spans="16:24" x14ac:dyDescent="0.35">
      <c r="P122" s="40" t="s">
        <v>708</v>
      </c>
      <c r="Q122" s="96" t="e">
        <f>VLOOKUP($P122,flows!$A$2:$J$4985,Q$3,FALSE)</f>
        <v>#N/A</v>
      </c>
      <c r="R122" s="96" t="e">
        <f>VLOOKUP($P122,flows!$A$2:$J$4985,R$3,FALSE)</f>
        <v>#N/A</v>
      </c>
      <c r="S122" s="96" t="e">
        <f>VLOOKUP($P122,flows!$A$2:$J$4985,S$3,FALSE)</f>
        <v>#N/A</v>
      </c>
      <c r="T122" s="96" t="e">
        <f>VLOOKUP($P122,flows!$A$2:$J$4985,T$3,FALSE)</f>
        <v>#N/A</v>
      </c>
      <c r="U122" s="96" t="e">
        <f>VLOOKUP($P122,flows!$A$2:$J$4985,U$3,FALSE)</f>
        <v>#N/A</v>
      </c>
      <c r="V122" s="96" t="e">
        <f>VLOOKUP($P122,flows!$A$2:$J$4985,V$3,FALSE)</f>
        <v>#N/A</v>
      </c>
      <c r="W122" s="96" t="e">
        <f>VLOOKUP($P122,flows!$A$2:$J$4985,W$3,FALSE)</f>
        <v>#N/A</v>
      </c>
      <c r="X122" s="96" t="e">
        <f>VLOOKUP($P122,flows!$A$2:$J$4985,X$3,FALSE)</f>
        <v>#N/A</v>
      </c>
    </row>
    <row r="123" spans="16:24" x14ac:dyDescent="0.35">
      <c r="P123" s="40" t="s">
        <v>709</v>
      </c>
      <c r="Q123" s="96" t="e">
        <f>VLOOKUP($P123,flows!$A$2:$J$4985,Q$3,FALSE)</f>
        <v>#N/A</v>
      </c>
      <c r="R123" s="96" t="e">
        <f>VLOOKUP($P123,flows!$A$2:$J$4985,R$3,FALSE)</f>
        <v>#N/A</v>
      </c>
      <c r="S123" s="96" t="e">
        <f>VLOOKUP($P123,flows!$A$2:$J$4985,S$3,FALSE)</f>
        <v>#N/A</v>
      </c>
      <c r="T123" s="96" t="e">
        <f>VLOOKUP($P123,flows!$A$2:$J$4985,T$3,FALSE)</f>
        <v>#N/A</v>
      </c>
      <c r="U123" s="96" t="e">
        <f>VLOOKUP($P123,flows!$A$2:$J$4985,U$3,FALSE)</f>
        <v>#N/A</v>
      </c>
      <c r="V123" s="96" t="e">
        <f>VLOOKUP($P123,flows!$A$2:$J$4985,V$3,FALSE)</f>
        <v>#N/A</v>
      </c>
      <c r="W123" s="96" t="e">
        <f>VLOOKUP($P123,flows!$A$2:$J$4985,W$3,FALSE)</f>
        <v>#N/A</v>
      </c>
      <c r="X123" s="96" t="e">
        <f>VLOOKUP($P123,flows!$A$2:$J$4985,X$3,FALSE)</f>
        <v>#N/A</v>
      </c>
    </row>
    <row r="124" spans="16:24" x14ac:dyDescent="0.35">
      <c r="P124" s="40" t="s">
        <v>710</v>
      </c>
      <c r="Q124" s="96" t="e">
        <f>VLOOKUP($P124,flows!$A$2:$J$4985,Q$3,FALSE)</f>
        <v>#N/A</v>
      </c>
      <c r="R124" s="96" t="e">
        <f>VLOOKUP($P124,flows!$A$2:$J$4985,R$3,FALSE)</f>
        <v>#N/A</v>
      </c>
      <c r="S124" s="96" t="e">
        <f>VLOOKUP($P124,flows!$A$2:$J$4985,S$3,FALSE)</f>
        <v>#N/A</v>
      </c>
      <c r="T124" s="96" t="e">
        <f>VLOOKUP($P124,flows!$A$2:$J$4985,T$3,FALSE)</f>
        <v>#N/A</v>
      </c>
      <c r="U124" s="96" t="e">
        <f>VLOOKUP($P124,flows!$A$2:$J$4985,U$3,FALSE)</f>
        <v>#N/A</v>
      </c>
      <c r="V124" s="96" t="e">
        <f>VLOOKUP($P124,flows!$A$2:$J$4985,V$3,FALSE)</f>
        <v>#N/A</v>
      </c>
      <c r="W124" s="96" t="e">
        <f>VLOOKUP($P124,flows!$A$2:$J$4985,W$3,FALSE)</f>
        <v>#N/A</v>
      </c>
      <c r="X124" s="96" t="e">
        <f>VLOOKUP($P124,flows!$A$2:$J$4985,X$3,FALSE)</f>
        <v>#N/A</v>
      </c>
    </row>
    <row r="125" spans="16:24" x14ac:dyDescent="0.35">
      <c r="P125" s="40" t="s">
        <v>711</v>
      </c>
      <c r="Q125" s="96" t="e">
        <f>VLOOKUP($P125,flows!$A$2:$J$4985,Q$3,FALSE)</f>
        <v>#N/A</v>
      </c>
      <c r="R125" s="96" t="e">
        <f>VLOOKUP($P125,flows!$A$2:$J$4985,R$3,FALSE)</f>
        <v>#N/A</v>
      </c>
      <c r="S125" s="96" t="e">
        <f>VLOOKUP($P125,flows!$A$2:$J$4985,S$3,FALSE)</f>
        <v>#N/A</v>
      </c>
      <c r="T125" s="96" t="e">
        <f>VLOOKUP($P125,flows!$A$2:$J$4985,T$3,FALSE)</f>
        <v>#N/A</v>
      </c>
      <c r="U125" s="96" t="e">
        <f>VLOOKUP($P125,flows!$A$2:$J$4985,U$3,FALSE)</f>
        <v>#N/A</v>
      </c>
      <c r="V125" s="96" t="e">
        <f>VLOOKUP($P125,flows!$A$2:$J$4985,V$3,FALSE)</f>
        <v>#N/A</v>
      </c>
      <c r="W125" s="96" t="e">
        <f>VLOOKUP($P125,flows!$A$2:$J$4985,W$3,FALSE)</f>
        <v>#N/A</v>
      </c>
      <c r="X125" s="96" t="e">
        <f>VLOOKUP($P125,flows!$A$2:$J$4985,X$3,FALSE)</f>
        <v>#N/A</v>
      </c>
    </row>
    <row r="126" spans="16:24" ht="15" thickBot="1" x14ac:dyDescent="0.4">
      <c r="P126" s="95" t="s">
        <v>1659</v>
      </c>
      <c r="Q126" s="101" t="e">
        <f>SUM(Q114:Q125)</f>
        <v>#N/A</v>
      </c>
      <c r="R126" s="101" t="e">
        <f t="shared" ref="R126:X126" si="35">SUM(R114:R125)</f>
        <v>#N/A</v>
      </c>
      <c r="S126" s="101" t="e">
        <f t="shared" si="35"/>
        <v>#N/A</v>
      </c>
      <c r="T126" s="101" t="e">
        <f t="shared" si="35"/>
        <v>#N/A</v>
      </c>
      <c r="U126" s="101" t="e">
        <f>SUM(U114:U125)</f>
        <v>#N/A</v>
      </c>
      <c r="V126" s="101" t="e">
        <f t="shared" si="35"/>
        <v>#N/A</v>
      </c>
      <c r="W126" s="101" t="e">
        <f t="shared" si="35"/>
        <v>#N/A</v>
      </c>
      <c r="X126" s="101" t="e">
        <f t="shared" si="35"/>
        <v>#N/A</v>
      </c>
    </row>
    <row r="127" spans="16:24" x14ac:dyDescent="0.35">
      <c r="P127" s="157" t="s">
        <v>2213</v>
      </c>
      <c r="Q127" s="287" t="e">
        <f>(Q126+Q81+Q69+Q66+Q56+Q51+Q41+Q94*'Wasserstoff - Produktion'!E20+Q25*Erdgas!F16)/(Q126+Q98+Q94+Q81+Q69+Q66+Q56+Q51+Q41+Q31+Q25+Q17+Q14+Q9)</f>
        <v>#N/A</v>
      </c>
      <c r="R127" s="287" t="e">
        <f>(R126+R81+R69+R66+R56+R51+R41+R94*'Wasserstoff - Produktion'!F20+R25*Erdgas!G16)/(R126+R98+R94+R81+R69+R66+R56+R51+R41+R31+R25+R17+R14+R9)</f>
        <v>#N/A</v>
      </c>
      <c r="S127" s="287" t="e">
        <f>(S126+S81+S69+S66+S56+S51+S41+S94*'Wasserstoff - Produktion'!G20+S25*Erdgas!H16)/(S126+S98+S94+S81+S69+S66+S56+S51+S41+S31+S25+S17+S14+S9)</f>
        <v>#N/A</v>
      </c>
      <c r="T127" s="287" t="e">
        <f>(T126+T81+T69+T66+T56+T51+T41+T94*'Wasserstoff - Produktion'!H20+T25*Erdgas!I16)/(T126+T98+T94+T81+T69+T66+T56+T51+T41+T31+T25+T17+T14+T9)</f>
        <v>#N/A</v>
      </c>
      <c r="U127" s="287" t="e">
        <f>(U126+U81+U69+U66+U56+U51+U41+U94*'Wasserstoff - Produktion'!I20+U25*Erdgas!J16)/(U126+U98+U94+U81+U69+U66+U56+U51+U41+U31+U25+U17+U14+U9)</f>
        <v>#N/A</v>
      </c>
      <c r="V127" s="287" t="e">
        <f>(V126+V81+V69+V66+V56+V51+V41+V94*'Wasserstoff - Produktion'!J20+V25*Erdgas!K16)/(V126+V98+V94+V81+V69+V66+V56+V51+V41+V31+V25+V17+V14+V9)</f>
        <v>#N/A</v>
      </c>
      <c r="W127" s="287" t="e">
        <f>(W126+W81+W69+W66+W56+W51+W41+W94*'Wasserstoff - Produktion'!K20+W25*Erdgas!L16)/(W126+W98+W94+W81+W69+W66+W56+W51+W41+W31+W25+W17+W14+W9)</f>
        <v>#N/A</v>
      </c>
      <c r="X127" s="287" t="e">
        <f>(X126+X81+X69+X66+X56+X51+X41+X94*'Wasserstoff - Produktion'!L20+X25*Erdgas!M16)/(X126+X98+X94+X81+X69+X66+X56+X51+X41+X31+X25+X17+X14+X9)</f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/>
  </sheetPr>
  <dimension ref="A1:V72"/>
  <sheetViews>
    <sheetView zoomScale="70" zoomScaleNormal="70" workbookViewId="0">
      <selection activeCell="O65" sqref="O65"/>
    </sheetView>
  </sheetViews>
  <sheetFormatPr baseColWidth="10" defaultColWidth="11.453125" defaultRowHeight="14.5" x14ac:dyDescent="0.35"/>
  <cols>
    <col min="1" max="1" width="12.81640625" style="64" customWidth="1"/>
    <col min="2" max="2" width="23.1796875" style="64" customWidth="1"/>
    <col min="3" max="11" width="11.453125" style="64"/>
    <col min="12" max="12" width="34.81640625" style="64" bestFit="1" customWidth="1"/>
    <col min="13" max="14" width="11.453125" style="64"/>
    <col min="15" max="15" width="12" style="64" customWidth="1"/>
    <col min="16" max="23" width="14.54296875" style="64" bestFit="1" customWidth="1"/>
    <col min="24" max="16384" width="11.453125" style="64"/>
  </cols>
  <sheetData>
    <row r="1" spans="1:22" ht="18.5" x14ac:dyDescent="0.45">
      <c r="B1" s="162" t="s">
        <v>1756</v>
      </c>
      <c r="M1" s="92"/>
    </row>
    <row r="2" spans="1:22" ht="15" thickBot="1" x14ac:dyDescent="0.4">
      <c r="B2" s="133" t="s">
        <v>1470</v>
      </c>
      <c r="M2" s="102" t="s">
        <v>1461</v>
      </c>
    </row>
    <row r="3" spans="1:22" x14ac:dyDescent="0.35">
      <c r="A3" s="87" t="s">
        <v>1415</v>
      </c>
      <c r="B3" s="88" t="s">
        <v>1469</v>
      </c>
      <c r="C3" s="89">
        <v>2</v>
      </c>
      <c r="D3" s="89">
        <v>3</v>
      </c>
      <c r="E3" s="89">
        <v>4</v>
      </c>
      <c r="F3" s="89">
        <v>5</v>
      </c>
      <c r="G3" s="89">
        <v>6</v>
      </c>
      <c r="H3" s="89">
        <v>7</v>
      </c>
      <c r="I3" s="89">
        <v>8</v>
      </c>
      <c r="J3" s="89">
        <v>9</v>
      </c>
      <c r="L3" s="91" t="s">
        <v>1469</v>
      </c>
      <c r="M3" s="89">
        <v>2</v>
      </c>
      <c r="N3" s="89">
        <v>3</v>
      </c>
      <c r="O3" s="89">
        <v>4</v>
      </c>
      <c r="P3" s="89">
        <v>5</v>
      </c>
      <c r="Q3" s="89">
        <v>6</v>
      </c>
      <c r="R3" s="89">
        <v>7</v>
      </c>
      <c r="S3" s="89">
        <v>8</v>
      </c>
      <c r="T3" s="89">
        <v>9</v>
      </c>
      <c r="V3" s="64" t="s">
        <v>1342</v>
      </c>
    </row>
    <row r="4" spans="1:22" x14ac:dyDescent="0.35">
      <c r="A4" s="40"/>
      <c r="B4" s="92"/>
      <c r="C4" s="133" t="s">
        <v>1417</v>
      </c>
      <c r="D4" s="133">
        <v>2020</v>
      </c>
      <c r="E4" s="133">
        <v>2025</v>
      </c>
      <c r="F4" s="133">
        <v>2030</v>
      </c>
      <c r="G4" s="133">
        <v>2035</v>
      </c>
      <c r="H4" s="133">
        <v>2040</v>
      </c>
      <c r="I4" s="133">
        <v>2045</v>
      </c>
      <c r="J4" s="133">
        <v>2050</v>
      </c>
      <c r="L4" s="40"/>
      <c r="M4" s="133" t="s">
        <v>1417</v>
      </c>
      <c r="N4" s="133">
        <v>2020</v>
      </c>
      <c r="O4" s="133">
        <v>2025</v>
      </c>
      <c r="P4" s="133">
        <v>2030</v>
      </c>
      <c r="Q4" s="133">
        <v>2035</v>
      </c>
      <c r="R4" s="133">
        <v>2040</v>
      </c>
      <c r="S4" s="133">
        <v>2045</v>
      </c>
      <c r="T4" s="133">
        <v>2050</v>
      </c>
      <c r="V4" s="64" t="s">
        <v>1343</v>
      </c>
    </row>
    <row r="5" spans="1:22" x14ac:dyDescent="0.35">
      <c r="A5" s="40"/>
      <c r="B5" s="92" t="s">
        <v>207</v>
      </c>
      <c r="C5" s="96">
        <f>IFERROR(VLOOKUP($B5,capacities!$A$2:$J$2352,C$3,FALSE),0)</f>
        <v>0</v>
      </c>
      <c r="D5" s="96">
        <f>IFERROR(VLOOKUP($B5,capacities!$A$2:$J$2352,D$3,FALSE),0)</f>
        <v>0</v>
      </c>
      <c r="E5" s="96">
        <f>IFERROR(VLOOKUP($B5,capacities!$A$2:$J$2352,E$3,FALSE),0)</f>
        <v>0</v>
      </c>
      <c r="F5" s="96">
        <f>IFERROR(VLOOKUP($B5,capacities!$A$2:$J$2352,F$3,FALSE),0)</f>
        <v>0</v>
      </c>
      <c r="G5" s="96">
        <f>IFERROR(VLOOKUP($B5,capacities!$A$2:$J$2352,G$3,FALSE),0)</f>
        <v>0</v>
      </c>
      <c r="H5" s="96">
        <f>IFERROR(VLOOKUP($B5,capacities!$A$2:$J$2352,H$3,FALSE),0)</f>
        <v>0</v>
      </c>
      <c r="I5" s="96">
        <f>IFERROR(VLOOKUP($B5,capacities!$A$2:$J$2352,I$3,FALSE),0)</f>
        <v>0</v>
      </c>
      <c r="J5" s="96">
        <f>IFERROR(VLOOKUP($B5,capacities!$A$2:$J$2352,J$3,FALSE),0)</f>
        <v>0</v>
      </c>
      <c r="L5" s="40" t="s">
        <v>643</v>
      </c>
      <c r="M5" s="96" t="e">
        <f>VLOOKUP($L5,flows!$A$2:$J$4985,M$3,FALSE)</f>
        <v>#N/A</v>
      </c>
      <c r="N5" s="96" t="e">
        <f>VLOOKUP($L5,flows!$A$2:$J$4985,N$3,FALSE)</f>
        <v>#N/A</v>
      </c>
      <c r="O5" s="96" t="e">
        <f>VLOOKUP($L5,flows!$A$2:$J$4985,O$3,FALSE)</f>
        <v>#N/A</v>
      </c>
      <c r="P5" s="96" t="e">
        <f>VLOOKUP($L5,flows!$A$2:$J$4985,P$3,FALSE)</f>
        <v>#N/A</v>
      </c>
      <c r="Q5" s="96" t="e">
        <f>VLOOKUP($L5,flows!$A$2:$J$4985,Q$3,FALSE)</f>
        <v>#N/A</v>
      </c>
      <c r="R5" s="96" t="e">
        <f>VLOOKUP($L5,flows!$A$2:$J$4985,R$3,FALSE)</f>
        <v>#N/A</v>
      </c>
      <c r="S5" s="96" t="e">
        <f>VLOOKUP($L5,flows!$A$2:$J$4985,S$3,FALSE)</f>
        <v>#N/A</v>
      </c>
      <c r="T5" s="96" t="e">
        <f>VLOOKUP($L5,flows!$A$2:$J$4985,T$3,FALSE)</f>
        <v>#N/A</v>
      </c>
      <c r="V5" s="64" t="s">
        <v>1936</v>
      </c>
    </row>
    <row r="6" spans="1:22" x14ac:dyDescent="0.35">
      <c r="A6" s="40"/>
      <c r="B6" s="92" t="s">
        <v>54</v>
      </c>
      <c r="C6" s="96" t="e">
        <f>VLOOKUP($B6,capacities!$A$2:$J$2352,C$3,FALSE)</f>
        <v>#N/A</v>
      </c>
      <c r="D6" s="96" t="e">
        <f>VLOOKUP($B6,capacities!$A$2:$J$2352,D$3,FALSE)</f>
        <v>#N/A</v>
      </c>
      <c r="E6" s="96" t="e">
        <f>VLOOKUP($B6,capacities!$A$2:$J$2352,E$3,FALSE)</f>
        <v>#N/A</v>
      </c>
      <c r="F6" s="96" t="e">
        <f>VLOOKUP($B6,capacities!$A$2:$J$2352,F$3,FALSE)</f>
        <v>#N/A</v>
      </c>
      <c r="G6" s="96" t="e">
        <f>VLOOKUP($B6,capacities!$A$2:$J$2352,G$3,FALSE)</f>
        <v>#N/A</v>
      </c>
      <c r="H6" s="96" t="e">
        <f>VLOOKUP($B6,capacities!$A$2:$J$2352,H$3,FALSE)</f>
        <v>#N/A</v>
      </c>
      <c r="I6" s="96" t="e">
        <f>VLOOKUP($B6,capacities!$A$2:$J$2352,I$3,FALSE)</f>
        <v>#N/A</v>
      </c>
      <c r="J6" s="96" t="e">
        <f>VLOOKUP($B6,capacities!$A$2:$J$2352,J$3,FALSE)</f>
        <v>#N/A</v>
      </c>
      <c r="L6" s="40" t="s">
        <v>644</v>
      </c>
      <c r="M6" s="96" t="e">
        <f>VLOOKUP($L6,flows!$A$2:$J$4985,M$3,FALSE)</f>
        <v>#N/A</v>
      </c>
      <c r="N6" s="96" t="e">
        <f>VLOOKUP($L6,flows!$A$2:$J$4985,N$3,FALSE)</f>
        <v>#N/A</v>
      </c>
      <c r="O6" s="96" t="e">
        <f>VLOOKUP($L6,flows!$A$2:$J$4985,O$3,FALSE)</f>
        <v>#N/A</v>
      </c>
      <c r="P6" s="96" t="e">
        <f>VLOOKUP($L6,flows!$A$2:$J$4985,P$3,FALSE)</f>
        <v>#N/A</v>
      </c>
      <c r="Q6" s="96" t="e">
        <f>VLOOKUP($L6,flows!$A$2:$J$4985,Q$3,FALSE)</f>
        <v>#N/A</v>
      </c>
      <c r="R6" s="96" t="e">
        <f>VLOOKUP($L6,flows!$A$2:$J$4985,R$3,FALSE)</f>
        <v>#N/A</v>
      </c>
      <c r="S6" s="96" t="e">
        <f>VLOOKUP($L6,flows!$A$2:$J$4985,S$3,FALSE)</f>
        <v>#N/A</v>
      </c>
      <c r="T6" s="96" t="e">
        <f>VLOOKUP($L6,flows!$A$2:$J$4985,T$3,FALSE)</f>
        <v>#N/A</v>
      </c>
      <c r="V6" s="64" t="s">
        <v>1340</v>
      </c>
    </row>
    <row r="7" spans="1:22" x14ac:dyDescent="0.35">
      <c r="A7" s="40"/>
      <c r="B7" s="92" t="s">
        <v>210</v>
      </c>
      <c r="C7" s="96" t="e">
        <f>VLOOKUP($B7,capacities!$A$2:$J$2352,C$3,FALSE)</f>
        <v>#N/A</v>
      </c>
      <c r="D7" s="96" t="e">
        <f>VLOOKUP($B7,capacities!$A$2:$J$2352,D$3,FALSE)</f>
        <v>#N/A</v>
      </c>
      <c r="E7" s="96" t="e">
        <f>VLOOKUP($B7,capacities!$A$2:$J$2352,E$3,FALSE)</f>
        <v>#N/A</v>
      </c>
      <c r="F7" s="96" t="e">
        <f>VLOOKUP($B7,capacities!$A$2:$J$2352,F$3,FALSE)</f>
        <v>#N/A</v>
      </c>
      <c r="G7" s="96" t="e">
        <f>VLOOKUP($B7,capacities!$A$2:$J$2352,G$3,FALSE)</f>
        <v>#N/A</v>
      </c>
      <c r="H7" s="96" t="e">
        <f>VLOOKUP($B7,capacities!$A$2:$J$2352,H$3,FALSE)</f>
        <v>#N/A</v>
      </c>
      <c r="I7" s="96" t="e">
        <f>VLOOKUP($B7,capacities!$A$2:$J$2352,I$3,FALSE)</f>
        <v>#N/A</v>
      </c>
      <c r="J7" s="96" t="e">
        <f>VLOOKUP($B7,capacities!$A$2:$J$2352,J$3,FALSE)</f>
        <v>#N/A</v>
      </c>
      <c r="L7" s="40" t="s">
        <v>652</v>
      </c>
      <c r="M7" s="96" t="e">
        <f>VLOOKUP($L7,flows!$A$2:$J$4985,M$3,FALSE)</f>
        <v>#N/A</v>
      </c>
      <c r="N7" s="96" t="e">
        <f>VLOOKUP($L7,flows!$A$2:$J$4985,N$3,FALSE)</f>
        <v>#N/A</v>
      </c>
      <c r="O7" s="96" t="e">
        <f>VLOOKUP($L7,flows!$A$2:$J$4985,O$3,FALSE)</f>
        <v>#N/A</v>
      </c>
      <c r="P7" s="96" t="e">
        <f>VLOOKUP($L7,flows!$A$2:$J$4985,P$3,FALSE)</f>
        <v>#N/A</v>
      </c>
      <c r="Q7" s="96" t="e">
        <f>VLOOKUP($L7,flows!$A$2:$J$4985,Q$3,FALSE)</f>
        <v>#N/A</v>
      </c>
      <c r="R7" s="96" t="e">
        <f>VLOOKUP($L7,flows!$A$2:$J$4985,R$3,FALSE)</f>
        <v>#N/A</v>
      </c>
      <c r="S7" s="96" t="e">
        <f>VLOOKUP($L7,flows!$A$2:$J$4985,S$3,FALSE)</f>
        <v>#N/A</v>
      </c>
      <c r="T7" s="96" t="e">
        <f>VLOOKUP($L7,flows!$A$2:$J$4985,T$3,FALSE)</f>
        <v>#N/A</v>
      </c>
      <c r="V7" s="64" t="s">
        <v>1884</v>
      </c>
    </row>
    <row r="8" spans="1:22" x14ac:dyDescent="0.35">
      <c r="A8" s="40"/>
      <c r="B8" s="102" t="s">
        <v>1206</v>
      </c>
      <c r="C8" s="96" t="e">
        <f>SUM(C5:C7)</f>
        <v>#N/A</v>
      </c>
      <c r="D8" s="96" t="e">
        <f t="shared" ref="D8:J8" si="0">SUM(D5:D7)</f>
        <v>#N/A</v>
      </c>
      <c r="E8" s="96" t="e">
        <f t="shared" si="0"/>
        <v>#N/A</v>
      </c>
      <c r="F8" s="96" t="e">
        <f t="shared" si="0"/>
        <v>#N/A</v>
      </c>
      <c r="G8" s="96" t="e">
        <f t="shared" si="0"/>
        <v>#N/A</v>
      </c>
      <c r="H8" s="96" t="e">
        <f t="shared" si="0"/>
        <v>#N/A</v>
      </c>
      <c r="I8" s="96" t="e">
        <f t="shared" si="0"/>
        <v>#N/A</v>
      </c>
      <c r="J8" s="96" t="e">
        <f t="shared" si="0"/>
        <v>#N/A</v>
      </c>
      <c r="L8" s="99" t="s">
        <v>1206</v>
      </c>
      <c r="M8" s="96" t="e">
        <f t="shared" ref="M8:T8" si="1">SUM(M5:M7)</f>
        <v>#N/A</v>
      </c>
      <c r="N8" s="96" t="e">
        <f t="shared" si="1"/>
        <v>#N/A</v>
      </c>
      <c r="O8" s="96" t="e">
        <f t="shared" si="1"/>
        <v>#N/A</v>
      </c>
      <c r="P8" s="96" t="e">
        <f t="shared" si="1"/>
        <v>#N/A</v>
      </c>
      <c r="Q8" s="96" t="e">
        <f t="shared" si="1"/>
        <v>#N/A</v>
      </c>
      <c r="R8" s="96" t="e">
        <f t="shared" si="1"/>
        <v>#N/A</v>
      </c>
      <c r="S8" s="96" t="e">
        <f t="shared" si="1"/>
        <v>#N/A</v>
      </c>
      <c r="T8" s="96" t="e">
        <f t="shared" si="1"/>
        <v>#N/A</v>
      </c>
      <c r="V8" s="64" t="s">
        <v>1440</v>
      </c>
    </row>
    <row r="9" spans="1:22" x14ac:dyDescent="0.35">
      <c r="A9" s="40"/>
      <c r="B9" s="137"/>
      <c r="C9" s="92"/>
      <c r="D9" s="92"/>
      <c r="E9" s="92"/>
      <c r="F9" s="92"/>
      <c r="G9" s="92"/>
      <c r="H9" s="92"/>
      <c r="I9" s="92"/>
      <c r="J9" s="92"/>
      <c r="L9" s="40"/>
      <c r="M9" s="92"/>
      <c r="N9" s="92"/>
      <c r="O9" s="92"/>
      <c r="P9" s="92"/>
      <c r="Q9" s="92"/>
      <c r="R9" s="92"/>
      <c r="S9" s="92"/>
      <c r="T9" s="92"/>
      <c r="V9" s="64" t="s">
        <v>1655</v>
      </c>
    </row>
    <row r="10" spans="1:22" x14ac:dyDescent="0.35">
      <c r="A10" s="40"/>
      <c r="B10" s="92" t="s">
        <v>361</v>
      </c>
      <c r="C10" s="96">
        <f>IFERROR(VLOOKUP($B10,capacities!$A$2:$J$2352,C$3,FALSE),0)</f>
        <v>0</v>
      </c>
      <c r="D10" s="96">
        <f>IFERROR(VLOOKUP($B10,capacities!$A$2:$J$2352,D$3,FALSE),0)</f>
        <v>0</v>
      </c>
      <c r="E10" s="96">
        <f>IFERROR(VLOOKUP($B10,capacities!$A$2:$J$2352,E$3,FALSE),0)</f>
        <v>0</v>
      </c>
      <c r="F10" s="96">
        <f>IFERROR(VLOOKUP($B10,capacities!$A$2:$J$2352,F$3,FALSE),0)</f>
        <v>0</v>
      </c>
      <c r="G10" s="96">
        <f>IFERROR(VLOOKUP($B10,capacities!$A$2:$J$2352,G$3,FALSE),0)</f>
        <v>0</v>
      </c>
      <c r="H10" s="96">
        <f>IFERROR(VLOOKUP($B10,capacities!$A$2:$J$2352,H$3,FALSE),0)</f>
        <v>0</v>
      </c>
      <c r="I10" s="96">
        <f>IFERROR(VLOOKUP($B10,capacities!$A$2:$J$2352,I$3,FALSE),0)</f>
        <v>0</v>
      </c>
      <c r="J10" s="96">
        <f>IFERROR(VLOOKUP($B10,capacities!$A$2:$J$2352,J$3,FALSE),0)</f>
        <v>0</v>
      </c>
      <c r="L10" s="40" t="s">
        <v>895</v>
      </c>
      <c r="M10" s="96" t="e">
        <f>VLOOKUP($L10,flows!$A$2:$J$4985,M$3,FALSE)</f>
        <v>#N/A</v>
      </c>
      <c r="N10" s="96" t="e">
        <f>VLOOKUP($L10,flows!$A$2:$J$4985,N$3,FALSE)</f>
        <v>#N/A</v>
      </c>
      <c r="O10" s="96" t="e">
        <f>VLOOKUP($L10,flows!$A$2:$J$4985,O$3,FALSE)</f>
        <v>#N/A</v>
      </c>
      <c r="P10" s="96" t="e">
        <f>VLOOKUP($L10,flows!$A$2:$J$4985,P$3,FALSE)</f>
        <v>#N/A</v>
      </c>
      <c r="Q10" s="96" t="e">
        <f>VLOOKUP($L10,flows!$A$2:$J$4985,Q$3,FALSE)</f>
        <v>#N/A</v>
      </c>
      <c r="R10" s="96" t="e">
        <f>VLOOKUP($L10,flows!$A$2:$J$4985,R$3,FALSE)</f>
        <v>#N/A</v>
      </c>
      <c r="S10" s="96" t="e">
        <f>VLOOKUP($L10,flows!$A$2:$J$4985,S$3,FALSE)</f>
        <v>#N/A</v>
      </c>
      <c r="T10" s="96" t="e">
        <f>VLOOKUP($L10,flows!$A$2:$J$4985,T$3,FALSE)</f>
        <v>#N/A</v>
      </c>
      <c r="V10" s="64" t="s">
        <v>1654</v>
      </c>
    </row>
    <row r="11" spans="1:22" x14ac:dyDescent="0.35">
      <c r="A11" s="40"/>
      <c r="B11" s="92" t="s">
        <v>57</v>
      </c>
      <c r="C11" s="96" t="e">
        <f>VLOOKUP($B11,capacities!$A$2:$J$2352,C$3,FALSE)</f>
        <v>#N/A</v>
      </c>
      <c r="D11" s="96" t="e">
        <f>VLOOKUP($B11,capacities!$A$2:$J$2352,D$3,FALSE)</f>
        <v>#N/A</v>
      </c>
      <c r="E11" s="96" t="e">
        <f>VLOOKUP($B11,capacities!$A$2:$J$2352,E$3,FALSE)</f>
        <v>#N/A</v>
      </c>
      <c r="F11" s="96" t="e">
        <f>VLOOKUP($B11,capacities!$A$2:$J$2352,F$3,FALSE)</f>
        <v>#N/A</v>
      </c>
      <c r="G11" s="96" t="e">
        <f>VLOOKUP($B11,capacities!$A$2:$J$2352,G$3,FALSE)</f>
        <v>#N/A</v>
      </c>
      <c r="H11" s="96" t="e">
        <f>VLOOKUP($B11,capacities!$A$2:$J$2352,H$3,FALSE)</f>
        <v>#N/A</v>
      </c>
      <c r="I11" s="96" t="e">
        <f>VLOOKUP($B11,capacities!$A$2:$J$2352,I$3,FALSE)</f>
        <v>#N/A</v>
      </c>
      <c r="J11" s="96" t="e">
        <f>VLOOKUP($B11,capacities!$A$2:$J$2352,J$3,FALSE)</f>
        <v>#N/A</v>
      </c>
      <c r="L11" s="40" t="s">
        <v>896</v>
      </c>
      <c r="M11" s="96" t="e">
        <f>VLOOKUP($L11,flows!$A$2:$J$4985,M$3,FALSE)</f>
        <v>#N/A</v>
      </c>
      <c r="N11" s="96" t="e">
        <f>VLOOKUP($L11,flows!$A$2:$J$4985,N$3,FALSE)</f>
        <v>#N/A</v>
      </c>
      <c r="O11" s="96" t="e">
        <f>VLOOKUP($L11,flows!$A$2:$J$4985,O$3,FALSE)</f>
        <v>#N/A</v>
      </c>
      <c r="P11" s="96" t="e">
        <f>VLOOKUP($L11,flows!$A$2:$J$4985,P$3,FALSE)</f>
        <v>#N/A</v>
      </c>
      <c r="Q11" s="96" t="e">
        <f>VLOOKUP($L11,flows!$A$2:$J$4985,Q$3,FALSE)</f>
        <v>#N/A</v>
      </c>
      <c r="R11" s="96" t="e">
        <f>VLOOKUP($L11,flows!$A$2:$J$4985,R$3,FALSE)</f>
        <v>#N/A</v>
      </c>
      <c r="S11" s="96" t="e">
        <f>VLOOKUP($L11,flows!$A$2:$J$4985,S$3,FALSE)</f>
        <v>#N/A</v>
      </c>
      <c r="T11" s="96" t="e">
        <f>VLOOKUP($L11,flows!$A$2:$J$4985,T$3,FALSE)</f>
        <v>#N/A</v>
      </c>
      <c r="V11" s="64" t="s">
        <v>1523</v>
      </c>
    </row>
    <row r="12" spans="1:22" x14ac:dyDescent="0.35">
      <c r="A12" s="40"/>
      <c r="B12" s="92" t="s">
        <v>362</v>
      </c>
      <c r="C12" s="96" t="e">
        <f>VLOOKUP($B12,capacities!$A$2:$J$2352,C$3,FALSE)</f>
        <v>#N/A</v>
      </c>
      <c r="D12" s="96" t="e">
        <f>VLOOKUP($B12,capacities!$A$2:$J$2352,D$3,FALSE)</f>
        <v>#N/A</v>
      </c>
      <c r="E12" s="96" t="e">
        <f>VLOOKUP($B12,capacities!$A$2:$J$2352,E$3,FALSE)</f>
        <v>#N/A</v>
      </c>
      <c r="F12" s="96" t="e">
        <f>VLOOKUP($B12,capacities!$A$2:$J$2352,F$3,FALSE)</f>
        <v>#N/A</v>
      </c>
      <c r="G12" s="96" t="e">
        <f>VLOOKUP($B12,capacities!$A$2:$J$2352,G$3,FALSE)</f>
        <v>#N/A</v>
      </c>
      <c r="H12" s="96" t="e">
        <f>VLOOKUP($B12,capacities!$A$2:$J$2352,H$3,FALSE)</f>
        <v>#N/A</v>
      </c>
      <c r="I12" s="96" t="e">
        <f>VLOOKUP($B12,capacities!$A$2:$J$2352,I$3,FALSE)</f>
        <v>#N/A</v>
      </c>
      <c r="J12" s="96" t="e">
        <f>VLOOKUP($B12,capacities!$A$2:$J$2352,J$3,FALSE)</f>
        <v>#N/A</v>
      </c>
      <c r="L12" s="40" t="s">
        <v>900</v>
      </c>
      <c r="M12" s="96" t="e">
        <f>VLOOKUP($L12,flows!$A$2:$J$4985,M$3,FALSE)</f>
        <v>#N/A</v>
      </c>
      <c r="N12" s="96" t="e">
        <f>VLOOKUP($L12,flows!$A$2:$J$4985,N$3,FALSE)</f>
        <v>#N/A</v>
      </c>
      <c r="O12" s="96" t="e">
        <f>VLOOKUP($L12,flows!$A$2:$J$4985,O$3,FALSE)</f>
        <v>#N/A</v>
      </c>
      <c r="P12" s="96" t="e">
        <f>VLOOKUP($L12,flows!$A$2:$J$4985,P$3,FALSE)</f>
        <v>#N/A</v>
      </c>
      <c r="Q12" s="96" t="e">
        <f>VLOOKUP($L12,flows!$A$2:$J$4985,Q$3,FALSE)</f>
        <v>#N/A</v>
      </c>
      <c r="R12" s="96" t="e">
        <f>VLOOKUP($L12,flows!$A$2:$J$4985,R$3,FALSE)</f>
        <v>#N/A</v>
      </c>
      <c r="S12" s="96" t="e">
        <f>VLOOKUP($L12,flows!$A$2:$J$4985,S$3,FALSE)</f>
        <v>#N/A</v>
      </c>
      <c r="T12" s="96" t="e">
        <f>VLOOKUP($L12,flows!$A$2:$J$4985,T$3,FALSE)</f>
        <v>#N/A</v>
      </c>
      <c r="V12" s="64" t="s">
        <v>1885</v>
      </c>
    </row>
    <row r="13" spans="1:22" x14ac:dyDescent="0.35">
      <c r="A13" s="40"/>
      <c r="B13" s="102" t="s">
        <v>1310</v>
      </c>
      <c r="C13" s="96" t="e">
        <f>SUM(C10:C12)</f>
        <v>#N/A</v>
      </c>
      <c r="D13" s="96" t="e">
        <f t="shared" ref="D13:J13" si="2">SUM(D10:D12)</f>
        <v>#N/A</v>
      </c>
      <c r="E13" s="96" t="e">
        <f t="shared" si="2"/>
        <v>#N/A</v>
      </c>
      <c r="F13" s="96" t="e">
        <f t="shared" si="2"/>
        <v>#N/A</v>
      </c>
      <c r="G13" s="96" t="e">
        <f t="shared" si="2"/>
        <v>#N/A</v>
      </c>
      <c r="H13" s="96" t="e">
        <f t="shared" si="2"/>
        <v>#N/A</v>
      </c>
      <c r="I13" s="96" t="e">
        <f t="shared" si="2"/>
        <v>#N/A</v>
      </c>
      <c r="J13" s="96" t="e">
        <f t="shared" si="2"/>
        <v>#N/A</v>
      </c>
      <c r="L13" s="99" t="s">
        <v>1310</v>
      </c>
      <c r="M13" s="96" t="e">
        <f t="shared" ref="M13:T13" si="3">SUM(M10:M12)</f>
        <v>#N/A</v>
      </c>
      <c r="N13" s="96" t="e">
        <f t="shared" si="3"/>
        <v>#N/A</v>
      </c>
      <c r="O13" s="96" t="e">
        <f t="shared" si="3"/>
        <v>#N/A</v>
      </c>
      <c r="P13" s="96" t="e">
        <f t="shared" si="3"/>
        <v>#N/A</v>
      </c>
      <c r="Q13" s="96" t="e">
        <f t="shared" si="3"/>
        <v>#N/A</v>
      </c>
      <c r="R13" s="96" t="e">
        <f t="shared" si="3"/>
        <v>#N/A</v>
      </c>
      <c r="S13" s="96" t="e">
        <f t="shared" si="3"/>
        <v>#N/A</v>
      </c>
      <c r="T13" s="96" t="e">
        <f t="shared" si="3"/>
        <v>#N/A</v>
      </c>
      <c r="V13" s="64" t="s">
        <v>1942</v>
      </c>
    </row>
    <row r="14" spans="1:22" x14ac:dyDescent="0.35">
      <c r="A14" s="40"/>
      <c r="B14" s="92"/>
      <c r="C14" s="92"/>
      <c r="D14" s="92"/>
      <c r="E14" s="92"/>
      <c r="F14" s="92"/>
      <c r="G14" s="92"/>
      <c r="H14" s="92"/>
      <c r="I14" s="92"/>
      <c r="J14" s="92"/>
      <c r="L14" s="40"/>
      <c r="M14" s="92"/>
      <c r="N14" s="92"/>
      <c r="O14" s="92"/>
      <c r="P14" s="92"/>
      <c r="Q14" s="92"/>
      <c r="R14" s="92"/>
      <c r="S14" s="92"/>
      <c r="T14" s="92"/>
    </row>
    <row r="15" spans="1:22" x14ac:dyDescent="0.35">
      <c r="A15" s="40" t="s">
        <v>525</v>
      </c>
      <c r="B15" s="102" t="s">
        <v>1421</v>
      </c>
      <c r="C15" s="96" t="e">
        <f>VLOOKUP($A15,capacities!$A$2:$J$2352,C$3,FALSE)</f>
        <v>#N/A</v>
      </c>
      <c r="D15" s="96" t="e">
        <f>VLOOKUP($A15,capacities!$A$2:$J$2352,D$3,FALSE)</f>
        <v>#N/A</v>
      </c>
      <c r="E15" s="96" t="e">
        <f>VLOOKUP($A15,capacities!$A$2:$J$2352,E$3,FALSE)</f>
        <v>#N/A</v>
      </c>
      <c r="F15" s="96" t="e">
        <f>VLOOKUP($A15,capacities!$A$2:$J$2352,F$3,FALSE)</f>
        <v>#N/A</v>
      </c>
      <c r="G15" s="96" t="e">
        <f>VLOOKUP($A15,capacities!$A$2:$J$2352,G$3,FALSE)</f>
        <v>#N/A</v>
      </c>
      <c r="H15" s="96" t="e">
        <f>VLOOKUP($A15,capacities!$A$2:$J$2352,H$3,FALSE)</f>
        <v>#N/A</v>
      </c>
      <c r="I15" s="96" t="e">
        <f>VLOOKUP($A15,capacities!$A$2:$J$2352,I$3,FALSE)</f>
        <v>#N/A</v>
      </c>
      <c r="J15" s="96" t="e">
        <f>VLOOKUP($A15,capacities!$A$2:$J$2352,J$3,FALSE)</f>
        <v>#N/A</v>
      </c>
      <c r="L15" s="40" t="s">
        <v>956</v>
      </c>
      <c r="M15" s="96" t="e">
        <f>VLOOKUP($L15,flows!$A$2:$J$4985,M$3,FALSE)</f>
        <v>#N/A</v>
      </c>
      <c r="N15" s="96" t="e">
        <f>VLOOKUP($L15,flows!$A$2:$J$4985,N$3,FALSE)</f>
        <v>#N/A</v>
      </c>
      <c r="O15" s="96" t="e">
        <f>VLOOKUP($L15,flows!$A$2:$J$4985,O$3,FALSE)</f>
        <v>#N/A</v>
      </c>
      <c r="P15" s="96" t="e">
        <f>VLOOKUP($L15,flows!$A$2:$J$4985,P$3,FALSE)</f>
        <v>#N/A</v>
      </c>
      <c r="Q15" s="96" t="e">
        <f>VLOOKUP($L15,flows!$A$2:$J$4985,Q$3,FALSE)</f>
        <v>#N/A</v>
      </c>
      <c r="R15" s="96" t="e">
        <f>VLOOKUP($L15,flows!$A$2:$J$4985,R$3,FALSE)</f>
        <v>#N/A</v>
      </c>
      <c r="S15" s="96" t="e">
        <f>VLOOKUP($L15,flows!$A$2:$J$4985,S$3,FALSE)</f>
        <v>#N/A</v>
      </c>
      <c r="T15" s="96" t="e">
        <f>VLOOKUP($L15,flows!$A$2:$J$4985,T$3,FALSE)</f>
        <v>#N/A</v>
      </c>
    </row>
    <row r="16" spans="1:22" x14ac:dyDescent="0.35">
      <c r="A16" s="40"/>
      <c r="B16" s="92"/>
      <c r="C16" s="92"/>
      <c r="D16" s="92"/>
      <c r="E16" s="92"/>
      <c r="F16" s="92"/>
      <c r="G16" s="92"/>
      <c r="H16" s="92"/>
      <c r="I16" s="92"/>
      <c r="J16" s="92"/>
      <c r="L16" s="99" t="s">
        <v>1421</v>
      </c>
      <c r="M16" s="96" t="e">
        <f t="shared" ref="M16:T16" si="4">SUM(M15:M15)</f>
        <v>#N/A</v>
      </c>
      <c r="N16" s="96" t="e">
        <f t="shared" si="4"/>
        <v>#N/A</v>
      </c>
      <c r="O16" s="96" t="e">
        <f t="shared" si="4"/>
        <v>#N/A</v>
      </c>
      <c r="P16" s="96" t="e">
        <f t="shared" si="4"/>
        <v>#N/A</v>
      </c>
      <c r="Q16" s="96" t="e">
        <f t="shared" si="4"/>
        <v>#N/A</v>
      </c>
      <c r="R16" s="96" t="e">
        <f t="shared" si="4"/>
        <v>#N/A</v>
      </c>
      <c r="S16" s="96" t="e">
        <f t="shared" si="4"/>
        <v>#N/A</v>
      </c>
      <c r="T16" s="96" t="e">
        <f t="shared" si="4"/>
        <v>#N/A</v>
      </c>
    </row>
    <row r="17" spans="1:20" x14ac:dyDescent="0.35">
      <c r="A17" s="40"/>
      <c r="B17" s="92" t="s">
        <v>20</v>
      </c>
      <c r="C17" s="96" t="e">
        <f>VLOOKUP($B17,capacities!$A$2:$J$2352,C$3,FALSE)</f>
        <v>#N/A</v>
      </c>
      <c r="D17" s="96" t="e">
        <f>VLOOKUP($B17,capacities!$A$2:$J$2352,D$3,FALSE)</f>
        <v>#N/A</v>
      </c>
      <c r="E17" s="96" t="e">
        <f>VLOOKUP($B17,capacities!$A$2:$J$2352,E$3,FALSE)</f>
        <v>#N/A</v>
      </c>
      <c r="F17" s="96" t="e">
        <f>VLOOKUP($B17,capacities!$A$2:$J$2352,F$3,FALSE)</f>
        <v>#N/A</v>
      </c>
      <c r="G17" s="96" t="e">
        <f>VLOOKUP($B17,capacities!$A$2:$J$2352,G$3,FALSE)</f>
        <v>#N/A</v>
      </c>
      <c r="H17" s="96" t="e">
        <f>VLOOKUP($B17,capacities!$A$2:$J$2352,H$3,FALSE)</f>
        <v>#N/A</v>
      </c>
      <c r="I17" s="96" t="e">
        <f>VLOOKUP($B17,capacities!$A$2:$J$2352,I$3,FALSE)</f>
        <v>#N/A</v>
      </c>
      <c r="J17" s="96" t="e">
        <f>VLOOKUP($B17,capacities!$A$2:$J$2352,J$3,FALSE)</f>
        <v>#N/A</v>
      </c>
      <c r="L17" s="40"/>
      <c r="M17" s="92"/>
      <c r="N17" s="92"/>
      <c r="O17" s="92"/>
      <c r="P17" s="92"/>
      <c r="Q17" s="92"/>
      <c r="R17" s="92"/>
      <c r="S17" s="92"/>
      <c r="T17" s="92"/>
    </row>
    <row r="18" spans="1:20" x14ac:dyDescent="0.35">
      <c r="A18" s="40"/>
      <c r="B18" s="92" t="s">
        <v>196</v>
      </c>
      <c r="C18" s="96" t="e">
        <f>VLOOKUP($B18,capacities!$A$2:$J$2352,C$3,FALSE)</f>
        <v>#N/A</v>
      </c>
      <c r="D18" s="96" t="e">
        <f>VLOOKUP($B18,capacities!$A$2:$J$2352,D$3,FALSE)</f>
        <v>#N/A</v>
      </c>
      <c r="E18" s="96" t="e">
        <f>VLOOKUP($B18,capacities!$A$2:$J$2352,E$3,FALSE)</f>
        <v>#N/A</v>
      </c>
      <c r="F18" s="96" t="e">
        <f>VLOOKUP($B18,capacities!$A$2:$J$2352,F$3,FALSE)</f>
        <v>#N/A</v>
      </c>
      <c r="G18" s="96" t="e">
        <f>VLOOKUP($B18,capacities!$A$2:$J$2352,G$3,FALSE)</f>
        <v>#N/A</v>
      </c>
      <c r="H18" s="96" t="e">
        <f>VLOOKUP($B18,capacities!$A$2:$J$2352,H$3,FALSE)</f>
        <v>#N/A</v>
      </c>
      <c r="I18" s="96" t="e">
        <f>VLOOKUP($B18,capacities!$A$2:$J$2352,I$3,FALSE)</f>
        <v>#N/A</v>
      </c>
      <c r="J18" s="96" t="e">
        <f>VLOOKUP($B18,capacities!$A$2:$J$2352,J$3,FALSE)</f>
        <v>#N/A</v>
      </c>
      <c r="L18" s="40" t="s">
        <v>617</v>
      </c>
      <c r="M18" s="96" t="e">
        <f>VLOOKUP($L18,flows!$A$2:$J$4985,M$3,FALSE)</f>
        <v>#N/A</v>
      </c>
      <c r="N18" s="96" t="e">
        <f>VLOOKUP($L18,flows!$A$2:$J$4985,N$3,FALSE)</f>
        <v>#N/A</v>
      </c>
      <c r="O18" s="96" t="e">
        <f>VLOOKUP($L18,flows!$A$2:$J$4985,O$3,FALSE)</f>
        <v>#N/A</v>
      </c>
      <c r="P18" s="96" t="e">
        <f>VLOOKUP($L18,flows!$A$2:$J$4985,P$3,FALSE)</f>
        <v>#N/A</v>
      </c>
      <c r="Q18" s="96" t="e">
        <f>VLOOKUP($L18,flows!$A$2:$J$4985,Q$3,FALSE)</f>
        <v>#N/A</v>
      </c>
      <c r="R18" s="96" t="e">
        <f>VLOOKUP($L18,flows!$A$2:$J$4985,R$3,FALSE)</f>
        <v>#N/A</v>
      </c>
      <c r="S18" s="96" t="e">
        <f>VLOOKUP($L18,flows!$A$2:$J$4985,S$3,FALSE)</f>
        <v>#N/A</v>
      </c>
      <c r="T18" s="96" t="e">
        <f>VLOOKUP($L18,flows!$A$2:$J$4985,T$3,FALSE)</f>
        <v>#N/A</v>
      </c>
    </row>
    <row r="19" spans="1:20" x14ac:dyDescent="0.35">
      <c r="A19" s="40"/>
      <c r="B19" s="92" t="s">
        <v>285</v>
      </c>
      <c r="C19" s="96" t="e">
        <f>VLOOKUP($B19,capacities!$A$2:$J$2352,C$3,FALSE)</f>
        <v>#N/A</v>
      </c>
      <c r="D19" s="96" t="e">
        <f>VLOOKUP($B19,capacities!$A$2:$J$2352,D$3,FALSE)</f>
        <v>#N/A</v>
      </c>
      <c r="E19" s="96" t="e">
        <f>VLOOKUP($B19,capacities!$A$2:$J$2352,E$3,FALSE)</f>
        <v>#N/A</v>
      </c>
      <c r="F19" s="96" t="e">
        <f>VLOOKUP($B19,capacities!$A$2:$J$2352,F$3,FALSE)</f>
        <v>#N/A</v>
      </c>
      <c r="G19" s="96" t="e">
        <f>VLOOKUP($B19,capacities!$A$2:$J$2352,G$3,FALSE)</f>
        <v>#N/A</v>
      </c>
      <c r="H19" s="96" t="e">
        <f>VLOOKUP($B19,capacities!$A$2:$J$2352,H$3,FALSE)</f>
        <v>#N/A</v>
      </c>
      <c r="I19" s="96" t="e">
        <f>VLOOKUP($B19,capacities!$A$2:$J$2352,I$3,FALSE)</f>
        <v>#N/A</v>
      </c>
      <c r="J19" s="96" t="e">
        <f>VLOOKUP($B19,capacities!$A$2:$J$2352,J$3,FALSE)</f>
        <v>#N/A</v>
      </c>
      <c r="L19" s="40" t="s">
        <v>618</v>
      </c>
      <c r="M19" s="96" t="e">
        <f>VLOOKUP($L19,flows!$A$2:$J$4985,M$3,FALSE)</f>
        <v>#N/A</v>
      </c>
      <c r="N19" s="96" t="e">
        <f>VLOOKUP($L19,flows!$A$2:$J$4985,N$3,FALSE)</f>
        <v>#N/A</v>
      </c>
      <c r="O19" s="96" t="e">
        <f>VLOOKUP($L19,flows!$A$2:$J$4985,O$3,FALSE)</f>
        <v>#N/A</v>
      </c>
      <c r="P19" s="96" t="e">
        <f>VLOOKUP($L19,flows!$A$2:$J$4985,P$3,FALSE)</f>
        <v>#N/A</v>
      </c>
      <c r="Q19" s="96" t="e">
        <f>VLOOKUP($L19,flows!$A$2:$J$4985,Q$3,FALSE)</f>
        <v>#N/A</v>
      </c>
      <c r="R19" s="96" t="e">
        <f>VLOOKUP($L19,flows!$A$2:$J$4985,R$3,FALSE)</f>
        <v>#N/A</v>
      </c>
      <c r="S19" s="96" t="e">
        <f>VLOOKUP($L19,flows!$A$2:$J$4985,S$3,FALSE)</f>
        <v>#N/A</v>
      </c>
      <c r="T19" s="96" t="e">
        <f>VLOOKUP($L19,flows!$A$2:$J$4985,T$3,FALSE)</f>
        <v>#N/A</v>
      </c>
    </row>
    <row r="20" spans="1:20" x14ac:dyDescent="0.35">
      <c r="A20" s="40"/>
      <c r="B20" s="92" t="s">
        <v>55</v>
      </c>
      <c r="C20" s="96" t="e">
        <f>VLOOKUP($B20,capacities!$A$2:$J$2352,C$3,FALSE)</f>
        <v>#N/A</v>
      </c>
      <c r="D20" s="96" t="e">
        <f>VLOOKUP($B20,capacities!$A$2:$J$2352,D$3,FALSE)</f>
        <v>#N/A</v>
      </c>
      <c r="E20" s="96" t="e">
        <f>VLOOKUP($B20,capacities!$A$2:$J$2352,E$3,FALSE)</f>
        <v>#N/A</v>
      </c>
      <c r="F20" s="96" t="e">
        <f>VLOOKUP($B20,capacities!$A$2:$J$2352,F$3,FALSE)</f>
        <v>#N/A</v>
      </c>
      <c r="G20" s="96" t="e">
        <f>VLOOKUP($B20,capacities!$A$2:$J$2352,G$3,FALSE)</f>
        <v>#N/A</v>
      </c>
      <c r="H20" s="96" t="e">
        <f>VLOOKUP($B20,capacities!$A$2:$J$2352,H$3,FALSE)</f>
        <v>#N/A</v>
      </c>
      <c r="I20" s="96" t="e">
        <f>VLOOKUP($B20,capacities!$A$2:$J$2352,I$3,FALSE)</f>
        <v>#N/A</v>
      </c>
      <c r="J20" s="96" t="e">
        <f>VLOOKUP($B20,capacities!$A$2:$J$2352,J$3,FALSE)</f>
        <v>#N/A</v>
      </c>
      <c r="L20" s="40" t="s">
        <v>758</v>
      </c>
      <c r="M20" s="96" t="e">
        <f>VLOOKUP($L20,flows!$A$2:$J$4985,M$3,FALSE)</f>
        <v>#N/A</v>
      </c>
      <c r="N20" s="96" t="e">
        <f>VLOOKUP($L20,flows!$A$2:$J$4985,N$3,FALSE)</f>
        <v>#N/A</v>
      </c>
      <c r="O20" s="96" t="e">
        <f>VLOOKUP($L20,flows!$A$2:$J$4985,O$3,FALSE)</f>
        <v>#N/A</v>
      </c>
      <c r="P20" s="96" t="e">
        <f>VLOOKUP($L20,flows!$A$2:$J$4985,P$3,FALSE)</f>
        <v>#N/A</v>
      </c>
      <c r="Q20" s="96" t="e">
        <f>VLOOKUP($L20,flows!$A$2:$J$4985,Q$3,FALSE)</f>
        <v>#N/A</v>
      </c>
      <c r="R20" s="96" t="e">
        <f>VLOOKUP($L20,flows!$A$2:$J$4985,R$3,FALSE)</f>
        <v>#N/A</v>
      </c>
      <c r="S20" s="96" t="e">
        <f>VLOOKUP($L20,flows!$A$2:$J$4985,S$3,FALSE)</f>
        <v>#N/A</v>
      </c>
      <c r="T20" s="96" t="e">
        <f>VLOOKUP($L20,flows!$A$2:$J$4985,T$3,FALSE)</f>
        <v>#N/A</v>
      </c>
    </row>
    <row r="21" spans="1:20" x14ac:dyDescent="0.35">
      <c r="A21" s="40"/>
      <c r="B21" s="92" t="s">
        <v>289</v>
      </c>
      <c r="C21" s="96" t="e">
        <f>VLOOKUP($B21,capacities!$A$2:$J$2352,C$3,FALSE)</f>
        <v>#N/A</v>
      </c>
      <c r="D21" s="96" t="e">
        <f>VLOOKUP($B21,capacities!$A$2:$J$2352,D$3,FALSE)</f>
        <v>#N/A</v>
      </c>
      <c r="E21" s="96" t="e">
        <f>VLOOKUP($B21,capacities!$A$2:$J$2352,E$3,FALSE)</f>
        <v>#N/A</v>
      </c>
      <c r="F21" s="96" t="e">
        <f>VLOOKUP($B21,capacities!$A$2:$J$2352,F$3,FALSE)</f>
        <v>#N/A</v>
      </c>
      <c r="G21" s="96" t="e">
        <f>VLOOKUP($B21,capacities!$A$2:$J$2352,G$3,FALSE)</f>
        <v>#N/A</v>
      </c>
      <c r="H21" s="96" t="e">
        <f>VLOOKUP($B21,capacities!$A$2:$J$2352,H$3,FALSE)</f>
        <v>#N/A</v>
      </c>
      <c r="I21" s="96" t="e">
        <f>VLOOKUP($B21,capacities!$A$2:$J$2352,I$3,FALSE)</f>
        <v>#N/A</v>
      </c>
      <c r="J21" s="96" t="e">
        <f>VLOOKUP($B21,capacities!$A$2:$J$2352,J$3,FALSE)</f>
        <v>#N/A</v>
      </c>
      <c r="L21" s="40" t="s">
        <v>759</v>
      </c>
      <c r="M21" s="96" t="e">
        <f>VLOOKUP($L21,flows!$A$2:$J$4985,M$3,FALSE)</f>
        <v>#N/A</v>
      </c>
      <c r="N21" s="96" t="e">
        <f>VLOOKUP($L21,flows!$A$2:$J$4985,N$3,FALSE)</f>
        <v>#N/A</v>
      </c>
      <c r="O21" s="96" t="e">
        <f>VLOOKUP($L21,flows!$A$2:$J$4985,O$3,FALSE)</f>
        <v>#N/A</v>
      </c>
      <c r="P21" s="96" t="e">
        <f>VLOOKUP($L21,flows!$A$2:$J$4985,P$3,FALSE)</f>
        <v>#N/A</v>
      </c>
      <c r="Q21" s="96" t="e">
        <f>VLOOKUP($L21,flows!$A$2:$J$4985,Q$3,FALSE)</f>
        <v>#N/A</v>
      </c>
      <c r="R21" s="96" t="e">
        <f>VLOOKUP($L21,flows!$A$2:$J$4985,R$3,FALSE)</f>
        <v>#N/A</v>
      </c>
      <c r="S21" s="96" t="e">
        <f>VLOOKUP($L21,flows!$A$2:$J$4985,S$3,FALSE)</f>
        <v>#N/A</v>
      </c>
      <c r="T21" s="96" t="e">
        <f>VLOOKUP($L21,flows!$A$2:$J$4985,T$3,FALSE)</f>
        <v>#N/A</v>
      </c>
    </row>
    <row r="22" spans="1:20" x14ac:dyDescent="0.35">
      <c r="A22" s="40"/>
      <c r="B22" s="102" t="s">
        <v>1161</v>
      </c>
      <c r="C22" s="96" t="e">
        <f>SUM(C17:C21)</f>
        <v>#N/A</v>
      </c>
      <c r="D22" s="96" t="e">
        <f t="shared" ref="D22:J22" si="5">SUM(D17:D21)</f>
        <v>#N/A</v>
      </c>
      <c r="E22" s="96" t="e">
        <f t="shared" si="5"/>
        <v>#N/A</v>
      </c>
      <c r="F22" s="96" t="e">
        <f t="shared" si="5"/>
        <v>#N/A</v>
      </c>
      <c r="G22" s="96" t="e">
        <f t="shared" si="5"/>
        <v>#N/A</v>
      </c>
      <c r="H22" s="96" t="e">
        <f t="shared" si="5"/>
        <v>#N/A</v>
      </c>
      <c r="I22" s="96" t="e">
        <f t="shared" si="5"/>
        <v>#N/A</v>
      </c>
      <c r="J22" s="96" t="e">
        <f t="shared" si="5"/>
        <v>#N/A</v>
      </c>
      <c r="L22" s="40" t="s">
        <v>761</v>
      </c>
      <c r="M22" s="96" t="e">
        <f>VLOOKUP($L22,flows!$A$2:$J$4985,M$3,FALSE)</f>
        <v>#N/A</v>
      </c>
      <c r="N22" s="96" t="e">
        <f>VLOOKUP($L22,flows!$A$2:$J$4985,N$3,FALSE)</f>
        <v>#N/A</v>
      </c>
      <c r="O22" s="96" t="e">
        <f>VLOOKUP($L22,flows!$A$2:$J$4985,O$3,FALSE)</f>
        <v>#N/A</v>
      </c>
      <c r="P22" s="96" t="e">
        <f>VLOOKUP($L22,flows!$A$2:$J$4985,P$3,FALSE)</f>
        <v>#N/A</v>
      </c>
      <c r="Q22" s="96" t="e">
        <f>VLOOKUP($L22,flows!$A$2:$J$4985,Q$3,FALSE)</f>
        <v>#N/A</v>
      </c>
      <c r="R22" s="96" t="e">
        <f>VLOOKUP($L22,flows!$A$2:$J$4985,R$3,FALSE)</f>
        <v>#N/A</v>
      </c>
      <c r="S22" s="96" t="e">
        <f>VLOOKUP($L22,flows!$A$2:$J$4985,S$3,FALSE)</f>
        <v>#N/A</v>
      </c>
      <c r="T22" s="96" t="e">
        <f>VLOOKUP($L22,flows!$A$2:$J$4985,T$3,FALSE)</f>
        <v>#N/A</v>
      </c>
    </row>
    <row r="23" spans="1:20" x14ac:dyDescent="0.35">
      <c r="A23" s="40"/>
      <c r="B23" s="92"/>
      <c r="C23" s="92"/>
      <c r="D23" s="92"/>
      <c r="E23" s="92"/>
      <c r="F23" s="92"/>
      <c r="G23" s="92"/>
      <c r="H23" s="92"/>
      <c r="I23" s="92"/>
      <c r="J23" s="92"/>
      <c r="L23" s="99" t="s">
        <v>1161</v>
      </c>
      <c r="M23" s="96" t="e">
        <f t="shared" ref="M23:T23" si="6">SUM(M18:M22)</f>
        <v>#N/A</v>
      </c>
      <c r="N23" s="96" t="e">
        <f t="shared" si="6"/>
        <v>#N/A</v>
      </c>
      <c r="O23" s="96" t="e">
        <f t="shared" si="6"/>
        <v>#N/A</v>
      </c>
      <c r="P23" s="96" t="e">
        <f t="shared" si="6"/>
        <v>#N/A</v>
      </c>
      <c r="Q23" s="96" t="e">
        <f t="shared" si="6"/>
        <v>#N/A</v>
      </c>
      <c r="R23" s="96" t="e">
        <f t="shared" si="6"/>
        <v>#N/A</v>
      </c>
      <c r="S23" s="96" t="e">
        <f t="shared" si="6"/>
        <v>#N/A</v>
      </c>
      <c r="T23" s="96" t="e">
        <f t="shared" si="6"/>
        <v>#N/A</v>
      </c>
    </row>
    <row r="24" spans="1:20" x14ac:dyDescent="0.35">
      <c r="A24" s="40"/>
      <c r="B24" s="137" t="s">
        <v>15</v>
      </c>
      <c r="C24" s="96" t="e">
        <f>VLOOKUP($B24,capacities!$A$2:$J$2352,C$3,FALSE)</f>
        <v>#N/A</v>
      </c>
      <c r="D24" s="96" t="e">
        <f>VLOOKUP($B24,capacities!$A$2:$J$2352,D$3,FALSE)</f>
        <v>#N/A</v>
      </c>
      <c r="E24" s="96" t="e">
        <f>VLOOKUP($B24,capacities!$A$2:$J$2352,E$3,FALSE)</f>
        <v>#N/A</v>
      </c>
      <c r="F24" s="96" t="e">
        <f>VLOOKUP($B24,capacities!$A$2:$J$2352,F$3,FALSE)</f>
        <v>#N/A</v>
      </c>
      <c r="G24" s="96" t="e">
        <f>VLOOKUP($B24,capacities!$A$2:$J$2352,G$3,FALSE)</f>
        <v>#N/A</v>
      </c>
      <c r="H24" s="96" t="e">
        <f>VLOOKUP($B24,capacities!$A$2:$J$2352,H$3,FALSE)</f>
        <v>#N/A</v>
      </c>
      <c r="I24" s="96" t="e">
        <f>VLOOKUP($B24,capacities!$A$2:$J$2352,I$3,FALSE)</f>
        <v>#N/A</v>
      </c>
      <c r="J24" s="96" t="e">
        <f>VLOOKUP($B24,capacities!$A$2:$J$2352,J$3,FALSE)</f>
        <v>#N/A</v>
      </c>
      <c r="L24" s="40"/>
      <c r="M24" s="92"/>
      <c r="N24" s="92"/>
      <c r="O24" s="92"/>
      <c r="P24" s="92"/>
      <c r="Q24" s="92"/>
      <c r="R24" s="92"/>
      <c r="S24" s="92"/>
      <c r="T24" s="92"/>
    </row>
    <row r="25" spans="1:20" x14ac:dyDescent="0.35">
      <c r="A25" s="40"/>
      <c r="B25" s="137" t="s">
        <v>295</v>
      </c>
      <c r="C25" s="96" t="e">
        <f>VLOOKUP($B25,capacities!$A$2:$J$2352,C$3,FALSE)</f>
        <v>#N/A</v>
      </c>
      <c r="D25" s="96" t="e">
        <f>VLOOKUP($B25,capacities!$A$2:$J$2352,D$3,FALSE)</f>
        <v>#N/A</v>
      </c>
      <c r="E25" s="96" t="e">
        <f>VLOOKUP($B25,capacities!$A$2:$J$2352,E$3,FALSE)</f>
        <v>#N/A</v>
      </c>
      <c r="F25" s="96" t="e">
        <f>VLOOKUP($B25,capacities!$A$2:$J$2352,F$3,FALSE)</f>
        <v>#N/A</v>
      </c>
      <c r="G25" s="96" t="e">
        <f>VLOOKUP($B25,capacities!$A$2:$J$2352,G$3,FALSE)</f>
        <v>#N/A</v>
      </c>
      <c r="H25" s="96" t="e">
        <f>VLOOKUP($B25,capacities!$A$2:$J$2352,H$3,FALSE)</f>
        <v>#N/A</v>
      </c>
      <c r="I25" s="96" t="e">
        <f>VLOOKUP($B25,capacities!$A$2:$J$2352,I$3,FALSE)</f>
        <v>#N/A</v>
      </c>
      <c r="J25" s="96" t="e">
        <f>VLOOKUP($B25,capacities!$A$2:$J$2352,J$3,FALSE)</f>
        <v>#N/A</v>
      </c>
      <c r="L25" s="137" t="s">
        <v>2583</v>
      </c>
      <c r="M25" s="96" t="e">
        <f>VLOOKUP($L25,flows!$A$2:$J$4985,M$3,FALSE)</f>
        <v>#N/A</v>
      </c>
      <c r="N25" s="96" t="e">
        <f>VLOOKUP($L25,flows!$A$2:$J$4985,N$3,FALSE)</f>
        <v>#N/A</v>
      </c>
      <c r="O25" s="96" t="e">
        <f>VLOOKUP($L25,flows!$A$2:$J$4985,O$3,FALSE)</f>
        <v>#N/A</v>
      </c>
      <c r="P25" s="96" t="e">
        <f>VLOOKUP($L25,flows!$A$2:$J$4985,P$3,FALSE)</f>
        <v>#N/A</v>
      </c>
      <c r="Q25" s="96" t="e">
        <f>VLOOKUP($L25,flows!$A$2:$J$4985,Q$3,FALSE)</f>
        <v>#N/A</v>
      </c>
      <c r="R25" s="96" t="e">
        <f>VLOOKUP($L25,flows!$A$2:$J$4985,R$3,FALSE)</f>
        <v>#N/A</v>
      </c>
      <c r="S25" s="96" t="e">
        <f>VLOOKUP($L25,flows!$A$2:$J$4985,S$3,FALSE)</f>
        <v>#N/A</v>
      </c>
      <c r="T25" s="96" t="e">
        <f>VLOOKUP($L25,flows!$A$2:$J$4985,T$3,FALSE)</f>
        <v>#N/A</v>
      </c>
    </row>
    <row r="26" spans="1:20" x14ac:dyDescent="0.35">
      <c r="A26" s="40"/>
      <c r="B26" s="102" t="s">
        <v>1162</v>
      </c>
      <c r="C26" s="96" t="e">
        <f>SUM(C24:C25)</f>
        <v>#N/A</v>
      </c>
      <c r="D26" s="96" t="e">
        <f t="shared" ref="D26:J26" si="7">SUM(D24:D25)</f>
        <v>#N/A</v>
      </c>
      <c r="E26" s="96" t="e">
        <f t="shared" si="7"/>
        <v>#N/A</v>
      </c>
      <c r="F26" s="96" t="e">
        <f t="shared" si="7"/>
        <v>#N/A</v>
      </c>
      <c r="G26" s="96" t="e">
        <f t="shared" si="7"/>
        <v>#N/A</v>
      </c>
      <c r="H26" s="96" t="e">
        <f t="shared" si="7"/>
        <v>#N/A</v>
      </c>
      <c r="I26" s="96" t="e">
        <f t="shared" si="7"/>
        <v>#N/A</v>
      </c>
      <c r="J26" s="96" t="e">
        <f t="shared" si="7"/>
        <v>#N/A</v>
      </c>
      <c r="L26" s="137" t="s">
        <v>2599</v>
      </c>
      <c r="M26" s="96" t="e">
        <f>VLOOKUP($L26,flows!$A$2:$J$4985,M$3,FALSE)</f>
        <v>#N/A</v>
      </c>
      <c r="N26" s="96" t="e">
        <f>VLOOKUP($L26,flows!$A$2:$J$4985,N$3,FALSE)</f>
        <v>#N/A</v>
      </c>
      <c r="O26" s="96" t="e">
        <f>VLOOKUP($L26,flows!$A$2:$J$4985,O$3,FALSE)</f>
        <v>#N/A</v>
      </c>
      <c r="P26" s="96" t="e">
        <f>VLOOKUP($L26,flows!$A$2:$J$4985,P$3,FALSE)</f>
        <v>#N/A</v>
      </c>
      <c r="Q26" s="96" t="e">
        <f>VLOOKUP($L26,flows!$A$2:$J$4985,Q$3,FALSE)</f>
        <v>#N/A</v>
      </c>
      <c r="R26" s="96" t="e">
        <f>VLOOKUP($L26,flows!$A$2:$J$4985,R$3,FALSE)</f>
        <v>#N/A</v>
      </c>
      <c r="S26" s="96" t="e">
        <f>VLOOKUP($L26,flows!$A$2:$J$4985,S$3,FALSE)</f>
        <v>#N/A</v>
      </c>
      <c r="T26" s="96" t="e">
        <f>VLOOKUP($L26,flows!$A$2:$J$4985,T$3,FALSE)</f>
        <v>#N/A</v>
      </c>
    </row>
    <row r="27" spans="1:20" x14ac:dyDescent="0.35">
      <c r="A27" s="40"/>
      <c r="B27" s="92"/>
      <c r="C27" s="92"/>
      <c r="D27" s="92"/>
      <c r="E27" s="92"/>
      <c r="F27" s="92"/>
      <c r="G27" s="92"/>
      <c r="H27" s="92"/>
      <c r="I27" s="92"/>
      <c r="J27" s="92"/>
      <c r="L27" s="102" t="s">
        <v>1162</v>
      </c>
      <c r="M27" s="92" t="e">
        <f>SUM(M25:M26)</f>
        <v>#N/A</v>
      </c>
      <c r="N27" s="92" t="e">
        <f t="shared" ref="N27:T27" si="8">SUM(N25:N26)</f>
        <v>#N/A</v>
      </c>
      <c r="O27" s="92" t="e">
        <f t="shared" si="8"/>
        <v>#N/A</v>
      </c>
      <c r="P27" s="92" t="e">
        <f t="shared" si="8"/>
        <v>#N/A</v>
      </c>
      <c r="Q27" s="92" t="e">
        <f t="shared" si="8"/>
        <v>#N/A</v>
      </c>
      <c r="R27" s="92" t="e">
        <f t="shared" si="8"/>
        <v>#N/A</v>
      </c>
      <c r="S27" s="92" t="e">
        <f t="shared" si="8"/>
        <v>#N/A</v>
      </c>
      <c r="T27" s="92" t="e">
        <f t="shared" si="8"/>
        <v>#N/A</v>
      </c>
    </row>
    <row r="28" spans="1:20" x14ac:dyDescent="0.35">
      <c r="A28" s="40"/>
      <c r="B28" s="92"/>
      <c r="C28" s="92"/>
      <c r="D28" s="92"/>
      <c r="E28" s="92"/>
      <c r="F28" s="92"/>
      <c r="G28" s="92"/>
      <c r="H28" s="92"/>
      <c r="I28" s="92"/>
      <c r="J28" s="92"/>
      <c r="L28" s="40"/>
      <c r="M28" s="92"/>
      <c r="N28" s="92"/>
      <c r="O28" s="92"/>
      <c r="P28" s="92"/>
      <c r="Q28" s="92"/>
      <c r="R28" s="92"/>
      <c r="S28" s="92"/>
      <c r="T28" s="92"/>
    </row>
    <row r="29" spans="1:20" x14ac:dyDescent="0.35">
      <c r="A29" s="40"/>
      <c r="B29" s="92"/>
      <c r="C29" s="92"/>
      <c r="D29" s="92"/>
      <c r="E29" s="92"/>
      <c r="F29" s="92"/>
      <c r="G29" s="92"/>
      <c r="H29" s="92"/>
      <c r="I29" s="92"/>
      <c r="J29" s="92"/>
      <c r="L29" s="40" t="s">
        <v>974</v>
      </c>
      <c r="M29" s="96" t="e">
        <f>VLOOKUP($L29,flows!$A$2:$J$4985,M$3,FALSE)</f>
        <v>#N/A</v>
      </c>
      <c r="N29" s="96" t="e">
        <f>VLOOKUP($L29,flows!$A$2:$J$4985,N$3,FALSE)</f>
        <v>#N/A</v>
      </c>
      <c r="O29" s="96" t="e">
        <f>VLOOKUP($L29,flows!$A$2:$J$4985,O$3,FALSE)</f>
        <v>#N/A</v>
      </c>
      <c r="P29" s="96" t="e">
        <f>VLOOKUP($L29,flows!$A$2:$J$4985,P$3,FALSE)</f>
        <v>#N/A</v>
      </c>
      <c r="Q29" s="96" t="e">
        <f>VLOOKUP($L29,flows!$A$2:$J$4985,Q$3,FALSE)</f>
        <v>#N/A</v>
      </c>
      <c r="R29" s="96" t="e">
        <f>VLOOKUP($L29,flows!$A$2:$J$4985,R$3,FALSE)</f>
        <v>#N/A</v>
      </c>
      <c r="S29" s="96" t="e">
        <f>VLOOKUP($L29,flows!$A$2:$J$4985,S$3,FALSE)</f>
        <v>#N/A</v>
      </c>
      <c r="T29" s="96" t="e">
        <f>VLOOKUP($L29,flows!$A$2:$J$4985,T$3,FALSE)</f>
        <v>#N/A</v>
      </c>
    </row>
    <row r="30" spans="1:20" x14ac:dyDescent="0.35">
      <c r="A30" s="40"/>
      <c r="B30" s="92"/>
      <c r="C30" s="92"/>
      <c r="D30" s="92"/>
      <c r="E30" s="92"/>
      <c r="F30" s="92"/>
      <c r="G30" s="92"/>
      <c r="H30" s="92"/>
      <c r="I30" s="92"/>
      <c r="J30" s="92"/>
      <c r="L30" s="99" t="s">
        <v>1207</v>
      </c>
      <c r="M30" s="96" t="e">
        <f t="shared" ref="M30:T30" si="9">SUM(M29:M29)</f>
        <v>#N/A</v>
      </c>
      <c r="N30" s="96" t="e">
        <f t="shared" si="9"/>
        <v>#N/A</v>
      </c>
      <c r="O30" s="96" t="e">
        <f t="shared" si="9"/>
        <v>#N/A</v>
      </c>
      <c r="P30" s="96" t="e">
        <f t="shared" si="9"/>
        <v>#N/A</v>
      </c>
      <c r="Q30" s="96" t="e">
        <f t="shared" si="9"/>
        <v>#N/A</v>
      </c>
      <c r="R30" s="96" t="e">
        <f t="shared" si="9"/>
        <v>#N/A</v>
      </c>
      <c r="S30" s="96" t="e">
        <f t="shared" si="9"/>
        <v>#N/A</v>
      </c>
      <c r="T30" s="96" t="e">
        <f t="shared" si="9"/>
        <v>#N/A</v>
      </c>
    </row>
    <row r="31" spans="1:20" x14ac:dyDescent="0.35">
      <c r="A31" s="40" t="s">
        <v>387</v>
      </c>
      <c r="B31" s="102" t="s">
        <v>1207</v>
      </c>
      <c r="C31" s="96" t="e">
        <f>VLOOKUP($A31,capacities!$A$2:$J$2352,C$3,FALSE)</f>
        <v>#N/A</v>
      </c>
      <c r="D31" s="96" t="e">
        <f>VLOOKUP($A31,capacities!$A$2:$J$2352,D$3,FALSE)</f>
        <v>#N/A</v>
      </c>
      <c r="E31" s="96" t="e">
        <f>VLOOKUP($A31,capacities!$A$2:$J$2352,E$3,FALSE)</f>
        <v>#N/A</v>
      </c>
      <c r="F31" s="96" t="e">
        <f>VLOOKUP($A31,capacities!$A$2:$J$2352,F$3,FALSE)</f>
        <v>#N/A</v>
      </c>
      <c r="G31" s="96" t="e">
        <f>VLOOKUP($A31,capacities!$A$2:$J$2352,G$3,FALSE)</f>
        <v>#N/A</v>
      </c>
      <c r="H31" s="96" t="e">
        <f>VLOOKUP($A31,capacities!$A$2:$J$2352,H$3,FALSE)</f>
        <v>#N/A</v>
      </c>
      <c r="I31" s="96" t="e">
        <f>VLOOKUP($A31,capacities!$A$2:$J$2352,I$3,FALSE)</f>
        <v>#N/A</v>
      </c>
      <c r="J31" s="96" t="e">
        <f>VLOOKUP($A31,capacities!$A$2:$J$2352,J$3,FALSE)</f>
        <v>#N/A</v>
      </c>
      <c r="L31" s="40"/>
      <c r="M31" s="92"/>
      <c r="N31" s="92"/>
      <c r="O31" s="92"/>
      <c r="P31" s="92"/>
      <c r="Q31" s="92"/>
      <c r="R31" s="92"/>
      <c r="S31" s="92"/>
      <c r="T31" s="92"/>
    </row>
    <row r="32" spans="1:20" x14ac:dyDescent="0.35">
      <c r="A32" s="40"/>
      <c r="B32" s="92"/>
      <c r="C32" s="92"/>
      <c r="D32" s="92"/>
      <c r="E32" s="92"/>
      <c r="F32" s="92"/>
      <c r="G32" s="92"/>
      <c r="H32" s="92"/>
      <c r="I32" s="92"/>
      <c r="J32" s="92"/>
      <c r="L32" s="40" t="s">
        <v>957</v>
      </c>
      <c r="M32" s="96" t="e">
        <f>VLOOKUP($L32,flows!$A$2:$J$4985,M$3,FALSE)</f>
        <v>#N/A</v>
      </c>
      <c r="N32" s="96" t="e">
        <f>VLOOKUP($L32,flows!$A$2:$J$4985,N$3,FALSE)</f>
        <v>#N/A</v>
      </c>
      <c r="O32" s="96" t="e">
        <f>VLOOKUP($L32,flows!$A$2:$J$4985,O$3,FALSE)</f>
        <v>#N/A</v>
      </c>
      <c r="P32" s="96" t="e">
        <f>VLOOKUP($L32,flows!$A$2:$J$4985,P$3,FALSE)</f>
        <v>#N/A</v>
      </c>
      <c r="Q32" s="96" t="e">
        <f>VLOOKUP($L32,flows!$A$2:$J$4985,Q$3,FALSE)</f>
        <v>#N/A</v>
      </c>
      <c r="R32" s="96" t="e">
        <f>VLOOKUP($L32,flows!$A$2:$J$4985,R$3,FALSE)</f>
        <v>#N/A</v>
      </c>
      <c r="S32" s="96" t="e">
        <f>VLOOKUP($L32,flows!$A$2:$J$4985,S$3,FALSE)</f>
        <v>#N/A</v>
      </c>
      <c r="T32" s="96" t="e">
        <f>VLOOKUP($L32,flows!$A$2:$J$4985,T$3,FALSE)</f>
        <v>#N/A</v>
      </c>
    </row>
    <row r="33" spans="1:20" x14ac:dyDescent="0.35">
      <c r="A33" s="40"/>
      <c r="B33" s="92" t="s">
        <v>444</v>
      </c>
      <c r="C33" s="96" t="e">
        <f>VLOOKUP($B33,capacities!$A$2:$J$2352,C$3,FALSE)</f>
        <v>#N/A</v>
      </c>
      <c r="D33" s="96" t="e">
        <f>VLOOKUP($B33,capacities!$A$2:$J$2352,D$3,FALSE)</f>
        <v>#N/A</v>
      </c>
      <c r="E33" s="96" t="e">
        <f>VLOOKUP($B33,capacities!$A$2:$J$2352,E$3,FALSE)</f>
        <v>#N/A</v>
      </c>
      <c r="F33" s="96" t="e">
        <f>VLOOKUP($B33,capacities!$A$2:$J$2352,F$3,FALSE)</f>
        <v>#N/A</v>
      </c>
      <c r="G33" s="96" t="e">
        <f>VLOOKUP($B33,capacities!$A$2:$J$2352,G$3,FALSE)</f>
        <v>#N/A</v>
      </c>
      <c r="H33" s="96" t="e">
        <f>VLOOKUP($B33,capacities!$A$2:$J$2352,H$3,FALSE)</f>
        <v>#N/A</v>
      </c>
      <c r="I33" s="96" t="e">
        <f>VLOOKUP($B33,capacities!$A$2:$J$2352,I$3,FALSE)</f>
        <v>#N/A</v>
      </c>
      <c r="J33" s="96" t="e">
        <f>VLOOKUP($B33,capacities!$A$2:$J$2352,J$3,FALSE)</f>
        <v>#N/A</v>
      </c>
      <c r="L33" s="40" t="s">
        <v>958</v>
      </c>
      <c r="M33" s="96" t="e">
        <f>VLOOKUP($L33,flows!$A$2:$J$4985,M$3,FALSE)</f>
        <v>#N/A</v>
      </c>
      <c r="N33" s="96" t="e">
        <f>VLOOKUP($L33,flows!$A$2:$J$4985,N$3,FALSE)</f>
        <v>#N/A</v>
      </c>
      <c r="O33" s="96" t="e">
        <f>VLOOKUP($L33,flows!$A$2:$J$4985,O$3,FALSE)</f>
        <v>#N/A</v>
      </c>
      <c r="P33" s="96" t="e">
        <f>VLOOKUP($L33,flows!$A$2:$J$4985,P$3,FALSE)</f>
        <v>#N/A</v>
      </c>
      <c r="Q33" s="96" t="e">
        <f>VLOOKUP($L33,flows!$A$2:$J$4985,Q$3,FALSE)</f>
        <v>#N/A</v>
      </c>
      <c r="R33" s="96" t="e">
        <f>VLOOKUP($L33,flows!$A$2:$J$4985,R$3,FALSE)</f>
        <v>#N/A</v>
      </c>
      <c r="S33" s="96" t="e">
        <f>VLOOKUP($L33,flows!$A$2:$J$4985,S$3,FALSE)</f>
        <v>#N/A</v>
      </c>
      <c r="T33" s="96" t="e">
        <f>VLOOKUP($L33,flows!$A$2:$J$4985,T$3,FALSE)</f>
        <v>#N/A</v>
      </c>
    </row>
    <row r="34" spans="1:20" x14ac:dyDescent="0.35">
      <c r="A34" s="40"/>
      <c r="B34" s="92" t="s">
        <v>445</v>
      </c>
      <c r="C34" s="96" t="e">
        <f>VLOOKUP($B34,capacities!$A$2:$J$2352,C$3,FALSE)</f>
        <v>#N/A</v>
      </c>
      <c r="D34" s="96" t="e">
        <f>VLOOKUP($B34,capacities!$A$2:$J$2352,D$3,FALSE)</f>
        <v>#N/A</v>
      </c>
      <c r="E34" s="96" t="e">
        <f>VLOOKUP($B34,capacities!$A$2:$J$2352,E$3,FALSE)</f>
        <v>#N/A</v>
      </c>
      <c r="F34" s="96" t="e">
        <f>VLOOKUP($B34,capacities!$A$2:$J$2352,F$3,FALSE)</f>
        <v>#N/A</v>
      </c>
      <c r="G34" s="96" t="e">
        <f>VLOOKUP($B34,capacities!$A$2:$J$2352,G$3,FALSE)</f>
        <v>#N/A</v>
      </c>
      <c r="H34" s="96" t="e">
        <f>VLOOKUP($B34,capacities!$A$2:$J$2352,H$3,FALSE)</f>
        <v>#N/A</v>
      </c>
      <c r="I34" s="96" t="e">
        <f>VLOOKUP($B34,capacities!$A$2:$J$2352,I$3,FALSE)</f>
        <v>#N/A</v>
      </c>
      <c r="J34" s="96" t="e">
        <f>VLOOKUP($B34,capacities!$A$2:$J$2352,J$3,FALSE)</f>
        <v>#N/A</v>
      </c>
      <c r="L34" s="40" t="s">
        <v>959</v>
      </c>
      <c r="M34" s="96" t="e">
        <f>VLOOKUP($L34,flows!$A$2:$J$4985,M$3,FALSE)</f>
        <v>#N/A</v>
      </c>
      <c r="N34" s="96" t="e">
        <f>VLOOKUP($L34,flows!$A$2:$J$4985,N$3,FALSE)</f>
        <v>#N/A</v>
      </c>
      <c r="O34" s="96" t="e">
        <f>VLOOKUP($L34,flows!$A$2:$J$4985,O$3,FALSE)</f>
        <v>#N/A</v>
      </c>
      <c r="P34" s="96" t="e">
        <f>VLOOKUP($L34,flows!$A$2:$J$4985,P$3,FALSE)</f>
        <v>#N/A</v>
      </c>
      <c r="Q34" s="96" t="e">
        <f>VLOOKUP($L34,flows!$A$2:$J$4985,Q$3,FALSE)</f>
        <v>#N/A</v>
      </c>
      <c r="R34" s="96" t="e">
        <f>VLOOKUP($L34,flows!$A$2:$J$4985,R$3,FALSE)</f>
        <v>#N/A</v>
      </c>
      <c r="S34" s="96" t="e">
        <f>VLOOKUP($L34,flows!$A$2:$J$4985,S$3,FALSE)</f>
        <v>#N/A</v>
      </c>
      <c r="T34" s="96" t="e">
        <f>VLOOKUP($L34,flows!$A$2:$J$4985,T$3,FALSE)</f>
        <v>#N/A</v>
      </c>
    </row>
    <row r="35" spans="1:20" x14ac:dyDescent="0.35">
      <c r="A35" s="40"/>
      <c r="B35" s="92" t="s">
        <v>446</v>
      </c>
      <c r="C35" s="96" t="e">
        <f>VLOOKUP($B35,capacities!$A$2:$J$2352,C$3,FALSE)</f>
        <v>#N/A</v>
      </c>
      <c r="D35" s="96" t="e">
        <f>VLOOKUP($B35,capacities!$A$2:$J$2352,D$3,FALSE)</f>
        <v>#N/A</v>
      </c>
      <c r="E35" s="96" t="e">
        <f>VLOOKUP($B35,capacities!$A$2:$J$2352,E$3,FALSE)</f>
        <v>#N/A</v>
      </c>
      <c r="F35" s="96" t="e">
        <f>VLOOKUP($B35,capacities!$A$2:$J$2352,F$3,FALSE)</f>
        <v>#N/A</v>
      </c>
      <c r="G35" s="96" t="e">
        <f>VLOOKUP($B35,capacities!$A$2:$J$2352,G$3,FALSE)</f>
        <v>#N/A</v>
      </c>
      <c r="H35" s="96" t="e">
        <f>VLOOKUP($B35,capacities!$A$2:$J$2352,H$3,FALSE)</f>
        <v>#N/A</v>
      </c>
      <c r="I35" s="96" t="e">
        <f>VLOOKUP($B35,capacities!$A$2:$J$2352,I$3,FALSE)</f>
        <v>#N/A</v>
      </c>
      <c r="J35" s="96" t="e">
        <f>VLOOKUP($B35,capacities!$A$2:$J$2352,J$3,FALSE)</f>
        <v>#N/A</v>
      </c>
      <c r="L35" s="40" t="s">
        <v>960</v>
      </c>
      <c r="M35" s="96" t="e">
        <f>VLOOKUP($L35,flows!$A$2:$J$4985,M$3,FALSE)</f>
        <v>#N/A</v>
      </c>
      <c r="N35" s="96" t="e">
        <f>VLOOKUP($L35,flows!$A$2:$J$4985,N$3,FALSE)</f>
        <v>#N/A</v>
      </c>
      <c r="O35" s="96" t="e">
        <f>VLOOKUP($L35,flows!$A$2:$J$4985,O$3,FALSE)</f>
        <v>#N/A</v>
      </c>
      <c r="P35" s="96" t="e">
        <f>VLOOKUP($L35,flows!$A$2:$J$4985,P$3,FALSE)</f>
        <v>#N/A</v>
      </c>
      <c r="Q35" s="96" t="e">
        <f>VLOOKUP($L35,flows!$A$2:$J$4985,Q$3,FALSE)</f>
        <v>#N/A</v>
      </c>
      <c r="R35" s="96" t="e">
        <f>VLOOKUP($L35,flows!$A$2:$J$4985,R$3,FALSE)</f>
        <v>#N/A</v>
      </c>
      <c r="S35" s="96" t="e">
        <f>VLOOKUP($L35,flows!$A$2:$J$4985,S$3,FALSE)</f>
        <v>#N/A</v>
      </c>
      <c r="T35" s="96" t="e">
        <f>VLOOKUP($L35,flows!$A$2:$J$4985,T$3,FALSE)</f>
        <v>#N/A</v>
      </c>
    </row>
    <row r="36" spans="1:20" x14ac:dyDescent="0.35">
      <c r="A36" s="40"/>
      <c r="B36" s="92" t="s">
        <v>447</v>
      </c>
      <c r="C36" s="96" t="e">
        <f>VLOOKUP($B36,capacities!$A$2:$J$2352,C$3,FALSE)</f>
        <v>#N/A</v>
      </c>
      <c r="D36" s="96" t="e">
        <f>VLOOKUP($B36,capacities!$A$2:$J$2352,D$3,FALSE)</f>
        <v>#N/A</v>
      </c>
      <c r="E36" s="96" t="e">
        <f>VLOOKUP($B36,capacities!$A$2:$J$2352,E$3,FALSE)</f>
        <v>#N/A</v>
      </c>
      <c r="F36" s="96" t="e">
        <f>VLOOKUP($B36,capacities!$A$2:$J$2352,F$3,FALSE)</f>
        <v>#N/A</v>
      </c>
      <c r="G36" s="96" t="e">
        <f>VLOOKUP($B36,capacities!$A$2:$J$2352,G$3,FALSE)</f>
        <v>#N/A</v>
      </c>
      <c r="H36" s="96" t="e">
        <f>VLOOKUP($B36,capacities!$A$2:$J$2352,H$3,FALSE)</f>
        <v>#N/A</v>
      </c>
      <c r="I36" s="96" t="e">
        <f>VLOOKUP($B36,capacities!$A$2:$J$2352,I$3,FALSE)</f>
        <v>#N/A</v>
      </c>
      <c r="J36" s="96" t="e">
        <f>VLOOKUP($B36,capacities!$A$2:$J$2352,J$3,FALSE)</f>
        <v>#N/A</v>
      </c>
      <c r="L36" s="40" t="s">
        <v>961</v>
      </c>
      <c r="M36" s="96" t="e">
        <f>VLOOKUP($L36,flows!$A$2:$J$4985,M$3,FALSE)</f>
        <v>#N/A</v>
      </c>
      <c r="N36" s="96" t="e">
        <f>VLOOKUP($L36,flows!$A$2:$J$4985,N$3,FALSE)</f>
        <v>#N/A</v>
      </c>
      <c r="O36" s="96" t="e">
        <f>VLOOKUP($L36,flows!$A$2:$J$4985,O$3,FALSE)</f>
        <v>#N/A</v>
      </c>
      <c r="P36" s="96" t="e">
        <f>VLOOKUP($L36,flows!$A$2:$J$4985,P$3,FALSE)</f>
        <v>#N/A</v>
      </c>
      <c r="Q36" s="96" t="e">
        <f>VLOOKUP($L36,flows!$A$2:$J$4985,Q$3,FALSE)</f>
        <v>#N/A</v>
      </c>
      <c r="R36" s="96" t="e">
        <f>VLOOKUP($L36,flows!$A$2:$J$4985,R$3,FALSE)</f>
        <v>#N/A</v>
      </c>
      <c r="S36" s="96" t="e">
        <f>VLOOKUP($L36,flows!$A$2:$J$4985,S$3,FALSE)</f>
        <v>#N/A</v>
      </c>
      <c r="T36" s="96" t="e">
        <f>VLOOKUP($L36,flows!$A$2:$J$4985,T$3,FALSE)</f>
        <v>#N/A</v>
      </c>
    </row>
    <row r="37" spans="1:20" x14ac:dyDescent="0.35">
      <c r="A37" s="40"/>
      <c r="B37" s="92" t="s">
        <v>448</v>
      </c>
      <c r="C37" s="96" t="e">
        <f>VLOOKUP($B37,capacities!$A$2:$J$2352,C$3,FALSE)</f>
        <v>#N/A</v>
      </c>
      <c r="D37" s="96" t="e">
        <f>VLOOKUP($B37,capacities!$A$2:$J$2352,D$3,FALSE)</f>
        <v>#N/A</v>
      </c>
      <c r="E37" s="96" t="e">
        <f>VLOOKUP($B37,capacities!$A$2:$J$2352,E$3,FALSE)</f>
        <v>#N/A</v>
      </c>
      <c r="F37" s="96" t="e">
        <f>VLOOKUP($B37,capacities!$A$2:$J$2352,F$3,FALSE)</f>
        <v>#N/A</v>
      </c>
      <c r="G37" s="96" t="e">
        <f>VLOOKUP($B37,capacities!$A$2:$J$2352,G$3,FALSE)</f>
        <v>#N/A</v>
      </c>
      <c r="H37" s="96" t="e">
        <f>VLOOKUP($B37,capacities!$A$2:$J$2352,H$3,FALSE)</f>
        <v>#N/A</v>
      </c>
      <c r="I37" s="96" t="e">
        <f>VLOOKUP($B37,capacities!$A$2:$J$2352,I$3,FALSE)</f>
        <v>#N/A</v>
      </c>
      <c r="J37" s="96" t="e">
        <f>VLOOKUP($B37,capacities!$A$2:$J$2352,J$3,FALSE)</f>
        <v>#N/A</v>
      </c>
      <c r="L37" s="40" t="s">
        <v>962</v>
      </c>
      <c r="M37" s="96" t="e">
        <f>VLOOKUP($L37,flows!$A$2:$J$4985,M$3,FALSE)</f>
        <v>#N/A</v>
      </c>
      <c r="N37" s="96" t="e">
        <f>VLOOKUP($L37,flows!$A$2:$J$4985,N$3,FALSE)</f>
        <v>#N/A</v>
      </c>
      <c r="O37" s="96" t="e">
        <f>VLOOKUP($L37,flows!$A$2:$J$4985,O$3,FALSE)</f>
        <v>#N/A</v>
      </c>
      <c r="P37" s="96" t="e">
        <f>VLOOKUP($L37,flows!$A$2:$J$4985,P$3,FALSE)</f>
        <v>#N/A</v>
      </c>
      <c r="Q37" s="96" t="e">
        <f>VLOOKUP($L37,flows!$A$2:$J$4985,Q$3,FALSE)</f>
        <v>#N/A</v>
      </c>
      <c r="R37" s="96" t="e">
        <f>VLOOKUP($L37,flows!$A$2:$J$4985,R$3,FALSE)</f>
        <v>#N/A</v>
      </c>
      <c r="S37" s="96" t="e">
        <f>VLOOKUP($L37,flows!$A$2:$J$4985,S$3,FALSE)</f>
        <v>#N/A</v>
      </c>
      <c r="T37" s="96" t="e">
        <f>VLOOKUP($L37,flows!$A$2:$J$4985,T$3,FALSE)</f>
        <v>#N/A</v>
      </c>
    </row>
    <row r="38" spans="1:20" x14ac:dyDescent="0.35">
      <c r="A38" s="40"/>
      <c r="B38" s="92" t="s">
        <v>449</v>
      </c>
      <c r="C38" s="96" t="e">
        <f>VLOOKUP($B38,capacities!$A$2:$J$2352,C$3,FALSE)</f>
        <v>#N/A</v>
      </c>
      <c r="D38" s="96" t="e">
        <f>VLOOKUP($B38,capacities!$A$2:$J$2352,D$3,FALSE)</f>
        <v>#N/A</v>
      </c>
      <c r="E38" s="96" t="e">
        <f>VLOOKUP($B38,capacities!$A$2:$J$2352,E$3,FALSE)</f>
        <v>#N/A</v>
      </c>
      <c r="F38" s="96" t="e">
        <f>VLOOKUP($B38,capacities!$A$2:$J$2352,F$3,FALSE)</f>
        <v>#N/A</v>
      </c>
      <c r="G38" s="96" t="e">
        <f>VLOOKUP($B38,capacities!$A$2:$J$2352,G$3,FALSE)</f>
        <v>#N/A</v>
      </c>
      <c r="H38" s="96" t="e">
        <f>VLOOKUP($B38,capacities!$A$2:$J$2352,H$3,FALSE)</f>
        <v>#N/A</v>
      </c>
      <c r="I38" s="96" t="e">
        <f>VLOOKUP($B38,capacities!$A$2:$J$2352,I$3,FALSE)</f>
        <v>#N/A</v>
      </c>
      <c r="J38" s="96" t="e">
        <f>VLOOKUP($B38,capacities!$A$2:$J$2352,J$3,FALSE)</f>
        <v>#N/A</v>
      </c>
      <c r="L38" s="40" t="s">
        <v>963</v>
      </c>
      <c r="M38" s="96" t="e">
        <f>VLOOKUP($L38,flows!$A$2:$J$4985,M$3,FALSE)</f>
        <v>#N/A</v>
      </c>
      <c r="N38" s="96" t="e">
        <f>VLOOKUP($L38,flows!$A$2:$J$4985,N$3,FALSE)</f>
        <v>#N/A</v>
      </c>
      <c r="O38" s="96" t="e">
        <f>VLOOKUP($L38,flows!$A$2:$J$4985,O$3,FALSE)</f>
        <v>#N/A</v>
      </c>
      <c r="P38" s="96" t="e">
        <f>VLOOKUP($L38,flows!$A$2:$J$4985,P$3,FALSE)</f>
        <v>#N/A</v>
      </c>
      <c r="Q38" s="96" t="e">
        <f>VLOOKUP($L38,flows!$A$2:$J$4985,Q$3,FALSE)</f>
        <v>#N/A</v>
      </c>
      <c r="R38" s="96" t="e">
        <f>VLOOKUP($L38,flows!$A$2:$J$4985,R$3,FALSE)</f>
        <v>#N/A</v>
      </c>
      <c r="S38" s="96" t="e">
        <f>VLOOKUP($L38,flows!$A$2:$J$4985,S$3,FALSE)</f>
        <v>#N/A</v>
      </c>
      <c r="T38" s="96" t="e">
        <f>VLOOKUP($L38,flows!$A$2:$J$4985,T$3,FALSE)</f>
        <v>#N/A</v>
      </c>
    </row>
    <row r="39" spans="1:20" x14ac:dyDescent="0.35">
      <c r="A39" s="40"/>
      <c r="B39" s="92" t="s">
        <v>450</v>
      </c>
      <c r="C39" s="96" t="e">
        <f>VLOOKUP($B39,capacities!$A$2:$J$2352,C$3,FALSE)</f>
        <v>#N/A</v>
      </c>
      <c r="D39" s="96" t="e">
        <f>VLOOKUP($B39,capacities!$A$2:$J$2352,D$3,FALSE)</f>
        <v>#N/A</v>
      </c>
      <c r="E39" s="96" t="e">
        <f>VLOOKUP($B39,capacities!$A$2:$J$2352,E$3,FALSE)</f>
        <v>#N/A</v>
      </c>
      <c r="F39" s="96" t="e">
        <f>VLOOKUP($B39,capacities!$A$2:$J$2352,F$3,FALSE)</f>
        <v>#N/A</v>
      </c>
      <c r="G39" s="96" t="e">
        <f>VLOOKUP($B39,capacities!$A$2:$J$2352,G$3,FALSE)</f>
        <v>#N/A</v>
      </c>
      <c r="H39" s="96" t="e">
        <f>VLOOKUP($B39,capacities!$A$2:$J$2352,H$3,FALSE)</f>
        <v>#N/A</v>
      </c>
      <c r="I39" s="96" t="e">
        <f>VLOOKUP($B39,capacities!$A$2:$J$2352,I$3,FALSE)</f>
        <v>#N/A</v>
      </c>
      <c r="J39" s="96" t="e">
        <f>VLOOKUP($B39,capacities!$A$2:$J$2352,J$3,FALSE)</f>
        <v>#N/A</v>
      </c>
      <c r="L39" s="40" t="s">
        <v>964</v>
      </c>
      <c r="M39" s="96" t="e">
        <f>VLOOKUP($L39,flows!$A$2:$J$4985,M$3,FALSE)</f>
        <v>#N/A</v>
      </c>
      <c r="N39" s="96" t="e">
        <f>VLOOKUP($L39,flows!$A$2:$J$4985,N$3,FALSE)</f>
        <v>#N/A</v>
      </c>
      <c r="O39" s="96" t="e">
        <f>VLOOKUP($L39,flows!$A$2:$J$4985,O$3,FALSE)</f>
        <v>#N/A</v>
      </c>
      <c r="P39" s="96" t="e">
        <f>VLOOKUP($L39,flows!$A$2:$J$4985,P$3,FALSE)</f>
        <v>#N/A</v>
      </c>
      <c r="Q39" s="96" t="e">
        <f>VLOOKUP($L39,flows!$A$2:$J$4985,Q$3,FALSE)</f>
        <v>#N/A</v>
      </c>
      <c r="R39" s="96" t="e">
        <f>VLOOKUP($L39,flows!$A$2:$J$4985,R$3,FALSE)</f>
        <v>#N/A</v>
      </c>
      <c r="S39" s="96" t="e">
        <f>VLOOKUP($L39,flows!$A$2:$J$4985,S$3,FALSE)</f>
        <v>#N/A</v>
      </c>
      <c r="T39" s="96" t="e">
        <f>VLOOKUP($L39,flows!$A$2:$J$4985,T$3,FALSE)</f>
        <v>#N/A</v>
      </c>
    </row>
    <row r="40" spans="1:20" x14ac:dyDescent="0.35">
      <c r="A40" s="40"/>
      <c r="B40" s="102" t="s">
        <v>1471</v>
      </c>
      <c r="C40" s="96" t="e">
        <f>SUM(C33:C39)</f>
        <v>#N/A</v>
      </c>
      <c r="D40" s="96" t="e">
        <f t="shared" ref="D40:J40" si="10">SUM(D33:D39)</f>
        <v>#N/A</v>
      </c>
      <c r="E40" s="96" t="e">
        <f t="shared" si="10"/>
        <v>#N/A</v>
      </c>
      <c r="F40" s="96" t="e">
        <f t="shared" si="10"/>
        <v>#N/A</v>
      </c>
      <c r="G40" s="96" t="e">
        <f t="shared" si="10"/>
        <v>#N/A</v>
      </c>
      <c r="H40" s="96" t="e">
        <f t="shared" si="10"/>
        <v>#N/A</v>
      </c>
      <c r="I40" s="96" t="e">
        <f t="shared" si="10"/>
        <v>#N/A</v>
      </c>
      <c r="J40" s="96" t="e">
        <f t="shared" si="10"/>
        <v>#N/A</v>
      </c>
      <c r="L40" s="99" t="s">
        <v>1471</v>
      </c>
      <c r="M40" s="96" t="e">
        <f t="shared" ref="M40:T40" si="11">SUM(M32:M39)</f>
        <v>#N/A</v>
      </c>
      <c r="N40" s="96" t="e">
        <f t="shared" si="11"/>
        <v>#N/A</v>
      </c>
      <c r="O40" s="96" t="e">
        <f t="shared" si="11"/>
        <v>#N/A</v>
      </c>
      <c r="P40" s="96" t="e">
        <f t="shared" si="11"/>
        <v>#N/A</v>
      </c>
      <c r="Q40" s="96" t="e">
        <f t="shared" si="11"/>
        <v>#N/A</v>
      </c>
      <c r="R40" s="96" t="e">
        <f t="shared" si="11"/>
        <v>#N/A</v>
      </c>
      <c r="S40" s="96" t="e">
        <f t="shared" si="11"/>
        <v>#N/A</v>
      </c>
      <c r="T40" s="96" t="e">
        <f t="shared" si="11"/>
        <v>#N/A</v>
      </c>
    </row>
    <row r="41" spans="1:20" x14ac:dyDescent="0.35">
      <c r="A41" s="40"/>
      <c r="B41" s="92"/>
      <c r="C41" s="92"/>
      <c r="D41" s="92"/>
      <c r="E41" s="92"/>
      <c r="F41" s="92"/>
      <c r="G41" s="92"/>
      <c r="H41" s="92"/>
      <c r="I41" s="92"/>
      <c r="J41" s="92"/>
      <c r="L41" s="40"/>
      <c r="M41" s="92"/>
      <c r="N41" s="92"/>
      <c r="O41" s="92"/>
      <c r="P41" s="92"/>
      <c r="Q41" s="92"/>
      <c r="R41" s="92"/>
      <c r="S41" s="92"/>
      <c r="T41" s="92"/>
    </row>
    <row r="42" spans="1:20" x14ac:dyDescent="0.35">
      <c r="A42" s="40"/>
      <c r="B42" s="92" t="s">
        <v>379</v>
      </c>
      <c r="C42" s="96" t="e">
        <f>VLOOKUP($B42,capacities!$A$2:$J$2352,C$3,FALSE)</f>
        <v>#N/A</v>
      </c>
      <c r="D42" s="96" t="e">
        <f>VLOOKUP($B42,capacities!$A$2:$J$2352,D$3,FALSE)</f>
        <v>#N/A</v>
      </c>
      <c r="E42" s="96" t="e">
        <f>VLOOKUP($B42,capacities!$A$2:$J$2352,E$3,FALSE)</f>
        <v>#N/A</v>
      </c>
      <c r="F42" s="96" t="e">
        <f>VLOOKUP($B42,capacities!$A$2:$J$2352,F$3,FALSE)</f>
        <v>#N/A</v>
      </c>
      <c r="G42" s="96" t="e">
        <f>VLOOKUP($B42,capacities!$A$2:$J$2352,G$3,FALSE)</f>
        <v>#N/A</v>
      </c>
      <c r="H42" s="96" t="e">
        <f>VLOOKUP($B42,capacities!$A$2:$J$2352,H$3,FALSE)</f>
        <v>#N/A</v>
      </c>
      <c r="I42" s="96" t="e">
        <f>VLOOKUP($B42,capacities!$A$2:$J$2352,I$3,FALSE)</f>
        <v>#N/A</v>
      </c>
      <c r="J42" s="96" t="e">
        <f>VLOOKUP($B42,capacities!$A$2:$J$2352,J$3,FALSE)</f>
        <v>#N/A</v>
      </c>
      <c r="L42" s="40" t="s">
        <v>970</v>
      </c>
      <c r="M42" s="96" t="e">
        <f>VLOOKUP($L42,flows!$A$2:$J$4985,M$3,FALSE)</f>
        <v>#N/A</v>
      </c>
      <c r="N42" s="96" t="e">
        <f>VLOOKUP($L42,flows!$A$2:$J$4985,N$3,FALSE)</f>
        <v>#N/A</v>
      </c>
      <c r="O42" s="96" t="e">
        <f>VLOOKUP($L42,flows!$A$2:$J$4985,O$3,FALSE)</f>
        <v>#N/A</v>
      </c>
      <c r="P42" s="96" t="e">
        <f>VLOOKUP($L42,flows!$A$2:$J$4985,P$3,FALSE)</f>
        <v>#N/A</v>
      </c>
      <c r="Q42" s="96" t="e">
        <f>VLOOKUP($L42,flows!$A$2:$J$4985,Q$3,FALSE)</f>
        <v>#N/A</v>
      </c>
      <c r="R42" s="96" t="e">
        <f>VLOOKUP($L42,flows!$A$2:$J$4985,R$3,FALSE)</f>
        <v>#N/A</v>
      </c>
      <c r="S42" s="96" t="e">
        <f>VLOOKUP($L42,flows!$A$2:$J$4985,S$3,FALSE)</f>
        <v>#N/A</v>
      </c>
      <c r="T42" s="96" t="e">
        <f>VLOOKUP($L42,flows!$A$2:$J$4985,T$3,FALSE)</f>
        <v>#N/A</v>
      </c>
    </row>
    <row r="43" spans="1:20" x14ac:dyDescent="0.35">
      <c r="A43" s="40"/>
      <c r="B43" s="92" t="s">
        <v>380</v>
      </c>
      <c r="C43" s="96" t="e">
        <f>VLOOKUP($B43,capacities!$A$2:$J$2352,C$3,FALSE)</f>
        <v>#N/A</v>
      </c>
      <c r="D43" s="96" t="e">
        <f>VLOOKUP($B43,capacities!$A$2:$J$2352,D$3,FALSE)</f>
        <v>#N/A</v>
      </c>
      <c r="E43" s="96" t="e">
        <f>VLOOKUP($B43,capacities!$A$2:$J$2352,E$3,FALSE)</f>
        <v>#N/A</v>
      </c>
      <c r="F43" s="96" t="e">
        <f>VLOOKUP($B43,capacities!$A$2:$J$2352,F$3,FALSE)</f>
        <v>#N/A</v>
      </c>
      <c r="G43" s="96" t="e">
        <f>VLOOKUP($B43,capacities!$A$2:$J$2352,G$3,FALSE)</f>
        <v>#N/A</v>
      </c>
      <c r="H43" s="96" t="e">
        <f>VLOOKUP($B43,capacities!$A$2:$J$2352,H$3,FALSE)</f>
        <v>#N/A</v>
      </c>
      <c r="I43" s="96" t="e">
        <f>VLOOKUP($B43,capacities!$A$2:$J$2352,I$3,FALSE)</f>
        <v>#N/A</v>
      </c>
      <c r="J43" s="96" t="e">
        <f>VLOOKUP($B43,capacities!$A$2:$J$2352,J$3,FALSE)</f>
        <v>#N/A</v>
      </c>
      <c r="L43" s="40" t="s">
        <v>971</v>
      </c>
      <c r="M43" s="96" t="e">
        <f>VLOOKUP($L43,flows!$A$2:$J$4985,M$3,FALSE)</f>
        <v>#N/A</v>
      </c>
      <c r="N43" s="96" t="e">
        <f>VLOOKUP($L43,flows!$A$2:$J$4985,N$3,FALSE)</f>
        <v>#N/A</v>
      </c>
      <c r="O43" s="96" t="e">
        <f>VLOOKUP($L43,flows!$A$2:$J$4985,O$3,FALSE)</f>
        <v>#N/A</v>
      </c>
      <c r="P43" s="96" t="e">
        <f>VLOOKUP($L43,flows!$A$2:$J$4985,P$3,FALSE)</f>
        <v>#N/A</v>
      </c>
      <c r="Q43" s="96" t="e">
        <f>VLOOKUP($L43,flows!$A$2:$J$4985,Q$3,FALSE)</f>
        <v>#N/A</v>
      </c>
      <c r="R43" s="96" t="e">
        <f>VLOOKUP($L43,flows!$A$2:$J$4985,R$3,FALSE)</f>
        <v>#N/A</v>
      </c>
      <c r="S43" s="96" t="e">
        <f>VLOOKUP($L43,flows!$A$2:$J$4985,S$3,FALSE)</f>
        <v>#N/A</v>
      </c>
      <c r="T43" s="96" t="e">
        <f>VLOOKUP($L43,flows!$A$2:$J$4985,T$3,FALSE)</f>
        <v>#N/A</v>
      </c>
    </row>
    <row r="44" spans="1:20" x14ac:dyDescent="0.35">
      <c r="A44" s="40"/>
      <c r="B44" s="102" t="s">
        <v>1431</v>
      </c>
      <c r="C44" s="96" t="e">
        <f>SUM(C42:C43)</f>
        <v>#N/A</v>
      </c>
      <c r="D44" s="96" t="e">
        <f t="shared" ref="D44:J44" si="12">SUM(D42:D43)</f>
        <v>#N/A</v>
      </c>
      <c r="E44" s="96" t="e">
        <f t="shared" si="12"/>
        <v>#N/A</v>
      </c>
      <c r="F44" s="96" t="e">
        <f t="shared" si="12"/>
        <v>#N/A</v>
      </c>
      <c r="G44" s="96" t="e">
        <f t="shared" si="12"/>
        <v>#N/A</v>
      </c>
      <c r="H44" s="96" t="e">
        <f t="shared" si="12"/>
        <v>#N/A</v>
      </c>
      <c r="I44" s="96" t="e">
        <f t="shared" si="12"/>
        <v>#N/A</v>
      </c>
      <c r="J44" s="96" t="e">
        <f t="shared" si="12"/>
        <v>#N/A</v>
      </c>
      <c r="L44" s="40" t="s">
        <v>972</v>
      </c>
      <c r="M44" s="96" t="e">
        <f>VLOOKUP($L44,flows!$A$2:$J$4985,M$3,FALSE)</f>
        <v>#N/A</v>
      </c>
      <c r="N44" s="96" t="e">
        <f>VLOOKUP($L44,flows!$A$2:$J$4985,N$3,FALSE)</f>
        <v>#N/A</v>
      </c>
      <c r="O44" s="96" t="e">
        <f>VLOOKUP($L44,flows!$A$2:$J$4985,O$3,FALSE)</f>
        <v>#N/A</v>
      </c>
      <c r="P44" s="96" t="e">
        <f>VLOOKUP($L44,flows!$A$2:$J$4985,P$3,FALSE)</f>
        <v>#N/A</v>
      </c>
      <c r="Q44" s="96" t="e">
        <f>VLOOKUP($L44,flows!$A$2:$J$4985,Q$3,FALSE)</f>
        <v>#N/A</v>
      </c>
      <c r="R44" s="96" t="e">
        <f>VLOOKUP($L44,flows!$A$2:$J$4985,R$3,FALSE)</f>
        <v>#N/A</v>
      </c>
      <c r="S44" s="96" t="e">
        <f>VLOOKUP($L44,flows!$A$2:$J$4985,S$3,FALSE)</f>
        <v>#N/A</v>
      </c>
      <c r="T44" s="96" t="e">
        <f>VLOOKUP($L44,flows!$A$2:$J$4985,T$3,FALSE)</f>
        <v>#N/A</v>
      </c>
    </row>
    <row r="45" spans="1:20" x14ac:dyDescent="0.35">
      <c r="A45" s="40"/>
      <c r="B45" s="92"/>
      <c r="C45" s="92"/>
      <c r="D45" s="92"/>
      <c r="E45" s="92"/>
      <c r="F45" s="92"/>
      <c r="G45" s="92"/>
      <c r="H45" s="92"/>
      <c r="I45" s="92"/>
      <c r="J45" s="92"/>
      <c r="L45" s="99" t="s">
        <v>1431</v>
      </c>
      <c r="M45" s="96" t="e">
        <f t="shared" ref="M45:T45" si="13">SUM(M42:M44)</f>
        <v>#N/A</v>
      </c>
      <c r="N45" s="96" t="e">
        <f t="shared" si="13"/>
        <v>#N/A</v>
      </c>
      <c r="O45" s="96" t="e">
        <f t="shared" si="13"/>
        <v>#N/A</v>
      </c>
      <c r="P45" s="96" t="e">
        <f t="shared" si="13"/>
        <v>#N/A</v>
      </c>
      <c r="Q45" s="96" t="e">
        <f t="shared" si="13"/>
        <v>#N/A</v>
      </c>
      <c r="R45" s="96" t="e">
        <f t="shared" si="13"/>
        <v>#N/A</v>
      </c>
      <c r="S45" s="96" t="e">
        <f t="shared" si="13"/>
        <v>#N/A</v>
      </c>
      <c r="T45" s="96" t="e">
        <f t="shared" si="13"/>
        <v>#N/A</v>
      </c>
    </row>
    <row r="46" spans="1:20" x14ac:dyDescent="0.35">
      <c r="A46" s="40"/>
      <c r="B46" s="92" t="s">
        <v>391</v>
      </c>
      <c r="C46" s="96" t="e">
        <f>VLOOKUP($B46,capacities!$A$2:$J$2352,C$3,FALSE)</f>
        <v>#N/A</v>
      </c>
      <c r="D46" s="96" t="e">
        <f>VLOOKUP($B46,capacities!$A$2:$J$2352,D$3,FALSE)</f>
        <v>#N/A</v>
      </c>
      <c r="E46" s="96" t="e">
        <f>VLOOKUP($B46,capacities!$A$2:$J$2352,E$3,FALSE)</f>
        <v>#N/A</v>
      </c>
      <c r="F46" s="96" t="e">
        <f>VLOOKUP($B46,capacities!$A$2:$J$2352,F$3,FALSE)</f>
        <v>#N/A</v>
      </c>
      <c r="G46" s="96" t="e">
        <f>VLOOKUP($B46,capacities!$A$2:$J$2352,G$3,FALSE)</f>
        <v>#N/A</v>
      </c>
      <c r="H46" s="96" t="e">
        <f>VLOOKUP($B46,capacities!$A$2:$J$2352,H$3,FALSE)</f>
        <v>#N/A</v>
      </c>
      <c r="I46" s="96" t="e">
        <f>VLOOKUP($B46,capacities!$A$2:$J$2352,I$3,FALSE)</f>
        <v>#N/A</v>
      </c>
      <c r="J46" s="96" t="e">
        <f>VLOOKUP($B46,capacities!$A$2:$J$2352,J$3,FALSE)</f>
        <v>#N/A</v>
      </c>
      <c r="L46" s="40"/>
      <c r="M46" s="92"/>
      <c r="N46" s="92"/>
      <c r="O46" s="92"/>
      <c r="P46" s="92"/>
      <c r="Q46" s="92"/>
      <c r="R46" s="92"/>
      <c r="S46" s="92"/>
      <c r="T46" s="92"/>
    </row>
    <row r="47" spans="1:20" x14ac:dyDescent="0.35">
      <c r="A47" s="40"/>
      <c r="B47" s="92" t="s">
        <v>392</v>
      </c>
      <c r="C47" s="96" t="e">
        <f>VLOOKUP($B47,capacities!$A$2:$J$2352,C$3,FALSE)</f>
        <v>#N/A</v>
      </c>
      <c r="D47" s="96" t="e">
        <f>VLOOKUP($B47,capacities!$A$2:$J$2352,D$3,FALSE)</f>
        <v>#N/A</v>
      </c>
      <c r="E47" s="96" t="e">
        <f>VLOOKUP($B47,capacities!$A$2:$J$2352,E$3,FALSE)</f>
        <v>#N/A</v>
      </c>
      <c r="F47" s="96" t="e">
        <f>VLOOKUP($B47,capacities!$A$2:$J$2352,F$3,FALSE)</f>
        <v>#N/A</v>
      </c>
      <c r="G47" s="96" t="e">
        <f>VLOOKUP($B47,capacities!$A$2:$J$2352,G$3,FALSE)</f>
        <v>#N/A</v>
      </c>
      <c r="H47" s="96" t="e">
        <f>VLOOKUP($B47,capacities!$A$2:$J$2352,H$3,FALSE)</f>
        <v>#N/A</v>
      </c>
      <c r="I47" s="96" t="e">
        <f>VLOOKUP($B47,capacities!$A$2:$J$2352,I$3,FALSE)</f>
        <v>#N/A</v>
      </c>
      <c r="J47" s="96" t="e">
        <f>VLOOKUP($B47,capacities!$A$2:$J$2352,J$3,FALSE)</f>
        <v>#N/A</v>
      </c>
      <c r="L47" s="40" t="s">
        <v>983</v>
      </c>
      <c r="M47" s="96" t="e">
        <f>VLOOKUP($L47,flows!$A$2:$J$4985,M$3,FALSE)</f>
        <v>#N/A</v>
      </c>
      <c r="N47" s="96" t="e">
        <f>VLOOKUP($L47,flows!$A$2:$J$4985,N$3,FALSE)</f>
        <v>#N/A</v>
      </c>
      <c r="O47" s="96" t="e">
        <f>VLOOKUP($L47,flows!$A$2:$J$4985,O$3,FALSE)</f>
        <v>#N/A</v>
      </c>
      <c r="P47" s="96" t="e">
        <f>VLOOKUP($L47,flows!$A$2:$J$4985,P$3,FALSE)</f>
        <v>#N/A</v>
      </c>
      <c r="Q47" s="96" t="e">
        <f>VLOOKUP($L47,flows!$A$2:$J$4985,Q$3,FALSE)</f>
        <v>#N/A</v>
      </c>
      <c r="R47" s="96" t="e">
        <f>VLOOKUP($L47,flows!$A$2:$J$4985,R$3,FALSE)</f>
        <v>#N/A</v>
      </c>
      <c r="S47" s="96" t="e">
        <f>VLOOKUP($L47,flows!$A$2:$J$4985,S$3,FALSE)</f>
        <v>#N/A</v>
      </c>
      <c r="T47" s="96" t="e">
        <f>VLOOKUP($L47,flows!$A$2:$J$4985,T$3,FALSE)</f>
        <v>#N/A</v>
      </c>
    </row>
    <row r="48" spans="1:20" x14ac:dyDescent="0.35">
      <c r="A48" s="40"/>
      <c r="B48" s="92" t="s">
        <v>393</v>
      </c>
      <c r="C48" s="96" t="e">
        <f>VLOOKUP($B48,capacities!$A$2:$J$2352,C$3,FALSE)</f>
        <v>#N/A</v>
      </c>
      <c r="D48" s="96" t="e">
        <f>VLOOKUP($B48,capacities!$A$2:$J$2352,D$3,FALSE)</f>
        <v>#N/A</v>
      </c>
      <c r="E48" s="96" t="e">
        <f>VLOOKUP($B48,capacities!$A$2:$J$2352,E$3,FALSE)</f>
        <v>#N/A</v>
      </c>
      <c r="F48" s="96" t="e">
        <f>VLOOKUP($B48,capacities!$A$2:$J$2352,F$3,FALSE)</f>
        <v>#N/A</v>
      </c>
      <c r="G48" s="96" t="e">
        <f>VLOOKUP($B48,capacities!$A$2:$J$2352,G$3,FALSE)</f>
        <v>#N/A</v>
      </c>
      <c r="H48" s="96" t="e">
        <f>VLOOKUP($B48,capacities!$A$2:$J$2352,H$3,FALSE)</f>
        <v>#N/A</v>
      </c>
      <c r="I48" s="96" t="e">
        <f>VLOOKUP($B48,capacities!$A$2:$J$2352,I$3,FALSE)</f>
        <v>#N/A</v>
      </c>
      <c r="J48" s="96" t="e">
        <f>VLOOKUP($B48,capacities!$A$2:$J$2352,J$3,FALSE)</f>
        <v>#N/A</v>
      </c>
      <c r="L48" s="40" t="s">
        <v>984</v>
      </c>
      <c r="M48" s="96" t="e">
        <f>VLOOKUP($L48,flows!$A$2:$J$4985,M$3,FALSE)</f>
        <v>#N/A</v>
      </c>
      <c r="N48" s="96" t="e">
        <f>VLOOKUP($L48,flows!$A$2:$J$4985,N$3,FALSE)</f>
        <v>#N/A</v>
      </c>
      <c r="O48" s="96" t="e">
        <f>VLOOKUP($L48,flows!$A$2:$J$4985,O$3,FALSE)</f>
        <v>#N/A</v>
      </c>
      <c r="P48" s="96" t="e">
        <f>VLOOKUP($L48,flows!$A$2:$J$4985,P$3,FALSE)</f>
        <v>#N/A</v>
      </c>
      <c r="Q48" s="96" t="e">
        <f>VLOOKUP($L48,flows!$A$2:$J$4985,Q$3,FALSE)</f>
        <v>#N/A</v>
      </c>
      <c r="R48" s="96" t="e">
        <f>VLOOKUP($L48,flows!$A$2:$J$4985,R$3,FALSE)</f>
        <v>#N/A</v>
      </c>
      <c r="S48" s="96" t="e">
        <f>VLOOKUP($L48,flows!$A$2:$J$4985,S$3,FALSE)</f>
        <v>#N/A</v>
      </c>
      <c r="T48" s="96" t="e">
        <f>VLOOKUP($L48,flows!$A$2:$J$4985,T$3,FALSE)</f>
        <v>#N/A</v>
      </c>
    </row>
    <row r="49" spans="1:20" x14ac:dyDescent="0.35">
      <c r="A49" s="40"/>
      <c r="B49" s="92" t="s">
        <v>394</v>
      </c>
      <c r="C49" s="96" t="e">
        <f>VLOOKUP($B49,capacities!$A$2:$J$2352,C$3,FALSE)</f>
        <v>#N/A</v>
      </c>
      <c r="D49" s="96" t="e">
        <f>VLOOKUP($B49,capacities!$A$2:$J$2352,D$3,FALSE)</f>
        <v>#N/A</v>
      </c>
      <c r="E49" s="96" t="e">
        <f>VLOOKUP($B49,capacities!$A$2:$J$2352,E$3,FALSE)</f>
        <v>#N/A</v>
      </c>
      <c r="F49" s="96" t="e">
        <f>VLOOKUP($B49,capacities!$A$2:$J$2352,F$3,FALSE)</f>
        <v>#N/A</v>
      </c>
      <c r="G49" s="96" t="e">
        <f>VLOOKUP($B49,capacities!$A$2:$J$2352,G$3,FALSE)</f>
        <v>#N/A</v>
      </c>
      <c r="H49" s="96" t="e">
        <f>VLOOKUP($B49,capacities!$A$2:$J$2352,H$3,FALSE)</f>
        <v>#N/A</v>
      </c>
      <c r="I49" s="96" t="e">
        <f>VLOOKUP($B49,capacities!$A$2:$J$2352,I$3,FALSE)</f>
        <v>#N/A</v>
      </c>
      <c r="J49" s="96" t="e">
        <f>VLOOKUP($B49,capacities!$A$2:$J$2352,J$3,FALSE)</f>
        <v>#N/A</v>
      </c>
      <c r="L49" s="40" t="s">
        <v>985</v>
      </c>
      <c r="M49" s="96" t="e">
        <f>VLOOKUP($L49,flows!$A$2:$J$4985,M$3,FALSE)</f>
        <v>#N/A</v>
      </c>
      <c r="N49" s="96" t="e">
        <f>VLOOKUP($L49,flows!$A$2:$J$4985,N$3,FALSE)</f>
        <v>#N/A</v>
      </c>
      <c r="O49" s="96" t="e">
        <f>VLOOKUP($L49,flows!$A$2:$J$4985,O$3,FALSE)</f>
        <v>#N/A</v>
      </c>
      <c r="P49" s="96" t="e">
        <f>VLOOKUP($L49,flows!$A$2:$J$4985,P$3,FALSE)</f>
        <v>#N/A</v>
      </c>
      <c r="Q49" s="96" t="e">
        <f>VLOOKUP($L49,flows!$A$2:$J$4985,Q$3,FALSE)</f>
        <v>#N/A</v>
      </c>
      <c r="R49" s="96" t="e">
        <f>VLOOKUP($L49,flows!$A$2:$J$4985,R$3,FALSE)</f>
        <v>#N/A</v>
      </c>
      <c r="S49" s="96" t="e">
        <f>VLOOKUP($L49,flows!$A$2:$J$4985,S$3,FALSE)</f>
        <v>#N/A</v>
      </c>
      <c r="T49" s="96" t="e">
        <f>VLOOKUP($L49,flows!$A$2:$J$4985,T$3,FALSE)</f>
        <v>#N/A</v>
      </c>
    </row>
    <row r="50" spans="1:20" x14ac:dyDescent="0.35">
      <c r="A50" s="40"/>
      <c r="B50" s="92" t="s">
        <v>395</v>
      </c>
      <c r="C50" s="96" t="e">
        <f>VLOOKUP($B50,capacities!$A$2:$J$2352,C$3,FALSE)</f>
        <v>#N/A</v>
      </c>
      <c r="D50" s="96" t="e">
        <f>VLOOKUP($B50,capacities!$A$2:$J$2352,D$3,FALSE)</f>
        <v>#N/A</v>
      </c>
      <c r="E50" s="96" t="e">
        <f>VLOOKUP($B50,capacities!$A$2:$J$2352,E$3,FALSE)</f>
        <v>#N/A</v>
      </c>
      <c r="F50" s="96" t="e">
        <f>VLOOKUP($B50,capacities!$A$2:$J$2352,F$3,FALSE)</f>
        <v>#N/A</v>
      </c>
      <c r="G50" s="96" t="e">
        <f>VLOOKUP($B50,capacities!$A$2:$J$2352,G$3,FALSE)</f>
        <v>#N/A</v>
      </c>
      <c r="H50" s="96" t="e">
        <f>VLOOKUP($B50,capacities!$A$2:$J$2352,H$3,FALSE)</f>
        <v>#N/A</v>
      </c>
      <c r="I50" s="96" t="e">
        <f>VLOOKUP($B50,capacities!$A$2:$J$2352,I$3,FALSE)</f>
        <v>#N/A</v>
      </c>
      <c r="J50" s="96" t="e">
        <f>VLOOKUP($B50,capacities!$A$2:$J$2352,J$3,FALSE)</f>
        <v>#N/A</v>
      </c>
      <c r="L50" s="40" t="s">
        <v>986</v>
      </c>
      <c r="M50" s="96" t="e">
        <f>VLOOKUP($L50,flows!$A$2:$J$4985,M$3,FALSE)</f>
        <v>#N/A</v>
      </c>
      <c r="N50" s="96" t="e">
        <f>VLOOKUP($L50,flows!$A$2:$J$4985,N$3,FALSE)</f>
        <v>#N/A</v>
      </c>
      <c r="O50" s="96" t="e">
        <f>VLOOKUP($L50,flows!$A$2:$J$4985,O$3,FALSE)</f>
        <v>#N/A</v>
      </c>
      <c r="P50" s="96" t="e">
        <f>VLOOKUP($L50,flows!$A$2:$J$4985,P$3,FALSE)</f>
        <v>#N/A</v>
      </c>
      <c r="Q50" s="96" t="e">
        <f>VLOOKUP($L50,flows!$A$2:$J$4985,Q$3,FALSE)</f>
        <v>#N/A</v>
      </c>
      <c r="R50" s="96" t="e">
        <f>VLOOKUP($L50,flows!$A$2:$J$4985,R$3,FALSE)</f>
        <v>#N/A</v>
      </c>
      <c r="S50" s="96" t="e">
        <f>VLOOKUP($L50,flows!$A$2:$J$4985,S$3,FALSE)</f>
        <v>#N/A</v>
      </c>
      <c r="T50" s="96" t="e">
        <f>VLOOKUP($L50,flows!$A$2:$J$4985,T$3,FALSE)</f>
        <v>#N/A</v>
      </c>
    </row>
    <row r="51" spans="1:20" x14ac:dyDescent="0.35">
      <c r="A51" s="40"/>
      <c r="B51" s="92" t="s">
        <v>396</v>
      </c>
      <c r="C51" s="96" t="e">
        <f>VLOOKUP($B51,capacities!$A$2:$J$2352,C$3,FALSE)</f>
        <v>#N/A</v>
      </c>
      <c r="D51" s="96" t="e">
        <f>VLOOKUP($B51,capacities!$A$2:$J$2352,D$3,FALSE)</f>
        <v>#N/A</v>
      </c>
      <c r="E51" s="96" t="e">
        <f>VLOOKUP($B51,capacities!$A$2:$J$2352,E$3,FALSE)</f>
        <v>#N/A</v>
      </c>
      <c r="F51" s="96" t="e">
        <f>VLOOKUP($B51,capacities!$A$2:$J$2352,F$3,FALSE)</f>
        <v>#N/A</v>
      </c>
      <c r="G51" s="96" t="e">
        <f>VLOOKUP($B51,capacities!$A$2:$J$2352,G$3,FALSE)</f>
        <v>#N/A</v>
      </c>
      <c r="H51" s="96" t="e">
        <f>VLOOKUP($B51,capacities!$A$2:$J$2352,H$3,FALSE)</f>
        <v>#N/A</v>
      </c>
      <c r="I51" s="96" t="e">
        <f>VLOOKUP($B51,capacities!$A$2:$J$2352,I$3,FALSE)</f>
        <v>#N/A</v>
      </c>
      <c r="J51" s="96" t="e">
        <f>VLOOKUP($B51,capacities!$A$2:$J$2352,J$3,FALSE)</f>
        <v>#N/A</v>
      </c>
      <c r="L51" s="40" t="s">
        <v>987</v>
      </c>
      <c r="M51" s="96" t="e">
        <f>VLOOKUP($L51,flows!$A$2:$J$4985,M$3,FALSE)</f>
        <v>#N/A</v>
      </c>
      <c r="N51" s="96" t="e">
        <f>VLOOKUP($L51,flows!$A$2:$J$4985,N$3,FALSE)</f>
        <v>#N/A</v>
      </c>
      <c r="O51" s="96" t="e">
        <f>VLOOKUP($L51,flows!$A$2:$J$4985,O$3,FALSE)</f>
        <v>#N/A</v>
      </c>
      <c r="P51" s="96" t="e">
        <f>VLOOKUP($L51,flows!$A$2:$J$4985,P$3,FALSE)</f>
        <v>#N/A</v>
      </c>
      <c r="Q51" s="96" t="e">
        <f>VLOOKUP($L51,flows!$A$2:$J$4985,Q$3,FALSE)</f>
        <v>#N/A</v>
      </c>
      <c r="R51" s="96" t="e">
        <f>VLOOKUP($L51,flows!$A$2:$J$4985,R$3,FALSE)</f>
        <v>#N/A</v>
      </c>
      <c r="S51" s="96" t="e">
        <f>VLOOKUP($L51,flows!$A$2:$J$4985,S$3,FALSE)</f>
        <v>#N/A</v>
      </c>
      <c r="T51" s="96" t="e">
        <f>VLOOKUP($L51,flows!$A$2:$J$4985,T$3,FALSE)</f>
        <v>#N/A</v>
      </c>
    </row>
    <row r="52" spans="1:20" x14ac:dyDescent="0.35">
      <c r="A52" s="40"/>
      <c r="B52" s="92" t="s">
        <v>397</v>
      </c>
      <c r="C52" s="96" t="e">
        <f>VLOOKUP($B52,capacities!$A$2:$J$2352,C$3,FALSE)</f>
        <v>#N/A</v>
      </c>
      <c r="D52" s="96" t="e">
        <f>VLOOKUP($B52,capacities!$A$2:$J$2352,D$3,FALSE)</f>
        <v>#N/A</v>
      </c>
      <c r="E52" s="96" t="e">
        <f>VLOOKUP($B52,capacities!$A$2:$J$2352,E$3,FALSE)</f>
        <v>#N/A</v>
      </c>
      <c r="F52" s="96" t="e">
        <f>VLOOKUP($B52,capacities!$A$2:$J$2352,F$3,FALSE)</f>
        <v>#N/A</v>
      </c>
      <c r="G52" s="96" t="e">
        <f>VLOOKUP($B52,capacities!$A$2:$J$2352,G$3,FALSE)</f>
        <v>#N/A</v>
      </c>
      <c r="H52" s="96" t="e">
        <f>VLOOKUP($B52,capacities!$A$2:$J$2352,H$3,FALSE)</f>
        <v>#N/A</v>
      </c>
      <c r="I52" s="96" t="e">
        <f>VLOOKUP($B52,capacities!$A$2:$J$2352,I$3,FALSE)</f>
        <v>#N/A</v>
      </c>
      <c r="J52" s="96" t="e">
        <f>VLOOKUP($B52,capacities!$A$2:$J$2352,J$3,FALSE)</f>
        <v>#N/A</v>
      </c>
      <c r="L52" s="40" t="s">
        <v>988</v>
      </c>
      <c r="M52" s="96" t="e">
        <f>VLOOKUP($L52,flows!$A$2:$J$4985,M$3,FALSE)</f>
        <v>#N/A</v>
      </c>
      <c r="N52" s="96" t="e">
        <f>VLOOKUP($L52,flows!$A$2:$J$4985,N$3,FALSE)</f>
        <v>#N/A</v>
      </c>
      <c r="O52" s="96" t="e">
        <f>VLOOKUP($L52,flows!$A$2:$J$4985,O$3,FALSE)</f>
        <v>#N/A</v>
      </c>
      <c r="P52" s="96" t="e">
        <f>VLOOKUP($L52,flows!$A$2:$J$4985,P$3,FALSE)</f>
        <v>#N/A</v>
      </c>
      <c r="Q52" s="96" t="e">
        <f>VLOOKUP($L52,flows!$A$2:$J$4985,Q$3,FALSE)</f>
        <v>#N/A</v>
      </c>
      <c r="R52" s="96" t="e">
        <f>VLOOKUP($L52,flows!$A$2:$J$4985,R$3,FALSE)</f>
        <v>#N/A</v>
      </c>
      <c r="S52" s="96" t="e">
        <f>VLOOKUP($L52,flows!$A$2:$J$4985,S$3,FALSE)</f>
        <v>#N/A</v>
      </c>
      <c r="T52" s="96" t="e">
        <f>VLOOKUP($L52,flows!$A$2:$J$4985,T$3,FALSE)</f>
        <v>#N/A</v>
      </c>
    </row>
    <row r="53" spans="1:20" x14ac:dyDescent="0.35">
      <c r="A53" s="40"/>
      <c r="B53" s="102" t="s">
        <v>1428</v>
      </c>
      <c r="C53" s="96" t="e">
        <f>SUM(C46:C52)</f>
        <v>#N/A</v>
      </c>
      <c r="D53" s="96" t="e">
        <f t="shared" ref="D53:J53" si="14">SUM(D46:D52)</f>
        <v>#N/A</v>
      </c>
      <c r="E53" s="96" t="e">
        <f t="shared" si="14"/>
        <v>#N/A</v>
      </c>
      <c r="F53" s="96" t="e">
        <f t="shared" si="14"/>
        <v>#N/A</v>
      </c>
      <c r="G53" s="96" t="e">
        <f t="shared" si="14"/>
        <v>#N/A</v>
      </c>
      <c r="H53" s="96" t="e">
        <f t="shared" si="14"/>
        <v>#N/A</v>
      </c>
      <c r="I53" s="96" t="e">
        <f t="shared" si="14"/>
        <v>#N/A</v>
      </c>
      <c r="J53" s="96" t="e">
        <f t="shared" si="14"/>
        <v>#N/A</v>
      </c>
      <c r="L53" s="40" t="s">
        <v>989</v>
      </c>
      <c r="M53" s="96" t="e">
        <f>VLOOKUP($L53,flows!$A$2:$J$4985,M$3,FALSE)</f>
        <v>#N/A</v>
      </c>
      <c r="N53" s="96" t="e">
        <f>VLOOKUP($L53,flows!$A$2:$J$4985,N$3,FALSE)</f>
        <v>#N/A</v>
      </c>
      <c r="O53" s="96" t="e">
        <f>VLOOKUP($L53,flows!$A$2:$J$4985,O$3,FALSE)</f>
        <v>#N/A</v>
      </c>
      <c r="P53" s="96" t="e">
        <f>VLOOKUP($L53,flows!$A$2:$J$4985,P$3,FALSE)</f>
        <v>#N/A</v>
      </c>
      <c r="Q53" s="96" t="e">
        <f>VLOOKUP($L53,flows!$A$2:$J$4985,Q$3,FALSE)</f>
        <v>#N/A</v>
      </c>
      <c r="R53" s="96" t="e">
        <f>VLOOKUP($L53,flows!$A$2:$J$4985,R$3,FALSE)</f>
        <v>#N/A</v>
      </c>
      <c r="S53" s="96" t="e">
        <f>VLOOKUP($L53,flows!$A$2:$J$4985,S$3,FALSE)</f>
        <v>#N/A</v>
      </c>
      <c r="T53" s="96" t="e">
        <f>VLOOKUP($L53,flows!$A$2:$J$4985,T$3,FALSE)</f>
        <v>#N/A</v>
      </c>
    </row>
    <row r="54" spans="1:20" x14ac:dyDescent="0.35">
      <c r="A54" s="40"/>
      <c r="B54" s="92"/>
      <c r="C54" s="92"/>
      <c r="D54" s="92"/>
      <c r="E54" s="92"/>
      <c r="F54" s="92"/>
      <c r="G54" s="92"/>
      <c r="H54" s="92"/>
      <c r="I54" s="92"/>
      <c r="J54" s="92"/>
      <c r="L54" s="40" t="s">
        <v>990</v>
      </c>
      <c r="M54" s="96" t="e">
        <f>VLOOKUP($L54,flows!$A$2:$J$4985,M$3,FALSE)</f>
        <v>#N/A</v>
      </c>
      <c r="N54" s="96" t="e">
        <f>VLOOKUP($L54,flows!$A$2:$J$4985,N$3,FALSE)</f>
        <v>#N/A</v>
      </c>
      <c r="O54" s="96" t="e">
        <f>VLOOKUP($L54,flows!$A$2:$J$4985,O$3,FALSE)</f>
        <v>#N/A</v>
      </c>
      <c r="P54" s="96" t="e">
        <f>VLOOKUP($L54,flows!$A$2:$J$4985,P$3,FALSE)</f>
        <v>#N/A</v>
      </c>
      <c r="Q54" s="96" t="e">
        <f>VLOOKUP($L54,flows!$A$2:$J$4985,Q$3,FALSE)</f>
        <v>#N/A</v>
      </c>
      <c r="R54" s="96" t="e">
        <f>VLOOKUP($L54,flows!$A$2:$J$4985,R$3,FALSE)</f>
        <v>#N/A</v>
      </c>
      <c r="S54" s="96" t="e">
        <f>VLOOKUP($L54,flows!$A$2:$J$4985,S$3,FALSE)</f>
        <v>#N/A</v>
      </c>
      <c r="T54" s="96" t="e">
        <f>VLOOKUP($L54,flows!$A$2:$J$4985,T$3,FALSE)</f>
        <v>#N/A</v>
      </c>
    </row>
    <row r="55" spans="1:20" x14ac:dyDescent="0.35">
      <c r="A55" s="40" t="s">
        <v>324</v>
      </c>
      <c r="B55" s="102" t="s">
        <v>1427</v>
      </c>
      <c r="C55" s="96" t="e">
        <f>VLOOKUP($A55,capacities!$A$2:$J$2352,C$3,FALSE)</f>
        <v>#N/A</v>
      </c>
      <c r="D55" s="96" t="e">
        <f>VLOOKUP($A55,capacities!$A$2:$J$2352,D$3,FALSE)</f>
        <v>#N/A</v>
      </c>
      <c r="E55" s="96" t="e">
        <f>VLOOKUP($A55,capacities!$A$2:$J$2352,E$3,FALSE)</f>
        <v>#N/A</v>
      </c>
      <c r="F55" s="96" t="e">
        <f>VLOOKUP($A55,capacities!$A$2:$J$2352,F$3,FALSE)</f>
        <v>#N/A</v>
      </c>
      <c r="G55" s="96" t="e">
        <f>VLOOKUP($A55,capacities!$A$2:$J$2352,G$3,FALSE)</f>
        <v>#N/A</v>
      </c>
      <c r="H55" s="96" t="e">
        <f>VLOOKUP($A55,capacities!$A$2:$J$2352,H$3,FALSE)</f>
        <v>#N/A</v>
      </c>
      <c r="I55" s="96" t="e">
        <f>VLOOKUP($A55,capacities!$A$2:$J$2352,I$3,FALSE)</f>
        <v>#N/A</v>
      </c>
      <c r="J55" s="96" t="e">
        <f>VLOOKUP($A55,capacities!$A$2:$J$2352,J$3,FALSE)</f>
        <v>#N/A</v>
      </c>
      <c r="L55" s="40" t="s">
        <v>991</v>
      </c>
      <c r="M55" s="96" t="e">
        <f>VLOOKUP($L55,flows!$A$2:$J$4985,M$3,FALSE)</f>
        <v>#N/A</v>
      </c>
      <c r="N55" s="96" t="e">
        <f>VLOOKUP($L55,flows!$A$2:$J$4985,N$3,FALSE)</f>
        <v>#N/A</v>
      </c>
      <c r="O55" s="96" t="e">
        <f>VLOOKUP($L55,flows!$A$2:$J$4985,O$3,FALSE)</f>
        <v>#N/A</v>
      </c>
      <c r="P55" s="96" t="e">
        <f>VLOOKUP($L55,flows!$A$2:$J$4985,P$3,FALSE)</f>
        <v>#N/A</v>
      </c>
      <c r="Q55" s="96" t="e">
        <f>VLOOKUP($L55,flows!$A$2:$J$4985,Q$3,FALSE)</f>
        <v>#N/A</v>
      </c>
      <c r="R55" s="96" t="e">
        <f>VLOOKUP($L55,flows!$A$2:$J$4985,R$3,FALSE)</f>
        <v>#N/A</v>
      </c>
      <c r="S55" s="96" t="e">
        <f>VLOOKUP($L55,flows!$A$2:$J$4985,S$3,FALSE)</f>
        <v>#N/A</v>
      </c>
      <c r="T55" s="96" t="e">
        <f>VLOOKUP($L55,flows!$A$2:$J$4985,T$3,FALSE)</f>
        <v>#N/A</v>
      </c>
    </row>
    <row r="56" spans="1:20" x14ac:dyDescent="0.35">
      <c r="A56" s="40"/>
      <c r="B56" s="92"/>
      <c r="C56" s="92"/>
      <c r="D56" s="92"/>
      <c r="E56" s="92"/>
      <c r="F56" s="92"/>
      <c r="G56" s="92"/>
      <c r="H56" s="92"/>
      <c r="I56" s="92"/>
      <c r="J56" s="92"/>
      <c r="L56" s="40" t="s">
        <v>992</v>
      </c>
      <c r="M56" s="96" t="e">
        <f>VLOOKUP($L56,flows!$A$2:$J$4985,M$3,FALSE)</f>
        <v>#N/A</v>
      </c>
      <c r="N56" s="96" t="e">
        <f>VLOOKUP($L56,flows!$A$2:$J$4985,N$3,FALSE)</f>
        <v>#N/A</v>
      </c>
      <c r="O56" s="96" t="e">
        <f>VLOOKUP($L56,flows!$A$2:$J$4985,O$3,FALSE)</f>
        <v>#N/A</v>
      </c>
      <c r="P56" s="96" t="e">
        <f>VLOOKUP($L56,flows!$A$2:$J$4985,P$3,FALSE)</f>
        <v>#N/A</v>
      </c>
      <c r="Q56" s="96" t="e">
        <f>VLOOKUP($L56,flows!$A$2:$J$4985,Q$3,FALSE)</f>
        <v>#N/A</v>
      </c>
      <c r="R56" s="96" t="e">
        <f>VLOOKUP($L56,flows!$A$2:$J$4985,R$3,FALSE)</f>
        <v>#N/A</v>
      </c>
      <c r="S56" s="96" t="e">
        <f>VLOOKUP($L56,flows!$A$2:$J$4985,S$3,FALSE)</f>
        <v>#N/A</v>
      </c>
      <c r="T56" s="96" t="e">
        <f>VLOOKUP($L56,flows!$A$2:$J$4985,T$3,FALSE)</f>
        <v>#N/A</v>
      </c>
    </row>
    <row r="57" spans="1:20" x14ac:dyDescent="0.35">
      <c r="A57" s="40"/>
      <c r="B57" s="137"/>
      <c r="C57" s="96"/>
      <c r="D57" s="96"/>
      <c r="E57" s="96"/>
      <c r="F57" s="96"/>
      <c r="G57" s="96"/>
      <c r="H57" s="96"/>
      <c r="I57" s="96"/>
      <c r="J57" s="96"/>
      <c r="L57" s="40" t="s">
        <v>993</v>
      </c>
      <c r="M57" s="96" t="e">
        <f>VLOOKUP($L57,flows!$A$2:$J$4985,M$3,FALSE)</f>
        <v>#N/A</v>
      </c>
      <c r="N57" s="96" t="e">
        <f>VLOOKUP($L57,flows!$A$2:$J$4985,N$3,FALSE)</f>
        <v>#N/A</v>
      </c>
      <c r="O57" s="96" t="e">
        <f>VLOOKUP($L57,flows!$A$2:$J$4985,O$3,FALSE)</f>
        <v>#N/A</v>
      </c>
      <c r="P57" s="96" t="e">
        <f>VLOOKUP($L57,flows!$A$2:$J$4985,P$3,FALSE)</f>
        <v>#N/A</v>
      </c>
      <c r="Q57" s="96" t="e">
        <f>VLOOKUP($L57,flows!$A$2:$J$4985,Q$3,FALSE)</f>
        <v>#N/A</v>
      </c>
      <c r="R57" s="96" t="e">
        <f>VLOOKUP($L57,flows!$A$2:$J$4985,R$3,FALSE)</f>
        <v>#N/A</v>
      </c>
      <c r="S57" s="96" t="e">
        <f>VLOOKUP($L57,flows!$A$2:$J$4985,S$3,FALSE)</f>
        <v>#N/A</v>
      </c>
      <c r="T57" s="96" t="e">
        <f>VLOOKUP($L57,flows!$A$2:$J$4985,T$3,FALSE)</f>
        <v>#N/A</v>
      </c>
    </row>
    <row r="58" spans="1:20" x14ac:dyDescent="0.35">
      <c r="A58" s="40"/>
      <c r="B58" s="137"/>
      <c r="C58" s="96"/>
      <c r="D58" s="96"/>
      <c r="E58" s="96"/>
      <c r="F58" s="96"/>
      <c r="G58" s="96"/>
      <c r="H58" s="96"/>
      <c r="I58" s="96"/>
      <c r="J58" s="96"/>
      <c r="L58" s="40" t="s">
        <v>994</v>
      </c>
      <c r="M58" s="96" t="e">
        <f>VLOOKUP($L58,flows!$A$2:$J$4985,M$3,FALSE)</f>
        <v>#N/A</v>
      </c>
      <c r="N58" s="96" t="e">
        <f>VLOOKUP($L58,flows!$A$2:$J$4985,N$3,FALSE)</f>
        <v>#N/A</v>
      </c>
      <c r="O58" s="96" t="e">
        <f>VLOOKUP($L58,flows!$A$2:$J$4985,O$3,FALSE)</f>
        <v>#N/A</v>
      </c>
      <c r="P58" s="96" t="e">
        <f>VLOOKUP($L58,flows!$A$2:$J$4985,P$3,FALSE)</f>
        <v>#N/A</v>
      </c>
      <c r="Q58" s="96" t="e">
        <f>VLOOKUP($L58,flows!$A$2:$J$4985,Q$3,FALSE)</f>
        <v>#N/A</v>
      </c>
      <c r="R58" s="96" t="e">
        <f>VLOOKUP($L58,flows!$A$2:$J$4985,R$3,FALSE)</f>
        <v>#N/A</v>
      </c>
      <c r="S58" s="96" t="e">
        <f>VLOOKUP($L58,flows!$A$2:$J$4985,S$3,FALSE)</f>
        <v>#N/A</v>
      </c>
      <c r="T58" s="96" t="e">
        <f>VLOOKUP($L58,flows!$A$2:$J$4985,T$3,FALSE)</f>
        <v>#N/A</v>
      </c>
    </row>
    <row r="59" spans="1:20" x14ac:dyDescent="0.35">
      <c r="A59" s="40"/>
      <c r="B59" s="92"/>
      <c r="C59" s="92"/>
      <c r="D59" s="92"/>
      <c r="E59" s="92"/>
      <c r="F59" s="92"/>
      <c r="G59" s="92"/>
      <c r="H59" s="92"/>
      <c r="I59" s="92"/>
      <c r="J59" s="92"/>
      <c r="L59" s="99" t="s">
        <v>1428</v>
      </c>
      <c r="M59" s="96" t="e">
        <f t="shared" ref="M59:T59" si="15">SUM(M47:M58)</f>
        <v>#N/A</v>
      </c>
      <c r="N59" s="96" t="e">
        <f t="shared" si="15"/>
        <v>#N/A</v>
      </c>
      <c r="O59" s="96" t="e">
        <f t="shared" si="15"/>
        <v>#N/A</v>
      </c>
      <c r="P59" s="96" t="e">
        <f t="shared" si="15"/>
        <v>#N/A</v>
      </c>
      <c r="Q59" s="96" t="e">
        <f t="shared" si="15"/>
        <v>#N/A</v>
      </c>
      <c r="R59" s="96" t="e">
        <f t="shared" si="15"/>
        <v>#N/A</v>
      </c>
      <c r="S59" s="96" t="e">
        <f t="shared" si="15"/>
        <v>#N/A</v>
      </c>
      <c r="T59" s="96" t="e">
        <f t="shared" si="15"/>
        <v>#N/A</v>
      </c>
    </row>
    <row r="60" spans="1:20" x14ac:dyDescent="0.35">
      <c r="A60" s="40"/>
      <c r="B60" s="92" t="s">
        <v>512</v>
      </c>
      <c r="C60" s="96" t="e">
        <f>VLOOKUP($B60,capacities!$A$2:$J$2352,C$3,FALSE)</f>
        <v>#N/A</v>
      </c>
      <c r="D60" s="96" t="e">
        <f>VLOOKUP($B60,capacities!$A$2:$J$2352,D$3,FALSE)</f>
        <v>#N/A</v>
      </c>
      <c r="E60" s="96" t="e">
        <f>VLOOKUP($B60,capacities!$A$2:$J$2352,E$3,FALSE)</f>
        <v>#N/A</v>
      </c>
      <c r="F60" s="96" t="e">
        <f>VLOOKUP($B60,capacities!$A$2:$J$2352,F$3,FALSE)</f>
        <v>#N/A</v>
      </c>
      <c r="G60" s="96" t="e">
        <f>VLOOKUP($B60,capacities!$A$2:$J$2352,G$3,FALSE)</f>
        <v>#N/A</v>
      </c>
      <c r="H60" s="96" t="e">
        <f>VLOOKUP($B60,capacities!$A$2:$J$2352,H$3,FALSE)</f>
        <v>#N/A</v>
      </c>
      <c r="I60" s="96" t="e">
        <f>VLOOKUP($B60,capacities!$A$2:$J$2352,I$3,FALSE)</f>
        <v>#N/A</v>
      </c>
      <c r="J60" s="96" t="e">
        <f>VLOOKUP($B60,capacities!$A$2:$J$2352,J$3,FALSE)</f>
        <v>#N/A</v>
      </c>
      <c r="L60" s="40"/>
      <c r="M60" s="92"/>
      <c r="N60" s="92"/>
      <c r="O60" s="92"/>
      <c r="P60" s="92"/>
      <c r="Q60" s="92"/>
      <c r="R60" s="92"/>
      <c r="S60" s="92"/>
      <c r="T60" s="92"/>
    </row>
    <row r="61" spans="1:20" x14ac:dyDescent="0.35">
      <c r="A61" s="40"/>
      <c r="B61" s="92" t="s">
        <v>460</v>
      </c>
      <c r="C61" s="96" t="e">
        <f>VLOOKUP($B61,capacities!$A$2:$J$2352,C$3,FALSE)</f>
        <v>#N/A</v>
      </c>
      <c r="D61" s="96" t="e">
        <f>VLOOKUP($B61,capacities!$A$2:$J$2352,D$3,FALSE)</f>
        <v>#N/A</v>
      </c>
      <c r="E61" s="96" t="e">
        <f>VLOOKUP($B61,capacities!$A$2:$J$2352,E$3,FALSE)</f>
        <v>#N/A</v>
      </c>
      <c r="F61" s="96" t="e">
        <f>VLOOKUP($B61,capacities!$A$2:$J$2352,F$3,FALSE)</f>
        <v>#N/A</v>
      </c>
      <c r="G61" s="96" t="e">
        <f>VLOOKUP($B61,capacities!$A$2:$J$2352,G$3,FALSE)</f>
        <v>#N/A</v>
      </c>
      <c r="H61" s="96" t="e">
        <f>VLOOKUP($B61,capacities!$A$2:$J$2352,H$3,FALSE)</f>
        <v>#N/A</v>
      </c>
      <c r="I61" s="96" t="e">
        <f>VLOOKUP($B61,capacities!$A$2:$J$2352,I$3,FALSE)</f>
        <v>#N/A</v>
      </c>
      <c r="J61" s="96" t="e">
        <f>VLOOKUP($B61,capacities!$A$2:$J$2352,J$3,FALSE)</f>
        <v>#N/A</v>
      </c>
      <c r="L61" s="40" t="s">
        <v>859</v>
      </c>
      <c r="M61" s="96" t="e">
        <f>VLOOKUP($L61,flows!$A$2:$J$4985,M$3,FALSE)</f>
        <v>#N/A</v>
      </c>
      <c r="N61" s="96" t="e">
        <f>VLOOKUP($L61,flows!$A$2:$J$4985,N$3,FALSE)</f>
        <v>#N/A</v>
      </c>
      <c r="O61" s="96" t="e">
        <f>VLOOKUP($L61,flows!$A$2:$J$4985,O$3,FALSE)</f>
        <v>#N/A</v>
      </c>
      <c r="P61" s="96" t="e">
        <f>VLOOKUP($L61,flows!$A$2:$J$4985,P$3,FALSE)</f>
        <v>#N/A</v>
      </c>
      <c r="Q61" s="96" t="e">
        <f>VLOOKUP($L61,flows!$A$2:$J$4985,Q$3,FALSE)</f>
        <v>#N/A</v>
      </c>
      <c r="R61" s="96" t="e">
        <f>VLOOKUP($L61,flows!$A$2:$J$4985,R$3,FALSE)</f>
        <v>#N/A</v>
      </c>
      <c r="S61" s="96" t="e">
        <f>VLOOKUP($L61,flows!$A$2:$J$4985,S$3,FALSE)</f>
        <v>#N/A</v>
      </c>
      <c r="T61" s="96" t="e">
        <f>VLOOKUP($L61,flows!$A$2:$J$4985,T$3,FALSE)</f>
        <v>#N/A</v>
      </c>
    </row>
    <row r="62" spans="1:20" x14ac:dyDescent="0.35">
      <c r="A62" s="40"/>
      <c r="B62" s="92" t="s">
        <v>459</v>
      </c>
      <c r="C62" s="96" t="e">
        <f>VLOOKUP($B62,capacities!$A$2:$J$2352,C$3,FALSE)</f>
        <v>#N/A</v>
      </c>
      <c r="D62" s="96" t="e">
        <f>VLOOKUP($B62,capacities!$A$2:$J$2352,D$3,FALSE)</f>
        <v>#N/A</v>
      </c>
      <c r="E62" s="96" t="e">
        <f>VLOOKUP($B62,capacities!$A$2:$J$2352,E$3,FALSE)</f>
        <v>#N/A</v>
      </c>
      <c r="F62" s="96" t="e">
        <f>VLOOKUP($B62,capacities!$A$2:$J$2352,F$3,FALSE)</f>
        <v>#N/A</v>
      </c>
      <c r="G62" s="96" t="e">
        <f>VLOOKUP($B62,capacities!$A$2:$J$2352,G$3,FALSE)</f>
        <v>#N/A</v>
      </c>
      <c r="H62" s="96" t="e">
        <f>VLOOKUP($B62,capacities!$A$2:$J$2352,H$3,FALSE)</f>
        <v>#N/A</v>
      </c>
      <c r="I62" s="96" t="e">
        <f>VLOOKUP($B62,capacities!$A$2:$J$2352,I$3,FALSE)</f>
        <v>#N/A</v>
      </c>
      <c r="J62" s="96" t="e">
        <f>VLOOKUP($B62,capacities!$A$2:$J$2352,J$3,FALSE)</f>
        <v>#N/A</v>
      </c>
      <c r="L62" s="99" t="s">
        <v>1427</v>
      </c>
      <c r="M62" s="96" t="e">
        <f t="shared" ref="M62:T62" si="16">SUM(M61:M61)</f>
        <v>#N/A</v>
      </c>
      <c r="N62" s="96" t="e">
        <f t="shared" si="16"/>
        <v>#N/A</v>
      </c>
      <c r="O62" s="96" t="e">
        <f t="shared" si="16"/>
        <v>#N/A</v>
      </c>
      <c r="P62" s="96" t="e">
        <f t="shared" si="16"/>
        <v>#N/A</v>
      </c>
      <c r="Q62" s="96" t="e">
        <f t="shared" si="16"/>
        <v>#N/A</v>
      </c>
      <c r="R62" s="96" t="e">
        <f t="shared" si="16"/>
        <v>#N/A</v>
      </c>
      <c r="S62" s="96" t="e">
        <f t="shared" si="16"/>
        <v>#N/A</v>
      </c>
      <c r="T62" s="96" t="e">
        <f t="shared" si="16"/>
        <v>#N/A</v>
      </c>
    </row>
    <row r="63" spans="1:20" x14ac:dyDescent="0.35">
      <c r="A63" s="40"/>
      <c r="B63" s="92" t="s">
        <v>510</v>
      </c>
      <c r="C63" s="96" t="e">
        <f>VLOOKUP($B63,capacities!$A$2:$J$2352,C$3,FALSE)</f>
        <v>#N/A</v>
      </c>
      <c r="D63" s="96" t="e">
        <f>VLOOKUP($B63,capacities!$A$2:$J$2352,D$3,FALSE)</f>
        <v>#N/A</v>
      </c>
      <c r="E63" s="96" t="e">
        <f>VLOOKUP($B63,capacities!$A$2:$J$2352,E$3,FALSE)</f>
        <v>#N/A</v>
      </c>
      <c r="F63" s="96" t="e">
        <f>VLOOKUP($B63,capacities!$A$2:$J$2352,F$3,FALSE)</f>
        <v>#N/A</v>
      </c>
      <c r="G63" s="96" t="e">
        <f>VLOOKUP($B63,capacities!$A$2:$J$2352,G$3,FALSE)</f>
        <v>#N/A</v>
      </c>
      <c r="H63" s="96" t="e">
        <f>VLOOKUP($B63,capacities!$A$2:$J$2352,H$3,FALSE)</f>
        <v>#N/A</v>
      </c>
      <c r="I63" s="96" t="e">
        <f>VLOOKUP($B63,capacities!$A$2:$J$2352,I$3,FALSE)</f>
        <v>#N/A</v>
      </c>
      <c r="J63" s="96" t="e">
        <f>VLOOKUP($B63,capacities!$A$2:$J$2352,J$3,FALSE)</f>
        <v>#N/A</v>
      </c>
      <c r="L63" s="40"/>
      <c r="M63" s="92"/>
      <c r="N63" s="92"/>
      <c r="O63" s="92"/>
      <c r="P63" s="92"/>
      <c r="Q63" s="92"/>
      <c r="R63" s="92"/>
      <c r="S63" s="92"/>
      <c r="T63" s="92"/>
    </row>
    <row r="64" spans="1:20" x14ac:dyDescent="0.35">
      <c r="A64" s="40"/>
      <c r="B64" s="92" t="s">
        <v>511</v>
      </c>
      <c r="C64" s="96" t="e">
        <f>VLOOKUP($B64,capacities!$A$2:$J$2352,C$3,FALSE)</f>
        <v>#N/A</v>
      </c>
      <c r="D64" s="96" t="e">
        <f>VLOOKUP($B64,capacities!$A$2:$J$2352,D$3,FALSE)</f>
        <v>#N/A</v>
      </c>
      <c r="E64" s="96" t="e">
        <f>VLOOKUP($B64,capacities!$A$2:$J$2352,E$3,FALSE)</f>
        <v>#N/A</v>
      </c>
      <c r="F64" s="96" t="e">
        <f>VLOOKUP($B64,capacities!$A$2:$J$2352,F$3,FALSE)</f>
        <v>#N/A</v>
      </c>
      <c r="G64" s="96" t="e">
        <f>VLOOKUP($B64,capacities!$A$2:$J$2352,G$3,FALSE)</f>
        <v>#N/A</v>
      </c>
      <c r="H64" s="96" t="e">
        <f>VLOOKUP($B64,capacities!$A$2:$J$2352,H$3,FALSE)</f>
        <v>#N/A</v>
      </c>
      <c r="I64" s="96" t="e">
        <f>VLOOKUP($B64,capacities!$A$2:$J$2352,I$3,FALSE)</f>
        <v>#N/A</v>
      </c>
      <c r="J64" s="96" t="e">
        <f>VLOOKUP($B64,capacities!$A$2:$J$2352,J$3,FALSE)</f>
        <v>#N/A</v>
      </c>
      <c r="L64" s="40" t="s">
        <v>1069</v>
      </c>
      <c r="M64" s="96" t="e">
        <f>VLOOKUP($L64,flows!$A$2:$J$4985,M$3,FALSE)</f>
        <v>#N/A</v>
      </c>
      <c r="N64" s="96" t="e">
        <f>VLOOKUP($L64,flows!$A$2:$J$4985,N$3,FALSE)</f>
        <v>#N/A</v>
      </c>
      <c r="O64" s="96" t="e">
        <f>VLOOKUP($L64,flows!$A$2:$J$4985,O$3,FALSE)</f>
        <v>#N/A</v>
      </c>
      <c r="P64" s="96" t="e">
        <f>VLOOKUP($L64,flows!$A$2:$J$4985,P$3,FALSE)</f>
        <v>#N/A</v>
      </c>
      <c r="Q64" s="96" t="e">
        <f>VLOOKUP($L64,flows!$A$2:$J$4985,Q$3,FALSE)</f>
        <v>#N/A</v>
      </c>
      <c r="R64" s="96" t="e">
        <f>VLOOKUP($L64,flows!$A$2:$J$4985,R$3,FALSE)</f>
        <v>#N/A</v>
      </c>
      <c r="S64" s="96" t="e">
        <f>VLOOKUP($L64,flows!$A$2:$J$4985,S$3,FALSE)</f>
        <v>#N/A</v>
      </c>
      <c r="T64" s="96" t="e">
        <f>VLOOKUP($L64,flows!$A$2:$J$4985,T$3,FALSE)</f>
        <v>#N/A</v>
      </c>
    </row>
    <row r="65" spans="1:20" ht="15" thickBot="1" x14ac:dyDescent="0.4">
      <c r="A65" s="41"/>
      <c r="B65" s="92" t="s">
        <v>517</v>
      </c>
      <c r="C65" s="96" t="e">
        <f>VLOOKUP($B65,capacities!$A$2:$J$2352,C$3,FALSE)</f>
        <v>#N/A</v>
      </c>
      <c r="D65" s="96" t="e">
        <f>VLOOKUP($B65,capacities!$A$2:$J$2352,D$3,FALSE)</f>
        <v>#N/A</v>
      </c>
      <c r="E65" s="96" t="e">
        <f>VLOOKUP($B65,capacities!$A$2:$J$2352,E$3,FALSE)</f>
        <v>#N/A</v>
      </c>
      <c r="F65" s="96" t="e">
        <f>VLOOKUP($B65,capacities!$A$2:$J$2352,F$3,FALSE)</f>
        <v>#N/A</v>
      </c>
      <c r="G65" s="96" t="e">
        <f>VLOOKUP($B65,capacities!$A$2:$J$2352,G$3,FALSE)</f>
        <v>#N/A</v>
      </c>
      <c r="H65" s="96" t="e">
        <f>VLOOKUP($B65,capacities!$A$2:$J$2352,H$3,FALSE)</f>
        <v>#N/A</v>
      </c>
      <c r="I65" s="96" t="e">
        <f>VLOOKUP($B65,capacities!$A$2:$J$2352,I$3,FALSE)</f>
        <v>#N/A</v>
      </c>
      <c r="J65" s="96" t="e">
        <f>VLOOKUP($B65,capacities!$A$2:$J$2352,J$3,FALSE)</f>
        <v>#N/A</v>
      </c>
      <c r="L65" s="40" t="s">
        <v>1124</v>
      </c>
      <c r="M65" s="96" t="e">
        <f>VLOOKUP($L65,flows!$A$2:$J$2850,M$3,FALSE)</f>
        <v>#N/A</v>
      </c>
      <c r="N65" s="96" t="e">
        <f>VLOOKUP($L65,flows!$A$2:$J$2850,N$3,FALSE)</f>
        <v>#N/A</v>
      </c>
      <c r="O65" s="96" t="e">
        <f>VLOOKUP($L65,flows!$A$2:$J$2850,O$3,FALSE)</f>
        <v>#N/A</v>
      </c>
      <c r="P65" s="96" t="e">
        <f>VLOOKUP($L65,flows!$A$2:$J$2850,P$3,FALSE)</f>
        <v>#N/A</v>
      </c>
      <c r="Q65" s="96" t="e">
        <f>VLOOKUP($L65,flows!$A$2:$J$2850,Q$3,FALSE)</f>
        <v>#N/A</v>
      </c>
      <c r="R65" s="96" t="e">
        <f>VLOOKUP($L65,flows!$A$2:$J$2850,R$3,FALSE)</f>
        <v>#N/A</v>
      </c>
      <c r="S65" s="96" t="e">
        <f>VLOOKUP($L65,flows!$A$2:$J$2850,S$3,FALSE)</f>
        <v>#N/A</v>
      </c>
      <c r="T65" s="96" t="e">
        <f>VLOOKUP($L65,flows!$A$2:$J$2850,T$3,FALSE)</f>
        <v>#N/A</v>
      </c>
    </row>
    <row r="66" spans="1:20" x14ac:dyDescent="0.35">
      <c r="B66" s="102" t="s">
        <v>1209</v>
      </c>
      <c r="C66" s="96" t="e">
        <f>SUM(C60:C65)</f>
        <v>#N/A</v>
      </c>
      <c r="D66" s="96" t="e">
        <f t="shared" ref="D66:J66" si="17">SUM(D60:D65)</f>
        <v>#N/A</v>
      </c>
      <c r="E66" s="96" t="e">
        <f t="shared" si="17"/>
        <v>#N/A</v>
      </c>
      <c r="F66" s="96" t="e">
        <f t="shared" si="17"/>
        <v>#N/A</v>
      </c>
      <c r="G66" s="96" t="e">
        <f t="shared" si="17"/>
        <v>#N/A</v>
      </c>
      <c r="H66" s="96" t="e">
        <f t="shared" si="17"/>
        <v>#N/A</v>
      </c>
      <c r="I66" s="96" t="e">
        <f t="shared" si="17"/>
        <v>#N/A</v>
      </c>
      <c r="J66" s="96" t="e">
        <f t="shared" si="17"/>
        <v>#N/A</v>
      </c>
      <c r="L66" s="40" t="s">
        <v>1126</v>
      </c>
      <c r="M66" s="96" t="e">
        <f>VLOOKUP($L66,flows!$A$2:$J$2900,M$3,FALSE)</f>
        <v>#N/A</v>
      </c>
      <c r="N66" s="96" t="e">
        <f>VLOOKUP($L66,flows!$A$2:$J$2900,N$3,FALSE)</f>
        <v>#N/A</v>
      </c>
      <c r="O66" s="96" t="e">
        <f>VLOOKUP($L66,flows!$A$2:$J$2900,O$3,FALSE)</f>
        <v>#N/A</v>
      </c>
      <c r="P66" s="96" t="e">
        <f>VLOOKUP($L66,flows!$A$2:$J$2900,P$3,FALSE)</f>
        <v>#N/A</v>
      </c>
      <c r="Q66" s="96" t="e">
        <f>VLOOKUP($L66,flows!$A$2:$J$2900,Q$3,FALSE)</f>
        <v>#N/A</v>
      </c>
      <c r="R66" s="96" t="e">
        <f>VLOOKUP($L66,flows!$A$2:$J$2900,R$3,FALSE)</f>
        <v>#N/A</v>
      </c>
      <c r="S66" s="96" t="e">
        <f>VLOOKUP($L66,flows!$A$2:$J$2900,S$3,FALSE)</f>
        <v>#N/A</v>
      </c>
      <c r="T66" s="96" t="e">
        <f>VLOOKUP($L66,flows!$A$2:$J$2900,T$3,FALSE)</f>
        <v>#N/A</v>
      </c>
    </row>
    <row r="67" spans="1:20" x14ac:dyDescent="0.35">
      <c r="B67" s="92"/>
      <c r="C67" s="92"/>
      <c r="D67" s="92"/>
      <c r="E67" s="92"/>
      <c r="F67" s="92"/>
      <c r="G67" s="92"/>
      <c r="H67" s="92"/>
      <c r="I67" s="92"/>
      <c r="J67" s="92"/>
      <c r="L67" s="40" t="s">
        <v>1138</v>
      </c>
      <c r="M67" s="96" t="e">
        <f>VLOOKUP($L67,flows!$A$2:$J$2900,M$3,FALSE)</f>
        <v>#N/A</v>
      </c>
      <c r="N67" s="96" t="e">
        <f>VLOOKUP($L67,flows!$A$2:$J$2900,N$3,FALSE)</f>
        <v>#N/A</v>
      </c>
      <c r="O67" s="96" t="e">
        <f>VLOOKUP($L67,flows!$A$2:$J$2900,O$3,FALSE)</f>
        <v>#N/A</v>
      </c>
      <c r="P67" s="96" t="e">
        <f>VLOOKUP($L67,flows!$A$2:$J$2900,P$3,FALSE)</f>
        <v>#N/A</v>
      </c>
      <c r="Q67" s="96" t="e">
        <f>VLOOKUP($L67,flows!$A$2:$J$2900,Q$3,FALSE)</f>
        <v>#N/A</v>
      </c>
      <c r="R67" s="96" t="e">
        <f>VLOOKUP($L67,flows!$A$2:$J$2900,R$3,FALSE)</f>
        <v>#N/A</v>
      </c>
      <c r="S67" s="96" t="e">
        <f>VLOOKUP($L67,flows!$A$2:$J$2900,S$3,FALSE)</f>
        <v>#N/A</v>
      </c>
      <c r="T67" s="96" t="e">
        <f>VLOOKUP($L67,flows!$A$2:$J$2900,T$3,FALSE)</f>
        <v>#N/A</v>
      </c>
    </row>
    <row r="68" spans="1:20" x14ac:dyDescent="0.35">
      <c r="B68" s="92" t="s">
        <v>59</v>
      </c>
      <c r="C68" s="96" t="e">
        <f>VLOOKUP($B68,capacities!$A$2:$J$2352,C$3,FALSE)</f>
        <v>#N/A</v>
      </c>
      <c r="D68" s="96" t="e">
        <f>VLOOKUP($B68,capacities!$A$2:$J$2352,D$3,FALSE)</f>
        <v>#N/A</v>
      </c>
      <c r="E68" s="96" t="e">
        <f>VLOOKUP($B68,capacities!$A$2:$J$2352,E$3,FALSE)</f>
        <v>#N/A</v>
      </c>
      <c r="F68" s="96" t="e">
        <f>VLOOKUP($B68,capacities!$A$2:$J$2352,F$3,FALSE)</f>
        <v>#N/A</v>
      </c>
      <c r="G68" s="96" t="e">
        <f>VLOOKUP($B68,capacities!$A$2:$J$2352,G$3,FALSE)</f>
        <v>#N/A</v>
      </c>
      <c r="H68" s="96" t="e">
        <f>VLOOKUP($B68,capacities!$A$2:$J$2352,H$3,FALSE)</f>
        <v>#N/A</v>
      </c>
      <c r="I68" s="96" t="e">
        <f>VLOOKUP($B68,capacities!$A$2:$J$2352,I$3,FALSE)</f>
        <v>#N/A</v>
      </c>
      <c r="J68" s="96" t="e">
        <f>VLOOKUP($B68,capacities!$A$2:$J$2352,J$3,FALSE)</f>
        <v>#N/A</v>
      </c>
      <c r="L68" s="99" t="s">
        <v>1209</v>
      </c>
      <c r="M68" s="96" t="e">
        <f>SUM(M64:M67)</f>
        <v>#N/A</v>
      </c>
      <c r="N68" s="96" t="e">
        <f t="shared" ref="N68:T68" si="18">SUM(N64:N67)</f>
        <v>#N/A</v>
      </c>
      <c r="O68" s="96" t="e">
        <f t="shared" si="18"/>
        <v>#N/A</v>
      </c>
      <c r="P68" s="96" t="e">
        <f t="shared" si="18"/>
        <v>#N/A</v>
      </c>
      <c r="Q68" s="96" t="e">
        <f t="shared" si="18"/>
        <v>#N/A</v>
      </c>
      <c r="R68" s="96" t="e">
        <f t="shared" si="18"/>
        <v>#N/A</v>
      </c>
      <c r="S68" s="96" t="e">
        <f t="shared" si="18"/>
        <v>#N/A</v>
      </c>
      <c r="T68" s="96" t="e">
        <f t="shared" si="18"/>
        <v>#N/A</v>
      </c>
    </row>
    <row r="69" spans="1:20" x14ac:dyDescent="0.35">
      <c r="B69" s="92" t="s">
        <v>507</v>
      </c>
      <c r="C69" s="96" t="e">
        <f>VLOOKUP($B69,capacities!$A$2:$J$2352,C$3,FALSE)</f>
        <v>#N/A</v>
      </c>
      <c r="D69" s="96" t="e">
        <f>VLOOKUP($B69,capacities!$A$2:$J$2352,D$3,FALSE)</f>
        <v>#N/A</v>
      </c>
      <c r="E69" s="96" t="e">
        <f>VLOOKUP($B69,capacities!$A$2:$J$2352,E$3,FALSE)</f>
        <v>#N/A</v>
      </c>
      <c r="F69" s="96" t="e">
        <f>VLOOKUP($B69,capacities!$A$2:$J$2352,F$3,FALSE)</f>
        <v>#N/A</v>
      </c>
      <c r="G69" s="96" t="e">
        <f>VLOOKUP($B69,capacities!$A$2:$J$2352,G$3,FALSE)</f>
        <v>#N/A</v>
      </c>
      <c r="H69" s="96" t="e">
        <f>VLOOKUP($B69,capacities!$A$2:$J$2352,H$3,FALSE)</f>
        <v>#N/A</v>
      </c>
      <c r="I69" s="96" t="e">
        <f>VLOOKUP($B69,capacities!$A$2:$J$2352,I$3,FALSE)</f>
        <v>#N/A</v>
      </c>
      <c r="J69" s="96" t="e">
        <f>VLOOKUP($B69,capacities!$A$2:$J$2352,J$3,FALSE)</f>
        <v>#N/A</v>
      </c>
      <c r="L69" s="40"/>
      <c r="M69" s="92"/>
      <c r="N69" s="92"/>
      <c r="O69" s="92"/>
      <c r="P69" s="92"/>
      <c r="Q69" s="92"/>
      <c r="R69" s="92"/>
      <c r="S69" s="92"/>
      <c r="T69" s="92"/>
    </row>
    <row r="70" spans="1:20" ht="15" thickBot="1" x14ac:dyDescent="0.4">
      <c r="B70" s="103" t="s">
        <v>1208</v>
      </c>
      <c r="C70" s="101" t="e">
        <f>SUM(C68:C69)</f>
        <v>#N/A</v>
      </c>
      <c r="D70" s="101" t="e">
        <f t="shared" ref="D70:J70" si="19">SUM(D68:D69)</f>
        <v>#N/A</v>
      </c>
      <c r="E70" s="101" t="e">
        <f t="shared" si="19"/>
        <v>#N/A</v>
      </c>
      <c r="F70" s="101" t="e">
        <f t="shared" si="19"/>
        <v>#N/A</v>
      </c>
      <c r="G70" s="101" t="e">
        <f t="shared" si="19"/>
        <v>#N/A</v>
      </c>
      <c r="H70" s="101" t="e">
        <f t="shared" si="19"/>
        <v>#N/A</v>
      </c>
      <c r="I70" s="101" t="e">
        <f t="shared" si="19"/>
        <v>#N/A</v>
      </c>
      <c r="J70" s="101" t="e">
        <f t="shared" si="19"/>
        <v>#N/A</v>
      </c>
      <c r="L70" s="40" t="s">
        <v>1116</v>
      </c>
      <c r="M70" s="96" t="e">
        <f>VLOOKUP($L70,flows!$A$2:$J$4985,M$3,FALSE)</f>
        <v>#N/A</v>
      </c>
      <c r="N70" s="96" t="e">
        <f>VLOOKUP($L70,flows!$A$2:$J$4985,N$3,FALSE)</f>
        <v>#N/A</v>
      </c>
      <c r="O70" s="96" t="e">
        <f>VLOOKUP($L70,flows!$A$2:$J$4985,O$3,FALSE)</f>
        <v>#N/A</v>
      </c>
      <c r="P70" s="96" t="e">
        <f>VLOOKUP($L70,flows!$A$2:$J$4985,P$3,FALSE)</f>
        <v>#N/A</v>
      </c>
      <c r="Q70" s="96" t="e">
        <f>VLOOKUP($L70,flows!$A$2:$J$4985,Q$3,FALSE)</f>
        <v>#N/A</v>
      </c>
      <c r="R70" s="96" t="e">
        <f>VLOOKUP($L70,flows!$A$2:$J$4985,R$3,FALSE)</f>
        <v>#N/A</v>
      </c>
      <c r="S70" s="96" t="e">
        <f>VLOOKUP($L70,flows!$A$2:$J$4985,S$3,FALSE)</f>
        <v>#N/A</v>
      </c>
      <c r="T70" s="96" t="e">
        <f>VLOOKUP($L70,flows!$A$2:$J$4985,T$3,FALSE)</f>
        <v>#N/A</v>
      </c>
    </row>
    <row r="71" spans="1:20" x14ac:dyDescent="0.35">
      <c r="L71" s="40" t="s">
        <v>1119</v>
      </c>
      <c r="M71" s="96" t="e">
        <f>VLOOKUP($L71,flows!$A$2:$J$4985,M$3,FALSE)</f>
        <v>#N/A</v>
      </c>
      <c r="N71" s="96" t="e">
        <f>VLOOKUP($L71,flows!$A$2:$J$4985,N$3,FALSE)</f>
        <v>#N/A</v>
      </c>
      <c r="O71" s="96" t="e">
        <f>VLOOKUP($L71,flows!$A$2:$J$4985,O$3,FALSE)</f>
        <v>#N/A</v>
      </c>
      <c r="P71" s="96" t="e">
        <f>VLOOKUP($L71,flows!$A$2:$J$4985,P$3,FALSE)</f>
        <v>#N/A</v>
      </c>
      <c r="Q71" s="96" t="e">
        <f>VLOOKUP($L71,flows!$A$2:$J$4985,Q$3,FALSE)</f>
        <v>#N/A</v>
      </c>
      <c r="R71" s="96" t="e">
        <f>VLOOKUP($L71,flows!$A$2:$J$4985,R$3,FALSE)</f>
        <v>#N/A</v>
      </c>
      <c r="S71" s="96" t="e">
        <f>VLOOKUP($L71,flows!$A$2:$J$4985,S$3,FALSE)</f>
        <v>#N/A</v>
      </c>
      <c r="T71" s="96" t="e">
        <f>VLOOKUP($L71,flows!$A$2:$J$4985,T$3,FALSE)</f>
        <v>#N/A</v>
      </c>
    </row>
    <row r="72" spans="1:20" ht="15" thickBot="1" x14ac:dyDescent="0.4">
      <c r="L72" s="95" t="s">
        <v>1208</v>
      </c>
      <c r="M72" s="101" t="e">
        <f t="shared" ref="M72:T72" si="20">SUM(M70:M71)</f>
        <v>#N/A</v>
      </c>
      <c r="N72" s="101" t="e">
        <f t="shared" si="20"/>
        <v>#N/A</v>
      </c>
      <c r="O72" s="101" t="e">
        <f t="shared" si="20"/>
        <v>#N/A</v>
      </c>
      <c r="P72" s="101" t="e">
        <f t="shared" si="20"/>
        <v>#N/A</v>
      </c>
      <c r="Q72" s="101" t="e">
        <f t="shared" si="20"/>
        <v>#N/A</v>
      </c>
      <c r="R72" s="101" t="e">
        <f t="shared" si="20"/>
        <v>#N/A</v>
      </c>
      <c r="S72" s="101" t="e">
        <f t="shared" si="20"/>
        <v>#N/A</v>
      </c>
      <c r="T72" s="101" t="e">
        <f t="shared" si="20"/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/>
  </sheetPr>
  <dimension ref="A2:X37"/>
  <sheetViews>
    <sheetView zoomScale="85" zoomScaleNormal="85" workbookViewId="0">
      <selection activeCell="V42" sqref="V42"/>
    </sheetView>
  </sheetViews>
  <sheetFormatPr baseColWidth="10" defaultColWidth="11.453125" defaultRowHeight="14.5" x14ac:dyDescent="0.35"/>
  <cols>
    <col min="1" max="1" width="26.1796875" style="64" customWidth="1"/>
    <col min="2" max="13" width="11.453125" style="64"/>
    <col min="14" max="14" width="39.54296875" style="64" bestFit="1" customWidth="1"/>
    <col min="15" max="15" width="11.54296875" style="64" bestFit="1" customWidth="1"/>
    <col min="16" max="21" width="13.54296875" style="64" bestFit="1" customWidth="1"/>
    <col min="22" max="22" width="11.54296875" style="64" bestFit="1" customWidth="1"/>
    <col min="23" max="16384" width="11.453125" style="64"/>
  </cols>
  <sheetData>
    <row r="2" spans="1:24" ht="15" thickBot="1" x14ac:dyDescent="0.4">
      <c r="B2" s="64" t="s">
        <v>1460</v>
      </c>
      <c r="O2" s="64" t="s">
        <v>1461</v>
      </c>
    </row>
    <row r="3" spans="1:24" x14ac:dyDescent="0.35">
      <c r="A3" s="91" t="s">
        <v>1472</v>
      </c>
      <c r="B3" s="89">
        <v>2</v>
      </c>
      <c r="C3" s="89">
        <v>3</v>
      </c>
      <c r="D3" s="89">
        <v>4</v>
      </c>
      <c r="E3" s="89">
        <v>5</v>
      </c>
      <c r="F3" s="89">
        <v>6</v>
      </c>
      <c r="G3" s="89">
        <v>7</v>
      </c>
      <c r="H3" s="89">
        <v>8</v>
      </c>
      <c r="I3" s="89">
        <v>9</v>
      </c>
      <c r="N3" s="91" t="s">
        <v>1472</v>
      </c>
      <c r="O3" s="89">
        <v>2</v>
      </c>
      <c r="P3" s="89">
        <v>3</v>
      </c>
      <c r="Q3" s="89">
        <v>4</v>
      </c>
      <c r="R3" s="89">
        <v>5</v>
      </c>
      <c r="S3" s="89">
        <v>6</v>
      </c>
      <c r="T3" s="89">
        <v>7</v>
      </c>
      <c r="U3" s="89">
        <v>8</v>
      </c>
      <c r="V3" s="89">
        <v>9</v>
      </c>
    </row>
    <row r="4" spans="1:24" x14ac:dyDescent="0.35">
      <c r="A4" s="40"/>
      <c r="B4" s="133" t="s">
        <v>1417</v>
      </c>
      <c r="C4" s="133">
        <v>2020</v>
      </c>
      <c r="D4" s="133">
        <v>2025</v>
      </c>
      <c r="E4" s="133">
        <v>2030</v>
      </c>
      <c r="F4" s="133">
        <v>2035</v>
      </c>
      <c r="G4" s="133">
        <v>2040</v>
      </c>
      <c r="H4" s="133">
        <v>2045</v>
      </c>
      <c r="I4" s="133">
        <v>2050</v>
      </c>
      <c r="N4" s="40"/>
      <c r="O4" s="133" t="s">
        <v>1417</v>
      </c>
      <c r="P4" s="133">
        <v>2020</v>
      </c>
      <c r="Q4" s="133">
        <v>2025</v>
      </c>
      <c r="R4" s="133">
        <v>2030</v>
      </c>
      <c r="S4" s="133">
        <v>2035</v>
      </c>
      <c r="T4" s="133">
        <v>2040</v>
      </c>
      <c r="U4" s="133">
        <v>2045</v>
      </c>
      <c r="V4" s="133">
        <v>2050</v>
      </c>
      <c r="X4" s="64" t="s">
        <v>1340</v>
      </c>
    </row>
    <row r="5" spans="1:24" x14ac:dyDescent="0.35">
      <c r="A5" s="40"/>
      <c r="B5" s="92"/>
      <c r="C5" s="92"/>
      <c r="D5" s="92"/>
      <c r="E5" s="92"/>
      <c r="F5" s="92"/>
      <c r="G5" s="92"/>
      <c r="H5" s="92"/>
      <c r="I5" s="92"/>
      <c r="N5" s="40"/>
      <c r="O5" s="133"/>
      <c r="P5" s="133"/>
      <c r="Q5" s="133"/>
      <c r="R5" s="133"/>
      <c r="S5" s="133"/>
      <c r="T5" s="133"/>
      <c r="U5" s="133"/>
      <c r="V5" s="133"/>
      <c r="X5" s="64" t="s">
        <v>1440</v>
      </c>
    </row>
    <row r="6" spans="1:24" x14ac:dyDescent="0.35">
      <c r="A6" s="40" t="s">
        <v>356</v>
      </c>
      <c r="B6" s="96" t="e">
        <f>VLOOKUP($A6,capacities!$A$2:$J$2352,B$3,FALSE)</f>
        <v>#N/A</v>
      </c>
      <c r="C6" s="96" t="e">
        <f>VLOOKUP($A6,capacities!$A$2:$J$2352,C$3,FALSE)</f>
        <v>#N/A</v>
      </c>
      <c r="D6" s="96" t="e">
        <f>VLOOKUP($A6,capacities!$A$2:$J$2352,D$3,FALSE)</f>
        <v>#N/A</v>
      </c>
      <c r="E6" s="96" t="e">
        <f>VLOOKUP($A6,capacities!$A$2:$J$2352,E$3,FALSE)</f>
        <v>#N/A</v>
      </c>
      <c r="F6" s="96" t="e">
        <f>VLOOKUP($A6,capacities!$A$2:$J$2352,F$3,FALSE)</f>
        <v>#N/A</v>
      </c>
      <c r="G6" s="96" t="e">
        <f>VLOOKUP($A6,capacities!$A$2:$J$2352,G$3,FALSE)</f>
        <v>#N/A</v>
      </c>
      <c r="H6" s="96" t="e">
        <f>VLOOKUP($A6,capacities!$A$2:$J$2352,H$3,FALSE)</f>
        <v>#N/A</v>
      </c>
      <c r="I6" s="96" t="e">
        <f>VLOOKUP($A6,capacities!$A$2:$J$2352,I$3,FALSE)</f>
        <v>#N/A</v>
      </c>
      <c r="N6" s="40"/>
      <c r="O6" s="133"/>
      <c r="P6" s="133"/>
      <c r="Q6" s="133"/>
      <c r="R6" s="133"/>
      <c r="S6" s="133"/>
      <c r="T6" s="133"/>
      <c r="U6" s="133"/>
      <c r="V6" s="133"/>
      <c r="X6" s="64" t="s">
        <v>1885</v>
      </c>
    </row>
    <row r="7" spans="1:24" x14ac:dyDescent="0.35">
      <c r="A7" s="40" t="s">
        <v>21</v>
      </c>
      <c r="B7" s="96" t="e">
        <f>VLOOKUP($A7,capacities!$A$2:$J$2352,B$3,FALSE)</f>
        <v>#N/A</v>
      </c>
      <c r="C7" s="96" t="e">
        <f>VLOOKUP($A7,capacities!$A$2:$J$2352,C$3,FALSE)</f>
        <v>#N/A</v>
      </c>
      <c r="D7" s="96" t="e">
        <f>VLOOKUP($A7,capacities!$A$2:$J$2352,D$3,FALSE)</f>
        <v>#N/A</v>
      </c>
      <c r="E7" s="96" t="e">
        <f>VLOOKUP($A7,capacities!$A$2:$J$2352,E$3,FALSE)</f>
        <v>#N/A</v>
      </c>
      <c r="F7" s="96" t="e">
        <f>VLOOKUP($A7,capacities!$A$2:$J$2352,F$3,FALSE)</f>
        <v>#N/A</v>
      </c>
      <c r="G7" s="96" t="e">
        <f>VLOOKUP($A7,capacities!$A$2:$J$2352,G$3,FALSE)</f>
        <v>#N/A</v>
      </c>
      <c r="H7" s="96" t="e">
        <f>VLOOKUP($A7,capacities!$A$2:$J$2352,H$3,FALSE)</f>
        <v>#N/A</v>
      </c>
      <c r="I7" s="96" t="e">
        <f>VLOOKUP($A7,capacities!$A$2:$J$2352,I$3,FALSE)</f>
        <v>#N/A</v>
      </c>
      <c r="N7" s="40"/>
      <c r="O7" s="133"/>
      <c r="P7" s="133"/>
      <c r="Q7" s="133"/>
      <c r="R7" s="133"/>
      <c r="S7" s="133"/>
      <c r="T7" s="133"/>
      <c r="U7" s="133"/>
      <c r="V7" s="133"/>
    </row>
    <row r="8" spans="1:24" x14ac:dyDescent="0.35">
      <c r="A8" s="40" t="s">
        <v>56</v>
      </c>
      <c r="B8" s="96" t="e">
        <f>VLOOKUP($A8,capacities!$A$2:$J$2352,B$3,FALSE)</f>
        <v>#N/A</v>
      </c>
      <c r="C8" s="96" t="e">
        <f>VLOOKUP($A8,capacities!$A$2:$J$2352,C$3,FALSE)</f>
        <v>#N/A</v>
      </c>
      <c r="D8" s="96" t="e">
        <f>VLOOKUP($A8,capacities!$A$2:$J$2352,D$3,FALSE)</f>
        <v>#N/A</v>
      </c>
      <c r="E8" s="96" t="e">
        <f>VLOOKUP($A8,capacities!$A$2:$J$2352,E$3,FALSE)</f>
        <v>#N/A</v>
      </c>
      <c r="F8" s="96" t="e">
        <f>VLOOKUP($A8,capacities!$A$2:$J$2352,F$3,FALSE)</f>
        <v>#N/A</v>
      </c>
      <c r="G8" s="96" t="e">
        <f>VLOOKUP($A8,capacities!$A$2:$J$2352,G$3,FALSE)</f>
        <v>#N/A</v>
      </c>
      <c r="H8" s="96" t="e">
        <f>VLOOKUP($A8,capacities!$A$2:$J$2352,H$3,FALSE)</f>
        <v>#N/A</v>
      </c>
      <c r="I8" s="96" t="e">
        <f>VLOOKUP($A8,capacities!$A$2:$J$2352,I$3,FALSE)</f>
        <v>#N/A</v>
      </c>
      <c r="N8" s="40" t="s">
        <v>2600</v>
      </c>
      <c r="O8" s="96" t="e">
        <f>VLOOKUP($N8,flows!$A$2:$J$4985,O$3,FALSE)</f>
        <v>#N/A</v>
      </c>
      <c r="P8" s="96" t="e">
        <f>VLOOKUP($N8,flows!$A$2:$J$4985,P$3,FALSE)</f>
        <v>#N/A</v>
      </c>
      <c r="Q8" s="96" t="e">
        <f>VLOOKUP($N8,flows!$A$2:$J$4985,Q$3,FALSE)</f>
        <v>#N/A</v>
      </c>
      <c r="R8" s="96" t="e">
        <f>VLOOKUP($N8,flows!$A$2:$J$4985,R$3,FALSE)</f>
        <v>#N/A</v>
      </c>
      <c r="S8" s="96" t="e">
        <f>VLOOKUP($N8,flows!$A$2:$J$4985,S$3,FALSE)</f>
        <v>#N/A</v>
      </c>
      <c r="T8" s="96" t="e">
        <f>VLOOKUP($N8,flows!$A$2:$J$4985,T$3,FALSE)</f>
        <v>#N/A</v>
      </c>
      <c r="U8" s="96" t="e">
        <f>VLOOKUP($N8,flows!$A$2:$J$4985,U$3,FALSE)</f>
        <v>#N/A</v>
      </c>
      <c r="V8" s="96" t="e">
        <f>VLOOKUP($N8,flows!$A$2:$J$4985,V$3,FALSE)</f>
        <v>#N/A</v>
      </c>
    </row>
    <row r="9" spans="1:24" x14ac:dyDescent="0.35">
      <c r="A9" s="99" t="s">
        <v>1162</v>
      </c>
      <c r="B9" s="92" t="e">
        <f>SUM(B6:B8)</f>
        <v>#N/A</v>
      </c>
      <c r="C9" s="92" t="e">
        <f t="shared" ref="C9:I9" si="0">SUM(C6:C8)</f>
        <v>#N/A</v>
      </c>
      <c r="D9" s="92" t="e">
        <f t="shared" si="0"/>
        <v>#N/A</v>
      </c>
      <c r="E9" s="92" t="e">
        <f t="shared" si="0"/>
        <v>#N/A</v>
      </c>
      <c r="F9" s="92" t="e">
        <f t="shared" si="0"/>
        <v>#N/A</v>
      </c>
      <c r="G9" s="92" t="e">
        <f t="shared" si="0"/>
        <v>#N/A</v>
      </c>
      <c r="H9" s="92" t="e">
        <f t="shared" si="0"/>
        <v>#N/A</v>
      </c>
      <c r="I9" s="92" t="e">
        <f t="shared" si="0"/>
        <v>#N/A</v>
      </c>
      <c r="N9" s="40" t="s">
        <v>2601</v>
      </c>
      <c r="O9" s="96" t="e">
        <f>VLOOKUP($N9,flows!$A$2:$J$4985,O$3,FALSE)</f>
        <v>#N/A</v>
      </c>
      <c r="P9" s="96" t="e">
        <f>VLOOKUP($N9,flows!$A$2:$J$4985,P$3,FALSE)</f>
        <v>#N/A</v>
      </c>
      <c r="Q9" s="96" t="e">
        <f>VLOOKUP($N9,flows!$A$2:$J$4985,Q$3,FALSE)</f>
        <v>#N/A</v>
      </c>
      <c r="R9" s="96" t="e">
        <f>VLOOKUP($N9,flows!$A$2:$J$4985,R$3,FALSE)</f>
        <v>#N/A</v>
      </c>
      <c r="S9" s="96" t="e">
        <f>VLOOKUP($N9,flows!$A$2:$J$4985,S$3,FALSE)</f>
        <v>#N/A</v>
      </c>
      <c r="T9" s="96" t="e">
        <f>VLOOKUP($N9,flows!$A$2:$J$4985,T$3,FALSE)</f>
        <v>#N/A</v>
      </c>
      <c r="U9" s="96" t="e">
        <f>VLOOKUP($N9,flows!$A$2:$J$4985,U$3,FALSE)</f>
        <v>#N/A</v>
      </c>
      <c r="V9" s="96" t="e">
        <f>VLOOKUP($N9,flows!$A$2:$J$4985,V$3,FALSE)</f>
        <v>#N/A</v>
      </c>
    </row>
    <row r="10" spans="1:24" x14ac:dyDescent="0.35">
      <c r="A10" s="40"/>
      <c r="B10" s="92"/>
      <c r="C10" s="92"/>
      <c r="D10" s="92"/>
      <c r="E10" s="92"/>
      <c r="F10" s="92"/>
      <c r="G10" s="92"/>
      <c r="H10" s="92"/>
      <c r="I10" s="92"/>
      <c r="N10" s="40" t="s">
        <v>2602</v>
      </c>
      <c r="O10" s="96" t="e">
        <f>VLOOKUP($N10,flows!$A$2:$J$4985,O$3,FALSE)</f>
        <v>#N/A</v>
      </c>
      <c r="P10" s="96" t="e">
        <f>VLOOKUP($N10,flows!$A$2:$J$4985,P$3,FALSE)</f>
        <v>#N/A</v>
      </c>
      <c r="Q10" s="96" t="e">
        <f>VLOOKUP($N10,flows!$A$2:$J$4985,Q$3,FALSE)</f>
        <v>#N/A</v>
      </c>
      <c r="R10" s="96" t="e">
        <f>VLOOKUP($N10,flows!$A$2:$J$4985,R$3,FALSE)</f>
        <v>#N/A</v>
      </c>
      <c r="S10" s="96" t="e">
        <f>VLOOKUP($N10,flows!$A$2:$J$4985,S$3,FALSE)</f>
        <v>#N/A</v>
      </c>
      <c r="T10" s="96" t="e">
        <f>VLOOKUP($N10,flows!$A$2:$J$4985,T$3,FALSE)</f>
        <v>#N/A</v>
      </c>
      <c r="U10" s="96" t="e">
        <f>VLOOKUP($N10,flows!$A$2:$J$4985,U$3,FALSE)</f>
        <v>#N/A</v>
      </c>
      <c r="V10" s="96" t="e">
        <f>VLOOKUP($N10,flows!$A$2:$J$4985,V$3,FALSE)</f>
        <v>#N/A</v>
      </c>
    </row>
    <row r="11" spans="1:24" x14ac:dyDescent="0.35">
      <c r="A11" s="40" t="s">
        <v>58</v>
      </c>
      <c r="B11" s="96" t="e">
        <f>VLOOKUP($A11,capacities!$A$2:$J$2352,B$3,FALSE)</f>
        <v>#N/A</v>
      </c>
      <c r="C11" s="96" t="e">
        <f>VLOOKUP($A11,capacities!$A$2:$J$2352,C$3,FALSE)</f>
        <v>#N/A</v>
      </c>
      <c r="D11" s="96" t="e">
        <f>VLOOKUP($A11,capacities!$A$2:$J$2352,D$3,FALSE)</f>
        <v>#N/A</v>
      </c>
      <c r="E11" s="96" t="e">
        <f>VLOOKUP($A11,capacities!$A$2:$J$2352,E$3,FALSE)</f>
        <v>#N/A</v>
      </c>
      <c r="F11" s="96" t="e">
        <f>VLOOKUP($A11,capacities!$A$2:$J$2352,F$3,FALSE)</f>
        <v>#N/A</v>
      </c>
      <c r="G11" s="96" t="e">
        <f>VLOOKUP($A11,capacities!$A$2:$J$2352,G$3,FALSE)</f>
        <v>#N/A</v>
      </c>
      <c r="H11" s="96" t="e">
        <f>VLOOKUP($A11,capacities!$A$2:$J$2352,H$3,FALSE)</f>
        <v>#N/A</v>
      </c>
      <c r="I11" s="96" t="e">
        <f>VLOOKUP($A11,capacities!$A$2:$J$2352,I$3,FALSE)</f>
        <v>#N/A</v>
      </c>
      <c r="N11" s="99" t="s">
        <v>1162</v>
      </c>
      <c r="O11" s="133" t="e">
        <f>SUM(O8:O10)</f>
        <v>#N/A</v>
      </c>
      <c r="P11" s="133" t="e">
        <f t="shared" ref="P11:V11" si="1">SUM(P8:P10)</f>
        <v>#N/A</v>
      </c>
      <c r="Q11" s="133" t="e">
        <f t="shared" si="1"/>
        <v>#N/A</v>
      </c>
      <c r="R11" s="133" t="e">
        <f t="shared" si="1"/>
        <v>#N/A</v>
      </c>
      <c r="S11" s="133" t="e">
        <f t="shared" si="1"/>
        <v>#N/A</v>
      </c>
      <c r="T11" s="133" t="e">
        <f t="shared" si="1"/>
        <v>#N/A</v>
      </c>
      <c r="U11" s="133" t="e">
        <f t="shared" si="1"/>
        <v>#N/A</v>
      </c>
      <c r="V11" s="133" t="e">
        <f t="shared" si="1"/>
        <v>#N/A</v>
      </c>
    </row>
    <row r="12" spans="1:24" x14ac:dyDescent="0.35">
      <c r="A12" s="99" t="s">
        <v>1161</v>
      </c>
      <c r="B12" s="96" t="e">
        <f>SUM(B11)</f>
        <v>#N/A</v>
      </c>
      <c r="C12" s="96" t="e">
        <f t="shared" ref="C12:I12" si="2">SUM(C11)</f>
        <v>#N/A</v>
      </c>
      <c r="D12" s="96" t="e">
        <f t="shared" si="2"/>
        <v>#N/A</v>
      </c>
      <c r="E12" s="96" t="e">
        <f t="shared" si="2"/>
        <v>#N/A</v>
      </c>
      <c r="F12" s="96" t="e">
        <f t="shared" si="2"/>
        <v>#N/A</v>
      </c>
      <c r="G12" s="96" t="e">
        <f t="shared" si="2"/>
        <v>#N/A</v>
      </c>
      <c r="H12" s="96" t="e">
        <f t="shared" si="2"/>
        <v>#N/A</v>
      </c>
      <c r="I12" s="96" t="e">
        <f t="shared" si="2"/>
        <v>#N/A</v>
      </c>
      <c r="N12" s="40"/>
      <c r="O12" s="92"/>
      <c r="P12" s="92"/>
      <c r="Q12" s="92"/>
      <c r="R12" s="92"/>
      <c r="S12" s="92"/>
      <c r="T12" s="92"/>
      <c r="U12" s="92"/>
      <c r="V12" s="92"/>
    </row>
    <row r="13" spans="1:24" x14ac:dyDescent="0.35">
      <c r="A13" s="40"/>
      <c r="B13" s="92"/>
      <c r="C13" s="92"/>
      <c r="D13" s="92"/>
      <c r="E13" s="92"/>
      <c r="F13" s="92"/>
      <c r="G13" s="92"/>
      <c r="H13" s="92"/>
      <c r="I13" s="92"/>
      <c r="N13" s="40" t="s">
        <v>926</v>
      </c>
      <c r="O13" s="96" t="e">
        <f>VLOOKUP($N13,flows!$A$2:$J$4985,O$3,FALSE)</f>
        <v>#N/A</v>
      </c>
      <c r="P13" s="96" t="e">
        <f>VLOOKUP($N13,flows!$A$2:$J$4985,P$3,FALSE)</f>
        <v>#N/A</v>
      </c>
      <c r="Q13" s="96" t="e">
        <f>VLOOKUP($N13,flows!$A$2:$J$4985,Q$3,FALSE)</f>
        <v>#N/A</v>
      </c>
      <c r="R13" s="96" t="e">
        <f>VLOOKUP($N13,flows!$A$2:$J$4985,R$3,FALSE)</f>
        <v>#N/A</v>
      </c>
      <c r="S13" s="96" t="e">
        <f>VLOOKUP($N13,flows!$A$2:$J$4985,S$3,FALSE)</f>
        <v>#N/A</v>
      </c>
      <c r="T13" s="96" t="e">
        <f>VLOOKUP($N13,flows!$A$2:$J$4985,T$3,FALSE)</f>
        <v>#N/A</v>
      </c>
      <c r="U13" s="96" t="e">
        <f>VLOOKUP($N13,flows!$A$2:$J$4985,U$3,FALSE)</f>
        <v>#N/A</v>
      </c>
      <c r="V13" s="96" t="e">
        <f>VLOOKUP($N13,flows!$A$2:$J$4985,V$3,FALSE)</f>
        <v>#N/A</v>
      </c>
    </row>
    <row r="14" spans="1:24" x14ac:dyDescent="0.35">
      <c r="A14" s="40" t="s">
        <v>451</v>
      </c>
      <c r="B14" s="96" t="e">
        <f>VLOOKUP($A14,capacities!$A$2:$J$2352,B$3,FALSE)</f>
        <v>#N/A</v>
      </c>
      <c r="C14" s="96" t="e">
        <f>VLOOKUP($A14,capacities!$A$2:$J$2352,C$3,FALSE)</f>
        <v>#N/A</v>
      </c>
      <c r="D14" s="96" t="e">
        <f>VLOOKUP($A14,capacities!$A$2:$J$2352,D$3,FALSE)</f>
        <v>#N/A</v>
      </c>
      <c r="E14" s="96" t="e">
        <f>VLOOKUP($A14,capacities!$A$2:$J$2352,E$3,FALSE)</f>
        <v>#N/A</v>
      </c>
      <c r="F14" s="96" t="e">
        <f>VLOOKUP($A14,capacities!$A$2:$J$2352,F$3,FALSE)</f>
        <v>#N/A</v>
      </c>
      <c r="G14" s="96" t="e">
        <f>VLOOKUP($A14,capacities!$A$2:$J$2352,G$3,FALSE)</f>
        <v>#N/A</v>
      </c>
      <c r="H14" s="96" t="e">
        <f>VLOOKUP($A14,capacities!$A$2:$J$2352,H$3,FALSE)</f>
        <v>#N/A</v>
      </c>
      <c r="I14" s="96" t="e">
        <f>VLOOKUP($A14,capacities!$A$2:$J$2352,I$3,FALSE)</f>
        <v>#N/A</v>
      </c>
      <c r="N14" s="99" t="s">
        <v>1161</v>
      </c>
      <c r="O14" s="96" t="e">
        <f t="shared" ref="O14:V14" si="3">SUM(O13:O13)</f>
        <v>#N/A</v>
      </c>
      <c r="P14" s="96" t="e">
        <f t="shared" si="3"/>
        <v>#N/A</v>
      </c>
      <c r="Q14" s="96" t="e">
        <f t="shared" si="3"/>
        <v>#N/A</v>
      </c>
      <c r="R14" s="96" t="e">
        <f t="shared" si="3"/>
        <v>#N/A</v>
      </c>
      <c r="S14" s="96" t="e">
        <f t="shared" si="3"/>
        <v>#N/A</v>
      </c>
      <c r="T14" s="96" t="e">
        <f t="shared" si="3"/>
        <v>#N/A</v>
      </c>
      <c r="U14" s="96" t="e">
        <f t="shared" si="3"/>
        <v>#N/A</v>
      </c>
      <c r="V14" s="96" t="e">
        <f t="shared" si="3"/>
        <v>#N/A</v>
      </c>
    </row>
    <row r="15" spans="1:24" x14ac:dyDescent="0.35">
      <c r="A15" s="40" t="s">
        <v>452</v>
      </c>
      <c r="B15" s="96" t="e">
        <f>VLOOKUP($A15,capacities!$A$2:$J$2352,B$3,FALSE)</f>
        <v>#N/A</v>
      </c>
      <c r="C15" s="96" t="e">
        <f>VLOOKUP($A15,capacities!$A$2:$J$2352,C$3,FALSE)</f>
        <v>#N/A</v>
      </c>
      <c r="D15" s="96" t="e">
        <f>VLOOKUP($A15,capacities!$A$2:$J$2352,D$3,FALSE)</f>
        <v>#N/A</v>
      </c>
      <c r="E15" s="96" t="e">
        <f>VLOOKUP($A15,capacities!$A$2:$J$2352,E$3,FALSE)</f>
        <v>#N/A</v>
      </c>
      <c r="F15" s="96" t="e">
        <f>VLOOKUP($A15,capacities!$A$2:$J$2352,F$3,FALSE)</f>
        <v>#N/A</v>
      </c>
      <c r="G15" s="96" t="e">
        <f>VLOOKUP($A15,capacities!$A$2:$J$2352,G$3,FALSE)</f>
        <v>#N/A</v>
      </c>
      <c r="H15" s="96" t="e">
        <f>VLOOKUP($A15,capacities!$A$2:$J$2352,H$3,FALSE)</f>
        <v>#N/A</v>
      </c>
      <c r="I15" s="96" t="e">
        <f>VLOOKUP($A15,capacities!$A$2:$J$2352,I$3,FALSE)</f>
        <v>#N/A</v>
      </c>
      <c r="N15" s="40"/>
      <c r="O15" s="92"/>
      <c r="P15" s="92"/>
      <c r="Q15" s="92"/>
      <c r="R15" s="92"/>
      <c r="S15" s="92"/>
      <c r="T15" s="92"/>
      <c r="U15" s="92"/>
      <c r="V15" s="92"/>
    </row>
    <row r="16" spans="1:24" x14ac:dyDescent="0.35">
      <c r="A16" s="40" t="s">
        <v>453</v>
      </c>
      <c r="B16" s="96" t="e">
        <f>VLOOKUP($A16,capacities!$A$2:$J$2352,B$3,FALSE)</f>
        <v>#N/A</v>
      </c>
      <c r="C16" s="96" t="e">
        <f>VLOOKUP($A16,capacities!$A$2:$J$2352,C$3,FALSE)</f>
        <v>#N/A</v>
      </c>
      <c r="D16" s="96" t="e">
        <f>VLOOKUP($A16,capacities!$A$2:$J$2352,D$3,FALSE)</f>
        <v>#N/A</v>
      </c>
      <c r="E16" s="96" t="e">
        <f>VLOOKUP($A16,capacities!$A$2:$J$2352,E$3,FALSE)</f>
        <v>#N/A</v>
      </c>
      <c r="F16" s="96" t="e">
        <f>VLOOKUP($A16,capacities!$A$2:$J$2352,F$3,FALSE)</f>
        <v>#N/A</v>
      </c>
      <c r="G16" s="96" t="e">
        <f>VLOOKUP($A16,capacities!$A$2:$J$2352,G$3,FALSE)</f>
        <v>#N/A</v>
      </c>
      <c r="H16" s="96" t="e">
        <f>VLOOKUP($A16,capacities!$A$2:$J$2352,H$3,FALSE)</f>
        <v>#N/A</v>
      </c>
      <c r="I16" s="96" t="e">
        <f>VLOOKUP($A16,capacities!$A$2:$J$2352,I$3,FALSE)</f>
        <v>#N/A</v>
      </c>
      <c r="N16" s="40" t="s">
        <v>1012</v>
      </c>
      <c r="O16" s="96" t="e">
        <f>VLOOKUP($N16,flows!$A$2:$J$4985,O$3,FALSE)</f>
        <v>#N/A</v>
      </c>
      <c r="P16" s="96" t="e">
        <f>VLOOKUP($N16,flows!$A$2:$J$4985,P$3,FALSE)</f>
        <v>#N/A</v>
      </c>
      <c r="Q16" s="96" t="e">
        <f>VLOOKUP($N16,flows!$A$2:$J$4985,Q$3,FALSE)</f>
        <v>#N/A</v>
      </c>
      <c r="R16" s="96" t="e">
        <f>VLOOKUP($N16,flows!$A$2:$J$4985,R$3,FALSE)</f>
        <v>#N/A</v>
      </c>
      <c r="S16" s="96" t="e">
        <f>VLOOKUP($N16,flows!$A$2:$J$4985,S$3,FALSE)</f>
        <v>#N/A</v>
      </c>
      <c r="T16" s="96" t="e">
        <f>VLOOKUP($N16,flows!$A$2:$J$4985,T$3,FALSE)</f>
        <v>#N/A</v>
      </c>
      <c r="U16" s="96" t="e">
        <f>VLOOKUP($N16,flows!$A$2:$J$4985,U$3,FALSE)</f>
        <v>#N/A</v>
      </c>
      <c r="V16" s="96" t="e">
        <f>VLOOKUP($N16,flows!$A$2:$J$4985,V$3,FALSE)</f>
        <v>#N/A</v>
      </c>
    </row>
    <row r="17" spans="1:22" x14ac:dyDescent="0.35">
      <c r="A17" s="40" t="s">
        <v>454</v>
      </c>
      <c r="B17" s="96" t="e">
        <f>VLOOKUP($A17,capacities!$A$2:$J$2352,B$3,FALSE)</f>
        <v>#N/A</v>
      </c>
      <c r="C17" s="96" t="e">
        <f>VLOOKUP($A17,capacities!$A$2:$J$2352,C$3,FALSE)</f>
        <v>#N/A</v>
      </c>
      <c r="D17" s="96" t="e">
        <f>VLOOKUP($A17,capacities!$A$2:$J$2352,D$3,FALSE)</f>
        <v>#N/A</v>
      </c>
      <c r="E17" s="96" t="e">
        <f>VLOOKUP($A17,capacities!$A$2:$J$2352,E$3,FALSE)</f>
        <v>#N/A</v>
      </c>
      <c r="F17" s="96" t="e">
        <f>VLOOKUP($A17,capacities!$A$2:$J$2352,F$3,FALSE)</f>
        <v>#N/A</v>
      </c>
      <c r="G17" s="96" t="e">
        <f>VLOOKUP($A17,capacities!$A$2:$J$2352,G$3,FALSE)</f>
        <v>#N/A</v>
      </c>
      <c r="H17" s="96" t="e">
        <f>VLOOKUP($A17,capacities!$A$2:$J$2352,H$3,FALSE)</f>
        <v>#N/A</v>
      </c>
      <c r="I17" s="96" t="e">
        <f>VLOOKUP($A17,capacities!$A$2:$J$2352,I$3,FALSE)</f>
        <v>#N/A</v>
      </c>
      <c r="N17" s="40" t="s">
        <v>1013</v>
      </c>
      <c r="O17" s="96" t="e">
        <f>VLOOKUP($N17,flows!$A$2:$J$4985,O$3,FALSE)</f>
        <v>#N/A</v>
      </c>
      <c r="P17" s="96" t="e">
        <f>VLOOKUP($N17,flows!$A$2:$J$4985,P$3,FALSE)</f>
        <v>#N/A</v>
      </c>
      <c r="Q17" s="96" t="e">
        <f>VLOOKUP($N17,flows!$A$2:$J$4985,Q$3,FALSE)</f>
        <v>#N/A</v>
      </c>
      <c r="R17" s="96" t="e">
        <f>VLOOKUP($N17,flows!$A$2:$J$4985,R$3,FALSE)</f>
        <v>#N/A</v>
      </c>
      <c r="S17" s="96" t="e">
        <f>VLOOKUP($N17,flows!$A$2:$J$4985,S$3,FALSE)</f>
        <v>#N/A</v>
      </c>
      <c r="T17" s="96" t="e">
        <f>VLOOKUP($N17,flows!$A$2:$J$4985,T$3,FALSE)</f>
        <v>#N/A</v>
      </c>
      <c r="U17" s="96" t="e">
        <f>VLOOKUP($N17,flows!$A$2:$J$4985,U$3,FALSE)</f>
        <v>#N/A</v>
      </c>
      <c r="V17" s="96" t="e">
        <f>VLOOKUP($N17,flows!$A$2:$J$4985,V$3,FALSE)</f>
        <v>#N/A</v>
      </c>
    </row>
    <row r="18" spans="1:22" x14ac:dyDescent="0.35">
      <c r="A18" s="40" t="s">
        <v>455</v>
      </c>
      <c r="B18" s="96" t="e">
        <f>VLOOKUP($A18,capacities!$A$2:$J$2352,B$3,FALSE)</f>
        <v>#N/A</v>
      </c>
      <c r="C18" s="96" t="e">
        <f>VLOOKUP($A18,capacities!$A$2:$J$2352,C$3,FALSE)</f>
        <v>#N/A</v>
      </c>
      <c r="D18" s="96" t="e">
        <f>VLOOKUP($A18,capacities!$A$2:$J$2352,D$3,FALSE)</f>
        <v>#N/A</v>
      </c>
      <c r="E18" s="96" t="e">
        <f>VLOOKUP($A18,capacities!$A$2:$J$2352,E$3,FALSE)</f>
        <v>#N/A</v>
      </c>
      <c r="F18" s="96" t="e">
        <f>VLOOKUP($A18,capacities!$A$2:$J$2352,F$3,FALSE)</f>
        <v>#N/A</v>
      </c>
      <c r="G18" s="96" t="e">
        <f>VLOOKUP($A18,capacities!$A$2:$J$2352,G$3,FALSE)</f>
        <v>#N/A</v>
      </c>
      <c r="H18" s="96" t="e">
        <f>VLOOKUP($A18,capacities!$A$2:$J$2352,H$3,FALSE)</f>
        <v>#N/A</v>
      </c>
      <c r="I18" s="96" t="e">
        <f>VLOOKUP($A18,capacities!$A$2:$J$2352,I$3,FALSE)</f>
        <v>#N/A</v>
      </c>
      <c r="N18" s="40" t="s">
        <v>1014</v>
      </c>
      <c r="O18" s="96" t="e">
        <f>VLOOKUP($N18,flows!$A$2:$J$4985,O$3,FALSE)</f>
        <v>#N/A</v>
      </c>
      <c r="P18" s="96" t="e">
        <f>VLOOKUP($N18,flows!$A$2:$J$4985,P$3,FALSE)</f>
        <v>#N/A</v>
      </c>
      <c r="Q18" s="96" t="e">
        <f>VLOOKUP($N18,flows!$A$2:$J$4985,Q$3,FALSE)</f>
        <v>#N/A</v>
      </c>
      <c r="R18" s="96" t="e">
        <f>VLOOKUP($N18,flows!$A$2:$J$4985,R$3,FALSE)</f>
        <v>#N/A</v>
      </c>
      <c r="S18" s="96" t="e">
        <f>VLOOKUP($N18,flows!$A$2:$J$4985,S$3,FALSE)</f>
        <v>#N/A</v>
      </c>
      <c r="T18" s="96" t="e">
        <f>VLOOKUP($N18,flows!$A$2:$J$4985,T$3,FALSE)</f>
        <v>#N/A</v>
      </c>
      <c r="U18" s="96" t="e">
        <f>VLOOKUP($N18,flows!$A$2:$J$4985,U$3,FALSE)</f>
        <v>#N/A</v>
      </c>
      <c r="V18" s="96" t="e">
        <f>VLOOKUP($N18,flows!$A$2:$J$4985,V$3,FALSE)</f>
        <v>#N/A</v>
      </c>
    </row>
    <row r="19" spans="1:22" x14ac:dyDescent="0.35">
      <c r="A19" s="40" t="s">
        <v>456</v>
      </c>
      <c r="B19" s="96" t="e">
        <f>VLOOKUP($A19,capacities!$A$2:$J$2352,B$3,FALSE)</f>
        <v>#N/A</v>
      </c>
      <c r="C19" s="96" t="e">
        <f>VLOOKUP($A19,capacities!$A$2:$J$2352,C$3,FALSE)</f>
        <v>#N/A</v>
      </c>
      <c r="D19" s="96" t="e">
        <f>VLOOKUP($A19,capacities!$A$2:$J$2352,D$3,FALSE)</f>
        <v>#N/A</v>
      </c>
      <c r="E19" s="96" t="e">
        <f>VLOOKUP($A19,capacities!$A$2:$J$2352,E$3,FALSE)</f>
        <v>#N/A</v>
      </c>
      <c r="F19" s="96" t="e">
        <f>VLOOKUP($A19,capacities!$A$2:$J$2352,F$3,FALSE)</f>
        <v>#N/A</v>
      </c>
      <c r="G19" s="96" t="e">
        <f>VLOOKUP($A19,capacities!$A$2:$J$2352,G$3,FALSE)</f>
        <v>#N/A</v>
      </c>
      <c r="H19" s="96" t="e">
        <f>VLOOKUP($A19,capacities!$A$2:$J$2352,H$3,FALSE)</f>
        <v>#N/A</v>
      </c>
      <c r="I19" s="96" t="e">
        <f>VLOOKUP($A19,capacities!$A$2:$J$2352,I$3,FALSE)</f>
        <v>#N/A</v>
      </c>
      <c r="N19" s="40" t="s">
        <v>1016</v>
      </c>
      <c r="O19" s="96" t="e">
        <f>VLOOKUP($N19,flows!$A$2:$J$4985,O$3,FALSE)</f>
        <v>#N/A</v>
      </c>
      <c r="P19" s="96" t="e">
        <f>VLOOKUP($N19,flows!$A$2:$J$4985,P$3,FALSE)</f>
        <v>#N/A</v>
      </c>
      <c r="Q19" s="96" t="e">
        <f>VLOOKUP($N19,flows!$A$2:$J$4985,Q$3,FALSE)</f>
        <v>#N/A</v>
      </c>
      <c r="R19" s="96" t="e">
        <f>VLOOKUP($N19,flows!$A$2:$J$4985,R$3,FALSE)</f>
        <v>#N/A</v>
      </c>
      <c r="S19" s="96" t="e">
        <f>VLOOKUP($N19,flows!$A$2:$J$4985,S$3,FALSE)</f>
        <v>#N/A</v>
      </c>
      <c r="T19" s="96" t="e">
        <f>VLOOKUP($N19,flows!$A$2:$J$4985,T$3,FALSE)</f>
        <v>#N/A</v>
      </c>
      <c r="U19" s="96" t="e">
        <f>VLOOKUP($N19,flows!$A$2:$J$4985,U$3,FALSE)</f>
        <v>#N/A</v>
      </c>
      <c r="V19" s="96" t="e">
        <f>VLOOKUP($N19,flows!$A$2:$J$4985,V$3,FALSE)</f>
        <v>#N/A</v>
      </c>
    </row>
    <row r="20" spans="1:22" x14ac:dyDescent="0.35">
      <c r="A20" s="40" t="s">
        <v>457</v>
      </c>
      <c r="B20" s="96" t="e">
        <f>VLOOKUP($A20,capacities!$A$2:$J$2352,B$3,FALSE)</f>
        <v>#N/A</v>
      </c>
      <c r="C20" s="96" t="e">
        <f>VLOOKUP($A20,capacities!$A$2:$J$2352,C$3,FALSE)</f>
        <v>#N/A</v>
      </c>
      <c r="D20" s="96" t="e">
        <f>VLOOKUP($A20,capacities!$A$2:$J$2352,D$3,FALSE)</f>
        <v>#N/A</v>
      </c>
      <c r="E20" s="96" t="e">
        <f>VLOOKUP($A20,capacities!$A$2:$J$2352,E$3,FALSE)</f>
        <v>#N/A</v>
      </c>
      <c r="F20" s="96" t="e">
        <f>VLOOKUP($A20,capacities!$A$2:$J$2352,F$3,FALSE)</f>
        <v>#N/A</v>
      </c>
      <c r="G20" s="96" t="e">
        <f>VLOOKUP($A20,capacities!$A$2:$J$2352,G$3,FALSE)</f>
        <v>#N/A</v>
      </c>
      <c r="H20" s="96" t="e">
        <f>VLOOKUP($A20,capacities!$A$2:$J$2352,H$3,FALSE)</f>
        <v>#N/A</v>
      </c>
      <c r="I20" s="96" t="e">
        <f>VLOOKUP($A20,capacities!$A$2:$J$2352,I$3,FALSE)</f>
        <v>#N/A</v>
      </c>
      <c r="N20" s="40" t="s">
        <v>1018</v>
      </c>
      <c r="O20" s="96" t="e">
        <f>VLOOKUP($N20,flows!$A$2:$J$4985,O$3,FALSE)</f>
        <v>#N/A</v>
      </c>
      <c r="P20" s="96" t="e">
        <f>VLOOKUP($N20,flows!$A$2:$J$4985,P$3,FALSE)</f>
        <v>#N/A</v>
      </c>
      <c r="Q20" s="96" t="e">
        <f>VLOOKUP($N20,flows!$A$2:$J$4985,Q$3,FALSE)</f>
        <v>#N/A</v>
      </c>
      <c r="R20" s="96" t="e">
        <f>VLOOKUP($N20,flows!$A$2:$J$4985,R$3,FALSE)</f>
        <v>#N/A</v>
      </c>
      <c r="S20" s="96" t="e">
        <f>VLOOKUP($N20,flows!$A$2:$J$4985,S$3,FALSE)</f>
        <v>#N/A</v>
      </c>
      <c r="T20" s="96" t="e">
        <f>VLOOKUP($N20,flows!$A$2:$J$4985,T$3,FALSE)</f>
        <v>#N/A</v>
      </c>
      <c r="U20" s="96" t="e">
        <f>VLOOKUP($N20,flows!$A$2:$J$4985,U$3,FALSE)</f>
        <v>#N/A</v>
      </c>
      <c r="V20" s="96" t="e">
        <f>VLOOKUP($N20,flows!$A$2:$J$4985,V$3,FALSE)</f>
        <v>#N/A</v>
      </c>
    </row>
    <row r="21" spans="1:22" x14ac:dyDescent="0.35">
      <c r="A21" s="99" t="s">
        <v>1471</v>
      </c>
      <c r="B21" s="96" t="e">
        <f>SUM(B14:B20)</f>
        <v>#N/A</v>
      </c>
      <c r="C21" s="96" t="e">
        <f t="shared" ref="C21:I21" si="4">SUM(C14:C20)</f>
        <v>#N/A</v>
      </c>
      <c r="D21" s="96" t="e">
        <f t="shared" si="4"/>
        <v>#N/A</v>
      </c>
      <c r="E21" s="96" t="e">
        <f t="shared" si="4"/>
        <v>#N/A</v>
      </c>
      <c r="F21" s="96" t="e">
        <f t="shared" si="4"/>
        <v>#N/A</v>
      </c>
      <c r="G21" s="96" t="e">
        <f t="shared" si="4"/>
        <v>#N/A</v>
      </c>
      <c r="H21" s="96" t="e">
        <f t="shared" si="4"/>
        <v>#N/A</v>
      </c>
      <c r="I21" s="96" t="e">
        <f t="shared" si="4"/>
        <v>#N/A</v>
      </c>
      <c r="N21" s="40" t="s">
        <v>1020</v>
      </c>
      <c r="O21" s="96" t="e">
        <f>VLOOKUP($N21,flows!$A$2:$J$4985,O$3,FALSE)</f>
        <v>#N/A</v>
      </c>
      <c r="P21" s="96" t="e">
        <f>VLOOKUP($N21,flows!$A$2:$J$4985,P$3,FALSE)</f>
        <v>#N/A</v>
      </c>
      <c r="Q21" s="96" t="e">
        <f>VLOOKUP($N21,flows!$A$2:$J$4985,Q$3,FALSE)</f>
        <v>#N/A</v>
      </c>
      <c r="R21" s="96" t="e">
        <f>VLOOKUP($N21,flows!$A$2:$J$4985,R$3,FALSE)</f>
        <v>#N/A</v>
      </c>
      <c r="S21" s="96" t="e">
        <f>VLOOKUP($N21,flows!$A$2:$J$4985,S$3,FALSE)</f>
        <v>#N/A</v>
      </c>
      <c r="T21" s="96" t="e">
        <f>VLOOKUP($N21,flows!$A$2:$J$4985,T$3,FALSE)</f>
        <v>#N/A</v>
      </c>
      <c r="U21" s="96" t="e">
        <f>VLOOKUP($N21,flows!$A$2:$J$4985,U$3,FALSE)</f>
        <v>#N/A</v>
      </c>
      <c r="V21" s="96" t="e">
        <f>VLOOKUP($N21,flows!$A$2:$J$4985,V$3,FALSE)</f>
        <v>#N/A</v>
      </c>
    </row>
    <row r="22" spans="1:22" x14ac:dyDescent="0.35">
      <c r="A22" s="40"/>
      <c r="B22" s="92"/>
      <c r="C22" s="92"/>
      <c r="D22" s="92"/>
      <c r="E22" s="92"/>
      <c r="F22" s="92"/>
      <c r="G22" s="92"/>
      <c r="H22" s="92"/>
      <c r="I22" s="92"/>
      <c r="N22" s="40" t="s">
        <v>1022</v>
      </c>
      <c r="O22" s="96" t="e">
        <f>VLOOKUP($N22,flows!$A$2:$J$4985,O$3,FALSE)</f>
        <v>#N/A</v>
      </c>
      <c r="P22" s="96" t="e">
        <f>VLOOKUP($N22,flows!$A$2:$J$4985,P$3,FALSE)</f>
        <v>#N/A</v>
      </c>
      <c r="Q22" s="96" t="e">
        <f>VLOOKUP($N22,flows!$A$2:$J$4985,Q$3,FALSE)</f>
        <v>#N/A</v>
      </c>
      <c r="R22" s="96" t="e">
        <f>VLOOKUP($N22,flows!$A$2:$J$4985,R$3,FALSE)</f>
        <v>#N/A</v>
      </c>
      <c r="S22" s="96" t="e">
        <f>VLOOKUP($N22,flows!$A$2:$J$4985,S$3,FALSE)</f>
        <v>#N/A</v>
      </c>
      <c r="T22" s="96" t="e">
        <f>VLOOKUP($N22,flows!$A$2:$J$4985,T$3,FALSE)</f>
        <v>#N/A</v>
      </c>
      <c r="U22" s="96" t="e">
        <f>VLOOKUP($N22,flows!$A$2:$J$4985,U$3,FALSE)</f>
        <v>#N/A</v>
      </c>
      <c r="V22" s="96" t="e">
        <f>VLOOKUP($N22,flows!$A$2:$J$4985,V$3,FALSE)</f>
        <v>#N/A</v>
      </c>
    </row>
    <row r="23" spans="1:22" x14ac:dyDescent="0.35">
      <c r="A23" s="40" t="s">
        <v>182</v>
      </c>
      <c r="B23" s="96" t="e">
        <f>VLOOKUP($A23,capacities!$A$2:$J$2352,B$3,FALSE)</f>
        <v>#N/A</v>
      </c>
      <c r="C23" s="96" t="e">
        <f>VLOOKUP($A23,capacities!$A$2:$J$2352,C$3,FALSE)</f>
        <v>#N/A</v>
      </c>
      <c r="D23" s="96" t="e">
        <f>VLOOKUP($A23,capacities!$A$2:$J$2352,D$3,FALSE)</f>
        <v>#N/A</v>
      </c>
      <c r="E23" s="96" t="e">
        <f>VLOOKUP($A23,capacities!$A$2:$J$2352,E$3,FALSE)</f>
        <v>#N/A</v>
      </c>
      <c r="F23" s="96" t="e">
        <f>VLOOKUP($A23,capacities!$A$2:$J$2352,F$3,FALSE)</f>
        <v>#N/A</v>
      </c>
      <c r="G23" s="96" t="e">
        <f>VLOOKUP($A23,capacities!$A$2:$J$2352,G$3,FALSE)</f>
        <v>#N/A</v>
      </c>
      <c r="H23" s="96" t="e">
        <f>VLOOKUP($A23,capacities!$A$2:$J$2352,H$3,FALSE)</f>
        <v>#N/A</v>
      </c>
      <c r="I23" s="96" t="e">
        <f>VLOOKUP($A23,capacities!$A$2:$J$2352,I$3,FALSE)</f>
        <v>#N/A</v>
      </c>
      <c r="N23" s="40" t="s">
        <v>1024</v>
      </c>
      <c r="O23" s="96" t="e">
        <f>VLOOKUP($N23,flows!$A$2:$J$4985,O$3,FALSE)</f>
        <v>#N/A</v>
      </c>
      <c r="P23" s="96" t="e">
        <f>VLOOKUP($N23,flows!$A$2:$J$4985,P$3,FALSE)</f>
        <v>#N/A</v>
      </c>
      <c r="Q23" s="96" t="e">
        <f>VLOOKUP($N23,flows!$A$2:$J$4985,Q$3,FALSE)</f>
        <v>#N/A</v>
      </c>
      <c r="R23" s="96" t="e">
        <f>VLOOKUP($N23,flows!$A$2:$J$4985,R$3,FALSE)</f>
        <v>#N/A</v>
      </c>
      <c r="S23" s="96" t="e">
        <f>VLOOKUP($N23,flows!$A$2:$J$4985,S$3,FALSE)</f>
        <v>#N/A</v>
      </c>
      <c r="T23" s="96" t="e">
        <f>VLOOKUP($N23,flows!$A$2:$J$4985,T$3,FALSE)</f>
        <v>#N/A</v>
      </c>
      <c r="U23" s="96" t="e">
        <f>VLOOKUP($N23,flows!$A$2:$J$4985,U$3,FALSE)</f>
        <v>#N/A</v>
      </c>
      <c r="V23" s="96" t="e">
        <f>VLOOKUP($N23,flows!$A$2:$J$4985,V$3,FALSE)</f>
        <v>#N/A</v>
      </c>
    </row>
    <row r="24" spans="1:22" x14ac:dyDescent="0.35">
      <c r="A24" s="40" t="s">
        <v>461</v>
      </c>
      <c r="B24" s="96" t="e">
        <f>VLOOKUP($A24,capacities!$A$2:$J$2352,B$3,FALSE)</f>
        <v>#N/A</v>
      </c>
      <c r="C24" s="96" t="e">
        <f>VLOOKUP($A24,capacities!$A$2:$J$2352,C$3,FALSE)</f>
        <v>#N/A</v>
      </c>
      <c r="D24" s="96" t="e">
        <f>VLOOKUP($A24,capacities!$A$2:$J$2352,D$3,FALSE)</f>
        <v>#N/A</v>
      </c>
      <c r="E24" s="96" t="e">
        <f>VLOOKUP($A24,capacities!$A$2:$J$2352,E$3,FALSE)</f>
        <v>#N/A</v>
      </c>
      <c r="F24" s="96" t="e">
        <f>VLOOKUP($A24,capacities!$A$2:$J$2352,F$3,FALSE)</f>
        <v>#N/A</v>
      </c>
      <c r="G24" s="96" t="e">
        <f>VLOOKUP($A24,capacities!$A$2:$J$2352,G$3,FALSE)</f>
        <v>#N/A</v>
      </c>
      <c r="H24" s="96" t="e">
        <f>VLOOKUP($A24,capacities!$A$2:$J$2352,H$3,FALSE)</f>
        <v>#N/A</v>
      </c>
      <c r="I24" s="96" t="e">
        <f>VLOOKUP($A24,capacities!$A$2:$J$2352,I$3,FALSE)</f>
        <v>#N/A</v>
      </c>
      <c r="N24" s="40" t="s">
        <v>1026</v>
      </c>
      <c r="O24" s="96" t="e">
        <f>VLOOKUP($N24,flows!$A$2:$J$4985,O$3,FALSE)</f>
        <v>#N/A</v>
      </c>
      <c r="P24" s="96" t="e">
        <f>VLOOKUP($N24,flows!$A$2:$J$4985,P$3,FALSE)</f>
        <v>#N/A</v>
      </c>
      <c r="Q24" s="96" t="e">
        <f>VLOOKUP($N24,flows!$A$2:$J$4985,Q$3,FALSE)</f>
        <v>#N/A</v>
      </c>
      <c r="R24" s="96" t="e">
        <f>VLOOKUP($N24,flows!$A$2:$J$4985,R$3,FALSE)</f>
        <v>#N/A</v>
      </c>
      <c r="S24" s="96" t="e">
        <f>VLOOKUP($N24,flows!$A$2:$J$4985,S$3,FALSE)</f>
        <v>#N/A</v>
      </c>
      <c r="T24" s="96" t="e">
        <f>VLOOKUP($N24,flows!$A$2:$J$4985,T$3,FALSE)</f>
        <v>#N/A</v>
      </c>
      <c r="U24" s="96" t="e">
        <f>VLOOKUP($N24,flows!$A$2:$J$4985,U$3,FALSE)</f>
        <v>#N/A</v>
      </c>
      <c r="V24" s="96" t="e">
        <f>VLOOKUP($N24,flows!$A$2:$J$4985,V$3,FALSE)</f>
        <v>#N/A</v>
      </c>
    </row>
    <row r="25" spans="1:22" x14ac:dyDescent="0.35">
      <c r="A25" s="40" t="s">
        <v>513</v>
      </c>
      <c r="B25" s="96" t="e">
        <f>VLOOKUP($A25,capacities!$A$2:$J$2352,B$3,FALSE)</f>
        <v>#N/A</v>
      </c>
      <c r="C25" s="96" t="e">
        <f>VLOOKUP($A25,capacities!$A$2:$J$2352,C$3,FALSE)</f>
        <v>#N/A</v>
      </c>
      <c r="D25" s="96" t="e">
        <f>VLOOKUP($A25,capacities!$A$2:$J$2352,D$3,FALSE)</f>
        <v>#N/A</v>
      </c>
      <c r="E25" s="96" t="e">
        <f>VLOOKUP($A25,capacities!$A$2:$J$2352,E$3,FALSE)</f>
        <v>#N/A</v>
      </c>
      <c r="F25" s="96" t="e">
        <f>VLOOKUP($A25,capacities!$A$2:$J$2352,F$3,FALSE)</f>
        <v>#N/A</v>
      </c>
      <c r="G25" s="96" t="e">
        <f>VLOOKUP($A25,capacities!$A$2:$J$2352,G$3,FALSE)</f>
        <v>#N/A</v>
      </c>
      <c r="H25" s="96" t="e">
        <f>VLOOKUP($A25,capacities!$A$2:$J$2352,H$3,FALSE)</f>
        <v>#N/A</v>
      </c>
      <c r="I25" s="96" t="e">
        <f>VLOOKUP($A25,capacities!$A$2:$J$2352,I$3,FALSE)</f>
        <v>#N/A</v>
      </c>
      <c r="N25" s="40" t="s">
        <v>1028</v>
      </c>
      <c r="O25" s="96" t="e">
        <f>VLOOKUP($N25,flows!$A$2:$J$4985,O$3,FALSE)</f>
        <v>#N/A</v>
      </c>
      <c r="P25" s="96" t="e">
        <f>VLOOKUP($N25,flows!$A$2:$J$4985,P$3,FALSE)</f>
        <v>#N/A</v>
      </c>
      <c r="Q25" s="96" t="e">
        <f>VLOOKUP($N25,flows!$A$2:$J$4985,Q$3,FALSE)</f>
        <v>#N/A</v>
      </c>
      <c r="R25" s="96" t="e">
        <f>VLOOKUP($N25,flows!$A$2:$J$4985,R$3,FALSE)</f>
        <v>#N/A</v>
      </c>
      <c r="S25" s="96" t="e">
        <f>VLOOKUP($N25,flows!$A$2:$J$4985,S$3,FALSE)</f>
        <v>#N/A</v>
      </c>
      <c r="T25" s="96" t="e">
        <f>VLOOKUP($N25,flows!$A$2:$J$4985,T$3,FALSE)</f>
        <v>#N/A</v>
      </c>
      <c r="U25" s="96" t="e">
        <f>VLOOKUP($N25,flows!$A$2:$J$4985,U$3,FALSE)</f>
        <v>#N/A</v>
      </c>
      <c r="V25" s="96" t="e">
        <f>VLOOKUP($N25,flows!$A$2:$J$4985,V$3,FALSE)</f>
        <v>#N/A</v>
      </c>
    </row>
    <row r="26" spans="1:22" ht="15" thickBot="1" x14ac:dyDescent="0.4">
      <c r="A26" s="95" t="s">
        <v>1209</v>
      </c>
      <c r="B26" s="101" t="e">
        <f t="shared" ref="B26:I26" si="5">SUM(B23:B25)</f>
        <v>#N/A</v>
      </c>
      <c r="C26" s="101" t="e">
        <f t="shared" si="5"/>
        <v>#N/A</v>
      </c>
      <c r="D26" s="101" t="e">
        <f t="shared" si="5"/>
        <v>#N/A</v>
      </c>
      <c r="E26" s="101" t="e">
        <f t="shared" si="5"/>
        <v>#N/A</v>
      </c>
      <c r="F26" s="101" t="e">
        <f t="shared" si="5"/>
        <v>#N/A</v>
      </c>
      <c r="G26" s="101" t="e">
        <f t="shared" si="5"/>
        <v>#N/A</v>
      </c>
      <c r="H26" s="101" t="e">
        <f t="shared" si="5"/>
        <v>#N/A</v>
      </c>
      <c r="I26" s="101" t="e">
        <f t="shared" si="5"/>
        <v>#N/A</v>
      </c>
      <c r="N26" s="40" t="s">
        <v>1030</v>
      </c>
      <c r="O26" s="96" t="e">
        <f>VLOOKUP($N26,flows!$A$2:$J$4985,O$3,FALSE)</f>
        <v>#N/A</v>
      </c>
      <c r="P26" s="96" t="e">
        <f>VLOOKUP($N26,flows!$A$2:$J$4985,P$3,FALSE)</f>
        <v>#N/A</v>
      </c>
      <c r="Q26" s="96" t="e">
        <f>VLOOKUP($N26,flows!$A$2:$J$4985,Q$3,FALSE)</f>
        <v>#N/A</v>
      </c>
      <c r="R26" s="96" t="e">
        <f>VLOOKUP($N26,flows!$A$2:$J$4985,R$3,FALSE)</f>
        <v>#N/A</v>
      </c>
      <c r="S26" s="96" t="e">
        <f>VLOOKUP($N26,flows!$A$2:$J$4985,S$3,FALSE)</f>
        <v>#N/A</v>
      </c>
      <c r="T26" s="96" t="e">
        <f>VLOOKUP($N26,flows!$A$2:$J$4985,T$3,FALSE)</f>
        <v>#N/A</v>
      </c>
      <c r="U26" s="96" t="e">
        <f>VLOOKUP($N26,flows!$A$2:$J$4985,U$3,FALSE)</f>
        <v>#N/A</v>
      </c>
      <c r="V26" s="96" t="e">
        <f>VLOOKUP($N26,flows!$A$2:$J$4985,V$3,FALSE)</f>
        <v>#N/A</v>
      </c>
    </row>
    <row r="27" spans="1:22" x14ac:dyDescent="0.35">
      <c r="N27" s="40" t="s">
        <v>1032</v>
      </c>
      <c r="O27" s="96" t="e">
        <f>VLOOKUP($N27,flows!$A$2:$J$4985,O$3,FALSE)</f>
        <v>#N/A</v>
      </c>
      <c r="P27" s="96" t="e">
        <f>VLOOKUP($N27,flows!$A$2:$J$4985,P$3,FALSE)</f>
        <v>#N/A</v>
      </c>
      <c r="Q27" s="96" t="e">
        <f>VLOOKUP($N27,flows!$A$2:$J$4985,Q$3,FALSE)</f>
        <v>#N/A</v>
      </c>
      <c r="R27" s="96" t="e">
        <f>VLOOKUP($N27,flows!$A$2:$J$4985,R$3,FALSE)</f>
        <v>#N/A</v>
      </c>
      <c r="S27" s="96" t="e">
        <f>VLOOKUP($N27,flows!$A$2:$J$4985,S$3,FALSE)</f>
        <v>#N/A</v>
      </c>
      <c r="T27" s="96" t="e">
        <f>VLOOKUP($N27,flows!$A$2:$J$4985,T$3,FALSE)</f>
        <v>#N/A</v>
      </c>
      <c r="U27" s="96" t="e">
        <f>VLOOKUP($N27,flows!$A$2:$J$4985,U$3,FALSE)</f>
        <v>#N/A</v>
      </c>
      <c r="V27" s="96" t="e">
        <f>VLOOKUP($N27,flows!$A$2:$J$4985,V$3,FALSE)</f>
        <v>#N/A</v>
      </c>
    </row>
    <row r="28" spans="1:22" x14ac:dyDescent="0.35">
      <c r="N28" s="40" t="s">
        <v>1034</v>
      </c>
      <c r="O28" s="96" t="e">
        <f>VLOOKUP($N28,flows!$A$2:$J$4985,O$3,FALSE)</f>
        <v>#N/A</v>
      </c>
      <c r="P28" s="96" t="e">
        <f>VLOOKUP($N28,flows!$A$2:$J$4985,P$3,FALSE)</f>
        <v>#N/A</v>
      </c>
      <c r="Q28" s="96" t="e">
        <f>VLOOKUP($N28,flows!$A$2:$J$4985,Q$3,FALSE)</f>
        <v>#N/A</v>
      </c>
      <c r="R28" s="96" t="e">
        <f>VLOOKUP($N28,flows!$A$2:$J$4985,R$3,FALSE)</f>
        <v>#N/A</v>
      </c>
      <c r="S28" s="96" t="e">
        <f>VLOOKUP($N28,flows!$A$2:$J$4985,S$3,FALSE)</f>
        <v>#N/A</v>
      </c>
      <c r="T28" s="96" t="e">
        <f>VLOOKUP($N28,flows!$A$2:$J$4985,T$3,FALSE)</f>
        <v>#N/A</v>
      </c>
      <c r="U28" s="96" t="e">
        <f>VLOOKUP($N28,flows!$A$2:$J$4985,U$3,FALSE)</f>
        <v>#N/A</v>
      </c>
      <c r="V28" s="96" t="e">
        <f>VLOOKUP($N28,flows!$A$2:$J$4985,V$3,FALSE)</f>
        <v>#N/A</v>
      </c>
    </row>
    <row r="29" spans="1:22" x14ac:dyDescent="0.35">
      <c r="N29" s="40" t="s">
        <v>1036</v>
      </c>
      <c r="O29" s="96" t="e">
        <f>VLOOKUP($N29,flows!$A$2:$J$4985,O$3,FALSE)</f>
        <v>#N/A</v>
      </c>
      <c r="P29" s="96" t="e">
        <f>VLOOKUP($N29,flows!$A$2:$J$4985,P$3,FALSE)</f>
        <v>#N/A</v>
      </c>
      <c r="Q29" s="96" t="e">
        <f>VLOOKUP($N29,flows!$A$2:$J$4985,Q$3,FALSE)</f>
        <v>#N/A</v>
      </c>
      <c r="R29" s="96" t="e">
        <f>VLOOKUP($N29,flows!$A$2:$J$4985,R$3,FALSE)</f>
        <v>#N/A</v>
      </c>
      <c r="S29" s="96" t="e">
        <f>VLOOKUP($N29,flows!$A$2:$J$4985,S$3,FALSE)</f>
        <v>#N/A</v>
      </c>
      <c r="T29" s="96" t="e">
        <f>VLOOKUP($N29,flows!$A$2:$J$4985,T$3,FALSE)</f>
        <v>#N/A</v>
      </c>
      <c r="U29" s="96" t="e">
        <f>VLOOKUP($N29,flows!$A$2:$J$4985,U$3,FALSE)</f>
        <v>#N/A</v>
      </c>
      <c r="V29" s="96" t="e">
        <f>VLOOKUP($N29,flows!$A$2:$J$4985,V$3,FALSE)</f>
        <v>#N/A</v>
      </c>
    </row>
    <row r="30" spans="1:22" x14ac:dyDescent="0.35">
      <c r="N30" s="40" t="s">
        <v>1038</v>
      </c>
      <c r="O30" s="96" t="e">
        <f>VLOOKUP($N30,flows!$A$2:$J$4985,O$3,FALSE)</f>
        <v>#N/A</v>
      </c>
      <c r="P30" s="96" t="e">
        <f>VLOOKUP($N30,flows!$A$2:$J$4985,P$3,FALSE)</f>
        <v>#N/A</v>
      </c>
      <c r="Q30" s="96" t="e">
        <f>VLOOKUP($N30,flows!$A$2:$J$4985,Q$3,FALSE)</f>
        <v>#N/A</v>
      </c>
      <c r="R30" s="96" t="e">
        <f>VLOOKUP($N30,flows!$A$2:$J$4985,R$3,FALSE)</f>
        <v>#N/A</v>
      </c>
      <c r="S30" s="96" t="e">
        <f>VLOOKUP($N30,flows!$A$2:$J$4985,S$3,FALSE)</f>
        <v>#N/A</v>
      </c>
      <c r="T30" s="96" t="e">
        <f>VLOOKUP($N30,flows!$A$2:$J$4985,T$3,FALSE)</f>
        <v>#N/A</v>
      </c>
      <c r="U30" s="96" t="e">
        <f>VLOOKUP($N30,flows!$A$2:$J$4985,U$3,FALSE)</f>
        <v>#N/A</v>
      </c>
      <c r="V30" s="96" t="e">
        <f>VLOOKUP($N30,flows!$A$2:$J$4985,V$3,FALSE)</f>
        <v>#N/A</v>
      </c>
    </row>
    <row r="31" spans="1:22" x14ac:dyDescent="0.35">
      <c r="N31" s="40" t="s">
        <v>1040</v>
      </c>
      <c r="O31" s="96" t="e">
        <f>VLOOKUP($N31,flows!$A$2:$J$4985,O$3,FALSE)</f>
        <v>#N/A</v>
      </c>
      <c r="P31" s="96" t="e">
        <f>VLOOKUP($N31,flows!$A$2:$J$4985,P$3,FALSE)</f>
        <v>#N/A</v>
      </c>
      <c r="Q31" s="96" t="e">
        <f>VLOOKUP($N31,flows!$A$2:$J$4985,Q$3,FALSE)</f>
        <v>#N/A</v>
      </c>
      <c r="R31" s="96" t="e">
        <f>VLOOKUP($N31,flows!$A$2:$J$4985,R$3,FALSE)</f>
        <v>#N/A</v>
      </c>
      <c r="S31" s="96" t="e">
        <f>VLOOKUP($N31,flows!$A$2:$J$4985,S$3,FALSE)</f>
        <v>#N/A</v>
      </c>
      <c r="T31" s="96" t="e">
        <f>VLOOKUP($N31,flows!$A$2:$J$4985,T$3,FALSE)</f>
        <v>#N/A</v>
      </c>
      <c r="U31" s="96" t="e">
        <f>VLOOKUP($N31,flows!$A$2:$J$4985,U$3,FALSE)</f>
        <v>#N/A</v>
      </c>
      <c r="V31" s="96" t="e">
        <f>VLOOKUP($N31,flows!$A$2:$J$4985,V$3,FALSE)</f>
        <v>#N/A</v>
      </c>
    </row>
    <row r="32" spans="1:22" x14ac:dyDescent="0.35">
      <c r="N32" s="99" t="s">
        <v>1471</v>
      </c>
      <c r="O32" s="96" t="e">
        <f t="shared" ref="O32:V32" si="6">SUM(O16:O31)</f>
        <v>#N/A</v>
      </c>
      <c r="P32" s="96" t="e">
        <f t="shared" si="6"/>
        <v>#N/A</v>
      </c>
      <c r="Q32" s="96" t="e">
        <f t="shared" si="6"/>
        <v>#N/A</v>
      </c>
      <c r="R32" s="96" t="e">
        <f t="shared" si="6"/>
        <v>#N/A</v>
      </c>
      <c r="S32" s="96" t="e">
        <f t="shared" si="6"/>
        <v>#N/A</v>
      </c>
      <c r="T32" s="96" t="e">
        <f t="shared" si="6"/>
        <v>#N/A</v>
      </c>
      <c r="U32" s="96" t="e">
        <f t="shared" si="6"/>
        <v>#N/A</v>
      </c>
      <c r="V32" s="96" t="e">
        <f t="shared" si="6"/>
        <v>#N/A</v>
      </c>
    </row>
    <row r="33" spans="14:22" x14ac:dyDescent="0.35">
      <c r="N33" s="40"/>
      <c r="O33" s="92"/>
      <c r="P33" s="92"/>
      <c r="Q33" s="92"/>
      <c r="R33" s="92"/>
      <c r="S33" s="92"/>
      <c r="T33" s="92"/>
      <c r="U33" s="92"/>
      <c r="V33" s="92"/>
    </row>
    <row r="34" spans="14:22" x14ac:dyDescent="0.35">
      <c r="N34" s="40" t="s">
        <v>600</v>
      </c>
      <c r="O34" s="96" t="e">
        <f>VLOOKUP($N34,flows!$A$2:$J$4985,O$3,FALSE)</f>
        <v>#N/A</v>
      </c>
      <c r="P34" s="96" t="e">
        <f>VLOOKUP($N34,flows!$A$2:$J$4985,P$3,FALSE)</f>
        <v>#N/A</v>
      </c>
      <c r="Q34" s="96" t="e">
        <f>VLOOKUP($N34,flows!$A$2:$J$4985,Q$3,FALSE)</f>
        <v>#N/A</v>
      </c>
      <c r="R34" s="96" t="e">
        <f>VLOOKUP($N34,flows!$A$2:$J$4985,R$3,FALSE)</f>
        <v>#N/A</v>
      </c>
      <c r="S34" s="96" t="e">
        <f>VLOOKUP($N34,flows!$A$2:$J$4985,S$3,FALSE)</f>
        <v>#N/A</v>
      </c>
      <c r="T34" s="96" t="e">
        <f>VLOOKUP($N34,flows!$A$2:$J$4985,T$3,FALSE)</f>
        <v>#N/A</v>
      </c>
      <c r="U34" s="96" t="e">
        <f>VLOOKUP($N34,flows!$A$2:$J$4985,U$3,FALSE)</f>
        <v>#N/A</v>
      </c>
      <c r="V34" s="96" t="e">
        <f>VLOOKUP($N34,flows!$A$2:$J$4985,V$3,FALSE)</f>
        <v>#N/A</v>
      </c>
    </row>
    <row r="35" spans="14:22" x14ac:dyDescent="0.35">
      <c r="N35" s="40" t="s">
        <v>1070</v>
      </c>
      <c r="O35" s="96" t="e">
        <f>VLOOKUP($N35,flows!$A$2:$J$4985,O$3,FALSE)</f>
        <v>#N/A</v>
      </c>
      <c r="P35" s="96" t="e">
        <f>VLOOKUP($N35,flows!$A$2:$J$4985,P$3,FALSE)</f>
        <v>#N/A</v>
      </c>
      <c r="Q35" s="96" t="e">
        <f>VLOOKUP($N35,flows!$A$2:$J$4985,Q$3,FALSE)</f>
        <v>#N/A</v>
      </c>
      <c r="R35" s="96" t="e">
        <f>VLOOKUP($N35,flows!$A$2:$J$4985,R$3,FALSE)</f>
        <v>#N/A</v>
      </c>
      <c r="S35" s="96" t="e">
        <f>VLOOKUP($N35,flows!$A$2:$J$4985,S$3,FALSE)</f>
        <v>#N/A</v>
      </c>
      <c r="T35" s="96" t="e">
        <f>VLOOKUP($N35,flows!$A$2:$J$4985,T$3,FALSE)</f>
        <v>#N/A</v>
      </c>
      <c r="U35" s="96" t="e">
        <f>VLOOKUP($N35,flows!$A$2:$J$4985,U$3,FALSE)</f>
        <v>#N/A</v>
      </c>
      <c r="V35" s="96" t="e">
        <f>VLOOKUP($N35,flows!$A$2:$J$4985,V$3,FALSE)</f>
        <v>#N/A</v>
      </c>
    </row>
    <row r="36" spans="14:22" x14ac:dyDescent="0.35">
      <c r="N36" s="40" t="s">
        <v>1127</v>
      </c>
      <c r="O36" s="96" t="e">
        <f>VLOOKUP($N36,flows!$A$2:$J$2850,O$3,FALSE)</f>
        <v>#N/A</v>
      </c>
      <c r="P36" s="96" t="e">
        <f>VLOOKUP($N36,flows!$A$2:$J$2850,P$3,FALSE)</f>
        <v>#N/A</v>
      </c>
      <c r="Q36" s="96" t="e">
        <f>VLOOKUP($N36,flows!$A$2:$J$2850,Q$3,FALSE)</f>
        <v>#N/A</v>
      </c>
      <c r="R36" s="96" t="e">
        <f>VLOOKUP($N36,flows!$A$2:$J$2850,R$3,FALSE)</f>
        <v>#N/A</v>
      </c>
      <c r="S36" s="96" t="e">
        <f>VLOOKUP($N36,flows!$A$2:$J$2850,S$3,FALSE)</f>
        <v>#N/A</v>
      </c>
      <c r="T36" s="96" t="e">
        <f>VLOOKUP($N36,flows!$A$2:$J$2850,T$3,FALSE)</f>
        <v>#N/A</v>
      </c>
      <c r="U36" s="96" t="e">
        <f>VLOOKUP($N36,flows!$A$2:$J$2850,U$3,FALSE)</f>
        <v>#N/A</v>
      </c>
      <c r="V36" s="96" t="e">
        <f>VLOOKUP($N36,flows!$A$2:$J$2850,V$3,FALSE)</f>
        <v>#N/A</v>
      </c>
    </row>
    <row r="37" spans="14:22" ht="15" thickBot="1" x14ac:dyDescent="0.4">
      <c r="N37" s="95" t="s">
        <v>1209</v>
      </c>
      <c r="O37" s="101" t="e">
        <f t="shared" ref="O37:V37" si="7">SUM(O34:O36)</f>
        <v>#N/A</v>
      </c>
      <c r="P37" s="101" t="e">
        <f t="shared" si="7"/>
        <v>#N/A</v>
      </c>
      <c r="Q37" s="101" t="e">
        <f t="shared" si="7"/>
        <v>#N/A</v>
      </c>
      <c r="R37" s="101" t="e">
        <f t="shared" si="7"/>
        <v>#N/A</v>
      </c>
      <c r="S37" s="101" t="e">
        <f t="shared" si="7"/>
        <v>#N/A</v>
      </c>
      <c r="T37" s="101" t="e">
        <f t="shared" si="7"/>
        <v>#N/A</v>
      </c>
      <c r="U37" s="101" t="e">
        <f t="shared" si="7"/>
        <v>#N/A</v>
      </c>
      <c r="V37" s="101" t="e">
        <f t="shared" si="7"/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7"/>
  </sheetPr>
  <dimension ref="A2:X32"/>
  <sheetViews>
    <sheetView zoomScaleNormal="100" workbookViewId="0">
      <selection activeCell="X19" sqref="X19"/>
    </sheetView>
  </sheetViews>
  <sheetFormatPr baseColWidth="10" defaultColWidth="11.453125" defaultRowHeight="14.5" x14ac:dyDescent="0.35"/>
  <cols>
    <col min="1" max="1" width="18.81640625" style="132" bestFit="1" customWidth="1"/>
    <col min="2" max="3" width="11.54296875" style="132" bestFit="1" customWidth="1"/>
    <col min="4" max="9" width="12" style="132" bestFit="1" customWidth="1"/>
    <col min="10" max="13" width="11.453125" style="132"/>
    <col min="14" max="14" width="39.54296875" style="132" bestFit="1" customWidth="1"/>
    <col min="15" max="15" width="11.54296875" style="132" bestFit="1" customWidth="1"/>
    <col min="16" max="21" width="13.54296875" style="132" bestFit="1" customWidth="1"/>
    <col min="22" max="22" width="11.54296875" style="132" bestFit="1" customWidth="1"/>
    <col min="23" max="16384" width="11.453125" style="132"/>
  </cols>
  <sheetData>
    <row r="2" spans="1:24" ht="15" thickBot="1" x14ac:dyDescent="0.4">
      <c r="B2" s="132" t="s">
        <v>1460</v>
      </c>
      <c r="O2" s="132" t="s">
        <v>1461</v>
      </c>
    </row>
    <row r="3" spans="1:24" x14ac:dyDescent="0.35">
      <c r="A3" s="91" t="s">
        <v>1702</v>
      </c>
      <c r="B3" s="89">
        <v>2</v>
      </c>
      <c r="C3" s="89">
        <v>3</v>
      </c>
      <c r="D3" s="89">
        <v>4</v>
      </c>
      <c r="E3" s="89">
        <v>5</v>
      </c>
      <c r="F3" s="89">
        <v>6</v>
      </c>
      <c r="G3" s="89">
        <v>7</v>
      </c>
      <c r="H3" s="89">
        <v>8</v>
      </c>
      <c r="I3" s="89">
        <v>9</v>
      </c>
      <c r="N3" s="91" t="s">
        <v>1702</v>
      </c>
      <c r="O3" s="89">
        <v>2</v>
      </c>
      <c r="P3" s="89">
        <v>3</v>
      </c>
      <c r="Q3" s="89">
        <v>4</v>
      </c>
      <c r="R3" s="89">
        <v>5</v>
      </c>
      <c r="S3" s="89">
        <v>6</v>
      </c>
      <c r="T3" s="89">
        <v>7</v>
      </c>
      <c r="U3" s="89">
        <v>8</v>
      </c>
      <c r="V3" s="89">
        <v>9</v>
      </c>
    </row>
    <row r="4" spans="1:24" x14ac:dyDescent="0.35">
      <c r="A4" s="40"/>
      <c r="B4" s="133" t="s">
        <v>1417</v>
      </c>
      <c r="C4" s="133">
        <v>2020</v>
      </c>
      <c r="D4" s="133">
        <v>2025</v>
      </c>
      <c r="E4" s="133">
        <v>2030</v>
      </c>
      <c r="F4" s="133">
        <v>2035</v>
      </c>
      <c r="G4" s="133">
        <v>2040</v>
      </c>
      <c r="H4" s="133">
        <v>2045</v>
      </c>
      <c r="I4" s="133">
        <v>2050</v>
      </c>
      <c r="N4" s="40"/>
      <c r="O4" s="133" t="s">
        <v>1417</v>
      </c>
      <c r="P4" s="133">
        <v>2020</v>
      </c>
      <c r="Q4" s="133">
        <v>2025</v>
      </c>
      <c r="R4" s="133">
        <v>2030</v>
      </c>
      <c r="S4" s="133">
        <v>2035</v>
      </c>
      <c r="T4" s="133">
        <v>2040</v>
      </c>
      <c r="U4" s="133">
        <v>2045</v>
      </c>
      <c r="V4" s="133">
        <v>2050</v>
      </c>
      <c r="X4" s="132" t="s">
        <v>1953</v>
      </c>
    </row>
    <row r="5" spans="1:24" x14ac:dyDescent="0.35">
      <c r="A5" s="40"/>
      <c r="B5" s="92"/>
      <c r="C5" s="92"/>
      <c r="D5" s="92"/>
      <c r="E5" s="92"/>
      <c r="F5" s="92"/>
      <c r="G5" s="92"/>
      <c r="H5" s="92"/>
      <c r="I5" s="92"/>
      <c r="N5" s="40"/>
      <c r="O5" s="133"/>
      <c r="P5" s="133"/>
      <c r="Q5" s="133"/>
      <c r="R5" s="133"/>
      <c r="S5" s="133"/>
      <c r="T5" s="133"/>
      <c r="U5" s="133"/>
      <c r="V5" s="133"/>
      <c r="X5" s="132" t="s">
        <v>1440</v>
      </c>
    </row>
    <row r="6" spans="1:24" x14ac:dyDescent="0.35">
      <c r="N6" s="365" t="s">
        <v>2605</v>
      </c>
      <c r="O6" s="151" t="e">
        <f>VLOOKUP($N6,flows!$A$2:$J$4985,O$3,FALSE)</f>
        <v>#N/A</v>
      </c>
      <c r="P6" s="151" t="e">
        <f>VLOOKUP($N6,flows!$A$2:$J$4985,P$3,FALSE)</f>
        <v>#N/A</v>
      </c>
      <c r="Q6" s="151" t="e">
        <f>VLOOKUP($N6,flows!$A$2:$J$4985,Q$3,FALSE)</f>
        <v>#N/A</v>
      </c>
      <c r="R6" s="151" t="e">
        <f>VLOOKUP($N6,flows!$A$2:$J$4985,R$3,FALSE)</f>
        <v>#N/A</v>
      </c>
      <c r="S6" s="151" t="e">
        <f>VLOOKUP($N6,flows!$A$2:$J$4985,S$3,FALSE)</f>
        <v>#N/A</v>
      </c>
      <c r="T6" s="151" t="e">
        <f>VLOOKUP($N6,flows!$A$2:$J$4985,T$3,FALSE)</f>
        <v>#N/A</v>
      </c>
      <c r="U6" s="151" t="e">
        <f>VLOOKUP($N6,flows!$A$2:$J$4985,U$3,FALSE)</f>
        <v>#N/A</v>
      </c>
      <c r="V6" s="151" t="e">
        <f>VLOOKUP($N6,flows!$A$2:$J$4985,V$3,FALSE)</f>
        <v>#N/A</v>
      </c>
      <c r="X6" s="132" t="s">
        <v>1537</v>
      </c>
    </row>
    <row r="7" spans="1:24" x14ac:dyDescent="0.35">
      <c r="A7" s="132" t="s">
        <v>2603</v>
      </c>
      <c r="B7" s="151" t="e">
        <f>VLOOKUP($A7,capacities!$A$2:$J$2352,B$3,FALSE)</f>
        <v>#N/A</v>
      </c>
      <c r="C7" s="151" t="e">
        <f>VLOOKUP($A7,capacities!$A$2:$J$2352,C$3,FALSE)</f>
        <v>#N/A</v>
      </c>
      <c r="D7" s="151" t="e">
        <f>VLOOKUP($A7,capacities!$A$2:$J$2352,D$3,FALSE)</f>
        <v>#N/A</v>
      </c>
      <c r="E7" s="151" t="e">
        <f>VLOOKUP($A7,capacities!$A$2:$J$2352,E$3,FALSE)</f>
        <v>#N/A</v>
      </c>
      <c r="F7" s="151" t="e">
        <f>VLOOKUP($A7,capacities!$A$2:$J$2352,F$3,FALSE)</f>
        <v>#N/A</v>
      </c>
      <c r="G7" s="151" t="e">
        <f>VLOOKUP($A7,capacities!$A$2:$J$2352,G$3,FALSE)</f>
        <v>#N/A</v>
      </c>
      <c r="H7" s="151" t="e">
        <f>VLOOKUP($A7,capacities!$A$2:$J$2352,H$3,FALSE)</f>
        <v>#N/A</v>
      </c>
      <c r="I7" s="151" t="e">
        <f>VLOOKUP($A7,capacities!$A$2:$J$2352,I$3,FALSE)</f>
        <v>#N/A</v>
      </c>
      <c r="N7" s="365" t="s">
        <v>2606</v>
      </c>
      <c r="O7" s="151" t="e">
        <f>VLOOKUP($N7,flows!$A$2:$J$2880,O$3,FALSE)</f>
        <v>#N/A</v>
      </c>
      <c r="P7" s="151" t="e">
        <f>VLOOKUP($N7,flows!$A$2:$J$2880,P$3,FALSE)</f>
        <v>#N/A</v>
      </c>
      <c r="Q7" s="151" t="e">
        <f>VLOOKUP($N7,flows!$A$2:$J$2880,Q$3,FALSE)</f>
        <v>#N/A</v>
      </c>
      <c r="R7" s="151" t="e">
        <f>VLOOKUP($N7,flows!$A$2:$J$2880,R$3,FALSE)</f>
        <v>#N/A</v>
      </c>
      <c r="S7" s="151" t="e">
        <f>VLOOKUP($N7,flows!$A$2:$J$2880,S$3,FALSE)</f>
        <v>#N/A</v>
      </c>
      <c r="T7" s="151" t="e">
        <f>VLOOKUP($N7,flows!$A$2:$J$2880,T$3,FALSE)</f>
        <v>#N/A</v>
      </c>
      <c r="U7" s="151" t="e">
        <f>VLOOKUP($N7,flows!$A$2:$J$2880,U$3,FALSE)</f>
        <v>#N/A</v>
      </c>
      <c r="V7" s="151" t="e">
        <f>VLOOKUP($N7,flows!$A$2:$J$2880,V$3,FALSE)</f>
        <v>#N/A</v>
      </c>
    </row>
    <row r="8" spans="1:24" x14ac:dyDescent="0.35">
      <c r="A8" s="132" t="s">
        <v>2604</v>
      </c>
      <c r="B8" s="151" t="e">
        <f>VLOOKUP($A8,capacities!$A$2:$J$2352,B$3,FALSE)</f>
        <v>#N/A</v>
      </c>
      <c r="C8" s="151" t="e">
        <f>VLOOKUP($A8,capacities!$A$2:$J$2352,C$3,FALSE)</f>
        <v>#N/A</v>
      </c>
      <c r="D8" s="151" t="e">
        <f>VLOOKUP($A8,capacities!$A$2:$J$2352,D$3,FALSE)</f>
        <v>#N/A</v>
      </c>
      <c r="E8" s="151" t="e">
        <f>VLOOKUP($A8,capacities!$A$2:$J$2352,E$3,FALSE)</f>
        <v>#N/A</v>
      </c>
      <c r="F8" s="151" t="e">
        <f>VLOOKUP($A8,capacities!$A$2:$J$2352,F$3,FALSE)</f>
        <v>#N/A</v>
      </c>
      <c r="G8" s="151" t="e">
        <f>VLOOKUP($A8,capacities!$A$2:$J$2352,G$3,FALSE)</f>
        <v>#N/A</v>
      </c>
      <c r="H8" s="151" t="e">
        <f>VLOOKUP($A8,capacities!$A$2:$J$2352,H$3,FALSE)</f>
        <v>#N/A</v>
      </c>
      <c r="I8" s="151" t="e">
        <f>VLOOKUP($A8,capacities!$A$2:$J$2352,I$3,FALSE)</f>
        <v>#N/A</v>
      </c>
      <c r="N8" s="40" t="s">
        <v>1704</v>
      </c>
      <c r="O8" s="151" t="e">
        <f>VLOOKUP($N8,flows!$A$2:$J$4985,O$3,FALSE)</f>
        <v>#N/A</v>
      </c>
      <c r="P8" s="151" t="e">
        <f>VLOOKUP($N8,flows!$A$2:$J$4985,P$3,FALSE)</f>
        <v>#N/A</v>
      </c>
      <c r="Q8" s="151" t="e">
        <f>VLOOKUP($N8,flows!$A$2:$J$4985,Q$3,FALSE)</f>
        <v>#N/A</v>
      </c>
      <c r="R8" s="151" t="e">
        <f>VLOOKUP($N8,flows!$A$2:$J$4985,R$3,FALSE)</f>
        <v>#N/A</v>
      </c>
      <c r="S8" s="151" t="e">
        <f>VLOOKUP($N8,flows!$A$2:$J$4985,S$3,FALSE)</f>
        <v>#N/A</v>
      </c>
      <c r="T8" s="151" t="e">
        <f>VLOOKUP($N8,flows!$A$2:$J$4985,T$3,FALSE)</f>
        <v>#N/A</v>
      </c>
      <c r="U8" s="151" t="e">
        <f>VLOOKUP($N8,flows!$A$2:$J$4985,U$3,FALSE)</f>
        <v>#N/A</v>
      </c>
      <c r="V8" s="151" t="e">
        <f>VLOOKUP($N8,flows!$A$2:$J$4985,V$3,FALSE)</f>
        <v>#N/A</v>
      </c>
    </row>
    <row r="9" spans="1:24" x14ac:dyDescent="0.35">
      <c r="A9" s="40" t="s">
        <v>416</v>
      </c>
      <c r="B9" s="151" t="e">
        <f>VLOOKUP($A9,capacities!$A$2:$J$2352,B$3,FALSE)</f>
        <v>#N/A</v>
      </c>
      <c r="C9" s="151" t="e">
        <f>VLOOKUP($A9,capacities!$A$2:$J$2352,C$3,FALSE)</f>
        <v>#N/A</v>
      </c>
      <c r="D9" s="151" t="e">
        <f>VLOOKUP($A9,capacities!$A$2:$J$2352,D$3,FALSE)</f>
        <v>#N/A</v>
      </c>
      <c r="E9" s="151" t="e">
        <f>VLOOKUP($A9,capacities!$A$2:$J$2352,E$3,FALSE)</f>
        <v>#N/A</v>
      </c>
      <c r="F9" s="151" t="e">
        <f>VLOOKUP($A9,capacities!$A$2:$J$2352,F$3,FALSE)</f>
        <v>#N/A</v>
      </c>
      <c r="G9" s="151" t="e">
        <f>VLOOKUP($A9,capacities!$A$2:$J$2352,G$3,FALSE)</f>
        <v>#N/A</v>
      </c>
      <c r="H9" s="151" t="e">
        <f>VLOOKUP($A9,capacities!$A$2:$J$2352,H$3,FALSE)</f>
        <v>#N/A</v>
      </c>
      <c r="I9" s="151" t="e">
        <f>VLOOKUP($A9,capacities!$A$2:$J$2352,I$3,FALSE)</f>
        <v>#N/A</v>
      </c>
      <c r="N9" s="99" t="s">
        <v>416</v>
      </c>
      <c r="O9" s="96" t="e">
        <f>SUM(O6:O8)</f>
        <v>#N/A</v>
      </c>
      <c r="P9" s="96" t="e">
        <f t="shared" ref="P9:V9" si="0">SUM(P6:P8)</f>
        <v>#N/A</v>
      </c>
      <c r="Q9" s="96" t="e">
        <f t="shared" si="0"/>
        <v>#N/A</v>
      </c>
      <c r="R9" s="96" t="e">
        <f t="shared" si="0"/>
        <v>#N/A</v>
      </c>
      <c r="S9" s="96" t="e">
        <f t="shared" si="0"/>
        <v>#N/A</v>
      </c>
      <c r="T9" s="96" t="e">
        <f t="shared" si="0"/>
        <v>#N/A</v>
      </c>
      <c r="U9" s="96" t="e">
        <f t="shared" si="0"/>
        <v>#N/A</v>
      </c>
      <c r="V9" s="96" t="e">
        <f t="shared" si="0"/>
        <v>#N/A</v>
      </c>
    </row>
    <row r="10" spans="1:24" x14ac:dyDescent="0.35">
      <c r="A10" s="99" t="s">
        <v>1209</v>
      </c>
      <c r="B10" s="151" t="e">
        <f>SUM(B7:B9)</f>
        <v>#N/A</v>
      </c>
      <c r="C10" s="151" t="e">
        <f t="shared" ref="C10:I10" si="1">SUM(C7:C9)</f>
        <v>#N/A</v>
      </c>
      <c r="D10" s="151" t="e">
        <f t="shared" si="1"/>
        <v>#N/A</v>
      </c>
      <c r="E10" s="151" t="e">
        <f t="shared" si="1"/>
        <v>#N/A</v>
      </c>
      <c r="F10" s="151" t="e">
        <f t="shared" si="1"/>
        <v>#N/A</v>
      </c>
      <c r="G10" s="151" t="e">
        <f>SUM(G7:G9)</f>
        <v>#N/A</v>
      </c>
      <c r="H10" s="151" t="e">
        <f t="shared" si="1"/>
        <v>#N/A</v>
      </c>
      <c r="I10" s="151" t="e">
        <f t="shared" si="1"/>
        <v>#N/A</v>
      </c>
      <c r="N10" s="40"/>
      <c r="O10" s="92"/>
      <c r="P10" s="92"/>
      <c r="Q10" s="92"/>
      <c r="R10" s="92"/>
      <c r="S10" s="92"/>
      <c r="T10" s="92"/>
      <c r="U10" s="92"/>
      <c r="V10" s="92"/>
    </row>
    <row r="11" spans="1:24" x14ac:dyDescent="0.35">
      <c r="A11" s="40"/>
      <c r="B11" s="151"/>
      <c r="C11" s="151"/>
      <c r="D11" s="151"/>
      <c r="E11" s="151"/>
      <c r="F11" s="151"/>
      <c r="G11" s="151"/>
      <c r="H11" s="151"/>
      <c r="I11" s="151"/>
      <c r="N11" s="40" t="s">
        <v>1703</v>
      </c>
      <c r="O11" s="151" t="e">
        <f>VLOOKUP($N11,flows!$A$2:$J$4985,O$3,FALSE)</f>
        <v>#N/A</v>
      </c>
      <c r="P11" s="151" t="e">
        <f>VLOOKUP($N11,flows!$A$2:$J$4985,P$3,FALSE)</f>
        <v>#N/A</v>
      </c>
      <c r="Q11" s="151" t="e">
        <f>VLOOKUP($N11,flows!$A$2:$J$4985,Q$3,FALSE)</f>
        <v>#N/A</v>
      </c>
      <c r="R11" s="151" t="e">
        <f>VLOOKUP($N11,flows!$A$2:$J$4985,R$3,FALSE)</f>
        <v>#N/A</v>
      </c>
      <c r="S11" s="151" t="e">
        <f>VLOOKUP($N11,flows!$A$2:$J$4985,S$3,FALSE)</f>
        <v>#N/A</v>
      </c>
      <c r="T11" s="151" t="e">
        <f>VLOOKUP($N11,flows!$A$2:$J$4985,T$3,FALSE)</f>
        <v>#N/A</v>
      </c>
      <c r="U11" s="151" t="e">
        <f>VLOOKUP($N11,flows!$A$2:$J$4985,U$3,FALSE)</f>
        <v>#N/A</v>
      </c>
      <c r="V11" s="151" t="e">
        <f>VLOOKUP($N11,flows!$A$2:$J$4985,V$3,FALSE)</f>
        <v>#N/A</v>
      </c>
    </row>
    <row r="12" spans="1:24" x14ac:dyDescent="0.35">
      <c r="A12" s="40" t="s">
        <v>451</v>
      </c>
      <c r="B12" s="151" t="e">
        <f>VLOOKUP($A12,capacities!$A$2:$J$2352,B$3,FALSE)</f>
        <v>#N/A</v>
      </c>
      <c r="C12" s="151" t="e">
        <f>VLOOKUP($A12,capacities!$A$2:$J$2352,C$3,FALSE)</f>
        <v>#N/A</v>
      </c>
      <c r="D12" s="151" t="e">
        <f>VLOOKUP($A12,capacities!$A$2:$J$2352,D$3,FALSE)</f>
        <v>#N/A</v>
      </c>
      <c r="E12" s="151" t="e">
        <f>VLOOKUP($A12,capacities!$A$2:$J$2352,E$3,FALSE)</f>
        <v>#N/A</v>
      </c>
      <c r="F12" s="151" t="e">
        <f>VLOOKUP($A12,capacities!$A$2:$J$2352,F$3,FALSE)</f>
        <v>#N/A</v>
      </c>
      <c r="G12" s="151" t="e">
        <f>VLOOKUP($A12,capacities!$A$2:$J$2352,G$3,FALSE)</f>
        <v>#N/A</v>
      </c>
      <c r="H12" s="151" t="e">
        <f>VLOOKUP($A12,capacities!$A$2:$J$2352,H$3,FALSE)</f>
        <v>#N/A</v>
      </c>
      <c r="I12" s="151" t="e">
        <f>VLOOKUP($A12,capacities!$A$2:$J$2352,I$3,FALSE)</f>
        <v>#N/A</v>
      </c>
      <c r="N12" s="40" t="s">
        <v>1705</v>
      </c>
      <c r="O12" s="151" t="e">
        <f>VLOOKUP($N12,flows!$A$2:$J$4985,O$3,FALSE)</f>
        <v>#N/A</v>
      </c>
      <c r="P12" s="151" t="e">
        <f>VLOOKUP($N12,flows!$A$2:$J$4985,P$3,FALSE)</f>
        <v>#N/A</v>
      </c>
      <c r="Q12" s="151" t="e">
        <f>VLOOKUP($N12,flows!$A$2:$J$4985,Q$3,FALSE)</f>
        <v>#N/A</v>
      </c>
      <c r="R12" s="151" t="e">
        <f>VLOOKUP($N12,flows!$A$2:$J$4985,R$3,FALSE)</f>
        <v>#N/A</v>
      </c>
      <c r="S12" s="151" t="e">
        <f>VLOOKUP($N12,flows!$A$2:$J$4985,S$3,FALSE)</f>
        <v>#N/A</v>
      </c>
      <c r="T12" s="151" t="e">
        <f>VLOOKUP($N12,flows!$A$2:$J$4985,T$3,FALSE)</f>
        <v>#N/A</v>
      </c>
      <c r="U12" s="151" t="e">
        <f>VLOOKUP($N12,flows!$A$2:$J$4985,U$3,FALSE)</f>
        <v>#N/A</v>
      </c>
      <c r="V12" s="151" t="e">
        <f>VLOOKUP($N12,flows!$A$2:$J$4985,V$3,FALSE)</f>
        <v>#N/A</v>
      </c>
    </row>
    <row r="13" spans="1:24" x14ac:dyDescent="0.35">
      <c r="A13" s="40" t="s">
        <v>452</v>
      </c>
      <c r="B13" s="151" t="e">
        <f>VLOOKUP($A13,capacities!$A$2:$J$2352,B$3,FALSE)</f>
        <v>#N/A</v>
      </c>
      <c r="C13" s="151" t="e">
        <f>VLOOKUP($A13,capacities!$A$2:$J$2352,C$3,FALSE)</f>
        <v>#N/A</v>
      </c>
      <c r="D13" s="151" t="e">
        <f>VLOOKUP($A13,capacities!$A$2:$J$2352,D$3,FALSE)</f>
        <v>#N/A</v>
      </c>
      <c r="E13" s="151" t="e">
        <f>VLOOKUP($A13,capacities!$A$2:$J$2352,E$3,FALSE)</f>
        <v>#N/A</v>
      </c>
      <c r="F13" s="151" t="e">
        <f>VLOOKUP($A13,capacities!$A$2:$J$2352,F$3,FALSE)</f>
        <v>#N/A</v>
      </c>
      <c r="G13" s="151" t="e">
        <f>VLOOKUP($A13,capacities!$A$2:$J$2352,G$3,FALSE)</f>
        <v>#N/A</v>
      </c>
      <c r="H13" s="151" t="e">
        <f>VLOOKUP($A13,capacities!$A$2:$J$2352,H$3,FALSE)</f>
        <v>#N/A</v>
      </c>
      <c r="I13" s="151" t="e">
        <f>VLOOKUP($A13,capacities!$A$2:$J$2352,I$3,FALSE)</f>
        <v>#N/A</v>
      </c>
      <c r="N13" s="40" t="s">
        <v>1706</v>
      </c>
      <c r="O13" s="151" t="e">
        <f>VLOOKUP($N13,flows!$A$2:$J$4985,O$3,FALSE)</f>
        <v>#N/A</v>
      </c>
      <c r="P13" s="151" t="e">
        <f>VLOOKUP($N13,flows!$A$2:$J$4985,P$3,FALSE)</f>
        <v>#N/A</v>
      </c>
      <c r="Q13" s="151" t="e">
        <f>VLOOKUP($N13,flows!$A$2:$J$4985,Q$3,FALSE)</f>
        <v>#N/A</v>
      </c>
      <c r="R13" s="151" t="e">
        <f>VLOOKUP($N13,flows!$A$2:$J$4985,R$3,FALSE)</f>
        <v>#N/A</v>
      </c>
      <c r="S13" s="151" t="e">
        <f>VLOOKUP($N13,flows!$A$2:$J$4985,S$3,FALSE)</f>
        <v>#N/A</v>
      </c>
      <c r="T13" s="151" t="e">
        <f>VLOOKUP($N13,flows!$A$2:$J$4985,T$3,FALSE)</f>
        <v>#N/A</v>
      </c>
      <c r="U13" s="151" t="e">
        <f>VLOOKUP($N13,flows!$A$2:$J$4985,U$3,FALSE)</f>
        <v>#N/A</v>
      </c>
      <c r="V13" s="151" t="e">
        <f>VLOOKUP($N13,flows!$A$2:$J$4985,V$3,FALSE)</f>
        <v>#N/A</v>
      </c>
    </row>
    <row r="14" spans="1:24" x14ac:dyDescent="0.35">
      <c r="A14" s="40" t="s">
        <v>453</v>
      </c>
      <c r="B14" s="151" t="e">
        <f>VLOOKUP($A14,capacities!$A$2:$J$2352,B$3,FALSE)</f>
        <v>#N/A</v>
      </c>
      <c r="C14" s="151" t="e">
        <f>VLOOKUP($A14,capacities!$A$2:$J$2352,C$3,FALSE)</f>
        <v>#N/A</v>
      </c>
      <c r="D14" s="151" t="e">
        <f>VLOOKUP($A14,capacities!$A$2:$J$2352,D$3,FALSE)</f>
        <v>#N/A</v>
      </c>
      <c r="E14" s="151" t="e">
        <f>VLOOKUP($A14,capacities!$A$2:$J$2352,E$3,FALSE)</f>
        <v>#N/A</v>
      </c>
      <c r="F14" s="151" t="e">
        <f>VLOOKUP($A14,capacities!$A$2:$J$2352,F$3,FALSE)</f>
        <v>#N/A</v>
      </c>
      <c r="G14" s="151" t="e">
        <f>VLOOKUP($A14,capacities!$A$2:$J$2352,G$3,FALSE)</f>
        <v>#N/A</v>
      </c>
      <c r="H14" s="151" t="e">
        <f>VLOOKUP($A14,capacities!$A$2:$J$2352,H$3,FALSE)</f>
        <v>#N/A</v>
      </c>
      <c r="I14" s="151" t="e">
        <f>VLOOKUP($A14,capacities!$A$2:$J$2352,I$3,FALSE)</f>
        <v>#N/A</v>
      </c>
      <c r="N14" s="40" t="s">
        <v>1015</v>
      </c>
      <c r="O14" s="151" t="e">
        <f>VLOOKUP($N14,flows!$A$2:$J$4985,O$3,FALSE)</f>
        <v>#N/A</v>
      </c>
      <c r="P14" s="151" t="e">
        <f>VLOOKUP($N14,flows!$A$2:$J$4985,P$3,FALSE)</f>
        <v>#N/A</v>
      </c>
      <c r="Q14" s="151" t="e">
        <f>VLOOKUP($N14,flows!$A$2:$J$4985,Q$3,FALSE)</f>
        <v>#N/A</v>
      </c>
      <c r="R14" s="151" t="e">
        <f>VLOOKUP($N14,flows!$A$2:$J$4985,R$3,FALSE)</f>
        <v>#N/A</v>
      </c>
      <c r="S14" s="151" t="e">
        <f>VLOOKUP($N14,flows!$A$2:$J$4985,S$3,FALSE)</f>
        <v>#N/A</v>
      </c>
      <c r="T14" s="151" t="e">
        <f>VLOOKUP($N14,flows!$A$2:$J$4985,T$3,FALSE)</f>
        <v>#N/A</v>
      </c>
      <c r="U14" s="151" t="e">
        <f>VLOOKUP($N14,flows!$A$2:$J$4985,U$3,FALSE)</f>
        <v>#N/A</v>
      </c>
      <c r="V14" s="151" t="e">
        <f>VLOOKUP($N14,flows!$A$2:$J$4985,V$3,FALSE)</f>
        <v>#N/A</v>
      </c>
    </row>
    <row r="15" spans="1:24" x14ac:dyDescent="0.35">
      <c r="A15" s="40" t="s">
        <v>454</v>
      </c>
      <c r="B15" s="151" t="e">
        <f>VLOOKUP($A15,capacities!$A$2:$J$2352,B$3,FALSE)</f>
        <v>#N/A</v>
      </c>
      <c r="C15" s="151" t="e">
        <f>VLOOKUP($A15,capacities!$A$2:$J$2352,C$3,FALSE)</f>
        <v>#N/A</v>
      </c>
      <c r="D15" s="151" t="e">
        <f>VLOOKUP($A15,capacities!$A$2:$J$2352,D$3,FALSE)</f>
        <v>#N/A</v>
      </c>
      <c r="E15" s="151" t="e">
        <f>VLOOKUP($A15,capacities!$A$2:$J$2352,E$3,FALSE)</f>
        <v>#N/A</v>
      </c>
      <c r="F15" s="151" t="e">
        <f>VLOOKUP($A15,capacities!$A$2:$J$2352,F$3,FALSE)</f>
        <v>#N/A</v>
      </c>
      <c r="G15" s="151" t="e">
        <f>VLOOKUP($A15,capacities!$A$2:$J$2352,G$3,FALSE)</f>
        <v>#N/A</v>
      </c>
      <c r="H15" s="151" t="e">
        <f>VLOOKUP($A15,capacities!$A$2:$J$2352,H$3,FALSE)</f>
        <v>#N/A</v>
      </c>
      <c r="I15" s="151" t="e">
        <f>VLOOKUP($A15,capacities!$A$2:$J$2352,I$3,FALSE)</f>
        <v>#N/A</v>
      </c>
      <c r="N15" s="40" t="s">
        <v>1017</v>
      </c>
      <c r="O15" s="151" t="e">
        <f>VLOOKUP($N15,flows!$A$2:$J$4985,O$3,FALSE)</f>
        <v>#N/A</v>
      </c>
      <c r="P15" s="151" t="e">
        <f>VLOOKUP($N15,flows!$A$2:$J$4985,P$3,FALSE)</f>
        <v>#N/A</v>
      </c>
      <c r="Q15" s="151" t="e">
        <f>VLOOKUP($N15,flows!$A$2:$J$4985,Q$3,FALSE)</f>
        <v>#N/A</v>
      </c>
      <c r="R15" s="151" t="e">
        <f>VLOOKUP($N15,flows!$A$2:$J$4985,R$3,FALSE)</f>
        <v>#N/A</v>
      </c>
      <c r="S15" s="151" t="e">
        <f>VLOOKUP($N15,flows!$A$2:$J$4985,S$3,FALSE)</f>
        <v>#N/A</v>
      </c>
      <c r="T15" s="151" t="e">
        <f>VLOOKUP($N15,flows!$A$2:$J$4985,T$3,FALSE)</f>
        <v>#N/A</v>
      </c>
      <c r="U15" s="151" t="e">
        <f>VLOOKUP($N15,flows!$A$2:$J$4985,U$3,FALSE)</f>
        <v>#N/A</v>
      </c>
      <c r="V15" s="151" t="e">
        <f>VLOOKUP($N15,flows!$A$2:$J$4985,V$3,FALSE)</f>
        <v>#N/A</v>
      </c>
    </row>
    <row r="16" spans="1:24" x14ac:dyDescent="0.35">
      <c r="A16" s="40" t="s">
        <v>455</v>
      </c>
      <c r="B16" s="151" t="e">
        <f>VLOOKUP($A16,capacities!$A$2:$J$2352,B$3,FALSE)</f>
        <v>#N/A</v>
      </c>
      <c r="C16" s="151" t="e">
        <f>VLOOKUP($A16,capacities!$A$2:$J$2352,C$3,FALSE)</f>
        <v>#N/A</v>
      </c>
      <c r="D16" s="151" t="e">
        <f>VLOOKUP($A16,capacities!$A$2:$J$2352,D$3,FALSE)</f>
        <v>#N/A</v>
      </c>
      <c r="E16" s="151" t="e">
        <f>VLOOKUP($A16,capacities!$A$2:$J$2352,E$3,FALSE)</f>
        <v>#N/A</v>
      </c>
      <c r="F16" s="151" t="e">
        <f>VLOOKUP($A16,capacities!$A$2:$J$2352,F$3,FALSE)</f>
        <v>#N/A</v>
      </c>
      <c r="G16" s="151" t="e">
        <f>VLOOKUP($A16,capacities!$A$2:$J$2352,G$3,FALSE)</f>
        <v>#N/A</v>
      </c>
      <c r="H16" s="151" t="e">
        <f>VLOOKUP($A16,capacities!$A$2:$J$2352,H$3,FALSE)</f>
        <v>#N/A</v>
      </c>
      <c r="I16" s="151" t="e">
        <f>VLOOKUP($A16,capacities!$A$2:$J$2352,I$3,FALSE)</f>
        <v>#N/A</v>
      </c>
      <c r="N16" s="40" t="s">
        <v>1019</v>
      </c>
      <c r="O16" s="151" t="e">
        <f>VLOOKUP($N16,flows!$A$2:$J$4985,O$3,FALSE)</f>
        <v>#N/A</v>
      </c>
      <c r="P16" s="151" t="e">
        <f>VLOOKUP($N16,flows!$A$2:$J$4985,P$3,FALSE)</f>
        <v>#N/A</v>
      </c>
      <c r="Q16" s="151" t="e">
        <f>VLOOKUP($N16,flows!$A$2:$J$4985,Q$3,FALSE)</f>
        <v>#N/A</v>
      </c>
      <c r="R16" s="151" t="e">
        <f>VLOOKUP($N16,flows!$A$2:$J$4985,R$3,FALSE)</f>
        <v>#N/A</v>
      </c>
      <c r="S16" s="151" t="e">
        <f>VLOOKUP($N16,flows!$A$2:$J$4985,S$3,FALSE)</f>
        <v>#N/A</v>
      </c>
      <c r="T16" s="151" t="e">
        <f>VLOOKUP($N16,flows!$A$2:$J$4985,T$3,FALSE)</f>
        <v>#N/A</v>
      </c>
      <c r="U16" s="151" t="e">
        <f>VLOOKUP($N16,flows!$A$2:$J$4985,U$3,FALSE)</f>
        <v>#N/A</v>
      </c>
      <c r="V16" s="151" t="e">
        <f>VLOOKUP($N16,flows!$A$2:$J$4985,V$3,FALSE)</f>
        <v>#N/A</v>
      </c>
    </row>
    <row r="17" spans="1:22" x14ac:dyDescent="0.35">
      <c r="A17" s="40" t="s">
        <v>456</v>
      </c>
      <c r="B17" s="151" t="e">
        <f>VLOOKUP($A17,capacities!$A$2:$J$2352,B$3,FALSE)</f>
        <v>#N/A</v>
      </c>
      <c r="C17" s="151" t="e">
        <f>VLOOKUP($A17,capacities!$A$2:$J$2352,C$3,FALSE)</f>
        <v>#N/A</v>
      </c>
      <c r="D17" s="151" t="e">
        <f>VLOOKUP($A17,capacities!$A$2:$J$2352,D$3,FALSE)</f>
        <v>#N/A</v>
      </c>
      <c r="E17" s="151" t="e">
        <f>VLOOKUP($A17,capacities!$A$2:$J$2352,E$3,FALSE)</f>
        <v>#N/A</v>
      </c>
      <c r="F17" s="151" t="e">
        <f>VLOOKUP($A17,capacities!$A$2:$J$2352,F$3,FALSE)</f>
        <v>#N/A</v>
      </c>
      <c r="G17" s="151" t="e">
        <f>VLOOKUP($A17,capacities!$A$2:$J$2352,G$3,FALSE)</f>
        <v>#N/A</v>
      </c>
      <c r="H17" s="151" t="e">
        <f>VLOOKUP($A17,capacities!$A$2:$J$2352,H$3,FALSE)</f>
        <v>#N/A</v>
      </c>
      <c r="I17" s="151" t="e">
        <f>VLOOKUP($A17,capacities!$A$2:$J$2352,I$3,FALSE)</f>
        <v>#N/A</v>
      </c>
      <c r="N17" s="40" t="s">
        <v>1021</v>
      </c>
      <c r="O17" s="151" t="e">
        <f>VLOOKUP($N17,flows!$A$2:$J$4985,O$3,FALSE)</f>
        <v>#N/A</v>
      </c>
      <c r="P17" s="151" t="e">
        <f>VLOOKUP($N17,flows!$A$2:$J$4985,P$3,FALSE)</f>
        <v>#N/A</v>
      </c>
      <c r="Q17" s="151" t="e">
        <f>VLOOKUP($N17,flows!$A$2:$J$4985,Q$3,FALSE)</f>
        <v>#N/A</v>
      </c>
      <c r="R17" s="151" t="e">
        <f>VLOOKUP($N17,flows!$A$2:$J$4985,R$3,FALSE)</f>
        <v>#N/A</v>
      </c>
      <c r="S17" s="151" t="e">
        <f>VLOOKUP($N17,flows!$A$2:$J$4985,S$3,FALSE)</f>
        <v>#N/A</v>
      </c>
      <c r="T17" s="151" t="e">
        <f>VLOOKUP($N17,flows!$A$2:$J$4985,T$3,FALSE)</f>
        <v>#N/A</v>
      </c>
      <c r="U17" s="151" t="e">
        <f>VLOOKUP($N17,flows!$A$2:$J$4985,U$3,FALSE)</f>
        <v>#N/A</v>
      </c>
      <c r="V17" s="151" t="e">
        <f>VLOOKUP($N17,flows!$A$2:$J$4985,V$3,FALSE)</f>
        <v>#N/A</v>
      </c>
    </row>
    <row r="18" spans="1:22" x14ac:dyDescent="0.35">
      <c r="A18" s="40" t="s">
        <v>457</v>
      </c>
      <c r="B18" s="151" t="e">
        <f>VLOOKUP($A18,capacities!$A$2:$J$2352,B$3,FALSE)</f>
        <v>#N/A</v>
      </c>
      <c r="C18" s="151" t="e">
        <f>VLOOKUP($A18,capacities!$A$2:$J$2352,C$3,FALSE)</f>
        <v>#N/A</v>
      </c>
      <c r="D18" s="151" t="e">
        <f>VLOOKUP($A18,capacities!$A$2:$J$2352,D$3,FALSE)</f>
        <v>#N/A</v>
      </c>
      <c r="E18" s="151" t="e">
        <f>VLOOKUP($A18,capacities!$A$2:$J$2352,E$3,FALSE)</f>
        <v>#N/A</v>
      </c>
      <c r="F18" s="151" t="e">
        <f>VLOOKUP($A18,capacities!$A$2:$J$2352,F$3,FALSE)</f>
        <v>#N/A</v>
      </c>
      <c r="G18" s="151" t="e">
        <f>VLOOKUP($A18,capacities!$A$2:$J$2352,G$3,FALSE)</f>
        <v>#N/A</v>
      </c>
      <c r="H18" s="151" t="e">
        <f>VLOOKUP($A18,capacities!$A$2:$J$2352,H$3,FALSE)</f>
        <v>#N/A</v>
      </c>
      <c r="I18" s="151" t="e">
        <f>VLOOKUP($A18,capacities!$A$2:$J$2352,I$3,FALSE)</f>
        <v>#N/A</v>
      </c>
      <c r="N18" s="40" t="s">
        <v>1023</v>
      </c>
      <c r="O18" s="151" t="e">
        <f>VLOOKUP($N18,flows!$A$2:$J$4985,O$3,FALSE)</f>
        <v>#N/A</v>
      </c>
      <c r="P18" s="151" t="e">
        <f>VLOOKUP($N18,flows!$A$2:$J$4985,P$3,FALSE)</f>
        <v>#N/A</v>
      </c>
      <c r="Q18" s="151" t="e">
        <f>VLOOKUP($N18,flows!$A$2:$J$4985,Q$3,FALSE)</f>
        <v>#N/A</v>
      </c>
      <c r="R18" s="151" t="e">
        <f>VLOOKUP($N18,flows!$A$2:$J$4985,R$3,FALSE)</f>
        <v>#N/A</v>
      </c>
      <c r="S18" s="151" t="e">
        <f>VLOOKUP($N18,flows!$A$2:$J$4985,S$3,FALSE)</f>
        <v>#N/A</v>
      </c>
      <c r="T18" s="151" t="e">
        <f>VLOOKUP($N18,flows!$A$2:$J$4985,T$3,FALSE)</f>
        <v>#N/A</v>
      </c>
      <c r="U18" s="151" t="e">
        <f>VLOOKUP($N18,flows!$A$2:$J$4985,U$3,FALSE)</f>
        <v>#N/A</v>
      </c>
      <c r="V18" s="151" t="e">
        <f>VLOOKUP($N18,flows!$A$2:$J$4985,V$3,FALSE)</f>
        <v>#N/A</v>
      </c>
    </row>
    <row r="19" spans="1:22" x14ac:dyDescent="0.35">
      <c r="A19" s="99" t="s">
        <v>1653</v>
      </c>
      <c r="B19" s="151" t="e">
        <f>SUM(B12:B18)</f>
        <v>#N/A</v>
      </c>
      <c r="C19" s="151" t="e">
        <f t="shared" ref="C19:I19" si="2">SUM(C12:C18)</f>
        <v>#N/A</v>
      </c>
      <c r="D19" s="151" t="e">
        <f t="shared" si="2"/>
        <v>#N/A</v>
      </c>
      <c r="E19" s="151" t="e">
        <f t="shared" si="2"/>
        <v>#N/A</v>
      </c>
      <c r="F19" s="151" t="e">
        <f t="shared" si="2"/>
        <v>#N/A</v>
      </c>
      <c r="G19" s="151" t="e">
        <f t="shared" si="2"/>
        <v>#N/A</v>
      </c>
      <c r="H19" s="151" t="e">
        <f t="shared" si="2"/>
        <v>#N/A</v>
      </c>
      <c r="I19" s="151" t="e">
        <f t="shared" si="2"/>
        <v>#N/A</v>
      </c>
      <c r="N19" s="40" t="s">
        <v>1025</v>
      </c>
      <c r="O19" s="151" t="e">
        <f>VLOOKUP($N19,flows!$A$2:$J$4985,O$3,FALSE)</f>
        <v>#N/A</v>
      </c>
      <c r="P19" s="151" t="e">
        <f>VLOOKUP($N19,flows!$A$2:$J$4985,P$3,FALSE)</f>
        <v>#N/A</v>
      </c>
      <c r="Q19" s="151" t="e">
        <f>VLOOKUP($N19,flows!$A$2:$J$4985,Q$3,FALSE)</f>
        <v>#N/A</v>
      </c>
      <c r="R19" s="151" t="e">
        <f>VLOOKUP($N19,flows!$A$2:$J$4985,R$3,FALSE)</f>
        <v>#N/A</v>
      </c>
      <c r="S19" s="151" t="e">
        <f>VLOOKUP($N19,flows!$A$2:$J$4985,S$3,FALSE)</f>
        <v>#N/A</v>
      </c>
      <c r="T19" s="151" t="e">
        <f>VLOOKUP($N19,flows!$A$2:$J$4985,T$3,FALSE)</f>
        <v>#N/A</v>
      </c>
      <c r="U19" s="151" t="e">
        <f>VLOOKUP($N19,flows!$A$2:$J$4985,U$3,FALSE)</f>
        <v>#N/A</v>
      </c>
      <c r="V19" s="151" t="e">
        <f>VLOOKUP($N19,flows!$A$2:$J$4985,V$3,FALSE)</f>
        <v>#N/A</v>
      </c>
    </row>
    <row r="20" spans="1:22" x14ac:dyDescent="0.35">
      <c r="A20" s="40"/>
      <c r="B20" s="151"/>
      <c r="C20" s="151"/>
      <c r="D20" s="151"/>
      <c r="E20" s="151"/>
      <c r="F20" s="151"/>
      <c r="G20" s="151"/>
      <c r="H20" s="151"/>
      <c r="I20" s="151"/>
      <c r="N20" s="40" t="s">
        <v>1027</v>
      </c>
      <c r="O20" s="151" t="e">
        <f>VLOOKUP($N20,flows!$A$2:$J$4985,O$3,FALSE)</f>
        <v>#N/A</v>
      </c>
      <c r="P20" s="151" t="e">
        <f>VLOOKUP($N20,flows!$A$2:$J$4985,P$3,FALSE)</f>
        <v>#N/A</v>
      </c>
      <c r="Q20" s="151" t="e">
        <f>VLOOKUP($N20,flows!$A$2:$J$4985,Q$3,FALSE)</f>
        <v>#N/A</v>
      </c>
      <c r="R20" s="151" t="e">
        <f>VLOOKUP($N20,flows!$A$2:$J$4985,R$3,FALSE)</f>
        <v>#N/A</v>
      </c>
      <c r="S20" s="151" t="e">
        <f>VLOOKUP($N20,flows!$A$2:$J$4985,S$3,FALSE)</f>
        <v>#N/A</v>
      </c>
      <c r="T20" s="151" t="e">
        <f>VLOOKUP($N20,flows!$A$2:$J$4985,T$3,FALSE)</f>
        <v>#N/A</v>
      </c>
      <c r="U20" s="151" t="e">
        <f>VLOOKUP($N20,flows!$A$2:$J$4985,U$3,FALSE)</f>
        <v>#N/A</v>
      </c>
      <c r="V20" s="151" t="e">
        <f>VLOOKUP($N20,flows!$A$2:$J$4985,V$3,FALSE)</f>
        <v>#N/A</v>
      </c>
    </row>
    <row r="21" spans="1:22" x14ac:dyDescent="0.35">
      <c r="A21" s="40"/>
      <c r="B21" s="151"/>
      <c r="C21" s="151"/>
      <c r="D21" s="151"/>
      <c r="E21" s="151"/>
      <c r="F21" s="151"/>
      <c r="G21" s="151"/>
      <c r="H21" s="151"/>
      <c r="I21" s="151"/>
      <c r="N21" s="40" t="s">
        <v>1029</v>
      </c>
      <c r="O21" s="151" t="e">
        <f>VLOOKUP($N21,flows!$A$2:$J$4985,O$3,FALSE)</f>
        <v>#N/A</v>
      </c>
      <c r="P21" s="151" t="e">
        <f>VLOOKUP($N21,flows!$A$2:$J$4985,P$3,FALSE)</f>
        <v>#N/A</v>
      </c>
      <c r="Q21" s="151" t="e">
        <f>VLOOKUP($N21,flows!$A$2:$J$4985,Q$3,FALSE)</f>
        <v>#N/A</v>
      </c>
      <c r="R21" s="151" t="e">
        <f>VLOOKUP($N21,flows!$A$2:$J$4985,R$3,FALSE)</f>
        <v>#N/A</v>
      </c>
      <c r="S21" s="151" t="e">
        <f>VLOOKUP($N21,flows!$A$2:$J$4985,S$3,FALSE)</f>
        <v>#N/A</v>
      </c>
      <c r="T21" s="151" t="e">
        <f>VLOOKUP($N21,flows!$A$2:$J$4985,T$3,FALSE)</f>
        <v>#N/A</v>
      </c>
      <c r="U21" s="151" t="e">
        <f>VLOOKUP($N21,flows!$A$2:$J$4985,U$3,FALSE)</f>
        <v>#N/A</v>
      </c>
      <c r="V21" s="151" t="e">
        <f>VLOOKUP($N21,flows!$A$2:$J$4985,V$3,FALSE)</f>
        <v>#N/A</v>
      </c>
    </row>
    <row r="22" spans="1:22" x14ac:dyDescent="0.35">
      <c r="A22" s="40" t="s">
        <v>440</v>
      </c>
      <c r="B22" s="151" t="e">
        <f>VLOOKUP($A22,capacities!$A$2:$J$2352,B$3,FALSE)</f>
        <v>#N/A</v>
      </c>
      <c r="C22" s="151" t="e">
        <f>VLOOKUP($A22,capacities!$A$2:$J$2352,C$3,FALSE)</f>
        <v>#N/A</v>
      </c>
      <c r="D22" s="151" t="e">
        <f>VLOOKUP($A22,capacities!$A$2:$J$2352,D$3,FALSE)</f>
        <v>#N/A</v>
      </c>
      <c r="E22" s="151" t="e">
        <f>VLOOKUP($A22,capacities!$A$2:$J$2352,E$3,FALSE)</f>
        <v>#N/A</v>
      </c>
      <c r="F22" s="151" t="e">
        <f>VLOOKUP($A22,capacities!$A$2:$J$2352,F$3,FALSE)</f>
        <v>#N/A</v>
      </c>
      <c r="G22" s="151" t="e">
        <f>VLOOKUP($A22,capacities!$A$2:$J$2352,G$3,FALSE)</f>
        <v>#N/A</v>
      </c>
      <c r="H22" s="151" t="e">
        <f>VLOOKUP($A22,capacities!$A$2:$J$2352,H$3,FALSE)</f>
        <v>#N/A</v>
      </c>
      <c r="I22" s="151" t="e">
        <f>VLOOKUP($A22,capacities!$A$2:$J$2352,I$3,FALSE)</f>
        <v>#N/A</v>
      </c>
      <c r="N22" s="40" t="s">
        <v>1031</v>
      </c>
      <c r="O22" s="151" t="e">
        <f>VLOOKUP($N22,flows!$A$2:$J$4985,O$3,FALSE)</f>
        <v>#N/A</v>
      </c>
      <c r="P22" s="151" t="e">
        <f>VLOOKUP($N22,flows!$A$2:$J$4985,P$3,FALSE)</f>
        <v>#N/A</v>
      </c>
      <c r="Q22" s="151" t="e">
        <f>VLOOKUP($N22,flows!$A$2:$J$4985,Q$3,FALSE)</f>
        <v>#N/A</v>
      </c>
      <c r="R22" s="151" t="e">
        <f>VLOOKUP($N22,flows!$A$2:$J$4985,R$3,FALSE)</f>
        <v>#N/A</v>
      </c>
      <c r="S22" s="151" t="e">
        <f>VLOOKUP($N22,flows!$A$2:$J$4985,S$3,FALSE)</f>
        <v>#N/A</v>
      </c>
      <c r="T22" s="151" t="e">
        <f>VLOOKUP($N22,flows!$A$2:$J$4985,T$3,FALSE)</f>
        <v>#N/A</v>
      </c>
      <c r="U22" s="151" t="e">
        <f>VLOOKUP($N22,flows!$A$2:$J$4985,U$3,FALSE)</f>
        <v>#N/A</v>
      </c>
      <c r="V22" s="151" t="e">
        <f>VLOOKUP($N22,flows!$A$2:$J$4985,V$3,FALSE)</f>
        <v>#N/A</v>
      </c>
    </row>
    <row r="23" spans="1:22" x14ac:dyDescent="0.35">
      <c r="A23" s="40" t="s">
        <v>47</v>
      </c>
      <c r="B23" s="151" t="e">
        <f>VLOOKUP($A23,capacities!$A$2:$J$2352,B$3,FALSE)</f>
        <v>#N/A</v>
      </c>
      <c r="C23" s="151" t="e">
        <f>VLOOKUP($A23,capacities!$A$2:$J$2352,C$3,FALSE)</f>
        <v>#N/A</v>
      </c>
      <c r="D23" s="151" t="e">
        <f>VLOOKUP($A23,capacities!$A$2:$J$2352,D$3,FALSE)</f>
        <v>#N/A</v>
      </c>
      <c r="E23" s="151" t="e">
        <f>VLOOKUP($A23,capacities!$A$2:$J$2352,E$3,FALSE)</f>
        <v>#N/A</v>
      </c>
      <c r="F23" s="151" t="e">
        <f>VLOOKUP($A23,capacities!$A$2:$J$2352,F$3,FALSE)</f>
        <v>#N/A</v>
      </c>
      <c r="G23" s="151" t="e">
        <f>VLOOKUP($A23,capacities!$A$2:$J$2352,G$3,FALSE)</f>
        <v>#N/A</v>
      </c>
      <c r="H23" s="151" t="e">
        <f>VLOOKUP($A23,capacities!$A$2:$J$2352,H$3,FALSE)</f>
        <v>#N/A</v>
      </c>
      <c r="I23" s="151" t="e">
        <f>VLOOKUP($A23,capacities!$A$2:$J$2352,I$3,FALSE)</f>
        <v>#N/A</v>
      </c>
      <c r="N23" s="40" t="s">
        <v>1033</v>
      </c>
      <c r="O23" s="151" t="e">
        <f>VLOOKUP($N23,flows!$A$2:$J$4985,O$3,FALSE)</f>
        <v>#N/A</v>
      </c>
      <c r="P23" s="151" t="e">
        <f>VLOOKUP($N23,flows!$A$2:$J$4985,P$3,FALSE)</f>
        <v>#N/A</v>
      </c>
      <c r="Q23" s="151" t="e">
        <f>VLOOKUP($N23,flows!$A$2:$J$4985,Q$3,FALSE)</f>
        <v>#N/A</v>
      </c>
      <c r="R23" s="151" t="e">
        <f>VLOOKUP($N23,flows!$A$2:$J$4985,R$3,FALSE)</f>
        <v>#N/A</v>
      </c>
      <c r="S23" s="151" t="e">
        <f>VLOOKUP($N23,flows!$A$2:$J$4985,S$3,FALSE)</f>
        <v>#N/A</v>
      </c>
      <c r="T23" s="151" t="e">
        <f>VLOOKUP($N23,flows!$A$2:$J$4985,T$3,FALSE)</f>
        <v>#N/A</v>
      </c>
      <c r="U23" s="151" t="e">
        <f>VLOOKUP($N23,flows!$A$2:$J$4985,U$3,FALSE)</f>
        <v>#N/A</v>
      </c>
      <c r="V23" s="151" t="e">
        <f>VLOOKUP($N23,flows!$A$2:$J$4985,V$3,FALSE)</f>
        <v>#N/A</v>
      </c>
    </row>
    <row r="24" spans="1:22" x14ac:dyDescent="0.35">
      <c r="A24" s="40" t="s">
        <v>25</v>
      </c>
      <c r="B24" s="151" t="e">
        <f>VLOOKUP($A24,capacities!$A$2:$J$2352,B$3,FALSE)</f>
        <v>#N/A</v>
      </c>
      <c r="C24" s="151" t="e">
        <f>VLOOKUP($A24,capacities!$A$2:$J$2352,C$3,FALSE)</f>
        <v>#N/A</v>
      </c>
      <c r="D24" s="151" t="e">
        <f>VLOOKUP($A24,capacities!$A$2:$J$2352,D$3,FALSE)</f>
        <v>#N/A</v>
      </c>
      <c r="E24" s="151" t="e">
        <f>VLOOKUP($A24,capacities!$A$2:$J$2352,E$3,FALSE)</f>
        <v>#N/A</v>
      </c>
      <c r="F24" s="151" t="e">
        <f>VLOOKUP($A24,capacities!$A$2:$J$2352,F$3,FALSE)</f>
        <v>#N/A</v>
      </c>
      <c r="G24" s="151" t="e">
        <f>VLOOKUP($A24,capacities!$A$2:$J$2352,G$3,FALSE)</f>
        <v>#N/A</v>
      </c>
      <c r="H24" s="151" t="e">
        <f>VLOOKUP($A24,capacities!$A$2:$J$2352,H$3,FALSE)</f>
        <v>#N/A</v>
      </c>
      <c r="I24" s="151" t="e">
        <f>VLOOKUP($A24,capacities!$A$2:$J$2352,I$3,FALSE)</f>
        <v>#N/A</v>
      </c>
      <c r="N24" s="40" t="s">
        <v>1035</v>
      </c>
      <c r="O24" s="151" t="e">
        <f>VLOOKUP($N24,flows!$A$2:$J$4985,O$3,FALSE)</f>
        <v>#N/A</v>
      </c>
      <c r="P24" s="151" t="e">
        <f>VLOOKUP($N24,flows!$A$2:$J$4985,P$3,FALSE)</f>
        <v>#N/A</v>
      </c>
      <c r="Q24" s="151" t="e">
        <f>VLOOKUP($N24,flows!$A$2:$J$4985,Q$3,FALSE)</f>
        <v>#N/A</v>
      </c>
      <c r="R24" s="151" t="e">
        <f>VLOOKUP($N24,flows!$A$2:$J$4985,R$3,FALSE)</f>
        <v>#N/A</v>
      </c>
      <c r="S24" s="151" t="e">
        <f>VLOOKUP($N24,flows!$A$2:$J$4985,S$3,FALSE)</f>
        <v>#N/A</v>
      </c>
      <c r="T24" s="151" t="e">
        <f>VLOOKUP($N24,flows!$A$2:$J$4985,T$3,FALSE)</f>
        <v>#N/A</v>
      </c>
      <c r="U24" s="151" t="e">
        <f>VLOOKUP($N24,flows!$A$2:$J$4985,U$3,FALSE)</f>
        <v>#N/A</v>
      </c>
      <c r="V24" s="151" t="e">
        <f>VLOOKUP($N24,flows!$A$2:$J$4985,V$3,FALSE)</f>
        <v>#N/A</v>
      </c>
    </row>
    <row r="25" spans="1:22" ht="15" thickBot="1" x14ac:dyDescent="0.4">
      <c r="A25" s="95" t="s">
        <v>1954</v>
      </c>
      <c r="B25" s="152" t="e">
        <f t="shared" ref="B25:I25" si="3">SUM(B22:B24)</f>
        <v>#N/A</v>
      </c>
      <c r="C25" s="152" t="e">
        <f t="shared" si="3"/>
        <v>#N/A</v>
      </c>
      <c r="D25" s="152" t="e">
        <f t="shared" si="3"/>
        <v>#N/A</v>
      </c>
      <c r="E25" s="152" t="e">
        <f t="shared" si="3"/>
        <v>#N/A</v>
      </c>
      <c r="F25" s="152" t="e">
        <f t="shared" si="3"/>
        <v>#N/A</v>
      </c>
      <c r="G25" s="152" t="e">
        <f t="shared" si="3"/>
        <v>#N/A</v>
      </c>
      <c r="H25" s="152" t="e">
        <f t="shared" si="3"/>
        <v>#N/A</v>
      </c>
      <c r="I25" s="152" t="e">
        <f t="shared" si="3"/>
        <v>#N/A</v>
      </c>
      <c r="N25" s="40" t="s">
        <v>1037</v>
      </c>
      <c r="O25" s="151" t="e">
        <f>VLOOKUP($N25,flows!$A$2:$J$4985,O$3,FALSE)</f>
        <v>#N/A</v>
      </c>
      <c r="P25" s="151" t="e">
        <f>VLOOKUP($N25,flows!$A$2:$J$4985,P$3,FALSE)</f>
        <v>#N/A</v>
      </c>
      <c r="Q25" s="151" t="e">
        <f>VLOOKUP($N25,flows!$A$2:$J$4985,Q$3,FALSE)</f>
        <v>#N/A</v>
      </c>
      <c r="R25" s="151" t="e">
        <f>VLOOKUP($N25,flows!$A$2:$J$4985,R$3,FALSE)</f>
        <v>#N/A</v>
      </c>
      <c r="S25" s="151" t="e">
        <f>VLOOKUP($N25,flows!$A$2:$J$4985,S$3,FALSE)</f>
        <v>#N/A</v>
      </c>
      <c r="T25" s="151" t="e">
        <f>VLOOKUP($N25,flows!$A$2:$J$4985,T$3,FALSE)</f>
        <v>#N/A</v>
      </c>
      <c r="U25" s="151" t="e">
        <f>VLOOKUP($N25,flows!$A$2:$J$4985,U$3,FALSE)</f>
        <v>#N/A</v>
      </c>
      <c r="V25" s="151" t="e">
        <f>VLOOKUP($N25,flows!$A$2:$J$4985,V$3,FALSE)</f>
        <v>#N/A</v>
      </c>
    </row>
    <row r="26" spans="1:22" x14ac:dyDescent="0.35">
      <c r="N26" s="40" t="s">
        <v>1039</v>
      </c>
      <c r="O26" s="151" t="e">
        <f>VLOOKUP($N26,flows!$A$2:$J$4985,O$3,FALSE)</f>
        <v>#N/A</v>
      </c>
      <c r="P26" s="151" t="e">
        <f>VLOOKUP($N26,flows!$A$2:$J$4985,P$3,FALSE)</f>
        <v>#N/A</v>
      </c>
      <c r="Q26" s="151" t="e">
        <f>VLOOKUP($N26,flows!$A$2:$J$4985,Q$3,FALSE)</f>
        <v>#N/A</v>
      </c>
      <c r="R26" s="151" t="e">
        <f>VLOOKUP($N26,flows!$A$2:$J$4985,R$3,FALSE)</f>
        <v>#N/A</v>
      </c>
      <c r="S26" s="151" t="e">
        <f>VLOOKUP($N26,flows!$A$2:$J$4985,S$3,FALSE)</f>
        <v>#N/A</v>
      </c>
      <c r="T26" s="151" t="e">
        <f>VLOOKUP($N26,flows!$A$2:$J$4985,T$3,FALSE)</f>
        <v>#N/A</v>
      </c>
      <c r="U26" s="151" t="e">
        <f>VLOOKUP($N26,flows!$A$2:$J$4985,U$3,FALSE)</f>
        <v>#N/A</v>
      </c>
      <c r="V26" s="151" t="e">
        <f>VLOOKUP($N26,flows!$A$2:$J$4985,V$3,FALSE)</f>
        <v>#N/A</v>
      </c>
    </row>
    <row r="27" spans="1:22" x14ac:dyDescent="0.35">
      <c r="N27" s="99" t="s">
        <v>1653</v>
      </c>
      <c r="O27" s="96" t="e">
        <f>SUM(O11:O26)</f>
        <v>#N/A</v>
      </c>
      <c r="P27" s="96" t="e">
        <f t="shared" ref="P27:V27" si="4">SUM(P11:P26)</f>
        <v>#N/A</v>
      </c>
      <c r="Q27" s="96" t="e">
        <f t="shared" si="4"/>
        <v>#N/A</v>
      </c>
      <c r="R27" s="96" t="e">
        <f t="shared" si="4"/>
        <v>#N/A</v>
      </c>
      <c r="S27" s="96" t="e">
        <f t="shared" si="4"/>
        <v>#N/A</v>
      </c>
      <c r="T27" s="96" t="e">
        <f t="shared" si="4"/>
        <v>#N/A</v>
      </c>
      <c r="U27" s="96" t="e">
        <f t="shared" si="4"/>
        <v>#N/A</v>
      </c>
      <c r="V27" s="96" t="e">
        <f t="shared" si="4"/>
        <v>#N/A</v>
      </c>
    </row>
    <row r="28" spans="1:22" x14ac:dyDescent="0.35">
      <c r="N28" s="40"/>
      <c r="O28" s="92"/>
      <c r="P28" s="92"/>
      <c r="Q28" s="92"/>
      <c r="R28" s="92"/>
      <c r="S28" s="92"/>
      <c r="T28" s="92"/>
      <c r="U28" s="92"/>
      <c r="V28" s="92"/>
    </row>
    <row r="29" spans="1:22" x14ac:dyDescent="0.35">
      <c r="N29" s="40" t="s">
        <v>1707</v>
      </c>
      <c r="O29" s="151" t="e">
        <f>VLOOKUP($N29,flows!$A$2:$J$4985,O$3,FALSE)</f>
        <v>#N/A</v>
      </c>
      <c r="P29" s="151" t="e">
        <f>VLOOKUP($N29,flows!$A$2:$J$4985,P$3,FALSE)</f>
        <v>#N/A</v>
      </c>
      <c r="Q29" s="151" t="e">
        <f>VLOOKUP($N29,flows!$A$2:$J$4985,Q$3,FALSE)</f>
        <v>#N/A</v>
      </c>
      <c r="R29" s="151" t="e">
        <f>VLOOKUP($N29,flows!$A$2:$J$4985,R$3,FALSE)</f>
        <v>#N/A</v>
      </c>
      <c r="S29" s="151" t="e">
        <f>VLOOKUP($N29,flows!$A$2:$J$4985,S$3,FALSE)</f>
        <v>#N/A</v>
      </c>
      <c r="T29" s="151" t="e">
        <f>VLOOKUP($N29,flows!$A$2:$J$4985,T$3,FALSE)</f>
        <v>#N/A</v>
      </c>
      <c r="U29" s="151" t="e">
        <f>VLOOKUP($N29,flows!$A$2:$J$4985,U$3,FALSE)</f>
        <v>#N/A</v>
      </c>
      <c r="V29" s="151" t="e">
        <f>VLOOKUP($N29,flows!$A$2:$J$4985,V$3,FALSE)</f>
        <v>#N/A</v>
      </c>
    </row>
    <row r="30" spans="1:22" x14ac:dyDescent="0.35">
      <c r="N30" s="40" t="s">
        <v>1708</v>
      </c>
      <c r="O30" s="151" t="e">
        <f>VLOOKUP($N30,flows!$A$2:$J$4985,O$3,FALSE)</f>
        <v>#N/A</v>
      </c>
      <c r="P30" s="151" t="e">
        <f>VLOOKUP($N30,flows!$A$2:$J$4985,P$3,FALSE)</f>
        <v>#N/A</v>
      </c>
      <c r="Q30" s="151" t="e">
        <f>VLOOKUP($N30,flows!$A$2:$J$4985,Q$3,FALSE)</f>
        <v>#N/A</v>
      </c>
      <c r="R30" s="151" t="e">
        <f>VLOOKUP($N30,flows!$A$2:$J$4985,R$3,FALSE)</f>
        <v>#N/A</v>
      </c>
      <c r="S30" s="151" t="e">
        <f>VLOOKUP($N30,flows!$A$2:$J$4985,S$3,FALSE)</f>
        <v>#N/A</v>
      </c>
      <c r="T30" s="151" t="e">
        <f>VLOOKUP($N30,flows!$A$2:$J$4985,T$3,FALSE)</f>
        <v>#N/A</v>
      </c>
      <c r="U30" s="151" t="e">
        <f>VLOOKUP($N30,flows!$A$2:$J$4985,U$3,FALSE)</f>
        <v>#N/A</v>
      </c>
      <c r="V30" s="151" t="e">
        <f>VLOOKUP($N30,flows!$A$2:$J$4985,V$3,FALSE)</f>
        <v>#N/A</v>
      </c>
    </row>
    <row r="31" spans="1:22" x14ac:dyDescent="0.35">
      <c r="N31" s="40" t="s">
        <v>1709</v>
      </c>
      <c r="O31" s="151" t="e">
        <f>VLOOKUP($N31,flows!$A$2:$J$4985,O$3,FALSE)</f>
        <v>#N/A</v>
      </c>
      <c r="P31" s="151" t="e">
        <f>VLOOKUP($N31,flows!$A$2:$J$4985,P$3,FALSE)</f>
        <v>#N/A</v>
      </c>
      <c r="Q31" s="151" t="e">
        <f>VLOOKUP($N31,flows!$A$2:$J$4985,Q$3,FALSE)</f>
        <v>#N/A</v>
      </c>
      <c r="R31" s="151" t="e">
        <f>VLOOKUP($N31,flows!$A$2:$J$4985,R$3,FALSE)</f>
        <v>#N/A</v>
      </c>
      <c r="S31" s="151" t="e">
        <f>VLOOKUP($N31,flows!$A$2:$J$4985,S$3,FALSE)</f>
        <v>#N/A</v>
      </c>
      <c r="T31" s="151" t="e">
        <f>VLOOKUP($N31,flows!$A$2:$J$4985,T$3,FALSE)</f>
        <v>#N/A</v>
      </c>
      <c r="U31" s="151" t="e">
        <f>VLOOKUP($N31,flows!$A$2:$J$4985,U$3,FALSE)</f>
        <v>#N/A</v>
      </c>
      <c r="V31" s="151" t="e">
        <f>VLOOKUP($N31,flows!$A$2:$J$4985,V$3,FALSE)</f>
        <v>#N/A</v>
      </c>
    </row>
    <row r="32" spans="1:22" ht="15" thickBot="1" x14ac:dyDescent="0.4">
      <c r="N32" s="95" t="s">
        <v>1954</v>
      </c>
      <c r="O32" s="101" t="e">
        <f t="shared" ref="O32:V32" si="5">SUM(O29:O31)</f>
        <v>#N/A</v>
      </c>
      <c r="P32" s="101" t="e">
        <f t="shared" si="5"/>
        <v>#N/A</v>
      </c>
      <c r="Q32" s="101" t="e">
        <f t="shared" si="5"/>
        <v>#N/A</v>
      </c>
      <c r="R32" s="101" t="e">
        <f t="shared" si="5"/>
        <v>#N/A</v>
      </c>
      <c r="S32" s="101" t="e">
        <f t="shared" si="5"/>
        <v>#N/A</v>
      </c>
      <c r="T32" s="101" t="e">
        <f t="shared" si="5"/>
        <v>#N/A</v>
      </c>
      <c r="U32" s="101" t="e">
        <f t="shared" si="5"/>
        <v>#N/A</v>
      </c>
      <c r="V32" s="101" t="e">
        <f t="shared" si="5"/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7"/>
  </sheetPr>
  <dimension ref="B1:BH40"/>
  <sheetViews>
    <sheetView zoomScale="70" zoomScaleNormal="70" workbookViewId="0">
      <selection activeCell="W6" sqref="W6"/>
    </sheetView>
  </sheetViews>
  <sheetFormatPr baseColWidth="10" defaultColWidth="11.453125" defaultRowHeight="14" x14ac:dyDescent="0.35"/>
  <cols>
    <col min="1" max="1" width="11.453125" style="2"/>
    <col min="2" max="2" width="21.453125" style="2" bestFit="1" customWidth="1"/>
    <col min="3" max="3" width="17.453125" style="2" bestFit="1" customWidth="1"/>
    <col min="4" max="13" width="11.453125" style="2"/>
    <col min="14" max="14" width="38.54296875" style="2" bestFit="1" customWidth="1"/>
    <col min="15" max="15" width="38.54296875" style="2" customWidth="1"/>
    <col min="16" max="16" width="19.54296875" style="2" bestFit="1" customWidth="1"/>
    <col min="17" max="25" width="11.453125" style="2"/>
    <col min="26" max="26" width="38.54296875" style="2" bestFit="1" customWidth="1"/>
    <col min="27" max="27" width="22.54296875" style="2" bestFit="1" customWidth="1"/>
    <col min="28" max="37" width="11.453125" style="2"/>
    <col min="38" max="38" width="38.54296875" style="2" bestFit="1" customWidth="1"/>
    <col min="39" max="39" width="22.54296875" style="2" bestFit="1" customWidth="1"/>
    <col min="40" max="49" width="11.453125" style="2"/>
    <col min="50" max="50" width="38.54296875" style="2" bestFit="1" customWidth="1"/>
    <col min="51" max="51" width="22.54296875" style="2" bestFit="1" customWidth="1"/>
    <col min="52" max="52" width="22.54296875" style="191" customWidth="1"/>
    <col min="53" max="54" width="11.453125" style="2"/>
    <col min="55" max="55" width="11.54296875" style="2" bestFit="1" customWidth="1"/>
    <col min="56" max="56" width="14" style="2" bestFit="1" customWidth="1"/>
    <col min="57" max="57" width="12.81640625" style="2" bestFit="1" customWidth="1"/>
    <col min="58" max="58" width="11.453125" style="2"/>
    <col min="59" max="60" width="14" style="2" bestFit="1" customWidth="1"/>
    <col min="61" max="16384" width="11.453125" style="2"/>
  </cols>
  <sheetData>
    <row r="1" spans="2:60" ht="14.5" thickBot="1" x14ac:dyDescent="0.4">
      <c r="C1" s="2" t="s">
        <v>1158</v>
      </c>
    </row>
    <row r="2" spans="2:60" ht="14.5" x14ac:dyDescent="0.35">
      <c r="B2" s="3" t="s">
        <v>1229</v>
      </c>
      <c r="C2" s="89">
        <v>2</v>
      </c>
      <c r="D2" s="89">
        <v>3</v>
      </c>
      <c r="E2" s="89">
        <v>4</v>
      </c>
      <c r="F2" s="89">
        <v>5</v>
      </c>
      <c r="G2" s="89">
        <v>6</v>
      </c>
      <c r="H2" s="89">
        <v>7</v>
      </c>
      <c r="I2" s="89">
        <v>8</v>
      </c>
      <c r="J2" s="89">
        <v>9</v>
      </c>
      <c r="N2" s="3" t="s">
        <v>1322</v>
      </c>
      <c r="O2" s="197" t="s">
        <v>1158</v>
      </c>
      <c r="P2" s="89">
        <v>2</v>
      </c>
      <c r="Q2" s="89">
        <v>3</v>
      </c>
      <c r="R2" s="89">
        <v>4</v>
      </c>
      <c r="S2" s="89">
        <v>5</v>
      </c>
      <c r="T2" s="89">
        <v>6</v>
      </c>
      <c r="U2" s="89">
        <v>7</v>
      </c>
      <c r="V2" s="89">
        <v>8</v>
      </c>
      <c r="W2" s="89">
        <v>9</v>
      </c>
      <c r="Z2" s="3" t="s">
        <v>1321</v>
      </c>
      <c r="AA2" s="197" t="s">
        <v>1158</v>
      </c>
      <c r="AB2" s="89">
        <v>2</v>
      </c>
      <c r="AC2" s="89">
        <v>3</v>
      </c>
      <c r="AD2" s="89">
        <v>4</v>
      </c>
      <c r="AE2" s="89">
        <v>5</v>
      </c>
      <c r="AF2" s="89">
        <v>6</v>
      </c>
      <c r="AG2" s="89">
        <v>7</v>
      </c>
      <c r="AH2" s="89">
        <v>8</v>
      </c>
      <c r="AI2" s="89">
        <v>9</v>
      </c>
      <c r="AL2" s="3" t="s">
        <v>1324</v>
      </c>
      <c r="AM2" s="29"/>
      <c r="AN2" s="89">
        <v>2</v>
      </c>
      <c r="AO2" s="89">
        <v>3</v>
      </c>
      <c r="AP2" s="89">
        <v>4</v>
      </c>
      <c r="AQ2" s="89">
        <v>5</v>
      </c>
      <c r="AR2" s="89">
        <v>6</v>
      </c>
      <c r="AS2" s="89">
        <v>7</v>
      </c>
      <c r="AT2" s="89">
        <v>8</v>
      </c>
      <c r="AU2" s="89">
        <v>9</v>
      </c>
      <c r="AX2" s="3" t="s">
        <v>1323</v>
      </c>
      <c r="AY2" s="29"/>
      <c r="AZ2" s="209"/>
      <c r="BA2" s="89">
        <v>2</v>
      </c>
      <c r="BB2" s="89">
        <v>3</v>
      </c>
      <c r="BC2" s="89">
        <v>4</v>
      </c>
      <c r="BD2" s="89">
        <v>5</v>
      </c>
      <c r="BE2" s="89">
        <v>6</v>
      </c>
      <c r="BF2" s="89">
        <v>7</v>
      </c>
      <c r="BG2" s="89">
        <v>8</v>
      </c>
      <c r="BH2" s="89">
        <v>9</v>
      </c>
    </row>
    <row r="3" spans="2:60" ht="14.5" x14ac:dyDescent="0.35">
      <c r="B3" s="23" t="s">
        <v>1258</v>
      </c>
      <c r="C3" s="133" t="s">
        <v>1417</v>
      </c>
      <c r="D3" s="133">
        <v>2020</v>
      </c>
      <c r="E3" s="133">
        <v>2025</v>
      </c>
      <c r="F3" s="133">
        <v>2030</v>
      </c>
      <c r="G3" s="133">
        <v>2035</v>
      </c>
      <c r="H3" s="133">
        <v>2040</v>
      </c>
      <c r="I3" s="133">
        <v>2045</v>
      </c>
      <c r="J3" s="133">
        <v>2050</v>
      </c>
      <c r="N3" s="23" t="s">
        <v>1258</v>
      </c>
      <c r="O3" s="30" t="s">
        <v>1259</v>
      </c>
      <c r="P3" s="133" t="s">
        <v>1417</v>
      </c>
      <c r="Q3" s="133">
        <v>2020</v>
      </c>
      <c r="R3" s="133">
        <v>2025</v>
      </c>
      <c r="S3" s="133">
        <v>2030</v>
      </c>
      <c r="T3" s="133">
        <v>2035</v>
      </c>
      <c r="U3" s="133">
        <v>2040</v>
      </c>
      <c r="V3" s="133">
        <v>2045</v>
      </c>
      <c r="W3" s="133">
        <v>2050</v>
      </c>
      <c r="Z3" s="23" t="s">
        <v>1258</v>
      </c>
      <c r="AA3" s="30" t="s">
        <v>1259</v>
      </c>
      <c r="AB3" s="133" t="s">
        <v>1417</v>
      </c>
      <c r="AC3" s="133">
        <v>2020</v>
      </c>
      <c r="AD3" s="133">
        <v>2025</v>
      </c>
      <c r="AE3" s="133">
        <v>2030</v>
      </c>
      <c r="AF3" s="133">
        <v>2035</v>
      </c>
      <c r="AG3" s="133">
        <v>2040</v>
      </c>
      <c r="AH3" s="133">
        <v>2045</v>
      </c>
      <c r="AI3" s="133">
        <v>2050</v>
      </c>
      <c r="AL3" s="23" t="s">
        <v>1258</v>
      </c>
      <c r="AM3" s="30" t="s">
        <v>1259</v>
      </c>
      <c r="AN3" s="133" t="s">
        <v>1417</v>
      </c>
      <c r="AO3" s="133">
        <v>2020</v>
      </c>
      <c r="AP3" s="133">
        <v>2025</v>
      </c>
      <c r="AQ3" s="133">
        <v>2030</v>
      </c>
      <c r="AR3" s="133">
        <v>2035</v>
      </c>
      <c r="AS3" s="133">
        <v>2040</v>
      </c>
      <c r="AT3" s="133">
        <v>2045</v>
      </c>
      <c r="AU3" s="133">
        <v>2050</v>
      </c>
      <c r="AX3" s="23" t="s">
        <v>1258</v>
      </c>
      <c r="AY3" s="30" t="s">
        <v>1259</v>
      </c>
      <c r="AZ3" s="210"/>
      <c r="BA3" s="133" t="s">
        <v>1417</v>
      </c>
      <c r="BB3" s="133">
        <v>2020</v>
      </c>
      <c r="BC3" s="133">
        <v>2025</v>
      </c>
      <c r="BD3" s="133">
        <v>2030</v>
      </c>
      <c r="BE3" s="133">
        <v>2035</v>
      </c>
      <c r="BF3" s="133">
        <v>2040</v>
      </c>
      <c r="BG3" s="133">
        <v>2045</v>
      </c>
      <c r="BH3" s="133">
        <v>2050</v>
      </c>
    </row>
    <row r="4" spans="2:60" ht="14.5" x14ac:dyDescent="0.35">
      <c r="B4" s="26" t="s">
        <v>1324</v>
      </c>
      <c r="C4" s="16" t="e">
        <f t="shared" ref="C4:J4" si="0">SUM(AN4:AN10)</f>
        <v>#N/A</v>
      </c>
      <c r="D4" s="16" t="e">
        <f t="shared" si="0"/>
        <v>#N/A</v>
      </c>
      <c r="E4" s="16" t="e">
        <f t="shared" si="0"/>
        <v>#N/A</v>
      </c>
      <c r="F4" s="16" t="e">
        <f t="shared" si="0"/>
        <v>#N/A</v>
      </c>
      <c r="G4" s="16" t="e">
        <f t="shared" si="0"/>
        <v>#N/A</v>
      </c>
      <c r="H4" s="16" t="e">
        <f t="shared" si="0"/>
        <v>#N/A</v>
      </c>
      <c r="I4" s="16" t="e">
        <f t="shared" si="0"/>
        <v>#N/A</v>
      </c>
      <c r="J4" s="16" t="e">
        <f t="shared" si="0"/>
        <v>#N/A</v>
      </c>
      <c r="N4" s="26" t="s">
        <v>451</v>
      </c>
      <c r="O4" s="31" t="s">
        <v>1348</v>
      </c>
      <c r="P4" s="151" t="e">
        <f>VLOOKUP($N4,capacities!$A$2:$J$2352,P$2,FALSE)</f>
        <v>#N/A</v>
      </c>
      <c r="Q4" s="151" t="e">
        <f>VLOOKUP($N4,capacities!$A$2:$J$2352,Q$2,FALSE)</f>
        <v>#N/A</v>
      </c>
      <c r="R4" s="151" t="e">
        <f>VLOOKUP($N4,capacities!$A$2:$J$2352,R$2,FALSE)</f>
        <v>#N/A</v>
      </c>
      <c r="S4" s="151" t="e">
        <f>VLOOKUP($N4,capacities!$A$2:$J$2352,S$2,FALSE)</f>
        <v>#N/A</v>
      </c>
      <c r="T4" s="151" t="e">
        <f>VLOOKUP($N4,capacities!$A$2:$J$2352,T$2,FALSE)</f>
        <v>#N/A</v>
      </c>
      <c r="U4" s="151" t="e">
        <f>VLOOKUP($N4,capacities!$A$2:$J$2352,U$2,FALSE)</f>
        <v>#N/A</v>
      </c>
      <c r="V4" s="151" t="e">
        <f>VLOOKUP($N4,capacities!$A$2:$J$2352,V$2,FALSE)</f>
        <v>#N/A</v>
      </c>
      <c r="W4" s="151" t="e">
        <f>VLOOKUP($N4,capacities!$A$2:$J$2352,W$2,FALSE)</f>
        <v>#N/A</v>
      </c>
      <c r="Z4" s="26" t="s">
        <v>444</v>
      </c>
      <c r="AA4" s="31" t="s">
        <v>1348</v>
      </c>
      <c r="AB4" s="151" t="e">
        <f>VLOOKUP($Z4,capacities!$A$2:$J$2352,AB$2,FALSE)</f>
        <v>#N/A</v>
      </c>
      <c r="AC4" s="151" t="e">
        <f>VLOOKUP($Z4,capacities!$A$2:$J$2352,AC$2,FALSE)</f>
        <v>#N/A</v>
      </c>
      <c r="AD4" s="151" t="e">
        <f>VLOOKUP($Z4,capacities!$A$2:$J$2352,AD$2,FALSE)</f>
        <v>#N/A</v>
      </c>
      <c r="AE4" s="151" t="e">
        <f>VLOOKUP($Z4,capacities!$A$2:$J$2352,AE$2,FALSE)</f>
        <v>#N/A</v>
      </c>
      <c r="AF4" s="151" t="e">
        <f>VLOOKUP($Z4,capacities!$A$2:$J$2352,AF$2,FALSE)</f>
        <v>#N/A</v>
      </c>
      <c r="AG4" s="151" t="e">
        <f>VLOOKUP($Z4,capacities!$A$2:$J$2352,AG$2,FALSE)</f>
        <v>#N/A</v>
      </c>
      <c r="AH4" s="151" t="e">
        <f>VLOOKUP($Z4,capacities!$A$2:$J$2352,AH$2,FALSE)</f>
        <v>#N/A</v>
      </c>
      <c r="AI4" s="151" t="e">
        <f>VLOOKUP($Z4,capacities!$A$2:$J$2352,AI$2,FALSE)</f>
        <v>#N/A</v>
      </c>
      <c r="AL4" s="26" t="s">
        <v>391</v>
      </c>
      <c r="AM4" s="31" t="s">
        <v>1348</v>
      </c>
      <c r="AN4" s="151" t="e">
        <f>VLOOKUP($AL4,capacities!$A$2:$J$2352,AN$2,FALSE)</f>
        <v>#N/A</v>
      </c>
      <c r="AO4" s="151" t="e">
        <f>VLOOKUP($AL4,capacities!$A$2:$J$2352,AO$2,FALSE)</f>
        <v>#N/A</v>
      </c>
      <c r="AP4" s="151" t="e">
        <f>VLOOKUP($AL4,capacities!$A$2:$J$2352,AP$2,FALSE)</f>
        <v>#N/A</v>
      </c>
      <c r="AQ4" s="151" t="e">
        <f>VLOOKUP($AL4,capacities!$A$2:$J$2352,AQ$2,FALSE)</f>
        <v>#N/A</v>
      </c>
      <c r="AR4" s="151" t="e">
        <f>VLOOKUP($AL4,capacities!$A$2:$J$2352,AR$2,FALSE)</f>
        <v>#N/A</v>
      </c>
      <c r="AS4" s="151" t="e">
        <f>VLOOKUP($AL4,capacities!$A$2:$J$2352,AS$2,FALSE)</f>
        <v>#N/A</v>
      </c>
      <c r="AT4" s="151" t="e">
        <f>VLOOKUP($AL4,capacities!$A$2:$J$2352,AT$2,FALSE)</f>
        <v>#N/A</v>
      </c>
      <c r="AU4" s="151" t="e">
        <f>VLOOKUP($AL4,capacities!$A$2:$J$2352,AU$2,FALSE)</f>
        <v>#N/A</v>
      </c>
      <c r="AX4" s="26" t="s">
        <v>379</v>
      </c>
      <c r="AY4" s="31" t="s">
        <v>1355</v>
      </c>
      <c r="AZ4" s="194" t="s">
        <v>1837</v>
      </c>
      <c r="BA4" s="151" t="e">
        <f>VLOOKUP($AX4,capacities!$A$2:$J$2352,BA$2,FALSE)</f>
        <v>#N/A</v>
      </c>
      <c r="BB4" s="151" t="e">
        <f>VLOOKUP($AX4,capacities!$A$2:$J$2352,BB$2,FALSE)</f>
        <v>#N/A</v>
      </c>
      <c r="BC4" s="151" t="e">
        <f>VLOOKUP($AX4,capacities!$A$2:$J$2352,BC$2,FALSE)</f>
        <v>#N/A</v>
      </c>
      <c r="BD4" s="151" t="e">
        <f>VLOOKUP($AX4,capacities!$A$2:$J$2352,BD$2,FALSE)</f>
        <v>#N/A</v>
      </c>
      <c r="BE4" s="151" t="e">
        <f>VLOOKUP($AX4,capacities!$A$2:$J$2352,BE$2,FALSE)</f>
        <v>#N/A</v>
      </c>
      <c r="BF4" s="151" t="e">
        <f>VLOOKUP($AX4,capacities!$A$2:$J$2352,BF$2,FALSE)</f>
        <v>#N/A</v>
      </c>
      <c r="BG4" s="151" t="e">
        <f>VLOOKUP($AX4,capacities!$A$2:$J$2352,BG$2,FALSE)</f>
        <v>#N/A</v>
      </c>
      <c r="BH4" s="151" t="e">
        <f>VLOOKUP($AX4,capacities!$A$2:$J$2352,BH$2,FALSE)</f>
        <v>#N/A</v>
      </c>
    </row>
    <row r="5" spans="2:60" ht="14.5" x14ac:dyDescent="0.35">
      <c r="B5" s="26" t="s">
        <v>1323</v>
      </c>
      <c r="C5" s="16" t="e">
        <f t="shared" ref="C5:J5" si="1">SUM(BA4:BA5)</f>
        <v>#N/A</v>
      </c>
      <c r="D5" s="16" t="e">
        <f t="shared" si="1"/>
        <v>#N/A</v>
      </c>
      <c r="E5" s="16" t="e">
        <f t="shared" si="1"/>
        <v>#N/A</v>
      </c>
      <c r="F5" s="16" t="e">
        <f t="shared" si="1"/>
        <v>#N/A</v>
      </c>
      <c r="G5" s="16" t="e">
        <f t="shared" si="1"/>
        <v>#N/A</v>
      </c>
      <c r="H5" s="16" t="e">
        <f t="shared" si="1"/>
        <v>#N/A</v>
      </c>
      <c r="I5" s="16" t="e">
        <f t="shared" si="1"/>
        <v>#N/A</v>
      </c>
      <c r="J5" s="16" t="e">
        <f t="shared" si="1"/>
        <v>#N/A</v>
      </c>
      <c r="N5" s="26" t="s">
        <v>452</v>
      </c>
      <c r="O5" s="31" t="s">
        <v>1349</v>
      </c>
      <c r="P5" s="151" t="e">
        <f>VLOOKUP($N5,capacities!$A$2:$J$2352,P$2,FALSE)</f>
        <v>#N/A</v>
      </c>
      <c r="Q5" s="151" t="e">
        <f>VLOOKUP($N5,capacities!$A$2:$J$2352,Q$2,FALSE)</f>
        <v>#N/A</v>
      </c>
      <c r="R5" s="151" t="e">
        <f>VLOOKUP($N5,capacities!$A$2:$J$2352,R$2,FALSE)</f>
        <v>#N/A</v>
      </c>
      <c r="S5" s="151" t="e">
        <f>VLOOKUP($N5,capacities!$A$2:$J$2352,S$2,FALSE)</f>
        <v>#N/A</v>
      </c>
      <c r="T5" s="151" t="e">
        <f>VLOOKUP($N5,capacities!$A$2:$J$2352,T$2,FALSE)</f>
        <v>#N/A</v>
      </c>
      <c r="U5" s="151" t="e">
        <f>VLOOKUP($N5,capacities!$A$2:$J$2352,U$2,FALSE)</f>
        <v>#N/A</v>
      </c>
      <c r="V5" s="151" t="e">
        <f>VLOOKUP($N5,capacities!$A$2:$J$2352,V$2,FALSE)</f>
        <v>#N/A</v>
      </c>
      <c r="W5" s="151" t="e">
        <f>VLOOKUP($N5,capacities!$A$2:$J$2352,W$2,FALSE)</f>
        <v>#N/A</v>
      </c>
      <c r="Z5" s="26" t="s">
        <v>445</v>
      </c>
      <c r="AA5" s="31" t="s">
        <v>1349</v>
      </c>
      <c r="AB5" s="151" t="e">
        <f>VLOOKUP($Z5,capacities!$A$2:$J$2352,AB$2,FALSE)</f>
        <v>#N/A</v>
      </c>
      <c r="AC5" s="151" t="e">
        <f>VLOOKUP($Z5,capacities!$A$2:$J$2352,AC$2,FALSE)</f>
        <v>#N/A</v>
      </c>
      <c r="AD5" s="151" t="e">
        <f>VLOOKUP($Z5,capacities!$A$2:$J$2352,AD$2,FALSE)</f>
        <v>#N/A</v>
      </c>
      <c r="AE5" s="151" t="e">
        <f>VLOOKUP($Z5,capacities!$A$2:$J$2352,AE$2,FALSE)</f>
        <v>#N/A</v>
      </c>
      <c r="AF5" s="151" t="e">
        <f>VLOOKUP($Z5,capacities!$A$2:$J$2352,AF$2,FALSE)</f>
        <v>#N/A</v>
      </c>
      <c r="AG5" s="151" t="e">
        <f>VLOOKUP($Z5,capacities!$A$2:$J$2352,AG$2,FALSE)</f>
        <v>#N/A</v>
      </c>
      <c r="AH5" s="151" t="e">
        <f>VLOOKUP($Z5,capacities!$A$2:$J$2352,AH$2,FALSE)</f>
        <v>#N/A</v>
      </c>
      <c r="AI5" s="151" t="e">
        <f>VLOOKUP($Z5,capacities!$A$2:$J$2352,AI$2,FALSE)</f>
        <v>#N/A</v>
      </c>
      <c r="AL5" s="26" t="s">
        <v>392</v>
      </c>
      <c r="AM5" s="31" t="s">
        <v>1349</v>
      </c>
      <c r="AN5" s="151" t="e">
        <f>VLOOKUP($AL5,capacities!$A$2:$J$2352,AN$2,FALSE)</f>
        <v>#N/A</v>
      </c>
      <c r="AO5" s="151" t="e">
        <f>VLOOKUP($AL5,capacities!$A$2:$J$2352,AO$2,FALSE)</f>
        <v>#N/A</v>
      </c>
      <c r="AP5" s="151" t="e">
        <f>VLOOKUP($AL5,capacities!$A$2:$J$2352,AP$2,FALSE)</f>
        <v>#N/A</v>
      </c>
      <c r="AQ5" s="151" t="e">
        <f>VLOOKUP($AL5,capacities!$A$2:$J$2352,AQ$2,FALSE)</f>
        <v>#N/A</v>
      </c>
      <c r="AR5" s="151" t="e">
        <f>VLOOKUP($AL5,capacities!$A$2:$J$2352,AR$2,FALSE)</f>
        <v>#N/A</v>
      </c>
      <c r="AS5" s="151" t="e">
        <f>VLOOKUP($AL5,capacities!$A$2:$J$2352,AS$2,FALSE)</f>
        <v>#N/A</v>
      </c>
      <c r="AT5" s="151" t="e">
        <f>VLOOKUP($AL5,capacities!$A$2:$J$2352,AT$2,FALSE)</f>
        <v>#N/A</v>
      </c>
      <c r="AU5" s="151" t="e">
        <f>VLOOKUP($AL5,capacities!$A$2:$J$2352,AU$2,FALSE)</f>
        <v>#N/A</v>
      </c>
      <c r="AX5" s="26" t="s">
        <v>380</v>
      </c>
      <c r="AY5" s="31" t="s">
        <v>1356</v>
      </c>
      <c r="AZ5" s="194" t="s">
        <v>1838</v>
      </c>
      <c r="BA5" s="151" t="e">
        <f>VLOOKUP($AX5,capacities!$A$2:$J$2352,BA$2,FALSE)</f>
        <v>#N/A</v>
      </c>
      <c r="BB5" s="151" t="e">
        <f>VLOOKUP($AX5,capacities!$A$2:$J$2352,BB$2,FALSE)</f>
        <v>#N/A</v>
      </c>
      <c r="BC5" s="151" t="e">
        <f>VLOOKUP($AX5,capacities!$A$2:$J$2352,BC$2,FALSE)</f>
        <v>#N/A</v>
      </c>
      <c r="BD5" s="151" t="e">
        <f>VLOOKUP($AX5,capacities!$A$2:$J$2352,BD$2,FALSE)</f>
        <v>#N/A</v>
      </c>
      <c r="BE5" s="151" t="e">
        <f>VLOOKUP($AX5,capacities!$A$2:$J$2352,BE$2,FALSE)</f>
        <v>#N/A</v>
      </c>
      <c r="BF5" s="151" t="e">
        <f>VLOOKUP($AX5,capacities!$A$2:$J$2352,BF$2,FALSE)</f>
        <v>#N/A</v>
      </c>
      <c r="BG5" s="151" t="e">
        <f>VLOOKUP($AX5,capacities!$A$2:$J$2352,BG$2,FALSE)</f>
        <v>#N/A</v>
      </c>
      <c r="BH5" s="151" t="e">
        <f>VLOOKUP($AX5,capacities!$A$2:$J$2352,BH$2,FALSE)</f>
        <v>#N/A</v>
      </c>
    </row>
    <row r="6" spans="2:60" ht="14.5" x14ac:dyDescent="0.35">
      <c r="B6" s="26" t="s">
        <v>1322</v>
      </c>
      <c r="C6" s="16" t="e">
        <f t="shared" ref="C6:J6" si="2">SUM(P4:P10)</f>
        <v>#N/A</v>
      </c>
      <c r="D6" s="16" t="e">
        <f t="shared" si="2"/>
        <v>#N/A</v>
      </c>
      <c r="E6" s="16" t="e">
        <f t="shared" si="2"/>
        <v>#N/A</v>
      </c>
      <c r="F6" s="16" t="e">
        <f t="shared" si="2"/>
        <v>#N/A</v>
      </c>
      <c r="G6" s="16" t="e">
        <f t="shared" si="2"/>
        <v>#N/A</v>
      </c>
      <c r="H6" s="16" t="e">
        <f t="shared" si="2"/>
        <v>#N/A</v>
      </c>
      <c r="I6" s="16" t="e">
        <f t="shared" si="2"/>
        <v>#N/A</v>
      </c>
      <c r="J6" s="16" t="e">
        <f t="shared" si="2"/>
        <v>#N/A</v>
      </c>
      <c r="N6" s="26" t="s">
        <v>453</v>
      </c>
      <c r="O6" s="31" t="s">
        <v>1350</v>
      </c>
      <c r="P6" s="151" t="e">
        <f>VLOOKUP($N6,capacities!$A$2:$J$2352,P$2,FALSE)</f>
        <v>#N/A</v>
      </c>
      <c r="Q6" s="151" t="e">
        <f>VLOOKUP($N6,capacities!$A$2:$J$2352,Q$2,FALSE)</f>
        <v>#N/A</v>
      </c>
      <c r="R6" s="151" t="e">
        <f>VLOOKUP($N6,capacities!$A$2:$J$2352,R$2,FALSE)</f>
        <v>#N/A</v>
      </c>
      <c r="S6" s="151" t="e">
        <f>VLOOKUP($N6,capacities!$A$2:$J$2352,S$2,FALSE)</f>
        <v>#N/A</v>
      </c>
      <c r="T6" s="151" t="e">
        <f>VLOOKUP($N6,capacities!$A$2:$J$2352,T$2,FALSE)</f>
        <v>#N/A</v>
      </c>
      <c r="U6" s="151" t="e">
        <f>VLOOKUP($N6,capacities!$A$2:$J$2352,U$2,FALSE)</f>
        <v>#N/A</v>
      </c>
      <c r="V6" s="151" t="e">
        <f>VLOOKUP($N6,capacities!$A$2:$J$2352,V$2,FALSE)</f>
        <v>#N/A</v>
      </c>
      <c r="W6" s="151" t="e">
        <f>VLOOKUP($N6,capacities!$A$2:$J$2352,W$2,FALSE)</f>
        <v>#N/A</v>
      </c>
      <c r="Z6" s="26" t="s">
        <v>446</v>
      </c>
      <c r="AA6" s="31" t="s">
        <v>1350</v>
      </c>
      <c r="AB6" s="151" t="e">
        <f>VLOOKUP($Z6,capacities!$A$2:$J$2352,AB$2,FALSE)</f>
        <v>#N/A</v>
      </c>
      <c r="AC6" s="151" t="e">
        <f>VLOOKUP($Z6,capacities!$A$2:$J$2352,AC$2,FALSE)</f>
        <v>#N/A</v>
      </c>
      <c r="AD6" s="151" t="e">
        <f>VLOOKUP($Z6,capacities!$A$2:$J$2352,AD$2,FALSE)</f>
        <v>#N/A</v>
      </c>
      <c r="AE6" s="151" t="e">
        <f>VLOOKUP($Z6,capacities!$A$2:$J$2352,AE$2,FALSE)</f>
        <v>#N/A</v>
      </c>
      <c r="AF6" s="151" t="e">
        <f>VLOOKUP($Z6,capacities!$A$2:$J$2352,AF$2,FALSE)</f>
        <v>#N/A</v>
      </c>
      <c r="AG6" s="151" t="e">
        <f>VLOOKUP($Z6,capacities!$A$2:$J$2352,AG$2,FALSE)</f>
        <v>#N/A</v>
      </c>
      <c r="AH6" s="151" t="e">
        <f>VLOOKUP($Z6,capacities!$A$2:$J$2352,AH$2,FALSE)</f>
        <v>#N/A</v>
      </c>
      <c r="AI6" s="151" t="e">
        <f>VLOOKUP($Z6,capacities!$A$2:$J$2352,AI$2,FALSE)</f>
        <v>#N/A</v>
      </c>
      <c r="AL6" s="26" t="s">
        <v>393</v>
      </c>
      <c r="AM6" s="31" t="s">
        <v>1350</v>
      </c>
      <c r="AN6" s="151" t="e">
        <f>VLOOKUP($AL6,capacities!$A$2:$J$2352,AN$2,FALSE)</f>
        <v>#N/A</v>
      </c>
      <c r="AO6" s="151" t="e">
        <f>VLOOKUP($AL6,capacities!$A$2:$J$2352,AO$2,FALSE)</f>
        <v>#N/A</v>
      </c>
      <c r="AP6" s="151" t="e">
        <f>VLOOKUP($AL6,capacities!$A$2:$J$2352,AP$2,FALSE)</f>
        <v>#N/A</v>
      </c>
      <c r="AQ6" s="151" t="e">
        <f>VLOOKUP($AL6,capacities!$A$2:$J$2352,AQ$2,FALSE)</f>
        <v>#N/A</v>
      </c>
      <c r="AR6" s="151" t="e">
        <f>VLOOKUP($AL6,capacities!$A$2:$J$2352,AR$2,FALSE)</f>
        <v>#N/A</v>
      </c>
      <c r="AS6" s="151" t="e">
        <f>VLOOKUP($AL6,capacities!$A$2:$J$2352,AS$2,FALSE)</f>
        <v>#N/A</v>
      </c>
      <c r="AT6" s="151" t="e">
        <f>VLOOKUP($AL6,capacities!$A$2:$J$2352,AT$2,FALSE)</f>
        <v>#N/A</v>
      </c>
      <c r="AU6" s="151" t="e">
        <f>VLOOKUP($AL6,capacities!$A$2:$J$2352,AU$2,FALSE)</f>
        <v>#N/A</v>
      </c>
      <c r="AX6" s="26"/>
      <c r="AY6" s="31"/>
      <c r="AZ6" s="194"/>
      <c r="BA6" s="13"/>
      <c r="BB6" s="13"/>
      <c r="BC6" s="13"/>
      <c r="BD6" s="13"/>
      <c r="BE6" s="13"/>
      <c r="BF6" s="13"/>
      <c r="BG6" s="13"/>
      <c r="BH6" s="13"/>
    </row>
    <row r="7" spans="2:60" ht="15" thickBot="1" x14ac:dyDescent="0.4">
      <c r="B7" s="26" t="s">
        <v>1321</v>
      </c>
      <c r="C7" s="16" t="e">
        <f t="shared" ref="C7:J7" si="3">SUM(AB4:AB10)</f>
        <v>#N/A</v>
      </c>
      <c r="D7" s="16" t="e">
        <f t="shared" si="3"/>
        <v>#N/A</v>
      </c>
      <c r="E7" s="16" t="e">
        <f t="shared" si="3"/>
        <v>#N/A</v>
      </c>
      <c r="F7" s="16" t="e">
        <f t="shared" si="3"/>
        <v>#N/A</v>
      </c>
      <c r="G7" s="16" t="e">
        <f t="shared" si="3"/>
        <v>#N/A</v>
      </c>
      <c r="H7" s="16" t="e">
        <f t="shared" si="3"/>
        <v>#N/A</v>
      </c>
      <c r="I7" s="16" t="e">
        <f t="shared" si="3"/>
        <v>#N/A</v>
      </c>
      <c r="J7" s="16" t="e">
        <f t="shared" si="3"/>
        <v>#N/A</v>
      </c>
      <c r="N7" s="26" t="s">
        <v>454</v>
      </c>
      <c r="O7" s="31" t="s">
        <v>1351</v>
      </c>
      <c r="P7" s="151" t="e">
        <f>VLOOKUP($N7,capacities!$A$2:$J$2352,P$2,FALSE)</f>
        <v>#N/A</v>
      </c>
      <c r="Q7" s="151" t="e">
        <f>VLOOKUP($N7,capacities!$A$2:$J$2352,Q$2,FALSE)</f>
        <v>#N/A</v>
      </c>
      <c r="R7" s="151" t="e">
        <f>VLOOKUP($N7,capacities!$A$2:$J$2352,R$2,FALSE)</f>
        <v>#N/A</v>
      </c>
      <c r="S7" s="151" t="e">
        <f>VLOOKUP($N7,capacities!$A$2:$J$2352,S$2,FALSE)</f>
        <v>#N/A</v>
      </c>
      <c r="T7" s="151" t="e">
        <f>VLOOKUP($N7,capacities!$A$2:$J$2352,T$2,FALSE)</f>
        <v>#N/A</v>
      </c>
      <c r="U7" s="151" t="e">
        <f>VLOOKUP($N7,capacities!$A$2:$J$2352,U$2,FALSE)</f>
        <v>#N/A</v>
      </c>
      <c r="V7" s="151" t="e">
        <f>VLOOKUP($N7,capacities!$A$2:$J$2352,V$2,FALSE)</f>
        <v>#N/A</v>
      </c>
      <c r="W7" s="151" t="e">
        <f>VLOOKUP($N7,capacities!$A$2:$J$2352,W$2,FALSE)</f>
        <v>#N/A</v>
      </c>
      <c r="Z7" s="26" t="s">
        <v>447</v>
      </c>
      <c r="AA7" s="31" t="s">
        <v>1351</v>
      </c>
      <c r="AB7" s="151" t="e">
        <f>VLOOKUP($Z7,capacities!$A$2:$J$2352,AB$2,FALSE)</f>
        <v>#N/A</v>
      </c>
      <c r="AC7" s="151" t="e">
        <f>VLOOKUP($Z7,capacities!$A$2:$J$2352,AC$2,FALSE)</f>
        <v>#N/A</v>
      </c>
      <c r="AD7" s="151" t="e">
        <f>VLOOKUP($Z7,capacities!$A$2:$J$2352,AD$2,FALSE)</f>
        <v>#N/A</v>
      </c>
      <c r="AE7" s="151" t="e">
        <f>VLOOKUP($Z7,capacities!$A$2:$J$2352,AE$2,FALSE)</f>
        <v>#N/A</v>
      </c>
      <c r="AF7" s="151" t="e">
        <f>VLOOKUP($Z7,capacities!$A$2:$J$2352,AF$2,FALSE)</f>
        <v>#N/A</v>
      </c>
      <c r="AG7" s="151" t="e">
        <f>VLOOKUP($Z7,capacities!$A$2:$J$2352,AG$2,FALSE)</f>
        <v>#N/A</v>
      </c>
      <c r="AH7" s="151" t="e">
        <f>VLOOKUP($Z7,capacities!$A$2:$J$2352,AH$2,FALSE)</f>
        <v>#N/A</v>
      </c>
      <c r="AI7" s="151" t="e">
        <f>VLOOKUP($Z7,capacities!$A$2:$J$2352,AI$2,FALSE)</f>
        <v>#N/A</v>
      </c>
      <c r="AL7" s="26" t="s">
        <v>394</v>
      </c>
      <c r="AM7" s="31" t="s">
        <v>1351</v>
      </c>
      <c r="AN7" s="151" t="e">
        <f>VLOOKUP($AL7,capacities!$A$2:$J$2352,AN$2,FALSE)</f>
        <v>#N/A</v>
      </c>
      <c r="AO7" s="151" t="e">
        <f>VLOOKUP($AL7,capacities!$A$2:$J$2352,AO$2,FALSE)</f>
        <v>#N/A</v>
      </c>
      <c r="AP7" s="151" t="e">
        <f>VLOOKUP($AL7,capacities!$A$2:$J$2352,AP$2,FALSE)</f>
        <v>#N/A</v>
      </c>
      <c r="AQ7" s="151" t="e">
        <f>VLOOKUP($AL7,capacities!$A$2:$J$2352,AQ$2,FALSE)</f>
        <v>#N/A</v>
      </c>
      <c r="AR7" s="151" t="e">
        <f>VLOOKUP($AL7,capacities!$A$2:$J$2352,AR$2,FALSE)</f>
        <v>#N/A</v>
      </c>
      <c r="AS7" s="151" t="e">
        <f>VLOOKUP($AL7,capacities!$A$2:$J$2352,AS$2,FALSE)</f>
        <v>#N/A</v>
      </c>
      <c r="AT7" s="151" t="e">
        <f>VLOOKUP($AL7,capacities!$A$2:$J$2352,AT$2,FALSE)</f>
        <v>#N/A</v>
      </c>
      <c r="AU7" s="151" t="e">
        <f>VLOOKUP($AL7,capacities!$A$2:$J$2352,AU$2,FALSE)</f>
        <v>#N/A</v>
      </c>
      <c r="AX7" s="28"/>
      <c r="AY7" s="33"/>
      <c r="AZ7" s="33"/>
      <c r="BA7" s="35"/>
      <c r="BB7" s="35"/>
      <c r="BC7" s="35"/>
      <c r="BD7" s="35"/>
      <c r="BE7" s="35"/>
      <c r="BF7" s="35"/>
      <c r="BG7" s="35"/>
      <c r="BH7" s="35"/>
    </row>
    <row r="8" spans="2:60" ht="14.5" x14ac:dyDescent="0.35">
      <c r="B8" s="26"/>
      <c r="C8" s="13"/>
      <c r="D8" s="13"/>
      <c r="E8" s="13"/>
      <c r="F8" s="13"/>
      <c r="G8" s="13"/>
      <c r="H8" s="13"/>
      <c r="I8" s="13"/>
      <c r="J8" s="13"/>
      <c r="N8" s="26" t="s">
        <v>455</v>
      </c>
      <c r="O8" s="31" t="s">
        <v>1352</v>
      </c>
      <c r="P8" s="151" t="e">
        <f>VLOOKUP($N8,capacities!$A$2:$J$2352,P$2,FALSE)</f>
        <v>#N/A</v>
      </c>
      <c r="Q8" s="151" t="e">
        <f>VLOOKUP($N8,capacities!$A$2:$J$2352,Q$2,FALSE)</f>
        <v>#N/A</v>
      </c>
      <c r="R8" s="151" t="e">
        <f>VLOOKUP($N8,capacities!$A$2:$J$2352,R$2,FALSE)</f>
        <v>#N/A</v>
      </c>
      <c r="S8" s="151" t="e">
        <f>VLOOKUP($N8,capacities!$A$2:$J$2352,S$2,FALSE)</f>
        <v>#N/A</v>
      </c>
      <c r="T8" s="151" t="e">
        <f>VLOOKUP($N8,capacities!$A$2:$J$2352,T$2,FALSE)</f>
        <v>#N/A</v>
      </c>
      <c r="U8" s="151" t="e">
        <f>VLOOKUP($N8,capacities!$A$2:$J$2352,U$2,FALSE)</f>
        <v>#N/A</v>
      </c>
      <c r="V8" s="151" t="e">
        <f>VLOOKUP($N8,capacities!$A$2:$J$2352,V$2,FALSE)</f>
        <v>#N/A</v>
      </c>
      <c r="W8" s="151" t="e">
        <f>VLOOKUP($N8,capacities!$A$2:$J$2352,W$2,FALSE)</f>
        <v>#N/A</v>
      </c>
      <c r="Z8" s="26" t="s">
        <v>448</v>
      </c>
      <c r="AA8" s="31" t="s">
        <v>1352</v>
      </c>
      <c r="AB8" s="151" t="e">
        <f>VLOOKUP($Z8,capacities!$A$2:$J$2352,AB$2,FALSE)</f>
        <v>#N/A</v>
      </c>
      <c r="AC8" s="151" t="e">
        <f>VLOOKUP($Z8,capacities!$A$2:$J$2352,AC$2,FALSE)</f>
        <v>#N/A</v>
      </c>
      <c r="AD8" s="151" t="e">
        <f>VLOOKUP($Z8,capacities!$A$2:$J$2352,AD$2,FALSE)</f>
        <v>#N/A</v>
      </c>
      <c r="AE8" s="151" t="e">
        <f>VLOOKUP($Z8,capacities!$A$2:$J$2352,AE$2,FALSE)</f>
        <v>#N/A</v>
      </c>
      <c r="AF8" s="151" t="e">
        <f>VLOOKUP($Z8,capacities!$A$2:$J$2352,AF$2,FALSE)</f>
        <v>#N/A</v>
      </c>
      <c r="AG8" s="151" t="e">
        <f>VLOOKUP($Z8,capacities!$A$2:$J$2352,AG$2,FALSE)</f>
        <v>#N/A</v>
      </c>
      <c r="AH8" s="151" t="e">
        <f>VLOOKUP($Z8,capacities!$A$2:$J$2352,AH$2,FALSE)</f>
        <v>#N/A</v>
      </c>
      <c r="AI8" s="151" t="e">
        <f>VLOOKUP($Z8,capacities!$A$2:$J$2352,AI$2,FALSE)</f>
        <v>#N/A</v>
      </c>
      <c r="AL8" s="26" t="s">
        <v>395</v>
      </c>
      <c r="AM8" s="31" t="s">
        <v>1352</v>
      </c>
      <c r="AN8" s="151" t="e">
        <f>VLOOKUP($AL8,capacities!$A$2:$J$2352,AN$2,FALSE)</f>
        <v>#N/A</v>
      </c>
      <c r="AO8" s="151" t="e">
        <f>VLOOKUP($AL8,capacities!$A$2:$J$2352,AO$2,FALSE)</f>
        <v>#N/A</v>
      </c>
      <c r="AP8" s="151" t="e">
        <f>VLOOKUP($AL8,capacities!$A$2:$J$2352,AP$2,FALSE)</f>
        <v>#N/A</v>
      </c>
      <c r="AQ8" s="151" t="e">
        <f>VLOOKUP($AL8,capacities!$A$2:$J$2352,AQ$2,FALSE)</f>
        <v>#N/A</v>
      </c>
      <c r="AR8" s="151" t="e">
        <f>VLOOKUP($AL8,capacities!$A$2:$J$2352,AR$2,FALSE)</f>
        <v>#N/A</v>
      </c>
      <c r="AS8" s="151" t="e">
        <f>VLOOKUP($AL8,capacities!$A$2:$J$2352,AS$2,FALSE)</f>
        <v>#N/A</v>
      </c>
      <c r="AT8" s="151" t="e">
        <f>VLOOKUP($AL8,capacities!$A$2:$J$2352,AT$2,FALSE)</f>
        <v>#N/A</v>
      </c>
      <c r="AU8" s="151" t="e">
        <f>VLOOKUP($AL8,capacities!$A$2:$J$2352,AU$2,FALSE)</f>
        <v>#N/A</v>
      </c>
    </row>
    <row r="9" spans="2:60" ht="15" thickBot="1" x14ac:dyDescent="0.4">
      <c r="B9" s="28"/>
      <c r="C9" s="35"/>
      <c r="D9" s="35"/>
      <c r="E9" s="35"/>
      <c r="F9" s="35"/>
      <c r="G9" s="35"/>
      <c r="H9" s="35"/>
      <c r="I9" s="35"/>
      <c r="J9" s="35"/>
      <c r="N9" s="26" t="s">
        <v>456</v>
      </c>
      <c r="O9" s="31" t="s">
        <v>1353</v>
      </c>
      <c r="P9" s="151" t="e">
        <f>VLOOKUP($N9,capacities!$A$2:$J$2352,P$2,FALSE)</f>
        <v>#N/A</v>
      </c>
      <c r="Q9" s="151" t="e">
        <f>VLOOKUP($N9,capacities!$A$2:$J$2352,Q$2,FALSE)</f>
        <v>#N/A</v>
      </c>
      <c r="R9" s="151" t="e">
        <f>VLOOKUP($N9,capacities!$A$2:$J$2352,R$2,FALSE)</f>
        <v>#N/A</v>
      </c>
      <c r="S9" s="151" t="e">
        <f>VLOOKUP($N9,capacities!$A$2:$J$2352,S$2,FALSE)</f>
        <v>#N/A</v>
      </c>
      <c r="T9" s="151" t="e">
        <f>VLOOKUP($N9,capacities!$A$2:$J$2352,T$2,FALSE)</f>
        <v>#N/A</v>
      </c>
      <c r="U9" s="151" t="e">
        <f>VLOOKUP($N9,capacities!$A$2:$J$2352,U$2,FALSE)</f>
        <v>#N/A</v>
      </c>
      <c r="V9" s="151" t="e">
        <f>VLOOKUP($N9,capacities!$A$2:$J$2352,V$2,FALSE)</f>
        <v>#N/A</v>
      </c>
      <c r="W9" s="151" t="e">
        <f>VLOOKUP($N9,capacities!$A$2:$J$2352,W$2,FALSE)</f>
        <v>#N/A</v>
      </c>
      <c r="Z9" s="26" t="s">
        <v>449</v>
      </c>
      <c r="AA9" s="31" t="s">
        <v>1353</v>
      </c>
      <c r="AB9" s="151" t="e">
        <f>VLOOKUP($Z9,capacities!$A$2:$J$2352,AB$2,FALSE)</f>
        <v>#N/A</v>
      </c>
      <c r="AC9" s="151" t="e">
        <f>VLOOKUP($Z9,capacities!$A$2:$J$2352,AC$2,FALSE)</f>
        <v>#N/A</v>
      </c>
      <c r="AD9" s="151" t="e">
        <f>VLOOKUP($Z9,capacities!$A$2:$J$2352,AD$2,FALSE)</f>
        <v>#N/A</v>
      </c>
      <c r="AE9" s="151" t="e">
        <f>VLOOKUP($Z9,capacities!$A$2:$J$2352,AE$2,FALSE)</f>
        <v>#N/A</v>
      </c>
      <c r="AF9" s="151" t="e">
        <f>VLOOKUP($Z9,capacities!$A$2:$J$2352,AF$2,FALSE)</f>
        <v>#N/A</v>
      </c>
      <c r="AG9" s="151" t="e">
        <f>VLOOKUP($Z9,capacities!$A$2:$J$2352,AG$2,FALSE)</f>
        <v>#N/A</v>
      </c>
      <c r="AH9" s="151" t="e">
        <f>VLOOKUP($Z9,capacities!$A$2:$J$2352,AH$2,FALSE)</f>
        <v>#N/A</v>
      </c>
      <c r="AI9" s="151" t="e">
        <f>VLOOKUP($Z9,capacities!$A$2:$J$2352,AI$2,FALSE)</f>
        <v>#N/A</v>
      </c>
      <c r="AL9" s="26" t="s">
        <v>396</v>
      </c>
      <c r="AM9" s="31" t="s">
        <v>1353</v>
      </c>
      <c r="AN9" s="151" t="e">
        <f>VLOOKUP($AL9,capacities!$A$2:$J$2352,AN$2,FALSE)</f>
        <v>#N/A</v>
      </c>
      <c r="AO9" s="151" t="e">
        <f>VLOOKUP($AL9,capacities!$A$2:$J$2352,AO$2,FALSE)</f>
        <v>#N/A</v>
      </c>
      <c r="AP9" s="151" t="e">
        <f>VLOOKUP($AL9,capacities!$A$2:$J$2352,AP$2,FALSE)</f>
        <v>#N/A</v>
      </c>
      <c r="AQ9" s="151" t="e">
        <f>VLOOKUP($AL9,capacities!$A$2:$J$2352,AQ$2,FALSE)</f>
        <v>#N/A</v>
      </c>
      <c r="AR9" s="151" t="e">
        <f>VLOOKUP($AL9,capacities!$A$2:$J$2352,AR$2,FALSE)</f>
        <v>#N/A</v>
      </c>
      <c r="AS9" s="151" t="e">
        <f>VLOOKUP($AL9,capacities!$A$2:$J$2352,AS$2,FALSE)</f>
        <v>#N/A</v>
      </c>
      <c r="AT9" s="151" t="e">
        <f>VLOOKUP($AL9,capacities!$A$2:$J$2352,AT$2,FALSE)</f>
        <v>#N/A</v>
      </c>
      <c r="AU9" s="151" t="e">
        <f>VLOOKUP($AL9,capacities!$A$2:$J$2352,AU$2,FALSE)</f>
        <v>#N/A</v>
      </c>
    </row>
    <row r="10" spans="2:60" ht="14.5" x14ac:dyDescent="0.35">
      <c r="N10" s="27" t="s">
        <v>457</v>
      </c>
      <c r="O10" s="32" t="s">
        <v>1354</v>
      </c>
      <c r="P10" s="151" t="e">
        <f>VLOOKUP($N10,capacities!$A$2:$J$2352,P$2,FALSE)</f>
        <v>#N/A</v>
      </c>
      <c r="Q10" s="151" t="e">
        <f>VLOOKUP($N10,capacities!$A$2:$J$2352,Q$2,FALSE)</f>
        <v>#N/A</v>
      </c>
      <c r="R10" s="151" t="e">
        <f>VLOOKUP($N10,capacities!$A$2:$J$2352,R$2,FALSE)</f>
        <v>#N/A</v>
      </c>
      <c r="S10" s="151" t="e">
        <f>VLOOKUP($N10,capacities!$A$2:$J$2352,S$2,FALSE)</f>
        <v>#N/A</v>
      </c>
      <c r="T10" s="151" t="e">
        <f>VLOOKUP($N10,capacities!$A$2:$J$2352,T$2,FALSE)</f>
        <v>#N/A</v>
      </c>
      <c r="U10" s="151" t="e">
        <f>VLOOKUP($N10,capacities!$A$2:$J$2352,U$2,FALSE)</f>
        <v>#N/A</v>
      </c>
      <c r="V10" s="151" t="e">
        <f>VLOOKUP($N10,capacities!$A$2:$J$2352,V$2,FALSE)</f>
        <v>#N/A</v>
      </c>
      <c r="W10" s="151" t="e">
        <f>VLOOKUP($N10,capacities!$A$2:$J$2352,W$2,FALSE)</f>
        <v>#N/A</v>
      </c>
      <c r="Z10" s="27" t="s">
        <v>450</v>
      </c>
      <c r="AA10" s="32" t="s">
        <v>1354</v>
      </c>
      <c r="AB10" s="151" t="e">
        <f>VLOOKUP($Z10,capacities!$A$2:$J$2352,AB$2,FALSE)</f>
        <v>#N/A</v>
      </c>
      <c r="AC10" s="151" t="e">
        <f>VLOOKUP($Z10,capacities!$A$2:$J$2352,AC$2,FALSE)</f>
        <v>#N/A</v>
      </c>
      <c r="AD10" s="151" t="e">
        <f>VLOOKUP($Z10,capacities!$A$2:$J$2352,AD$2,FALSE)</f>
        <v>#N/A</v>
      </c>
      <c r="AE10" s="151" t="e">
        <f>VLOOKUP($Z10,capacities!$A$2:$J$2352,AE$2,FALSE)</f>
        <v>#N/A</v>
      </c>
      <c r="AF10" s="151" t="e">
        <f>VLOOKUP($Z10,capacities!$A$2:$J$2352,AF$2,FALSE)</f>
        <v>#N/A</v>
      </c>
      <c r="AG10" s="151" t="e">
        <f>VLOOKUP($Z10,capacities!$A$2:$J$2352,AG$2,FALSE)</f>
        <v>#N/A</v>
      </c>
      <c r="AH10" s="151" t="e">
        <f>VLOOKUP($Z10,capacities!$A$2:$J$2352,AH$2,FALSE)</f>
        <v>#N/A</v>
      </c>
      <c r="AI10" s="151" t="e">
        <f>VLOOKUP($Z10,capacities!$A$2:$J$2352,AI$2,FALSE)</f>
        <v>#N/A</v>
      </c>
      <c r="AL10" s="27" t="s">
        <v>397</v>
      </c>
      <c r="AM10" s="32" t="s">
        <v>1354</v>
      </c>
      <c r="AN10" s="151" t="e">
        <f>VLOOKUP($AL10,capacities!$A$2:$J$2352,AN$2,FALSE)</f>
        <v>#N/A</v>
      </c>
      <c r="AO10" s="151" t="e">
        <f>VLOOKUP($AL10,capacities!$A$2:$J$2352,AO$2,FALSE)</f>
        <v>#N/A</v>
      </c>
      <c r="AP10" s="151" t="e">
        <f>VLOOKUP($AL10,capacities!$A$2:$J$2352,AP$2,FALSE)</f>
        <v>#N/A</v>
      </c>
      <c r="AQ10" s="151" t="e">
        <f>VLOOKUP($AL10,capacities!$A$2:$J$2352,AQ$2,FALSE)</f>
        <v>#N/A</v>
      </c>
      <c r="AR10" s="151" t="e">
        <f>VLOOKUP($AL10,capacities!$A$2:$J$2352,AR$2,FALSE)</f>
        <v>#N/A</v>
      </c>
      <c r="AS10" s="151" t="e">
        <f>VLOOKUP($AL10,capacities!$A$2:$J$2352,AS$2,FALSE)</f>
        <v>#N/A</v>
      </c>
      <c r="AT10" s="151" t="e">
        <f>VLOOKUP($AL10,capacities!$A$2:$J$2352,AT$2,FALSE)</f>
        <v>#N/A</v>
      </c>
      <c r="AU10" s="151" t="e">
        <f>VLOOKUP($AL10,capacities!$A$2:$J$2352,AU$2,FALSE)</f>
        <v>#N/A</v>
      </c>
    </row>
    <row r="11" spans="2:60" x14ac:dyDescent="0.35">
      <c r="N11" s="26"/>
      <c r="O11" s="31"/>
      <c r="P11" s="13"/>
      <c r="Q11" s="13"/>
      <c r="R11" s="13"/>
      <c r="S11" s="13"/>
      <c r="T11" s="13"/>
      <c r="U11" s="13"/>
      <c r="V11" s="13"/>
      <c r="W11" s="13"/>
      <c r="Z11" s="5"/>
      <c r="AA11" s="6"/>
      <c r="AB11" s="13"/>
      <c r="AC11" s="13"/>
      <c r="AD11" s="13"/>
      <c r="AE11" s="13"/>
      <c r="AF11" s="13"/>
      <c r="AG11" s="13"/>
      <c r="AH11" s="13"/>
      <c r="AI11" s="13"/>
      <c r="AL11" s="5"/>
      <c r="AM11" s="6"/>
      <c r="AN11" s="13"/>
      <c r="AO11" s="13"/>
      <c r="AP11" s="13"/>
      <c r="AQ11" s="13"/>
      <c r="AR11" s="13"/>
      <c r="AS11" s="13"/>
      <c r="AT11" s="13"/>
      <c r="AU11" s="13"/>
    </row>
    <row r="12" spans="2:60" ht="14.5" thickBot="1" x14ac:dyDescent="0.4">
      <c r="N12" s="28"/>
      <c r="O12" s="33"/>
      <c r="P12" s="35"/>
      <c r="Q12" s="35"/>
      <c r="R12" s="35"/>
      <c r="S12" s="35"/>
      <c r="T12" s="35"/>
      <c r="U12" s="35"/>
      <c r="V12" s="35"/>
      <c r="W12" s="35"/>
      <c r="Z12" s="28"/>
      <c r="AA12" s="33"/>
      <c r="AB12" s="35"/>
      <c r="AC12" s="35"/>
      <c r="AD12" s="35"/>
      <c r="AE12" s="35"/>
      <c r="AF12" s="35"/>
      <c r="AG12" s="35"/>
      <c r="AH12" s="35"/>
      <c r="AI12" s="35"/>
      <c r="AL12" s="28"/>
      <c r="AM12" s="33"/>
      <c r="AN12" s="35"/>
      <c r="AO12" s="35"/>
      <c r="AP12" s="35"/>
      <c r="AQ12" s="35"/>
      <c r="AR12" s="35"/>
      <c r="AS12" s="35"/>
      <c r="AT12" s="35"/>
      <c r="AU12" s="35"/>
    </row>
    <row r="32" spans="5:6" ht="14.5" x14ac:dyDescent="0.35">
      <c r="E32" s="129"/>
      <c r="F32" s="129"/>
    </row>
    <row r="33" spans="2:39" ht="14.5" x14ac:dyDescent="0.35">
      <c r="E33" s="129"/>
      <c r="F33" s="129"/>
    </row>
    <row r="34" spans="2:39" ht="14.5" x14ac:dyDescent="0.35">
      <c r="E34" s="129"/>
      <c r="F34" s="129"/>
      <c r="AL34" s="129"/>
      <c r="AM34" s="129"/>
    </row>
    <row r="35" spans="2:39" ht="14.5" x14ac:dyDescent="0.35">
      <c r="B35" s="6"/>
      <c r="C35" s="6"/>
      <c r="D35" s="6"/>
      <c r="E35" s="129"/>
      <c r="F35" s="129"/>
      <c r="G35" s="6"/>
      <c r="H35" s="6"/>
      <c r="I35" s="6"/>
      <c r="J35" s="6"/>
      <c r="K35" s="6"/>
      <c r="AL35" s="129"/>
      <c r="AM35" s="129"/>
    </row>
    <row r="36" spans="2:39" ht="14.5" x14ac:dyDescent="0.35">
      <c r="B36" s="31"/>
      <c r="C36" s="13"/>
      <c r="D36" s="13"/>
      <c r="E36" s="13"/>
      <c r="F36" s="13"/>
      <c r="G36" s="13"/>
      <c r="H36" s="13"/>
      <c r="I36" s="13"/>
      <c r="J36" s="13"/>
      <c r="K36" s="6"/>
      <c r="AL36" s="129"/>
      <c r="AM36" s="129"/>
    </row>
    <row r="37" spans="2:39" ht="14.5" x14ac:dyDescent="0.35">
      <c r="B37" s="6"/>
      <c r="C37" s="6"/>
      <c r="D37" s="6"/>
      <c r="E37" s="6"/>
      <c r="F37" s="6"/>
      <c r="G37" s="6"/>
      <c r="H37" s="6"/>
      <c r="I37" s="6"/>
      <c r="J37" s="6"/>
      <c r="K37" s="6"/>
      <c r="AL37" s="129"/>
      <c r="AM37" s="129"/>
    </row>
    <row r="38" spans="2:39" ht="14.5" x14ac:dyDescent="0.35">
      <c r="B38" s="6"/>
      <c r="C38" s="6"/>
      <c r="D38" s="6"/>
      <c r="E38" s="6"/>
      <c r="F38" s="6"/>
      <c r="G38" s="6"/>
      <c r="H38" s="6"/>
      <c r="I38" s="6"/>
      <c r="J38" s="6"/>
      <c r="K38" s="6"/>
      <c r="AL38" s="129"/>
      <c r="AM38" s="129"/>
    </row>
    <row r="39" spans="2:39" ht="14.5" x14ac:dyDescent="0.35">
      <c r="AL39" s="129"/>
      <c r="AM39" s="129"/>
    </row>
    <row r="40" spans="2:39" ht="14.5" x14ac:dyDescent="0.35">
      <c r="AL40" s="129"/>
      <c r="AM40" s="129"/>
    </row>
  </sheetData>
  <dataConsolidate/>
  <pageMargins left="0.7" right="0.7" top="0.78740157499999996" bottom="0.78740157499999996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7"/>
  </sheetPr>
  <dimension ref="B1:CE8"/>
  <sheetViews>
    <sheetView topLeftCell="AN1" zoomScale="55" zoomScaleNormal="55" workbookViewId="0">
      <selection activeCell="BX4" sqref="BX4"/>
    </sheetView>
  </sheetViews>
  <sheetFormatPr baseColWidth="10" defaultColWidth="11.453125" defaultRowHeight="14" x14ac:dyDescent="0.35"/>
  <cols>
    <col min="1" max="1" width="11.453125" style="2"/>
    <col min="2" max="2" width="38.54296875" style="2" bestFit="1" customWidth="1"/>
    <col min="3" max="3" width="38.54296875" style="2" customWidth="1"/>
    <col min="4" max="4" width="19.54296875" style="2" bestFit="1" customWidth="1"/>
    <col min="5" max="13" width="11.453125" style="2"/>
    <col min="14" max="14" width="38.54296875" style="2" bestFit="1" customWidth="1"/>
    <col min="15" max="15" width="22.54296875" style="2" bestFit="1" customWidth="1"/>
    <col min="16" max="25" width="11.453125" style="2"/>
    <col min="26" max="26" width="38.54296875" style="2" bestFit="1" customWidth="1"/>
    <col min="27" max="27" width="22.54296875" style="2" bestFit="1" customWidth="1"/>
    <col min="28" max="37" width="11.453125" style="2"/>
    <col min="38" max="38" width="38.54296875" style="2" bestFit="1" customWidth="1"/>
    <col min="39" max="39" width="22.54296875" style="2" bestFit="1" customWidth="1"/>
    <col min="40" max="41" width="11.453125" style="2"/>
    <col min="42" max="42" width="11.54296875" style="2" bestFit="1" customWidth="1"/>
    <col min="43" max="43" width="14" style="2" bestFit="1" customWidth="1"/>
    <col min="44" max="44" width="12.81640625" style="2" bestFit="1" customWidth="1"/>
    <col min="45" max="45" width="11.453125" style="2"/>
    <col min="46" max="47" width="14" style="2" bestFit="1" customWidth="1"/>
    <col min="48" max="49" width="11.453125" style="2"/>
    <col min="50" max="50" width="21.453125" style="2" bestFit="1" customWidth="1"/>
    <col min="51" max="51" width="22.54296875" style="2" bestFit="1" customWidth="1"/>
    <col min="52" max="61" width="11.453125" style="2"/>
    <col min="62" max="62" width="21.453125" style="2" bestFit="1" customWidth="1"/>
    <col min="63" max="63" width="22.54296875" style="2" bestFit="1" customWidth="1"/>
    <col min="64" max="73" width="11.453125" style="2"/>
    <col min="74" max="74" width="21.453125" style="2" bestFit="1" customWidth="1"/>
    <col min="75" max="75" width="22.54296875" style="2" bestFit="1" customWidth="1"/>
    <col min="76" max="16384" width="11.453125" style="2"/>
  </cols>
  <sheetData>
    <row r="1" spans="2:83" ht="14.5" thickBot="1" x14ac:dyDescent="0.4"/>
    <row r="2" spans="2:83" ht="14.5" x14ac:dyDescent="0.35">
      <c r="B2" s="3" t="s">
        <v>1357</v>
      </c>
      <c r="C2" s="29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N2" s="3" t="s">
        <v>1358</v>
      </c>
      <c r="O2" s="29"/>
      <c r="P2" s="89">
        <v>2</v>
      </c>
      <c r="Q2" s="89">
        <v>3</v>
      </c>
      <c r="R2" s="89">
        <v>4</v>
      </c>
      <c r="S2" s="89">
        <v>5</v>
      </c>
      <c r="T2" s="89">
        <v>6</v>
      </c>
      <c r="U2" s="89">
        <v>7</v>
      </c>
      <c r="V2" s="89">
        <v>8</v>
      </c>
      <c r="W2" s="89">
        <v>9</v>
      </c>
      <c r="Z2" s="3" t="s">
        <v>1359</v>
      </c>
      <c r="AA2" s="29"/>
      <c r="AB2" s="89">
        <v>2</v>
      </c>
      <c r="AC2" s="89">
        <v>3</v>
      </c>
      <c r="AD2" s="89">
        <v>4</v>
      </c>
      <c r="AE2" s="89">
        <v>5</v>
      </c>
      <c r="AF2" s="89">
        <v>6</v>
      </c>
      <c r="AG2" s="89">
        <v>7</v>
      </c>
      <c r="AH2" s="89">
        <v>8</v>
      </c>
      <c r="AI2" s="89">
        <v>9</v>
      </c>
      <c r="AL2" s="3" t="s">
        <v>1360</v>
      </c>
      <c r="AM2" s="29"/>
      <c r="AN2" s="89">
        <v>2</v>
      </c>
      <c r="AO2" s="89">
        <v>3</v>
      </c>
      <c r="AP2" s="89">
        <v>4</v>
      </c>
      <c r="AQ2" s="89">
        <v>5</v>
      </c>
      <c r="AR2" s="89">
        <v>6</v>
      </c>
      <c r="AS2" s="89">
        <v>7</v>
      </c>
      <c r="AT2" s="89">
        <v>8</v>
      </c>
      <c r="AU2" s="89">
        <v>9</v>
      </c>
      <c r="AX2" s="3" t="s">
        <v>1361</v>
      </c>
      <c r="AY2" s="29"/>
      <c r="AZ2" s="89">
        <v>2</v>
      </c>
      <c r="BA2" s="89">
        <v>3</v>
      </c>
      <c r="BB2" s="89">
        <v>4</v>
      </c>
      <c r="BC2" s="89">
        <v>5</v>
      </c>
      <c r="BD2" s="89">
        <v>6</v>
      </c>
      <c r="BE2" s="89">
        <v>7</v>
      </c>
      <c r="BF2" s="89">
        <v>8</v>
      </c>
      <c r="BG2" s="89">
        <v>9</v>
      </c>
      <c r="BJ2" s="3" t="s">
        <v>1362</v>
      </c>
      <c r="BK2" s="29"/>
      <c r="BL2" s="89">
        <v>2</v>
      </c>
      <c r="BM2" s="89">
        <v>3</v>
      </c>
      <c r="BN2" s="89">
        <v>4</v>
      </c>
      <c r="BO2" s="89">
        <v>5</v>
      </c>
      <c r="BP2" s="89">
        <v>6</v>
      </c>
      <c r="BQ2" s="89">
        <v>7</v>
      </c>
      <c r="BR2" s="89">
        <v>8</v>
      </c>
      <c r="BS2" s="89">
        <v>9</v>
      </c>
      <c r="BV2" s="3" t="s">
        <v>1363</v>
      </c>
      <c r="BW2" s="29"/>
      <c r="BX2" s="89">
        <v>2</v>
      </c>
      <c r="BY2" s="89">
        <v>3</v>
      </c>
      <c r="BZ2" s="89">
        <v>4</v>
      </c>
      <c r="CA2" s="89">
        <v>5</v>
      </c>
      <c r="CB2" s="89">
        <v>6</v>
      </c>
      <c r="CC2" s="89">
        <v>7</v>
      </c>
      <c r="CD2" s="89">
        <v>8</v>
      </c>
      <c r="CE2" s="89">
        <v>9</v>
      </c>
    </row>
    <row r="3" spans="2:83" ht="14.5" x14ac:dyDescent="0.35">
      <c r="B3" s="23" t="s">
        <v>1258</v>
      </c>
      <c r="C3" s="30" t="s">
        <v>1259</v>
      </c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>
        <v>2050</v>
      </c>
      <c r="N3" s="23" t="s">
        <v>1258</v>
      </c>
      <c r="O3" s="30" t="s">
        <v>1259</v>
      </c>
      <c r="P3" s="133" t="s">
        <v>1417</v>
      </c>
      <c r="Q3" s="133">
        <v>2020</v>
      </c>
      <c r="R3" s="133">
        <v>2025</v>
      </c>
      <c r="S3" s="133">
        <v>2030</v>
      </c>
      <c r="T3" s="133">
        <v>2035</v>
      </c>
      <c r="U3" s="133">
        <v>2040</v>
      </c>
      <c r="V3" s="133">
        <v>2045</v>
      </c>
      <c r="W3" s="133">
        <v>2050</v>
      </c>
      <c r="Z3" s="23" t="s">
        <v>1258</v>
      </c>
      <c r="AA3" s="30" t="s">
        <v>1259</v>
      </c>
      <c r="AB3" s="133" t="s">
        <v>1417</v>
      </c>
      <c r="AC3" s="133">
        <v>2020</v>
      </c>
      <c r="AD3" s="133">
        <v>2025</v>
      </c>
      <c r="AE3" s="133">
        <v>2030</v>
      </c>
      <c r="AF3" s="133">
        <v>2035</v>
      </c>
      <c r="AG3" s="133">
        <v>2040</v>
      </c>
      <c r="AH3" s="133">
        <v>2045</v>
      </c>
      <c r="AI3" s="133">
        <v>2050</v>
      </c>
      <c r="AL3" s="23" t="s">
        <v>1258</v>
      </c>
      <c r="AM3" s="30" t="s">
        <v>1259</v>
      </c>
      <c r="AN3" s="133" t="s">
        <v>1417</v>
      </c>
      <c r="AO3" s="133">
        <v>2020</v>
      </c>
      <c r="AP3" s="133">
        <v>2025</v>
      </c>
      <c r="AQ3" s="133">
        <v>2030</v>
      </c>
      <c r="AR3" s="133">
        <v>2035</v>
      </c>
      <c r="AS3" s="133">
        <v>2040</v>
      </c>
      <c r="AT3" s="133">
        <v>2045</v>
      </c>
      <c r="AU3" s="133">
        <v>2050</v>
      </c>
      <c r="AX3" s="23" t="s">
        <v>1258</v>
      </c>
      <c r="AY3" s="30" t="s">
        <v>1259</v>
      </c>
      <c r="AZ3" s="133" t="s">
        <v>1417</v>
      </c>
      <c r="BA3" s="133">
        <v>2020</v>
      </c>
      <c r="BB3" s="133">
        <v>2025</v>
      </c>
      <c r="BC3" s="133">
        <v>2030</v>
      </c>
      <c r="BD3" s="133">
        <v>2035</v>
      </c>
      <c r="BE3" s="133">
        <v>2040</v>
      </c>
      <c r="BF3" s="133">
        <v>2045</v>
      </c>
      <c r="BG3" s="133">
        <v>2050</v>
      </c>
      <c r="BJ3" s="23" t="s">
        <v>1258</v>
      </c>
      <c r="BK3" s="30" t="s">
        <v>1259</v>
      </c>
      <c r="BL3" s="133" t="s">
        <v>1417</v>
      </c>
      <c r="BM3" s="133">
        <v>2020</v>
      </c>
      <c r="BN3" s="133">
        <v>2025</v>
      </c>
      <c r="BO3" s="133">
        <v>2030</v>
      </c>
      <c r="BP3" s="133">
        <v>2035</v>
      </c>
      <c r="BQ3" s="133">
        <v>2040</v>
      </c>
      <c r="BR3" s="133">
        <v>2045</v>
      </c>
      <c r="BS3" s="133">
        <v>2050</v>
      </c>
      <c r="BV3" s="23" t="s">
        <v>1258</v>
      </c>
      <c r="BW3" s="30" t="s">
        <v>1259</v>
      </c>
      <c r="BX3" s="133" t="s">
        <v>1417</v>
      </c>
      <c r="BY3" s="133">
        <v>2020</v>
      </c>
      <c r="BZ3" s="133">
        <v>2025</v>
      </c>
      <c r="CA3" s="133">
        <v>2030</v>
      </c>
      <c r="CB3" s="133">
        <v>2035</v>
      </c>
      <c r="CC3" s="133">
        <v>2040</v>
      </c>
      <c r="CD3" s="133">
        <v>2045</v>
      </c>
      <c r="CE3" s="133">
        <v>2050</v>
      </c>
    </row>
    <row r="4" spans="2:83" ht="14.5" x14ac:dyDescent="0.35">
      <c r="B4" s="26" t="s">
        <v>391</v>
      </c>
      <c r="C4" s="31" t="s">
        <v>1324</v>
      </c>
      <c r="D4" s="151" t="e">
        <f>VLOOKUP($B4,capacities!$A$2:$J$2352,D$2,FALSE)</f>
        <v>#N/A</v>
      </c>
      <c r="E4" s="151" t="e">
        <f>VLOOKUP($B4,capacities!$A$2:$J$2352,E$2,FALSE)</f>
        <v>#N/A</v>
      </c>
      <c r="F4" s="151" t="e">
        <f>VLOOKUP($B4,capacities!$A$2:$J$2352,F$2,FALSE)</f>
        <v>#N/A</v>
      </c>
      <c r="G4" s="151" t="e">
        <f>VLOOKUP($B4,capacities!$A$2:$J$2352,G$2,FALSE)</f>
        <v>#N/A</v>
      </c>
      <c r="H4" s="151" t="e">
        <f>VLOOKUP($B4,capacities!$A$2:$J$2352,H$2,FALSE)</f>
        <v>#N/A</v>
      </c>
      <c r="I4" s="151" t="e">
        <f>VLOOKUP($B4,capacities!$A$2:$J$2352,I$2,FALSE)</f>
        <v>#N/A</v>
      </c>
      <c r="J4" s="151" t="e">
        <f>VLOOKUP($B4,capacities!$A$2:$J$2352,J$2,FALSE)</f>
        <v>#N/A</v>
      </c>
      <c r="K4" s="151" t="e">
        <f>VLOOKUP($B4,capacities!$A$2:$J$2352,K$2,FALSE)</f>
        <v>#N/A</v>
      </c>
      <c r="N4" s="26" t="s">
        <v>392</v>
      </c>
      <c r="O4" s="31" t="s">
        <v>1324</v>
      </c>
      <c r="P4" s="151" t="e">
        <f>VLOOKUP($N4,capacities!$A$2:$J$2352,P$2,FALSE)</f>
        <v>#N/A</v>
      </c>
      <c r="Q4" s="151" t="e">
        <f>VLOOKUP($N4,capacities!$A$2:$J$2352,Q$2,FALSE)</f>
        <v>#N/A</v>
      </c>
      <c r="R4" s="151" t="e">
        <f>VLOOKUP($N4,capacities!$A$2:$J$2352,R$2,FALSE)</f>
        <v>#N/A</v>
      </c>
      <c r="S4" s="151" t="e">
        <f>VLOOKUP($N4,capacities!$A$2:$J$2352,S$2,FALSE)</f>
        <v>#N/A</v>
      </c>
      <c r="T4" s="151" t="e">
        <f>VLOOKUP($N4,capacities!$A$2:$J$2352,T$2,FALSE)</f>
        <v>#N/A</v>
      </c>
      <c r="U4" s="151" t="e">
        <f>VLOOKUP($N4,capacities!$A$2:$J$2352,U$2,FALSE)</f>
        <v>#N/A</v>
      </c>
      <c r="V4" s="151" t="e">
        <f>VLOOKUP($N4,capacities!$A$2:$J$2352,V$2,FALSE)</f>
        <v>#N/A</v>
      </c>
      <c r="W4" s="151" t="e">
        <f>VLOOKUP($N4,capacities!$A$2:$J$2352,W$2,FALSE)</f>
        <v>#N/A</v>
      </c>
      <c r="Z4" s="26" t="s">
        <v>393</v>
      </c>
      <c r="AA4" s="31" t="s">
        <v>1324</v>
      </c>
      <c r="AB4" s="151" t="e">
        <f>VLOOKUP($Z4,capacities!$A$2:$J$2352,AB$2,FALSE)</f>
        <v>#N/A</v>
      </c>
      <c r="AC4" s="151" t="e">
        <f>VLOOKUP($Z4,capacities!$A$2:$J$2352,AC$2,FALSE)</f>
        <v>#N/A</v>
      </c>
      <c r="AD4" s="151" t="e">
        <f>VLOOKUP($Z4,capacities!$A$2:$J$2352,AD$2,FALSE)</f>
        <v>#N/A</v>
      </c>
      <c r="AE4" s="151" t="e">
        <f>VLOOKUP($Z4,capacities!$A$2:$J$2352,AE$2,FALSE)</f>
        <v>#N/A</v>
      </c>
      <c r="AF4" s="151" t="e">
        <f>VLOOKUP($Z4,capacities!$A$2:$J$2352,AF$2,FALSE)</f>
        <v>#N/A</v>
      </c>
      <c r="AG4" s="151" t="e">
        <f>VLOOKUP($Z4,capacities!$A$2:$J$2352,AG$2,FALSE)</f>
        <v>#N/A</v>
      </c>
      <c r="AH4" s="151" t="e">
        <f>VLOOKUP($Z4,capacities!$A$2:$J$2352,AH$2,FALSE)</f>
        <v>#N/A</v>
      </c>
      <c r="AI4" s="151" t="e">
        <f>VLOOKUP($Z4,capacities!$A$2:$J$2352,AI$2,FALSE)</f>
        <v>#N/A</v>
      </c>
      <c r="AL4" s="26" t="s">
        <v>394</v>
      </c>
      <c r="AM4" s="31" t="s">
        <v>1324</v>
      </c>
      <c r="AN4" s="151" t="e">
        <f>VLOOKUP($AL4,capacities!$A$2:$J$2352,AN$2,FALSE)</f>
        <v>#N/A</v>
      </c>
      <c r="AO4" s="151" t="e">
        <f>VLOOKUP($AL4,capacities!$A$2:$J$2352,AO$2,FALSE)</f>
        <v>#N/A</v>
      </c>
      <c r="AP4" s="151" t="e">
        <f>VLOOKUP($AL4,capacities!$A$2:$J$2352,AP$2,FALSE)</f>
        <v>#N/A</v>
      </c>
      <c r="AQ4" s="151" t="e">
        <f>VLOOKUP($AL4,capacities!$A$2:$J$2352,AQ$2,FALSE)</f>
        <v>#N/A</v>
      </c>
      <c r="AR4" s="151" t="e">
        <f>VLOOKUP($AL4,capacities!$A$2:$J$2352,AR$2,FALSE)</f>
        <v>#N/A</v>
      </c>
      <c r="AS4" s="151" t="e">
        <f>VLOOKUP($AL4,capacities!$A$2:$J$2352,AS$2,FALSE)</f>
        <v>#N/A</v>
      </c>
      <c r="AT4" s="151" t="e">
        <f>VLOOKUP($AL4,capacities!$A$2:$J$2352,AT$2,FALSE)</f>
        <v>#N/A</v>
      </c>
      <c r="AU4" s="151" t="e">
        <f>VLOOKUP($AL4,capacities!$A$2:$J$2352,AU$2,FALSE)</f>
        <v>#N/A</v>
      </c>
      <c r="AX4" s="26" t="s">
        <v>395</v>
      </c>
      <c r="AY4" s="31" t="s">
        <v>1324</v>
      </c>
      <c r="AZ4" s="151" t="e">
        <f>VLOOKUP($AX4,capacities!$A$2:$J$2352,AZ$2,FALSE)</f>
        <v>#N/A</v>
      </c>
      <c r="BA4" s="151" t="e">
        <f>VLOOKUP($AX4,capacities!$A$2:$J$2352,BA$2,FALSE)</f>
        <v>#N/A</v>
      </c>
      <c r="BB4" s="151" t="e">
        <f>VLOOKUP($AX4,capacities!$A$2:$J$2352,BB$2,FALSE)</f>
        <v>#N/A</v>
      </c>
      <c r="BC4" s="151" t="e">
        <f>VLOOKUP($AX4,capacities!$A$2:$J$2352,BC$2,FALSE)</f>
        <v>#N/A</v>
      </c>
      <c r="BD4" s="151" t="e">
        <f>VLOOKUP($AX4,capacities!$A$2:$J$2352,BD$2,FALSE)</f>
        <v>#N/A</v>
      </c>
      <c r="BE4" s="151" t="e">
        <f>VLOOKUP($AX4,capacities!$A$2:$J$2352,BE$2,FALSE)</f>
        <v>#N/A</v>
      </c>
      <c r="BF4" s="151" t="e">
        <f>VLOOKUP($AX4,capacities!$A$2:$J$2352,BF$2,FALSE)</f>
        <v>#N/A</v>
      </c>
      <c r="BG4" s="151" t="e">
        <f>VLOOKUP($AX4,capacities!$A$2:$J$2352,BG$2,FALSE)</f>
        <v>#N/A</v>
      </c>
      <c r="BJ4" s="26" t="s">
        <v>396</v>
      </c>
      <c r="BK4" s="31" t="s">
        <v>1324</v>
      </c>
      <c r="BL4" s="151" t="e">
        <f>VLOOKUP($BJ4,capacities!$A$2:$J$2352,BL$2,FALSE)</f>
        <v>#N/A</v>
      </c>
      <c r="BM4" s="151" t="e">
        <f>VLOOKUP($BJ4,capacities!$A$2:$J$2352,BM$2,FALSE)</f>
        <v>#N/A</v>
      </c>
      <c r="BN4" s="151" t="e">
        <f>VLOOKUP($BJ4,capacities!$A$2:$J$2352,BN$2,FALSE)</f>
        <v>#N/A</v>
      </c>
      <c r="BO4" s="151" t="e">
        <f>VLOOKUP($BJ4,capacities!$A$2:$J$2352,BO$2,FALSE)</f>
        <v>#N/A</v>
      </c>
      <c r="BP4" s="151" t="e">
        <f>VLOOKUP($BJ4,capacities!$A$2:$J$2352,BP$2,FALSE)</f>
        <v>#N/A</v>
      </c>
      <c r="BQ4" s="151" t="e">
        <f>VLOOKUP($BJ4,capacities!$A$2:$J$2352,BQ$2,FALSE)</f>
        <v>#N/A</v>
      </c>
      <c r="BR4" s="151" t="e">
        <f>VLOOKUP($BJ4,capacities!$A$2:$J$2352,BR$2,FALSE)</f>
        <v>#N/A</v>
      </c>
      <c r="BS4" s="151" t="e">
        <f>VLOOKUP($BJ4,capacities!$A$2:$J$2352,BS$2,FALSE)</f>
        <v>#N/A</v>
      </c>
      <c r="BV4" s="26" t="s">
        <v>397</v>
      </c>
      <c r="BW4" s="31" t="s">
        <v>1324</v>
      </c>
      <c r="BX4" s="151" t="e">
        <f>VLOOKUP($BV4,capacities!$A$2:$J$2352,BX$2,FALSE)</f>
        <v>#N/A</v>
      </c>
      <c r="BY4" s="151" t="e">
        <f>VLOOKUP($BV4,capacities!$A$2:$J$2352,BY$2,FALSE)</f>
        <v>#N/A</v>
      </c>
      <c r="BZ4" s="151" t="e">
        <f>VLOOKUP($BV4,capacities!$A$2:$J$2352,BZ$2,FALSE)</f>
        <v>#N/A</v>
      </c>
      <c r="CA4" s="151" t="e">
        <f>VLOOKUP($BV4,capacities!$A$2:$J$2352,CA$2,FALSE)</f>
        <v>#N/A</v>
      </c>
      <c r="CB4" s="151" t="e">
        <f>VLOOKUP($BV4,capacities!$A$2:$J$2352,CB$2,FALSE)</f>
        <v>#N/A</v>
      </c>
      <c r="CC4" s="151" t="e">
        <f>VLOOKUP($BV4,capacities!$A$2:$J$2352,CC$2,FALSE)</f>
        <v>#N/A</v>
      </c>
      <c r="CD4" s="151" t="e">
        <f>VLOOKUP($BV4,capacities!$A$2:$J$2352,CD$2,FALSE)</f>
        <v>#N/A</v>
      </c>
      <c r="CE4" s="151" t="e">
        <f>VLOOKUP($BV4,capacities!$A$2:$J$2352,CE$2,FALSE)</f>
        <v>#N/A</v>
      </c>
    </row>
    <row r="5" spans="2:83" ht="14.5" x14ac:dyDescent="0.35">
      <c r="B5" s="26" t="s">
        <v>444</v>
      </c>
      <c r="C5" s="31" t="s">
        <v>1321</v>
      </c>
      <c r="D5" s="151" t="e">
        <f>VLOOKUP($B5,capacities!$A$2:$J$2352,D$2,FALSE)</f>
        <v>#N/A</v>
      </c>
      <c r="E5" s="151" t="e">
        <f>VLOOKUP($B5,capacities!$A$2:$J$2352,E$2,FALSE)</f>
        <v>#N/A</v>
      </c>
      <c r="F5" s="151" t="e">
        <f>VLOOKUP($B5,capacities!$A$2:$J$2352,F$2,FALSE)</f>
        <v>#N/A</v>
      </c>
      <c r="G5" s="151" t="e">
        <f>VLOOKUP($B5,capacities!$A$2:$J$2352,G$2,FALSE)</f>
        <v>#N/A</v>
      </c>
      <c r="H5" s="151" t="e">
        <f>VLOOKUP($B5,capacities!$A$2:$J$2352,H$2,FALSE)</f>
        <v>#N/A</v>
      </c>
      <c r="I5" s="151" t="e">
        <f>VLOOKUP($B5,capacities!$A$2:$J$2352,I$2,FALSE)</f>
        <v>#N/A</v>
      </c>
      <c r="J5" s="151" t="e">
        <f>VLOOKUP($B5,capacities!$A$2:$J$2352,J$2,FALSE)</f>
        <v>#N/A</v>
      </c>
      <c r="K5" s="151" t="e">
        <f>VLOOKUP($B5,capacities!$A$2:$J$2352,K$2,FALSE)</f>
        <v>#N/A</v>
      </c>
      <c r="N5" s="26" t="s">
        <v>445</v>
      </c>
      <c r="O5" s="31" t="s">
        <v>1321</v>
      </c>
      <c r="P5" s="151" t="e">
        <f>VLOOKUP($N5,capacities!$A$2:$J$2352,P$2,FALSE)</f>
        <v>#N/A</v>
      </c>
      <c r="Q5" s="151" t="e">
        <f>VLOOKUP($N5,capacities!$A$2:$J$2352,Q$2,FALSE)</f>
        <v>#N/A</v>
      </c>
      <c r="R5" s="151" t="e">
        <f>VLOOKUP($N5,capacities!$A$2:$J$2352,R$2,FALSE)</f>
        <v>#N/A</v>
      </c>
      <c r="S5" s="151" t="e">
        <f>VLOOKUP($N5,capacities!$A$2:$J$2352,S$2,FALSE)</f>
        <v>#N/A</v>
      </c>
      <c r="T5" s="151" t="e">
        <f>VLOOKUP($N5,capacities!$A$2:$J$2352,T$2,FALSE)</f>
        <v>#N/A</v>
      </c>
      <c r="U5" s="151" t="e">
        <f>VLOOKUP($N5,capacities!$A$2:$J$2352,U$2,FALSE)</f>
        <v>#N/A</v>
      </c>
      <c r="V5" s="151" t="e">
        <f>VLOOKUP($N5,capacities!$A$2:$J$2352,V$2,FALSE)</f>
        <v>#N/A</v>
      </c>
      <c r="W5" s="151" t="e">
        <f>VLOOKUP($N5,capacities!$A$2:$J$2352,W$2,FALSE)</f>
        <v>#N/A</v>
      </c>
      <c r="Z5" s="26" t="s">
        <v>446</v>
      </c>
      <c r="AA5" s="31" t="s">
        <v>1321</v>
      </c>
      <c r="AB5" s="151" t="e">
        <f>VLOOKUP($Z5,capacities!$A$2:$J$2352,AB$2,FALSE)</f>
        <v>#N/A</v>
      </c>
      <c r="AC5" s="151" t="e">
        <f>VLOOKUP($Z5,capacities!$A$2:$J$2352,AC$2,FALSE)</f>
        <v>#N/A</v>
      </c>
      <c r="AD5" s="151" t="e">
        <f>VLOOKUP($Z5,capacities!$A$2:$J$2352,AD$2,FALSE)</f>
        <v>#N/A</v>
      </c>
      <c r="AE5" s="151" t="e">
        <f>VLOOKUP($Z5,capacities!$A$2:$J$2352,AE$2,FALSE)</f>
        <v>#N/A</v>
      </c>
      <c r="AF5" s="151" t="e">
        <f>VLOOKUP($Z5,capacities!$A$2:$J$2352,AF$2,FALSE)</f>
        <v>#N/A</v>
      </c>
      <c r="AG5" s="151" t="e">
        <f>VLOOKUP($Z5,capacities!$A$2:$J$2352,AG$2,FALSE)</f>
        <v>#N/A</v>
      </c>
      <c r="AH5" s="151" t="e">
        <f>VLOOKUP($Z5,capacities!$A$2:$J$2352,AH$2,FALSE)</f>
        <v>#N/A</v>
      </c>
      <c r="AI5" s="151" t="e">
        <f>VLOOKUP($Z5,capacities!$A$2:$J$2352,AI$2,FALSE)</f>
        <v>#N/A</v>
      </c>
      <c r="AL5" s="26" t="s">
        <v>447</v>
      </c>
      <c r="AM5" s="31" t="s">
        <v>1321</v>
      </c>
      <c r="AN5" s="151" t="e">
        <f>VLOOKUP($AL5,capacities!$A$2:$J$2352,AN$2,FALSE)</f>
        <v>#N/A</v>
      </c>
      <c r="AO5" s="151" t="e">
        <f>VLOOKUP($AL5,capacities!$A$2:$J$2352,AO$2,FALSE)</f>
        <v>#N/A</v>
      </c>
      <c r="AP5" s="151" t="e">
        <f>VLOOKUP($AL5,capacities!$A$2:$J$2352,AP$2,FALSE)</f>
        <v>#N/A</v>
      </c>
      <c r="AQ5" s="151" t="e">
        <f>VLOOKUP($AL5,capacities!$A$2:$J$2352,AQ$2,FALSE)</f>
        <v>#N/A</v>
      </c>
      <c r="AR5" s="151" t="e">
        <f>VLOOKUP($AL5,capacities!$A$2:$J$2352,AR$2,FALSE)</f>
        <v>#N/A</v>
      </c>
      <c r="AS5" s="151" t="e">
        <f>VLOOKUP($AL5,capacities!$A$2:$J$2352,AS$2,FALSE)</f>
        <v>#N/A</v>
      </c>
      <c r="AT5" s="151" t="e">
        <f>VLOOKUP($AL5,capacities!$A$2:$J$2352,AT$2,FALSE)</f>
        <v>#N/A</v>
      </c>
      <c r="AU5" s="151" t="e">
        <f>VLOOKUP($AL5,capacities!$A$2:$J$2352,AU$2,FALSE)</f>
        <v>#N/A</v>
      </c>
      <c r="AX5" s="26" t="s">
        <v>448</v>
      </c>
      <c r="AY5" s="31" t="s">
        <v>1321</v>
      </c>
      <c r="AZ5" s="151" t="e">
        <f>VLOOKUP($AX5,capacities!$A$2:$J$2352,AZ$2,FALSE)</f>
        <v>#N/A</v>
      </c>
      <c r="BA5" s="151" t="e">
        <f>VLOOKUP($AX5,capacities!$A$2:$J$2352,BA$2,FALSE)</f>
        <v>#N/A</v>
      </c>
      <c r="BB5" s="151" t="e">
        <f>VLOOKUP($AX5,capacities!$A$2:$J$2352,BB$2,FALSE)</f>
        <v>#N/A</v>
      </c>
      <c r="BC5" s="151" t="e">
        <f>VLOOKUP($AX5,capacities!$A$2:$J$2352,BC$2,FALSE)</f>
        <v>#N/A</v>
      </c>
      <c r="BD5" s="151" t="e">
        <f>VLOOKUP($AX5,capacities!$A$2:$J$2352,BD$2,FALSE)</f>
        <v>#N/A</v>
      </c>
      <c r="BE5" s="151" t="e">
        <f>VLOOKUP($AX5,capacities!$A$2:$J$2352,BE$2,FALSE)</f>
        <v>#N/A</v>
      </c>
      <c r="BF5" s="151" t="e">
        <f>VLOOKUP($AX5,capacities!$A$2:$J$2352,BF$2,FALSE)</f>
        <v>#N/A</v>
      </c>
      <c r="BG5" s="151" t="e">
        <f>VLOOKUP($AX5,capacities!$A$2:$J$2352,BG$2,FALSE)</f>
        <v>#N/A</v>
      </c>
      <c r="BJ5" s="26" t="s">
        <v>449</v>
      </c>
      <c r="BK5" s="31" t="s">
        <v>1321</v>
      </c>
      <c r="BL5" s="151" t="e">
        <f>VLOOKUP($BJ5,capacities!$A$2:$J$2352,BL$2,FALSE)</f>
        <v>#N/A</v>
      </c>
      <c r="BM5" s="151" t="e">
        <f>VLOOKUP($BJ5,capacities!$A$2:$J$2352,BM$2,FALSE)</f>
        <v>#N/A</v>
      </c>
      <c r="BN5" s="151" t="e">
        <f>VLOOKUP($BJ5,capacities!$A$2:$J$2352,BN$2,FALSE)</f>
        <v>#N/A</v>
      </c>
      <c r="BO5" s="151" t="e">
        <f>VLOOKUP($BJ5,capacities!$A$2:$J$2352,BO$2,FALSE)</f>
        <v>#N/A</v>
      </c>
      <c r="BP5" s="151" t="e">
        <f>VLOOKUP($BJ5,capacities!$A$2:$J$2352,BP$2,FALSE)</f>
        <v>#N/A</v>
      </c>
      <c r="BQ5" s="151" t="e">
        <f>VLOOKUP($BJ5,capacities!$A$2:$J$2352,BQ$2,FALSE)</f>
        <v>#N/A</v>
      </c>
      <c r="BR5" s="151" t="e">
        <f>VLOOKUP($BJ5,capacities!$A$2:$J$2352,BR$2,FALSE)</f>
        <v>#N/A</v>
      </c>
      <c r="BS5" s="151" t="e">
        <f>VLOOKUP($BJ5,capacities!$A$2:$J$2352,BS$2,FALSE)</f>
        <v>#N/A</v>
      </c>
      <c r="BV5" s="26" t="s">
        <v>450</v>
      </c>
      <c r="BW5" s="31" t="s">
        <v>1321</v>
      </c>
      <c r="BX5" s="151" t="e">
        <f>VLOOKUP($BV5,capacities!$A$2:$J$2352,BX$2,FALSE)</f>
        <v>#N/A</v>
      </c>
      <c r="BY5" s="151" t="e">
        <f>VLOOKUP($BV5,capacities!$A$2:$J$2352,BY$2,FALSE)</f>
        <v>#N/A</v>
      </c>
      <c r="BZ5" s="151" t="e">
        <f>VLOOKUP($BV5,capacities!$A$2:$J$2352,BZ$2,FALSE)</f>
        <v>#N/A</v>
      </c>
      <c r="CA5" s="151" t="e">
        <f>VLOOKUP($BV5,capacities!$A$2:$J$2352,CA$2,FALSE)</f>
        <v>#N/A</v>
      </c>
      <c r="CB5" s="151" t="e">
        <f>VLOOKUP($BV5,capacities!$A$2:$J$2352,CB$2,FALSE)</f>
        <v>#N/A</v>
      </c>
      <c r="CC5" s="151" t="e">
        <f>VLOOKUP($BV5,capacities!$A$2:$J$2352,CC$2,FALSE)</f>
        <v>#N/A</v>
      </c>
      <c r="CD5" s="151" t="e">
        <f>VLOOKUP($BV5,capacities!$A$2:$J$2352,CD$2,FALSE)</f>
        <v>#N/A</v>
      </c>
      <c r="CE5" s="151" t="e">
        <f>VLOOKUP($BV5,capacities!$A$2:$J$2352,CE$2,FALSE)</f>
        <v>#N/A</v>
      </c>
    </row>
    <row r="6" spans="2:83" ht="14.5" x14ac:dyDescent="0.35">
      <c r="B6" s="26" t="s">
        <v>451</v>
      </c>
      <c r="C6" s="31" t="s">
        <v>1322</v>
      </c>
      <c r="D6" s="151" t="e">
        <f>VLOOKUP($B6,capacities!$A$2:$J$2352,D$2,FALSE)</f>
        <v>#N/A</v>
      </c>
      <c r="E6" s="151" t="e">
        <f>VLOOKUP($B6,capacities!$A$2:$J$2352,E$2,FALSE)</f>
        <v>#N/A</v>
      </c>
      <c r="F6" s="151" t="e">
        <f>VLOOKUP($B6,capacities!$A$2:$J$2352,F$2,FALSE)</f>
        <v>#N/A</v>
      </c>
      <c r="G6" s="151" t="e">
        <f>VLOOKUP($B6,capacities!$A$2:$J$2352,G$2,FALSE)</f>
        <v>#N/A</v>
      </c>
      <c r="H6" s="151" t="e">
        <f>VLOOKUP($B6,capacities!$A$2:$J$2352,H$2,FALSE)</f>
        <v>#N/A</v>
      </c>
      <c r="I6" s="151" t="e">
        <f>VLOOKUP($B6,capacities!$A$2:$J$2352,I$2,FALSE)</f>
        <v>#N/A</v>
      </c>
      <c r="J6" s="151" t="e">
        <f>VLOOKUP($B6,capacities!$A$2:$J$2352,J$2,FALSE)</f>
        <v>#N/A</v>
      </c>
      <c r="K6" s="151" t="e">
        <f>VLOOKUP($B6,capacities!$A$2:$J$2352,K$2,FALSE)</f>
        <v>#N/A</v>
      </c>
      <c r="N6" s="26" t="s">
        <v>452</v>
      </c>
      <c r="O6" s="31" t="s">
        <v>1322</v>
      </c>
      <c r="P6" s="151" t="e">
        <f>VLOOKUP($N6,capacities!$A$2:$J$2352,P$2,FALSE)</f>
        <v>#N/A</v>
      </c>
      <c r="Q6" s="151" t="e">
        <f>VLOOKUP($N6,capacities!$A$2:$J$2352,Q$2,FALSE)</f>
        <v>#N/A</v>
      </c>
      <c r="R6" s="151" t="e">
        <f>VLOOKUP($N6,capacities!$A$2:$J$2352,R$2,FALSE)</f>
        <v>#N/A</v>
      </c>
      <c r="S6" s="151" t="e">
        <f>VLOOKUP($N6,capacities!$A$2:$J$2352,S$2,FALSE)</f>
        <v>#N/A</v>
      </c>
      <c r="T6" s="151" t="e">
        <f>VLOOKUP($N6,capacities!$A$2:$J$2352,T$2,FALSE)</f>
        <v>#N/A</v>
      </c>
      <c r="U6" s="151" t="e">
        <f>VLOOKUP($N6,capacities!$A$2:$J$2352,U$2,FALSE)</f>
        <v>#N/A</v>
      </c>
      <c r="V6" s="151" t="e">
        <f>VLOOKUP($N6,capacities!$A$2:$J$2352,V$2,FALSE)</f>
        <v>#N/A</v>
      </c>
      <c r="W6" s="151" t="e">
        <f>VLOOKUP($N6,capacities!$A$2:$J$2352,W$2,FALSE)</f>
        <v>#N/A</v>
      </c>
      <c r="Z6" s="26" t="s">
        <v>453</v>
      </c>
      <c r="AA6" s="31" t="s">
        <v>1322</v>
      </c>
      <c r="AB6" s="151" t="e">
        <f>VLOOKUP($Z6,capacities!$A$2:$J$2352,AB$2,FALSE)</f>
        <v>#N/A</v>
      </c>
      <c r="AC6" s="151" t="e">
        <f>VLOOKUP($Z6,capacities!$A$2:$J$2352,AC$2,FALSE)</f>
        <v>#N/A</v>
      </c>
      <c r="AD6" s="151" t="e">
        <f>VLOOKUP($Z6,capacities!$A$2:$J$2352,AD$2,FALSE)</f>
        <v>#N/A</v>
      </c>
      <c r="AE6" s="151" t="e">
        <f>VLOOKUP($Z6,capacities!$A$2:$J$2352,AE$2,FALSE)</f>
        <v>#N/A</v>
      </c>
      <c r="AF6" s="151" t="e">
        <f>VLOOKUP($Z6,capacities!$A$2:$J$2352,AF$2,FALSE)</f>
        <v>#N/A</v>
      </c>
      <c r="AG6" s="151" t="e">
        <f>VLOOKUP($Z6,capacities!$A$2:$J$2352,AG$2,FALSE)</f>
        <v>#N/A</v>
      </c>
      <c r="AH6" s="151" t="e">
        <f>VLOOKUP($Z6,capacities!$A$2:$J$2352,AH$2,FALSE)</f>
        <v>#N/A</v>
      </c>
      <c r="AI6" s="151" t="e">
        <f>VLOOKUP($Z6,capacities!$A$2:$J$2352,AI$2,FALSE)</f>
        <v>#N/A</v>
      </c>
      <c r="AL6" s="26" t="s">
        <v>454</v>
      </c>
      <c r="AM6" s="31" t="s">
        <v>1322</v>
      </c>
      <c r="AN6" s="151" t="e">
        <f>VLOOKUP($AL6,capacities!$A$2:$J$2352,AN$2,FALSE)</f>
        <v>#N/A</v>
      </c>
      <c r="AO6" s="151" t="e">
        <f>VLOOKUP($AL6,capacities!$A$2:$J$2352,AO$2,FALSE)</f>
        <v>#N/A</v>
      </c>
      <c r="AP6" s="151" t="e">
        <f>VLOOKUP($AL6,capacities!$A$2:$J$2352,AP$2,FALSE)</f>
        <v>#N/A</v>
      </c>
      <c r="AQ6" s="151" t="e">
        <f>VLOOKUP($AL6,capacities!$A$2:$J$2352,AQ$2,FALSE)</f>
        <v>#N/A</v>
      </c>
      <c r="AR6" s="151" t="e">
        <f>VLOOKUP($AL6,capacities!$A$2:$J$2352,AR$2,FALSE)</f>
        <v>#N/A</v>
      </c>
      <c r="AS6" s="151" t="e">
        <f>VLOOKUP($AL6,capacities!$A$2:$J$2352,AS$2,FALSE)</f>
        <v>#N/A</v>
      </c>
      <c r="AT6" s="151" t="e">
        <f>VLOOKUP($AL6,capacities!$A$2:$J$2352,AT$2,FALSE)</f>
        <v>#N/A</v>
      </c>
      <c r="AU6" s="151" t="e">
        <f>VLOOKUP($AL6,capacities!$A$2:$J$2352,AU$2,FALSE)</f>
        <v>#N/A</v>
      </c>
      <c r="AX6" s="26" t="s">
        <v>455</v>
      </c>
      <c r="AY6" s="31" t="s">
        <v>1322</v>
      </c>
      <c r="AZ6" s="151" t="e">
        <f>VLOOKUP($AX6,capacities!$A$2:$J$2352,AZ$2,FALSE)</f>
        <v>#N/A</v>
      </c>
      <c r="BA6" s="151" t="e">
        <f>VLOOKUP($AX6,capacities!$A$2:$J$2352,BA$2,FALSE)</f>
        <v>#N/A</v>
      </c>
      <c r="BB6" s="151" t="e">
        <f>VLOOKUP($AX6,capacities!$A$2:$J$2352,BB$2,FALSE)</f>
        <v>#N/A</v>
      </c>
      <c r="BC6" s="151" t="e">
        <f>VLOOKUP($AX6,capacities!$A$2:$J$2352,BC$2,FALSE)</f>
        <v>#N/A</v>
      </c>
      <c r="BD6" s="151" t="e">
        <f>VLOOKUP($AX6,capacities!$A$2:$J$2352,BD$2,FALSE)</f>
        <v>#N/A</v>
      </c>
      <c r="BE6" s="151" t="e">
        <f>VLOOKUP($AX6,capacities!$A$2:$J$2352,BE$2,FALSE)</f>
        <v>#N/A</v>
      </c>
      <c r="BF6" s="151" t="e">
        <f>VLOOKUP($AX6,capacities!$A$2:$J$2352,BF$2,FALSE)</f>
        <v>#N/A</v>
      </c>
      <c r="BG6" s="151" t="e">
        <f>VLOOKUP($AX6,capacities!$A$2:$J$2352,BG$2,FALSE)</f>
        <v>#N/A</v>
      </c>
      <c r="BJ6" s="26" t="s">
        <v>456</v>
      </c>
      <c r="BK6" s="31" t="s">
        <v>1322</v>
      </c>
      <c r="BL6" s="151" t="e">
        <f>VLOOKUP($BJ6,capacities!$A$2:$J$2352,BL$2,FALSE)</f>
        <v>#N/A</v>
      </c>
      <c r="BM6" s="151" t="e">
        <f>VLOOKUP($BJ6,capacities!$A$2:$J$2352,BM$2,FALSE)</f>
        <v>#N/A</v>
      </c>
      <c r="BN6" s="151" t="e">
        <f>VLOOKUP($BJ6,capacities!$A$2:$J$2352,BN$2,FALSE)</f>
        <v>#N/A</v>
      </c>
      <c r="BO6" s="151" t="e">
        <f>VLOOKUP($BJ6,capacities!$A$2:$J$2352,BO$2,FALSE)</f>
        <v>#N/A</v>
      </c>
      <c r="BP6" s="151" t="e">
        <f>VLOOKUP($BJ6,capacities!$A$2:$J$2352,BP$2,FALSE)</f>
        <v>#N/A</v>
      </c>
      <c r="BQ6" s="151" t="e">
        <f>VLOOKUP($BJ6,capacities!$A$2:$J$2352,BQ$2,FALSE)</f>
        <v>#N/A</v>
      </c>
      <c r="BR6" s="151" t="e">
        <f>VLOOKUP($BJ6,capacities!$A$2:$J$2352,BR$2,FALSE)</f>
        <v>#N/A</v>
      </c>
      <c r="BS6" s="151" t="e">
        <f>VLOOKUP($BJ6,capacities!$A$2:$J$2352,BS$2,FALSE)</f>
        <v>#N/A</v>
      </c>
      <c r="BV6" s="26" t="s">
        <v>457</v>
      </c>
      <c r="BW6" s="31" t="s">
        <v>1322</v>
      </c>
      <c r="BX6" s="151" t="e">
        <f>VLOOKUP($BV6,capacities!$A$2:$J$2352,BX$2,FALSE)</f>
        <v>#N/A</v>
      </c>
      <c r="BY6" s="151" t="e">
        <f>VLOOKUP($BV6,capacities!$A$2:$J$2352,BY$2,FALSE)</f>
        <v>#N/A</v>
      </c>
      <c r="BZ6" s="151" t="e">
        <f>VLOOKUP($BV6,capacities!$A$2:$J$2352,BZ$2,FALSE)</f>
        <v>#N/A</v>
      </c>
      <c r="CA6" s="151" t="e">
        <f>VLOOKUP($BV6,capacities!$A$2:$J$2352,CA$2,FALSE)</f>
        <v>#N/A</v>
      </c>
      <c r="CB6" s="151" t="e">
        <f>VLOOKUP($BV6,capacities!$A$2:$J$2352,CB$2,FALSE)</f>
        <v>#N/A</v>
      </c>
      <c r="CC6" s="151" t="e">
        <f>VLOOKUP($BV6,capacities!$A$2:$J$2352,CC$2,FALSE)</f>
        <v>#N/A</v>
      </c>
      <c r="CD6" s="151" t="e">
        <f>VLOOKUP($BV6,capacities!$A$2:$J$2352,CD$2,FALSE)</f>
        <v>#N/A</v>
      </c>
      <c r="CE6" s="151" t="e">
        <f>VLOOKUP($BV6,capacities!$A$2:$J$2352,CE$2,FALSE)</f>
        <v>#N/A</v>
      </c>
    </row>
    <row r="7" spans="2:83" x14ac:dyDescent="0.35">
      <c r="B7" s="26"/>
      <c r="C7" s="31"/>
      <c r="D7" s="13"/>
      <c r="E7" s="13"/>
      <c r="F7" s="13"/>
      <c r="G7" s="13"/>
      <c r="H7" s="13"/>
      <c r="I7" s="13"/>
      <c r="J7" s="13"/>
      <c r="K7" s="13"/>
      <c r="N7" s="5"/>
      <c r="O7" s="6"/>
      <c r="P7" s="13"/>
      <c r="Q7" s="13"/>
      <c r="R7" s="13"/>
      <c r="S7" s="13"/>
      <c r="T7" s="13"/>
      <c r="U7" s="13"/>
      <c r="V7" s="13"/>
      <c r="W7" s="13"/>
      <c r="Z7" s="5"/>
      <c r="AA7" s="6"/>
      <c r="AB7" s="13"/>
      <c r="AC7" s="13"/>
      <c r="AD7" s="13"/>
      <c r="AE7" s="13"/>
      <c r="AF7" s="13"/>
      <c r="AG7" s="13"/>
      <c r="AH7" s="13"/>
      <c r="AI7" s="13"/>
      <c r="AL7" s="27"/>
      <c r="AM7" s="32"/>
      <c r="AN7" s="13"/>
      <c r="AO7" s="13"/>
      <c r="AP7" s="13"/>
      <c r="AQ7" s="13"/>
      <c r="AR7" s="13"/>
      <c r="AS7" s="13"/>
      <c r="AT7" s="13"/>
      <c r="AU7" s="13"/>
      <c r="AX7" s="26"/>
      <c r="AY7" s="31"/>
      <c r="AZ7" s="13"/>
      <c r="BA7" s="13"/>
      <c r="BB7" s="13"/>
      <c r="BC7" s="13"/>
      <c r="BD7" s="13"/>
      <c r="BE7" s="13"/>
      <c r="BF7" s="13"/>
      <c r="BG7" s="13"/>
      <c r="BJ7" s="26"/>
      <c r="BK7" s="31"/>
      <c r="BL7" s="13"/>
      <c r="BM7" s="13"/>
      <c r="BN7" s="13"/>
      <c r="BO7" s="13"/>
      <c r="BP7" s="13"/>
      <c r="BQ7" s="13"/>
      <c r="BR7" s="13"/>
      <c r="BS7" s="13"/>
      <c r="BV7" s="26"/>
      <c r="BW7" s="31"/>
      <c r="BX7" s="13"/>
      <c r="BY7" s="13"/>
      <c r="BZ7" s="13"/>
      <c r="CA7" s="13"/>
      <c r="CB7" s="13"/>
      <c r="CC7" s="13"/>
      <c r="CD7" s="13"/>
      <c r="CE7" s="13"/>
    </row>
    <row r="8" spans="2:83" ht="14.5" thickBot="1" x14ac:dyDescent="0.4">
      <c r="B8" s="28"/>
      <c r="C8" s="33"/>
      <c r="D8" s="35"/>
      <c r="E8" s="35"/>
      <c r="F8" s="35"/>
      <c r="G8" s="35"/>
      <c r="H8" s="35"/>
      <c r="I8" s="35"/>
      <c r="J8" s="35"/>
      <c r="K8" s="35"/>
      <c r="N8" s="28"/>
      <c r="O8" s="33"/>
      <c r="P8" s="35"/>
      <c r="Q8" s="35"/>
      <c r="R8" s="35"/>
      <c r="S8" s="35"/>
      <c r="T8" s="35"/>
      <c r="U8" s="35"/>
      <c r="V8" s="35"/>
      <c r="W8" s="35"/>
      <c r="Z8" s="28"/>
      <c r="AA8" s="33"/>
      <c r="AB8" s="35"/>
      <c r="AC8" s="35"/>
      <c r="AD8" s="35"/>
      <c r="AE8" s="35"/>
      <c r="AF8" s="35"/>
      <c r="AG8" s="35"/>
      <c r="AH8" s="35"/>
      <c r="AI8" s="35"/>
      <c r="AL8" s="28"/>
      <c r="AM8" s="33"/>
      <c r="AN8" s="35"/>
      <c r="AO8" s="35"/>
      <c r="AP8" s="35"/>
      <c r="AQ8" s="35"/>
      <c r="AR8" s="35"/>
      <c r="AS8" s="35"/>
      <c r="AT8" s="35"/>
      <c r="AU8" s="35"/>
      <c r="AX8" s="28"/>
      <c r="AY8" s="33"/>
      <c r="AZ8" s="35"/>
      <c r="BA8" s="35"/>
      <c r="BB8" s="35"/>
      <c r="BC8" s="35"/>
      <c r="BD8" s="35"/>
      <c r="BE8" s="35"/>
      <c r="BF8" s="35"/>
      <c r="BG8" s="35"/>
      <c r="BJ8" s="28"/>
      <c r="BK8" s="33"/>
      <c r="BL8" s="35"/>
      <c r="BM8" s="35"/>
      <c r="BN8" s="35"/>
      <c r="BO8" s="35"/>
      <c r="BP8" s="35"/>
      <c r="BQ8" s="35"/>
      <c r="BR8" s="35"/>
      <c r="BS8" s="35"/>
      <c r="BV8" s="28"/>
      <c r="BW8" s="33"/>
      <c r="BX8" s="35"/>
      <c r="BY8" s="35"/>
      <c r="BZ8" s="35"/>
      <c r="CA8" s="35"/>
      <c r="CB8" s="35"/>
      <c r="CC8" s="35"/>
      <c r="CD8" s="35"/>
      <c r="CE8" s="35"/>
    </row>
  </sheetData>
  <dataConsolidate/>
  <pageMargins left="0.7" right="0.7" top="0.78740157499999996" bottom="0.78740157499999996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88157-3C04-49D5-AF67-F34EB9D842EA}">
  <sheetPr>
    <tabColor theme="7"/>
  </sheetPr>
  <dimension ref="B1:AK31"/>
  <sheetViews>
    <sheetView zoomScale="80" zoomScaleNormal="80" zoomScaleSheetLayoutView="30" workbookViewId="0">
      <selection activeCell="K9" sqref="K9"/>
    </sheetView>
  </sheetViews>
  <sheetFormatPr baseColWidth="10" defaultColWidth="11.453125" defaultRowHeight="14.5" x14ac:dyDescent="0.35"/>
  <cols>
    <col min="1" max="1" width="11.453125" style="900"/>
    <col min="2" max="2" width="39.54296875" style="900" bestFit="1" customWidth="1"/>
    <col min="3" max="4" width="34.1796875" style="900" customWidth="1"/>
    <col min="5" max="13" width="11.453125" style="900"/>
    <col min="14" max="14" width="31.81640625" style="900" customWidth="1"/>
    <col min="15" max="15" width="22.90625" style="900" customWidth="1"/>
    <col min="16" max="24" width="11.453125" style="900"/>
    <col min="25" max="25" width="6.81640625" style="900" customWidth="1"/>
    <col min="26" max="26" width="30.1796875" style="900" customWidth="1"/>
    <col min="27" max="27" width="23.08984375" style="900" customWidth="1"/>
    <col min="28" max="16384" width="11.453125" style="900"/>
  </cols>
  <sheetData>
    <row r="1" spans="2:37" ht="15" thickBot="1" x14ac:dyDescent="0.4"/>
    <row r="2" spans="2:37" x14ac:dyDescent="0.35">
      <c r="B2" s="196" t="s">
        <v>1275</v>
      </c>
      <c r="C2" s="36" t="s">
        <v>1828</v>
      </c>
      <c r="D2" s="36"/>
      <c r="E2" s="89">
        <v>2</v>
      </c>
      <c r="F2" s="89">
        <v>3</v>
      </c>
      <c r="G2" s="89">
        <v>4</v>
      </c>
      <c r="H2" s="89">
        <v>5</v>
      </c>
      <c r="I2" s="89">
        <v>6</v>
      </c>
      <c r="J2" s="89">
        <v>7</v>
      </c>
      <c r="K2" s="89">
        <v>8</v>
      </c>
      <c r="L2" s="89">
        <v>9</v>
      </c>
      <c r="N2" s="133" t="s">
        <v>4433</v>
      </c>
      <c r="O2" s="321"/>
      <c r="Z2" s="196" t="s">
        <v>4449</v>
      </c>
      <c r="AA2" s="36" t="s">
        <v>4450</v>
      </c>
      <c r="AB2" s="36"/>
      <c r="AC2" s="89">
        <v>2</v>
      </c>
      <c r="AD2" s="89">
        <v>3</v>
      </c>
      <c r="AE2" s="89">
        <v>4</v>
      </c>
      <c r="AF2" s="89">
        <v>5</v>
      </c>
      <c r="AG2" s="89">
        <v>6</v>
      </c>
      <c r="AH2" s="89">
        <v>7</v>
      </c>
      <c r="AI2" s="89">
        <v>8</v>
      </c>
      <c r="AJ2" s="89">
        <v>9</v>
      </c>
      <c r="AK2" s="900" t="s">
        <v>4451</v>
      </c>
    </row>
    <row r="3" spans="2:37" x14ac:dyDescent="0.35">
      <c r="B3" s="205" t="s">
        <v>1258</v>
      </c>
      <c r="C3" s="219" t="s">
        <v>1259</v>
      </c>
      <c r="D3" s="219"/>
      <c r="E3" s="133" t="s">
        <v>1417</v>
      </c>
      <c r="F3" s="133">
        <v>2020</v>
      </c>
      <c r="G3" s="133">
        <v>2025</v>
      </c>
      <c r="H3" s="133">
        <v>2030</v>
      </c>
      <c r="I3" s="133">
        <v>2035</v>
      </c>
      <c r="J3" s="133">
        <v>2040</v>
      </c>
      <c r="K3" s="133">
        <v>2045</v>
      </c>
      <c r="L3" s="133" t="s">
        <v>4477</v>
      </c>
      <c r="N3" s="900" t="s">
        <v>4434</v>
      </c>
      <c r="O3" s="942">
        <v>14610</v>
      </c>
      <c r="Q3" s="900" t="s">
        <v>4435</v>
      </c>
      <c r="R3" s="900" t="s">
        <v>4436</v>
      </c>
      <c r="Z3" s="205" t="s">
        <v>1258</v>
      </c>
      <c r="AA3" s="219" t="s">
        <v>1259</v>
      </c>
      <c r="AB3" s="219"/>
      <c r="AC3" s="133" t="s">
        <v>1417</v>
      </c>
      <c r="AD3" s="133">
        <v>2020</v>
      </c>
      <c r="AE3" s="133">
        <v>2025</v>
      </c>
      <c r="AF3" s="133">
        <v>2030</v>
      </c>
      <c r="AG3" s="133">
        <v>2035</v>
      </c>
      <c r="AH3" s="133">
        <v>2040</v>
      </c>
      <c r="AI3" s="133">
        <v>2045</v>
      </c>
      <c r="AJ3" s="133">
        <v>2050</v>
      </c>
      <c r="AK3" s="133">
        <v>2045</v>
      </c>
    </row>
    <row r="4" spans="2:37" x14ac:dyDescent="0.35">
      <c r="B4" s="343" t="s">
        <v>112</v>
      </c>
      <c r="C4" s="342" t="s">
        <v>1255</v>
      </c>
      <c r="D4" s="342" t="s">
        <v>1832</v>
      </c>
      <c r="E4" s="900" t="e">
        <f>VLOOKUP($B4,capacities!$A$2:$J$2352,E$2,FALSE)</f>
        <v>#N/A</v>
      </c>
      <c r="F4" s="900" t="e">
        <f>VLOOKUP($B4,capacities!$A$2:$J$2352,F$2,FALSE)</f>
        <v>#N/A</v>
      </c>
      <c r="G4" s="900" t="e">
        <f>VLOOKUP($B4,capacities!$A$2:$J$2352,G$2,FALSE)</f>
        <v>#N/A</v>
      </c>
      <c r="H4" s="900" t="e">
        <f>VLOOKUP($B4,capacities!$A$2:$J$2352,H$2,FALSE)</f>
        <v>#N/A</v>
      </c>
      <c r="I4" s="900" t="e">
        <f>VLOOKUP($B4,capacities!$A$2:$J$2352,I$2,FALSE)</f>
        <v>#N/A</v>
      </c>
      <c r="J4" s="900" t="e">
        <f>VLOOKUP($B4,capacities!$A$2:$J$2352,J$2,FALSE)</f>
        <v>#N/A</v>
      </c>
      <c r="K4" s="900" t="e">
        <f>VLOOKUP($B4,capacities!$A$2:$J$2352,K$2,FALSE)</f>
        <v>#N/A</v>
      </c>
      <c r="L4" s="958">
        <v>59.766948695905739</v>
      </c>
      <c r="N4" s="900" t="s">
        <v>4437</v>
      </c>
      <c r="O4" s="943">
        <v>75</v>
      </c>
      <c r="Z4" s="840" t="s">
        <v>860</v>
      </c>
      <c r="AA4" s="900" t="s">
        <v>4442</v>
      </c>
      <c r="AB4" s="900" t="s">
        <v>1832</v>
      </c>
      <c r="AC4" s="900" t="e">
        <f>VLOOKUP($Z4,flows!$A$2:$J$2552,AC$2,FALSE)</f>
        <v>#N/A</v>
      </c>
      <c r="AD4" s="900" t="e">
        <f>VLOOKUP($Z4,flows!$A$2:$J$2552,AD$2,FALSE)</f>
        <v>#N/A</v>
      </c>
      <c r="AE4" s="900" t="e">
        <f>VLOOKUP($Z4,flows!$A$2:$J$2552,AE$2,FALSE)</f>
        <v>#N/A</v>
      </c>
      <c r="AF4" s="900" t="e">
        <f>VLOOKUP($Z4,flows!$A$2:$J$2552,AF$2,FALSE)</f>
        <v>#N/A</v>
      </c>
      <c r="AG4" s="900" t="e">
        <f>VLOOKUP($Z4,flows!$A$2:$J$2552,AG$2,FALSE)</f>
        <v>#N/A</v>
      </c>
      <c r="AH4" s="900" t="e">
        <f>VLOOKUP($Z4,flows!$A$2:$J$2552,AH$2,FALSE)</f>
        <v>#N/A</v>
      </c>
      <c r="AI4" s="900" t="e">
        <f>VLOOKUP($Z4,flows!$A$2:$J$2552,AI$2,FALSE)</f>
        <v>#N/A</v>
      </c>
      <c r="AJ4" s="900" t="e">
        <f>VLOOKUP($Z4,flows!$A$2:$J$2552,AJ$2,FALSE)</f>
        <v>#N/A</v>
      </c>
      <c r="AK4" s="900" t="e">
        <f>AI4/K4</f>
        <v>#N/A</v>
      </c>
    </row>
    <row r="5" spans="2:37" ht="15" thickBot="1" x14ac:dyDescent="0.4">
      <c r="B5" s="343" t="s">
        <v>117</v>
      </c>
      <c r="C5" s="342" t="s">
        <v>4452</v>
      </c>
      <c r="D5" s="342" t="s">
        <v>4453</v>
      </c>
      <c r="E5" s="900" t="e">
        <f>VLOOKUP($B5,capacities!$A$2:$J$2352,E$2,FALSE)</f>
        <v>#N/A</v>
      </c>
      <c r="F5" s="900" t="e">
        <f>VLOOKUP($B5,capacities!$A$2:$J$2352,F$2,FALSE)</f>
        <v>#N/A</v>
      </c>
      <c r="G5" s="900" t="e">
        <f>VLOOKUP($B5,capacities!$A$2:$J$2352,G$2,FALSE)</f>
        <v>#N/A</v>
      </c>
      <c r="H5" s="900" t="e">
        <f>VLOOKUP($B5,capacities!$A$2:$J$2352,H$2,FALSE)</f>
        <v>#N/A</v>
      </c>
      <c r="I5" s="900" t="e">
        <f>VLOOKUP($B5,capacities!$A$2:$J$2352,I$2,FALSE)</f>
        <v>#N/A</v>
      </c>
      <c r="J5" s="900" t="e">
        <f>VLOOKUP($B5,capacities!$A$2:$J$2352,J$2,FALSE)</f>
        <v>#N/A</v>
      </c>
      <c r="K5" s="900" t="e">
        <f>VLOOKUP($B5,capacities!$A$2:$J$2352,K$2,FALSE)</f>
        <v>#N/A</v>
      </c>
      <c r="L5" s="958">
        <v>86.767472921896996</v>
      </c>
      <c r="N5" s="900" t="s">
        <v>4438</v>
      </c>
      <c r="O5" s="944">
        <v>0.1</v>
      </c>
      <c r="Z5" s="900" t="s">
        <v>1042</v>
      </c>
      <c r="AA5" s="900" t="s">
        <v>4443</v>
      </c>
      <c r="AB5" s="900" t="s">
        <v>4444</v>
      </c>
      <c r="AC5" s="900" t="e">
        <f>VLOOKUP($Z5,flows!$A$2:$J$2552,AC$2,FALSE)</f>
        <v>#N/A</v>
      </c>
      <c r="AD5" s="900" t="e">
        <f>VLOOKUP($Z5,flows!$A$2:$J$2552,AD$2,FALSE)</f>
        <v>#N/A</v>
      </c>
      <c r="AE5" s="900" t="e">
        <f>VLOOKUP($Z5,flows!$A$2:$J$2552,AE$2,FALSE)</f>
        <v>#N/A</v>
      </c>
      <c r="AF5" s="900" t="e">
        <f>VLOOKUP($Z5,flows!$A$2:$J$2552,AF$2,FALSE)</f>
        <v>#N/A</v>
      </c>
      <c r="AG5" s="900" t="e">
        <f>VLOOKUP($Z5,flows!$A$2:$J$2552,AG$2,FALSE)</f>
        <v>#N/A</v>
      </c>
      <c r="AH5" s="900" t="e">
        <f>VLOOKUP($Z5,flows!$A$2:$J$2552,AH$2,FALSE)</f>
        <v>#N/A</v>
      </c>
      <c r="AI5" s="900" t="e">
        <f>VLOOKUP($Z5,flows!$A$2:$J$2552,AI$2,FALSE)</f>
        <v>#N/A</v>
      </c>
      <c r="AJ5" s="900" t="e">
        <f>VLOOKUP($Z5,flows!$A$2:$J$2552,AJ$2,FALSE)</f>
        <v>#N/A</v>
      </c>
      <c r="AK5" s="900" t="e">
        <f>AI5/K5</f>
        <v>#N/A</v>
      </c>
    </row>
    <row r="6" spans="2:37" x14ac:dyDescent="0.35">
      <c r="B6" s="343" t="s">
        <v>4454</v>
      </c>
      <c r="C6" s="342" t="s">
        <v>4455</v>
      </c>
      <c r="D6" s="342" t="s">
        <v>4456</v>
      </c>
      <c r="E6" s="900" t="e">
        <f>P9</f>
        <v>#N/A</v>
      </c>
      <c r="F6" s="900" t="e">
        <f t="shared" ref="F6:K6" si="0">Q9</f>
        <v>#N/A</v>
      </c>
      <c r="G6" s="900" t="e">
        <f t="shared" si="0"/>
        <v>#N/A</v>
      </c>
      <c r="H6" s="900" t="e">
        <f t="shared" si="0"/>
        <v>#N/A</v>
      </c>
      <c r="I6" s="900" t="e">
        <f t="shared" si="0"/>
        <v>#N/A</v>
      </c>
      <c r="J6" s="900" t="e">
        <f t="shared" si="0"/>
        <v>#N/A</v>
      </c>
      <c r="K6" s="900" t="e">
        <f t="shared" si="0"/>
        <v>#N/A</v>
      </c>
      <c r="L6" s="958">
        <v>200.69748532008009</v>
      </c>
      <c r="P6" s="89">
        <v>2</v>
      </c>
      <c r="Q6" s="89">
        <v>3</v>
      </c>
      <c r="R6" s="89">
        <v>4</v>
      </c>
      <c r="S6" s="89">
        <v>5</v>
      </c>
      <c r="T6" s="89">
        <v>6</v>
      </c>
      <c r="U6" s="89">
        <v>7</v>
      </c>
      <c r="V6" s="89">
        <v>8</v>
      </c>
      <c r="W6" s="89">
        <v>9</v>
      </c>
      <c r="Z6" s="900" t="s">
        <v>876</v>
      </c>
      <c r="AA6" s="900" t="s">
        <v>1257</v>
      </c>
      <c r="AB6" s="900" t="s">
        <v>1840</v>
      </c>
      <c r="AC6" s="900" t="e">
        <f>VLOOKUP($Z6,flows!$A$2:$J$2552,AC$2,FALSE)</f>
        <v>#N/A</v>
      </c>
      <c r="AD6" s="900" t="e">
        <f>VLOOKUP($Z6,flows!$A$2:$J$2552,AD$2,FALSE)</f>
        <v>#N/A</v>
      </c>
      <c r="AE6" s="900" t="e">
        <f>VLOOKUP($Z6,flows!$A$2:$J$2552,AE$2,FALSE)</f>
        <v>#N/A</v>
      </c>
      <c r="AF6" s="900" t="e">
        <f>VLOOKUP($Z6,flows!$A$2:$J$2552,AF$2,FALSE)</f>
        <v>#N/A</v>
      </c>
      <c r="AG6" s="900" t="e">
        <f>VLOOKUP($Z6,flows!$A$2:$J$2552,AG$2,FALSE)</f>
        <v>#N/A</v>
      </c>
      <c r="AH6" s="900" t="e">
        <f>VLOOKUP($Z6,flows!$A$2:$J$2552,AH$2,FALSE)</f>
        <v>#N/A</v>
      </c>
      <c r="AI6" s="900" t="e">
        <f>VLOOKUP($Z6,flows!$A$2:$J$2552,AI$2,FALSE)</f>
        <v>#N/A</v>
      </c>
      <c r="AJ6" s="900" t="e">
        <f>VLOOKUP($Z6,flows!$A$2:$J$2552,AJ$2,FALSE)</f>
        <v>#N/A</v>
      </c>
      <c r="AK6" s="900" t="e">
        <f>AI6/K8</f>
        <v>#N/A</v>
      </c>
    </row>
    <row r="7" spans="2:37" x14ac:dyDescent="0.35">
      <c r="B7" s="343" t="s">
        <v>113</v>
      </c>
      <c r="C7" s="342" t="s">
        <v>1256</v>
      </c>
      <c r="D7" s="342" t="s">
        <v>1839</v>
      </c>
      <c r="E7" s="900" t="e">
        <f>VLOOKUP($B7,capacities!$A$2:$J$2352,E$2,FALSE)</f>
        <v>#N/A</v>
      </c>
      <c r="F7" s="900" t="e">
        <f>VLOOKUP($B7,capacities!$A$2:$J$2352,F$2,FALSE)</f>
        <v>#N/A</v>
      </c>
      <c r="G7" s="900" t="e">
        <f>VLOOKUP($B7,capacities!$A$2:$J$2352,G$2,FALSE)</f>
        <v>#N/A</v>
      </c>
      <c r="H7" s="900" t="e">
        <f>VLOOKUP($B7,capacities!$A$2:$J$2352,H$2,FALSE)</f>
        <v>#N/A</v>
      </c>
      <c r="I7" s="900" t="e">
        <f>VLOOKUP($B7,capacities!$A$2:$J$2352,I$2,FALSE)</f>
        <v>#N/A</v>
      </c>
      <c r="J7" s="900" t="e">
        <f>VLOOKUP($B7,capacities!$A$2:$J$2352,J$2,FALSE)</f>
        <v>#N/A</v>
      </c>
      <c r="K7" s="900" t="e">
        <f>VLOOKUP($B7,capacities!$A$2:$J$2352,K$2,FALSE)</f>
        <v>#N/A</v>
      </c>
      <c r="L7" s="958">
        <v>0.14613115579829369</v>
      </c>
      <c r="P7" s="133" t="s">
        <v>1417</v>
      </c>
      <c r="Q7" s="133">
        <v>2020</v>
      </c>
      <c r="R7" s="133">
        <v>2025</v>
      </c>
      <c r="S7" s="133">
        <v>2030</v>
      </c>
      <c r="T7" s="133">
        <v>2035</v>
      </c>
      <c r="U7" s="133">
        <v>2040</v>
      </c>
      <c r="V7" s="133">
        <v>2045</v>
      </c>
      <c r="W7" s="133">
        <v>2050</v>
      </c>
      <c r="Z7" s="900" t="s">
        <v>4457</v>
      </c>
      <c r="AA7" s="900" t="s">
        <v>4446</v>
      </c>
      <c r="AB7" s="900" t="s">
        <v>4447</v>
      </c>
      <c r="AC7" s="900" t="e">
        <f>AC5+AC6</f>
        <v>#N/A</v>
      </c>
      <c r="AD7" s="900" t="e">
        <f t="shared" ref="AD7:AH7" si="1">AD5+AD6</f>
        <v>#N/A</v>
      </c>
      <c r="AE7" s="900" t="e">
        <f t="shared" si="1"/>
        <v>#N/A</v>
      </c>
      <c r="AF7" s="900" t="e">
        <f t="shared" si="1"/>
        <v>#N/A</v>
      </c>
      <c r="AG7" s="900" t="e">
        <f t="shared" si="1"/>
        <v>#N/A</v>
      </c>
      <c r="AH7" s="900" t="e">
        <f t="shared" si="1"/>
        <v>#N/A</v>
      </c>
      <c r="AI7" s="900" t="e">
        <f>AI5+AI6</f>
        <v>#N/A</v>
      </c>
      <c r="AJ7" s="900" t="e">
        <f>AJ5+AJ6</f>
        <v>#N/A</v>
      </c>
      <c r="AK7" s="900" t="e">
        <f>AI7/K9</f>
        <v>#N/A</v>
      </c>
    </row>
    <row r="8" spans="2:37" x14ac:dyDescent="0.35">
      <c r="B8" s="343" t="s">
        <v>109</v>
      </c>
      <c r="C8" s="342" t="s">
        <v>1257</v>
      </c>
      <c r="D8" s="342" t="s">
        <v>1840</v>
      </c>
      <c r="E8" s="900" t="e">
        <f>VLOOKUP($B8,capacities!$A$2:$J$2352,E$2,FALSE)</f>
        <v>#N/A</v>
      </c>
      <c r="F8" s="900" t="e">
        <f>VLOOKUP($B8,capacities!$A$2:$J$2352,F$2,FALSE)</f>
        <v>#N/A</v>
      </c>
      <c r="G8" s="900" t="e">
        <f>VLOOKUP($B8,capacities!$A$2:$J$2352,G$2,FALSE)</f>
        <v>#N/A</v>
      </c>
      <c r="H8" s="900" t="e">
        <f>VLOOKUP($B8,capacities!$A$2:$J$2352,H$2,FALSE)</f>
        <v>#N/A</v>
      </c>
      <c r="I8" s="900" t="e">
        <f>VLOOKUP($B8,capacities!$A$2:$J$2352,I$2,FALSE)</f>
        <v>#N/A</v>
      </c>
      <c r="J8" s="900" t="e">
        <f>VLOOKUP($B8,capacities!$A$2:$J$2352,J$2,FALSE)</f>
        <v>#N/A</v>
      </c>
      <c r="K8" s="119" t="e">
        <f>VLOOKUP($B8,capacities!$A$2:$J$2352,K$2,FALSE)</f>
        <v>#N/A</v>
      </c>
      <c r="L8" s="119">
        <v>165.1596709922494</v>
      </c>
      <c r="O8" s="840" t="s">
        <v>533</v>
      </c>
      <c r="P8" s="900" t="e">
        <f>VLOOKUP($O8,flows!$A$2:$J$2352,P$6,FALSE)</f>
        <v>#N/A</v>
      </c>
      <c r="Q8" s="900" t="e">
        <f>VLOOKUP($O8,flows!$A$2:$J$2352,Q$6,FALSE)</f>
        <v>#N/A</v>
      </c>
      <c r="R8" s="900" t="e">
        <f>VLOOKUP($O8,flows!$A$2:$J$2352,R$6,FALSE)</f>
        <v>#N/A</v>
      </c>
      <c r="S8" s="900" t="e">
        <f>VLOOKUP($O8,flows!$A$2:$J$2352,S$6,FALSE)</f>
        <v>#N/A</v>
      </c>
      <c r="T8" s="900" t="e">
        <f>VLOOKUP($O8,flows!$A$2:$J$2352,T$6,FALSE)</f>
        <v>#N/A</v>
      </c>
      <c r="U8" s="900" t="e">
        <f>VLOOKUP($O8,flows!$A$2:$J$2352,U$6,FALSE)</f>
        <v>#N/A</v>
      </c>
      <c r="V8" s="900" t="e">
        <f>VLOOKUP($O8,flows!$A$2:$J$2352,V$6,FALSE)</f>
        <v>#N/A</v>
      </c>
      <c r="W8" s="900" t="e">
        <f>VLOOKUP($O8,flows!$A$2:$J$2352,W$6,FALSE)</f>
        <v>#N/A</v>
      </c>
      <c r="Z8" s="900" t="s">
        <v>616</v>
      </c>
      <c r="AA8" s="900" t="s">
        <v>1276</v>
      </c>
      <c r="AB8" s="900" t="s">
        <v>1834</v>
      </c>
      <c r="AC8" s="900" t="e">
        <f>VLOOKUP($Z8,flows!$A$2:$J$2552,AC$2,FALSE)</f>
        <v>#N/A</v>
      </c>
      <c r="AD8" s="900" t="e">
        <f>VLOOKUP($Z8,flows!$A$2:$J$2552,AD$2,FALSE)</f>
        <v>#N/A</v>
      </c>
      <c r="AE8" s="900" t="e">
        <f>VLOOKUP($Z8,flows!$A$2:$J$2552,AE$2,FALSE)</f>
        <v>#N/A</v>
      </c>
      <c r="AF8" s="900" t="e">
        <f>VLOOKUP($Z8,flows!$A$2:$J$2552,AF$2,FALSE)</f>
        <v>#N/A</v>
      </c>
      <c r="AG8" s="900" t="e">
        <f>VLOOKUP($Z8,flows!$A$2:$J$2552,AG$2,FALSE)</f>
        <v>#N/A</v>
      </c>
      <c r="AH8" s="900" t="e">
        <f>VLOOKUP($Z8,flows!$A$2:$J$2552,AH$2,FALSE)</f>
        <v>#N/A</v>
      </c>
      <c r="AI8" s="900" t="e">
        <f>VLOOKUP($Z8,flows!$A$2:$J$2552,AI$2,FALSE)</f>
        <v>#N/A</v>
      </c>
      <c r="AJ8" s="900" t="e">
        <f>VLOOKUP($Z8,flows!$A$2:$J$2552,AJ$2,FALSE)</f>
        <v>#N/A</v>
      </c>
      <c r="AK8" s="900" t="e">
        <f>AI8/K11</f>
        <v>#N/A</v>
      </c>
    </row>
    <row r="9" spans="2:37" x14ac:dyDescent="0.35">
      <c r="B9" s="343" t="s">
        <v>4458</v>
      </c>
      <c r="C9" s="342" t="s">
        <v>4446</v>
      </c>
      <c r="D9" s="342" t="s">
        <v>4447</v>
      </c>
      <c r="E9" s="900" t="e">
        <f>E5+E7+E8</f>
        <v>#N/A</v>
      </c>
      <c r="F9" s="900" t="e">
        <f t="shared" ref="F9:K9" si="2">F5+F7+F8</f>
        <v>#N/A</v>
      </c>
      <c r="G9" s="900" t="e">
        <f t="shared" si="2"/>
        <v>#N/A</v>
      </c>
      <c r="H9" s="900" t="e">
        <f t="shared" si="2"/>
        <v>#N/A</v>
      </c>
      <c r="I9" s="900" t="e">
        <f t="shared" si="2"/>
        <v>#N/A</v>
      </c>
      <c r="J9" s="900" t="e">
        <f t="shared" si="2"/>
        <v>#N/A</v>
      </c>
      <c r="K9" s="119" t="e">
        <f t="shared" si="2"/>
        <v>#N/A</v>
      </c>
      <c r="L9" s="119">
        <v>252.07327506994469</v>
      </c>
      <c r="O9" s="900" t="s">
        <v>4439</v>
      </c>
      <c r="P9" s="900" t="e">
        <f>P8/$O$3*$O$4*$O$5</f>
        <v>#N/A</v>
      </c>
      <c r="Q9" s="900" t="e">
        <f t="shared" ref="Q9:W9" si="3">Q8/$O$3*$O$4*$O$5</f>
        <v>#N/A</v>
      </c>
      <c r="R9" s="900" t="e">
        <f t="shared" si="3"/>
        <v>#N/A</v>
      </c>
      <c r="S9" s="900" t="e">
        <f t="shared" si="3"/>
        <v>#N/A</v>
      </c>
      <c r="T9" s="900" t="e">
        <f t="shared" si="3"/>
        <v>#N/A</v>
      </c>
      <c r="U9" s="900" t="e">
        <f t="shared" si="3"/>
        <v>#N/A</v>
      </c>
      <c r="V9" s="900" t="e">
        <f t="shared" si="3"/>
        <v>#N/A</v>
      </c>
      <c r="W9" s="900" t="e">
        <f t="shared" si="3"/>
        <v>#N/A</v>
      </c>
      <c r="Z9" s="900" t="s">
        <v>530</v>
      </c>
      <c r="AA9" s="883" t="s">
        <v>2295</v>
      </c>
      <c r="AB9" s="883" t="s">
        <v>2296</v>
      </c>
      <c r="AC9" s="900" t="e">
        <f>VLOOKUP($Z9,flows!$A$2:$J$2552,AC$2,FALSE)</f>
        <v>#N/A</v>
      </c>
      <c r="AD9" s="900" t="e">
        <f>VLOOKUP($Z9,flows!$A$2:$J$2552,AD$2,FALSE)</f>
        <v>#N/A</v>
      </c>
      <c r="AE9" s="900" t="e">
        <f>VLOOKUP($Z9,flows!$A$2:$J$2552,AE$2,FALSE)</f>
        <v>#N/A</v>
      </c>
      <c r="AF9" s="900" t="e">
        <f>VLOOKUP($Z9,flows!$A$2:$J$2552,AF$2,FALSE)</f>
        <v>#N/A</v>
      </c>
      <c r="AG9" s="900" t="e">
        <f>VLOOKUP($Z9,flows!$A$2:$J$2552,AG$2,FALSE)</f>
        <v>#N/A</v>
      </c>
      <c r="AH9" s="900" t="e">
        <f>VLOOKUP($Z9,flows!$A$2:$J$2552,AH$2,FALSE)</f>
        <v>#N/A</v>
      </c>
      <c r="AI9" s="900" t="e">
        <f>VLOOKUP($Z9,flows!$A$2:$J$2552,AI$2,FALSE)</f>
        <v>#N/A</v>
      </c>
      <c r="AJ9" s="900" t="e">
        <f>VLOOKUP($Z9,flows!$A$2:$J$2552,AJ$2,FALSE)</f>
        <v>#N/A</v>
      </c>
      <c r="AK9" s="900" t="e">
        <f>AI9/K12</f>
        <v>#N/A</v>
      </c>
    </row>
    <row r="10" spans="2:37" x14ac:dyDescent="0.35">
      <c r="B10" s="343" t="s">
        <v>4459</v>
      </c>
      <c r="C10" s="342" t="s">
        <v>4446</v>
      </c>
      <c r="D10" s="342" t="s">
        <v>4447</v>
      </c>
      <c r="E10" s="900" t="e">
        <f>IF(E9-E6&gt;0,E9-E6,0)</f>
        <v>#N/A</v>
      </c>
      <c r="F10" s="900" t="e">
        <f>IF(F9-F6&gt;0,F9-F6,0)</f>
        <v>#N/A</v>
      </c>
      <c r="G10" s="900" t="e">
        <f>IF(G9-G6&gt;0,G9-G6,0)</f>
        <v>#N/A</v>
      </c>
      <c r="H10" s="900" t="e">
        <f t="shared" ref="H10:J10" si="4">IF(H9-H6&gt;0,H9-H6,0)</f>
        <v>#N/A</v>
      </c>
      <c r="I10" s="900" t="e">
        <f t="shared" si="4"/>
        <v>#N/A</v>
      </c>
      <c r="J10" s="900" t="e">
        <f t="shared" si="4"/>
        <v>#N/A</v>
      </c>
      <c r="K10" s="900" t="e">
        <f>IF(K9-K6&gt;0,K9-K6,0)</f>
        <v>#N/A</v>
      </c>
      <c r="L10" s="958">
        <v>51.375789749864595</v>
      </c>
      <c r="O10" s="900" t="s">
        <v>4440</v>
      </c>
    </row>
    <row r="11" spans="2:37" ht="15" thickBot="1" x14ac:dyDescent="0.4">
      <c r="B11" s="201" t="s">
        <v>106</v>
      </c>
      <c r="C11" s="347" t="s">
        <v>1276</v>
      </c>
      <c r="D11" s="347" t="s">
        <v>1834</v>
      </c>
      <c r="E11" s="900" t="e">
        <f>VLOOKUP($B11,capacities!$A$2:$J$2352,E$2,FALSE)</f>
        <v>#N/A</v>
      </c>
      <c r="F11" s="900" t="e">
        <f>VLOOKUP($B11,capacities!$A$2:$J$2352,F$2,FALSE)</f>
        <v>#N/A</v>
      </c>
      <c r="G11" s="900" t="e">
        <f>VLOOKUP($B11,capacities!$A$2:$J$2352,G$2,FALSE)</f>
        <v>#N/A</v>
      </c>
      <c r="H11" s="900" t="e">
        <f>VLOOKUP($B11,capacities!$A$2:$J$2352,H$2,FALSE)</f>
        <v>#N/A</v>
      </c>
      <c r="I11" s="900" t="e">
        <f>VLOOKUP($B11,capacities!$A$2:$J$2352,I$2,FALSE)</f>
        <v>#N/A</v>
      </c>
      <c r="J11" s="900" t="e">
        <f>VLOOKUP($B11,capacities!$A$2:$J$2352,J$2,FALSE)</f>
        <v>#N/A</v>
      </c>
      <c r="K11" s="900" t="e">
        <f>VLOOKUP($B11,capacities!$A$2:$J$2352,K$2,FALSE)</f>
        <v>#N/A</v>
      </c>
      <c r="L11" s="958">
        <v>3.7317887374731018E-2</v>
      </c>
    </row>
    <row r="12" spans="2:37" ht="15" thickBot="1" x14ac:dyDescent="0.4">
      <c r="B12" s="201" t="s">
        <v>2220</v>
      </c>
      <c r="C12" s="347" t="s">
        <v>2295</v>
      </c>
      <c r="D12" s="347" t="s">
        <v>2296</v>
      </c>
      <c r="E12" s="900" t="e">
        <f>VLOOKUP($B12,capacities!$A$2:$J$2352,E$2,FALSE)</f>
        <v>#N/A</v>
      </c>
      <c r="F12" s="900" t="e">
        <f>VLOOKUP($B12,capacities!$A$2:$J$2352,F$2,FALSE)</f>
        <v>#N/A</v>
      </c>
      <c r="G12" s="900" t="e">
        <f>VLOOKUP($B12,capacities!$A$2:$J$2352,G$2,FALSE)</f>
        <v>#N/A</v>
      </c>
      <c r="H12" s="900" t="e">
        <f>VLOOKUP($B12,capacities!$A$2:$J$2352,H$2,FALSE)</f>
        <v>#N/A</v>
      </c>
      <c r="I12" s="900" t="e">
        <f>VLOOKUP($B12,capacities!$A$2:$J$2352,I$2,FALSE)</f>
        <v>#N/A</v>
      </c>
      <c r="J12" s="900" t="e">
        <f>VLOOKUP($B12,capacities!$A$2:$J$2352,J$2,FALSE)</f>
        <v>#N/A</v>
      </c>
      <c r="K12" s="119" t="e">
        <f>VLOOKUP($B12,capacities!$A$2:$J$2352,K$2,FALSE)</f>
        <v>#N/A</v>
      </c>
      <c r="L12" s="119">
        <v>182.72141789407021</v>
      </c>
    </row>
    <row r="13" spans="2:37" ht="15" thickBot="1" x14ac:dyDescent="0.4"/>
    <row r="14" spans="2:37" x14ac:dyDescent="0.35">
      <c r="N14" s="945" t="s">
        <v>4441</v>
      </c>
      <c r="O14" s="36" t="s">
        <v>1158</v>
      </c>
      <c r="P14" s="36"/>
      <c r="Q14" s="89">
        <v>2</v>
      </c>
      <c r="R14" s="89">
        <v>3</v>
      </c>
      <c r="S14" s="89">
        <v>4</v>
      </c>
      <c r="T14" s="89">
        <v>5</v>
      </c>
      <c r="U14" s="89">
        <v>6</v>
      </c>
      <c r="V14" s="89">
        <v>7</v>
      </c>
      <c r="W14" s="89">
        <v>8</v>
      </c>
      <c r="X14" s="89">
        <v>9</v>
      </c>
    </row>
    <row r="15" spans="2:37" x14ac:dyDescent="0.35">
      <c r="N15" s="946" t="s">
        <v>1258</v>
      </c>
      <c r="O15" s="219" t="s">
        <v>1259</v>
      </c>
      <c r="P15" s="219"/>
      <c r="Q15" s="133" t="s">
        <v>1417</v>
      </c>
      <c r="R15" s="133">
        <v>2020</v>
      </c>
      <c r="S15" s="133">
        <v>2025</v>
      </c>
      <c r="T15" s="133">
        <v>2030</v>
      </c>
      <c r="U15" s="133">
        <v>2035</v>
      </c>
      <c r="V15" s="133">
        <v>2040</v>
      </c>
      <c r="W15" s="133">
        <v>2045</v>
      </c>
      <c r="X15" s="133">
        <v>2050</v>
      </c>
    </row>
    <row r="16" spans="2:37" x14ac:dyDescent="0.35">
      <c r="N16" s="879" t="s">
        <v>325</v>
      </c>
      <c r="O16" s="900" t="s">
        <v>4442</v>
      </c>
      <c r="P16" s="900" t="s">
        <v>1832</v>
      </c>
      <c r="Q16" s="900" t="e">
        <f>VLOOKUP($N16,capacities!$A$2:$J$2352,Q$14,FALSE)</f>
        <v>#N/A</v>
      </c>
      <c r="R16" s="900" t="e">
        <f>VLOOKUP($N16,capacities!$A$2:$J$2352,R$14,FALSE)</f>
        <v>#N/A</v>
      </c>
      <c r="S16" s="900" t="e">
        <f>VLOOKUP($N16,capacities!$A$2:$J$2352,S$14,FALSE)</f>
        <v>#N/A</v>
      </c>
      <c r="T16" s="900" t="e">
        <f>VLOOKUP($N16,capacities!$A$2:$J$2352,T$14,FALSE)</f>
        <v>#N/A</v>
      </c>
      <c r="U16" s="900" t="e">
        <f>VLOOKUP($N16,capacities!$A$2:$J$2352,U$14,FALSE)</f>
        <v>#N/A</v>
      </c>
      <c r="V16" s="900" t="e">
        <f>VLOOKUP($N16,capacities!$A$2:$J$2352,V$14,FALSE)</f>
        <v>#N/A</v>
      </c>
      <c r="W16" s="900" t="e">
        <f>VLOOKUP($N16,capacities!$A$2:$J$2352,W$14,FALSE)</f>
        <v>#N/A</v>
      </c>
      <c r="X16" s="900" t="e">
        <f>VLOOKUP($N16,capacities!$A$2:$J$2352,X$14,FALSE)</f>
        <v>#N/A</v>
      </c>
    </row>
    <row r="17" spans="14:24" x14ac:dyDescent="0.35">
      <c r="N17" s="879" t="s">
        <v>438</v>
      </c>
      <c r="O17" s="900" t="s">
        <v>4443</v>
      </c>
      <c r="P17" s="900" t="s">
        <v>4444</v>
      </c>
      <c r="Q17" s="900" t="e">
        <f>VLOOKUP($N17,capacities!$A$2:$J$2352,Q$14,FALSE)</f>
        <v>#N/A</v>
      </c>
      <c r="R17" s="900" t="e">
        <f>VLOOKUP($N17,capacities!$A$2:$J$2352,R$14,FALSE)</f>
        <v>#N/A</v>
      </c>
      <c r="S17" s="900" t="e">
        <f>VLOOKUP($N17,capacities!$A$2:$J$2352,S$14,FALSE)</f>
        <v>#N/A</v>
      </c>
      <c r="T17" s="900" t="e">
        <f>VLOOKUP($N17,capacities!$A$2:$J$2352,T$14,FALSE)</f>
        <v>#N/A</v>
      </c>
      <c r="U17" s="900" t="e">
        <f>VLOOKUP($N17,capacities!$A$2:$J$2352,U$14,FALSE)</f>
        <v>#N/A</v>
      </c>
      <c r="V17" s="900" t="e">
        <f>VLOOKUP($N17,capacities!$A$2:$J$2352,V$14,FALSE)</f>
        <v>#N/A</v>
      </c>
      <c r="W17" s="900" t="e">
        <f>VLOOKUP($N17,capacities!$A$2:$J$2352,W$14,FALSE)</f>
        <v>#N/A</v>
      </c>
      <c r="X17" s="900" t="e">
        <f>VLOOKUP($N17,capacities!$A$2:$J$2352,X$14,FALSE)</f>
        <v>#N/A</v>
      </c>
    </row>
    <row r="18" spans="14:24" x14ac:dyDescent="0.35">
      <c r="N18" s="879" t="s">
        <v>353</v>
      </c>
      <c r="O18" s="900" t="s">
        <v>1257</v>
      </c>
      <c r="P18" s="900" t="s">
        <v>1840</v>
      </c>
      <c r="Q18" s="900" t="e">
        <f>VLOOKUP($N18,capacities!$A$2:$J$2352,Q$14,FALSE)</f>
        <v>#N/A</v>
      </c>
      <c r="R18" s="900" t="e">
        <f>VLOOKUP($N18,capacities!$A$2:$J$2352,R$14,FALSE)</f>
        <v>#N/A</v>
      </c>
      <c r="S18" s="900" t="e">
        <f>VLOOKUP($N18,capacities!$A$2:$J$2352,S$14,FALSE)</f>
        <v>#N/A</v>
      </c>
      <c r="T18" s="900" t="e">
        <f>VLOOKUP($N18,capacities!$A$2:$J$2352,T$14,FALSE)</f>
        <v>#N/A</v>
      </c>
      <c r="U18" s="900" t="e">
        <f>VLOOKUP($N18,capacities!$A$2:$J$2352,U$14,FALSE)</f>
        <v>#N/A</v>
      </c>
      <c r="V18" s="900" t="e">
        <f>VLOOKUP($N18,capacities!$A$2:$J$2352,V$14,FALSE)</f>
        <v>#N/A</v>
      </c>
      <c r="W18" s="900" t="e">
        <f>VLOOKUP($N18,capacities!$A$2:$J$2352,W$14,FALSE)</f>
        <v>#N/A</v>
      </c>
      <c r="X18" s="900" t="e">
        <f>VLOOKUP($N18,capacities!$A$2:$J$2352,X$14,FALSE)</f>
        <v>#N/A</v>
      </c>
    </row>
    <row r="19" spans="14:24" x14ac:dyDescent="0.35">
      <c r="N19" s="879" t="s">
        <v>4445</v>
      </c>
      <c r="O19" s="900" t="s">
        <v>4446</v>
      </c>
      <c r="P19" s="900" t="s">
        <v>4447</v>
      </c>
      <c r="Q19" s="900" t="e">
        <f>Q17+Q18</f>
        <v>#N/A</v>
      </c>
      <c r="R19" s="900" t="e">
        <f t="shared" ref="R19:X19" si="5">R17+R18</f>
        <v>#N/A</v>
      </c>
      <c r="S19" s="900" t="e">
        <f t="shared" si="5"/>
        <v>#N/A</v>
      </c>
      <c r="T19" s="900" t="e">
        <f t="shared" si="5"/>
        <v>#N/A</v>
      </c>
      <c r="U19" s="900" t="e">
        <f t="shared" si="5"/>
        <v>#N/A</v>
      </c>
      <c r="V19" s="900" t="e">
        <f t="shared" si="5"/>
        <v>#N/A</v>
      </c>
      <c r="W19" s="900" t="e">
        <f t="shared" si="5"/>
        <v>#N/A</v>
      </c>
      <c r="X19" s="900" t="e">
        <f t="shared" si="5"/>
        <v>#N/A</v>
      </c>
    </row>
    <row r="20" spans="14:24" x14ac:dyDescent="0.35">
      <c r="N20" s="947" t="s">
        <v>194</v>
      </c>
      <c r="O20" s="900" t="s">
        <v>1276</v>
      </c>
      <c r="P20" s="900" t="s">
        <v>1834</v>
      </c>
      <c r="Q20" s="900" t="e">
        <f>VLOOKUP($N20,capacities!$A$2:$J$2352,Q$14,FALSE)</f>
        <v>#N/A</v>
      </c>
      <c r="R20" s="900" t="e">
        <f>VLOOKUP($N20,capacities!$A$2:$J$2352,R$14,FALSE)</f>
        <v>#N/A</v>
      </c>
      <c r="S20" s="900" t="e">
        <f>VLOOKUP($N20,capacities!$A$2:$J$2352,S$14,FALSE)</f>
        <v>#N/A</v>
      </c>
      <c r="T20" s="900" t="e">
        <f>VLOOKUP($N20,capacities!$A$2:$J$2352,T$14,FALSE)</f>
        <v>#N/A</v>
      </c>
      <c r="U20" s="900" t="e">
        <f>VLOOKUP($N20,capacities!$A$2:$J$2352,U$14,FALSE)</f>
        <v>#N/A</v>
      </c>
      <c r="V20" s="900" t="e">
        <f>VLOOKUP($N20,capacities!$A$2:$J$2352,V$14,FALSE)</f>
        <v>#N/A</v>
      </c>
      <c r="W20" s="900" t="e">
        <f>VLOOKUP($N20,capacities!$A$2:$J$2352,W$14,FALSE)</f>
        <v>#N/A</v>
      </c>
      <c r="X20" s="900" t="e">
        <f>VLOOKUP($N20,capacities!$A$2:$J$2352,X$14,FALSE)</f>
        <v>#N/A</v>
      </c>
    </row>
    <row r="21" spans="14:24" x14ac:dyDescent="0.35">
      <c r="N21" s="948" t="s">
        <v>172</v>
      </c>
      <c r="O21" s="883" t="s">
        <v>2295</v>
      </c>
      <c r="P21" s="883" t="s">
        <v>2296</v>
      </c>
      <c r="Q21" s="900" t="e">
        <f>VLOOKUP($N21,capacities!$A$2:$J$2352,Q$14,FALSE)</f>
        <v>#N/A</v>
      </c>
      <c r="R21" s="900" t="e">
        <f>VLOOKUP($N21,capacities!$A$2:$J$2352,R$14,FALSE)</f>
        <v>#N/A</v>
      </c>
      <c r="S21" s="900" t="e">
        <f>VLOOKUP($N21,capacities!$A$2:$J$2352,S$14,FALSE)</f>
        <v>#N/A</v>
      </c>
      <c r="T21" s="900" t="e">
        <f>VLOOKUP($N21,capacities!$A$2:$J$2352,T$14,FALSE)</f>
        <v>#N/A</v>
      </c>
      <c r="U21" s="900" t="e">
        <f>VLOOKUP($N21,capacities!$A$2:$J$2352,U$14,FALSE)</f>
        <v>#N/A</v>
      </c>
      <c r="V21" s="900" t="e">
        <f>VLOOKUP($N21,capacities!$A$2:$J$2352,V$14,FALSE)</f>
        <v>#N/A</v>
      </c>
      <c r="W21" s="900" t="e">
        <f>VLOOKUP($N21,capacities!$A$2:$J$2352,W$14,FALSE)</f>
        <v>#N/A</v>
      </c>
      <c r="X21" s="900" t="e">
        <f>VLOOKUP($N21,capacities!$A$2:$J$2352,X$14,FALSE)</f>
        <v>#N/A</v>
      </c>
    </row>
    <row r="23" spans="14:24" ht="15" thickBot="1" x14ac:dyDescent="0.4"/>
    <row r="24" spans="14:24" x14ac:dyDescent="0.35">
      <c r="N24" s="945" t="s">
        <v>4448</v>
      </c>
      <c r="O24" s="36" t="s">
        <v>1158</v>
      </c>
      <c r="P24" s="36"/>
      <c r="Q24" s="89">
        <v>2</v>
      </c>
      <c r="R24" s="89">
        <v>3</v>
      </c>
      <c r="S24" s="89">
        <v>4</v>
      </c>
      <c r="T24" s="89">
        <v>5</v>
      </c>
      <c r="U24" s="89">
        <v>6</v>
      </c>
      <c r="V24" s="89">
        <v>7</v>
      </c>
      <c r="W24" s="89">
        <v>8</v>
      </c>
      <c r="X24" s="89">
        <v>9</v>
      </c>
    </row>
    <row r="25" spans="14:24" x14ac:dyDescent="0.35">
      <c r="N25" s="946" t="s">
        <v>1258</v>
      </c>
      <c r="O25" s="219" t="s">
        <v>1259</v>
      </c>
      <c r="P25" s="219"/>
      <c r="Q25" s="133" t="s">
        <v>1417</v>
      </c>
      <c r="R25" s="133">
        <v>2020</v>
      </c>
      <c r="S25" s="133">
        <v>2025</v>
      </c>
      <c r="T25" s="133">
        <v>2030</v>
      </c>
      <c r="U25" s="133">
        <v>2035</v>
      </c>
      <c r="V25" s="133">
        <v>2040</v>
      </c>
      <c r="W25" s="133">
        <v>2045</v>
      </c>
      <c r="X25" s="133">
        <v>2050</v>
      </c>
    </row>
    <row r="26" spans="14:24" x14ac:dyDescent="0.35">
      <c r="N26" s="879" t="s">
        <v>326</v>
      </c>
      <c r="O26" s="900" t="s">
        <v>4442</v>
      </c>
      <c r="P26" s="900" t="s">
        <v>1832</v>
      </c>
      <c r="Q26" s="900" t="e">
        <f>VLOOKUP($N26,capacities!$A$2:$J$2352,Q$14,FALSE)</f>
        <v>#N/A</v>
      </c>
      <c r="R26" s="900" t="e">
        <f>VLOOKUP($N26,capacities!$A$2:$J$2352,R$14,FALSE)</f>
        <v>#N/A</v>
      </c>
      <c r="S26" s="900" t="e">
        <f>VLOOKUP($N26,capacities!$A$2:$J$2352,S$14,FALSE)</f>
        <v>#N/A</v>
      </c>
      <c r="T26" s="900" t="e">
        <f>VLOOKUP($N26,capacities!$A$2:$J$2352,T$14,FALSE)</f>
        <v>#N/A</v>
      </c>
      <c r="U26" s="900" t="e">
        <f>VLOOKUP($N26,capacities!$A$2:$J$2352,U$14,FALSE)</f>
        <v>#N/A</v>
      </c>
      <c r="V26" s="900" t="e">
        <f>VLOOKUP($N26,capacities!$A$2:$J$2352,V$14,FALSE)</f>
        <v>#N/A</v>
      </c>
      <c r="W26" s="900" t="e">
        <f>VLOOKUP($N26,capacities!$A$2:$J$2352,W$14,FALSE)</f>
        <v>#N/A</v>
      </c>
      <c r="X26" s="900" t="e">
        <f>VLOOKUP($N26,capacities!$A$2:$J$2352,X$14,FALSE)</f>
        <v>#N/A</v>
      </c>
    </row>
    <row r="27" spans="14:24" x14ac:dyDescent="0.35">
      <c r="N27" s="879" t="s">
        <v>439</v>
      </c>
      <c r="O27" s="900" t="s">
        <v>4443</v>
      </c>
      <c r="P27" s="900" t="s">
        <v>4444</v>
      </c>
      <c r="Q27" s="900" t="e">
        <f>VLOOKUP($N27,capacities!$A$2:$J$2352,Q$14,FALSE)</f>
        <v>#N/A</v>
      </c>
      <c r="R27" s="900" t="e">
        <f>VLOOKUP($N27,capacities!$A$2:$J$2352,R$14,FALSE)</f>
        <v>#N/A</v>
      </c>
      <c r="S27" s="900" t="e">
        <f>VLOOKUP($N27,capacities!$A$2:$J$2352,S$14,FALSE)</f>
        <v>#N/A</v>
      </c>
      <c r="T27" s="900" t="e">
        <f>VLOOKUP($N27,capacities!$A$2:$J$2352,T$14,FALSE)</f>
        <v>#N/A</v>
      </c>
      <c r="U27" s="900" t="e">
        <f>VLOOKUP($N27,capacities!$A$2:$J$2352,U$14,FALSE)</f>
        <v>#N/A</v>
      </c>
      <c r="V27" s="900" t="e">
        <f>VLOOKUP($N27,capacities!$A$2:$J$2352,V$14,FALSE)</f>
        <v>#N/A</v>
      </c>
      <c r="W27" s="900" t="e">
        <f>VLOOKUP($N27,capacities!$A$2:$J$2352,W$14,FALSE)</f>
        <v>#N/A</v>
      </c>
      <c r="X27" s="900" t="e">
        <f>VLOOKUP($N27,capacities!$A$2:$J$2352,X$14,FALSE)</f>
        <v>#N/A</v>
      </c>
    </row>
    <row r="28" spans="14:24" x14ac:dyDescent="0.35">
      <c r="N28" s="879" t="s">
        <v>354</v>
      </c>
      <c r="O28" s="900" t="s">
        <v>1257</v>
      </c>
      <c r="P28" s="900" t="s">
        <v>1840</v>
      </c>
      <c r="Q28" s="900" t="e">
        <f>VLOOKUP($N28,capacities!$A$2:$J$2352,Q$14,FALSE)</f>
        <v>#N/A</v>
      </c>
      <c r="R28" s="900" t="e">
        <f>VLOOKUP($N28,capacities!$A$2:$J$2352,R$14,FALSE)</f>
        <v>#N/A</v>
      </c>
      <c r="S28" s="900" t="e">
        <f>VLOOKUP($N28,capacities!$A$2:$J$2352,S$14,FALSE)</f>
        <v>#N/A</v>
      </c>
      <c r="T28" s="900" t="e">
        <f>VLOOKUP($N28,capacities!$A$2:$J$2352,T$14,FALSE)</f>
        <v>#N/A</v>
      </c>
      <c r="U28" s="900" t="e">
        <f>VLOOKUP($N28,capacities!$A$2:$J$2352,U$14,FALSE)</f>
        <v>#N/A</v>
      </c>
      <c r="V28" s="900" t="e">
        <f>VLOOKUP($N28,capacities!$A$2:$J$2352,V$14,FALSE)</f>
        <v>#N/A</v>
      </c>
      <c r="W28" s="900" t="e">
        <f>VLOOKUP($N28,capacities!$A$2:$J$2352,W$14,FALSE)</f>
        <v>#N/A</v>
      </c>
      <c r="X28" s="900" t="e">
        <f>VLOOKUP($N28,capacities!$A$2:$J$2352,X$14,FALSE)</f>
        <v>#N/A</v>
      </c>
    </row>
    <row r="29" spans="14:24" x14ac:dyDescent="0.35">
      <c r="N29" s="879" t="s">
        <v>4445</v>
      </c>
      <c r="O29" s="900" t="s">
        <v>4446</v>
      </c>
      <c r="P29" s="900" t="s">
        <v>4447</v>
      </c>
      <c r="Q29" s="900" t="e">
        <f>Q27+Q28</f>
        <v>#N/A</v>
      </c>
      <c r="R29" s="900" t="e">
        <f t="shared" ref="R29:X29" si="6">R27+R28</f>
        <v>#N/A</v>
      </c>
      <c r="S29" s="900" t="e">
        <f t="shared" si="6"/>
        <v>#N/A</v>
      </c>
      <c r="T29" s="900" t="e">
        <f t="shared" si="6"/>
        <v>#N/A</v>
      </c>
      <c r="U29" s="900" t="e">
        <f t="shared" si="6"/>
        <v>#N/A</v>
      </c>
      <c r="V29" s="900" t="e">
        <f t="shared" si="6"/>
        <v>#N/A</v>
      </c>
      <c r="W29" s="900" t="e">
        <f t="shared" si="6"/>
        <v>#N/A</v>
      </c>
      <c r="X29" s="900" t="e">
        <f t="shared" si="6"/>
        <v>#N/A</v>
      </c>
    </row>
    <row r="30" spans="14:24" x14ac:dyDescent="0.35">
      <c r="N30" s="947" t="s">
        <v>195</v>
      </c>
      <c r="O30" s="900" t="s">
        <v>1276</v>
      </c>
      <c r="P30" s="900" t="s">
        <v>1834</v>
      </c>
      <c r="Q30" s="900" t="e">
        <f>VLOOKUP($N30,capacities!$A$2:$J$2352,Q$14,FALSE)</f>
        <v>#N/A</v>
      </c>
      <c r="R30" s="900" t="e">
        <f>VLOOKUP($N30,capacities!$A$2:$J$2352,R$14,FALSE)</f>
        <v>#N/A</v>
      </c>
      <c r="S30" s="900" t="e">
        <f>VLOOKUP($N30,capacities!$A$2:$J$2352,S$14,FALSE)</f>
        <v>#N/A</v>
      </c>
      <c r="T30" s="900" t="e">
        <f>VLOOKUP($N30,capacities!$A$2:$J$2352,T$14,FALSE)</f>
        <v>#N/A</v>
      </c>
      <c r="U30" s="900" t="e">
        <f>VLOOKUP($N30,capacities!$A$2:$J$2352,U$14,FALSE)</f>
        <v>#N/A</v>
      </c>
      <c r="V30" s="900" t="e">
        <f>VLOOKUP($N30,capacities!$A$2:$J$2352,V$14,FALSE)</f>
        <v>#N/A</v>
      </c>
      <c r="W30" s="900" t="e">
        <f>VLOOKUP($N30,capacities!$A$2:$J$2352,W$14,FALSE)</f>
        <v>#N/A</v>
      </c>
      <c r="X30" s="900" t="e">
        <f>VLOOKUP($N30,capacities!$A$2:$J$2352,X$14,FALSE)</f>
        <v>#N/A</v>
      </c>
    </row>
    <row r="31" spans="14:24" x14ac:dyDescent="0.35">
      <c r="N31" s="948" t="s">
        <v>173</v>
      </c>
      <c r="O31" s="883" t="s">
        <v>2295</v>
      </c>
      <c r="P31" s="883" t="s">
        <v>2296</v>
      </c>
      <c r="Q31" s="900" t="e">
        <f>VLOOKUP($N31,capacities!$A$2:$J$2352,Q$14,FALSE)</f>
        <v>#N/A</v>
      </c>
      <c r="R31" s="900" t="e">
        <f>VLOOKUP($N31,capacities!$A$2:$J$2352,R$14,FALSE)</f>
        <v>#N/A</v>
      </c>
      <c r="S31" s="900" t="e">
        <f>VLOOKUP($N31,capacities!$A$2:$J$2352,S$14,FALSE)</f>
        <v>#N/A</v>
      </c>
      <c r="T31" s="900" t="e">
        <f>VLOOKUP($N31,capacities!$A$2:$J$2352,T$14,FALSE)</f>
        <v>#N/A</v>
      </c>
      <c r="U31" s="900" t="e">
        <f>VLOOKUP($N31,capacities!$A$2:$J$2352,U$14,FALSE)</f>
        <v>#N/A</v>
      </c>
      <c r="V31" s="900" t="e">
        <f>VLOOKUP($N31,capacities!$A$2:$J$2352,V$14,FALSE)</f>
        <v>#N/A</v>
      </c>
      <c r="W31" s="900" t="e">
        <f>VLOOKUP($N31,capacities!$A$2:$J$2352,W$14,FALSE)</f>
        <v>#N/A</v>
      </c>
      <c r="X31" s="900" t="e">
        <f>VLOOKUP($N31,capacities!$A$2:$J$2352,X$14,FALSE)</f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C00000"/>
  </sheetPr>
  <dimension ref="B1:X15"/>
  <sheetViews>
    <sheetView zoomScale="85" zoomScaleNormal="85" workbookViewId="0">
      <selection activeCell="X8" sqref="X8"/>
    </sheetView>
  </sheetViews>
  <sheetFormatPr baseColWidth="10" defaultColWidth="11.453125" defaultRowHeight="14.5" x14ac:dyDescent="0.35"/>
  <cols>
    <col min="1" max="1" width="11.453125" style="190"/>
    <col min="2" max="2" width="22.54296875" style="190" bestFit="1" customWidth="1"/>
    <col min="3" max="3" width="22.54296875" style="190" customWidth="1"/>
    <col min="4" max="4" width="14.1796875" style="190" bestFit="1" customWidth="1"/>
    <col min="5" max="13" width="11.453125" style="190"/>
    <col min="14" max="14" width="25.1796875" style="190" bestFit="1" customWidth="1"/>
    <col min="15" max="15" width="32.54296875" style="190" bestFit="1" customWidth="1"/>
    <col min="16" max="16" width="31.453125" style="190" bestFit="1" customWidth="1"/>
    <col min="17" max="16384" width="11.453125" style="190"/>
  </cols>
  <sheetData>
    <row r="1" spans="2:24" ht="15" thickBot="1" x14ac:dyDescent="0.4"/>
    <row r="2" spans="2:24" x14ac:dyDescent="0.35">
      <c r="B2" s="25" t="s">
        <v>1201</v>
      </c>
      <c r="C2" s="214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N2" s="196" t="s">
        <v>1201</v>
      </c>
      <c r="O2" s="209"/>
      <c r="P2" s="209"/>
      <c r="Q2" s="89">
        <v>2</v>
      </c>
      <c r="R2" s="89">
        <v>3</v>
      </c>
      <c r="S2" s="89">
        <v>4</v>
      </c>
      <c r="T2" s="89">
        <v>5</v>
      </c>
      <c r="U2" s="89">
        <v>6</v>
      </c>
      <c r="V2" s="89">
        <v>7</v>
      </c>
      <c r="W2" s="89">
        <v>8</v>
      </c>
      <c r="X2" s="89">
        <v>9</v>
      </c>
    </row>
    <row r="3" spans="2:24" x14ac:dyDescent="0.35">
      <c r="B3" s="205" t="s">
        <v>1259</v>
      </c>
      <c r="C3" s="210"/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>
        <v>2050</v>
      </c>
      <c r="N3" s="205" t="s">
        <v>1277</v>
      </c>
      <c r="O3" s="210" t="s">
        <v>1259</v>
      </c>
      <c r="P3" s="210"/>
      <c r="Q3" s="133" t="s">
        <v>1417</v>
      </c>
      <c r="R3" s="133">
        <v>2020</v>
      </c>
      <c r="S3" s="133">
        <v>2025</v>
      </c>
      <c r="T3" s="133">
        <v>2030</v>
      </c>
      <c r="U3" s="133">
        <v>2035</v>
      </c>
      <c r="V3" s="133">
        <v>2040</v>
      </c>
      <c r="W3" s="133">
        <v>2045</v>
      </c>
      <c r="X3" s="133">
        <v>2050</v>
      </c>
    </row>
    <row r="4" spans="2:24" x14ac:dyDescent="0.35">
      <c r="B4" s="206" t="s">
        <v>1294</v>
      </c>
      <c r="C4" s="194" t="s">
        <v>1888</v>
      </c>
      <c r="D4" s="16" t="e">
        <f>SUM('Prozesswärme - Bedarf'!D4:D6)</f>
        <v>#N/A</v>
      </c>
      <c r="E4" s="16" t="e">
        <f>SUM('Prozesswärme - Bedarf'!E4:E6)</f>
        <v>#N/A</v>
      </c>
      <c r="F4" s="16" t="e">
        <f>SUM('Prozesswärme - Bedarf'!F4:F6)</f>
        <v>#N/A</v>
      </c>
      <c r="G4" s="16" t="e">
        <f>SUM('Prozesswärme - Bedarf'!G4:G6)</f>
        <v>#N/A</v>
      </c>
      <c r="H4" s="16" t="e">
        <f>SUM('Prozesswärme - Bedarf'!H4:H6)</f>
        <v>#N/A</v>
      </c>
      <c r="I4" s="16" t="e">
        <f>SUM('Prozesswärme - Bedarf'!I4:I6)</f>
        <v>#N/A</v>
      </c>
      <c r="J4" s="16" t="e">
        <f>SUM('Prozesswärme - Bedarf'!J4:J6)</f>
        <v>#N/A</v>
      </c>
      <c r="K4" s="16" t="e">
        <f>SUM('Prozesswärme - Bedarf'!K4:K6)</f>
        <v>#N/A</v>
      </c>
      <c r="N4" s="40"/>
      <c r="O4" s="199" t="s">
        <v>1821</v>
      </c>
      <c r="P4" s="199" t="s">
        <v>1561</v>
      </c>
      <c r="Q4" s="16" t="e">
        <f>'Gebäude - Heizungsart'!D6</f>
        <v>#N/A</v>
      </c>
      <c r="R4" s="16" t="e">
        <f>'Gebäude - Heizungsart'!E6</f>
        <v>#N/A</v>
      </c>
      <c r="S4" s="16" t="e">
        <f>'Gebäude - Heizungsart'!F6</f>
        <v>#N/A</v>
      </c>
      <c r="T4" s="16" t="e">
        <f>'Gebäude - Heizungsart'!G6</f>
        <v>#N/A</v>
      </c>
      <c r="U4" s="16" t="e">
        <f>'Gebäude - Heizungsart'!H6</f>
        <v>#N/A</v>
      </c>
      <c r="V4" s="16" t="e">
        <f>'Gebäude - Heizungsart'!I6</f>
        <v>#N/A</v>
      </c>
      <c r="W4" s="16" t="e">
        <f>'Gebäude - Heizungsart'!J6</f>
        <v>#N/A</v>
      </c>
      <c r="X4" s="16" t="e">
        <f>'Gebäude - Heizungsart'!K6</f>
        <v>#N/A</v>
      </c>
    </row>
    <row r="5" spans="2:24" x14ac:dyDescent="0.35">
      <c r="B5" s="206" t="s">
        <v>1745</v>
      </c>
      <c r="C5" s="194" t="s">
        <v>1889</v>
      </c>
      <c r="D5" s="16" t="e">
        <f>Q4+Q6+Q8</f>
        <v>#N/A</v>
      </c>
      <c r="E5" s="16" t="e">
        <f t="shared" ref="E5:J5" si="0">R4+R6+R8</f>
        <v>#N/A</v>
      </c>
      <c r="F5" s="16" t="e">
        <f t="shared" si="0"/>
        <v>#N/A</v>
      </c>
      <c r="G5" s="16" t="e">
        <f t="shared" si="0"/>
        <v>#N/A</v>
      </c>
      <c r="H5" s="16" t="e">
        <f t="shared" si="0"/>
        <v>#N/A</v>
      </c>
      <c r="I5" s="16" t="e">
        <f t="shared" si="0"/>
        <v>#N/A</v>
      </c>
      <c r="J5" s="16" t="e">
        <f t="shared" si="0"/>
        <v>#N/A</v>
      </c>
      <c r="K5" s="16" t="e">
        <f>X4+X6+X8</f>
        <v>#N/A</v>
      </c>
      <c r="N5" s="40"/>
      <c r="O5" s="199" t="s">
        <v>1204</v>
      </c>
      <c r="P5" s="199" t="s">
        <v>1890</v>
      </c>
      <c r="Q5" s="16" t="e">
        <f>D4-Q7-Q9</f>
        <v>#N/A</v>
      </c>
      <c r="R5" s="16" t="e">
        <f>E4-R7-R9</f>
        <v>#N/A</v>
      </c>
      <c r="S5" s="16" t="e">
        <f t="shared" ref="S5:X5" si="1">F4-S7-S9</f>
        <v>#N/A</v>
      </c>
      <c r="T5" s="16" t="e">
        <f t="shared" si="1"/>
        <v>#N/A</v>
      </c>
      <c r="U5" s="16" t="e">
        <f t="shared" si="1"/>
        <v>#N/A</v>
      </c>
      <c r="V5" s="16" t="e">
        <f t="shared" si="1"/>
        <v>#N/A</v>
      </c>
      <c r="W5" s="16" t="e">
        <f t="shared" si="1"/>
        <v>#N/A</v>
      </c>
      <c r="X5" s="16" t="e">
        <f t="shared" si="1"/>
        <v>#N/A</v>
      </c>
    </row>
    <row r="6" spans="2:24" ht="15" thickBot="1" x14ac:dyDescent="0.4">
      <c r="B6" s="208"/>
      <c r="C6" s="33"/>
      <c r="D6" s="35"/>
      <c r="E6" s="35"/>
      <c r="F6" s="35"/>
      <c r="G6" s="35"/>
      <c r="H6" s="35"/>
      <c r="I6" s="35"/>
      <c r="J6" s="35"/>
      <c r="K6" s="35"/>
      <c r="N6" s="40"/>
      <c r="O6" s="199" t="s">
        <v>1194</v>
      </c>
      <c r="P6" s="199" t="s">
        <v>1345</v>
      </c>
      <c r="Q6" s="16" t="e">
        <f>'Gebäude - Heizungsart'!D4</f>
        <v>#N/A</v>
      </c>
      <c r="R6" s="16" t="e">
        <f>'Gebäude - Heizungsart'!E4</f>
        <v>#N/A</v>
      </c>
      <c r="S6" s="16" t="e">
        <f>'Gebäude - Heizungsart'!F4</f>
        <v>#N/A</v>
      </c>
      <c r="T6" s="16" t="e">
        <f>'Gebäude - Heizungsart'!G4</f>
        <v>#N/A</v>
      </c>
      <c r="U6" s="16" t="e">
        <f>'Gebäude - Heizungsart'!H4</f>
        <v>#N/A</v>
      </c>
      <c r="V6" s="16" t="e">
        <f>'Gebäude - Heizungsart'!I4</f>
        <v>#N/A</v>
      </c>
      <c r="W6" s="16" t="e">
        <f>'Gebäude - Heizungsart'!J4</f>
        <v>#N/A</v>
      </c>
      <c r="X6" s="16" t="e">
        <f>'Gebäude - Heizungsart'!K4</f>
        <v>#N/A</v>
      </c>
    </row>
    <row r="7" spans="2:24" x14ac:dyDescent="0.35">
      <c r="N7" s="40" t="s">
        <v>670</v>
      </c>
      <c r="O7" s="199" t="s">
        <v>1202</v>
      </c>
      <c r="P7" s="199" t="s">
        <v>1891</v>
      </c>
      <c r="Q7" s="16" t="e">
        <f>VLOOKUP($N7,flows!$A$2:$J$2000,Q$2,FALSE)</f>
        <v>#N/A</v>
      </c>
      <c r="R7" s="346" t="e">
        <f>VLOOKUP($N7,flows!$A$2:$J$2000,R$2,FALSE)</f>
        <v>#N/A</v>
      </c>
      <c r="S7" s="346" t="e">
        <f>VLOOKUP($N7,flows!$A$2:$J$2000,S$2,FALSE)</f>
        <v>#N/A</v>
      </c>
      <c r="T7" s="346" t="e">
        <f>VLOOKUP($N7,flows!$A$2:$J$2000,T$2,FALSE)</f>
        <v>#N/A</v>
      </c>
      <c r="U7" s="346" t="e">
        <f>VLOOKUP($N7,flows!$A$2:$J$2000,U$2,FALSE)</f>
        <v>#N/A</v>
      </c>
      <c r="V7" s="346" t="e">
        <f>VLOOKUP($N7,flows!$A$2:$J$2000,V$2,FALSE)</f>
        <v>#N/A</v>
      </c>
      <c r="W7" s="346" t="e">
        <f>VLOOKUP($N7,flows!$A$2:$J$2000,W$2,FALSE)</f>
        <v>#N/A</v>
      </c>
      <c r="X7" s="346" t="e">
        <f>VLOOKUP($N7,flows!$A$2:$J$2000,X$2,FALSE)</f>
        <v>#N/A</v>
      </c>
    </row>
    <row r="8" spans="2:24" x14ac:dyDescent="0.35">
      <c r="D8" s="24"/>
      <c r="N8" s="40"/>
      <c r="O8" s="204" t="s">
        <v>1195</v>
      </c>
      <c r="P8" s="204" t="s">
        <v>1560</v>
      </c>
      <c r="Q8" s="16" t="e">
        <f>'Gebäude - Heizungsart'!D5</f>
        <v>#N/A</v>
      </c>
      <c r="R8" s="16" t="e">
        <f>'Gebäude - Heizungsart'!E5</f>
        <v>#N/A</v>
      </c>
      <c r="S8" s="16" t="e">
        <f>'Gebäude - Heizungsart'!F5</f>
        <v>#N/A</v>
      </c>
      <c r="T8" s="16" t="e">
        <f>'Gebäude - Heizungsart'!G5</f>
        <v>#N/A</v>
      </c>
      <c r="U8" s="16" t="e">
        <f>'Gebäude - Heizungsart'!H5</f>
        <v>#N/A</v>
      </c>
      <c r="V8" s="16" t="e">
        <f>'Gebäude - Heizungsart'!I5</f>
        <v>#N/A</v>
      </c>
      <c r="W8" s="16" t="e">
        <f>'Gebäude - Heizungsart'!J5</f>
        <v>#N/A</v>
      </c>
      <c r="X8" s="16" t="e">
        <f>'Gebäude - Heizungsart'!K5</f>
        <v>#N/A</v>
      </c>
    </row>
    <row r="9" spans="2:24" ht="15" thickBot="1" x14ac:dyDescent="0.4">
      <c r="N9" s="41" t="s">
        <v>871</v>
      </c>
      <c r="O9" s="35" t="s">
        <v>1203</v>
      </c>
      <c r="P9" s="35" t="s">
        <v>1892</v>
      </c>
      <c r="Q9" s="346" t="e">
        <f>VLOOKUP($N9,flows!$A$2:$J$2000,Q$2,FALSE)</f>
        <v>#N/A</v>
      </c>
      <c r="R9" s="346" t="e">
        <f>VLOOKUP($N9,flows!$A$2:$J$2000,R$2,FALSE)</f>
        <v>#N/A</v>
      </c>
      <c r="S9" s="346" t="e">
        <f>VLOOKUP($N9,flows!$A$2:$J$2000,S$2,FALSE)</f>
        <v>#N/A</v>
      </c>
      <c r="T9" s="346" t="e">
        <f>VLOOKUP($N9,flows!$A$2:$J$2000,T$2,FALSE)</f>
        <v>#N/A</v>
      </c>
      <c r="U9" s="346" t="e">
        <f>VLOOKUP($N9,flows!$A$2:$J$2000,U$2,FALSE)</f>
        <v>#N/A</v>
      </c>
      <c r="V9" s="346" t="e">
        <f>VLOOKUP($N9,flows!$A$2:$J$2000,V$2,FALSE)</f>
        <v>#N/A</v>
      </c>
      <c r="W9" s="346" t="e">
        <f>VLOOKUP($N9,flows!$A$2:$J$2000,W$2,FALSE)</f>
        <v>#N/A</v>
      </c>
      <c r="X9" s="346" t="e">
        <f>VLOOKUP($N9,flows!$A$2:$J$2000,X$2,FALSE)</f>
        <v>#N/A</v>
      </c>
    </row>
    <row r="10" spans="2:24" x14ac:dyDescent="0.35">
      <c r="N10" s="92"/>
      <c r="O10" s="204" t="s">
        <v>1822</v>
      </c>
      <c r="P10" s="204" t="s">
        <v>1823</v>
      </c>
      <c r="Q10" s="16" t="e">
        <f>'Prozesswärme - Bedarf'!D4</f>
        <v>#N/A</v>
      </c>
      <c r="R10" s="16" t="e">
        <f>'Prozesswärme - Bedarf'!E4</f>
        <v>#N/A</v>
      </c>
      <c r="S10" s="16" t="e">
        <f>'Prozesswärme - Bedarf'!F4</f>
        <v>#N/A</v>
      </c>
      <c r="T10" s="16" t="e">
        <f>'Prozesswärme - Bedarf'!G4</f>
        <v>#N/A</v>
      </c>
      <c r="U10" s="16" t="e">
        <f>'Prozesswärme - Bedarf'!H4</f>
        <v>#N/A</v>
      </c>
      <c r="V10" s="16" t="e">
        <f>'Prozesswärme - Bedarf'!I4</f>
        <v>#N/A</v>
      </c>
      <c r="W10" s="16" t="e">
        <f>'Prozesswärme - Bedarf'!J4</f>
        <v>#N/A</v>
      </c>
      <c r="X10" s="16" t="e">
        <f>'Prozesswärme - Bedarf'!K4</f>
        <v>#N/A</v>
      </c>
    </row>
    <row r="11" spans="2:24" x14ac:dyDescent="0.35">
      <c r="N11" s="92"/>
      <c r="O11" s="204" t="s">
        <v>1824</v>
      </c>
      <c r="P11" s="204" t="s">
        <v>1825</v>
      </c>
      <c r="Q11" s="16" t="e">
        <f>'Prozesswärme - Bedarf'!D5</f>
        <v>#N/A</v>
      </c>
      <c r="R11" s="16" t="e">
        <f>'Prozesswärme - Bedarf'!E5</f>
        <v>#N/A</v>
      </c>
      <c r="S11" s="16" t="e">
        <f>'Prozesswärme - Bedarf'!F5</f>
        <v>#N/A</v>
      </c>
      <c r="T11" s="16" t="e">
        <f>'Prozesswärme - Bedarf'!G5</f>
        <v>#N/A</v>
      </c>
      <c r="U11" s="16" t="e">
        <f>'Prozesswärme - Bedarf'!H5</f>
        <v>#N/A</v>
      </c>
      <c r="V11" s="16" t="e">
        <f>'Prozesswärme - Bedarf'!I5</f>
        <v>#N/A</v>
      </c>
      <c r="W11" s="16" t="e">
        <f>'Prozesswärme - Bedarf'!J5</f>
        <v>#N/A</v>
      </c>
      <c r="X11" s="16" t="e">
        <f>'Prozesswärme - Bedarf'!K5</f>
        <v>#N/A</v>
      </c>
    </row>
    <row r="12" spans="2:24" x14ac:dyDescent="0.35">
      <c r="N12" s="92"/>
      <c r="O12" s="204" t="s">
        <v>1826</v>
      </c>
      <c r="P12" s="204" t="s">
        <v>1827</v>
      </c>
      <c r="Q12" s="16" t="e">
        <f>'Prozesswärme - Bedarf'!D6</f>
        <v>#N/A</v>
      </c>
      <c r="R12" s="16" t="e">
        <f>'Prozesswärme - Bedarf'!E6</f>
        <v>#N/A</v>
      </c>
      <c r="S12" s="16" t="e">
        <f>'Prozesswärme - Bedarf'!F6</f>
        <v>#N/A</v>
      </c>
      <c r="T12" s="16" t="e">
        <f>'Prozesswärme - Bedarf'!G6</f>
        <v>#N/A</v>
      </c>
      <c r="U12" s="16" t="e">
        <f>'Prozesswärme - Bedarf'!H6</f>
        <v>#N/A</v>
      </c>
      <c r="V12" s="16" t="e">
        <f>'Prozesswärme - Bedarf'!I6</f>
        <v>#N/A</v>
      </c>
      <c r="W12" s="16" t="e">
        <f>'Prozesswärme - Bedarf'!J6</f>
        <v>#N/A</v>
      </c>
      <c r="X12" s="16" t="e">
        <f>'Prozesswärme - Bedarf'!K6</f>
        <v>#N/A</v>
      </c>
    </row>
    <row r="13" spans="2:24" x14ac:dyDescent="0.35">
      <c r="N13" s="92"/>
      <c r="O13" s="204"/>
      <c r="P13" s="204"/>
      <c r="Q13" s="204"/>
      <c r="R13" s="204"/>
      <c r="S13" s="204"/>
      <c r="T13" s="204"/>
      <c r="U13" s="204"/>
      <c r="V13" s="204"/>
      <c r="W13" s="204"/>
      <c r="X13" s="204"/>
    </row>
    <row r="14" spans="2:24" x14ac:dyDescent="0.35">
      <c r="O14" s="204"/>
      <c r="P14" s="204"/>
      <c r="Q14" s="150"/>
    </row>
    <row r="15" spans="2:24" x14ac:dyDescent="0.35">
      <c r="O15" s="42"/>
      <c r="P15" s="4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C00000"/>
  </sheetPr>
  <dimension ref="B1:BW42"/>
  <sheetViews>
    <sheetView zoomScale="70" zoomScaleNormal="70" workbookViewId="0">
      <selection activeCell="Z39" sqref="Z39"/>
    </sheetView>
  </sheetViews>
  <sheetFormatPr baseColWidth="10" defaultColWidth="11.453125" defaultRowHeight="14" x14ac:dyDescent="0.35"/>
  <cols>
    <col min="1" max="1" width="11.453125" style="2"/>
    <col min="2" max="2" width="35" style="2" bestFit="1" customWidth="1"/>
    <col min="3" max="3" width="35" style="191" customWidth="1"/>
    <col min="4" max="13" width="11.453125" style="2"/>
    <col min="14" max="14" width="48.54296875" style="2" bestFit="1" customWidth="1"/>
    <col min="15" max="15" width="12.81640625" style="191" bestFit="1" customWidth="1"/>
    <col min="16" max="25" width="11.453125" style="2"/>
    <col min="26" max="26" width="38.54296875" style="2" bestFit="1" customWidth="1"/>
    <col min="27" max="27" width="38.54296875" style="2" customWidth="1"/>
    <col min="28" max="28" width="38.54296875" style="191" customWidth="1"/>
    <col min="29" max="29" width="19.54296875" style="2" bestFit="1" customWidth="1"/>
    <col min="30" max="38" width="11.453125" style="2"/>
    <col min="39" max="39" width="38.54296875" style="2" bestFit="1" customWidth="1"/>
    <col min="40" max="40" width="22.54296875" style="2" bestFit="1" customWidth="1"/>
    <col min="41" max="41" width="22.54296875" style="191" customWidth="1"/>
    <col min="42" max="51" width="11.453125" style="2"/>
    <col min="52" max="52" width="38.54296875" style="2" bestFit="1" customWidth="1"/>
    <col min="53" max="53" width="22.54296875" style="2" bestFit="1" customWidth="1"/>
    <col min="54" max="54" width="22.54296875" style="191" customWidth="1"/>
    <col min="55" max="64" width="11.453125" style="2"/>
    <col min="65" max="65" width="38.54296875" style="2" bestFit="1" customWidth="1"/>
    <col min="66" max="66" width="22.54296875" style="2" bestFit="1" customWidth="1"/>
    <col min="67" max="67" width="22.54296875" style="191" customWidth="1"/>
    <col min="68" max="69" width="11.453125" style="2"/>
    <col min="70" max="70" width="11.54296875" style="2" bestFit="1" customWidth="1"/>
    <col min="71" max="71" width="14" style="2" bestFit="1" customWidth="1"/>
    <col min="72" max="72" width="12.81640625" style="2" bestFit="1" customWidth="1"/>
    <col min="73" max="73" width="11.453125" style="2"/>
    <col min="74" max="75" width="14" style="2" bestFit="1" customWidth="1"/>
    <col min="76" max="16384" width="11.453125" style="2"/>
  </cols>
  <sheetData>
    <row r="1" spans="2:75" ht="14.5" thickBot="1" x14ac:dyDescent="0.4">
      <c r="B1" s="44"/>
      <c r="Z1" s="321" t="s">
        <v>4007</v>
      </c>
      <c r="AM1" s="321" t="s">
        <v>4015</v>
      </c>
      <c r="AZ1" s="321" t="s">
        <v>4017</v>
      </c>
      <c r="BM1" s="321" t="s">
        <v>4021</v>
      </c>
    </row>
    <row r="2" spans="2:75" ht="14.5" x14ac:dyDescent="0.35">
      <c r="B2" s="3" t="s">
        <v>1319</v>
      </c>
      <c r="C2" s="209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N2" s="3" t="s">
        <v>1244</v>
      </c>
      <c r="O2" s="209"/>
      <c r="P2" s="89">
        <v>2</v>
      </c>
      <c r="Q2" s="89">
        <v>3</v>
      </c>
      <c r="R2" s="89">
        <v>4</v>
      </c>
      <c r="S2" s="89">
        <v>5</v>
      </c>
      <c r="T2" s="89">
        <v>6</v>
      </c>
      <c r="U2" s="89">
        <v>7</v>
      </c>
      <c r="V2" s="89">
        <v>8</v>
      </c>
      <c r="W2" s="89">
        <v>9</v>
      </c>
      <c r="Z2" s="3" t="s">
        <v>4006</v>
      </c>
      <c r="AA2" s="29"/>
      <c r="AB2" s="209" t="s">
        <v>1157</v>
      </c>
      <c r="AC2" s="89">
        <v>2</v>
      </c>
      <c r="AD2" s="89">
        <v>3</v>
      </c>
      <c r="AE2" s="89">
        <v>4</v>
      </c>
      <c r="AF2" s="89">
        <v>5</v>
      </c>
      <c r="AG2" s="89">
        <v>6</v>
      </c>
      <c r="AH2" s="89">
        <v>7</v>
      </c>
      <c r="AI2" s="89">
        <v>8</v>
      </c>
      <c r="AJ2" s="89">
        <v>9</v>
      </c>
      <c r="AM2" s="3" t="s">
        <v>1264</v>
      </c>
      <c r="AN2" s="29"/>
      <c r="AO2" s="209"/>
      <c r="AP2" s="89">
        <v>2</v>
      </c>
      <c r="AQ2" s="89">
        <v>3</v>
      </c>
      <c r="AR2" s="89">
        <v>4</v>
      </c>
      <c r="AS2" s="89">
        <v>5</v>
      </c>
      <c r="AT2" s="89">
        <v>6</v>
      </c>
      <c r="AU2" s="89">
        <v>7</v>
      </c>
      <c r="AV2" s="89">
        <v>8</v>
      </c>
      <c r="AW2" s="89">
        <v>9</v>
      </c>
      <c r="AZ2" s="3" t="s">
        <v>1265</v>
      </c>
      <c r="BA2" s="29"/>
      <c r="BB2" s="209"/>
      <c r="BC2" s="89">
        <v>2</v>
      </c>
      <c r="BD2" s="89">
        <v>3</v>
      </c>
      <c r="BE2" s="89">
        <v>4</v>
      </c>
      <c r="BF2" s="89">
        <v>5</v>
      </c>
      <c r="BG2" s="89">
        <v>6</v>
      </c>
      <c r="BH2" s="89">
        <v>7</v>
      </c>
      <c r="BI2" s="89">
        <v>8</v>
      </c>
      <c r="BJ2" s="89">
        <v>9</v>
      </c>
      <c r="BM2" s="3" t="s">
        <v>1266</v>
      </c>
      <c r="BN2" s="29"/>
      <c r="BO2" s="209"/>
      <c r="BP2" s="89">
        <v>2</v>
      </c>
      <c r="BQ2" s="89">
        <v>3</v>
      </c>
      <c r="BR2" s="89">
        <v>4</v>
      </c>
      <c r="BS2" s="89">
        <v>5</v>
      </c>
      <c r="BT2" s="89">
        <v>6</v>
      </c>
      <c r="BU2" s="89">
        <v>7</v>
      </c>
      <c r="BV2" s="89">
        <v>8</v>
      </c>
      <c r="BW2" s="89">
        <v>9</v>
      </c>
    </row>
    <row r="3" spans="2:75" ht="14.5" x14ac:dyDescent="0.35">
      <c r="B3" s="23" t="s">
        <v>1157</v>
      </c>
      <c r="C3" s="210"/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 t="s">
        <v>4477</v>
      </c>
      <c r="L3" s="2" t="s">
        <v>4411</v>
      </c>
      <c r="N3" s="23" t="s">
        <v>1157</v>
      </c>
      <c r="O3" s="210"/>
      <c r="P3" s="133" t="s">
        <v>1417</v>
      </c>
      <c r="Q3" s="133">
        <v>2020</v>
      </c>
      <c r="R3" s="133">
        <v>2025</v>
      </c>
      <c r="S3" s="133">
        <v>2030</v>
      </c>
      <c r="T3" s="133">
        <v>2035</v>
      </c>
      <c r="U3" s="133">
        <v>2040</v>
      </c>
      <c r="V3" s="133">
        <v>2045</v>
      </c>
      <c r="W3" s="133">
        <v>2050</v>
      </c>
      <c r="Z3" s="23" t="s">
        <v>1258</v>
      </c>
      <c r="AA3" s="30" t="s">
        <v>1259</v>
      </c>
      <c r="AB3" s="210"/>
      <c r="AC3" s="133" t="s">
        <v>1417</v>
      </c>
      <c r="AD3" s="133">
        <v>2020</v>
      </c>
      <c r="AE3" s="133">
        <v>2025</v>
      </c>
      <c r="AF3" s="133">
        <v>2030</v>
      </c>
      <c r="AG3" s="133">
        <v>2035</v>
      </c>
      <c r="AH3" s="133">
        <v>2040</v>
      </c>
      <c r="AI3" s="133">
        <v>2045</v>
      </c>
      <c r="AJ3" s="133">
        <v>2050</v>
      </c>
      <c r="AM3" s="23" t="s">
        <v>1258</v>
      </c>
      <c r="AN3" s="30" t="s">
        <v>1259</v>
      </c>
      <c r="AO3" s="210"/>
      <c r="AP3" s="133" t="s">
        <v>1417</v>
      </c>
      <c r="AQ3" s="133">
        <v>2020</v>
      </c>
      <c r="AR3" s="133">
        <v>2025</v>
      </c>
      <c r="AS3" s="133">
        <v>2030</v>
      </c>
      <c r="AT3" s="133">
        <v>2035</v>
      </c>
      <c r="AU3" s="133">
        <v>2040</v>
      </c>
      <c r="AV3" s="133">
        <v>2045</v>
      </c>
      <c r="AW3" s="133">
        <v>2050</v>
      </c>
      <c r="AZ3" s="23" t="s">
        <v>1258</v>
      </c>
      <c r="BA3" s="30" t="s">
        <v>1259</v>
      </c>
      <c r="BB3" s="210"/>
      <c r="BC3" s="133" t="s">
        <v>1417</v>
      </c>
      <c r="BD3" s="133">
        <v>2020</v>
      </c>
      <c r="BE3" s="133">
        <v>2025</v>
      </c>
      <c r="BF3" s="133">
        <v>2030</v>
      </c>
      <c r="BG3" s="133">
        <v>2035</v>
      </c>
      <c r="BH3" s="133">
        <v>2040</v>
      </c>
      <c r="BI3" s="133">
        <v>2045</v>
      </c>
      <c r="BJ3" s="133">
        <v>2050</v>
      </c>
      <c r="BM3" s="23" t="s">
        <v>1258</v>
      </c>
      <c r="BN3" s="30" t="s">
        <v>1259</v>
      </c>
      <c r="BO3" s="210"/>
      <c r="BP3" s="133" t="s">
        <v>1417</v>
      </c>
      <c r="BQ3" s="133">
        <v>2020</v>
      </c>
      <c r="BR3" s="133">
        <v>2025</v>
      </c>
      <c r="BS3" s="133">
        <v>2030</v>
      </c>
      <c r="BT3" s="133">
        <v>2035</v>
      </c>
      <c r="BU3" s="133">
        <v>2040</v>
      </c>
      <c r="BV3" s="133">
        <v>2045</v>
      </c>
      <c r="BW3" s="133">
        <v>2050</v>
      </c>
    </row>
    <row r="4" spans="2:75" x14ac:dyDescent="0.35">
      <c r="B4" s="5" t="s">
        <v>1161</v>
      </c>
      <c r="C4" s="199" t="s">
        <v>1340</v>
      </c>
      <c r="D4" s="16" t="e">
        <f>(AC27+AC36+AC41+AP28+AP29+BC31+BP32+BP33+SUM('Endenergiebedarf nach Sektor'!BK57:BK63)+Papierindustrie!D45+(Papierindustrie!D39*(Papierindustrie!D27/(Papierindustrie!D27+Papierindustrie!D19))))*(1-Erdgas!F16)</f>
        <v>#N/A</v>
      </c>
      <c r="E4" s="346" t="e">
        <f>(AD27+AD36+AD41+AQ28+AQ29+BD31+BQ32+BQ33+SUM('Endenergiebedarf nach Sektor'!BL57:BL63)+Papierindustrie!E45+(Papierindustrie!E39*(Papierindustrie!E27/(Papierindustrie!E27+Papierindustrie!E19))))*(1-Erdgas!G16)</f>
        <v>#N/A</v>
      </c>
      <c r="F4" s="346" t="e">
        <f>(AE27+AE36+AE41+AR28+AR29+BE31+BR32+BR33+SUM('Endenergiebedarf nach Sektor'!BM57:BM63)+Papierindustrie!F45+(Papierindustrie!F39*(Papierindustrie!F27/(Papierindustrie!F27+Papierindustrie!F19))))*(1-Erdgas!H16)</f>
        <v>#N/A</v>
      </c>
      <c r="G4" s="346" t="e">
        <f>(AF27+AF36+AF41+AS28+AS29+BF31+BS32+BS33+SUM('Endenergiebedarf nach Sektor'!BN57:BN63)+Papierindustrie!G45+(Papierindustrie!G39*(Papierindustrie!G27/(Papierindustrie!G27+Papierindustrie!G19))))*(1-Erdgas!I16)</f>
        <v>#N/A</v>
      </c>
      <c r="H4" s="346" t="e">
        <f>(AG27+AG36+AG41+AT28+AT29+BG31+BT32+BT33+SUM('Endenergiebedarf nach Sektor'!BO57:BO63)+Papierindustrie!H45+(Papierindustrie!H39*(Papierindustrie!H27/(Papierindustrie!H27+Papierindustrie!H19))))*(1-Erdgas!J16)</f>
        <v>#N/A</v>
      </c>
      <c r="I4" s="346" t="e">
        <f>(AH27+AH36+AH41+AU28+AU29+BH31+BU32+BU33+SUM('Endenergiebedarf nach Sektor'!BP57:BP63)+Papierindustrie!I45+(Papierindustrie!I39*(Papierindustrie!I27/(Papierindustrie!I27+Papierindustrie!I19))))*(1-Erdgas!K16)</f>
        <v>#N/A</v>
      </c>
      <c r="J4" s="346" t="e">
        <f>(AI27+AI36+AI41+AV28+AV29+BI31+BV32+BV33+SUM('Endenergiebedarf nach Sektor'!BQ57:BQ63)+Papierindustrie!J45+(Papierindustrie!J39*(Papierindustrie!J27/(Papierindustrie!J27+Papierindustrie!J19))))*(1-Erdgas!L16)</f>
        <v>#N/A</v>
      </c>
      <c r="K4" s="970">
        <v>7.3688246823173001E-2</v>
      </c>
      <c r="L4" s="2">
        <v>0.91415863225330196</v>
      </c>
      <c r="N4" s="5" t="s">
        <v>1232</v>
      </c>
      <c r="O4" s="199" t="s">
        <v>1886</v>
      </c>
      <c r="P4" s="16" t="e">
        <f>SUM(AC4:AC10)</f>
        <v>#N/A</v>
      </c>
      <c r="Q4" s="16" t="e">
        <f t="shared" ref="Q4:W4" si="0">SUM(AD4:AD10)</f>
        <v>#N/A</v>
      </c>
      <c r="R4" s="16" t="e">
        <f t="shared" si="0"/>
        <v>#N/A</v>
      </c>
      <c r="S4" s="16" t="e">
        <f t="shared" si="0"/>
        <v>#N/A</v>
      </c>
      <c r="T4" s="16" t="e">
        <f t="shared" si="0"/>
        <v>#N/A</v>
      </c>
      <c r="U4" s="16" t="e">
        <f t="shared" si="0"/>
        <v>#N/A</v>
      </c>
      <c r="V4" s="16" t="e">
        <f t="shared" si="0"/>
        <v>#N/A</v>
      </c>
      <c r="W4" s="16" t="e">
        <f t="shared" si="0"/>
        <v>#N/A</v>
      </c>
      <c r="Z4" s="26" t="s">
        <v>48</v>
      </c>
      <c r="AA4" s="31" t="s">
        <v>1174</v>
      </c>
      <c r="AB4" s="194" t="s">
        <v>1843</v>
      </c>
      <c r="AC4" s="16" t="e">
        <f>VLOOKUP($Z4,flows!$A$2:$J$4985,AC$2,FALSE)</f>
        <v>#N/A</v>
      </c>
      <c r="AD4" s="346" t="e">
        <f>VLOOKUP($Z4,flows!$A$2:$J$4985,AD$2,FALSE)</f>
        <v>#N/A</v>
      </c>
      <c r="AE4" s="346" t="e">
        <f>VLOOKUP($Z4,flows!$A$2:$J$4985,AE$2,FALSE)</f>
        <v>#N/A</v>
      </c>
      <c r="AF4" s="346" t="e">
        <f>VLOOKUP($Z4,flows!$A$2:$J$4985,AF$2,FALSE)</f>
        <v>#N/A</v>
      </c>
      <c r="AG4" s="346" t="e">
        <f>VLOOKUP($Z4,flows!$A$2:$J$4985,AG$2,FALSE)</f>
        <v>#N/A</v>
      </c>
      <c r="AH4" s="346" t="e">
        <f>VLOOKUP($Z4,flows!$A$2:$J$4985,AH$2,FALSE)</f>
        <v>#N/A</v>
      </c>
      <c r="AI4" s="346" t="e">
        <f>VLOOKUP($Z4,flows!$A$2:$J$4985,AI$2,FALSE)</f>
        <v>#N/A</v>
      </c>
      <c r="AJ4" s="346" t="e">
        <f>VLOOKUP($Z4,flows!$A$2:$J$4985,AJ$2,FALSE)</f>
        <v>#N/A</v>
      </c>
      <c r="AM4" s="5" t="s">
        <v>27</v>
      </c>
      <c r="AN4" s="6" t="s">
        <v>1175</v>
      </c>
      <c r="AO4" s="199" t="s">
        <v>1859</v>
      </c>
      <c r="AP4" s="16" t="e">
        <f>VLOOKUP($AM4,flows!$A$2:$J$4985,AP$2,FALSE)</f>
        <v>#N/A</v>
      </c>
      <c r="AQ4" s="346" t="e">
        <f>VLOOKUP($AM4,flows!$A$2:$J$4985,AQ$2,FALSE)</f>
        <v>#N/A</v>
      </c>
      <c r="AR4" s="346" t="e">
        <f>VLOOKUP($AM4,flows!$A$2:$J$4985,AR$2,FALSE)</f>
        <v>#N/A</v>
      </c>
      <c r="AS4" s="346" t="e">
        <f>VLOOKUP($AM4,flows!$A$2:$J$4985,AS$2,FALSE)</f>
        <v>#N/A</v>
      </c>
      <c r="AT4" s="346" t="e">
        <f>VLOOKUP($AM4,flows!$A$2:$J$4985,AT$2,FALSE)</f>
        <v>#N/A</v>
      </c>
      <c r="AU4" s="346" t="e">
        <f>VLOOKUP($AM4,flows!$A$2:$J$4985,AU$2,FALSE)</f>
        <v>#N/A</v>
      </c>
      <c r="AV4" s="346" t="e">
        <f>VLOOKUP($AM4,flows!$A$2:$J$4985,AV$2,FALSE)</f>
        <v>#N/A</v>
      </c>
      <c r="AW4" s="346" t="e">
        <f>VLOOKUP($AM4,flows!$A$2:$J$4985,AW$2,FALSE)</f>
        <v>#N/A</v>
      </c>
      <c r="AZ4" s="26" t="s">
        <v>35</v>
      </c>
      <c r="BA4" s="6" t="s">
        <v>1240</v>
      </c>
      <c r="BB4" s="199" t="s">
        <v>1867</v>
      </c>
      <c r="BC4" s="16">
        <f>VLOOKUP(AZ4,flows!$A$2:$J$4985,2,FALSE)</f>
        <v>192713.61278901441</v>
      </c>
      <c r="BD4" s="16">
        <f>VLOOKUP(AZ4,flows!$A$2:$J$4985,3,FALSE)</f>
        <v>0</v>
      </c>
      <c r="BE4" s="16">
        <f>VLOOKUP(AZ4,flows!$A$2:$J$4985,4,FALSE)</f>
        <v>317.03828484666099</v>
      </c>
      <c r="BF4" s="16">
        <f>VLOOKUP(AZ4,flows!$A$2:$J$4985,5,FALSE)</f>
        <v>21033.57982259446</v>
      </c>
      <c r="BG4" s="16">
        <f>VLOOKUP(AZ4,flows!$A$2:$J$4985,6,FALSE)</f>
        <v>87942.444709228192</v>
      </c>
      <c r="BH4" s="16">
        <f>VLOOKUP(AZ4,flows!$A$2:$J$4985,7,FALSE)</f>
        <v>140611.58027442271</v>
      </c>
      <c r="BI4" s="16">
        <f>VLOOKUP(AZ4,flows!$A$2:$J$4985,8,FALSE)</f>
        <v>229926.566691382</v>
      </c>
      <c r="BJ4" s="16">
        <f>VLOOKUP(AZ4,flows!$A$2:$J$4985,9,FALSE)</f>
        <v>0</v>
      </c>
      <c r="BM4" s="26" t="s">
        <v>38</v>
      </c>
      <c r="BN4" s="6" t="s">
        <v>24</v>
      </c>
      <c r="BO4" s="199" t="s">
        <v>1547</v>
      </c>
      <c r="BP4" s="16" t="e">
        <f>VLOOKUP(BM4,flows!$A$2:$J$4985,2,FALSE)</f>
        <v>#N/A</v>
      </c>
      <c r="BQ4" s="16" t="e">
        <f>VLOOKUP(BM4,flows!$A$2:$J$4985,3,FALSE)</f>
        <v>#N/A</v>
      </c>
      <c r="BR4" s="16" t="e">
        <f>VLOOKUP(BM4,flows!$A$2:$J$4985,4,FALSE)</f>
        <v>#N/A</v>
      </c>
      <c r="BS4" s="16" t="e">
        <f>VLOOKUP(BM4,flows!$A$2:$J$4985,5,FALSE)</f>
        <v>#N/A</v>
      </c>
      <c r="BT4" s="16" t="e">
        <f>VLOOKUP(BM4,flows!$A$2:$J$4985,6,FALSE)</f>
        <v>#N/A</v>
      </c>
      <c r="BU4" s="16" t="e">
        <f>VLOOKUP(BM4,flows!$A$2:$J$4985,7,FALSE)</f>
        <v>#N/A</v>
      </c>
      <c r="BV4" s="16" t="e">
        <f>VLOOKUP(BM4,flows!$A$2:$J$4985,8,FALSE)</f>
        <v>#N/A</v>
      </c>
      <c r="BW4" s="16" t="e">
        <f>VLOOKUP(BM4,flows!$A$2:$J$4985,9,FALSE)</f>
        <v>#N/A</v>
      </c>
    </row>
    <row r="5" spans="2:75" x14ac:dyDescent="0.35">
      <c r="B5" s="5" t="s">
        <v>2705</v>
      </c>
      <c r="C5" s="199" t="s">
        <v>2814</v>
      </c>
      <c r="D5" s="16" t="e">
        <f>'Wärme - Erzeugung'!AC26+'Wärme - Erzeugung'!AC35+'Wärme - Erzeugung'!AP26+SUM('Endenergiebedarf nach Sektor'!BK82:BK84)+'Endenergiebedarf nach Sektor'!BK77+(Papierindustrie!D36*(IF(Papierindustrie!D24=0,0,(Papierindustrie!D24/(Papierindustrie!D24+Papierindustrie!D16)))))</f>
        <v>#N/A</v>
      </c>
      <c r="E5" s="346" t="e">
        <f>'Wärme - Erzeugung'!AD26+'Wärme - Erzeugung'!AD35+'Wärme - Erzeugung'!AQ26+SUM('Endenergiebedarf nach Sektor'!BL82:BL84)+'Endenergiebedarf nach Sektor'!BL77+(Papierindustrie!E36*(IF(Papierindustrie!E24=0,0,(Papierindustrie!E24/(Papierindustrie!E24+Papierindustrie!E16)))))</f>
        <v>#N/A</v>
      </c>
      <c r="F5" s="346" t="e">
        <f>'Wärme - Erzeugung'!AE26+'Wärme - Erzeugung'!AE35+'Wärme - Erzeugung'!AR26+SUM('Endenergiebedarf nach Sektor'!BM82:BM84)+'Endenergiebedarf nach Sektor'!BM77+(Papierindustrie!F36*(IF(Papierindustrie!F24=0,0,(Papierindustrie!F24/(Papierindustrie!F24+Papierindustrie!F16)))))</f>
        <v>#N/A</v>
      </c>
      <c r="G5" s="346" t="e">
        <f>'Wärme - Erzeugung'!AF26+'Wärme - Erzeugung'!AF35+'Wärme - Erzeugung'!AS26+SUM('Endenergiebedarf nach Sektor'!BN82:BN84)+'Endenergiebedarf nach Sektor'!BN77+(Papierindustrie!G36*(IF(Papierindustrie!G24=0,0,(Papierindustrie!G24/(Papierindustrie!G24+Papierindustrie!G16)))))</f>
        <v>#N/A</v>
      </c>
      <c r="H5" s="346" t="e">
        <f>'Wärme - Erzeugung'!AG26+'Wärme - Erzeugung'!AG35+'Wärme - Erzeugung'!AT26+SUM('Endenergiebedarf nach Sektor'!BO82:BO84)+'Endenergiebedarf nach Sektor'!BO77+(Papierindustrie!H36*(IF(Papierindustrie!H24=0,0,(Papierindustrie!H24/(Papierindustrie!H24+Papierindustrie!H16)))))</f>
        <v>#N/A</v>
      </c>
      <c r="I5" s="346" t="e">
        <f>'Wärme - Erzeugung'!AH26+'Wärme - Erzeugung'!AH35+'Wärme - Erzeugung'!AU26+SUM('Endenergiebedarf nach Sektor'!BP82:BP84)+'Endenergiebedarf nach Sektor'!BP77+(Papierindustrie!I36*(IF(Papierindustrie!I24=0,0,(Papierindustrie!I24/(Papierindustrie!I24+Papierindustrie!I16)))))</f>
        <v>#N/A</v>
      </c>
      <c r="J5" s="346" t="e">
        <f>'Wärme - Erzeugung'!AI26+'Wärme - Erzeugung'!AI35+'Wärme - Erzeugung'!AV26+SUM('Endenergiebedarf nach Sektor'!BQ82:BQ84)+'Endenergiebedarf nach Sektor'!BQ77+(Papierindustrie!J36*(IF(Papierindustrie!J24=0,0,(Papierindustrie!J24/(Papierindustrie!J24+Papierindustrie!J16)))))</f>
        <v>#N/A</v>
      </c>
      <c r="K5" s="970">
        <v>0.5291368719064744</v>
      </c>
      <c r="L5" s="2">
        <v>5.6382708968375246</v>
      </c>
      <c r="N5" s="5" t="s">
        <v>1192</v>
      </c>
      <c r="O5" s="199" t="s">
        <v>1841</v>
      </c>
      <c r="P5" s="16" t="e">
        <f t="shared" ref="P5:W5" si="1">SUM(AC11:AC17)+AC20</f>
        <v>#N/A</v>
      </c>
      <c r="Q5" s="346" t="e">
        <f t="shared" si="1"/>
        <v>#N/A</v>
      </c>
      <c r="R5" s="346" t="e">
        <f t="shared" si="1"/>
        <v>#N/A</v>
      </c>
      <c r="S5" s="346" t="e">
        <f t="shared" si="1"/>
        <v>#N/A</v>
      </c>
      <c r="T5" s="346" t="e">
        <f t="shared" si="1"/>
        <v>#N/A</v>
      </c>
      <c r="U5" s="346" t="e">
        <f t="shared" si="1"/>
        <v>#N/A</v>
      </c>
      <c r="V5" s="346" t="e">
        <f t="shared" si="1"/>
        <v>#N/A</v>
      </c>
      <c r="W5" s="346" t="e">
        <f t="shared" si="1"/>
        <v>#N/A</v>
      </c>
      <c r="Z5" s="26" t="s">
        <v>49</v>
      </c>
      <c r="AA5" s="31" t="s">
        <v>1177</v>
      </c>
      <c r="AB5" s="194" t="s">
        <v>1844</v>
      </c>
      <c r="AC5" s="346" t="e">
        <f>VLOOKUP($Z5,flows!$A$2:$J$4985,AC$2,FALSE)</f>
        <v>#N/A</v>
      </c>
      <c r="AD5" s="346" t="e">
        <f>VLOOKUP($Z5,flows!$A$2:$J$4985,AD$2,FALSE)</f>
        <v>#N/A</v>
      </c>
      <c r="AE5" s="346" t="e">
        <f>VLOOKUP($Z5,flows!$A$2:$J$4985,AE$2,FALSE)</f>
        <v>#N/A</v>
      </c>
      <c r="AF5" s="346" t="e">
        <f>VLOOKUP($Z5,flows!$A$2:$J$4985,AF$2,FALSE)</f>
        <v>#N/A</v>
      </c>
      <c r="AG5" s="346" t="e">
        <f>VLOOKUP($Z5,flows!$A$2:$J$4985,AG$2,FALSE)</f>
        <v>#N/A</v>
      </c>
      <c r="AH5" s="346" t="e">
        <f>VLOOKUP($Z5,flows!$A$2:$J$4985,AH$2,FALSE)</f>
        <v>#N/A</v>
      </c>
      <c r="AI5" s="346" t="e">
        <f>VLOOKUP($Z5,flows!$A$2:$J$4985,AI$2,FALSE)</f>
        <v>#N/A</v>
      </c>
      <c r="AJ5" s="346" t="e">
        <f>VLOOKUP($Z5,flows!$A$2:$J$4985,AJ$2,FALSE)</f>
        <v>#N/A</v>
      </c>
      <c r="AM5" s="5" t="s">
        <v>31</v>
      </c>
      <c r="AN5" s="6" t="s">
        <v>1176</v>
      </c>
      <c r="AO5" s="199" t="s">
        <v>1860</v>
      </c>
      <c r="AP5" s="346" t="e">
        <f>VLOOKUP($AM5,flows!$A$2:$J$4985,AP$2,FALSE)</f>
        <v>#N/A</v>
      </c>
      <c r="AQ5" s="346" t="e">
        <f>VLOOKUP($AM5,flows!$A$2:$J$4985,AQ$2,FALSE)</f>
        <v>#N/A</v>
      </c>
      <c r="AR5" s="346" t="e">
        <f>VLOOKUP($AM5,flows!$A$2:$J$4985,AR$2,FALSE)</f>
        <v>#N/A</v>
      </c>
      <c r="AS5" s="346" t="e">
        <f>VLOOKUP($AM5,flows!$A$2:$J$4985,AS$2,FALSE)</f>
        <v>#N/A</v>
      </c>
      <c r="AT5" s="346" t="e">
        <f>VLOOKUP($AM5,flows!$A$2:$J$4985,AT$2,FALSE)</f>
        <v>#N/A</v>
      </c>
      <c r="AU5" s="346" t="e">
        <f>VLOOKUP($AM5,flows!$A$2:$J$4985,AU$2,FALSE)</f>
        <v>#N/A</v>
      </c>
      <c r="AV5" s="346" t="e">
        <f>VLOOKUP($AM5,flows!$A$2:$J$4985,AV$2,FALSE)</f>
        <v>#N/A</v>
      </c>
      <c r="AW5" s="346" t="e">
        <f>VLOOKUP($AM5,flows!$A$2:$J$4985,AW$2,FALSE)</f>
        <v>#N/A</v>
      </c>
      <c r="AZ5" s="206" t="s">
        <v>4117</v>
      </c>
      <c r="BA5" s="344" t="s">
        <v>4125</v>
      </c>
      <c r="BB5" s="344" t="s">
        <v>4126</v>
      </c>
      <c r="BC5" s="346">
        <f>VLOOKUP($AZ5,flows!$A$2:$J$4985,2,FALSE)</f>
        <v>1.390776275840552</v>
      </c>
      <c r="BD5" s="346">
        <f>VLOOKUP($AZ5,flows!$A$2:$J$4985,3,FALSE)</f>
        <v>0</v>
      </c>
      <c r="BE5" s="346">
        <f>VLOOKUP($AZ5,flows!$A$2:$J$4985,4,FALSE)</f>
        <v>5.1623413669181879</v>
      </c>
      <c r="BF5" s="346">
        <f>VLOOKUP($AZ5,flows!$A$2:$J$4985,5,FALSE)</f>
        <v>5553.201371029395</v>
      </c>
      <c r="BG5" s="346">
        <f>VLOOKUP($AZ5,flows!$A$2:$J$4985,5,FALSE)</f>
        <v>5553.201371029395</v>
      </c>
      <c r="BH5" s="346">
        <f>VLOOKUP($AZ5,flows!$A$2:$J$4985,6,FALSE)</f>
        <v>22222.61797379105</v>
      </c>
      <c r="BI5" s="346">
        <f>VLOOKUP($AZ5,flows!$A$2:$J$4985,7,FALSE)</f>
        <v>28748.003667855312</v>
      </c>
      <c r="BJ5" s="346">
        <f>VLOOKUP($AZ5,flows!$A$2:$J$4985,8,FALSE)</f>
        <v>31141.373324814449</v>
      </c>
      <c r="BM5" s="26" t="s">
        <v>44</v>
      </c>
      <c r="BN5" s="6" t="s">
        <v>1241</v>
      </c>
      <c r="BO5" s="199" t="s">
        <v>1875</v>
      </c>
      <c r="BP5" s="16">
        <f>VLOOKUP(BM5,flows!$A$2:$J$4985,2,FALSE)</f>
        <v>398217.80639899441</v>
      </c>
      <c r="BQ5" s="16">
        <f>VLOOKUP(BM5,flows!$A$2:$J$4985,3,FALSE)</f>
        <v>39003.377792890147</v>
      </c>
      <c r="BR5" s="16">
        <f>VLOOKUP(BM5,flows!$A$2:$J$4985,4,FALSE)</f>
        <v>79228.571543350743</v>
      </c>
      <c r="BS5" s="16">
        <f>VLOOKUP(BM5,flows!$A$2:$J$4985,5,FALSE)</f>
        <v>140469.37658452301</v>
      </c>
      <c r="BT5" s="16">
        <f>VLOOKUP(BM5,flows!$A$2:$J$4985,6,FALSE)</f>
        <v>265058.20570794918</v>
      </c>
      <c r="BU5" s="16">
        <f>VLOOKUP(BM5,flows!$A$2:$J$4985,7,FALSE)</f>
        <v>313719.62739979458</v>
      </c>
      <c r="BV5" s="16">
        <f>VLOOKUP(BM5,flows!$A$2:$J$4985,8,FALSE)</f>
        <v>391306.87304293481</v>
      </c>
      <c r="BW5" s="16">
        <f>VLOOKUP(BM5,flows!$A$2:$J$4985,9,FALSE)</f>
        <v>0</v>
      </c>
    </row>
    <row r="6" spans="2:75" ht="14.5" thickBot="1" x14ac:dyDescent="0.4">
      <c r="B6" s="5" t="s">
        <v>1310</v>
      </c>
      <c r="C6" s="199" t="s">
        <v>1343</v>
      </c>
      <c r="D6" s="16" t="e">
        <f>AP27+'Endenergiebedarf nach Sektor'!BK75+(Papierindustrie!D37*(IF(Papierindustrie!D25=0,0,(Papierindustrie!D25/(Papierindustrie!D25+Papierindustrie!D17)))))</f>
        <v>#N/A</v>
      </c>
      <c r="E6" s="346" t="e">
        <f>AQ27+'Endenergiebedarf nach Sektor'!BL75+(Papierindustrie!E37*(IF(Papierindustrie!E25=0,0,(Papierindustrie!E25/(Papierindustrie!E25+Papierindustrie!E17)))))</f>
        <v>#N/A</v>
      </c>
      <c r="F6" s="346" t="e">
        <f>AR27+'Endenergiebedarf nach Sektor'!BM75+(Papierindustrie!F37*(IF(Papierindustrie!F25=0,0,(Papierindustrie!F25/(Papierindustrie!F25+Papierindustrie!F17)))))</f>
        <v>#N/A</v>
      </c>
      <c r="G6" s="346" t="e">
        <f>AS27+'Endenergiebedarf nach Sektor'!BN75+(Papierindustrie!G37*(IF(Papierindustrie!G25=0,0,(Papierindustrie!G25/(Papierindustrie!G25+Papierindustrie!G17)))))</f>
        <v>#N/A</v>
      </c>
      <c r="H6" s="346" t="e">
        <f>AT27+'Endenergiebedarf nach Sektor'!BO75+(Papierindustrie!H37*(IF(Papierindustrie!H25=0,0,(Papierindustrie!H25/(Papierindustrie!H25+Papierindustrie!H17)))))</f>
        <v>#N/A</v>
      </c>
      <c r="I6" s="346" t="e">
        <f>AU27+'Endenergiebedarf nach Sektor'!BP75+(Papierindustrie!I37*(IF(Papierindustrie!I25=0,0,(Papierindustrie!I25/(Papierindustrie!I25+Papierindustrie!I17)))))</f>
        <v>#N/A</v>
      </c>
      <c r="J6" s="346" t="e">
        <f>AV27+'Endenergiebedarf nach Sektor'!BQ75+(Papierindustrie!J37*(IF(Papierindustrie!J25=0,0,(Papierindustrie!J25/(Papierindustrie!J25+Papierindustrie!J17)))))</f>
        <v>#N/A</v>
      </c>
      <c r="K6" s="970">
        <v>0.1080824506555622</v>
      </c>
      <c r="L6" s="2">
        <v>1.1830023173215301</v>
      </c>
      <c r="N6" s="8" t="s">
        <v>1193</v>
      </c>
      <c r="O6" s="211" t="s">
        <v>1842</v>
      </c>
      <c r="P6" s="17" t="e">
        <f t="shared" ref="P6:W6" si="2">SUM(AC18:AC19)</f>
        <v>#N/A</v>
      </c>
      <c r="Q6" s="17" t="e">
        <f t="shared" si="2"/>
        <v>#N/A</v>
      </c>
      <c r="R6" s="17" t="e">
        <f t="shared" si="2"/>
        <v>#N/A</v>
      </c>
      <c r="S6" s="17" t="e">
        <f t="shared" si="2"/>
        <v>#N/A</v>
      </c>
      <c r="T6" s="17" t="e">
        <f t="shared" si="2"/>
        <v>#N/A</v>
      </c>
      <c r="U6" s="17" t="e">
        <f t="shared" si="2"/>
        <v>#N/A</v>
      </c>
      <c r="V6" s="17" t="e">
        <f t="shared" si="2"/>
        <v>#N/A</v>
      </c>
      <c r="W6" s="17" t="e">
        <f t="shared" si="2"/>
        <v>#N/A</v>
      </c>
      <c r="Z6" s="26" t="s">
        <v>50</v>
      </c>
      <c r="AA6" s="31" t="s">
        <v>1182</v>
      </c>
      <c r="AB6" s="194" t="s">
        <v>1845</v>
      </c>
      <c r="AC6" s="346" t="e">
        <f>VLOOKUP($Z6,flows!$A$2:$J$4985,AC$2,FALSE)</f>
        <v>#N/A</v>
      </c>
      <c r="AD6" s="346" t="e">
        <f>VLOOKUP($Z6,flows!$A$2:$J$4985,AD$2,FALSE)</f>
        <v>#N/A</v>
      </c>
      <c r="AE6" s="346" t="e">
        <f>VLOOKUP($Z6,flows!$A$2:$J$4985,AE$2,FALSE)</f>
        <v>#N/A</v>
      </c>
      <c r="AF6" s="346" t="e">
        <f>VLOOKUP($Z6,flows!$A$2:$J$4985,AF$2,FALSE)</f>
        <v>#N/A</v>
      </c>
      <c r="AG6" s="346" t="e">
        <f>VLOOKUP($Z6,flows!$A$2:$J$4985,AG$2,FALSE)</f>
        <v>#N/A</v>
      </c>
      <c r="AH6" s="346" t="e">
        <f>VLOOKUP($Z6,flows!$A$2:$J$4985,AH$2,FALSE)</f>
        <v>#N/A</v>
      </c>
      <c r="AI6" s="346" t="e">
        <f>VLOOKUP($Z6,flows!$A$2:$J$4985,AI$2,FALSE)</f>
        <v>#N/A</v>
      </c>
      <c r="AJ6" s="346" t="e">
        <f>VLOOKUP($Z6,flows!$A$2:$J$4985,AJ$2,FALSE)</f>
        <v>#N/A</v>
      </c>
      <c r="AM6" s="5" t="s">
        <v>28</v>
      </c>
      <c r="AN6" s="6" t="s">
        <v>1179</v>
      </c>
      <c r="AO6" s="199" t="s">
        <v>1861</v>
      </c>
      <c r="AP6" s="346" t="e">
        <f>VLOOKUP($AM6,flows!$A$2:$J$4985,AP$2,FALSE)</f>
        <v>#N/A</v>
      </c>
      <c r="AQ6" s="346" t="e">
        <f>VLOOKUP($AM6,flows!$A$2:$J$4985,AQ$2,FALSE)</f>
        <v>#N/A</v>
      </c>
      <c r="AR6" s="346" t="e">
        <f>VLOOKUP($AM6,flows!$A$2:$J$4985,AR$2,FALSE)</f>
        <v>#N/A</v>
      </c>
      <c r="AS6" s="346" t="e">
        <f>VLOOKUP($AM6,flows!$A$2:$J$4985,AS$2,FALSE)</f>
        <v>#N/A</v>
      </c>
      <c r="AT6" s="346" t="e">
        <f>VLOOKUP($AM6,flows!$A$2:$J$4985,AT$2,FALSE)</f>
        <v>#N/A</v>
      </c>
      <c r="AU6" s="346" t="e">
        <f>VLOOKUP($AM6,flows!$A$2:$J$4985,AU$2,FALSE)</f>
        <v>#N/A</v>
      </c>
      <c r="AV6" s="346" t="e">
        <f>VLOOKUP($AM6,flows!$A$2:$J$4985,AV$2,FALSE)</f>
        <v>#N/A</v>
      </c>
      <c r="AW6" s="346" t="e">
        <f>VLOOKUP($AM6,flows!$A$2:$J$4985,AW$2,FALSE)</f>
        <v>#N/A</v>
      </c>
      <c r="AZ6" s="26" t="s">
        <v>34</v>
      </c>
      <c r="BA6" s="6" t="s">
        <v>1183</v>
      </c>
      <c r="BB6" s="199" t="s">
        <v>1866</v>
      </c>
      <c r="BC6" s="16" t="e">
        <f>VLOOKUP(AZ6,flows!$A$2:$J$4985,2,FALSE)</f>
        <v>#N/A</v>
      </c>
      <c r="BD6" s="16" t="e">
        <f>VLOOKUP(AZ6,flows!$A$2:$J$4985,3,FALSE)</f>
        <v>#N/A</v>
      </c>
      <c r="BE6" s="16" t="e">
        <f>VLOOKUP(AZ6,flows!$A$2:$J$4985,4,FALSE)</f>
        <v>#N/A</v>
      </c>
      <c r="BF6" s="16" t="e">
        <f>VLOOKUP(AZ6,flows!$A$2:$J$4985,5,FALSE)</f>
        <v>#N/A</v>
      </c>
      <c r="BG6" s="16" t="e">
        <f>VLOOKUP(AZ6,flows!$A$2:$J$4985,6,FALSE)</f>
        <v>#N/A</v>
      </c>
      <c r="BH6" s="16" t="e">
        <f>VLOOKUP(AZ6,flows!$A$2:$J$4985,7,FALSE)</f>
        <v>#N/A</v>
      </c>
      <c r="BI6" s="16" t="e">
        <f>VLOOKUP(AZ6,flows!$A$2:$J$4985,8,FALSE)</f>
        <v>#N/A</v>
      </c>
      <c r="BJ6" s="16" t="e">
        <f>VLOOKUP(AZ6,flows!$A$2:$J$4985,9,FALSE)</f>
        <v>#N/A</v>
      </c>
      <c r="BM6" s="206" t="s">
        <v>4119</v>
      </c>
      <c r="BN6" s="344" t="s">
        <v>4127</v>
      </c>
      <c r="BO6" s="344" t="s">
        <v>4128</v>
      </c>
      <c r="BP6" s="346">
        <f>VLOOKUP(BM6,flows!$A$2:$J$4985,2,FALSE)</f>
        <v>94585.780167092511</v>
      </c>
      <c r="BQ6" s="346">
        <f>VLOOKUP(BM6,flows!$A$2:$J$4985,3,FALSE)</f>
        <v>0</v>
      </c>
      <c r="BR6" s="346">
        <f>VLOOKUP(BM6,flows!$A$2:$J$4985,4,FALSE)</f>
        <v>2381.1242053759761</v>
      </c>
      <c r="BS6" s="346">
        <f>VLOOKUP(BM6,flows!$A$2:$J$4985,5,FALSE)</f>
        <v>18921.824312740031</v>
      </c>
      <c r="BT6" s="346">
        <f>VLOOKUP(BM6,flows!$A$2:$J$4985,6,FALSE)</f>
        <v>48437.704258238147</v>
      </c>
      <c r="BU6" s="346">
        <f>VLOOKUP(BM6,flows!$A$2:$J$4985,7,FALSE)</f>
        <v>49316.033358648987</v>
      </c>
      <c r="BV6" s="346">
        <f>VLOOKUP(BM6,flows!$A$2:$J$4985,8,FALSE)</f>
        <v>94214.187724593954</v>
      </c>
      <c r="BW6" s="346">
        <f>VLOOKUP(BM6,flows!$A$2:$J$4985,9,FALSE)</f>
        <v>0</v>
      </c>
    </row>
    <row r="7" spans="2:75" x14ac:dyDescent="0.35">
      <c r="B7" s="5" t="s">
        <v>1207</v>
      </c>
      <c r="C7" s="199" t="s">
        <v>1884</v>
      </c>
      <c r="D7" s="16" t="e">
        <f>'Wärme - Erzeugung'!AC28+'Wärme - Erzeugung'!AC38+'Wärme - Erzeugung'!BP37+'Wärme - Erzeugung'!BP38+SUM('Endenergiebedarf nach Sektor'!BK88:BK91)</f>
        <v>#N/A</v>
      </c>
      <c r="E7" s="346" t="e">
        <f>'Wärme - Erzeugung'!AD28+'Wärme - Erzeugung'!AD38+'Wärme - Erzeugung'!BQ37+'Wärme - Erzeugung'!BQ38+SUM('Endenergiebedarf nach Sektor'!BL88:BL91)</f>
        <v>#N/A</v>
      </c>
      <c r="F7" s="346" t="e">
        <f>'Wärme - Erzeugung'!AE28+'Wärme - Erzeugung'!AE38+'Wärme - Erzeugung'!BR37+'Wärme - Erzeugung'!BR38+SUM('Endenergiebedarf nach Sektor'!BM88:BM91)</f>
        <v>#N/A</v>
      </c>
      <c r="G7" s="346" t="e">
        <f>'Wärme - Erzeugung'!AF28+'Wärme - Erzeugung'!AF38+'Wärme - Erzeugung'!BS37+'Wärme - Erzeugung'!BS38+SUM('Endenergiebedarf nach Sektor'!BN88:BN91)</f>
        <v>#N/A</v>
      </c>
      <c r="H7" s="346" t="e">
        <f>'Wärme - Erzeugung'!AG28+'Wärme - Erzeugung'!AG38+'Wärme - Erzeugung'!BT37+'Wärme - Erzeugung'!BT38+SUM('Endenergiebedarf nach Sektor'!BO88:BO91)</f>
        <v>#N/A</v>
      </c>
      <c r="I7" s="346" t="e">
        <f>'Wärme - Erzeugung'!AH28+'Wärme - Erzeugung'!AH38+'Wärme - Erzeugung'!BU37+'Wärme - Erzeugung'!BU38+SUM('Endenergiebedarf nach Sektor'!BP88:BP91)</f>
        <v>#N/A</v>
      </c>
      <c r="J7" s="346" t="e">
        <f>'Wärme - Erzeugung'!AI28+'Wärme - Erzeugung'!AI38+'Wärme - Erzeugung'!BV37+'Wärme - Erzeugung'!BV38+SUM('Endenergiebedarf nach Sektor'!BQ88:BQ91)</f>
        <v>#N/A</v>
      </c>
      <c r="K7" s="970">
        <v>37.275539930317422</v>
      </c>
      <c r="L7" s="2">
        <v>60.75515508900336</v>
      </c>
      <c r="Z7" s="26" t="s">
        <v>1006</v>
      </c>
      <c r="AA7" s="31" t="s">
        <v>1191</v>
      </c>
      <c r="AB7" s="194" t="s">
        <v>1846</v>
      </c>
      <c r="AC7" s="346" t="e">
        <f>VLOOKUP($Z7,flows!$A$2:$J$4985,AC$2,FALSE)</f>
        <v>#N/A</v>
      </c>
      <c r="AD7" s="346" t="e">
        <f>VLOOKUP($Z7,flows!$A$2:$J$4985,AD$2,FALSE)</f>
        <v>#N/A</v>
      </c>
      <c r="AE7" s="346" t="e">
        <f>VLOOKUP($Z7,flows!$A$2:$J$4985,AE$2,FALSE)</f>
        <v>#N/A</v>
      </c>
      <c r="AF7" s="346" t="e">
        <f>VLOOKUP($Z7,flows!$A$2:$J$4985,AF$2,FALSE)</f>
        <v>#N/A</v>
      </c>
      <c r="AG7" s="346" t="e">
        <f>VLOOKUP($Z7,flows!$A$2:$J$4985,AG$2,FALSE)</f>
        <v>#N/A</v>
      </c>
      <c r="AH7" s="346" t="e">
        <f>VLOOKUP($Z7,flows!$A$2:$J$4985,AH$2,FALSE)</f>
        <v>#N/A</v>
      </c>
      <c r="AI7" s="346" t="e">
        <f>VLOOKUP($Z7,flows!$A$2:$J$4985,AI$2,FALSE)</f>
        <v>#N/A</v>
      </c>
      <c r="AJ7" s="346" t="e">
        <f>VLOOKUP($Z7,flows!$A$2:$J$4985,AJ$2,FALSE)</f>
        <v>#N/A</v>
      </c>
      <c r="AM7" s="12" t="s">
        <v>26</v>
      </c>
      <c r="AN7" s="13" t="s">
        <v>1178</v>
      </c>
      <c r="AO7" s="204" t="s">
        <v>1862</v>
      </c>
      <c r="AP7" s="346" t="e">
        <f>VLOOKUP($AM7,flows!$A$2:$J$4985,AP$2,FALSE)</f>
        <v>#N/A</v>
      </c>
      <c r="AQ7" s="346" t="e">
        <f>VLOOKUP($AM7,flows!$A$2:$J$4985,AQ$2,FALSE)</f>
        <v>#N/A</v>
      </c>
      <c r="AR7" s="346" t="e">
        <f>VLOOKUP($AM7,flows!$A$2:$J$4985,AR$2,FALSE)</f>
        <v>#N/A</v>
      </c>
      <c r="AS7" s="346" t="e">
        <f>VLOOKUP($AM7,flows!$A$2:$J$4985,AS$2,FALSE)</f>
        <v>#N/A</v>
      </c>
      <c r="AT7" s="346" t="e">
        <f>VLOOKUP($AM7,flows!$A$2:$J$4985,AT$2,FALSE)</f>
        <v>#N/A</v>
      </c>
      <c r="AU7" s="346" t="e">
        <f>VLOOKUP($AM7,flows!$A$2:$J$4985,AU$2,FALSE)</f>
        <v>#N/A</v>
      </c>
      <c r="AV7" s="346" t="e">
        <f>VLOOKUP($AM7,flows!$A$2:$J$4985,AV$2,FALSE)</f>
        <v>#N/A</v>
      </c>
      <c r="AW7" s="346" t="e">
        <f>VLOOKUP($AM7,flows!$A$2:$J$4985,AW$2,FALSE)</f>
        <v>#N/A</v>
      </c>
      <c r="AZ7" s="26" t="s">
        <v>37</v>
      </c>
      <c r="BA7" s="6" t="s">
        <v>58</v>
      </c>
      <c r="BB7" s="199" t="s">
        <v>1861</v>
      </c>
      <c r="BC7" s="16" t="e">
        <f>VLOOKUP(AZ7,flows!$A$2:$J$4985,2,FALSE)</f>
        <v>#N/A</v>
      </c>
      <c r="BD7" s="16" t="e">
        <f>VLOOKUP(AZ7,flows!$A$2:$J$4985,3,FALSE)</f>
        <v>#N/A</v>
      </c>
      <c r="BE7" s="16" t="e">
        <f>VLOOKUP(AZ7,flows!$A$2:$J$4985,4,FALSE)</f>
        <v>#N/A</v>
      </c>
      <c r="BF7" s="16" t="e">
        <f>VLOOKUP(AZ7,flows!$A$2:$J$4985,5,FALSE)</f>
        <v>#N/A</v>
      </c>
      <c r="BG7" s="16" t="e">
        <f>VLOOKUP(AZ7,flows!$A$2:$J$4985,6,FALSE)</f>
        <v>#N/A</v>
      </c>
      <c r="BH7" s="16" t="e">
        <f>VLOOKUP(AZ7,flows!$A$2:$J$4985,7,FALSE)</f>
        <v>#N/A</v>
      </c>
      <c r="BI7" s="16" t="e">
        <f>VLOOKUP(AZ7,flows!$A$2:$J$4985,8,FALSE)</f>
        <v>#N/A</v>
      </c>
      <c r="BJ7" s="16" t="e">
        <f>VLOOKUP(AZ7,flows!$A$2:$J$4985,9,FALSE)</f>
        <v>#N/A</v>
      </c>
      <c r="BM7" s="26" t="s">
        <v>41</v>
      </c>
      <c r="BN7" s="6" t="s">
        <v>1186</v>
      </c>
      <c r="BO7" s="199" t="s">
        <v>1876</v>
      </c>
      <c r="BP7" s="16" t="e">
        <f>VLOOKUP(BM7,flows!$A$2:$J$4985,2,FALSE)</f>
        <v>#N/A</v>
      </c>
      <c r="BQ7" s="16" t="e">
        <f>VLOOKUP(BM7,flows!$A$2:$J$4985,3,FALSE)</f>
        <v>#N/A</v>
      </c>
      <c r="BR7" s="16" t="e">
        <f>VLOOKUP(BM7,flows!$A$2:$J$4985,4,FALSE)</f>
        <v>#N/A</v>
      </c>
      <c r="BS7" s="16" t="e">
        <f>VLOOKUP(BM7,flows!$A$2:$J$4985,5,FALSE)</f>
        <v>#N/A</v>
      </c>
      <c r="BT7" s="16" t="e">
        <f>VLOOKUP(BM7,flows!$A$2:$J$4985,6,FALSE)</f>
        <v>#N/A</v>
      </c>
      <c r="BU7" s="16" t="e">
        <f>VLOOKUP(BM7,flows!$A$2:$J$4985,7,FALSE)</f>
        <v>#N/A</v>
      </c>
      <c r="BV7" s="16" t="e">
        <f>VLOOKUP(BM7,flows!$A$2:$J$4985,8,FALSE)</f>
        <v>#N/A</v>
      </c>
      <c r="BW7" s="16" t="e">
        <f>VLOOKUP(BM7,flows!$A$2:$J$4985,9,FALSE)</f>
        <v>#N/A</v>
      </c>
    </row>
    <row r="8" spans="2:75" x14ac:dyDescent="0.35">
      <c r="B8" s="12" t="s">
        <v>1162</v>
      </c>
      <c r="C8" s="204" t="s">
        <v>1816</v>
      </c>
      <c r="D8" s="16" t="e">
        <f>'Wärme - Erzeugung'!AC37+'Wärme - Erzeugung'!AP33+'Wärme - Erzeugung'!BC30+BC38+BP40+'Wärme - Erzeugung'!BC39+'Wärme - Erzeugung'!BP31+'Wärme - Erzeugung'!BP41+'Endenergiebedarf nach Sektor'!BK71+(Papierindustrie!D44*(IF(Papierindustrie!D29=0,0,(Papierindustrie!D29/(Papierindustrie!D29+Papierindustrie!D21)))))</f>
        <v>#N/A</v>
      </c>
      <c r="E8" s="346" t="e">
        <f>'Wärme - Erzeugung'!AD37+'Wärme - Erzeugung'!AQ33+'Wärme - Erzeugung'!BD30+BD38+BQ40+'Wärme - Erzeugung'!BD39+'Wärme - Erzeugung'!BQ31+'Wärme - Erzeugung'!BQ41+'Endenergiebedarf nach Sektor'!BL71+(Papierindustrie!E44*(IF(Papierindustrie!E29=0,0,(Papierindustrie!E29/(Papierindustrie!E29+Papierindustrie!E21)))))</f>
        <v>#N/A</v>
      </c>
      <c r="F8" s="346" t="e">
        <f>'Wärme - Erzeugung'!AE37+'Wärme - Erzeugung'!AR33+'Wärme - Erzeugung'!BE30+BE38+BR40+'Wärme - Erzeugung'!BE39+'Wärme - Erzeugung'!BR31+'Wärme - Erzeugung'!BR41+'Endenergiebedarf nach Sektor'!BM71+(Papierindustrie!F44*(IF(Papierindustrie!F29=0,0,(Papierindustrie!F29/(Papierindustrie!F29+Papierindustrie!F21)))))</f>
        <v>#N/A</v>
      </c>
      <c r="G8" s="346" t="e">
        <f>'Wärme - Erzeugung'!AF37+'Wärme - Erzeugung'!AS33+'Wärme - Erzeugung'!BF30+BF38+BS40+'Wärme - Erzeugung'!BF39+'Wärme - Erzeugung'!BS31+'Wärme - Erzeugung'!BS41+'Endenergiebedarf nach Sektor'!BN71+(Papierindustrie!G44*(IF(Papierindustrie!G29=0,0,(Papierindustrie!G29/(Papierindustrie!G29+Papierindustrie!G21)))))</f>
        <v>#N/A</v>
      </c>
      <c r="H8" s="346" t="e">
        <f>'Wärme - Erzeugung'!AG37+'Wärme - Erzeugung'!AT33+'Wärme - Erzeugung'!BG30+BG38+BT40+'Wärme - Erzeugung'!BG39+'Wärme - Erzeugung'!BT31+'Wärme - Erzeugung'!BT41+'Endenergiebedarf nach Sektor'!BO71+(Papierindustrie!H44*(IF(Papierindustrie!H29=0,0,(Papierindustrie!H29/(Papierindustrie!H29+Papierindustrie!H21)))))</f>
        <v>#N/A</v>
      </c>
      <c r="I8" s="346" t="e">
        <f>'Wärme - Erzeugung'!AH37+'Wärme - Erzeugung'!AU33+'Wärme - Erzeugung'!BH30+BH38+BU40+'Wärme - Erzeugung'!BH39+'Wärme - Erzeugung'!BU31+'Wärme - Erzeugung'!BU41+'Endenergiebedarf nach Sektor'!BP71+(Papierindustrie!I44*(IF(Papierindustrie!I29=0,0,(Papierindustrie!I29/(Papierindustrie!I29+Papierindustrie!I21)))))</f>
        <v>#N/A</v>
      </c>
      <c r="J8" s="969" t="e">
        <f>'Wärme - Erzeugung'!AI37+'Wärme - Erzeugung'!AV33+'Wärme - Erzeugung'!BI30+BI38+BV40+'Wärme - Erzeugung'!BI39+'Wärme - Erzeugung'!BV31+'Wärme - Erzeugung'!BV41+'Endenergiebedarf nach Sektor'!BQ71+(Papierindustrie!J44*(IF(Papierindustrie!J29=0,0,(Papierindustrie!J29/(Papierindustrie!J29+Papierindustrie!J21)))))</f>
        <v>#N/A</v>
      </c>
      <c r="K8" s="969">
        <v>172768.53609381252</v>
      </c>
      <c r="L8" s="2">
        <v>147461.94900736451</v>
      </c>
      <c r="Z8" s="26" t="s">
        <v>1073</v>
      </c>
      <c r="AA8" s="31" t="s">
        <v>1230</v>
      </c>
      <c r="AB8" s="194" t="s">
        <v>1847</v>
      </c>
      <c r="AC8" s="346" t="e">
        <f>VLOOKUP($Z8,flows!$A$2:$J$4985,AC$2,FALSE)</f>
        <v>#N/A</v>
      </c>
      <c r="AD8" s="346" t="e">
        <f>VLOOKUP($Z8,flows!$A$2:$J$4985,AD$2,FALSE)</f>
        <v>#N/A</v>
      </c>
      <c r="AE8" s="346" t="e">
        <f>VLOOKUP($Z8,flows!$A$2:$J$4985,AE$2,FALSE)</f>
        <v>#N/A</v>
      </c>
      <c r="AF8" s="346" t="e">
        <f>VLOOKUP($Z8,flows!$A$2:$J$4985,AF$2,FALSE)</f>
        <v>#N/A</v>
      </c>
      <c r="AG8" s="346" t="e">
        <f>VLOOKUP($Z8,flows!$A$2:$J$4985,AG$2,FALSE)</f>
        <v>#N/A</v>
      </c>
      <c r="AH8" s="346" t="e">
        <f>VLOOKUP($Z8,flows!$A$2:$J$4985,AH$2,FALSE)</f>
        <v>#N/A</v>
      </c>
      <c r="AI8" s="346" t="e">
        <f>VLOOKUP($Z8,flows!$A$2:$J$4985,AI$2,FALSE)</f>
        <v>#N/A</v>
      </c>
      <c r="AJ8" s="346" t="e">
        <f>VLOOKUP($Z8,flows!$A$2:$J$4985,AJ$2,FALSE)</f>
        <v>#N/A</v>
      </c>
      <c r="AM8" s="5" t="s">
        <v>1068</v>
      </c>
      <c r="AN8" s="6" t="s">
        <v>1260</v>
      </c>
      <c r="AO8" s="199" t="s">
        <v>1863</v>
      </c>
      <c r="AP8" s="346" t="e">
        <f>VLOOKUP($AM8,flows!$A$2:$J$4985,AP$2,FALSE)</f>
        <v>#N/A</v>
      </c>
      <c r="AQ8" s="346" t="e">
        <f>VLOOKUP($AM8,flows!$A$2:$J$4985,AQ$2,FALSE)</f>
        <v>#N/A</v>
      </c>
      <c r="AR8" s="346" t="e">
        <f>VLOOKUP($AM8,flows!$A$2:$J$4985,AR$2,FALSE)</f>
        <v>#N/A</v>
      </c>
      <c r="AS8" s="346" t="e">
        <f>VLOOKUP($AM8,flows!$A$2:$J$4985,AS$2,FALSE)</f>
        <v>#N/A</v>
      </c>
      <c r="AT8" s="346" t="e">
        <f>VLOOKUP($AM8,flows!$A$2:$J$4985,AT$2,FALSE)</f>
        <v>#N/A</v>
      </c>
      <c r="AU8" s="346" t="e">
        <f>VLOOKUP($AM8,flows!$A$2:$J$4985,AU$2,FALSE)</f>
        <v>#N/A</v>
      </c>
      <c r="AV8" s="346" t="e">
        <f>VLOOKUP($AM8,flows!$A$2:$J$4985,AV$2,FALSE)</f>
        <v>#N/A</v>
      </c>
      <c r="AW8" s="346" t="e">
        <f>VLOOKUP($AM8,flows!$A$2:$J$4985,AW$2,FALSE)</f>
        <v>#N/A</v>
      </c>
      <c r="AZ8" s="26" t="s">
        <v>601</v>
      </c>
      <c r="BA8" s="6" t="s">
        <v>1233</v>
      </c>
      <c r="BB8" s="199" t="s">
        <v>1868</v>
      </c>
      <c r="BC8" s="16" t="e">
        <f>VLOOKUP(AZ8,flows!$A$2:$J$4985,2,FALSE)</f>
        <v>#N/A</v>
      </c>
      <c r="BD8" s="16" t="e">
        <f>VLOOKUP(AZ8,flows!$A$2:$J$4985,3,FALSE)</f>
        <v>#N/A</v>
      </c>
      <c r="BE8" s="16" t="e">
        <f>VLOOKUP(AZ8,flows!$A$2:$J$4985,4,FALSE)</f>
        <v>#N/A</v>
      </c>
      <c r="BF8" s="16" t="e">
        <f>VLOOKUP(AZ8,flows!$A$2:$J$4985,5,FALSE)</f>
        <v>#N/A</v>
      </c>
      <c r="BG8" s="16" t="e">
        <f>VLOOKUP(AZ8,flows!$A$2:$J$4985,6,FALSE)</f>
        <v>#N/A</v>
      </c>
      <c r="BH8" s="16" t="e">
        <f>VLOOKUP(AZ8,flows!$A$2:$J$4985,7,FALSE)</f>
        <v>#N/A</v>
      </c>
      <c r="BI8" s="16" t="e">
        <f>VLOOKUP(AZ8,flows!$A$2:$J$4985,8,FALSE)</f>
        <v>#N/A</v>
      </c>
      <c r="BJ8" s="16" t="e">
        <f>VLOOKUP(AZ8,flows!$A$2:$J$4985,9,FALSE)</f>
        <v>#N/A</v>
      </c>
      <c r="BM8" s="26" t="s">
        <v>39</v>
      </c>
      <c r="BN8" s="6" t="s">
        <v>1187</v>
      </c>
      <c r="BO8" s="199" t="s">
        <v>1877</v>
      </c>
      <c r="BP8" s="16" t="e">
        <f>VLOOKUP(BM8,flows!$A$2:$J$4985,2,FALSE)</f>
        <v>#N/A</v>
      </c>
      <c r="BQ8" s="16" t="e">
        <f>VLOOKUP(BM8,flows!$A$2:$J$4985,3,FALSE)</f>
        <v>#N/A</v>
      </c>
      <c r="BR8" s="16" t="e">
        <f>VLOOKUP(BM8,flows!$A$2:$J$4985,4,FALSE)</f>
        <v>#N/A</v>
      </c>
      <c r="BS8" s="16" t="e">
        <f>VLOOKUP(BM8,flows!$A$2:$J$4985,5,FALSE)</f>
        <v>#N/A</v>
      </c>
      <c r="BT8" s="16" t="e">
        <f>VLOOKUP(BM8,flows!$A$2:$J$4985,6,FALSE)</f>
        <v>#N/A</v>
      </c>
      <c r="BU8" s="16" t="e">
        <f>VLOOKUP(BM8,flows!$A$2:$J$4985,7,FALSE)</f>
        <v>#N/A</v>
      </c>
      <c r="BV8" s="16" t="e">
        <f>VLOOKUP(BM8,flows!$A$2:$J$4985,8,FALSE)</f>
        <v>#N/A</v>
      </c>
      <c r="BW8" s="16" t="e">
        <f>VLOOKUP(BM8,flows!$A$2:$J$4985,9,FALSE)</f>
        <v>#N/A</v>
      </c>
    </row>
    <row r="9" spans="2:75" x14ac:dyDescent="0.35">
      <c r="B9" s="12" t="s">
        <v>1160</v>
      </c>
      <c r="C9" s="204" t="s">
        <v>1815</v>
      </c>
      <c r="D9" s="16" t="e">
        <f>'Wärme - Erzeugung'!AC40+'Wärme - Erzeugung'!BC28+'Wärme - Erzeugung'!BC29+'Wärme - Erzeugung'!BC37+'Wärme - Erzeugung'!BP28+'Wärme - Erzeugung'!BP29+'Wärme - Erzeugung'!BP30+AC42+SUM('Endenergiebedarf nach Sektor'!BK42:BK46)</f>
        <v>#N/A</v>
      </c>
      <c r="E9" s="346" t="e">
        <f>'Wärme - Erzeugung'!AD40+'Wärme - Erzeugung'!BD28+'Wärme - Erzeugung'!BD29+'Wärme - Erzeugung'!BD37+'Wärme - Erzeugung'!BQ28+'Wärme - Erzeugung'!BQ29+'Wärme - Erzeugung'!BQ30+AD42+SUM('Endenergiebedarf nach Sektor'!BL42:BL46)</f>
        <v>#N/A</v>
      </c>
      <c r="F9" s="346" t="e">
        <f>'Wärme - Erzeugung'!AE40+'Wärme - Erzeugung'!BE28+'Wärme - Erzeugung'!BE29+'Wärme - Erzeugung'!BE37+'Wärme - Erzeugung'!BR28+'Wärme - Erzeugung'!BR29+'Wärme - Erzeugung'!BR30+AE42+SUM('Endenergiebedarf nach Sektor'!BM42:BM46)</f>
        <v>#N/A</v>
      </c>
      <c r="G9" s="346" t="e">
        <f>'Wärme - Erzeugung'!AF40+'Wärme - Erzeugung'!BF28+'Wärme - Erzeugung'!BF29+'Wärme - Erzeugung'!BF37+'Wärme - Erzeugung'!BS28+'Wärme - Erzeugung'!BS29+'Wärme - Erzeugung'!BS30+AF42+SUM('Endenergiebedarf nach Sektor'!BN42:BN46)</f>
        <v>#N/A</v>
      </c>
      <c r="H9" s="346" t="e">
        <f>'Wärme - Erzeugung'!AG40+'Wärme - Erzeugung'!BG28+'Wärme - Erzeugung'!BG29+'Wärme - Erzeugung'!BG37+'Wärme - Erzeugung'!BT28+'Wärme - Erzeugung'!BT29+'Wärme - Erzeugung'!BT30+AG42+SUM('Endenergiebedarf nach Sektor'!BO42:BO46)</f>
        <v>#N/A</v>
      </c>
      <c r="I9" s="346" t="e">
        <f>'Wärme - Erzeugung'!AH40+'Wärme - Erzeugung'!BH28+'Wärme - Erzeugung'!BH29+'Wärme - Erzeugung'!BH37+'Wärme - Erzeugung'!BU28+'Wärme - Erzeugung'!BU29+'Wärme - Erzeugung'!BU30+AH42+SUM('Endenergiebedarf nach Sektor'!BP42:BP46)</f>
        <v>#N/A</v>
      </c>
      <c r="J9" s="969" t="e">
        <f>'Wärme - Erzeugung'!AI40+'Wärme - Erzeugung'!BI28+'Wärme - Erzeugung'!BI29+'Wärme - Erzeugung'!BI37+'Wärme - Erzeugung'!BV28+'Wärme - Erzeugung'!BV29+'Wärme - Erzeugung'!BV30+AI42+SUM('Endenergiebedarf nach Sektor'!BQ42:BQ46)</f>
        <v>#N/A</v>
      </c>
      <c r="K9" s="969">
        <v>263944.40827896097</v>
      </c>
      <c r="L9" s="2">
        <v>258657.89639288365</v>
      </c>
      <c r="Z9" s="26" t="s">
        <v>1137</v>
      </c>
      <c r="AA9" s="31" t="s">
        <v>1231</v>
      </c>
      <c r="AB9" s="194" t="s">
        <v>1848</v>
      </c>
      <c r="AC9" s="346" t="e">
        <f>VLOOKUP($Z9,flows!$A$2:$J$4985,AC$2,FALSE)</f>
        <v>#N/A</v>
      </c>
      <c r="AD9" s="346" t="e">
        <f>VLOOKUP($Z9,flows!$A$2:$J$4985,AD$2,FALSE)</f>
        <v>#N/A</v>
      </c>
      <c r="AE9" s="346" t="e">
        <f>VLOOKUP($Z9,flows!$A$2:$J$4985,AE$2,FALSE)</f>
        <v>#N/A</v>
      </c>
      <c r="AF9" s="346" t="e">
        <f>VLOOKUP($Z9,flows!$A$2:$J$4985,AF$2,FALSE)</f>
        <v>#N/A</v>
      </c>
      <c r="AG9" s="346" t="e">
        <f>VLOOKUP($Z9,flows!$A$2:$J$4985,AG$2,FALSE)</f>
        <v>#N/A</v>
      </c>
      <c r="AH9" s="346" t="e">
        <f>VLOOKUP($Z9,flows!$A$2:$J$4985,AH$2,FALSE)</f>
        <v>#N/A</v>
      </c>
      <c r="AI9" s="346" t="e">
        <f>VLOOKUP($Z9,flows!$A$2:$J$4985,AI$2,FALSE)</f>
        <v>#N/A</v>
      </c>
      <c r="AJ9" s="346" t="e">
        <f>VLOOKUP($Z9,flows!$A$2:$J$4985,AJ$2,FALSE)</f>
        <v>#N/A</v>
      </c>
      <c r="AM9" s="5" t="s">
        <v>1125</v>
      </c>
      <c r="AN9" s="6" t="s">
        <v>1262</v>
      </c>
      <c r="AO9" s="199" t="s">
        <v>1864</v>
      </c>
      <c r="AP9" s="346" t="e">
        <f>VLOOKUP($AM9,flows!$A$2:$J$4985,AP$2,FALSE)</f>
        <v>#N/A</v>
      </c>
      <c r="AQ9" s="346" t="e">
        <f>VLOOKUP($AM9,flows!$A$2:$J$4985,AQ$2,FALSE)</f>
        <v>#N/A</v>
      </c>
      <c r="AR9" s="346" t="e">
        <f>VLOOKUP($AM9,flows!$A$2:$J$4985,AR$2,FALSE)</f>
        <v>#N/A</v>
      </c>
      <c r="AS9" s="346" t="e">
        <f>VLOOKUP($AM9,flows!$A$2:$J$4985,AS$2,FALSE)</f>
        <v>#N/A</v>
      </c>
      <c r="AT9" s="346" t="e">
        <f>VLOOKUP($AM9,flows!$A$2:$J$4985,AT$2,FALSE)</f>
        <v>#N/A</v>
      </c>
      <c r="AU9" s="346" t="e">
        <f>VLOOKUP($AM9,flows!$A$2:$J$4985,AU$2,FALSE)</f>
        <v>#N/A</v>
      </c>
      <c r="AV9" s="346" t="e">
        <f>VLOOKUP($AM9,flows!$A$2:$J$4985,AV$2,FALSE)</f>
        <v>#N/A</v>
      </c>
      <c r="AW9" s="346" t="e">
        <f>VLOOKUP($AM9,flows!$A$2:$J$4985,AW$2,FALSE)</f>
        <v>#N/A</v>
      </c>
      <c r="AZ9" s="5" t="s">
        <v>1701</v>
      </c>
      <c r="BA9" s="6" t="s">
        <v>1263</v>
      </c>
      <c r="BB9" s="199" t="s">
        <v>1869</v>
      </c>
      <c r="BC9" s="16" t="e">
        <f>VLOOKUP(AZ9,flows!$A$2:$J$4985,2,FALSE)</f>
        <v>#N/A</v>
      </c>
      <c r="BD9" s="16" t="e">
        <f>VLOOKUP(AZ9,flows!$A$2:$J$4985,3,FALSE)</f>
        <v>#N/A</v>
      </c>
      <c r="BE9" s="16" t="e">
        <f>VLOOKUP(AZ9,flows!$A$2:$J$4985,4,FALSE)</f>
        <v>#N/A</v>
      </c>
      <c r="BF9" s="16" t="e">
        <f>VLOOKUP(AZ9,flows!$A$2:$J$4985,5,FALSE)</f>
        <v>#N/A</v>
      </c>
      <c r="BG9" s="16" t="e">
        <f>VLOOKUP(AZ9,flows!$A$2:$J$4985,6,FALSE)</f>
        <v>#N/A</v>
      </c>
      <c r="BH9" s="16" t="e">
        <f>VLOOKUP(AZ9,flows!$A$2:$J$4985,7,FALSE)</f>
        <v>#N/A</v>
      </c>
      <c r="BI9" s="16" t="e">
        <f>VLOOKUP(AZ9,flows!$A$2:$J$4985,8,FALSE)</f>
        <v>#N/A</v>
      </c>
      <c r="BJ9" s="16" t="e">
        <f>VLOOKUP(AZ9,flows!$A$2:$J$4985,9,FALSE)</f>
        <v>#N/A</v>
      </c>
      <c r="BM9" s="26" t="s">
        <v>40</v>
      </c>
      <c r="BN9" s="13" t="s">
        <v>1188</v>
      </c>
      <c r="BO9" s="204" t="s">
        <v>1878</v>
      </c>
      <c r="BP9" s="16" t="e">
        <f>VLOOKUP(BM9,flows!$A$2:$J$4985,2,FALSE)</f>
        <v>#N/A</v>
      </c>
      <c r="BQ9" s="16" t="e">
        <f>VLOOKUP(BM9,flows!$A$2:$J$4985,3,FALSE)</f>
        <v>#N/A</v>
      </c>
      <c r="BR9" s="16" t="e">
        <f>VLOOKUP(BM9,flows!$A$2:$J$4985,4,FALSE)</f>
        <v>#N/A</v>
      </c>
      <c r="BS9" s="16" t="e">
        <f>VLOOKUP(BM9,flows!$A$2:$J$4985,5,FALSE)</f>
        <v>#N/A</v>
      </c>
      <c r="BT9" s="16" t="e">
        <f>VLOOKUP(BM9,flows!$A$2:$J$4985,6,FALSE)</f>
        <v>#N/A</v>
      </c>
      <c r="BU9" s="16" t="e">
        <f>VLOOKUP(BM9,flows!$A$2:$J$4985,7,FALSE)</f>
        <v>#N/A</v>
      </c>
      <c r="BV9" s="16" t="e">
        <f>VLOOKUP(BM9,flows!$A$2:$J$4985,8,FALSE)</f>
        <v>#N/A</v>
      </c>
      <c r="BW9" s="16" t="e">
        <f>VLOOKUP(BM9,flows!$A$2:$J$4985,9,FALSE)</f>
        <v>#N/A</v>
      </c>
    </row>
    <row r="10" spans="2:75" x14ac:dyDescent="0.35">
      <c r="B10" s="12" t="s">
        <v>1208</v>
      </c>
      <c r="C10" s="204" t="s">
        <v>1524</v>
      </c>
      <c r="D10" s="16" t="e">
        <f>'Wärme - Erzeugung'!AP32+'Wärme - Erzeugung'!AC32+'Endenergiebedarf nach Sektor'!BK96</f>
        <v>#N/A</v>
      </c>
      <c r="E10" s="346" t="e">
        <f>'Wärme - Erzeugung'!AQ32+'Wärme - Erzeugung'!AD32+'Endenergiebedarf nach Sektor'!BL96</f>
        <v>#N/A</v>
      </c>
      <c r="F10" s="346" t="e">
        <f>'Wärme - Erzeugung'!AR32+'Wärme - Erzeugung'!AE32+'Endenergiebedarf nach Sektor'!BM96</f>
        <v>#N/A</v>
      </c>
      <c r="G10" s="346" t="e">
        <f>'Wärme - Erzeugung'!AS32+'Wärme - Erzeugung'!AF32+'Endenergiebedarf nach Sektor'!BN96</f>
        <v>#N/A</v>
      </c>
      <c r="H10" s="346" t="e">
        <f>'Wärme - Erzeugung'!AT32+'Wärme - Erzeugung'!AG32+'Endenergiebedarf nach Sektor'!BO96</f>
        <v>#N/A</v>
      </c>
      <c r="I10" s="346" t="e">
        <f>'Wärme - Erzeugung'!AU32+'Wärme - Erzeugung'!AH32+'Endenergiebedarf nach Sektor'!BP96</f>
        <v>#N/A</v>
      </c>
      <c r="J10" s="346" t="e">
        <f>'Wärme - Erzeugung'!AV32+'Wärme - Erzeugung'!AI32+'Endenergiebedarf nach Sektor'!BQ96</f>
        <v>#N/A</v>
      </c>
      <c r="K10" s="970">
        <v>42004.998299711136</v>
      </c>
      <c r="L10" s="2">
        <v>38582.720876465319</v>
      </c>
      <c r="Z10" s="27" t="s">
        <v>52</v>
      </c>
      <c r="AA10" s="32" t="s">
        <v>1181</v>
      </c>
      <c r="AB10" s="195" t="s">
        <v>1849</v>
      </c>
      <c r="AC10" s="346" t="e">
        <f>VLOOKUP($Z10,flows!$A$2:$J$4985,AC$2,FALSE)</f>
        <v>#N/A</v>
      </c>
      <c r="AD10" s="346" t="e">
        <f>VLOOKUP($Z10,flows!$A$2:$J$4985,AD$2,FALSE)</f>
        <v>#N/A</v>
      </c>
      <c r="AE10" s="346" t="e">
        <f>VLOOKUP($Z10,flows!$A$2:$J$4985,AE$2,FALSE)</f>
        <v>#N/A</v>
      </c>
      <c r="AF10" s="346" t="e">
        <f>VLOOKUP($Z10,flows!$A$2:$J$4985,AF$2,FALSE)</f>
        <v>#N/A</v>
      </c>
      <c r="AG10" s="346" t="e">
        <f>VLOOKUP($Z10,flows!$A$2:$J$4985,AG$2,FALSE)</f>
        <v>#N/A</v>
      </c>
      <c r="AH10" s="346" t="e">
        <f>VLOOKUP($Z10,flows!$A$2:$J$4985,AH$2,FALSE)</f>
        <v>#N/A</v>
      </c>
      <c r="AI10" s="346" t="e">
        <f>VLOOKUP($Z10,flows!$A$2:$J$4985,AI$2,FALSE)</f>
        <v>#N/A</v>
      </c>
      <c r="AJ10" s="346" t="e">
        <f>VLOOKUP($Z10,flows!$A$2:$J$4985,AJ$2,FALSE)</f>
        <v>#N/A</v>
      </c>
      <c r="AM10" s="12" t="s">
        <v>32</v>
      </c>
      <c r="AN10" s="13" t="s">
        <v>59</v>
      </c>
      <c r="AO10" s="204" t="s">
        <v>1865</v>
      </c>
      <c r="AP10" s="346" t="e">
        <f>VLOOKUP($AM10,flows!$A$2:$J$4985,AP$2,FALSE)</f>
        <v>#N/A</v>
      </c>
      <c r="AQ10" s="346" t="e">
        <f>VLOOKUP($AM10,flows!$A$2:$J$4985,AQ$2,FALSE)</f>
        <v>#N/A</v>
      </c>
      <c r="AR10" s="346" t="e">
        <f>VLOOKUP($AM10,flows!$A$2:$J$4985,AR$2,FALSE)</f>
        <v>#N/A</v>
      </c>
      <c r="AS10" s="346" t="e">
        <f>VLOOKUP($AM10,flows!$A$2:$J$4985,AS$2,FALSE)</f>
        <v>#N/A</v>
      </c>
      <c r="AT10" s="346" t="e">
        <f>VLOOKUP($AM10,flows!$A$2:$J$4985,AT$2,FALSE)</f>
        <v>#N/A</v>
      </c>
      <c r="AU10" s="346" t="e">
        <f>VLOOKUP($AM10,flows!$A$2:$J$4985,AU$2,FALSE)</f>
        <v>#N/A</v>
      </c>
      <c r="AV10" s="346" t="e">
        <f>VLOOKUP($AM10,flows!$A$2:$J$4985,AV$2,FALSE)</f>
        <v>#N/A</v>
      </c>
      <c r="AW10" s="346" t="e">
        <f>VLOOKUP($AM10,flows!$A$2:$J$4985,AW$2,FALSE)</f>
        <v>#N/A</v>
      </c>
      <c r="AZ10" s="26" t="s">
        <v>1128</v>
      </c>
      <c r="BA10" s="6" t="s">
        <v>1234</v>
      </c>
      <c r="BB10" s="199" t="s">
        <v>1873</v>
      </c>
      <c r="BC10" s="16" t="e">
        <f>VLOOKUP(AZ10,flows!$A$2:$J$4985,2,FALSE)</f>
        <v>#N/A</v>
      </c>
      <c r="BD10" s="16" t="e">
        <f>VLOOKUP(AZ10,flows!$A$2:$J$4985,3,FALSE)</f>
        <v>#N/A</v>
      </c>
      <c r="BE10" s="16" t="e">
        <f>VLOOKUP(AZ10,flows!$A$2:$J$4985,4,FALSE)</f>
        <v>#N/A</v>
      </c>
      <c r="BF10" s="16" t="e">
        <f>VLOOKUP(AZ10,flows!$A$2:$J$4985,5,FALSE)</f>
        <v>#N/A</v>
      </c>
      <c r="BG10" s="16" t="e">
        <f>VLOOKUP(AZ10,flows!$A$2:$J$4985,6,FALSE)</f>
        <v>#N/A</v>
      </c>
      <c r="BH10" s="16" t="e">
        <f>VLOOKUP(AZ10,flows!$A$2:$J$4985,7,FALSE)</f>
        <v>#N/A</v>
      </c>
      <c r="BI10" s="16" t="e">
        <f>VLOOKUP(AZ10,flows!$A$2:$J$4985,8,FALSE)</f>
        <v>#N/A</v>
      </c>
      <c r="BJ10" s="16" t="e">
        <f>VLOOKUP(AZ10,flows!$A$2:$J$4985,9,FALSE)</f>
        <v>#N/A</v>
      </c>
      <c r="BM10" s="26" t="s">
        <v>1005</v>
      </c>
      <c r="BN10" s="6" t="s">
        <v>1236</v>
      </c>
      <c r="BO10" s="199" t="s">
        <v>1879</v>
      </c>
      <c r="BP10" s="16" t="e">
        <f>VLOOKUP(BM10,flows!$A$2:$J$4985,2,FALSE)</f>
        <v>#N/A</v>
      </c>
      <c r="BQ10" s="16" t="e">
        <f>VLOOKUP(BM10,flows!$A$2:$J$4985,3,FALSE)</f>
        <v>#N/A</v>
      </c>
      <c r="BR10" s="16" t="e">
        <f>VLOOKUP(BM10,flows!$A$2:$J$4985,4,FALSE)</f>
        <v>#N/A</v>
      </c>
      <c r="BS10" s="16" t="e">
        <f>VLOOKUP(BM10,flows!$A$2:$J$4985,5,FALSE)</f>
        <v>#N/A</v>
      </c>
      <c r="BT10" s="16" t="e">
        <f>VLOOKUP(BM10,flows!$A$2:$J$4985,6,FALSE)</f>
        <v>#N/A</v>
      </c>
      <c r="BU10" s="16" t="e">
        <f>VLOOKUP(BM10,flows!$A$2:$J$4985,7,FALSE)</f>
        <v>#N/A</v>
      </c>
      <c r="BV10" s="16" t="e">
        <f>VLOOKUP(BM10,flows!$A$2:$J$4985,8,FALSE)</f>
        <v>#N/A</v>
      </c>
      <c r="BW10" s="16" t="e">
        <f>VLOOKUP(BM10,flows!$A$2:$J$4985,9,FALSE)</f>
        <v>#N/A</v>
      </c>
    </row>
    <row r="11" spans="2:75" ht="14.5" thickBot="1" x14ac:dyDescent="0.4">
      <c r="B11" s="12" t="s">
        <v>1209</v>
      </c>
      <c r="C11" s="204" t="s">
        <v>1885</v>
      </c>
      <c r="D11" s="16" t="e">
        <f>('Wärme - Erzeugung'!AC29+'Wärme - Erzeugung'!AC30+'Wärme - Erzeugung'!AC31+'Wärme - Erzeugung'!AC33+'Wärme - Erzeugung'!AC34+'Wärme - Erzeugung'!AP31+'Wärme - Erzeugung'!BC35+'Wärme - Erzeugung'!AP30+'Wärme - Erzeugung'!BC33+'Wärme - Erzeugung'!BC32+'Wärme - Erzeugung'!BC34+'Wärme - Erzeugung'!BC36+'Wärme - Erzeugung'!BC40+'Wärme - Erzeugung'!BP34+'Wärme - Erzeugung'!BP35+'Wärme - Erzeugung'!BP36+(Papierindustrie!D42-Papierindustrie!D59)+((Papierindustrie!D41-Papierindustrie!D58)*(Papierindustrie!D28/(Papierindustrie!D28+Papierindustrie!D20))))+((AC27+AC36+AC41+AP28+AP29+BC31+BP32+BP33+SUM('Endenergiebedarf nach Sektor'!BK57:BK63)+Papierindustrie!D45+(Papierindustrie!D39*(Papierindustrie!D27/(Papierindustrie!D27+Papierindustrie!D19))))*Erdgas!F16)</f>
        <v>#N/A</v>
      </c>
      <c r="E11" s="346" t="e">
        <f>('Wärme - Erzeugung'!AD29+'Wärme - Erzeugung'!AD30+'Wärme - Erzeugung'!AD31+'Wärme - Erzeugung'!AD33+'Wärme - Erzeugung'!AD34+'Wärme - Erzeugung'!AQ31+'Wärme - Erzeugung'!BD35+'Wärme - Erzeugung'!AQ30+'Wärme - Erzeugung'!BD33+'Wärme - Erzeugung'!BD32+'Wärme - Erzeugung'!BD34+'Wärme - Erzeugung'!BD36+'Wärme - Erzeugung'!BD40+'Wärme - Erzeugung'!BQ34+'Wärme - Erzeugung'!BQ35+'Wärme - Erzeugung'!BQ36+(Papierindustrie!E42-Papierindustrie!E59)+((Papierindustrie!E41-Papierindustrie!E58)*(Papierindustrie!E28/(Papierindustrie!E28+Papierindustrie!E20))))+((AD27+AD36+AD41+AQ28+AQ29+BD31+BQ32+BQ33+SUM('Endenergiebedarf nach Sektor'!BL57:BL63)+Papierindustrie!E45+(Papierindustrie!E39*(Papierindustrie!E27/(Papierindustrie!E27+Papierindustrie!E19))))*Erdgas!G16)</f>
        <v>#N/A</v>
      </c>
      <c r="F11" s="346" t="e">
        <f>('Wärme - Erzeugung'!AE29+'Wärme - Erzeugung'!AE30+'Wärme - Erzeugung'!AE31+'Wärme - Erzeugung'!AE33+'Wärme - Erzeugung'!AE34+'Wärme - Erzeugung'!AR31+'Wärme - Erzeugung'!BE35+'Wärme - Erzeugung'!AR30+'Wärme - Erzeugung'!BE33+'Wärme - Erzeugung'!BE32+'Wärme - Erzeugung'!BE34+'Wärme - Erzeugung'!BE36+'Wärme - Erzeugung'!BE40+'Wärme - Erzeugung'!BR34+'Wärme - Erzeugung'!BR35+'Wärme - Erzeugung'!BR36+(Papierindustrie!F42-Papierindustrie!F59)+((Papierindustrie!F41-Papierindustrie!F58)*(Papierindustrie!F28/(Papierindustrie!F28+Papierindustrie!F20))))+((AE27+AE36+AE41+AR28+AR29+BE31+BR32+BR33+SUM('Endenergiebedarf nach Sektor'!BM57:BM63)+Papierindustrie!F45+(Papierindustrie!F39*(Papierindustrie!F27/(Papierindustrie!F27+Papierindustrie!F19))))*Erdgas!H16)</f>
        <v>#N/A</v>
      </c>
      <c r="G11" s="346" t="e">
        <f>('Wärme - Erzeugung'!AF29+'Wärme - Erzeugung'!AF30+'Wärme - Erzeugung'!AF31+'Wärme - Erzeugung'!AF33+'Wärme - Erzeugung'!AF34+'Wärme - Erzeugung'!AS31+'Wärme - Erzeugung'!BF35+'Wärme - Erzeugung'!AS30+'Wärme - Erzeugung'!BF33+'Wärme - Erzeugung'!BF32+'Wärme - Erzeugung'!BF34+'Wärme - Erzeugung'!BF36+'Wärme - Erzeugung'!BF40+'Wärme - Erzeugung'!BS34+'Wärme - Erzeugung'!BS35+'Wärme - Erzeugung'!BS36+(Papierindustrie!G42-Papierindustrie!G59)+((Papierindustrie!G41-Papierindustrie!G58)*(Papierindustrie!G28/(Papierindustrie!G28+Papierindustrie!G20))))+((AF27+AF36+AF41+AS28+AS29+BF31+BS32+BS33+SUM('Endenergiebedarf nach Sektor'!BN57:BN63)+Papierindustrie!G45+(Papierindustrie!G39*(Papierindustrie!G27/(Papierindustrie!G27+Papierindustrie!G19))))*Erdgas!I16)</f>
        <v>#N/A</v>
      </c>
      <c r="H11" s="346" t="e">
        <f>('Wärme - Erzeugung'!AG29+'Wärme - Erzeugung'!AG30+'Wärme - Erzeugung'!AG31+'Wärme - Erzeugung'!AG33+'Wärme - Erzeugung'!AG34+'Wärme - Erzeugung'!AT31+'Wärme - Erzeugung'!BG35+'Wärme - Erzeugung'!AT30+'Wärme - Erzeugung'!BG33+'Wärme - Erzeugung'!BG32+'Wärme - Erzeugung'!BG34+'Wärme - Erzeugung'!BG36+'Wärme - Erzeugung'!BG40+'Wärme - Erzeugung'!BT34+'Wärme - Erzeugung'!BT35+'Wärme - Erzeugung'!BT36+(Papierindustrie!H42-Papierindustrie!H59)+((Papierindustrie!H41-Papierindustrie!H58)*(Papierindustrie!H28/(Papierindustrie!H28+Papierindustrie!H20))))+((AG27+AG36+AG41+AT28+AT29+BG31+BT32+BT33+SUM('Endenergiebedarf nach Sektor'!BO57:BO63)+Papierindustrie!H45+(Papierindustrie!H39*(Papierindustrie!H27/(Papierindustrie!H27+Papierindustrie!H19))))*Erdgas!J16)</f>
        <v>#N/A</v>
      </c>
      <c r="I11" s="346" t="e">
        <f>('Wärme - Erzeugung'!AH29+'Wärme - Erzeugung'!AH30+'Wärme - Erzeugung'!AH31+'Wärme - Erzeugung'!AH33+'Wärme - Erzeugung'!AH34+'Wärme - Erzeugung'!AU31+'Wärme - Erzeugung'!BH35+'Wärme - Erzeugung'!AU30+'Wärme - Erzeugung'!BH33+'Wärme - Erzeugung'!BH32+'Wärme - Erzeugung'!BH34+'Wärme - Erzeugung'!BH36+'Wärme - Erzeugung'!BH40+'Wärme - Erzeugung'!BU34+'Wärme - Erzeugung'!BU35+'Wärme - Erzeugung'!BU36+(Papierindustrie!I42-Papierindustrie!I59)+((Papierindustrie!I41-Papierindustrie!I58)*(Papierindustrie!I28/(Papierindustrie!I28+Papierindustrie!I20))))+((AH27+AH36+AH41+AU28+AU29+BH31+BU32+BU33+SUM('Endenergiebedarf nach Sektor'!BP57:BP63)+Papierindustrie!I45+(Papierindustrie!I39*(Papierindustrie!I27/(Papierindustrie!I27+Papierindustrie!I19))))*Erdgas!K16)</f>
        <v>#N/A</v>
      </c>
      <c r="J11" s="346" t="e">
        <f>('Wärme - Erzeugung'!AI29+'Wärme - Erzeugung'!AI30+'Wärme - Erzeugung'!AI31+'Wärme - Erzeugung'!AI33+'Wärme - Erzeugung'!AI34+'Wärme - Erzeugung'!AV31+'Wärme - Erzeugung'!BI35+'Wärme - Erzeugung'!AV30+'Wärme - Erzeugung'!BI33+'Wärme - Erzeugung'!BI32+'Wärme - Erzeugung'!BI34+'Wärme - Erzeugung'!BI36+'Wärme - Erzeugung'!BI40+'Wärme - Erzeugung'!BV34+'Wärme - Erzeugung'!BV35+'Wärme - Erzeugung'!BV36+(Papierindustrie!J42-Papierindustrie!J59)+((Papierindustrie!J41-Papierindustrie!J58)*(Papierindustrie!J28/(Papierindustrie!J28+Papierindustrie!J20))))+((AI27+AI36+AI41+AV28+AV29+BI31+BV32+BV33+SUM('Endenergiebedarf nach Sektor'!BQ57:BQ63)+Papierindustrie!J45+(Papierindustrie!J39*(Papierindustrie!J27/(Papierindustrie!J27+Papierindustrie!J19))))*Erdgas!L16)</f>
        <v>#N/A</v>
      </c>
      <c r="K11" s="970">
        <v>270847.71559387312</v>
      </c>
      <c r="L11" s="2">
        <v>296977.85700298107</v>
      </c>
      <c r="Z11" s="26" t="s">
        <v>593</v>
      </c>
      <c r="AA11" s="31" t="s">
        <v>177</v>
      </c>
      <c r="AB11" s="194" t="s">
        <v>1850</v>
      </c>
      <c r="AC11" s="346" t="e">
        <f>VLOOKUP($Z11,flows!$A$2:$J$4985,AC$2,FALSE)</f>
        <v>#N/A</v>
      </c>
      <c r="AD11" s="346" t="e">
        <f>VLOOKUP($Z11,flows!$A$2:$J$4985,AD$2,FALSE)</f>
        <v>#N/A</v>
      </c>
      <c r="AE11" s="346" t="e">
        <f>VLOOKUP($Z11,flows!$A$2:$J$4985,AE$2,FALSE)</f>
        <v>#N/A</v>
      </c>
      <c r="AF11" s="346" t="e">
        <f>VLOOKUP($Z11,flows!$A$2:$J$4985,AF$2,FALSE)</f>
        <v>#N/A</v>
      </c>
      <c r="AG11" s="346" t="e">
        <f>VLOOKUP($Z11,flows!$A$2:$J$4985,AG$2,FALSE)</f>
        <v>#N/A</v>
      </c>
      <c r="AH11" s="346" t="e">
        <f>VLOOKUP($Z11,flows!$A$2:$J$4985,AH$2,FALSE)</f>
        <v>#N/A</v>
      </c>
      <c r="AI11" s="346" t="e">
        <f>VLOOKUP($Z11,flows!$A$2:$J$4985,AI$2,FALSE)</f>
        <v>#N/A</v>
      </c>
      <c r="AJ11" s="346" t="e">
        <f>VLOOKUP($Z11,flows!$A$2:$J$4985,AJ$2,FALSE)</f>
        <v>#N/A</v>
      </c>
      <c r="AM11" s="8" t="s">
        <v>29</v>
      </c>
      <c r="AN11" s="34" t="s">
        <v>15</v>
      </c>
      <c r="AO11" s="211" t="s">
        <v>1866</v>
      </c>
      <c r="AP11" s="346" t="e">
        <f>VLOOKUP($AM11,flows!$A$2:$J$4985,AP$2,FALSE)</f>
        <v>#N/A</v>
      </c>
      <c r="AQ11" s="346" t="e">
        <f>VLOOKUP($AM11,flows!$A$2:$J$4985,AQ$2,FALSE)</f>
        <v>#N/A</v>
      </c>
      <c r="AR11" s="346" t="e">
        <f>VLOOKUP($AM11,flows!$A$2:$J$4985,AR$2,FALSE)</f>
        <v>#N/A</v>
      </c>
      <c r="AS11" s="346" t="e">
        <f>VLOOKUP($AM11,flows!$A$2:$J$4985,AS$2,FALSE)</f>
        <v>#N/A</v>
      </c>
      <c r="AT11" s="346" t="e">
        <f>VLOOKUP($AM11,flows!$A$2:$J$4985,AT$2,FALSE)</f>
        <v>#N/A</v>
      </c>
      <c r="AU11" s="346" t="e">
        <f>VLOOKUP($AM11,flows!$A$2:$J$4985,AU$2,FALSE)</f>
        <v>#N/A</v>
      </c>
      <c r="AV11" s="346" t="e">
        <f>VLOOKUP($AM11,flows!$A$2:$J$4985,AV$2,FALSE)</f>
        <v>#N/A</v>
      </c>
      <c r="AW11" s="346" t="e">
        <f>VLOOKUP($AM11,flows!$A$2:$J$4985,AW$2,FALSE)</f>
        <v>#N/A</v>
      </c>
      <c r="AZ11" s="5" t="s">
        <v>1754</v>
      </c>
      <c r="BA11" s="6" t="s">
        <v>1261</v>
      </c>
      <c r="BB11" s="199" t="s">
        <v>1870</v>
      </c>
      <c r="BC11" s="16" t="e">
        <f>VLOOKUP(AZ11,flows!$A$2:$J$4985,2,FALSE)</f>
        <v>#N/A</v>
      </c>
      <c r="BD11" s="16" t="e">
        <f>VLOOKUP(AZ11,flows!$A$2:$J$4985,3,FALSE)</f>
        <v>#N/A</v>
      </c>
      <c r="BE11" s="16" t="e">
        <f>VLOOKUP(AZ11,flows!$A$2:$J$4985,4,FALSE)</f>
        <v>#N/A</v>
      </c>
      <c r="BF11" s="16" t="e">
        <f>VLOOKUP(AZ11,flows!$A$2:$J$4985,5,FALSE)</f>
        <v>#N/A</v>
      </c>
      <c r="BG11" s="16" t="e">
        <f>VLOOKUP(AZ11,flows!$A$2:$J$4985,6,FALSE)</f>
        <v>#N/A</v>
      </c>
      <c r="BH11" s="16" t="e">
        <f>VLOOKUP(AZ11,flows!$A$2:$J$4985,7,FALSE)</f>
        <v>#N/A</v>
      </c>
      <c r="BI11" s="16" t="e">
        <f>VLOOKUP(AZ11,flows!$A$2:$J$4985,8,FALSE)</f>
        <v>#N/A</v>
      </c>
      <c r="BJ11" s="16" t="e">
        <f>VLOOKUP(AZ11,flows!$A$2:$J$4985,9,FALSE)</f>
        <v>#N/A</v>
      </c>
      <c r="BM11" s="27" t="s">
        <v>1007</v>
      </c>
      <c r="BN11" s="6" t="s">
        <v>1242</v>
      </c>
      <c r="BO11" s="199" t="s">
        <v>1880</v>
      </c>
      <c r="BP11" s="16" t="e">
        <f>VLOOKUP(BM11,flows!$A$2:$J$4985,2,FALSE)</f>
        <v>#N/A</v>
      </c>
      <c r="BQ11" s="16" t="e">
        <f>VLOOKUP(BM11,flows!$A$2:$J$4985,3,FALSE)</f>
        <v>#N/A</v>
      </c>
      <c r="BR11" s="16" t="e">
        <f>VLOOKUP(BM11,flows!$A$2:$J$4985,4,FALSE)</f>
        <v>#N/A</v>
      </c>
      <c r="BS11" s="16" t="e">
        <f>VLOOKUP(BM11,flows!$A$2:$J$4985,5,FALSE)</f>
        <v>#N/A</v>
      </c>
      <c r="BT11" s="16" t="e">
        <f>VLOOKUP(BM11,flows!$A$2:$J$4985,6,FALSE)</f>
        <v>#N/A</v>
      </c>
      <c r="BU11" s="16" t="e">
        <f>VLOOKUP(BM11,flows!$A$2:$J$4985,7,FALSE)</f>
        <v>#N/A</v>
      </c>
      <c r="BV11" s="16" t="e">
        <f>VLOOKUP(BM11,flows!$A$2:$J$4985,8,FALSE)</f>
        <v>#N/A</v>
      </c>
      <c r="BW11" s="16" t="e">
        <f>VLOOKUP(BM11,flows!$A$2:$J$4985,9,FALSE)</f>
        <v>#N/A</v>
      </c>
    </row>
    <row r="12" spans="2:75" ht="14.5" thickBot="1" x14ac:dyDescent="0.4">
      <c r="B12" s="14" t="s">
        <v>1210</v>
      </c>
      <c r="C12" s="35" t="s">
        <v>1210</v>
      </c>
      <c r="D12" s="17" t="e">
        <f>'Wärme - Erzeugung'!BP39</f>
        <v>#N/A</v>
      </c>
      <c r="E12" s="17" t="e">
        <f>'Wärme - Erzeugung'!BQ39</f>
        <v>#N/A</v>
      </c>
      <c r="F12" s="17" t="e">
        <f>'Wärme - Erzeugung'!BR39</f>
        <v>#N/A</v>
      </c>
      <c r="G12" s="17" t="e">
        <f>'Wärme - Erzeugung'!BS39</f>
        <v>#N/A</v>
      </c>
      <c r="H12" s="17" t="e">
        <f>'Wärme - Erzeugung'!BT39</f>
        <v>#N/A</v>
      </c>
      <c r="I12" s="17" t="e">
        <f>'Wärme - Erzeugung'!BU39</f>
        <v>#N/A</v>
      </c>
      <c r="J12" s="17" t="e">
        <f>'Wärme - Erzeugung'!BV39</f>
        <v>#N/A</v>
      </c>
      <c r="K12" s="971">
        <v>2235.3808780035779</v>
      </c>
      <c r="L12" s="2">
        <v>67.555149753976579</v>
      </c>
      <c r="Z12" s="26" t="s">
        <v>595</v>
      </c>
      <c r="AA12" s="31" t="s">
        <v>178</v>
      </c>
      <c r="AB12" s="194" t="s">
        <v>1851</v>
      </c>
      <c r="AC12" s="346" t="e">
        <f>VLOOKUP($Z12,flows!$A$2:$J$4985,AC$2,FALSE)</f>
        <v>#N/A</v>
      </c>
      <c r="AD12" s="346" t="e">
        <f>VLOOKUP($Z12,flows!$A$2:$J$4985,AD$2,FALSE)</f>
        <v>#N/A</v>
      </c>
      <c r="AE12" s="346" t="e">
        <f>VLOOKUP($Z12,flows!$A$2:$J$4985,AE$2,FALSE)</f>
        <v>#N/A</v>
      </c>
      <c r="AF12" s="346" t="e">
        <f>VLOOKUP($Z12,flows!$A$2:$J$4985,AF$2,FALSE)</f>
        <v>#N/A</v>
      </c>
      <c r="AG12" s="346" t="e">
        <f>VLOOKUP($Z12,flows!$A$2:$J$4985,AG$2,FALSE)</f>
        <v>#N/A</v>
      </c>
      <c r="AH12" s="346" t="e">
        <f>VLOOKUP($Z12,flows!$A$2:$J$4985,AH$2,FALSE)</f>
        <v>#N/A</v>
      </c>
      <c r="AI12" s="346" t="e">
        <f>VLOOKUP($Z12,flows!$A$2:$J$4985,AI$2,FALSE)</f>
        <v>#N/A</v>
      </c>
      <c r="AJ12" s="346" t="e">
        <f>VLOOKUP($Z12,flows!$A$2:$J$4985,AJ$2,FALSE)</f>
        <v>#N/A</v>
      </c>
      <c r="AM12" s="31"/>
      <c r="AN12" s="31"/>
      <c r="AO12" s="194"/>
      <c r="AP12" s="13"/>
      <c r="AQ12" s="13"/>
      <c r="AR12" s="13"/>
      <c r="AS12" s="13"/>
      <c r="AT12" s="13"/>
      <c r="AU12" s="13"/>
      <c r="AV12" s="13"/>
      <c r="AW12" s="13"/>
      <c r="AZ12" s="26" t="s">
        <v>1071</v>
      </c>
      <c r="BA12" s="6" t="s">
        <v>1235</v>
      </c>
      <c r="BB12" s="199" t="s">
        <v>1874</v>
      </c>
      <c r="BC12" s="16" t="e">
        <f>VLOOKUP(AZ12,flows!$A$2:$J$4985,2,FALSE)</f>
        <v>#N/A</v>
      </c>
      <c r="BD12" s="16" t="e">
        <f>VLOOKUP(AZ12,flows!$A$2:$J$4985,3,FALSE)</f>
        <v>#N/A</v>
      </c>
      <c r="BE12" s="16" t="e">
        <f>VLOOKUP(AZ12,flows!$A$2:$J$4985,4,FALSE)</f>
        <v>#N/A</v>
      </c>
      <c r="BF12" s="16" t="e">
        <f>VLOOKUP(AZ12,flows!$A$2:$J$4985,5,FALSE)</f>
        <v>#N/A</v>
      </c>
      <c r="BG12" s="16" t="e">
        <f>VLOOKUP(AZ12,flows!$A$2:$J$4985,6,FALSE)</f>
        <v>#N/A</v>
      </c>
      <c r="BH12" s="16" t="e">
        <f>VLOOKUP(AZ12,flows!$A$2:$J$4985,7,FALSE)</f>
        <v>#N/A</v>
      </c>
      <c r="BI12" s="16" t="e">
        <f>VLOOKUP(AZ12,flows!$A$2:$J$4985,8,FALSE)</f>
        <v>#N/A</v>
      </c>
      <c r="BJ12" s="16" t="e">
        <f>VLOOKUP(AZ12,flows!$A$2:$J$4985,9,FALSE)</f>
        <v>#N/A</v>
      </c>
      <c r="BM12" s="26" t="s">
        <v>1144</v>
      </c>
      <c r="BN12" s="6" t="s">
        <v>1243</v>
      </c>
      <c r="BO12" s="199" t="s">
        <v>1881</v>
      </c>
      <c r="BP12" s="16" t="e">
        <f>VLOOKUP(BM12,flows!$A$2:$J$4985,2,FALSE)</f>
        <v>#N/A</v>
      </c>
      <c r="BQ12" s="16" t="e">
        <f>VLOOKUP(BM12,flows!$A$2:$J$4985,3,FALSE)</f>
        <v>#N/A</v>
      </c>
      <c r="BR12" s="16" t="e">
        <f>VLOOKUP(BM12,flows!$A$2:$J$4985,4,FALSE)</f>
        <v>#N/A</v>
      </c>
      <c r="BS12" s="16" t="e">
        <f>VLOOKUP(BM12,flows!$A$2:$J$4985,5,FALSE)</f>
        <v>#N/A</v>
      </c>
      <c r="BT12" s="16" t="e">
        <f>VLOOKUP(BM12,flows!$A$2:$J$4985,6,FALSE)</f>
        <v>#N/A</v>
      </c>
      <c r="BU12" s="16" t="e">
        <f>VLOOKUP(BM12,flows!$A$2:$J$4985,7,FALSE)</f>
        <v>#N/A</v>
      </c>
      <c r="BV12" s="16" t="e">
        <f>VLOOKUP(BM12,flows!$A$2:$J$4985,8,FALSE)</f>
        <v>#N/A</v>
      </c>
      <c r="BW12" s="16" t="e">
        <f>VLOOKUP(BM12,flows!$A$2:$J$4985,9,FALSE)</f>
        <v>#N/A</v>
      </c>
    </row>
    <row r="13" spans="2:75" ht="14.5" x14ac:dyDescent="0.35">
      <c r="C13" s="286" t="s">
        <v>2213</v>
      </c>
      <c r="D13" s="288" t="e">
        <f>(D8*'Wasserstoff - Produktion'!E20+D9*'Strom - Flows'!Q127+D11+D12)/SUM(D4:D12)</f>
        <v>#N/A</v>
      </c>
      <c r="E13" s="288" t="e">
        <f>(E8*'Wasserstoff - Produktion'!F20+E9*'Strom - Flows'!R127+E11+E12)/SUM(E4:E12)</f>
        <v>#N/A</v>
      </c>
      <c r="F13" s="288" t="e">
        <f>(F8*'Wasserstoff - Produktion'!G20+F9*'Strom - Flows'!S127+F11+F12)/SUM(F4:F12)</f>
        <v>#N/A</v>
      </c>
      <c r="G13" s="288" t="e">
        <f>(G8*'Wasserstoff - Produktion'!H20+G9*'Strom - Flows'!T127+G11+G12)/SUM(G4:G12)</f>
        <v>#N/A</v>
      </c>
      <c r="H13" s="288" t="e">
        <f>(H8*'Wasserstoff - Produktion'!I20+H9*'Strom - Flows'!U127+H11+H12)/SUM(H4:H12)</f>
        <v>#N/A</v>
      </c>
      <c r="I13" s="288" t="e">
        <f>(I8*'Wasserstoff - Produktion'!J20+I9*'Strom - Flows'!V127+I11+I12)/SUM(I4:I12)</f>
        <v>#N/A</v>
      </c>
      <c r="J13" s="288" t="e">
        <f>(J8*'Wasserstoff - Produktion'!K20+J9*'Strom - Flows'!W127+J11+J12)/SUM(J4:J12)</f>
        <v>#N/A</v>
      </c>
      <c r="K13" s="288" t="e">
        <f>(K8*'Wasserstoff - Produktion'!L20+K9*'Strom - Flows'!X127+K11+K12)/SUM(K4:K12)</f>
        <v>#N/A</v>
      </c>
      <c r="L13" s="132"/>
      <c r="Z13" s="26" t="s">
        <v>651</v>
      </c>
      <c r="AA13" s="31" t="s">
        <v>209</v>
      </c>
      <c r="AB13" s="194" t="s">
        <v>1852</v>
      </c>
      <c r="AC13" s="346" t="e">
        <f>VLOOKUP($Z13,flows!$A$2:$J$4985,AC$2,FALSE)</f>
        <v>#N/A</v>
      </c>
      <c r="AD13" s="346" t="e">
        <f>VLOOKUP($Z13,flows!$A$2:$J$4985,AD$2,FALSE)</f>
        <v>#N/A</v>
      </c>
      <c r="AE13" s="346" t="e">
        <f>VLOOKUP($Z13,flows!$A$2:$J$4985,AE$2,FALSE)</f>
        <v>#N/A</v>
      </c>
      <c r="AF13" s="346" t="e">
        <f>VLOOKUP($Z13,flows!$A$2:$J$4985,AF$2,FALSE)</f>
        <v>#N/A</v>
      </c>
      <c r="AG13" s="346" t="e">
        <f>VLOOKUP($Z13,flows!$A$2:$J$4985,AG$2,FALSE)</f>
        <v>#N/A</v>
      </c>
      <c r="AH13" s="346" t="e">
        <f>VLOOKUP($Z13,flows!$A$2:$J$4985,AH$2,FALSE)</f>
        <v>#N/A</v>
      </c>
      <c r="AI13" s="346" t="e">
        <f>VLOOKUP($Z13,flows!$A$2:$J$4985,AI$2,FALSE)</f>
        <v>#N/A</v>
      </c>
      <c r="AJ13" s="346" t="e">
        <f>VLOOKUP($Z13,flows!$A$2:$J$4985,AJ$2,FALSE)</f>
        <v>#N/A</v>
      </c>
      <c r="AM13" s="31"/>
      <c r="AO13" s="63" t="s">
        <v>1712</v>
      </c>
      <c r="AP13" s="69" t="e">
        <f>'Wärme - Gesamtverbrauch'!Q7/('Wärme - Gesamtverbrauch'!Q6+'Wärme - Gesamtverbrauch'!Q7)</f>
        <v>#N/A</v>
      </c>
      <c r="AQ13" s="69" t="e">
        <f>'Wärme - Gesamtverbrauch'!R7/('Wärme - Gesamtverbrauch'!R6+'Wärme - Gesamtverbrauch'!R7)</f>
        <v>#N/A</v>
      </c>
      <c r="AR13" s="69" t="e">
        <f>'Wärme - Gesamtverbrauch'!S7/('Wärme - Gesamtverbrauch'!S6+'Wärme - Gesamtverbrauch'!S7)</f>
        <v>#N/A</v>
      </c>
      <c r="AS13" s="69" t="e">
        <f>'Wärme - Gesamtverbrauch'!T7/('Wärme - Gesamtverbrauch'!T6+'Wärme - Gesamtverbrauch'!T7)</f>
        <v>#N/A</v>
      </c>
      <c r="AT13" s="69" t="e">
        <f>'Wärme - Gesamtverbrauch'!U7/('Wärme - Gesamtverbrauch'!U6+'Wärme - Gesamtverbrauch'!U7)</f>
        <v>#N/A</v>
      </c>
      <c r="AU13" s="69" t="e">
        <f>'Wärme - Gesamtverbrauch'!V7/('Wärme - Gesamtverbrauch'!V6+'Wärme - Gesamtverbrauch'!V7)</f>
        <v>#N/A</v>
      </c>
      <c r="AV13" s="69" t="e">
        <f>'Wärme - Gesamtverbrauch'!W7/('Wärme - Gesamtverbrauch'!W6+'Wärme - Gesamtverbrauch'!W7)</f>
        <v>#N/A</v>
      </c>
      <c r="AW13" s="399" t="e">
        <f>'Wärme - Gesamtverbrauch'!X7/('Wärme - Gesamtverbrauch'!X6+'Wärme - Gesamtverbrauch'!X7)</f>
        <v>#N/A</v>
      </c>
      <c r="AZ13" s="27" t="s">
        <v>33</v>
      </c>
      <c r="BA13" s="13" t="s">
        <v>1184</v>
      </c>
      <c r="BB13" s="204" t="s">
        <v>1871</v>
      </c>
      <c r="BC13" s="16" t="e">
        <f>VLOOKUP(AZ13,flows!$A$2:$J$4985,2,FALSE)</f>
        <v>#N/A</v>
      </c>
      <c r="BD13" s="346" t="e">
        <f>VLOOKUP(AZ13,flows!$A$2:$J$4985,3,FALSE)</f>
        <v>#N/A</v>
      </c>
      <c r="BE13" s="346" t="e">
        <f>VLOOKUP(AZ13,flows!$A$2:$J$4985,4,FALSE)</f>
        <v>#N/A</v>
      </c>
      <c r="BF13" s="346" t="e">
        <f>VLOOKUP(AZ13,flows!$A$2:$J$4985,5,FALSE)</f>
        <v>#N/A</v>
      </c>
      <c r="BG13" s="346" t="e">
        <f>VLOOKUP(AZ13,flows!$A$2:$J$4985,6,FALSE)</f>
        <v>#N/A</v>
      </c>
      <c r="BH13" s="346" t="e">
        <f>VLOOKUP(AZ13,flows!$A$2:$J$4985,7,FALSE)</f>
        <v>#N/A</v>
      </c>
      <c r="BI13" s="346" t="e">
        <f>VLOOKUP(AZ13,flows!$A$2:$J$4985,8,FALSE)</f>
        <v>#N/A</v>
      </c>
      <c r="BJ13" s="346" t="e">
        <f>VLOOKUP(AZ13,flows!$A$2:$J$4985,9,FALSE)</f>
        <v>#N/A</v>
      </c>
      <c r="BM13" s="26" t="s">
        <v>42</v>
      </c>
      <c r="BN13" s="6" t="s">
        <v>1189</v>
      </c>
      <c r="BO13" s="199" t="s">
        <v>1882</v>
      </c>
      <c r="BP13" s="16" t="e">
        <f>VLOOKUP(BM13,flows!$A$2:$J$4985,2,FALSE)</f>
        <v>#N/A</v>
      </c>
      <c r="BQ13" s="16" t="e">
        <f>VLOOKUP(BM13,flows!$A$2:$J$4985,3,FALSE)</f>
        <v>#N/A</v>
      </c>
      <c r="BR13" s="16" t="e">
        <f>VLOOKUP(BM13,flows!$A$2:$J$4985,4,FALSE)</f>
        <v>#N/A</v>
      </c>
      <c r="BS13" s="16" t="e">
        <f>VLOOKUP(BM13,flows!$A$2:$J$4985,5,FALSE)</f>
        <v>#N/A</v>
      </c>
      <c r="BT13" s="16" t="e">
        <f>VLOOKUP(BM13,flows!$A$2:$J$4985,6,FALSE)</f>
        <v>#N/A</v>
      </c>
      <c r="BU13" s="16" t="e">
        <f>VLOOKUP(BM13,flows!$A$2:$J$4985,7,FALSE)</f>
        <v>#N/A</v>
      </c>
      <c r="BV13" s="16" t="e">
        <f>VLOOKUP(BM13,flows!$A$2:$J$4985,8,FALSE)</f>
        <v>#N/A</v>
      </c>
      <c r="BW13" s="16" t="e">
        <f>VLOOKUP(BM13,flows!$A$2:$J$4985,9,FALSE)</f>
        <v>#N/A</v>
      </c>
    </row>
    <row r="14" spans="2:75" ht="14.5" x14ac:dyDescent="0.35">
      <c r="L14" s="129"/>
      <c r="Z14" s="26" t="s">
        <v>1267</v>
      </c>
      <c r="AA14" s="31" t="s">
        <v>288</v>
      </c>
      <c r="AB14" s="194" t="s">
        <v>1854</v>
      </c>
      <c r="AC14" s="346" t="e">
        <f>VLOOKUP($Z14,flows!$A$2:$J$4985,AC$2,FALSE)</f>
        <v>#N/A</v>
      </c>
      <c r="AD14" s="346" t="e">
        <f>VLOOKUP($Z14,flows!$A$2:$J$4985,AD$2,FALSE)</f>
        <v>#N/A</v>
      </c>
      <c r="AE14" s="346" t="e">
        <f>VLOOKUP($Z14,flows!$A$2:$J$4985,AE$2,FALSE)</f>
        <v>#N/A</v>
      </c>
      <c r="AF14" s="346" t="e">
        <f>VLOOKUP($Z14,flows!$A$2:$J$4985,AF$2,FALSE)</f>
        <v>#N/A</v>
      </c>
      <c r="AG14" s="346" t="e">
        <f>VLOOKUP($Z14,flows!$A$2:$J$4985,AG$2,FALSE)</f>
        <v>#N/A</v>
      </c>
      <c r="AH14" s="346" t="e">
        <f>VLOOKUP($Z14,flows!$A$2:$J$4985,AH$2,FALSE)</f>
        <v>#N/A</v>
      </c>
      <c r="AI14" s="346" t="e">
        <f>VLOOKUP($Z14,flows!$A$2:$J$4985,AI$2,FALSE)</f>
        <v>#N/A</v>
      </c>
      <c r="AJ14" s="346" t="e">
        <f>VLOOKUP($Z14,flows!$A$2:$J$4985,AJ$2,FALSE)</f>
        <v>#N/A</v>
      </c>
      <c r="AM14" s="31"/>
      <c r="AO14" s="63" t="s">
        <v>1713</v>
      </c>
      <c r="AP14" s="154" t="e">
        <f>1-AP13</f>
        <v>#N/A</v>
      </c>
      <c r="AQ14" s="154" t="e">
        <f t="shared" ref="AQ14:AW14" si="3">1-AQ13</f>
        <v>#N/A</v>
      </c>
      <c r="AR14" s="154" t="e">
        <f t="shared" si="3"/>
        <v>#N/A</v>
      </c>
      <c r="AS14" s="154" t="e">
        <f t="shared" si="3"/>
        <v>#N/A</v>
      </c>
      <c r="AT14" s="154" t="e">
        <f t="shared" si="3"/>
        <v>#N/A</v>
      </c>
      <c r="AU14" s="154" t="e">
        <f t="shared" si="3"/>
        <v>#N/A</v>
      </c>
      <c r="AV14" s="154" t="e">
        <f t="shared" si="3"/>
        <v>#N/A</v>
      </c>
      <c r="AW14" s="154" t="e">
        <f t="shared" si="3"/>
        <v>#N/A</v>
      </c>
      <c r="AZ14" s="207" t="s">
        <v>4400</v>
      </c>
      <c r="BA14" s="204" t="s">
        <v>4402</v>
      </c>
      <c r="BB14" s="204" t="s">
        <v>4403</v>
      </c>
      <c r="BC14" s="346" t="e">
        <f>VLOOKUP(AZ14,flows!$A$2:$J$4985,2,FALSE)</f>
        <v>#N/A</v>
      </c>
      <c r="BD14" s="346" t="e">
        <f>VLOOKUP(AZ14,flows!$A$2:$J$4985,3,FALSE)</f>
        <v>#N/A</v>
      </c>
      <c r="BE14" s="346" t="e">
        <f>VLOOKUP(AZ14,flows!$A$2:$J$4985,4,FALSE)</f>
        <v>#N/A</v>
      </c>
      <c r="BF14" s="346" t="e">
        <f>VLOOKUP(AZ14,flows!$A$2:$J$4985,5,FALSE)</f>
        <v>#N/A</v>
      </c>
      <c r="BG14" s="346" t="e">
        <f>VLOOKUP(AZ14,flows!$A$2:$J$4985,6,FALSE)</f>
        <v>#N/A</v>
      </c>
      <c r="BH14" s="346" t="e">
        <f>VLOOKUP(AZ14,flows!$A$2:$J$4985,7,FALSE)</f>
        <v>#N/A</v>
      </c>
      <c r="BI14" s="346" t="e">
        <f>VLOOKUP(AZ14,flows!$A$2:$J$4985,8,FALSE)</f>
        <v>#N/A</v>
      </c>
      <c r="BJ14" s="346" t="e">
        <f>VLOOKUP(AZ14,flows!$A$2:$J$4985,9,FALSE)</f>
        <v>#N/A</v>
      </c>
      <c r="BM14" s="26" t="s">
        <v>43</v>
      </c>
      <c r="BN14" s="6" t="s">
        <v>1190</v>
      </c>
      <c r="BO14" s="199" t="s">
        <v>1883</v>
      </c>
      <c r="BP14" s="16" t="e">
        <f>VLOOKUP(BM14,flows!$A$2:$J$4985,2,FALSE)</f>
        <v>#N/A</v>
      </c>
      <c r="BQ14" s="16" t="e">
        <f>VLOOKUP(BM14,flows!$A$2:$J$4985,3,FALSE)</f>
        <v>#N/A</v>
      </c>
      <c r="BR14" s="16" t="e">
        <f>VLOOKUP(BM14,flows!$A$2:$J$4985,4,FALSE)</f>
        <v>#N/A</v>
      </c>
      <c r="BS14" s="16" t="e">
        <f>VLOOKUP(BM14,flows!$A$2:$J$4985,5,FALSE)</f>
        <v>#N/A</v>
      </c>
      <c r="BT14" s="16" t="e">
        <f>VLOOKUP(BM14,flows!$A$2:$J$4985,6,FALSE)</f>
        <v>#N/A</v>
      </c>
      <c r="BU14" s="16" t="e">
        <f>VLOOKUP(BM14,flows!$A$2:$J$4985,7,FALSE)</f>
        <v>#N/A</v>
      </c>
      <c r="BV14" s="16" t="e">
        <f>VLOOKUP(BM14,flows!$A$2:$J$4985,8,FALSE)</f>
        <v>#N/A</v>
      </c>
      <c r="BW14" s="16" t="e">
        <f>VLOOKUP(BM14,flows!$A$2:$J$4985,9,FALSE)</f>
        <v>#N/A</v>
      </c>
    </row>
    <row r="15" spans="2:75" ht="14.5" x14ac:dyDescent="0.35">
      <c r="L15" s="129"/>
      <c r="Z15" s="26" t="s">
        <v>772</v>
      </c>
      <c r="AA15" s="31" t="s">
        <v>300</v>
      </c>
      <c r="AB15" s="194" t="s">
        <v>1855</v>
      </c>
      <c r="AC15" s="346" t="e">
        <f>VLOOKUP($Z15,flows!$A$2:$J$4985,AC$2,FALSE)</f>
        <v>#N/A</v>
      </c>
      <c r="AD15" s="346" t="e">
        <f>VLOOKUP($Z15,flows!$A$2:$J$4985,AD$2,FALSE)</f>
        <v>#N/A</v>
      </c>
      <c r="AE15" s="346" t="e">
        <f>VLOOKUP($Z15,flows!$A$2:$J$4985,AE$2,FALSE)</f>
        <v>#N/A</v>
      </c>
      <c r="AF15" s="346" t="e">
        <f>VLOOKUP($Z15,flows!$A$2:$J$4985,AF$2,FALSE)</f>
        <v>#N/A</v>
      </c>
      <c r="AG15" s="346" t="e">
        <f>VLOOKUP($Z15,flows!$A$2:$J$4985,AG$2,FALSE)</f>
        <v>#N/A</v>
      </c>
      <c r="AH15" s="346" t="e">
        <f>VLOOKUP($Z15,flows!$A$2:$J$4985,AH$2,FALSE)</f>
        <v>#N/A</v>
      </c>
      <c r="AI15" s="346" t="e">
        <f>VLOOKUP($Z15,flows!$A$2:$J$4985,AI$2,FALSE)</f>
        <v>#N/A</v>
      </c>
      <c r="AJ15" s="346" t="e">
        <f>VLOOKUP($Z15,flows!$A$2:$J$4985,AJ$2,FALSE)</f>
        <v>#N/A</v>
      </c>
      <c r="AM15" s="22"/>
      <c r="AN15" s="31"/>
      <c r="AO15" s="194"/>
      <c r="AP15" s="13"/>
      <c r="AQ15" s="13"/>
      <c r="AR15" s="13"/>
      <c r="AS15" s="13"/>
      <c r="AT15" s="13"/>
      <c r="AU15" s="13"/>
      <c r="AV15" s="13"/>
      <c r="AW15" s="13"/>
      <c r="AZ15" s="26" t="s">
        <v>36</v>
      </c>
      <c r="BA15" s="13" t="s">
        <v>1238</v>
      </c>
      <c r="BB15" s="204" t="s">
        <v>1238</v>
      </c>
      <c r="BC15" s="16" t="e">
        <f>VLOOKUP(AZ15,flows!$A$2:$J$4985,2,FALSE)</f>
        <v>#N/A</v>
      </c>
      <c r="BD15" s="16" t="e">
        <f>VLOOKUP(AZ15,flows!$A$2:$J$4985,3,FALSE)</f>
        <v>#N/A</v>
      </c>
      <c r="BE15" s="16" t="e">
        <f>VLOOKUP(AZ15,flows!$A$2:$J$4985,4,FALSE)</f>
        <v>#N/A</v>
      </c>
      <c r="BF15" s="16" t="e">
        <f>VLOOKUP(AZ15,flows!$A$2:$J$4985,5,FALSE)</f>
        <v>#N/A</v>
      </c>
      <c r="BG15" s="16" t="e">
        <f>VLOOKUP(AZ15,flows!$A$2:$J$4985,6,FALSE)</f>
        <v>#N/A</v>
      </c>
      <c r="BH15" s="16" t="e">
        <f>VLOOKUP(AZ15,flows!$A$2:$J$4985,7,FALSE)</f>
        <v>#N/A</v>
      </c>
      <c r="BI15" s="16" t="e">
        <f>VLOOKUP(AZ15,flows!$A$2:$J$4985,8,FALSE)</f>
        <v>#N/A</v>
      </c>
      <c r="BJ15" s="16" t="e">
        <f>VLOOKUP(AZ15,flows!$A$2:$J$4985,9,FALSE)</f>
        <v>#N/A</v>
      </c>
      <c r="BM15" s="26" t="s">
        <v>46</v>
      </c>
      <c r="BN15" s="6" t="s">
        <v>1185</v>
      </c>
      <c r="BO15" s="199" t="s">
        <v>1551</v>
      </c>
      <c r="BP15" s="16" t="e">
        <f>VLOOKUP(BM15,flows!$A$2:$J$4985,2,FALSE)</f>
        <v>#N/A</v>
      </c>
      <c r="BQ15" s="16" t="e">
        <f>VLOOKUP(BM15,flows!$A$2:$J$4985,3,FALSE)</f>
        <v>#N/A</v>
      </c>
      <c r="BR15" s="16" t="e">
        <f>VLOOKUP(BM15,flows!$A$2:$J$4985,4,FALSE)</f>
        <v>#N/A</v>
      </c>
      <c r="BS15" s="16" t="e">
        <f>VLOOKUP(BM15,flows!$A$2:$J$4985,5,FALSE)</f>
        <v>#N/A</v>
      </c>
      <c r="BT15" s="16" t="e">
        <f>VLOOKUP(BM15,flows!$A$2:$J$4985,6,FALSE)</f>
        <v>#N/A</v>
      </c>
      <c r="BU15" s="16" t="e">
        <f>VLOOKUP(BM15,flows!$A$2:$J$4985,7,FALSE)</f>
        <v>#N/A</v>
      </c>
      <c r="BV15" s="16" t="e">
        <f>VLOOKUP(BM15,flows!$A$2:$J$4985,8,FALSE)</f>
        <v>#N/A</v>
      </c>
      <c r="BW15" s="16" t="e">
        <f>VLOOKUP(BM15,flows!$A$2:$J$4985,9,FALSE)</f>
        <v>#N/A</v>
      </c>
    </row>
    <row r="16" spans="2:75" ht="15" thickBot="1" x14ac:dyDescent="0.4">
      <c r="L16" s="129"/>
      <c r="Z16" s="26" t="s">
        <v>973</v>
      </c>
      <c r="AA16" s="31" t="s">
        <v>386</v>
      </c>
      <c r="AB16" s="194" t="s">
        <v>1856</v>
      </c>
      <c r="AC16" s="346" t="e">
        <f>VLOOKUP($Z16,flows!$A$2:$J$4985,AC$2,FALSE)</f>
        <v>#N/A</v>
      </c>
      <c r="AD16" s="346" t="e">
        <f>VLOOKUP($Z16,flows!$A$2:$J$4985,AD$2,FALSE)</f>
        <v>#N/A</v>
      </c>
      <c r="AE16" s="346" t="e">
        <f>VLOOKUP($Z16,flows!$A$2:$J$4985,AE$2,FALSE)</f>
        <v>#N/A</v>
      </c>
      <c r="AF16" s="346" t="e">
        <f>VLOOKUP($Z16,flows!$A$2:$J$4985,AF$2,FALSE)</f>
        <v>#N/A</v>
      </c>
      <c r="AG16" s="346" t="e">
        <f>VLOOKUP($Z16,flows!$A$2:$J$4985,AG$2,FALSE)</f>
        <v>#N/A</v>
      </c>
      <c r="AH16" s="346" t="e">
        <f>VLOOKUP($Z16,flows!$A$2:$J$4985,AH$2,FALSE)</f>
        <v>#N/A</v>
      </c>
      <c r="AI16" s="346" t="e">
        <f>VLOOKUP($Z16,flows!$A$2:$J$4985,AI$2,FALSE)</f>
        <v>#N/A</v>
      </c>
      <c r="AJ16" s="346" t="e">
        <f>VLOOKUP($Z16,flows!$A$2:$J$4985,AJ$2,FALSE)</f>
        <v>#N/A</v>
      </c>
      <c r="AM16" s="31"/>
      <c r="AN16" s="31"/>
      <c r="AO16" s="194"/>
      <c r="AP16" s="13"/>
      <c r="AQ16" s="13"/>
      <c r="AR16" s="13"/>
      <c r="AS16" s="13"/>
      <c r="AT16" s="13"/>
      <c r="AU16" s="13"/>
      <c r="AV16" s="13"/>
      <c r="AW16" s="13"/>
      <c r="AZ16" s="28" t="s">
        <v>1004</v>
      </c>
      <c r="BA16" s="34" t="s">
        <v>1239</v>
      </c>
      <c r="BB16" s="211" t="s">
        <v>1872</v>
      </c>
      <c r="BC16" s="17" t="e">
        <f>VLOOKUP(AZ16,flows!$A$2:$J$4985,2,FALSE)</f>
        <v>#N/A</v>
      </c>
      <c r="BD16" s="17" t="e">
        <f>VLOOKUP(AZ16,flows!$A$2:$J$4985,3,FALSE)</f>
        <v>#N/A</v>
      </c>
      <c r="BE16" s="17" t="e">
        <f>VLOOKUP(AZ16,flows!$A$2:$J$4985,4,FALSE)</f>
        <v>#N/A</v>
      </c>
      <c r="BF16" s="17" t="e">
        <f>VLOOKUP(AZ16,flows!$A$2:$J$4985,5,FALSE)</f>
        <v>#N/A</v>
      </c>
      <c r="BG16" s="17" t="e">
        <f>VLOOKUP(AZ16,flows!$A$2:$J$4985,6,FALSE)</f>
        <v>#N/A</v>
      </c>
      <c r="BH16" s="17" t="e">
        <f>VLOOKUP(AZ16,flows!$A$2:$J$4985,7,FALSE)</f>
        <v>#N/A</v>
      </c>
      <c r="BI16" s="17" t="e">
        <f>VLOOKUP(AZ16,flows!$A$2:$J$4985,8,FALSE)</f>
        <v>#N/A</v>
      </c>
      <c r="BJ16" s="17" t="e">
        <f>VLOOKUP(AZ16,flows!$A$2:$J$4985,9,FALSE)</f>
        <v>#N/A</v>
      </c>
      <c r="BM16" s="206" t="s">
        <v>4401</v>
      </c>
      <c r="BN16" s="344" t="s">
        <v>4404</v>
      </c>
      <c r="BO16" s="344" t="s">
        <v>4405</v>
      </c>
      <c r="BP16" s="346" t="e">
        <f>VLOOKUP(BM16,flows!$A$2:$J$4985,2,FALSE)</f>
        <v>#N/A</v>
      </c>
      <c r="BQ16" s="346" t="e">
        <f>VLOOKUP(BM16,flows!$A$2:$J$4985,3,FALSE)</f>
        <v>#N/A</v>
      </c>
      <c r="BR16" s="346" t="e">
        <f>VLOOKUP(BM16,flows!$A$2:$J$4985,4,FALSE)</f>
        <v>#N/A</v>
      </c>
      <c r="BS16" s="346" t="e">
        <f>VLOOKUP(BM16,flows!$A$2:$J$4985,5,FALSE)</f>
        <v>#N/A</v>
      </c>
      <c r="BT16" s="346" t="e">
        <f>VLOOKUP(BM16,flows!$A$2:$J$4985,6,FALSE)</f>
        <v>#N/A</v>
      </c>
      <c r="BU16" s="346" t="e">
        <f>VLOOKUP(BM16,flows!$A$2:$J$4985,7,FALSE)</f>
        <v>#N/A</v>
      </c>
      <c r="BV16" s="346" t="e">
        <f>VLOOKUP(BM16,flows!$A$2:$J$4985,8,FALSE)</f>
        <v>#N/A</v>
      </c>
      <c r="BW16" s="346" t="e">
        <f>VLOOKUP(BM16,flows!$A$2:$J$4985,9,FALSE)</f>
        <v>#N/A</v>
      </c>
    </row>
    <row r="17" spans="12:75" ht="15" thickBot="1" x14ac:dyDescent="0.4">
      <c r="L17" s="129"/>
      <c r="Z17" s="206" t="s">
        <v>2250</v>
      </c>
      <c r="AA17" s="337" t="s">
        <v>2711</v>
      </c>
      <c r="AB17" s="337" t="s">
        <v>2712</v>
      </c>
      <c r="AC17" s="346" t="e">
        <f>VLOOKUP($Z17,flows!$A$2:$J$4985,AC$2,FALSE)</f>
        <v>#N/A</v>
      </c>
      <c r="AD17" s="346" t="e">
        <f>VLOOKUP($Z17,flows!$A$2:$J$4985,AD$2,FALSE)</f>
        <v>#N/A</v>
      </c>
      <c r="AE17" s="346" t="e">
        <f>VLOOKUP($Z17,flows!$A$2:$J$4985,AE$2,FALSE)</f>
        <v>#N/A</v>
      </c>
      <c r="AF17" s="346" t="e">
        <f>VLOOKUP($Z17,flows!$A$2:$J$4985,AF$2,FALSE)</f>
        <v>#N/A</v>
      </c>
      <c r="AG17" s="346" t="e">
        <f>VLOOKUP($Z17,flows!$A$2:$J$4985,AG$2,FALSE)</f>
        <v>#N/A</v>
      </c>
      <c r="AH17" s="346" t="e">
        <f>VLOOKUP($Z17,flows!$A$2:$J$4985,AH$2,FALSE)</f>
        <v>#N/A</v>
      </c>
      <c r="AI17" s="346" t="e">
        <f>VLOOKUP($Z17,flows!$A$2:$J$4985,AI$2,FALSE)</f>
        <v>#N/A</v>
      </c>
      <c r="AJ17" s="346" t="e">
        <f>VLOOKUP($Z17,flows!$A$2:$J$4985,AJ$2,FALSE)</f>
        <v>#N/A</v>
      </c>
      <c r="AM17" s="31"/>
      <c r="AN17" s="31"/>
      <c r="AO17" s="194"/>
      <c r="AP17" s="13"/>
      <c r="AQ17" s="13"/>
      <c r="AR17" s="13"/>
      <c r="AS17" s="13"/>
      <c r="AT17" s="13"/>
      <c r="AU17" s="13"/>
      <c r="AV17" s="13"/>
      <c r="AW17" s="13"/>
      <c r="AZ17" s="31"/>
      <c r="BA17" s="31"/>
      <c r="BB17" s="194"/>
      <c r="BC17" s="13"/>
      <c r="BD17" s="13"/>
      <c r="BE17" s="13"/>
      <c r="BF17" s="13"/>
      <c r="BG17" s="13"/>
      <c r="BH17" s="13"/>
      <c r="BI17" s="13"/>
      <c r="BJ17" s="13"/>
      <c r="BM17" s="28" t="s">
        <v>45</v>
      </c>
      <c r="BN17" s="34" t="s">
        <v>1237</v>
      </c>
      <c r="BO17" s="211" t="s">
        <v>1237</v>
      </c>
      <c r="BP17" s="17" t="e">
        <f>VLOOKUP(BM17,flows!$A$2:$J$4985,2,FALSE)</f>
        <v>#N/A</v>
      </c>
      <c r="BQ17" s="17" t="e">
        <f>VLOOKUP(BM17,flows!$A$2:$J$4985,3,FALSE)</f>
        <v>#N/A</v>
      </c>
      <c r="BR17" s="17" t="e">
        <f>VLOOKUP(BM17,flows!$A$2:$J$4985,4,FALSE)</f>
        <v>#N/A</v>
      </c>
      <c r="BS17" s="17" t="e">
        <f>VLOOKUP(BM17,flows!$A$2:$J$4985,5,FALSE)</f>
        <v>#N/A</v>
      </c>
      <c r="BT17" s="17" t="e">
        <f>VLOOKUP(BM17,flows!$A$2:$J$4985,6,FALSE)</f>
        <v>#N/A</v>
      </c>
      <c r="BU17" s="17" t="e">
        <f>VLOOKUP(BM17,flows!$A$2:$J$4985,7,FALSE)</f>
        <v>#N/A</v>
      </c>
      <c r="BV17" s="17" t="e">
        <f>VLOOKUP(BM17,flows!$A$2:$J$4985,8,FALSE)</f>
        <v>#N/A</v>
      </c>
      <c r="BW17" s="17" t="e">
        <f>VLOOKUP(BM17,flows!$A$2:$J$4985,9,FALSE)</f>
        <v>#N/A</v>
      </c>
    </row>
    <row r="18" spans="12:75" ht="14.5" x14ac:dyDescent="0.35">
      <c r="L18" s="129"/>
      <c r="Z18" s="26" t="s">
        <v>693</v>
      </c>
      <c r="AA18" s="31" t="s">
        <v>234</v>
      </c>
      <c r="AB18" s="194" t="s">
        <v>1858</v>
      </c>
      <c r="AC18" s="346" t="e">
        <f>VLOOKUP($Z18,flows!$A$2:$J$4985,AC$2,FALSE)</f>
        <v>#N/A</v>
      </c>
      <c r="AD18" s="346" t="e">
        <f>VLOOKUP($Z18,flows!$A$2:$J$4985,AD$2,FALSE)</f>
        <v>#N/A</v>
      </c>
      <c r="AE18" s="346" t="e">
        <f>VLOOKUP($Z18,flows!$A$2:$J$4985,AE$2,FALSE)</f>
        <v>#N/A</v>
      </c>
      <c r="AF18" s="346" t="e">
        <f>VLOOKUP($Z18,flows!$A$2:$J$4985,AF$2,FALSE)</f>
        <v>#N/A</v>
      </c>
      <c r="AG18" s="346" t="e">
        <f>VLOOKUP($Z18,flows!$A$2:$J$4985,AG$2,FALSE)</f>
        <v>#N/A</v>
      </c>
      <c r="AH18" s="346" t="e">
        <f>VLOOKUP($Z18,flows!$A$2:$J$4985,AH$2,FALSE)</f>
        <v>#N/A</v>
      </c>
      <c r="AI18" s="346" t="e">
        <f>VLOOKUP($Z18,flows!$A$2:$J$4985,AI$2,FALSE)</f>
        <v>#N/A</v>
      </c>
      <c r="AJ18" s="346" t="e">
        <f>VLOOKUP($Z18,flows!$A$2:$J$4985,AJ$2,FALSE)</f>
        <v>#N/A</v>
      </c>
      <c r="AM18" s="31"/>
      <c r="AN18" s="31"/>
      <c r="AO18" s="194"/>
      <c r="AP18" s="13"/>
      <c r="AQ18" s="13"/>
      <c r="AR18" s="13"/>
      <c r="AS18" s="13"/>
      <c r="AT18" s="13"/>
      <c r="AU18" s="13"/>
      <c r="AV18" s="13"/>
      <c r="AW18" s="13"/>
      <c r="AZ18" s="31"/>
      <c r="BB18" s="63" t="s">
        <v>1710</v>
      </c>
      <c r="BC18" s="153" t="e">
        <f>'Wärme - Gesamtverbrauch'!Q9/('Wärme - Gesamtverbrauch'!Q8+'Wärme - Gesamtverbrauch'!Q9)</f>
        <v>#N/A</v>
      </c>
      <c r="BD18" s="153" t="e">
        <f>'Wärme - Gesamtverbrauch'!R9/('Wärme - Gesamtverbrauch'!R8+'Wärme - Gesamtverbrauch'!R9)</f>
        <v>#N/A</v>
      </c>
      <c r="BE18" s="153" t="e">
        <f>'Wärme - Gesamtverbrauch'!S9/('Wärme - Gesamtverbrauch'!S8+'Wärme - Gesamtverbrauch'!S9)</f>
        <v>#N/A</v>
      </c>
      <c r="BF18" s="153" t="e">
        <f>'Wärme - Gesamtverbrauch'!T9/('Wärme - Gesamtverbrauch'!T8+'Wärme - Gesamtverbrauch'!T9)</f>
        <v>#N/A</v>
      </c>
      <c r="BG18" s="153" t="e">
        <f>'Wärme - Gesamtverbrauch'!U9/('Wärme - Gesamtverbrauch'!U8+'Wärme - Gesamtverbrauch'!U9)</f>
        <v>#N/A</v>
      </c>
      <c r="BH18" s="153" t="e">
        <f>'Wärme - Gesamtverbrauch'!V9/('Wärme - Gesamtverbrauch'!V8+'Wärme - Gesamtverbrauch'!V9)</f>
        <v>#N/A</v>
      </c>
      <c r="BI18" s="153" t="e">
        <f>'Wärme - Gesamtverbrauch'!W9/('Wärme - Gesamtverbrauch'!W8+'Wärme - Gesamtverbrauch'!W9)</f>
        <v>#N/A</v>
      </c>
      <c r="BJ18" s="153" t="e">
        <f>'Wärme - Gesamtverbrauch'!X9/('Wärme - Gesamtverbrauch'!X8+'Wärme - Gesamtverbrauch'!X9)</f>
        <v>#N/A</v>
      </c>
      <c r="BM18" s="31"/>
      <c r="BN18" s="31"/>
      <c r="BO18" s="194"/>
      <c r="BP18" s="13"/>
      <c r="BQ18" s="13"/>
      <c r="BR18" s="13"/>
      <c r="BS18" s="13"/>
      <c r="BT18" s="13"/>
      <c r="BU18" s="13"/>
      <c r="BV18" s="13"/>
      <c r="BW18" s="13"/>
    </row>
    <row r="19" spans="12:75" ht="14.5" x14ac:dyDescent="0.35">
      <c r="L19" s="129"/>
      <c r="Z19" s="26" t="s">
        <v>756</v>
      </c>
      <c r="AA19" s="31" t="s">
        <v>283</v>
      </c>
      <c r="AB19" s="194" t="s">
        <v>1857</v>
      </c>
      <c r="AC19" s="346" t="e">
        <f>VLOOKUP($Z19,flows!$A$2:$J$4985,AC$2,FALSE)</f>
        <v>#N/A</v>
      </c>
      <c r="AD19" s="346" t="e">
        <f>VLOOKUP($Z19,flows!$A$2:$J$4985,AD$2,FALSE)</f>
        <v>#N/A</v>
      </c>
      <c r="AE19" s="346" t="e">
        <f>VLOOKUP($Z19,flows!$A$2:$J$4985,AE$2,FALSE)</f>
        <v>#N/A</v>
      </c>
      <c r="AF19" s="346" t="e">
        <f>VLOOKUP($Z19,flows!$A$2:$J$4985,AF$2,FALSE)</f>
        <v>#N/A</v>
      </c>
      <c r="AG19" s="346" t="e">
        <f>VLOOKUP($Z19,flows!$A$2:$J$4985,AG$2,FALSE)</f>
        <v>#N/A</v>
      </c>
      <c r="AH19" s="346" t="e">
        <f>VLOOKUP($Z19,flows!$A$2:$J$4985,AH$2,FALSE)</f>
        <v>#N/A</v>
      </c>
      <c r="AI19" s="346" t="e">
        <f>VLOOKUP($Z19,flows!$A$2:$J$4985,AI$2,FALSE)</f>
        <v>#N/A</v>
      </c>
      <c r="AJ19" s="346" t="e">
        <f>VLOOKUP($Z19,flows!$A$2:$J$4985,AJ$2,FALSE)</f>
        <v>#N/A</v>
      </c>
      <c r="AM19" s="31"/>
      <c r="AN19" s="31"/>
      <c r="AO19" s="194"/>
      <c r="AP19" s="13"/>
      <c r="AQ19" s="13"/>
      <c r="AR19" s="13"/>
      <c r="AS19" s="13"/>
      <c r="AT19" s="13"/>
      <c r="AU19" s="13"/>
      <c r="AV19" s="13"/>
      <c r="AW19" s="13"/>
      <c r="AZ19" s="31"/>
      <c r="BB19" s="63" t="s">
        <v>1711</v>
      </c>
      <c r="BC19" s="154" t="e">
        <f>1-BC18</f>
        <v>#N/A</v>
      </c>
      <c r="BD19" s="154" t="e">
        <f t="shared" ref="BD19:BJ19" si="4">1-BD18</f>
        <v>#N/A</v>
      </c>
      <c r="BE19" s="154" t="e">
        <f t="shared" si="4"/>
        <v>#N/A</v>
      </c>
      <c r="BF19" s="154" t="e">
        <f t="shared" si="4"/>
        <v>#N/A</v>
      </c>
      <c r="BG19" s="154" t="e">
        <f t="shared" si="4"/>
        <v>#N/A</v>
      </c>
      <c r="BH19" s="154" t="e">
        <f t="shared" si="4"/>
        <v>#N/A</v>
      </c>
      <c r="BI19" s="154" t="e">
        <f t="shared" si="4"/>
        <v>#N/A</v>
      </c>
      <c r="BJ19" s="154" t="e">
        <f t="shared" si="4"/>
        <v>#N/A</v>
      </c>
      <c r="BM19" s="31"/>
      <c r="BN19" s="31"/>
      <c r="BO19" s="194"/>
      <c r="BP19" s="13"/>
      <c r="BQ19" s="13"/>
      <c r="BR19" s="13"/>
      <c r="BS19" s="13"/>
      <c r="BT19" s="13"/>
      <c r="BU19" s="13"/>
      <c r="BV19" s="13"/>
      <c r="BW19" s="13"/>
    </row>
    <row r="20" spans="12:75" ht="15" thickBot="1" x14ac:dyDescent="0.4">
      <c r="L20" s="129"/>
      <c r="Z20" s="28" t="s">
        <v>2270</v>
      </c>
      <c r="AA20" s="33" t="s">
        <v>1296</v>
      </c>
      <c r="AB20" s="33" t="s">
        <v>1887</v>
      </c>
      <c r="AC20" s="346" t="e">
        <f>VLOOKUP($Z20,flows!$A$2:$J$4985,AC$2,FALSE)</f>
        <v>#N/A</v>
      </c>
      <c r="AD20" s="346" t="e">
        <f>VLOOKUP($Z20,flows!$A$2:$J$4985,AD$2,FALSE)</f>
        <v>#N/A</v>
      </c>
      <c r="AE20" s="346" t="e">
        <f>VLOOKUP($Z20,flows!$A$2:$J$4985,AE$2,FALSE)</f>
        <v>#N/A</v>
      </c>
      <c r="AF20" s="346" t="e">
        <f>VLOOKUP($Z20,flows!$A$2:$J$4985,AF$2,FALSE)</f>
        <v>#N/A</v>
      </c>
      <c r="AG20" s="346" t="e">
        <f>VLOOKUP($Z20,flows!$A$2:$J$4985,AG$2,FALSE)</f>
        <v>#N/A</v>
      </c>
      <c r="AH20" s="346" t="e">
        <f>VLOOKUP($Z20,flows!$A$2:$J$4985,AH$2,FALSE)</f>
        <v>#N/A</v>
      </c>
      <c r="AI20" s="346" t="e">
        <f>VLOOKUP($Z20,flows!$A$2:$J$4985,AI$2,FALSE)</f>
        <v>#N/A</v>
      </c>
      <c r="AJ20" s="346" t="e">
        <f>VLOOKUP($Z20,flows!$A$2:$J$4985,AJ$2,FALSE)</f>
        <v>#N/A</v>
      </c>
      <c r="AM20" s="31"/>
      <c r="AN20" s="31"/>
      <c r="AO20" s="194"/>
      <c r="AP20" s="13"/>
      <c r="AQ20" s="13"/>
      <c r="AR20" s="13"/>
      <c r="AS20" s="13"/>
      <c r="AT20" s="13"/>
      <c r="AU20" s="13"/>
      <c r="AV20" s="13"/>
      <c r="AW20" s="13"/>
      <c r="AZ20" s="31"/>
      <c r="BA20" s="31"/>
      <c r="BB20" s="194"/>
      <c r="BC20" s="13"/>
      <c r="BD20" s="13"/>
      <c r="BE20" s="13"/>
      <c r="BF20" s="13"/>
      <c r="BG20" s="13"/>
      <c r="BH20" s="13"/>
      <c r="BI20" s="13"/>
      <c r="BJ20" s="13"/>
      <c r="BM20" s="31"/>
      <c r="BN20" s="31"/>
      <c r="BO20" s="194"/>
      <c r="BP20" s="13"/>
      <c r="BQ20" s="13"/>
      <c r="BR20" s="13"/>
      <c r="BS20" s="13"/>
      <c r="BT20" s="13"/>
      <c r="BU20" s="13"/>
      <c r="BV20" s="13"/>
      <c r="BW20" s="13"/>
    </row>
    <row r="21" spans="12:75" ht="14.5" x14ac:dyDescent="0.35">
      <c r="L21" s="129"/>
      <c r="Z21" s="365"/>
      <c r="AA21" s="365"/>
      <c r="AB21" s="365"/>
      <c r="AC21" s="365"/>
      <c r="AD21" s="365"/>
      <c r="AE21" s="365"/>
      <c r="AF21" s="365"/>
      <c r="AG21" s="365"/>
      <c r="AH21" s="365"/>
      <c r="AI21" s="365"/>
      <c r="AJ21" s="365"/>
      <c r="AZ21" s="31"/>
      <c r="BA21" s="31"/>
      <c r="BB21" s="194"/>
      <c r="BC21" s="13"/>
      <c r="BD21" s="13"/>
      <c r="BE21" s="13"/>
      <c r="BF21" s="13"/>
      <c r="BG21" s="13"/>
      <c r="BH21" s="13"/>
      <c r="BI21" s="13"/>
      <c r="BJ21" s="13"/>
      <c r="BM21" s="31"/>
      <c r="BN21" s="31"/>
      <c r="BO21" s="194"/>
      <c r="BP21" s="13"/>
      <c r="BQ21" s="13"/>
      <c r="BR21" s="13"/>
      <c r="BS21" s="13"/>
      <c r="BT21" s="13"/>
      <c r="BU21" s="13"/>
      <c r="BV21" s="13"/>
      <c r="BW21" s="13"/>
    </row>
    <row r="22" spans="12:75" ht="14.5" x14ac:dyDescent="0.35">
      <c r="L22" s="129"/>
      <c r="Z22" s="365"/>
      <c r="AA22" s="365"/>
      <c r="AB22" s="365"/>
      <c r="AC22" s="365"/>
      <c r="AD22" s="365"/>
      <c r="AE22" s="365"/>
      <c r="AF22" s="365"/>
      <c r="AG22" s="365"/>
      <c r="AH22" s="365"/>
      <c r="AI22" s="365"/>
      <c r="AJ22" s="365"/>
      <c r="AZ22" s="31"/>
      <c r="BA22" s="31"/>
      <c r="BB22" s="194"/>
      <c r="BC22" s="13"/>
      <c r="BD22" s="13"/>
      <c r="BE22" s="13"/>
      <c r="BF22" s="13"/>
      <c r="BG22" s="13"/>
      <c r="BH22" s="13"/>
      <c r="BI22" s="13"/>
      <c r="BJ22" s="13"/>
      <c r="BM22" s="31"/>
      <c r="BN22" s="31"/>
      <c r="BO22" s="194"/>
      <c r="BP22" s="13"/>
      <c r="BQ22" s="13"/>
      <c r="BR22" s="13"/>
      <c r="BS22" s="13"/>
      <c r="BT22" s="13"/>
      <c r="BU22" s="13"/>
      <c r="BV22" s="13"/>
      <c r="BW22" s="13"/>
    </row>
    <row r="23" spans="12:75" ht="15" thickBot="1" x14ac:dyDescent="0.4">
      <c r="L23" s="129"/>
      <c r="Z23" s="167" t="s">
        <v>4008</v>
      </c>
      <c r="AA23" s="365"/>
      <c r="AB23" s="365"/>
      <c r="AC23" s="365"/>
      <c r="AD23" s="365"/>
      <c r="AE23" s="365"/>
      <c r="AF23" s="365"/>
      <c r="AG23" s="365"/>
      <c r="AH23" s="365"/>
      <c r="AI23" s="365"/>
      <c r="AJ23" s="365"/>
      <c r="AM23" s="321" t="s">
        <v>4016</v>
      </c>
      <c r="AZ23" s="31"/>
      <c r="BA23" s="31"/>
      <c r="BB23" s="194"/>
      <c r="BC23" s="13"/>
      <c r="BD23" s="13"/>
      <c r="BE23" s="13"/>
      <c r="BF23" s="13"/>
      <c r="BG23" s="13"/>
      <c r="BH23" s="13"/>
      <c r="BI23" s="13"/>
      <c r="BJ23" s="13"/>
      <c r="BM23" s="31"/>
      <c r="BN23" s="31"/>
      <c r="BO23" s="194"/>
      <c r="BP23" s="13"/>
      <c r="BQ23" s="13"/>
      <c r="BR23" s="13"/>
      <c r="BS23" s="13"/>
      <c r="BT23" s="13"/>
      <c r="BU23" s="13"/>
      <c r="BV23" s="13"/>
      <c r="BW23" s="13"/>
    </row>
    <row r="24" spans="12:75" ht="14.5" x14ac:dyDescent="0.35">
      <c r="L24" s="129"/>
      <c r="Z24" s="196" t="s">
        <v>4006</v>
      </c>
      <c r="AA24" s="209"/>
      <c r="AB24" s="209" t="s">
        <v>1157</v>
      </c>
      <c r="AC24" s="89">
        <v>2</v>
      </c>
      <c r="AD24" s="89">
        <v>3</v>
      </c>
      <c r="AE24" s="89">
        <v>4</v>
      </c>
      <c r="AF24" s="89">
        <v>5</v>
      </c>
      <c r="AG24" s="89">
        <v>6</v>
      </c>
      <c r="AH24" s="89">
        <v>7</v>
      </c>
      <c r="AI24" s="89">
        <v>8</v>
      </c>
      <c r="AJ24" s="89">
        <v>9</v>
      </c>
      <c r="AM24" s="196" t="s">
        <v>1264</v>
      </c>
      <c r="AN24" s="209"/>
      <c r="AO24" s="209"/>
      <c r="AP24" s="89">
        <v>2</v>
      </c>
      <c r="AQ24" s="89">
        <v>3</v>
      </c>
      <c r="AR24" s="89">
        <v>4</v>
      </c>
      <c r="AS24" s="89">
        <v>5</v>
      </c>
      <c r="AT24" s="89">
        <v>6</v>
      </c>
      <c r="AU24" s="89">
        <v>7</v>
      </c>
      <c r="AV24" s="89">
        <v>8</v>
      </c>
      <c r="AW24" s="89">
        <v>9</v>
      </c>
      <c r="AZ24" s="31"/>
      <c r="BA24" s="31"/>
      <c r="BB24" s="194"/>
      <c r="BC24" s="13"/>
      <c r="BD24" s="13"/>
      <c r="BE24" s="13"/>
      <c r="BF24" s="13"/>
      <c r="BG24" s="13"/>
      <c r="BH24" s="13"/>
      <c r="BI24" s="13"/>
      <c r="BJ24" s="13"/>
      <c r="BM24" s="31"/>
      <c r="BN24" s="31"/>
      <c r="BO24" s="194"/>
      <c r="BP24" s="13"/>
      <c r="BQ24" s="13"/>
      <c r="BR24" s="13"/>
      <c r="BS24" s="13"/>
      <c r="BT24" s="13"/>
      <c r="BU24" s="13"/>
      <c r="BV24" s="13"/>
      <c r="BW24" s="13"/>
    </row>
    <row r="25" spans="12:75" ht="15" thickBot="1" x14ac:dyDescent="0.4">
      <c r="L25" s="129"/>
      <c r="Z25" s="205" t="s">
        <v>1258</v>
      </c>
      <c r="AA25" s="210" t="s">
        <v>1259</v>
      </c>
      <c r="AB25" s="210"/>
      <c r="AC25" s="133" t="s">
        <v>1417</v>
      </c>
      <c r="AD25" s="133">
        <v>2020</v>
      </c>
      <c r="AE25" s="133">
        <v>2025</v>
      </c>
      <c r="AF25" s="133">
        <v>2030</v>
      </c>
      <c r="AG25" s="133">
        <v>2035</v>
      </c>
      <c r="AH25" s="133">
        <v>2040</v>
      </c>
      <c r="AI25" s="133">
        <v>2045</v>
      </c>
      <c r="AJ25" s="133">
        <v>2050</v>
      </c>
      <c r="AM25" s="205" t="s">
        <v>1258</v>
      </c>
      <c r="AN25" s="210" t="s">
        <v>1259</v>
      </c>
      <c r="AO25" s="210"/>
      <c r="AP25" s="133" t="s">
        <v>1417</v>
      </c>
      <c r="AQ25" s="133">
        <v>2020</v>
      </c>
      <c r="AR25" s="133">
        <v>2025</v>
      </c>
      <c r="AS25" s="133">
        <v>2030</v>
      </c>
      <c r="AT25" s="133">
        <v>2035</v>
      </c>
      <c r="AU25" s="133">
        <v>2040</v>
      </c>
      <c r="AV25" s="133">
        <v>2045</v>
      </c>
      <c r="AW25" s="133">
        <v>2050</v>
      </c>
      <c r="AZ25" s="321" t="s">
        <v>4018</v>
      </c>
      <c r="BA25" s="31"/>
      <c r="BB25" s="194"/>
      <c r="BC25" s="13"/>
      <c r="BD25" s="13"/>
      <c r="BE25" s="13"/>
      <c r="BF25" s="13"/>
      <c r="BG25" s="13"/>
      <c r="BH25" s="13"/>
      <c r="BI25" s="13"/>
      <c r="BJ25" s="13"/>
      <c r="BM25" s="321" t="s">
        <v>4022</v>
      </c>
    </row>
    <row r="26" spans="12:75" ht="14.5" x14ac:dyDescent="0.35">
      <c r="L26" s="129"/>
      <c r="Z26" s="206" t="s">
        <v>647</v>
      </c>
      <c r="AA26" s="337" t="s">
        <v>1206</v>
      </c>
      <c r="AB26" s="337" t="s">
        <v>1843</v>
      </c>
      <c r="AC26" s="346" t="e">
        <f>VLOOKUP($Z26,flows!$A$2:$J$4985,AC$2,FALSE)</f>
        <v>#N/A</v>
      </c>
      <c r="AD26" s="346" t="e">
        <f>VLOOKUP($Z26,flows!$A$2:$J$4985,AD$2,FALSE)</f>
        <v>#N/A</v>
      </c>
      <c r="AE26" s="346" t="e">
        <f>VLOOKUP($Z26,flows!$A$2:$J$4985,AE$2,FALSE)</f>
        <v>#N/A</v>
      </c>
      <c r="AF26" s="346" t="e">
        <f>VLOOKUP($Z26,flows!$A$2:$J$4985,AF$2,FALSE)</f>
        <v>#N/A</v>
      </c>
      <c r="AG26" s="346" t="e">
        <f>VLOOKUP($Z26,flows!$A$2:$J$4985,AG$2,FALSE)</f>
        <v>#N/A</v>
      </c>
      <c r="AH26" s="346" t="e">
        <f>VLOOKUP($Z26,flows!$A$2:$J$4985,AH$2,FALSE)</f>
        <v>#N/A</v>
      </c>
      <c r="AI26" s="346" t="e">
        <f>VLOOKUP($Z26,flows!$A$2:$J$4985,AI$2,FALSE)</f>
        <v>#N/A</v>
      </c>
      <c r="AJ26" s="346" t="e">
        <f>VLOOKUP($Z26,flows!$A$2:$J$4985,AJ$2,FALSE)</f>
        <v>#N/A</v>
      </c>
      <c r="AM26" s="343" t="s">
        <v>646</v>
      </c>
      <c r="AN26" s="344" t="s">
        <v>1206</v>
      </c>
      <c r="AO26" s="344" t="s">
        <v>1859</v>
      </c>
      <c r="AP26" s="346" t="e">
        <f>VLOOKUP($AM26,flows!$A$2:$J$4985,AP$2,FALSE)</f>
        <v>#N/A</v>
      </c>
      <c r="AQ26" s="346" t="e">
        <f>VLOOKUP($AM26,flows!$A$2:$J$4985,AQ$2,FALSE)</f>
        <v>#N/A</v>
      </c>
      <c r="AR26" s="346" t="e">
        <f>VLOOKUP($AM26,flows!$A$2:$J$4985,AR$2,FALSE)</f>
        <v>#N/A</v>
      </c>
      <c r="AS26" s="346" t="e">
        <f>VLOOKUP($AM26,flows!$A$2:$J$4985,AS$2,FALSE)</f>
        <v>#N/A</v>
      </c>
      <c r="AT26" s="346" t="e">
        <f>VLOOKUP($AM26,flows!$A$2:$J$4985,AT$2,FALSE)</f>
        <v>#N/A</v>
      </c>
      <c r="AU26" s="346" t="e">
        <f>VLOOKUP($AM26,flows!$A$2:$J$4985,AU$2,FALSE)</f>
        <v>#N/A</v>
      </c>
      <c r="AV26" s="346" t="e">
        <f>VLOOKUP($AM26,flows!$A$2:$J$4985,AV$2,FALSE)</f>
        <v>#N/A</v>
      </c>
      <c r="AW26" s="346" t="e">
        <f>VLOOKUP($AM26,flows!$A$2:$J$4985,AW$2,FALSE)</f>
        <v>#N/A</v>
      </c>
      <c r="AZ26" s="196" t="s">
        <v>1265</v>
      </c>
      <c r="BA26" s="209"/>
      <c r="BB26" s="209"/>
      <c r="BC26" s="89">
        <v>2</v>
      </c>
      <c r="BD26" s="89">
        <v>3</v>
      </c>
      <c r="BE26" s="89">
        <v>4</v>
      </c>
      <c r="BF26" s="89">
        <v>5</v>
      </c>
      <c r="BG26" s="89">
        <v>6</v>
      </c>
      <c r="BH26" s="89">
        <v>7</v>
      </c>
      <c r="BI26" s="89">
        <v>8</v>
      </c>
      <c r="BJ26" s="89">
        <v>9</v>
      </c>
      <c r="BM26" s="196" t="s">
        <v>1266</v>
      </c>
      <c r="BN26" s="209"/>
      <c r="BO26" s="209"/>
      <c r="BP26" s="89">
        <v>2</v>
      </c>
      <c r="BQ26" s="89">
        <v>3</v>
      </c>
      <c r="BR26" s="89">
        <v>4</v>
      </c>
      <c r="BS26" s="89">
        <v>5</v>
      </c>
      <c r="BT26" s="89">
        <v>6</v>
      </c>
      <c r="BU26" s="89">
        <v>7</v>
      </c>
      <c r="BV26" s="89">
        <v>8</v>
      </c>
      <c r="BW26" s="89">
        <v>9</v>
      </c>
    </row>
    <row r="27" spans="12:75" ht="14.5" x14ac:dyDescent="0.35">
      <c r="L27" s="129"/>
      <c r="Z27" s="206" t="s">
        <v>165</v>
      </c>
      <c r="AA27" s="337" t="s">
        <v>1167</v>
      </c>
      <c r="AB27" s="337" t="s">
        <v>1844</v>
      </c>
      <c r="AC27" s="346" t="e">
        <f>VLOOKUP($Z27,flows!$A$2:$J$4985,AC$2,FALSE)</f>
        <v>#N/A</v>
      </c>
      <c r="AD27" s="346" t="e">
        <f>VLOOKUP($Z27,flows!$A$2:$J$4985,AD$2,FALSE)</f>
        <v>#N/A</v>
      </c>
      <c r="AE27" s="346" t="e">
        <f>VLOOKUP($Z27,flows!$A$2:$J$4985,AE$2,FALSE)</f>
        <v>#N/A</v>
      </c>
      <c r="AF27" s="346" t="e">
        <f>VLOOKUP($Z27,flows!$A$2:$J$4985,AF$2,FALSE)</f>
        <v>#N/A</v>
      </c>
      <c r="AG27" s="346" t="e">
        <f>VLOOKUP($Z27,flows!$A$2:$J$4985,AG$2,FALSE)</f>
        <v>#N/A</v>
      </c>
      <c r="AH27" s="346" t="e">
        <f>VLOOKUP($Z27,flows!$A$2:$J$4985,AH$2,FALSE)</f>
        <v>#N/A</v>
      </c>
      <c r="AI27" s="346" t="e">
        <f>VLOOKUP($Z27,flows!$A$2:$J$4985,AI$2,FALSE)</f>
        <v>#N/A</v>
      </c>
      <c r="AJ27" s="346" t="e">
        <f>VLOOKUP($Z27,flows!$A$2:$J$4985,AJ$2,FALSE)</f>
        <v>#N/A</v>
      </c>
      <c r="AM27" s="343" t="s">
        <v>898</v>
      </c>
      <c r="AN27" s="344" t="s">
        <v>1310</v>
      </c>
      <c r="AO27" s="344" t="s">
        <v>1860</v>
      </c>
      <c r="AP27" s="346" t="e">
        <f>VLOOKUP($AM27,flows!$A$2:$J$4985,AP$2,FALSE)</f>
        <v>#N/A</v>
      </c>
      <c r="AQ27" s="346" t="e">
        <f>VLOOKUP($AM27,flows!$A$2:$J$4985,AQ$2,FALSE)</f>
        <v>#N/A</v>
      </c>
      <c r="AR27" s="346" t="e">
        <f>VLOOKUP($AM27,flows!$A$2:$J$4985,AR$2,FALSE)</f>
        <v>#N/A</v>
      </c>
      <c r="AS27" s="346" t="e">
        <f>VLOOKUP($AM27,flows!$A$2:$J$4985,AS$2,FALSE)</f>
        <v>#N/A</v>
      </c>
      <c r="AT27" s="346" t="e">
        <f>VLOOKUP($AM27,flows!$A$2:$J$4985,AT$2,FALSE)</f>
        <v>#N/A</v>
      </c>
      <c r="AU27" s="346" t="e">
        <f>VLOOKUP($AM27,flows!$A$2:$J$4985,AU$2,FALSE)</f>
        <v>#N/A</v>
      </c>
      <c r="AV27" s="346" t="e">
        <f>VLOOKUP($AM27,flows!$A$2:$J$4985,AV$2,FALSE)</f>
        <v>#N/A</v>
      </c>
      <c r="AW27" s="346" t="e">
        <f>VLOOKUP($AM27,flows!$A$2:$J$4985,AW$2,FALSE)</f>
        <v>#N/A</v>
      </c>
      <c r="AZ27" s="205" t="s">
        <v>1258</v>
      </c>
      <c r="BA27" s="210" t="s">
        <v>1259</v>
      </c>
      <c r="BB27" s="210"/>
      <c r="BC27" s="133" t="s">
        <v>1417</v>
      </c>
      <c r="BD27" s="133">
        <v>2020</v>
      </c>
      <c r="BE27" s="133">
        <v>2025</v>
      </c>
      <c r="BF27" s="133">
        <v>2030</v>
      </c>
      <c r="BG27" s="133">
        <v>2035</v>
      </c>
      <c r="BH27" s="133">
        <v>2040</v>
      </c>
      <c r="BI27" s="133">
        <v>2045</v>
      </c>
      <c r="BJ27" s="133">
        <v>2050</v>
      </c>
      <c r="BM27" s="205" t="s">
        <v>1258</v>
      </c>
      <c r="BN27" s="210" t="s">
        <v>1259</v>
      </c>
      <c r="BO27" s="210"/>
      <c r="BP27" s="133" t="s">
        <v>1417</v>
      </c>
      <c r="BQ27" s="133">
        <v>2020</v>
      </c>
      <c r="BR27" s="133">
        <v>2025</v>
      </c>
      <c r="BS27" s="133">
        <v>2030</v>
      </c>
      <c r="BT27" s="133">
        <v>2035</v>
      </c>
      <c r="BU27" s="133">
        <v>2040</v>
      </c>
      <c r="BV27" s="133">
        <v>2045</v>
      </c>
      <c r="BW27" s="133">
        <v>2050</v>
      </c>
    </row>
    <row r="28" spans="12:75" ht="14.5" x14ac:dyDescent="0.35">
      <c r="L28" s="129"/>
      <c r="Z28" s="206" t="s">
        <v>745</v>
      </c>
      <c r="AA28" s="337" t="s">
        <v>2267</v>
      </c>
      <c r="AB28" s="337" t="s">
        <v>1845</v>
      </c>
      <c r="AC28" s="346" t="e">
        <f>VLOOKUP($Z28,flows!$A$2:$J$4985,AC$2,FALSE)</f>
        <v>#N/A</v>
      </c>
      <c r="AD28" s="346" t="e">
        <f>VLOOKUP($Z28,flows!$A$2:$J$4985,AD$2,FALSE)</f>
        <v>#N/A</v>
      </c>
      <c r="AE28" s="346" t="e">
        <f>VLOOKUP($Z28,flows!$A$2:$J$4985,AE$2,FALSE)</f>
        <v>#N/A</v>
      </c>
      <c r="AF28" s="346" t="e">
        <f>VLOOKUP($Z28,flows!$A$2:$J$4985,AF$2,FALSE)</f>
        <v>#N/A</v>
      </c>
      <c r="AG28" s="346" t="e">
        <f>VLOOKUP($Z28,flows!$A$2:$J$4985,AG$2,FALSE)</f>
        <v>#N/A</v>
      </c>
      <c r="AH28" s="346" t="e">
        <f>VLOOKUP($Z28,flows!$A$2:$J$4985,AH$2,FALSE)</f>
        <v>#N/A</v>
      </c>
      <c r="AI28" s="346" t="e">
        <f>VLOOKUP($Z28,flows!$A$2:$J$4985,AI$2,FALSE)</f>
        <v>#N/A</v>
      </c>
      <c r="AJ28" s="346" t="e">
        <f>VLOOKUP($Z28,flows!$A$2:$J$4985,AJ$2,FALSE)</f>
        <v>#N/A</v>
      </c>
      <c r="AM28" s="343" t="s">
        <v>162</v>
      </c>
      <c r="AN28" s="344" t="s">
        <v>1167</v>
      </c>
      <c r="AO28" s="344" t="s">
        <v>1861</v>
      </c>
      <c r="AP28" s="346" t="e">
        <f>VLOOKUP($AM28,flows!$A$2:$J$4985,AP$2,FALSE)</f>
        <v>#N/A</v>
      </c>
      <c r="AQ28" s="346" t="e">
        <f>VLOOKUP($AM28,flows!$A$2:$J$4985,AQ$2,FALSE)</f>
        <v>#N/A</v>
      </c>
      <c r="AR28" s="346" t="e">
        <f>VLOOKUP($AM28,flows!$A$2:$J$4985,AR$2,FALSE)</f>
        <v>#N/A</v>
      </c>
      <c r="AS28" s="346" t="e">
        <f>VLOOKUP($AM28,flows!$A$2:$J$4985,AS$2,FALSE)</f>
        <v>#N/A</v>
      </c>
      <c r="AT28" s="346" t="e">
        <f>VLOOKUP($AM28,flows!$A$2:$J$4985,AT$2,FALSE)</f>
        <v>#N/A</v>
      </c>
      <c r="AU28" s="346" t="e">
        <f>VLOOKUP($AM28,flows!$A$2:$J$4985,AU$2,FALSE)</f>
        <v>#N/A</v>
      </c>
      <c r="AV28" s="346" t="e">
        <f>VLOOKUP($AM28,flows!$A$2:$J$4985,AV$2,FALSE)</f>
        <v>#N/A</v>
      </c>
      <c r="AW28" s="346" t="e">
        <f>VLOOKUP($AM28,flows!$A$2:$J$4985,AW$2,FALSE)</f>
        <v>#N/A</v>
      </c>
      <c r="AZ28" s="206" t="s">
        <v>4019</v>
      </c>
      <c r="BA28" s="344" t="s">
        <v>1160</v>
      </c>
      <c r="BB28" s="344" t="s">
        <v>1867</v>
      </c>
      <c r="BC28" s="346">
        <f>VLOOKUP(AZ28,flows!$A$2:$J$4985,2,FALSE)</f>
        <v>55614.029671917269</v>
      </c>
      <c r="BD28" s="346">
        <f>VLOOKUP(AZ28,flows!$A$2:$J$4985,3,FALSE)</f>
        <v>0</v>
      </c>
      <c r="BE28" s="346">
        <f>VLOOKUP(AZ28,flows!$A$2:$J$4985,4,FALSE)</f>
        <v>91.492117891534122</v>
      </c>
      <c r="BF28" s="346">
        <f>VLOOKUP(AZ28,flows!$A$2:$J$4985,5,FALSE)</f>
        <v>6069.9507182249799</v>
      </c>
      <c r="BG28" s="346">
        <f>VLOOKUP(AZ28,flows!$A$2:$J$4985,6,FALSE)</f>
        <v>25378.76623606509</v>
      </c>
      <c r="BH28" s="346">
        <f>VLOOKUP(AZ28,flows!$A$2:$J$4985,7,FALSE)</f>
        <v>40578.226335045358</v>
      </c>
      <c r="BI28" s="346">
        <f>VLOOKUP(AZ28,flows!$A$2:$J$4985,8,FALSE)</f>
        <v>66353.085894021046</v>
      </c>
      <c r="BJ28" s="346">
        <f>VLOOKUP(AZ28,flows!$A$2:$J$4985,9,FALSE)</f>
        <v>0</v>
      </c>
      <c r="BM28" s="206" t="s">
        <v>1817</v>
      </c>
      <c r="BN28" s="344" t="s">
        <v>1160</v>
      </c>
      <c r="BO28" s="344" t="s">
        <v>1547</v>
      </c>
      <c r="BP28" s="346" t="e">
        <f>VLOOKUP(BM28,flows!$A$2:$J$4985,2,FALSE)</f>
        <v>#N/A</v>
      </c>
      <c r="BQ28" s="346" t="e">
        <f>VLOOKUP(BM28,flows!$A$2:$J$4985,3,FALSE)</f>
        <v>#N/A</v>
      </c>
      <c r="BR28" s="346" t="e">
        <f>VLOOKUP(BM28,flows!$A$2:$J$4985,4,FALSE)</f>
        <v>#N/A</v>
      </c>
      <c r="BS28" s="346" t="e">
        <f>VLOOKUP(BM28,flows!$A$2:$J$4985,5,FALSE)</f>
        <v>#N/A</v>
      </c>
      <c r="BT28" s="346" t="e">
        <f>VLOOKUP(BM28,flows!$A$2:$J$4985,6,FALSE)</f>
        <v>#N/A</v>
      </c>
      <c r="BU28" s="346" t="e">
        <f>VLOOKUP(BM28,flows!$A$2:$J$4985,7,FALSE)</f>
        <v>#N/A</v>
      </c>
      <c r="BV28" s="346" t="e">
        <f>VLOOKUP(BM28,flows!$A$2:$J$4985,8,FALSE)</f>
        <v>#N/A</v>
      </c>
      <c r="BW28" s="346" t="e">
        <f>VLOOKUP(BM28,flows!$A$2:$J$4985,9,FALSE)</f>
        <v>#N/A</v>
      </c>
    </row>
    <row r="29" spans="12:75" ht="14.5" x14ac:dyDescent="0.35">
      <c r="L29" s="129"/>
      <c r="Z29" s="206" t="s">
        <v>1141</v>
      </c>
      <c r="AA29" s="337" t="s">
        <v>1209</v>
      </c>
      <c r="AB29" s="337" t="s">
        <v>1846</v>
      </c>
      <c r="AC29" s="346" t="e">
        <f>VLOOKUP($Z29,flows!$A$2:$J$4985,AC$2,FALSE)</f>
        <v>#N/A</v>
      </c>
      <c r="AD29" s="346" t="e">
        <f>VLOOKUP($Z29,flows!$A$2:$J$4985,AD$2,FALSE)</f>
        <v>#N/A</v>
      </c>
      <c r="AE29" s="346" t="e">
        <f>VLOOKUP($Z29,flows!$A$2:$J$4985,AE$2,FALSE)</f>
        <v>#N/A</v>
      </c>
      <c r="AF29" s="346" t="e">
        <f>VLOOKUP($Z29,flows!$A$2:$J$4985,AF$2,FALSE)</f>
        <v>#N/A</v>
      </c>
      <c r="AG29" s="346" t="e">
        <f>VLOOKUP($Z29,flows!$A$2:$J$4985,AG$2,FALSE)</f>
        <v>#N/A</v>
      </c>
      <c r="AH29" s="346" t="e">
        <f>VLOOKUP($Z29,flows!$A$2:$J$4985,AH$2,FALSE)</f>
        <v>#N/A</v>
      </c>
      <c r="AI29" s="346" t="e">
        <f>VLOOKUP($Z29,flows!$A$2:$J$4985,AI$2,FALSE)</f>
        <v>#N/A</v>
      </c>
      <c r="AJ29" s="346" t="e">
        <f>VLOOKUP($Z29,flows!$A$2:$J$4985,AJ$2,FALSE)</f>
        <v>#N/A</v>
      </c>
      <c r="AM29" s="203" t="s">
        <v>156</v>
      </c>
      <c r="AN29" s="204" t="s">
        <v>1167</v>
      </c>
      <c r="AO29" s="204" t="s">
        <v>1862</v>
      </c>
      <c r="AP29" s="346" t="e">
        <f>VLOOKUP($AM29,flows!$A$2:$J$4985,AP$2,FALSE)</f>
        <v>#N/A</v>
      </c>
      <c r="AQ29" s="346" t="e">
        <f>VLOOKUP($AM29,flows!$A$2:$J$4985,AQ$2,FALSE)</f>
        <v>#N/A</v>
      </c>
      <c r="AR29" s="346" t="e">
        <f>VLOOKUP($AM29,flows!$A$2:$J$4985,AR$2,FALSE)</f>
        <v>#N/A</v>
      </c>
      <c r="AS29" s="346" t="e">
        <f>VLOOKUP($AM29,flows!$A$2:$J$4985,AS$2,FALSE)</f>
        <v>#N/A</v>
      </c>
      <c r="AT29" s="346" t="e">
        <f>VLOOKUP($AM29,flows!$A$2:$J$4985,AT$2,FALSE)</f>
        <v>#N/A</v>
      </c>
      <c r="AU29" s="346" t="e">
        <f>VLOOKUP($AM29,flows!$A$2:$J$4985,AU$2,FALSE)</f>
        <v>#N/A</v>
      </c>
      <c r="AV29" s="346" t="e">
        <f>VLOOKUP($AM29,flows!$A$2:$J$4985,AV$2,FALSE)</f>
        <v>#N/A</v>
      </c>
      <c r="AW29" s="346" t="e">
        <f>VLOOKUP($AM29,flows!$A$2:$J$4985,AW$2,FALSE)</f>
        <v>#N/A</v>
      </c>
      <c r="AZ29" s="206" t="s">
        <v>4114</v>
      </c>
      <c r="BA29" s="344" t="s">
        <v>1160</v>
      </c>
      <c r="BB29" s="344" t="s">
        <v>4126</v>
      </c>
      <c r="BC29" s="346">
        <f>VLOOKUP(AZ29,flows!$A$2:$J$4985,2,FALSE)</f>
        <v>0.37299688660430519</v>
      </c>
      <c r="BD29" s="346">
        <f>VLOOKUP(AZ29,flows!$A$2:$J$4985,3,FALSE)</f>
        <v>0</v>
      </c>
      <c r="BE29" s="346">
        <f>VLOOKUP(AZ29,flows!$A$2:$J$4985,4,FALSE)</f>
        <v>1.384505395222785</v>
      </c>
      <c r="BF29" s="346">
        <f>VLOOKUP(AZ29,flows!$A$2:$J$4985,5,FALSE)</f>
        <v>1489.3314317062691</v>
      </c>
      <c r="BG29" s="346">
        <f>VLOOKUP(AZ29,flows!$A$2:$J$4985,6,FALSE)</f>
        <v>5959.957370865618</v>
      </c>
      <c r="BH29" s="346">
        <f>VLOOKUP(AZ29,flows!$A$2:$J$4985,7,FALSE)</f>
        <v>7710.0221297048638</v>
      </c>
      <c r="BI29" s="346">
        <f>VLOOKUP(AZ29,flows!$A$2:$J$4985,8,FALSE)</f>
        <v>8351.9078492462304</v>
      </c>
      <c r="BJ29" s="346">
        <f>VLOOKUP(AZ29,flows!$A$2:$J$4985,9,FALSE)</f>
        <v>0</v>
      </c>
      <c r="BM29" s="206" t="s">
        <v>1818</v>
      </c>
      <c r="BN29" s="344" t="s">
        <v>1160</v>
      </c>
      <c r="BO29" s="344" t="s">
        <v>1875</v>
      </c>
      <c r="BP29" s="346">
        <f>VLOOKUP(BM29,flows!$A$2:$J$4985,2,FALSE)</f>
        <v>114919.2139592431</v>
      </c>
      <c r="BQ29" s="346">
        <f>VLOOKUP(BM29,flows!$A$2:$J$4985,3,FALSE)</f>
        <v>11255.74357974178</v>
      </c>
      <c r="BR29" s="346">
        <f>VLOOKUP(BM29,flows!$A$2:$J$4985,4,FALSE)</f>
        <v>22864.083470322981</v>
      </c>
      <c r="BS29" s="346">
        <f>VLOOKUP(BM29,flows!$A$2:$J$4985,5,FALSE)</f>
        <v>40537.188651640012</v>
      </c>
      <c r="BT29" s="346">
        <f>VLOOKUP(BM29,flows!$A$2:$J$4985,6,FALSE)</f>
        <v>76491.508325183255</v>
      </c>
      <c r="BU29" s="346">
        <f>VLOOKUP(BM29,flows!$A$2:$J$4985,7,FALSE)</f>
        <v>90534.40706327511</v>
      </c>
      <c r="BV29" s="346">
        <f>VLOOKUP(BM29,flows!$A$2:$J$4985,8,FALSE)</f>
        <v>112924.83044288339</v>
      </c>
      <c r="BW29" s="346">
        <f>VLOOKUP(BM29,flows!$A$2:$J$4985,9,FALSE)</f>
        <v>0</v>
      </c>
    </row>
    <row r="30" spans="12:75" ht="15.5" customHeight="1" x14ac:dyDescent="0.35">
      <c r="L30" s="129"/>
      <c r="Z30" s="206" t="s">
        <v>1078</v>
      </c>
      <c r="AA30" s="337" t="s">
        <v>1209</v>
      </c>
      <c r="AB30" s="337" t="s">
        <v>1847</v>
      </c>
      <c r="AC30" s="346" t="e">
        <f>VLOOKUP($Z30,flows!$A$2:$J$4985,AC$2,FALSE)</f>
        <v>#N/A</v>
      </c>
      <c r="AD30" s="346" t="e">
        <f>VLOOKUP($Z30,flows!$A$2:$J$4985,AD$2,FALSE)</f>
        <v>#N/A</v>
      </c>
      <c r="AE30" s="346" t="e">
        <f>VLOOKUP($Z30,flows!$A$2:$J$4985,AE$2,FALSE)</f>
        <v>#N/A</v>
      </c>
      <c r="AF30" s="346" t="e">
        <f>VLOOKUP($Z30,flows!$A$2:$J$4985,AF$2,FALSE)</f>
        <v>#N/A</v>
      </c>
      <c r="AG30" s="346" t="e">
        <f>VLOOKUP($Z30,flows!$A$2:$J$4985,AG$2,FALSE)</f>
        <v>#N/A</v>
      </c>
      <c r="AH30" s="346" t="e">
        <f>VLOOKUP($Z30,flows!$A$2:$J$4985,AH$2,FALSE)</f>
        <v>#N/A</v>
      </c>
      <c r="AI30" s="346" t="e">
        <f>VLOOKUP($Z30,flows!$A$2:$J$4985,AI$2,FALSE)</f>
        <v>#N/A</v>
      </c>
      <c r="AJ30" s="346" t="e">
        <f>VLOOKUP($Z30,flows!$A$2:$J$4985,AJ$2,FALSE)</f>
        <v>#N/A</v>
      </c>
      <c r="AM30" s="343" t="s">
        <v>1074</v>
      </c>
      <c r="AN30" s="344" t="s">
        <v>1209</v>
      </c>
      <c r="AO30" s="344" t="s">
        <v>1863</v>
      </c>
      <c r="AP30" s="346" t="e">
        <f>VLOOKUP($AM30,flows!$A$2:$J$4985,AP$2,FALSE)</f>
        <v>#N/A</v>
      </c>
      <c r="AQ30" s="346" t="e">
        <f>VLOOKUP($AM30,flows!$A$2:$J$4985,AQ$2,FALSE)</f>
        <v>#N/A</v>
      </c>
      <c r="AR30" s="346" t="e">
        <f>VLOOKUP($AM30,flows!$A$2:$J$4985,AR$2,FALSE)</f>
        <v>#N/A</v>
      </c>
      <c r="AS30" s="346" t="e">
        <f>VLOOKUP($AM30,flows!$A$2:$J$4985,AS$2,FALSE)</f>
        <v>#N/A</v>
      </c>
      <c r="AT30" s="346" t="e">
        <f>VLOOKUP($AM30,flows!$A$2:$J$4985,AT$2,FALSE)</f>
        <v>#N/A</v>
      </c>
      <c r="AU30" s="346" t="e">
        <f>VLOOKUP($AM30,flows!$A$2:$J$4985,AU$2,FALSE)</f>
        <v>#N/A</v>
      </c>
      <c r="AV30" s="346" t="e">
        <f>VLOOKUP($AM30,flows!$A$2:$J$4985,AV$2,FALSE)</f>
        <v>#N/A</v>
      </c>
      <c r="AW30" s="346" t="e">
        <f>VLOOKUP($AM30,flows!$A$2:$J$4985,AW$2,FALSE)</f>
        <v>#N/A</v>
      </c>
      <c r="AZ30" s="206" t="s">
        <v>148</v>
      </c>
      <c r="BA30" s="344" t="s">
        <v>1162</v>
      </c>
      <c r="BB30" s="344" t="s">
        <v>1866</v>
      </c>
      <c r="BC30" s="346" t="e">
        <f>VLOOKUP(AZ30,flows!$A$2:$J$4985,2,FALSE)</f>
        <v>#N/A</v>
      </c>
      <c r="BD30" s="346" t="e">
        <f>VLOOKUP(AZ30,flows!$A$2:$J$4985,3,FALSE)</f>
        <v>#N/A</v>
      </c>
      <c r="BE30" s="346" t="e">
        <f>VLOOKUP(AZ30,flows!$A$2:$J$4985,4,FALSE)</f>
        <v>#N/A</v>
      </c>
      <c r="BF30" s="346" t="e">
        <f>VLOOKUP(AZ30,flows!$A$2:$J$4985,5,FALSE)</f>
        <v>#N/A</v>
      </c>
      <c r="BG30" s="346" t="e">
        <f>VLOOKUP(AZ30,flows!$A$2:$J$4985,6,FALSE)</f>
        <v>#N/A</v>
      </c>
      <c r="BH30" s="346" t="e">
        <f>VLOOKUP(AZ30,flows!$A$2:$J$4985,7,FALSE)</f>
        <v>#N/A</v>
      </c>
      <c r="BI30" s="346" t="e">
        <f>VLOOKUP(AZ30,flows!$A$2:$J$4985,8,FALSE)</f>
        <v>#N/A</v>
      </c>
      <c r="BJ30" s="346" t="e">
        <f>VLOOKUP(AZ30,flows!$A$2:$J$4985,9,FALSE)</f>
        <v>#N/A</v>
      </c>
      <c r="BM30" s="206" t="s">
        <v>4115</v>
      </c>
      <c r="BN30" s="344" t="s">
        <v>1160</v>
      </c>
      <c r="BO30" s="344" t="s">
        <v>4128</v>
      </c>
      <c r="BP30" s="346">
        <f>VLOOKUP(BM30,flows!$A$2:$J$4985,2,FALSE)</f>
        <v>25367.273034652699</v>
      </c>
      <c r="BQ30" s="346">
        <f>VLOOKUP(BM30,flows!$A$2:$J$4985,3,FALSE)</f>
        <v>0</v>
      </c>
      <c r="BR30" s="346">
        <f>VLOOKUP(BM30,flows!$A$2:$J$4985,4,FALSE)</f>
        <v>638.6015714041506</v>
      </c>
      <c r="BS30" s="346">
        <f>VLOOKUP(BM30,flows!$A$2:$J$4985,5,FALSE)</f>
        <v>5074.7066081926969</v>
      </c>
      <c r="BT30" s="346">
        <f>VLOOKUP(BM30,flows!$A$2:$J$4985,6,FALSE)</f>
        <v>12990.668015000179</v>
      </c>
      <c r="BU30" s="346">
        <f>VLOOKUP(BM30,flows!$A$2:$J$4985,7,FALSE)</f>
        <v>13226.229999740821</v>
      </c>
      <c r="BV30" s="346">
        <f>VLOOKUP(BM30,flows!$A$2:$J$4985,8,FALSE)</f>
        <v>25267.6144292067</v>
      </c>
      <c r="BW30" s="346">
        <f>VLOOKUP(BM30,flows!$A$2:$J$4985,9,FALSE)</f>
        <v>0</v>
      </c>
    </row>
    <row r="31" spans="12:75" x14ac:dyDescent="0.35">
      <c r="L31" s="65"/>
      <c r="Z31" s="206" t="s">
        <v>1134</v>
      </c>
      <c r="AA31" s="337" t="s">
        <v>1209</v>
      </c>
      <c r="AB31" s="337" t="s">
        <v>1848</v>
      </c>
      <c r="AC31" s="346" t="e">
        <f>VLOOKUP($Z31,flows!$A$2:$J$4985,AC$2,FALSE)</f>
        <v>#N/A</v>
      </c>
      <c r="AD31" s="346" t="e">
        <f>VLOOKUP($Z31,flows!$A$2:$J$4985,AD$2,FALSE)</f>
        <v>#N/A</v>
      </c>
      <c r="AE31" s="346" t="e">
        <f>VLOOKUP($Z31,flows!$A$2:$J$4985,AE$2,FALSE)</f>
        <v>#N/A</v>
      </c>
      <c r="AF31" s="346" t="e">
        <f>VLOOKUP($Z31,flows!$A$2:$J$4985,AF$2,FALSE)</f>
        <v>#N/A</v>
      </c>
      <c r="AG31" s="346" t="e">
        <f>VLOOKUP($Z31,flows!$A$2:$J$4985,AG$2,FALSE)</f>
        <v>#N/A</v>
      </c>
      <c r="AH31" s="346" t="e">
        <f>VLOOKUP($Z31,flows!$A$2:$J$4985,AH$2,FALSE)</f>
        <v>#N/A</v>
      </c>
      <c r="AI31" s="346" t="e">
        <f>VLOOKUP($Z31,flows!$A$2:$J$4985,AI$2,FALSE)</f>
        <v>#N/A</v>
      </c>
      <c r="AJ31" s="346" t="e">
        <f>VLOOKUP($Z31,flows!$A$2:$J$4985,AJ$2,FALSE)</f>
        <v>#N/A</v>
      </c>
      <c r="AM31" s="343" t="s">
        <v>1131</v>
      </c>
      <c r="AN31" s="344" t="s">
        <v>1209</v>
      </c>
      <c r="AO31" s="344" t="s">
        <v>1864</v>
      </c>
      <c r="AP31" s="346" t="e">
        <f>VLOOKUP($AM31,flows!$A$2:$J$4985,AP$2,FALSE)</f>
        <v>#N/A</v>
      </c>
      <c r="AQ31" s="346" t="e">
        <f>VLOOKUP($AM31,flows!$A$2:$J$4985,AQ$2,FALSE)</f>
        <v>#N/A</v>
      </c>
      <c r="AR31" s="346" t="e">
        <f>VLOOKUP($AM31,flows!$A$2:$J$4985,AR$2,FALSE)</f>
        <v>#N/A</v>
      </c>
      <c r="AS31" s="346" t="e">
        <f>VLOOKUP($AM31,flows!$A$2:$J$4985,AS$2,FALSE)</f>
        <v>#N/A</v>
      </c>
      <c r="AT31" s="346" t="e">
        <f>VLOOKUP($AM31,flows!$A$2:$J$4985,AT$2,FALSE)</f>
        <v>#N/A</v>
      </c>
      <c r="AU31" s="346" t="e">
        <f>VLOOKUP($AM31,flows!$A$2:$J$4985,AU$2,FALSE)</f>
        <v>#N/A</v>
      </c>
      <c r="AV31" s="346" t="e">
        <f>VLOOKUP($AM31,flows!$A$2:$J$4985,AV$2,FALSE)</f>
        <v>#N/A</v>
      </c>
      <c r="AW31" s="346" t="e">
        <f>VLOOKUP($AM31,flows!$A$2:$J$4985,AW$2,FALSE)</f>
        <v>#N/A</v>
      </c>
      <c r="AZ31" s="206" t="s">
        <v>169</v>
      </c>
      <c r="BA31" s="344" t="s">
        <v>1167</v>
      </c>
      <c r="BB31" s="344" t="s">
        <v>1861</v>
      </c>
      <c r="BC31" s="346" t="e">
        <f>VLOOKUP(AZ31,flows!$A$2:$J$4985,2,FALSE)</f>
        <v>#N/A</v>
      </c>
      <c r="BD31" s="346" t="e">
        <f>VLOOKUP(AZ31,flows!$A$2:$J$4985,3,FALSE)</f>
        <v>#N/A</v>
      </c>
      <c r="BE31" s="346" t="e">
        <f>VLOOKUP(AZ31,flows!$A$2:$J$4985,4,FALSE)</f>
        <v>#N/A</v>
      </c>
      <c r="BF31" s="346" t="e">
        <f>VLOOKUP(AZ31,flows!$A$2:$J$4985,5,FALSE)</f>
        <v>#N/A</v>
      </c>
      <c r="BG31" s="346" t="e">
        <f>VLOOKUP(AZ31,flows!$A$2:$J$4985,6,FALSE)</f>
        <v>#N/A</v>
      </c>
      <c r="BH31" s="346" t="e">
        <f>VLOOKUP(AZ31,flows!$A$2:$J$4985,7,FALSE)</f>
        <v>#N/A</v>
      </c>
      <c r="BI31" s="346" t="e">
        <f>VLOOKUP(AZ31,flows!$A$2:$J$4985,8,FALSE)</f>
        <v>#N/A</v>
      </c>
      <c r="BJ31" s="346" t="e">
        <f>VLOOKUP(AZ31,flows!$A$2:$J$4985,9,FALSE)</f>
        <v>#N/A</v>
      </c>
      <c r="BM31" s="206" t="s">
        <v>147</v>
      </c>
      <c r="BN31" s="344" t="s">
        <v>1162</v>
      </c>
      <c r="BO31" s="344" t="s">
        <v>1876</v>
      </c>
      <c r="BP31" s="346" t="e">
        <f>VLOOKUP(BM31,flows!$A$2:$J$4985,2,FALSE)</f>
        <v>#N/A</v>
      </c>
      <c r="BQ31" s="346" t="e">
        <f>VLOOKUP(BM31,flows!$A$2:$J$4985,3,FALSE)</f>
        <v>#N/A</v>
      </c>
      <c r="BR31" s="346" t="e">
        <f>VLOOKUP(BM31,flows!$A$2:$J$4985,4,FALSE)</f>
        <v>#N/A</v>
      </c>
      <c r="BS31" s="346" t="e">
        <f>VLOOKUP(BM31,flows!$A$2:$J$4985,5,FALSE)</f>
        <v>#N/A</v>
      </c>
      <c r="BT31" s="346" t="e">
        <f>VLOOKUP(BM31,flows!$A$2:$J$4985,6,FALSE)</f>
        <v>#N/A</v>
      </c>
      <c r="BU31" s="346" t="e">
        <f>VLOOKUP(BM31,flows!$A$2:$J$4985,7,FALSE)</f>
        <v>#N/A</v>
      </c>
      <c r="BV31" s="346" t="e">
        <f>VLOOKUP(BM31,flows!$A$2:$J$4985,8,FALSE)</f>
        <v>#N/A</v>
      </c>
      <c r="BW31" s="346" t="e">
        <f>VLOOKUP(BM31,flows!$A$2:$J$4985,9,FALSE)</f>
        <v>#N/A</v>
      </c>
    </row>
    <row r="32" spans="12:75" x14ac:dyDescent="0.35">
      <c r="Z32" s="207" t="s">
        <v>1118</v>
      </c>
      <c r="AA32" s="338" t="s">
        <v>1208</v>
      </c>
      <c r="AB32" s="338" t="s">
        <v>1849</v>
      </c>
      <c r="AC32" s="346" t="e">
        <f>VLOOKUP($Z32,flows!$A$2:$J$4985,AC$2,FALSE)</f>
        <v>#N/A</v>
      </c>
      <c r="AD32" s="346" t="e">
        <f>VLOOKUP($Z32,flows!$A$2:$J$4985,AD$2,FALSE)</f>
        <v>#N/A</v>
      </c>
      <c r="AE32" s="346" t="e">
        <f>VLOOKUP($Z32,flows!$A$2:$J$4985,AE$2,FALSE)</f>
        <v>#N/A</v>
      </c>
      <c r="AF32" s="346" t="e">
        <f>VLOOKUP($Z32,flows!$A$2:$J$4985,AF$2,FALSE)</f>
        <v>#N/A</v>
      </c>
      <c r="AG32" s="346" t="e">
        <f>VLOOKUP($Z32,flows!$A$2:$J$4985,AG$2,FALSE)</f>
        <v>#N/A</v>
      </c>
      <c r="AH32" s="346" t="e">
        <f>VLOOKUP($Z32,flows!$A$2:$J$4985,AH$2,FALSE)</f>
        <v>#N/A</v>
      </c>
      <c r="AI32" s="346" t="e">
        <f>VLOOKUP($Z32,flows!$A$2:$J$4985,AI$2,FALSE)</f>
        <v>#N/A</v>
      </c>
      <c r="AJ32" s="346" t="e">
        <f>VLOOKUP($Z32,flows!$A$2:$J$4985,AJ$2,FALSE)</f>
        <v>#N/A</v>
      </c>
      <c r="AM32" s="203" t="s">
        <v>1117</v>
      </c>
      <c r="AN32" s="204" t="s">
        <v>1208</v>
      </c>
      <c r="AO32" s="204" t="s">
        <v>1865</v>
      </c>
      <c r="AP32" s="346" t="e">
        <f>VLOOKUP($AM32,flows!$A$2:$J$4985,AP$2,FALSE)</f>
        <v>#N/A</v>
      </c>
      <c r="AQ32" s="346" t="e">
        <f>VLOOKUP($AM32,flows!$A$2:$J$4985,AQ$2,FALSE)</f>
        <v>#N/A</v>
      </c>
      <c r="AR32" s="346" t="e">
        <f>VLOOKUP($AM32,flows!$A$2:$J$4985,AR$2,FALSE)</f>
        <v>#N/A</v>
      </c>
      <c r="AS32" s="346" t="e">
        <f>VLOOKUP($AM32,flows!$A$2:$J$4985,AS$2,FALSE)</f>
        <v>#N/A</v>
      </c>
      <c r="AT32" s="346" t="e">
        <f>VLOOKUP($AM32,flows!$A$2:$J$4985,AT$2,FALSE)</f>
        <v>#N/A</v>
      </c>
      <c r="AU32" s="346" t="e">
        <f>VLOOKUP($AM32,flows!$A$2:$J$4985,AU$2,FALSE)</f>
        <v>#N/A</v>
      </c>
      <c r="AV32" s="346" t="e">
        <f>VLOOKUP($AM32,flows!$A$2:$J$4985,AV$2,FALSE)</f>
        <v>#N/A</v>
      </c>
      <c r="AW32" s="346" t="e">
        <f>VLOOKUP($AM32,flows!$A$2:$J$4985,AW$2,FALSE)</f>
        <v>#N/A</v>
      </c>
      <c r="AZ32" s="206" t="s">
        <v>602</v>
      </c>
      <c r="BA32" s="344" t="s">
        <v>1413</v>
      </c>
      <c r="BB32" s="344" t="s">
        <v>1868</v>
      </c>
      <c r="BC32" s="346" t="e">
        <f>VLOOKUP(AZ32,flows!$A$2:$J$4985,2,FALSE)</f>
        <v>#N/A</v>
      </c>
      <c r="BD32" s="346" t="e">
        <f>VLOOKUP(AZ32,flows!$A$2:$J$4985,3,FALSE)</f>
        <v>#N/A</v>
      </c>
      <c r="BE32" s="346" t="e">
        <f>VLOOKUP(AZ32,flows!$A$2:$J$4985,4,FALSE)</f>
        <v>#N/A</v>
      </c>
      <c r="BF32" s="346" t="e">
        <f>VLOOKUP(AZ32,flows!$A$2:$J$4985,5,FALSE)</f>
        <v>#N/A</v>
      </c>
      <c r="BG32" s="346" t="e">
        <f>VLOOKUP(AZ32,flows!$A$2:$J$4985,6,FALSE)</f>
        <v>#N/A</v>
      </c>
      <c r="BH32" s="346" t="e">
        <f>VLOOKUP(AZ32,flows!$A$2:$J$4985,7,FALSE)</f>
        <v>#N/A</v>
      </c>
      <c r="BI32" s="346" t="e">
        <f>VLOOKUP(AZ32,flows!$A$2:$J$4985,8,FALSE)</f>
        <v>#N/A</v>
      </c>
      <c r="BJ32" s="346" t="e">
        <f>VLOOKUP(AZ32,flows!$A$2:$J$4985,9,FALSE)</f>
        <v>#N/A</v>
      </c>
      <c r="BM32" s="206" t="s">
        <v>4023</v>
      </c>
      <c r="BN32" s="344" t="s">
        <v>1167</v>
      </c>
      <c r="BO32" s="344" t="s">
        <v>1877</v>
      </c>
      <c r="BP32" s="346" t="e">
        <f>VLOOKUP(BM32,flows!$A$2:$J$4985,2,FALSE)</f>
        <v>#N/A</v>
      </c>
      <c r="BQ32" s="346" t="e">
        <f>VLOOKUP(BM32,flows!$A$2:$J$4985,3,FALSE)</f>
        <v>#N/A</v>
      </c>
      <c r="BR32" s="346" t="e">
        <f>VLOOKUP(BM32,flows!$A$2:$J$4985,4,FALSE)</f>
        <v>#N/A</v>
      </c>
      <c r="BS32" s="346" t="e">
        <f>VLOOKUP(BM32,flows!$A$2:$J$4985,5,FALSE)</f>
        <v>#N/A</v>
      </c>
      <c r="BT32" s="346" t="e">
        <f>VLOOKUP(BM32,flows!$A$2:$J$4985,6,FALSE)</f>
        <v>#N/A</v>
      </c>
      <c r="BU32" s="346" t="e">
        <f>VLOOKUP(BM32,flows!$A$2:$J$4985,7,FALSE)</f>
        <v>#N/A</v>
      </c>
      <c r="BV32" s="346" t="e">
        <f>VLOOKUP(BM32,flows!$A$2:$J$4985,8,FALSE)</f>
        <v>#N/A</v>
      </c>
      <c r="BW32" s="346" t="e">
        <f>VLOOKUP(BM32,flows!$A$2:$J$4985,9,FALSE)</f>
        <v>#N/A</v>
      </c>
    </row>
    <row r="33" spans="26:75" ht="14.5" thickBot="1" x14ac:dyDescent="0.4">
      <c r="Z33" s="206" t="s">
        <v>594</v>
      </c>
      <c r="AA33" s="337" t="s">
        <v>4013</v>
      </c>
      <c r="AB33" s="337" t="s">
        <v>1850</v>
      </c>
      <c r="AC33" s="346" t="e">
        <f>VLOOKUP($Z33,flows!$A$2:$J$4985,AC$2,FALSE)</f>
        <v>#N/A</v>
      </c>
      <c r="AD33" s="346" t="e">
        <f>VLOOKUP($Z33,flows!$A$2:$J$4985,AD$2,FALSE)</f>
        <v>#N/A</v>
      </c>
      <c r="AE33" s="346" t="e">
        <f>VLOOKUP($Z33,flows!$A$2:$J$4985,AE$2,FALSE)</f>
        <v>#N/A</v>
      </c>
      <c r="AF33" s="346" t="e">
        <f>VLOOKUP($Z33,flows!$A$2:$J$4985,AF$2,FALSE)</f>
        <v>#N/A</v>
      </c>
      <c r="AG33" s="346" t="e">
        <f>VLOOKUP($Z33,flows!$A$2:$J$4985,AG$2,FALSE)</f>
        <v>#N/A</v>
      </c>
      <c r="AH33" s="346" t="e">
        <f>VLOOKUP($Z33,flows!$A$2:$J$4985,AH$2,FALSE)</f>
        <v>#N/A</v>
      </c>
      <c r="AI33" s="346" t="e">
        <f>VLOOKUP($Z33,flows!$A$2:$J$4985,AI$2,FALSE)</f>
        <v>#N/A</v>
      </c>
      <c r="AJ33" s="346" t="e">
        <f>VLOOKUP($Z33,flows!$A$2:$J$4985,AJ$2,FALSE)</f>
        <v>#N/A</v>
      </c>
      <c r="AM33" s="201" t="s">
        <v>141</v>
      </c>
      <c r="AN33" s="347" t="s">
        <v>1162</v>
      </c>
      <c r="AO33" s="347" t="s">
        <v>1866</v>
      </c>
      <c r="AP33" s="346" t="e">
        <f>VLOOKUP($AM33,flows!$A$2:$J$4985,AP$2,FALSE)</f>
        <v>#N/A</v>
      </c>
      <c r="AQ33" s="346" t="e">
        <f>VLOOKUP($AM33,flows!$A$2:$J$4985,AQ$2,FALSE)</f>
        <v>#N/A</v>
      </c>
      <c r="AR33" s="346" t="e">
        <f>VLOOKUP($AM33,flows!$A$2:$J$4985,AR$2,FALSE)</f>
        <v>#N/A</v>
      </c>
      <c r="AS33" s="346" t="e">
        <f>VLOOKUP($AM33,flows!$A$2:$J$4985,AS$2,FALSE)</f>
        <v>#N/A</v>
      </c>
      <c r="AT33" s="346" t="e">
        <f>VLOOKUP($AM33,flows!$A$2:$J$4985,AT$2,FALSE)</f>
        <v>#N/A</v>
      </c>
      <c r="AU33" s="346" t="e">
        <f>VLOOKUP($AM33,flows!$A$2:$J$4985,AU$2,FALSE)</f>
        <v>#N/A</v>
      </c>
      <c r="AV33" s="346" t="e">
        <f>VLOOKUP($AM33,flows!$A$2:$J$4985,AV$2,FALSE)</f>
        <v>#N/A</v>
      </c>
      <c r="AW33" s="346" t="e">
        <f>VLOOKUP($AM33,flows!$A$2:$J$4985,AW$2,FALSE)</f>
        <v>#N/A</v>
      </c>
      <c r="AZ33" s="343" t="s">
        <v>1132</v>
      </c>
      <c r="BA33" s="344" t="s">
        <v>1209</v>
      </c>
      <c r="BB33" s="344" t="s">
        <v>1869</v>
      </c>
      <c r="BC33" s="346" t="e">
        <f>VLOOKUP(AZ33,flows!$A$2:$J$4985,2,FALSE)</f>
        <v>#N/A</v>
      </c>
      <c r="BD33" s="346" t="e">
        <f>VLOOKUP(AZ33,flows!$A$2:$J$4985,3,FALSE)</f>
        <v>#N/A</v>
      </c>
      <c r="BE33" s="346" t="e">
        <f>VLOOKUP(AZ33,flows!$A$2:$J$4985,4,FALSE)</f>
        <v>#N/A</v>
      </c>
      <c r="BF33" s="346" t="e">
        <f>VLOOKUP(AZ33,flows!$A$2:$J$4985,5,FALSE)</f>
        <v>#N/A</v>
      </c>
      <c r="BG33" s="346" t="e">
        <f>VLOOKUP(AZ33,flows!$A$2:$J$4985,6,FALSE)</f>
        <v>#N/A</v>
      </c>
      <c r="BH33" s="346" t="e">
        <f>VLOOKUP(AZ33,flows!$A$2:$J$4985,7,FALSE)</f>
        <v>#N/A</v>
      </c>
      <c r="BI33" s="346" t="e">
        <f>VLOOKUP(AZ33,flows!$A$2:$J$4985,8,FALSE)</f>
        <v>#N/A</v>
      </c>
      <c r="BJ33" s="346" t="e">
        <f>VLOOKUP(AZ33,flows!$A$2:$J$4985,9,FALSE)</f>
        <v>#N/A</v>
      </c>
      <c r="BM33" s="206" t="s">
        <v>4024</v>
      </c>
      <c r="BN33" s="204" t="s">
        <v>1167</v>
      </c>
      <c r="BO33" s="204" t="s">
        <v>1878</v>
      </c>
      <c r="BP33" s="346" t="e">
        <f>VLOOKUP(BM33,flows!$A$2:$J$4985,2,FALSE)</f>
        <v>#N/A</v>
      </c>
      <c r="BQ33" s="346" t="e">
        <f>VLOOKUP(BM33,flows!$A$2:$J$4985,3,FALSE)</f>
        <v>#N/A</v>
      </c>
      <c r="BR33" s="346" t="e">
        <f>VLOOKUP(BM33,flows!$A$2:$J$4985,4,FALSE)</f>
        <v>#N/A</v>
      </c>
      <c r="BS33" s="346" t="e">
        <f>VLOOKUP(BM33,flows!$A$2:$J$4985,5,FALSE)</f>
        <v>#N/A</v>
      </c>
      <c r="BT33" s="346" t="e">
        <f>VLOOKUP(BM33,flows!$A$2:$J$4985,6,FALSE)</f>
        <v>#N/A</v>
      </c>
      <c r="BU33" s="346" t="e">
        <f>VLOOKUP(BM33,flows!$A$2:$J$4985,7,FALSE)</f>
        <v>#N/A</v>
      </c>
      <c r="BV33" s="346" t="e">
        <f>VLOOKUP(BM33,flows!$A$2:$J$4985,8,FALSE)</f>
        <v>#N/A</v>
      </c>
      <c r="BW33" s="346" t="e">
        <f>VLOOKUP(BM33,flows!$A$2:$J$4985,9,FALSE)</f>
        <v>#N/A</v>
      </c>
    </row>
    <row r="34" spans="26:75" x14ac:dyDescent="0.35">
      <c r="Z34" s="206" t="s">
        <v>596</v>
      </c>
      <c r="AA34" s="337" t="s">
        <v>4014</v>
      </c>
      <c r="AB34" s="337" t="s">
        <v>1851</v>
      </c>
      <c r="AC34" s="346" t="e">
        <f>VLOOKUP($Z34,flows!$A$2:$J$4985,AC$2,FALSE)</f>
        <v>#N/A</v>
      </c>
      <c r="AD34" s="346" t="e">
        <f>VLOOKUP($Z34,flows!$A$2:$J$4985,AD$2,FALSE)</f>
        <v>#N/A</v>
      </c>
      <c r="AE34" s="346" t="e">
        <f>VLOOKUP($Z34,flows!$A$2:$J$4985,AE$2,FALSE)</f>
        <v>#N/A</v>
      </c>
      <c r="AF34" s="346" t="e">
        <f>VLOOKUP($Z34,flows!$A$2:$J$4985,AF$2,FALSE)</f>
        <v>#N/A</v>
      </c>
      <c r="AG34" s="346" t="e">
        <f>VLOOKUP($Z34,flows!$A$2:$J$4985,AG$2,FALSE)</f>
        <v>#N/A</v>
      </c>
      <c r="AH34" s="346" t="e">
        <f>VLOOKUP($Z34,flows!$A$2:$J$4985,AH$2,FALSE)</f>
        <v>#N/A</v>
      </c>
      <c r="AI34" s="346" t="e">
        <f>VLOOKUP($Z34,flows!$A$2:$J$4985,AI$2,FALSE)</f>
        <v>#N/A</v>
      </c>
      <c r="AJ34" s="346" t="e">
        <f>VLOOKUP($Z34,flows!$A$2:$J$4985,AJ$2,FALSE)</f>
        <v>#N/A</v>
      </c>
      <c r="AZ34" s="343" t="s">
        <v>1133</v>
      </c>
      <c r="BA34" s="344" t="s">
        <v>1209</v>
      </c>
      <c r="BB34" s="344" t="s">
        <v>1873</v>
      </c>
      <c r="BC34" s="346" t="e">
        <f>VLOOKUP(AZ34,flows!$A$2:$J$4985,2,FALSE)</f>
        <v>#N/A</v>
      </c>
      <c r="BD34" s="346" t="e">
        <f>VLOOKUP(AZ34,flows!$A$2:$J$4985,3,FALSE)</f>
        <v>#N/A</v>
      </c>
      <c r="BE34" s="346" t="e">
        <f>VLOOKUP(AZ34,flows!$A$2:$J$4985,4,FALSE)</f>
        <v>#N/A</v>
      </c>
      <c r="BF34" s="346" t="e">
        <f>VLOOKUP(AZ34,flows!$A$2:$J$4985,5,FALSE)</f>
        <v>#N/A</v>
      </c>
      <c r="BG34" s="346" t="e">
        <f>VLOOKUP(AZ34,flows!$A$2:$J$4985,6,FALSE)</f>
        <v>#N/A</v>
      </c>
      <c r="BH34" s="346" t="e">
        <f>VLOOKUP(AZ34,flows!$A$2:$J$4985,7,FALSE)</f>
        <v>#N/A</v>
      </c>
      <c r="BI34" s="346" t="e">
        <f>VLOOKUP(AZ34,flows!$A$2:$J$4985,8,FALSE)</f>
        <v>#N/A</v>
      </c>
      <c r="BJ34" s="346" t="e">
        <f>VLOOKUP(AZ34,flows!$A$2:$J$4985,9,FALSE)</f>
        <v>#N/A</v>
      </c>
      <c r="BM34" s="206" t="s">
        <v>1140</v>
      </c>
      <c r="BN34" s="344" t="s">
        <v>1209</v>
      </c>
      <c r="BO34" s="344" t="s">
        <v>1879</v>
      </c>
      <c r="BP34" s="346" t="e">
        <f>VLOOKUP(BM34,flows!$A$2:$J$4985,2,FALSE)</f>
        <v>#N/A</v>
      </c>
      <c r="BQ34" s="346" t="e">
        <f>VLOOKUP(BM34,flows!$A$2:$J$4985,3,FALSE)</f>
        <v>#N/A</v>
      </c>
      <c r="BR34" s="346" t="e">
        <f>VLOOKUP(BM34,flows!$A$2:$J$4985,4,FALSE)</f>
        <v>#N/A</v>
      </c>
      <c r="BS34" s="346" t="e">
        <f>VLOOKUP(BM34,flows!$A$2:$J$4985,5,FALSE)</f>
        <v>#N/A</v>
      </c>
      <c r="BT34" s="346" t="e">
        <f>VLOOKUP(BM34,flows!$A$2:$J$4985,6,FALSE)</f>
        <v>#N/A</v>
      </c>
      <c r="BU34" s="346" t="e">
        <f>VLOOKUP(BM34,flows!$A$2:$J$4985,7,FALSE)</f>
        <v>#N/A</v>
      </c>
      <c r="BV34" s="346" t="e">
        <f>VLOOKUP(BM34,flows!$A$2:$J$4985,8,FALSE)</f>
        <v>#N/A</v>
      </c>
      <c r="BW34" s="346" t="e">
        <f>VLOOKUP(BM34,flows!$A$2:$J$4985,9,FALSE)</f>
        <v>#N/A</v>
      </c>
    </row>
    <row r="35" spans="26:75" x14ac:dyDescent="0.35">
      <c r="Z35" s="206" t="s">
        <v>648</v>
      </c>
      <c r="AA35" s="337" t="s">
        <v>1206</v>
      </c>
      <c r="AB35" s="337" t="s">
        <v>1852</v>
      </c>
      <c r="AC35" s="346" t="e">
        <f>VLOOKUP($Z35,flows!$A$2:$J$4985,AC$2,FALSE)</f>
        <v>#N/A</v>
      </c>
      <c r="AD35" s="346" t="e">
        <f>VLOOKUP($Z35,flows!$A$2:$J$4985,AD$2,FALSE)</f>
        <v>#N/A</v>
      </c>
      <c r="AE35" s="346" t="e">
        <f>VLOOKUP($Z35,flows!$A$2:$J$4985,AE$2,FALSE)</f>
        <v>#N/A</v>
      </c>
      <c r="AF35" s="346" t="e">
        <f>VLOOKUP($Z35,flows!$A$2:$J$4985,AF$2,FALSE)</f>
        <v>#N/A</v>
      </c>
      <c r="AG35" s="346" t="e">
        <f>VLOOKUP($Z35,flows!$A$2:$J$4985,AG$2,FALSE)</f>
        <v>#N/A</v>
      </c>
      <c r="AH35" s="346" t="e">
        <f>VLOOKUP($Z35,flows!$A$2:$J$4985,AH$2,FALSE)</f>
        <v>#N/A</v>
      </c>
      <c r="AI35" s="346" t="e">
        <f>VLOOKUP($Z35,flows!$A$2:$J$4985,AI$2,FALSE)</f>
        <v>#N/A</v>
      </c>
      <c r="AJ35" s="346" t="e">
        <f>VLOOKUP($Z35,flows!$A$2:$J$4985,AJ$2,FALSE)</f>
        <v>#N/A</v>
      </c>
      <c r="AZ35" s="343" t="s">
        <v>1075</v>
      </c>
      <c r="BA35" s="344" t="s">
        <v>1209</v>
      </c>
      <c r="BB35" s="344" t="s">
        <v>1870</v>
      </c>
      <c r="BC35" s="346" t="e">
        <f>VLOOKUP(AZ35,flows!$A$2:$J$4985,2,FALSE)</f>
        <v>#N/A</v>
      </c>
      <c r="BD35" s="346" t="e">
        <f>VLOOKUP(AZ35,flows!$A$2:$J$4985,3,FALSE)</f>
        <v>#N/A</v>
      </c>
      <c r="BE35" s="346" t="e">
        <f>VLOOKUP(AZ35,flows!$A$2:$J$4985,4,FALSE)</f>
        <v>#N/A</v>
      </c>
      <c r="BF35" s="346" t="e">
        <f>VLOOKUP(AZ35,flows!$A$2:$J$4985,5,FALSE)</f>
        <v>#N/A</v>
      </c>
      <c r="BG35" s="346" t="e">
        <f>VLOOKUP(AZ35,flows!$A$2:$J$4985,6,FALSE)</f>
        <v>#N/A</v>
      </c>
      <c r="BH35" s="346" t="e">
        <f>VLOOKUP(AZ35,flows!$A$2:$J$4985,7,FALSE)</f>
        <v>#N/A</v>
      </c>
      <c r="BI35" s="346" t="e">
        <f>VLOOKUP(AZ35,flows!$A$2:$J$4985,8,FALSE)</f>
        <v>#N/A</v>
      </c>
      <c r="BJ35" s="346" t="e">
        <f>VLOOKUP(AZ35,flows!$A$2:$J$4985,9,FALSE)</f>
        <v>#N/A</v>
      </c>
      <c r="BM35" s="207" t="s">
        <v>4025</v>
      </c>
      <c r="BN35" s="344" t="s">
        <v>1209</v>
      </c>
      <c r="BO35" s="344" t="s">
        <v>1880</v>
      </c>
      <c r="BP35" s="346" t="e">
        <f>VLOOKUP(BM35,flows!$A$2:$J$4985,2,FALSE)</f>
        <v>#N/A</v>
      </c>
      <c r="BQ35" s="346" t="e">
        <f>VLOOKUP(BM35,flows!$A$2:$J$4985,3,FALSE)</f>
        <v>#N/A</v>
      </c>
      <c r="BR35" s="346" t="e">
        <f>VLOOKUP(BM35,flows!$A$2:$J$4985,4,FALSE)</f>
        <v>#N/A</v>
      </c>
      <c r="BS35" s="346" t="e">
        <f>VLOOKUP(BM35,flows!$A$2:$J$4985,5,FALSE)</f>
        <v>#N/A</v>
      </c>
      <c r="BT35" s="346" t="e">
        <f>VLOOKUP(BM35,flows!$A$2:$J$4985,6,FALSE)</f>
        <v>#N/A</v>
      </c>
      <c r="BU35" s="346" t="e">
        <f>VLOOKUP(BM35,flows!$A$2:$J$4985,7,FALSE)</f>
        <v>#N/A</v>
      </c>
      <c r="BV35" s="346" t="e">
        <f>VLOOKUP(BM35,flows!$A$2:$J$4985,8,FALSE)</f>
        <v>#N/A</v>
      </c>
      <c r="BW35" s="346" t="e">
        <f>VLOOKUP(BM35,flows!$A$2:$J$4985,9,FALSE)</f>
        <v>#N/A</v>
      </c>
    </row>
    <row r="36" spans="26:75" x14ac:dyDescent="0.35">
      <c r="Z36" s="206" t="s">
        <v>166</v>
      </c>
      <c r="AA36" s="337" t="s">
        <v>1167</v>
      </c>
      <c r="AB36" s="337" t="s">
        <v>1854</v>
      </c>
      <c r="AC36" s="346" t="e">
        <f>VLOOKUP($Z36,flows!$A$2:$J$4985,AC$2,FALSE)</f>
        <v>#N/A</v>
      </c>
      <c r="AD36" s="346" t="e">
        <f>VLOOKUP($Z36,flows!$A$2:$J$4985,AD$2,FALSE)</f>
        <v>#N/A</v>
      </c>
      <c r="AE36" s="346" t="e">
        <f>VLOOKUP($Z36,flows!$A$2:$J$4985,AE$2,FALSE)</f>
        <v>#N/A</v>
      </c>
      <c r="AF36" s="346" t="e">
        <f>VLOOKUP($Z36,flows!$A$2:$J$4985,AF$2,FALSE)</f>
        <v>#N/A</v>
      </c>
      <c r="AG36" s="346" t="e">
        <f>VLOOKUP($Z36,flows!$A$2:$J$4985,AG$2,FALSE)</f>
        <v>#N/A</v>
      </c>
      <c r="AH36" s="346" t="e">
        <f>VLOOKUP($Z36,flows!$A$2:$J$4985,AH$2,FALSE)</f>
        <v>#N/A</v>
      </c>
      <c r="AI36" s="346" t="e">
        <f>VLOOKUP($Z36,flows!$A$2:$J$4985,AI$2,FALSE)</f>
        <v>#N/A</v>
      </c>
      <c r="AJ36" s="346" t="e">
        <f>VLOOKUP($Z36,flows!$A$2:$J$4985,AJ$2,FALSE)</f>
        <v>#N/A</v>
      </c>
      <c r="AZ36" s="343" t="s">
        <v>1076</v>
      </c>
      <c r="BA36" s="344" t="s">
        <v>1209</v>
      </c>
      <c r="BB36" s="344" t="s">
        <v>1874</v>
      </c>
      <c r="BC36" s="346" t="e">
        <f>VLOOKUP(AZ36,flows!$A$2:$J$4985,2,FALSE)</f>
        <v>#N/A</v>
      </c>
      <c r="BD36" s="346" t="e">
        <f>VLOOKUP(AZ36,flows!$A$2:$J$4985,3,FALSE)</f>
        <v>#N/A</v>
      </c>
      <c r="BE36" s="346" t="e">
        <f>VLOOKUP(AZ36,flows!$A$2:$J$4985,4,FALSE)</f>
        <v>#N/A</v>
      </c>
      <c r="BF36" s="346" t="e">
        <f>VLOOKUP(AZ36,flows!$A$2:$J$4985,5,FALSE)</f>
        <v>#N/A</v>
      </c>
      <c r="BG36" s="346" t="e">
        <f>VLOOKUP(AZ36,flows!$A$2:$J$4985,6,FALSE)</f>
        <v>#N/A</v>
      </c>
      <c r="BH36" s="346" t="e">
        <f>VLOOKUP(AZ36,flows!$A$2:$J$4985,7,FALSE)</f>
        <v>#N/A</v>
      </c>
      <c r="BI36" s="346" t="e">
        <f>VLOOKUP(AZ36,flows!$A$2:$J$4985,8,FALSE)</f>
        <v>#N/A</v>
      </c>
      <c r="BJ36" s="346" t="e">
        <f>VLOOKUP(AZ36,flows!$A$2:$J$4985,9,FALSE)</f>
        <v>#N/A</v>
      </c>
      <c r="BM36" s="206" t="s">
        <v>638</v>
      </c>
      <c r="BN36" s="344" t="s">
        <v>1209</v>
      </c>
      <c r="BO36" s="344" t="s">
        <v>1881</v>
      </c>
      <c r="BP36" s="346" t="e">
        <f>VLOOKUP(BM36,flows!$A$2:$J$4985,2,FALSE)</f>
        <v>#N/A</v>
      </c>
      <c r="BQ36" s="346" t="e">
        <f>VLOOKUP(BM36,flows!$A$2:$J$4985,3,FALSE)</f>
        <v>#N/A</v>
      </c>
      <c r="BR36" s="346" t="e">
        <f>VLOOKUP(BM36,flows!$A$2:$J$4985,4,FALSE)</f>
        <v>#N/A</v>
      </c>
      <c r="BS36" s="346" t="e">
        <f>VLOOKUP(BM36,flows!$A$2:$J$4985,5,FALSE)</f>
        <v>#N/A</v>
      </c>
      <c r="BT36" s="346" t="e">
        <f>VLOOKUP(BM36,flows!$A$2:$J$4985,6,FALSE)</f>
        <v>#N/A</v>
      </c>
      <c r="BU36" s="346" t="e">
        <f>VLOOKUP(BM36,flows!$A$2:$J$4985,7,FALSE)</f>
        <v>#N/A</v>
      </c>
      <c r="BV36" s="346" t="e">
        <f>VLOOKUP(BM36,flows!$A$2:$J$4985,8,FALSE)</f>
        <v>#N/A</v>
      </c>
      <c r="BW36" s="346" t="e">
        <f>VLOOKUP(BM36,flows!$A$2:$J$4985,9,FALSE)</f>
        <v>#N/A</v>
      </c>
    </row>
    <row r="37" spans="26:75" x14ac:dyDescent="0.35">
      <c r="Z37" s="206" t="s">
        <v>4009</v>
      </c>
      <c r="AA37" s="337" t="s">
        <v>1162</v>
      </c>
      <c r="AB37" s="337" t="s">
        <v>1855</v>
      </c>
      <c r="AC37" s="346" t="e">
        <f>VLOOKUP($Z37,flows!$A$2:$J$4985,AC$2,FALSE)</f>
        <v>#N/A</v>
      </c>
      <c r="AD37" s="346" t="e">
        <f>VLOOKUP($Z37,flows!$A$2:$J$4985,AD$2,FALSE)</f>
        <v>#N/A</v>
      </c>
      <c r="AE37" s="346" t="e">
        <f>VLOOKUP($Z37,flows!$A$2:$J$4985,AE$2,FALSE)</f>
        <v>#N/A</v>
      </c>
      <c r="AF37" s="346" t="e">
        <f>VLOOKUP($Z37,flows!$A$2:$J$4985,AF$2,FALSE)</f>
        <v>#N/A</v>
      </c>
      <c r="AG37" s="346" t="e">
        <f>VLOOKUP($Z37,flows!$A$2:$J$4985,AG$2,FALSE)</f>
        <v>#N/A</v>
      </c>
      <c r="AH37" s="346" t="e">
        <f>VLOOKUP($Z37,flows!$A$2:$J$4985,AH$2,FALSE)</f>
        <v>#N/A</v>
      </c>
      <c r="AI37" s="346" t="e">
        <f>VLOOKUP($Z37,flows!$A$2:$J$4985,AI$2,FALSE)</f>
        <v>#N/A</v>
      </c>
      <c r="AJ37" s="346" t="e">
        <f>VLOOKUP($Z37,flows!$A$2:$J$4985,AJ$2,FALSE)</f>
        <v>#N/A</v>
      </c>
      <c r="AZ37" s="207" t="s">
        <v>4020</v>
      </c>
      <c r="BA37" s="204" t="s">
        <v>1160</v>
      </c>
      <c r="BB37" s="204" t="s">
        <v>1871</v>
      </c>
      <c r="BC37" s="346" t="e">
        <f>VLOOKUP(AZ37,flows!$A$2:$J$4985,2,FALSE)</f>
        <v>#N/A</v>
      </c>
      <c r="BD37" s="346" t="e">
        <f>VLOOKUP(AZ37,flows!$A$2:$J$4985,3,FALSE)</f>
        <v>#N/A</v>
      </c>
      <c r="BE37" s="346" t="e">
        <f>VLOOKUP(AZ37,flows!$A$2:$J$4985,4,FALSE)</f>
        <v>#N/A</v>
      </c>
      <c r="BF37" s="346" t="e">
        <f>VLOOKUP(AZ37,flows!$A$2:$J$4985,5,FALSE)</f>
        <v>#N/A</v>
      </c>
      <c r="BG37" s="346" t="e">
        <f>VLOOKUP(AZ37,flows!$A$2:$J$4985,6,FALSE)</f>
        <v>#N/A</v>
      </c>
      <c r="BH37" s="346" t="e">
        <f>VLOOKUP(AZ37,flows!$A$2:$J$4985,7,FALSE)</f>
        <v>#N/A</v>
      </c>
      <c r="BI37" s="346" t="e">
        <f>VLOOKUP(AZ37,flows!$A$2:$J$4985,8,FALSE)</f>
        <v>#N/A</v>
      </c>
      <c r="BJ37" s="346" t="e">
        <f>VLOOKUP(AZ37,flows!$A$2:$J$4985,9,FALSE)</f>
        <v>#N/A</v>
      </c>
      <c r="BM37" s="206" t="s">
        <v>743</v>
      </c>
      <c r="BN37" s="344" t="s">
        <v>2267</v>
      </c>
      <c r="BO37" s="344" t="s">
        <v>1882</v>
      </c>
      <c r="BP37" s="346" t="e">
        <f>VLOOKUP(BM37,flows!$A$2:$J$4985,2,FALSE)</f>
        <v>#N/A</v>
      </c>
      <c r="BQ37" s="346" t="e">
        <f>VLOOKUP(BM37,flows!$A$2:$J$4985,3,FALSE)</f>
        <v>#N/A</v>
      </c>
      <c r="BR37" s="346" t="e">
        <f>VLOOKUP(BM37,flows!$A$2:$J$4985,4,FALSE)</f>
        <v>#N/A</v>
      </c>
      <c r="BS37" s="346" t="e">
        <f>VLOOKUP(BM37,flows!$A$2:$J$4985,5,FALSE)</f>
        <v>#N/A</v>
      </c>
      <c r="BT37" s="346" t="e">
        <f>VLOOKUP(BM37,flows!$A$2:$J$4985,6,FALSE)</f>
        <v>#N/A</v>
      </c>
      <c r="BU37" s="346" t="e">
        <f>VLOOKUP(BM37,flows!$A$2:$J$4985,7,FALSE)</f>
        <v>#N/A</v>
      </c>
      <c r="BV37" s="346" t="e">
        <f>VLOOKUP(BM37,flows!$A$2:$J$4985,8,FALSE)</f>
        <v>#N/A</v>
      </c>
      <c r="BW37" s="346" t="e">
        <f>VLOOKUP(BM37,flows!$A$2:$J$4985,9,FALSE)</f>
        <v>#N/A</v>
      </c>
    </row>
    <row r="38" spans="26:75" x14ac:dyDescent="0.35">
      <c r="Z38" s="206" t="s">
        <v>746</v>
      </c>
      <c r="AA38" s="337" t="s">
        <v>2267</v>
      </c>
      <c r="AB38" s="337" t="s">
        <v>1856</v>
      </c>
      <c r="AC38" s="346" t="e">
        <f>VLOOKUP($Z38,flows!$A$2:$J$4985,AC$2,FALSE)</f>
        <v>#N/A</v>
      </c>
      <c r="AD38" s="346" t="e">
        <f>VLOOKUP($Z38,flows!$A$2:$J$4985,AD$2,FALSE)</f>
        <v>#N/A</v>
      </c>
      <c r="AE38" s="346" t="e">
        <f>VLOOKUP($Z38,flows!$A$2:$J$4985,AE$2,FALSE)</f>
        <v>#N/A</v>
      </c>
      <c r="AF38" s="346" t="e">
        <f>VLOOKUP($Z38,flows!$A$2:$J$4985,AF$2,FALSE)</f>
        <v>#N/A</v>
      </c>
      <c r="AG38" s="346" t="e">
        <f>VLOOKUP($Z38,flows!$A$2:$J$4985,AG$2,FALSE)</f>
        <v>#N/A</v>
      </c>
      <c r="AH38" s="346" t="e">
        <f>VLOOKUP($Z38,flows!$A$2:$J$4985,AH$2,FALSE)</f>
        <v>#N/A</v>
      </c>
      <c r="AI38" s="346" t="e">
        <f>VLOOKUP($Z38,flows!$A$2:$J$4985,AI$2,FALSE)</f>
        <v>#N/A</v>
      </c>
      <c r="AJ38" s="346" t="e">
        <f>VLOOKUP($Z38,flows!$A$2:$J$4985,AJ$2,FALSE)</f>
        <v>#N/A</v>
      </c>
      <c r="AZ38" s="207" t="s">
        <v>143</v>
      </c>
      <c r="BA38" s="204" t="s">
        <v>1162</v>
      </c>
      <c r="BB38" s="204" t="s">
        <v>4403</v>
      </c>
      <c r="BC38" s="346" t="e">
        <f>VLOOKUP(AZ38,flows!$A$2:$J$4985,2,FALSE)</f>
        <v>#N/A</v>
      </c>
      <c r="BD38" s="346" t="e">
        <f>VLOOKUP(AZ38,flows!$A$2:$J$4985,3,FALSE)</f>
        <v>#N/A</v>
      </c>
      <c r="BE38" s="346" t="e">
        <f>VLOOKUP(AZ38,flows!$A$2:$J$4985,4,FALSE)</f>
        <v>#N/A</v>
      </c>
      <c r="BF38" s="346" t="e">
        <f>VLOOKUP(AZ38,flows!$A$2:$J$4985,5,FALSE)</f>
        <v>#N/A</v>
      </c>
      <c r="BG38" s="346" t="e">
        <f>VLOOKUP(AZ38,flows!$A$2:$J$4985,6,FALSE)</f>
        <v>#N/A</v>
      </c>
      <c r="BH38" s="346" t="e">
        <f>VLOOKUP(AZ38,flows!$A$2:$J$4985,7,FALSE)</f>
        <v>#N/A</v>
      </c>
      <c r="BI38" s="346" t="e">
        <f>VLOOKUP(AZ38,flows!$A$2:$J$4985,8,FALSE)</f>
        <v>#N/A</v>
      </c>
      <c r="BJ38" s="346" t="e">
        <f>VLOOKUP(AZ38,flows!$A$2:$J$4985,9,FALSE)</f>
        <v>#N/A</v>
      </c>
      <c r="BM38" s="206" t="s">
        <v>4026</v>
      </c>
      <c r="BN38" s="344" t="s">
        <v>2267</v>
      </c>
      <c r="BO38" s="344" t="s">
        <v>1883</v>
      </c>
      <c r="BP38" s="346" t="e">
        <f>VLOOKUP(BM38,flows!$A$2:$J$4985,2,FALSE)</f>
        <v>#N/A</v>
      </c>
      <c r="BQ38" s="346" t="e">
        <f>VLOOKUP(BM38,flows!$A$2:$J$4985,3,FALSE)</f>
        <v>#N/A</v>
      </c>
      <c r="BR38" s="346" t="e">
        <f>VLOOKUP(BM38,flows!$A$2:$J$4985,4,FALSE)</f>
        <v>#N/A</v>
      </c>
      <c r="BS38" s="346" t="e">
        <f>VLOOKUP(BM38,flows!$A$2:$J$4985,5,FALSE)</f>
        <v>#N/A</v>
      </c>
      <c r="BT38" s="346" t="e">
        <f>VLOOKUP(BM38,flows!$A$2:$J$4985,6,FALSE)</f>
        <v>#N/A</v>
      </c>
      <c r="BU38" s="346" t="e">
        <f>VLOOKUP(BM38,flows!$A$2:$J$4985,7,FALSE)</f>
        <v>#N/A</v>
      </c>
      <c r="BV38" s="346" t="e">
        <f>VLOOKUP(BM38,flows!$A$2:$J$4985,8,FALSE)</f>
        <v>#N/A</v>
      </c>
      <c r="BW38" s="346" t="e">
        <f>VLOOKUP(BM38,flows!$A$2:$J$4985,9,FALSE)</f>
        <v>#N/A</v>
      </c>
    </row>
    <row r="39" spans="26:75" x14ac:dyDescent="0.35">
      <c r="Z39" s="206" t="s">
        <v>4010</v>
      </c>
      <c r="AA39" s="337" t="s">
        <v>1160</v>
      </c>
      <c r="AB39" s="337" t="s">
        <v>2712</v>
      </c>
      <c r="AC39" s="346" t="e">
        <f>VLOOKUP($Z39,flows!$A$2:$J$4985,AC$2,FALSE)</f>
        <v>#N/A</v>
      </c>
      <c r="AD39" s="346" t="e">
        <f>VLOOKUP($Z39,flows!$A$2:$J$4985,AD$2,FALSE)</f>
        <v>#N/A</v>
      </c>
      <c r="AE39" s="346" t="e">
        <f>VLOOKUP($Z39,flows!$A$2:$J$4985,AE$2,FALSE)</f>
        <v>#N/A</v>
      </c>
      <c r="AF39" s="346" t="e">
        <f>VLOOKUP($Z39,flows!$A$2:$J$4985,AF$2,FALSE)</f>
        <v>#N/A</v>
      </c>
      <c r="AG39" s="346" t="e">
        <f>VLOOKUP($Z39,flows!$A$2:$J$4985,AG$2,FALSE)</f>
        <v>#N/A</v>
      </c>
      <c r="AH39" s="346" t="e">
        <f>VLOOKUP($Z39,flows!$A$2:$J$4985,AH$2,FALSE)</f>
        <v>#N/A</v>
      </c>
      <c r="AI39" s="346" t="e">
        <f>VLOOKUP($Z39,flows!$A$2:$J$4985,AI$2,FALSE)</f>
        <v>#N/A</v>
      </c>
      <c r="AJ39" s="346" t="e">
        <f>VLOOKUP($Z39,flows!$A$2:$J$4985,AJ$2,FALSE)</f>
        <v>#N/A</v>
      </c>
      <c r="AZ39" s="206" t="s">
        <v>144</v>
      </c>
      <c r="BA39" s="204" t="s">
        <v>1162</v>
      </c>
      <c r="BB39" s="204" t="s">
        <v>1238</v>
      </c>
      <c r="BC39" s="346" t="e">
        <f>VLOOKUP(AZ39,flows!$A$2:$J$4985,2,FALSE)</f>
        <v>#N/A</v>
      </c>
      <c r="BD39" s="346" t="e">
        <f>VLOOKUP(AZ39,flows!$A$2:$J$4985,3,FALSE)</f>
        <v>#N/A</v>
      </c>
      <c r="BE39" s="346" t="e">
        <f>VLOOKUP(AZ39,flows!$A$2:$J$4985,4,FALSE)</f>
        <v>#N/A</v>
      </c>
      <c r="BF39" s="346" t="e">
        <f>VLOOKUP(AZ39,flows!$A$2:$J$4985,5,FALSE)</f>
        <v>#N/A</v>
      </c>
      <c r="BG39" s="346" t="e">
        <f>VLOOKUP(AZ39,flows!$A$2:$J$4985,6,FALSE)</f>
        <v>#N/A</v>
      </c>
      <c r="BH39" s="346" t="e">
        <f>VLOOKUP(AZ39,flows!$A$2:$J$4985,7,FALSE)</f>
        <v>#N/A</v>
      </c>
      <c r="BI39" s="346" t="e">
        <f>VLOOKUP(AZ39,flows!$A$2:$J$4985,8,FALSE)</f>
        <v>#N/A</v>
      </c>
      <c r="BJ39" s="346" t="e">
        <f>VLOOKUP(AZ39,flows!$A$2:$J$4985,9,FALSE)</f>
        <v>#N/A</v>
      </c>
      <c r="BM39" s="206" t="s">
        <v>46</v>
      </c>
      <c r="BN39" s="344" t="s">
        <v>1185</v>
      </c>
      <c r="BO39" s="344" t="s">
        <v>1551</v>
      </c>
      <c r="BP39" s="346" t="e">
        <f>VLOOKUP(BM39,flows!$A$2:$J$4985,2,FALSE)</f>
        <v>#N/A</v>
      </c>
      <c r="BQ39" s="346" t="e">
        <f>VLOOKUP(BM39,flows!$A$2:$J$4985,3,FALSE)</f>
        <v>#N/A</v>
      </c>
      <c r="BR39" s="346" t="e">
        <f>VLOOKUP(BM39,flows!$A$2:$J$4985,4,FALSE)</f>
        <v>#N/A</v>
      </c>
      <c r="BS39" s="346" t="e">
        <f>VLOOKUP(BM39,flows!$A$2:$J$4985,5,FALSE)</f>
        <v>#N/A</v>
      </c>
      <c r="BT39" s="346" t="e">
        <f>VLOOKUP(BM39,flows!$A$2:$J$4985,6,FALSE)</f>
        <v>#N/A</v>
      </c>
      <c r="BU39" s="346" t="e">
        <f>VLOOKUP(BM39,flows!$A$2:$J$4985,7,FALSE)</f>
        <v>#N/A</v>
      </c>
      <c r="BV39" s="346" t="e">
        <f>VLOOKUP(BM39,flows!$A$2:$J$4985,8,FALSE)</f>
        <v>#N/A</v>
      </c>
      <c r="BW39" s="346" t="e">
        <f>VLOOKUP(BM39,flows!$A$2:$J$4985,9,FALSE)</f>
        <v>#N/A</v>
      </c>
    </row>
    <row r="40" spans="26:75" ht="14.5" thickBot="1" x14ac:dyDescent="0.4">
      <c r="Z40" s="206" t="s">
        <v>4011</v>
      </c>
      <c r="AA40" s="337" t="s">
        <v>1160</v>
      </c>
      <c r="AB40" s="337" t="s">
        <v>1858</v>
      </c>
      <c r="AC40" s="346" t="e">
        <f>VLOOKUP($Z40,flows!$A$2:$J$4985,AC$2,FALSE)</f>
        <v>#N/A</v>
      </c>
      <c r="AD40" s="346" t="e">
        <f>VLOOKUP($Z40,flows!$A$2:$J$4985,AD$2,FALSE)</f>
        <v>#N/A</v>
      </c>
      <c r="AE40" s="346" t="e">
        <f>VLOOKUP($Z40,flows!$A$2:$J$4985,AE$2,FALSE)</f>
        <v>#N/A</v>
      </c>
      <c r="AF40" s="346" t="e">
        <f>VLOOKUP($Z40,flows!$A$2:$J$4985,AF$2,FALSE)</f>
        <v>#N/A</v>
      </c>
      <c r="AG40" s="346" t="e">
        <f>VLOOKUP($Z40,flows!$A$2:$J$4985,AG$2,FALSE)</f>
        <v>#N/A</v>
      </c>
      <c r="AH40" s="346" t="e">
        <f>VLOOKUP($Z40,flows!$A$2:$J$4985,AH$2,FALSE)</f>
        <v>#N/A</v>
      </c>
      <c r="AI40" s="346" t="e">
        <f>VLOOKUP($Z40,flows!$A$2:$J$4985,AI$2,FALSE)</f>
        <v>#N/A</v>
      </c>
      <c r="AJ40" s="346" t="e">
        <f>VLOOKUP($Z40,flows!$A$2:$J$4985,AJ$2,FALSE)</f>
        <v>#N/A</v>
      </c>
      <c r="AZ40" s="208" t="s">
        <v>1139</v>
      </c>
      <c r="BA40" s="347" t="s">
        <v>1209</v>
      </c>
      <c r="BB40" s="347" t="s">
        <v>1872</v>
      </c>
      <c r="BC40" s="17" t="e">
        <f>VLOOKUP(AZ40,flows!$A$2:$J$4985,2,FALSE)</f>
        <v>#N/A</v>
      </c>
      <c r="BD40" s="17" t="e">
        <f>VLOOKUP(AZ40,flows!$A$2:$J$4985,3,FALSE)</f>
        <v>#N/A</v>
      </c>
      <c r="BE40" s="17" t="e">
        <f>VLOOKUP(AZ40,flows!$A$2:$J$4985,4,FALSE)</f>
        <v>#N/A</v>
      </c>
      <c r="BF40" s="17" t="e">
        <f>VLOOKUP(AZ40,flows!$A$2:$J$4985,5,FALSE)</f>
        <v>#N/A</v>
      </c>
      <c r="BG40" s="17" t="e">
        <f>VLOOKUP(AZ40,flows!$A$2:$J$4985,6,FALSE)</f>
        <v>#N/A</v>
      </c>
      <c r="BH40" s="17" t="e">
        <f>VLOOKUP(AZ40,flows!$A$2:$J$4985,7,FALSE)</f>
        <v>#N/A</v>
      </c>
      <c r="BI40" s="17" t="e">
        <f>VLOOKUP(AZ40,flows!$A$2:$J$4985,8,FALSE)</f>
        <v>#N/A</v>
      </c>
      <c r="BJ40" s="17" t="e">
        <f>VLOOKUP(AZ40,flows!$A$2:$J$4985,9,FALSE)</f>
        <v>#N/A</v>
      </c>
      <c r="BM40" s="206" t="s">
        <v>150</v>
      </c>
      <c r="BN40" s="344" t="s">
        <v>1162</v>
      </c>
      <c r="BO40" s="344" t="s">
        <v>4405</v>
      </c>
      <c r="BP40" s="346" t="e">
        <f>VLOOKUP(BM40,flows!$A$2:$J$4985,2,FALSE)</f>
        <v>#N/A</v>
      </c>
      <c r="BQ40" s="346" t="e">
        <f>VLOOKUP(BM40,flows!$A$2:$J$4985,3,FALSE)</f>
        <v>#N/A</v>
      </c>
      <c r="BR40" s="346" t="e">
        <f>VLOOKUP(BM40,flows!$A$2:$J$4985,4,FALSE)</f>
        <v>#N/A</v>
      </c>
      <c r="BS40" s="346" t="e">
        <f>VLOOKUP(BM40,flows!$A$2:$J$4985,5,FALSE)</f>
        <v>#N/A</v>
      </c>
      <c r="BT40" s="346" t="e">
        <f>VLOOKUP(BM40,flows!$A$2:$J$4985,6,FALSE)</f>
        <v>#N/A</v>
      </c>
      <c r="BU40" s="346" t="e">
        <f>VLOOKUP(BM40,flows!$A$2:$J$4985,7,FALSE)</f>
        <v>#N/A</v>
      </c>
      <c r="BV40" s="346" t="e">
        <f>VLOOKUP(BM40,flows!$A$2:$J$4985,8,FALSE)</f>
        <v>#N/A</v>
      </c>
      <c r="BW40" s="346" t="e">
        <f>VLOOKUP(BM40,flows!$A$2:$J$4985,9,FALSE)</f>
        <v>#N/A</v>
      </c>
    </row>
    <row r="41" spans="26:75" ht="14.5" thickBot="1" x14ac:dyDescent="0.4">
      <c r="Z41" s="206" t="s">
        <v>159</v>
      </c>
      <c r="AA41" s="337" t="s">
        <v>1167</v>
      </c>
      <c r="AB41" s="337" t="s">
        <v>1857</v>
      </c>
      <c r="AC41" s="346" t="e">
        <f>VLOOKUP($Z41,flows!$A$2:$J$4985,AC$2,FALSE)</f>
        <v>#N/A</v>
      </c>
      <c r="AD41" s="346" t="e">
        <f>VLOOKUP($Z41,flows!$A$2:$J$4985,AD$2,FALSE)</f>
        <v>#N/A</v>
      </c>
      <c r="AE41" s="346" t="e">
        <f>VLOOKUP($Z41,flows!$A$2:$J$4985,AE$2,FALSE)</f>
        <v>#N/A</v>
      </c>
      <c r="AF41" s="346" t="e">
        <f>VLOOKUP($Z41,flows!$A$2:$J$4985,AF$2,FALSE)</f>
        <v>#N/A</v>
      </c>
      <c r="AG41" s="346" t="e">
        <f>VLOOKUP($Z41,flows!$A$2:$J$4985,AG$2,FALSE)</f>
        <v>#N/A</v>
      </c>
      <c r="AH41" s="346" t="e">
        <f>VLOOKUP($Z41,flows!$A$2:$J$4985,AH$2,FALSE)</f>
        <v>#N/A</v>
      </c>
      <c r="AI41" s="346" t="e">
        <f>VLOOKUP($Z41,flows!$A$2:$J$4985,AI$2,FALSE)</f>
        <v>#N/A</v>
      </c>
      <c r="AJ41" s="346" t="e">
        <f>VLOOKUP($Z41,flows!$A$2:$J$4985,AJ$2,FALSE)</f>
        <v>#N/A</v>
      </c>
      <c r="BM41" s="208" t="s">
        <v>151</v>
      </c>
      <c r="BN41" s="347" t="s">
        <v>1162</v>
      </c>
      <c r="BO41" s="347" t="s">
        <v>1237</v>
      </c>
      <c r="BP41" s="17" t="e">
        <f>VLOOKUP(BM41,flows!$A$2:$J$4985,2,FALSE)</f>
        <v>#N/A</v>
      </c>
      <c r="BQ41" s="17" t="e">
        <f>VLOOKUP(BM41,flows!$A$2:$J$4985,3,FALSE)</f>
        <v>#N/A</v>
      </c>
      <c r="BR41" s="17" t="e">
        <f>VLOOKUP(BM41,flows!$A$2:$J$4985,4,FALSE)</f>
        <v>#N/A</v>
      </c>
      <c r="BS41" s="17" t="e">
        <f>VLOOKUP(BM41,flows!$A$2:$J$4985,5,FALSE)</f>
        <v>#N/A</v>
      </c>
      <c r="BT41" s="17" t="e">
        <f>VLOOKUP(BM41,flows!$A$2:$J$4985,6,FALSE)</f>
        <v>#N/A</v>
      </c>
      <c r="BU41" s="17" t="e">
        <f>VLOOKUP(BM41,flows!$A$2:$J$4985,7,FALSE)</f>
        <v>#N/A</v>
      </c>
      <c r="BV41" s="17" t="e">
        <f>VLOOKUP(BM41,flows!$A$2:$J$4985,8,FALSE)</f>
        <v>#N/A</v>
      </c>
      <c r="BW41" s="17" t="e">
        <f>VLOOKUP(BM41,flows!$A$2:$J$4985,9,FALSE)</f>
        <v>#N/A</v>
      </c>
    </row>
    <row r="42" spans="26:75" ht="14.5" thickBot="1" x14ac:dyDescent="0.4">
      <c r="Z42" s="208" t="s">
        <v>4012</v>
      </c>
      <c r="AA42" s="33" t="s">
        <v>1160</v>
      </c>
      <c r="AB42" s="33" t="s">
        <v>1887</v>
      </c>
      <c r="AC42" s="346" t="e">
        <f>VLOOKUP($Z42,flows!$A$2:$J$4985,AC$2,FALSE)</f>
        <v>#N/A</v>
      </c>
      <c r="AD42" s="346" t="e">
        <f>VLOOKUP($Z42,flows!$A$2:$J$4985,AD$2,FALSE)</f>
        <v>#N/A</v>
      </c>
      <c r="AE42" s="346" t="e">
        <f>VLOOKUP($Z42,flows!$A$2:$J$4985,AE$2,FALSE)</f>
        <v>#N/A</v>
      </c>
      <c r="AF42" s="346" t="e">
        <f>VLOOKUP($Z42,flows!$A$2:$J$4985,AF$2,FALSE)</f>
        <v>#N/A</v>
      </c>
      <c r="AG42" s="346" t="e">
        <f>VLOOKUP($Z42,flows!$A$2:$J$4985,AG$2,FALSE)</f>
        <v>#N/A</v>
      </c>
      <c r="AH42" s="346" t="e">
        <f>VLOOKUP($Z42,flows!$A$2:$J$4985,AH$2,FALSE)</f>
        <v>#N/A</v>
      </c>
      <c r="AI42" s="346" t="e">
        <f>VLOOKUP($Z42,flows!$A$2:$J$4985,AI$2,FALSE)</f>
        <v>#N/A</v>
      </c>
      <c r="AJ42" s="346" t="e">
        <f>VLOOKUP($Z42,flows!$A$2:$J$4985,AJ$2,FALSE)</f>
        <v>#N/A</v>
      </c>
    </row>
  </sheetData>
  <dataConsolidate/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C00000"/>
  </sheetPr>
  <dimension ref="B1:L6"/>
  <sheetViews>
    <sheetView zoomScale="85" zoomScaleNormal="85" workbookViewId="0">
      <selection activeCell="O27" sqref="O27"/>
    </sheetView>
  </sheetViews>
  <sheetFormatPr baseColWidth="10" defaultColWidth="11.453125" defaultRowHeight="14.5" x14ac:dyDescent="0.35"/>
  <cols>
    <col min="2" max="2" width="34.1796875" bestFit="1" customWidth="1"/>
    <col min="3" max="3" width="22.54296875" style="21" bestFit="1" customWidth="1"/>
    <col min="4" max="4" width="6" style="190" bestFit="1" customWidth="1"/>
  </cols>
  <sheetData>
    <row r="1" spans="2:12" ht="15" thickBot="1" x14ac:dyDescent="0.4"/>
    <row r="2" spans="2:12" x14ac:dyDescent="0.35">
      <c r="B2" s="3" t="s">
        <v>1171</v>
      </c>
      <c r="C2" s="36" t="s">
        <v>1158</v>
      </c>
      <c r="D2" s="36"/>
      <c r="E2" s="89">
        <v>2</v>
      </c>
      <c r="F2" s="89">
        <v>3</v>
      </c>
      <c r="G2" s="89">
        <v>4</v>
      </c>
      <c r="H2" s="89">
        <v>5</v>
      </c>
      <c r="I2" s="89">
        <v>6</v>
      </c>
      <c r="J2" s="89">
        <v>7</v>
      </c>
      <c r="K2" s="89">
        <v>8</v>
      </c>
      <c r="L2" s="89">
        <v>9</v>
      </c>
    </row>
    <row r="3" spans="2:12" x14ac:dyDescent="0.35">
      <c r="B3" s="23" t="s">
        <v>1258</v>
      </c>
      <c r="C3" s="30" t="s">
        <v>1259</v>
      </c>
      <c r="D3" s="210"/>
      <c r="E3" s="133" t="s">
        <v>1417</v>
      </c>
      <c r="F3" s="133">
        <v>2020</v>
      </c>
      <c r="G3" s="133">
        <v>2025</v>
      </c>
      <c r="H3" s="133">
        <v>2030</v>
      </c>
      <c r="I3" s="133">
        <v>2035</v>
      </c>
      <c r="J3" s="133">
        <v>2040</v>
      </c>
      <c r="K3" s="133">
        <v>2045</v>
      </c>
      <c r="L3" s="133" t="s">
        <v>4477</v>
      </c>
    </row>
    <row r="4" spans="2:12" x14ac:dyDescent="0.35">
      <c r="B4" s="5" t="s">
        <v>22</v>
      </c>
      <c r="C4" s="6" t="s">
        <v>1169</v>
      </c>
      <c r="D4" s="199" t="s">
        <v>1542</v>
      </c>
      <c r="E4" s="16" t="e">
        <f>VLOOKUP($B4,capacities!$A$2:$J$2856,E$2,FALSE)</f>
        <v>#N/A</v>
      </c>
      <c r="F4" s="346" t="e">
        <f>VLOOKUP($B4,capacities!$A$2:$J$2856,F$2,FALSE)</f>
        <v>#N/A</v>
      </c>
      <c r="G4" s="346" t="e">
        <f>VLOOKUP($B4,capacities!$A$2:$J$2856,G$2,FALSE)</f>
        <v>#N/A</v>
      </c>
      <c r="H4" s="346" t="e">
        <f>VLOOKUP($B4,capacities!$A$2:$J$2856,H$2,FALSE)</f>
        <v>#N/A</v>
      </c>
      <c r="I4" s="346" t="e">
        <f>VLOOKUP($B4,capacities!$A$2:$J$2856,I$2,FALSE)</f>
        <v>#N/A</v>
      </c>
      <c r="J4" s="346" t="e">
        <f>VLOOKUP($B4,capacities!$A$2:$J$2856,J$2,FALSE)</f>
        <v>#N/A</v>
      </c>
      <c r="K4" s="346" t="e">
        <f>VLOOKUP($B4,capacities!$A$2:$J$2856,K$2,FALSE)</f>
        <v>#N/A</v>
      </c>
      <c r="L4" s="369">
        <v>4953.4753436627916</v>
      </c>
    </row>
    <row r="5" spans="2:12" x14ac:dyDescent="0.35">
      <c r="B5" s="5" t="s">
        <v>111</v>
      </c>
      <c r="C5" s="6" t="s">
        <v>1159</v>
      </c>
      <c r="D5" s="199" t="s">
        <v>1541</v>
      </c>
      <c r="E5" s="346" t="e">
        <f>VLOOKUP($B5,capacities!$A$2:$J$2856,E$2,FALSE)</f>
        <v>#N/A</v>
      </c>
      <c r="F5" s="346" t="e">
        <f>VLOOKUP($B5,capacities!$A$2:$J$2856,F$2,FALSE)</f>
        <v>#N/A</v>
      </c>
      <c r="G5" s="346" t="e">
        <f>VLOOKUP($B5,capacities!$A$2:$J$2856,G$2,FALSE)</f>
        <v>#N/A</v>
      </c>
      <c r="H5" s="346" t="e">
        <f>VLOOKUP($B5,capacities!$A$2:$J$2856,H$2,FALSE)</f>
        <v>#N/A</v>
      </c>
      <c r="I5" s="346" t="e">
        <f>VLOOKUP($B5,capacities!$A$2:$J$2856,I$2,FALSE)</f>
        <v>#N/A</v>
      </c>
      <c r="J5" s="346" t="e">
        <f>VLOOKUP($B5,capacities!$A$2:$J$2856,J$2,FALSE)</f>
        <v>#N/A</v>
      </c>
      <c r="K5" s="346" t="e">
        <f>VLOOKUP($B5,capacities!$A$2:$J$2856,K$2,FALSE)</f>
        <v>#N/A</v>
      </c>
      <c r="L5" s="369">
        <v>299.49986528517093</v>
      </c>
    </row>
    <row r="6" spans="2:12" ht="15" thickBot="1" x14ac:dyDescent="0.4">
      <c r="B6" s="8" t="s">
        <v>115</v>
      </c>
      <c r="C6" s="34" t="s">
        <v>1170</v>
      </c>
      <c r="D6" s="211" t="s">
        <v>1540</v>
      </c>
      <c r="E6" s="346" t="e">
        <f>VLOOKUP($B6,capacities!$A$2:$J$2856,E$2,FALSE)</f>
        <v>#N/A</v>
      </c>
      <c r="F6" s="346" t="e">
        <f>VLOOKUP($B6,capacities!$A$2:$J$2856,F$2,FALSE)</f>
        <v>#N/A</v>
      </c>
      <c r="G6" s="346" t="e">
        <f>VLOOKUP($B6,capacities!$A$2:$J$2856,G$2,FALSE)</f>
        <v>#N/A</v>
      </c>
      <c r="H6" s="346" t="e">
        <f>VLOOKUP($B6,capacities!$A$2:$J$2856,H$2,FALSE)</f>
        <v>#N/A</v>
      </c>
      <c r="I6" s="346" t="e">
        <f>VLOOKUP($B6,capacities!$A$2:$J$2856,I$2,FALSE)</f>
        <v>#N/A</v>
      </c>
      <c r="J6" s="346" t="e">
        <f>VLOOKUP($B6,capacities!$A$2:$J$2856,J$2,FALSE)</f>
        <v>#N/A</v>
      </c>
      <c r="K6" s="346" t="e">
        <f>VLOOKUP($B6,capacities!$A$2:$J$2856,K$2,FALSE)</f>
        <v>#N/A</v>
      </c>
      <c r="L6" s="369">
        <v>198.6012058651018</v>
      </c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/>
  </sheetPr>
  <dimension ref="B1:Z32"/>
  <sheetViews>
    <sheetView zoomScale="70" zoomScaleNormal="70" workbookViewId="0">
      <selection activeCell="D9" sqref="D9"/>
    </sheetView>
  </sheetViews>
  <sheetFormatPr baseColWidth="10" defaultColWidth="11.453125" defaultRowHeight="14.5" x14ac:dyDescent="0.35"/>
  <cols>
    <col min="1" max="1" width="11.453125" style="21"/>
    <col min="2" max="2" width="38.54296875" style="21" bestFit="1" customWidth="1"/>
    <col min="3" max="3" width="38.54296875" style="190" customWidth="1"/>
    <col min="4" max="16" width="11.453125" style="21"/>
    <col min="17" max="17" width="37.1796875" style="21" bestFit="1" customWidth="1"/>
    <col min="18" max="18" width="11.453125" style="21"/>
    <col min="19" max="19" width="14.81640625" style="21" bestFit="1" customWidth="1"/>
    <col min="20" max="16384" width="11.453125" style="21"/>
  </cols>
  <sheetData>
    <row r="1" spans="2:26" ht="15" thickBot="1" x14ac:dyDescent="0.4">
      <c r="B1" s="133" t="s">
        <v>4029</v>
      </c>
      <c r="Q1" s="133" t="s">
        <v>4028</v>
      </c>
      <c r="R1" s="849"/>
      <c r="S1" s="849"/>
      <c r="T1" s="849"/>
      <c r="U1" s="849"/>
      <c r="V1" s="849"/>
      <c r="W1" s="849"/>
      <c r="X1" s="849"/>
      <c r="Y1" s="849"/>
      <c r="Z1" s="849"/>
    </row>
    <row r="2" spans="2:26" x14ac:dyDescent="0.35">
      <c r="B2" s="25" t="s">
        <v>1309</v>
      </c>
      <c r="C2" s="214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Q2" s="25" t="s">
        <v>1309</v>
      </c>
      <c r="R2" s="214"/>
      <c r="S2" s="89">
        <v>2</v>
      </c>
      <c r="T2" s="89">
        <v>3</v>
      </c>
      <c r="U2" s="89">
        <v>4</v>
      </c>
      <c r="V2" s="89">
        <v>5</v>
      </c>
      <c r="W2" s="89">
        <v>6</v>
      </c>
      <c r="X2" s="89">
        <v>7</v>
      </c>
      <c r="Y2" s="89">
        <v>8</v>
      </c>
      <c r="Z2" s="89">
        <v>9</v>
      </c>
    </row>
    <row r="3" spans="2:26" x14ac:dyDescent="0.35">
      <c r="B3" s="23" t="s">
        <v>1157</v>
      </c>
      <c r="C3" s="210"/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 t="s">
        <v>4477</v>
      </c>
      <c r="Q3" s="205" t="s">
        <v>1157</v>
      </c>
      <c r="R3" s="210"/>
      <c r="S3" s="133" t="s">
        <v>1417</v>
      </c>
      <c r="T3" s="133">
        <v>2020</v>
      </c>
      <c r="U3" s="133">
        <v>2025</v>
      </c>
      <c r="V3" s="133">
        <v>2030</v>
      </c>
      <c r="W3" s="133">
        <v>2035</v>
      </c>
      <c r="X3" s="133">
        <v>2040</v>
      </c>
      <c r="Y3" s="133">
        <v>2045</v>
      </c>
      <c r="Z3" s="133">
        <v>2050</v>
      </c>
    </row>
    <row r="4" spans="2:26" x14ac:dyDescent="0.35">
      <c r="B4" s="5" t="s">
        <v>1167</v>
      </c>
      <c r="C4" s="199" t="s">
        <v>1340</v>
      </c>
      <c r="D4" s="16" t="e">
        <f>'Wärme - Erzeugung'!AC27+'Wärme - Erzeugung'!AC36+('Wärme - Erzeugung'!AP28+'Wärme - Erzeugung'!AP29)*'Wärme - Erzeugung'!AP13+'Wärme - Erzeugung'!BC31*'Wärme - Erzeugung'!BC18</f>
        <v>#N/A</v>
      </c>
      <c r="E4" s="346" t="e">
        <f>'Wärme - Erzeugung'!AD27+'Wärme - Erzeugung'!AD36+('Wärme - Erzeugung'!AQ28+'Wärme - Erzeugung'!AQ29)*'Wärme - Erzeugung'!AQ13+'Wärme - Erzeugung'!BD31*'Wärme - Erzeugung'!BD18</f>
        <v>#N/A</v>
      </c>
      <c r="F4" s="346" t="e">
        <f>'Wärme - Erzeugung'!AE27+'Wärme - Erzeugung'!AE36+('Wärme - Erzeugung'!AR28+'Wärme - Erzeugung'!AR29)*'Wärme - Erzeugung'!AR13+'Wärme - Erzeugung'!BE31*'Wärme - Erzeugung'!BE18</f>
        <v>#N/A</v>
      </c>
      <c r="G4" s="346" t="e">
        <f>'Wärme - Erzeugung'!AF27+'Wärme - Erzeugung'!AF36+('Wärme - Erzeugung'!AS28+'Wärme - Erzeugung'!AS29)*'Wärme - Erzeugung'!AS13+'Wärme - Erzeugung'!BF31*'Wärme - Erzeugung'!BF18</f>
        <v>#N/A</v>
      </c>
      <c r="H4" s="346" t="e">
        <f>'Wärme - Erzeugung'!AG27+'Wärme - Erzeugung'!AG36+('Wärme - Erzeugung'!AT28+'Wärme - Erzeugung'!AT29)*'Wärme - Erzeugung'!AT13+'Wärme - Erzeugung'!BG31*'Wärme - Erzeugung'!BG18</f>
        <v>#N/A</v>
      </c>
      <c r="I4" s="346" t="e">
        <f>'Wärme - Erzeugung'!AH27+'Wärme - Erzeugung'!AH36+('Wärme - Erzeugung'!AU28+'Wärme - Erzeugung'!AU29)*'Wärme - Erzeugung'!AU13+'Wärme - Erzeugung'!BH31*'Wärme - Erzeugung'!BH18</f>
        <v>#N/A</v>
      </c>
      <c r="J4" s="346" t="e">
        <f>'Wärme - Erzeugung'!AI27+'Wärme - Erzeugung'!AI36+('Wärme - Erzeugung'!AV28+'Wärme - Erzeugung'!AV29)*'Wärme - Erzeugung'!AV13+'Wärme - Erzeugung'!BI31*'Wärme - Erzeugung'!BI18</f>
        <v>#N/A</v>
      </c>
      <c r="K4" s="970">
        <v>4109.833456740821</v>
      </c>
      <c r="Q4" s="343" t="s">
        <v>1167</v>
      </c>
      <c r="R4" s="344" t="s">
        <v>1340</v>
      </c>
      <c r="S4" s="346" t="e">
        <f>'Wärme - Erzeugung'!AC41*(1-Erdgas!F16)</f>
        <v>#N/A</v>
      </c>
      <c r="T4" s="346" t="e">
        <f>'Wärme - Erzeugung'!AD41*(1-Erdgas!G16)</f>
        <v>#N/A</v>
      </c>
      <c r="U4" s="346" t="e">
        <f>'Wärme - Erzeugung'!AE41*(1-Erdgas!H16)</f>
        <v>#N/A</v>
      </c>
      <c r="V4" s="346" t="e">
        <f>'Wärme - Erzeugung'!AF41*(1-Erdgas!I16)</f>
        <v>#N/A</v>
      </c>
      <c r="W4" s="346" t="e">
        <f>'Wärme - Erzeugung'!AG41*(1-Erdgas!J16)</f>
        <v>#N/A</v>
      </c>
      <c r="X4" s="346" t="e">
        <f>'Wärme - Erzeugung'!AH41*(1-Erdgas!K16)</f>
        <v>#N/A</v>
      </c>
      <c r="Y4" s="346" t="e">
        <f>'Wärme - Erzeugung'!AI41*(1-Erdgas!L16)</f>
        <v>#N/A</v>
      </c>
      <c r="Z4" s="346" t="e">
        <f>'Wärme - Erzeugung'!AJ41*(1-Erdgas!M16)</f>
        <v>#N/A</v>
      </c>
    </row>
    <row r="5" spans="2:26" x14ac:dyDescent="0.35">
      <c r="B5" s="5" t="s">
        <v>1206</v>
      </c>
      <c r="C5" s="199" t="s">
        <v>1342</v>
      </c>
      <c r="D5" s="16" t="e">
        <f>'Wärme - Erzeugung'!AP26*'Wärme - Erzeugung'!AP13+'Wärme - Erzeugung'!AC26+'Wärme - Erzeugung'!AC35</f>
        <v>#N/A</v>
      </c>
      <c r="E5" s="346" t="e">
        <f>'Wärme - Erzeugung'!AQ26*'Wärme - Erzeugung'!AQ13+'Wärme - Erzeugung'!AD26+'Wärme - Erzeugung'!AD35</f>
        <v>#N/A</v>
      </c>
      <c r="F5" s="346" t="e">
        <f>'Wärme - Erzeugung'!AR26*'Wärme - Erzeugung'!AR13+'Wärme - Erzeugung'!AE26+'Wärme - Erzeugung'!AE35</f>
        <v>#N/A</v>
      </c>
      <c r="G5" s="346" t="e">
        <f>'Wärme - Erzeugung'!AS26*'Wärme - Erzeugung'!AS13+'Wärme - Erzeugung'!AF26+'Wärme - Erzeugung'!AF35</f>
        <v>#N/A</v>
      </c>
      <c r="H5" s="346" t="e">
        <f>'Wärme - Erzeugung'!AT26*'Wärme - Erzeugung'!AT13+'Wärme - Erzeugung'!AG26+'Wärme - Erzeugung'!AG35</f>
        <v>#N/A</v>
      </c>
      <c r="I5" s="346" t="e">
        <f>'Wärme - Erzeugung'!AU26*'Wärme - Erzeugung'!AU13+'Wärme - Erzeugung'!AH26+'Wärme - Erzeugung'!AH35</f>
        <v>#N/A</v>
      </c>
      <c r="J5" s="346" t="e">
        <f>'Wärme - Erzeugung'!AV26*'Wärme - Erzeugung'!AV13+'Wärme - Erzeugung'!AI26+'Wärme - Erzeugung'!AI35</f>
        <v>#N/A</v>
      </c>
      <c r="K5" s="970">
        <v>5.7688479513029342E-2</v>
      </c>
      <c r="Q5" s="343" t="s">
        <v>1413</v>
      </c>
      <c r="R5" s="344" t="s">
        <v>1413</v>
      </c>
      <c r="S5" s="346" t="e">
        <f>'Wärme - Erzeugung'!AC41*Erdgas!F16</f>
        <v>#N/A</v>
      </c>
      <c r="T5" s="346" t="e">
        <f>'Wärme - Erzeugung'!AD41*Erdgas!G16</f>
        <v>#N/A</v>
      </c>
      <c r="U5" s="346" t="e">
        <f>'Wärme - Erzeugung'!AE41*Erdgas!H16</f>
        <v>#N/A</v>
      </c>
      <c r="V5" s="346" t="e">
        <f>'Wärme - Erzeugung'!AF41*Erdgas!I16</f>
        <v>#N/A</v>
      </c>
      <c r="W5" s="346" t="e">
        <f>'Wärme - Erzeugung'!AG41*Erdgas!J16</f>
        <v>#N/A</v>
      </c>
      <c r="X5" s="346" t="e">
        <f>'Wärme - Erzeugung'!AH41*Erdgas!K16</f>
        <v>#N/A</v>
      </c>
      <c r="Y5" s="346" t="e">
        <f>'Wärme - Erzeugung'!AI41*Erdgas!L16</f>
        <v>#N/A</v>
      </c>
      <c r="Z5" s="346" t="e">
        <f>'Wärme - Erzeugung'!AJ41*Erdgas!M16</f>
        <v>#N/A</v>
      </c>
    </row>
    <row r="6" spans="2:26" x14ac:dyDescent="0.35">
      <c r="B6" s="5" t="s">
        <v>1310</v>
      </c>
      <c r="C6" s="199" t="s">
        <v>1343</v>
      </c>
      <c r="D6" s="16" t="e">
        <f>'Wärme - Erzeugung'!AP27*'Wärme - Erzeugung'!AP13</f>
        <v>#N/A</v>
      </c>
      <c r="E6" s="346" t="e">
        <f>'Wärme - Erzeugung'!AQ27*'Wärme - Erzeugung'!AQ13</f>
        <v>#N/A</v>
      </c>
      <c r="F6" s="346" t="e">
        <f>'Wärme - Erzeugung'!AR27*'Wärme - Erzeugung'!AR13</f>
        <v>#N/A</v>
      </c>
      <c r="G6" s="346" t="e">
        <f>'Wärme - Erzeugung'!AS27*'Wärme - Erzeugung'!AS13</f>
        <v>#N/A</v>
      </c>
      <c r="H6" s="346" t="e">
        <f>'Wärme - Erzeugung'!AT27*'Wärme - Erzeugung'!AT13</f>
        <v>#N/A</v>
      </c>
      <c r="I6" s="346" t="e">
        <f>'Wärme - Erzeugung'!AU27*'Wärme - Erzeugung'!AU13</f>
        <v>#N/A</v>
      </c>
      <c r="J6" s="346" t="e">
        <f>'Wärme - Erzeugung'!AV27*'Wärme - Erzeugung'!AV13</f>
        <v>#N/A</v>
      </c>
      <c r="K6" s="970">
        <v>0</v>
      </c>
      <c r="Q6" s="203" t="s">
        <v>1160</v>
      </c>
      <c r="R6" s="204" t="s">
        <v>1815</v>
      </c>
      <c r="S6" s="346" t="e">
        <f>'Wärme - Erzeugung'!AC40</f>
        <v>#N/A</v>
      </c>
      <c r="T6" s="346" t="e">
        <f>'Wärme - Erzeugung'!AD40</f>
        <v>#N/A</v>
      </c>
      <c r="U6" s="346" t="e">
        <f>'Wärme - Erzeugung'!AE40</f>
        <v>#N/A</v>
      </c>
      <c r="V6" s="346" t="e">
        <f>'Wärme - Erzeugung'!AF40</f>
        <v>#N/A</v>
      </c>
      <c r="W6" s="346" t="e">
        <f>'Wärme - Erzeugung'!AG40</f>
        <v>#N/A</v>
      </c>
      <c r="X6" s="346" t="e">
        <f>'Wärme - Erzeugung'!AH40</f>
        <v>#N/A</v>
      </c>
      <c r="Y6" s="346" t="e">
        <f>'Wärme - Erzeugung'!AI40</f>
        <v>#N/A</v>
      </c>
      <c r="Z6" s="346" t="e">
        <f>'Wärme - Erzeugung'!AJ40</f>
        <v>#N/A</v>
      </c>
    </row>
    <row r="7" spans="2:26" x14ac:dyDescent="0.35">
      <c r="B7" s="5" t="s">
        <v>2326</v>
      </c>
      <c r="C7" s="199" t="s">
        <v>1884</v>
      </c>
      <c r="D7" s="16" t="e">
        <f>'Wärme - Erzeugung'!AC38+'Wärme - Erzeugung'!AC28</f>
        <v>#N/A</v>
      </c>
      <c r="E7" s="346" t="e">
        <f>'Wärme - Erzeugung'!AD38+'Wärme - Erzeugung'!AD28</f>
        <v>#N/A</v>
      </c>
      <c r="F7" s="346" t="e">
        <f>'Wärme - Erzeugung'!AE38+'Wärme - Erzeugung'!AE28</f>
        <v>#N/A</v>
      </c>
      <c r="G7" s="346" t="e">
        <f>'Wärme - Erzeugung'!AF38+'Wärme - Erzeugung'!AF28</f>
        <v>#N/A</v>
      </c>
      <c r="H7" s="346" t="e">
        <f>'Wärme - Erzeugung'!AG38+'Wärme - Erzeugung'!AG28</f>
        <v>#N/A</v>
      </c>
      <c r="I7" s="346" t="e">
        <f>'Wärme - Erzeugung'!AH38+'Wärme - Erzeugung'!AH28</f>
        <v>#N/A</v>
      </c>
      <c r="J7" s="346" t="e">
        <f>'Wärme - Erzeugung'!AI38+'Wärme - Erzeugung'!AI28</f>
        <v>#N/A</v>
      </c>
      <c r="K7" s="970">
        <v>7.1628765503316594E-2</v>
      </c>
    </row>
    <row r="8" spans="2:26" x14ac:dyDescent="0.35">
      <c r="B8" s="12" t="s">
        <v>1162</v>
      </c>
      <c r="C8" s="204" t="s">
        <v>1816</v>
      </c>
      <c r="D8" s="16" t="e">
        <f>'Wärme - Erzeugung'!AC37+'Wärme - Erzeugung'!AP33*'Wärme - Erzeugung'!AP13+('Wärme - Erzeugung'!BC39+'Wärme - Erzeugung'!BC30)*'Wärme - Erzeugung'!BC18</f>
        <v>#N/A</v>
      </c>
      <c r="E8" s="346" t="e">
        <f>'Wärme - Erzeugung'!AD37+'Wärme - Erzeugung'!AQ33*'Wärme - Erzeugung'!AQ13+('Wärme - Erzeugung'!BD39+'Wärme - Erzeugung'!BD30)*'Wärme - Erzeugung'!BD18</f>
        <v>#N/A</v>
      </c>
      <c r="F8" s="346" t="e">
        <f>'Wärme - Erzeugung'!AE37+'Wärme - Erzeugung'!AR33*'Wärme - Erzeugung'!AR13+('Wärme - Erzeugung'!BE39+'Wärme - Erzeugung'!BE30)*'Wärme - Erzeugung'!BE18</f>
        <v>#N/A</v>
      </c>
      <c r="G8" s="346" t="e">
        <f>'Wärme - Erzeugung'!AF37+'Wärme - Erzeugung'!AS33*'Wärme - Erzeugung'!AS13+('Wärme - Erzeugung'!BF39+'Wärme - Erzeugung'!BF30)*'Wärme - Erzeugung'!BF18</f>
        <v>#N/A</v>
      </c>
      <c r="H8" s="346" t="e">
        <f>'Wärme - Erzeugung'!AG37+'Wärme - Erzeugung'!AT33*'Wärme - Erzeugung'!AT13+('Wärme - Erzeugung'!BG39+'Wärme - Erzeugung'!BG30)*'Wärme - Erzeugung'!BG18</f>
        <v>#N/A</v>
      </c>
      <c r="I8" s="346" t="e">
        <f>'Wärme - Erzeugung'!AH37+'Wärme - Erzeugung'!AU33*'Wärme - Erzeugung'!AU13+('Wärme - Erzeugung'!BH39+'Wärme - Erzeugung'!BH30)*'Wärme - Erzeugung'!BH18</f>
        <v>#N/A</v>
      </c>
      <c r="J8" s="346" t="e">
        <f>'Wärme - Erzeugung'!AI37+'Wärme - Erzeugung'!AV33*'Wärme - Erzeugung'!AV13+('Wärme - Erzeugung'!BI39+'Wärme - Erzeugung'!BI30)*'Wärme - Erzeugung'!BI18</f>
        <v>#N/A</v>
      </c>
      <c r="K8" s="970">
        <v>52016.816744138632</v>
      </c>
    </row>
    <row r="9" spans="2:26" x14ac:dyDescent="0.35">
      <c r="B9" s="12" t="s">
        <v>1160</v>
      </c>
      <c r="C9" s="204" t="s">
        <v>1815</v>
      </c>
      <c r="D9" s="16" t="e">
        <f>('Wärme - Erzeugung'!BC28+'Wärme - Erzeugung'!BC29+'Wärme - Erzeugung'!BC37)*'Wärme - Erzeugung'!BC18+'Wärme - Erzeugung'!AC42+'Wärme - Erzeugung'!AC39</f>
        <v>#N/A</v>
      </c>
      <c r="E9" s="346" t="e">
        <f>('Wärme - Erzeugung'!BD28+'Wärme - Erzeugung'!BD29+'Wärme - Erzeugung'!BD37)*'Wärme - Erzeugung'!BD18+'Wärme - Erzeugung'!AD42+'Wärme - Erzeugung'!AD39</f>
        <v>#N/A</v>
      </c>
      <c r="F9" s="346" t="e">
        <f>('Wärme - Erzeugung'!BE28+'Wärme - Erzeugung'!BE29+'Wärme - Erzeugung'!BE37)*'Wärme - Erzeugung'!BE18+'Wärme - Erzeugung'!AE42+'Wärme - Erzeugung'!AE39</f>
        <v>#N/A</v>
      </c>
      <c r="G9" s="346" t="e">
        <f>('Wärme - Erzeugung'!BF28+'Wärme - Erzeugung'!BF29+'Wärme - Erzeugung'!BF37)*'Wärme - Erzeugung'!BF18+'Wärme - Erzeugung'!AF42+'Wärme - Erzeugung'!AF39</f>
        <v>#N/A</v>
      </c>
      <c r="H9" s="346" t="e">
        <f>('Wärme - Erzeugung'!BG28+'Wärme - Erzeugung'!BG29+'Wärme - Erzeugung'!BG37)*'Wärme - Erzeugung'!BG18+'Wärme - Erzeugung'!AG42+'Wärme - Erzeugung'!AG39</f>
        <v>#N/A</v>
      </c>
      <c r="I9" s="346" t="e">
        <f>('Wärme - Erzeugung'!BH28+'Wärme - Erzeugung'!BH29+'Wärme - Erzeugung'!BH37)*'Wärme - Erzeugung'!BH18+'Wärme - Erzeugung'!AH42+'Wärme - Erzeugung'!AH39</f>
        <v>#N/A</v>
      </c>
      <c r="J9" s="346" t="e">
        <f>('Wärme - Erzeugung'!BI28+'Wärme - Erzeugung'!BI29+'Wärme - Erzeugung'!BI37)*'Wärme - Erzeugung'!BI18+'Wärme - Erzeugung'!AI42+'Wärme - Erzeugung'!AI39</f>
        <v>#N/A</v>
      </c>
      <c r="K9" s="970">
        <v>67641.198903670112</v>
      </c>
    </row>
    <row r="10" spans="2:26" x14ac:dyDescent="0.35">
      <c r="B10" s="12" t="s">
        <v>1208</v>
      </c>
      <c r="C10" s="204" t="s">
        <v>1524</v>
      </c>
      <c r="D10" s="16" t="e">
        <f>'Wärme - Erzeugung'!AC32+'Wärme - Erzeugung'!AP32</f>
        <v>#N/A</v>
      </c>
      <c r="E10" s="346" t="e">
        <f>'Wärme - Erzeugung'!AD32+'Wärme - Erzeugung'!AQ32</f>
        <v>#N/A</v>
      </c>
      <c r="F10" s="346" t="e">
        <f>'Wärme - Erzeugung'!AE32+'Wärme - Erzeugung'!AR32</f>
        <v>#N/A</v>
      </c>
      <c r="G10" s="346" t="e">
        <f>'Wärme - Erzeugung'!AF32+'Wärme - Erzeugung'!AS32</f>
        <v>#N/A</v>
      </c>
      <c r="H10" s="346" t="e">
        <f>'Wärme - Erzeugung'!AG32+'Wärme - Erzeugung'!AT32</f>
        <v>#N/A</v>
      </c>
      <c r="I10" s="346" t="e">
        <f>'Wärme - Erzeugung'!AH32+'Wärme - Erzeugung'!AU32</f>
        <v>#N/A</v>
      </c>
      <c r="J10" s="346" t="e">
        <f>'Wärme - Erzeugung'!AI32+'Wärme - Erzeugung'!AV32</f>
        <v>#N/A</v>
      </c>
      <c r="K10" s="970">
        <v>42004.809956538964</v>
      </c>
    </row>
    <row r="11" spans="2:26" ht="15" thickBot="1" x14ac:dyDescent="0.4">
      <c r="B11" s="14" t="s">
        <v>1209</v>
      </c>
      <c r="C11" s="35" t="s">
        <v>1885</v>
      </c>
      <c r="D11" s="17" t="e">
        <f>'Wärme - Erzeugung'!AC29+'Wärme - Erzeugung'!AC30+'Wärme - Erzeugung'!AC31+'Wärme - Erzeugung'!AC33+'Wärme - Erzeugung'!AC34+('Wärme - Erzeugung'!AP30+'Wärme - Erzeugung'!AP31)*'Wärme - Erzeugung'!AP13+('Wärme - Erzeugung'!BC32+'Wärme - Erzeugung'!BC33+'Wärme - Erzeugung'!BC34+'Wärme - Erzeugung'!BC35+'Wärme - Erzeugung'!BC36+'Wärme - Erzeugung'!BC40)*'Wärme - Erzeugung'!BC18</f>
        <v>#N/A</v>
      </c>
      <c r="E11" s="17" t="e">
        <f>'Wärme - Erzeugung'!AD29+'Wärme - Erzeugung'!AD30+'Wärme - Erzeugung'!AD31+'Wärme - Erzeugung'!AD33+'Wärme - Erzeugung'!AD34+('Wärme - Erzeugung'!AQ30+'Wärme - Erzeugung'!AQ31)*'Wärme - Erzeugung'!AQ13+('Wärme - Erzeugung'!BD32+'Wärme - Erzeugung'!BD33+'Wärme - Erzeugung'!BD34+'Wärme - Erzeugung'!BD35+'Wärme - Erzeugung'!BD36+'Wärme - Erzeugung'!BD40)*'Wärme - Erzeugung'!BD18</f>
        <v>#N/A</v>
      </c>
      <c r="F11" s="17" t="e">
        <f>'Wärme - Erzeugung'!AE29+'Wärme - Erzeugung'!AE30+'Wärme - Erzeugung'!AE31+'Wärme - Erzeugung'!AE33+'Wärme - Erzeugung'!AE34+('Wärme - Erzeugung'!AR30+'Wärme - Erzeugung'!AR31)*'Wärme - Erzeugung'!AR13+('Wärme - Erzeugung'!BE32+'Wärme - Erzeugung'!BE33+'Wärme - Erzeugung'!BE34+'Wärme - Erzeugung'!BE35+'Wärme - Erzeugung'!BE36+'Wärme - Erzeugung'!BE40)*'Wärme - Erzeugung'!BE18</f>
        <v>#N/A</v>
      </c>
      <c r="G11" s="17" t="e">
        <f>'Wärme - Erzeugung'!AF29+'Wärme - Erzeugung'!AF30+'Wärme - Erzeugung'!AF31+'Wärme - Erzeugung'!AF33+'Wärme - Erzeugung'!AF34+('Wärme - Erzeugung'!AS30+'Wärme - Erzeugung'!AS31)*'Wärme - Erzeugung'!AS13+('Wärme - Erzeugung'!BF32+'Wärme - Erzeugung'!BF33+'Wärme - Erzeugung'!BF34+'Wärme - Erzeugung'!BF35+'Wärme - Erzeugung'!BF36+'Wärme - Erzeugung'!BF40)*'Wärme - Erzeugung'!BF18</f>
        <v>#N/A</v>
      </c>
      <c r="H11" s="17" t="e">
        <f>'Wärme - Erzeugung'!AG29+'Wärme - Erzeugung'!AG30+'Wärme - Erzeugung'!AG31+'Wärme - Erzeugung'!AG33+'Wärme - Erzeugung'!AG34+('Wärme - Erzeugung'!AT30+'Wärme - Erzeugung'!AT31)*'Wärme - Erzeugung'!AT13+('Wärme - Erzeugung'!BG32+'Wärme - Erzeugung'!BG33+'Wärme - Erzeugung'!BG34+'Wärme - Erzeugung'!BG35+'Wärme - Erzeugung'!BG36+'Wärme - Erzeugung'!BG40)*'Wärme - Erzeugung'!BG18</f>
        <v>#N/A</v>
      </c>
      <c r="I11" s="17" t="e">
        <f>'Wärme - Erzeugung'!AH29+'Wärme - Erzeugung'!AH30+'Wärme - Erzeugung'!AH31+'Wärme - Erzeugung'!AH33+'Wärme - Erzeugung'!AH34+('Wärme - Erzeugung'!AU30+'Wärme - Erzeugung'!AU31)*'Wärme - Erzeugung'!AU13+('Wärme - Erzeugung'!BH32+'Wärme - Erzeugung'!BH33+'Wärme - Erzeugung'!BH34+'Wärme - Erzeugung'!BH35+'Wärme - Erzeugung'!BH36+'Wärme - Erzeugung'!BH40)*'Wärme - Erzeugung'!BH18</f>
        <v>#N/A</v>
      </c>
      <c r="J11" s="17" t="e">
        <f>'Wärme - Erzeugung'!AI29+'Wärme - Erzeugung'!AI30+'Wärme - Erzeugung'!AI31+'Wärme - Erzeugung'!AI33+'Wärme - Erzeugung'!AI34+('Wärme - Erzeugung'!AV30+'Wärme - Erzeugung'!AV31)*'Wärme - Erzeugung'!AV13+('Wärme - Erzeugung'!BI32+'Wärme - Erzeugung'!BI33+'Wärme - Erzeugung'!BI34+'Wärme - Erzeugung'!BI35+'Wärme - Erzeugung'!BI36+'Wärme - Erzeugung'!BI40)*'Wärme - Erzeugung'!BI18</f>
        <v>#N/A</v>
      </c>
      <c r="K11" s="971">
        <v>195288.47184591831</v>
      </c>
    </row>
    <row r="12" spans="2:26" x14ac:dyDescent="0.35">
      <c r="D12" s="21" t="e">
        <f>SUM(D4:D11)</f>
        <v>#N/A</v>
      </c>
      <c r="E12" s="854" t="e">
        <f t="shared" ref="E12:K12" si="0">SUM(E4:E11)</f>
        <v>#N/A</v>
      </c>
      <c r="F12" s="854" t="e">
        <f t="shared" si="0"/>
        <v>#N/A</v>
      </c>
      <c r="G12" s="854" t="e">
        <f t="shared" si="0"/>
        <v>#N/A</v>
      </c>
      <c r="H12" s="854" t="e">
        <f t="shared" si="0"/>
        <v>#N/A</v>
      </c>
      <c r="I12" s="854" t="e">
        <f t="shared" si="0"/>
        <v>#N/A</v>
      </c>
      <c r="J12" s="854" t="e">
        <f t="shared" si="0"/>
        <v>#N/A</v>
      </c>
      <c r="K12" s="854">
        <f t="shared" si="0"/>
        <v>361061.26022425189</v>
      </c>
    </row>
    <row r="14" spans="2:26" x14ac:dyDescent="0.35">
      <c r="L14" s="160"/>
      <c r="M14" s="129"/>
    </row>
    <row r="15" spans="2:26" x14ac:dyDescent="0.35">
      <c r="L15" s="129"/>
      <c r="M15" s="129"/>
    </row>
    <row r="16" spans="2:26" x14ac:dyDescent="0.35">
      <c r="L16" s="129"/>
      <c r="M16" s="129"/>
    </row>
    <row r="17" spans="12:13" x14ac:dyDescent="0.35">
      <c r="L17" s="129"/>
      <c r="M17" s="129"/>
    </row>
    <row r="18" spans="12:13" x14ac:dyDescent="0.35">
      <c r="L18" s="129"/>
      <c r="M18" s="129"/>
    </row>
    <row r="19" spans="12:13" x14ac:dyDescent="0.35">
      <c r="L19" s="129"/>
      <c r="M19" s="129"/>
    </row>
    <row r="20" spans="12:13" x14ac:dyDescent="0.35">
      <c r="L20" s="129"/>
      <c r="M20" s="129"/>
    </row>
    <row r="21" spans="12:13" x14ac:dyDescent="0.35">
      <c r="L21" s="129"/>
      <c r="M21" s="129"/>
    </row>
    <row r="22" spans="12:13" x14ac:dyDescent="0.35">
      <c r="L22" s="129"/>
      <c r="M22" s="129"/>
    </row>
    <row r="23" spans="12:13" x14ac:dyDescent="0.35">
      <c r="L23" s="129"/>
      <c r="M23" s="129"/>
    </row>
    <row r="24" spans="12:13" x14ac:dyDescent="0.35">
      <c r="L24" s="129"/>
      <c r="M24" s="129"/>
    </row>
    <row r="25" spans="12:13" x14ac:dyDescent="0.35">
      <c r="L25" s="129"/>
      <c r="M25" s="129"/>
    </row>
    <row r="26" spans="12:13" x14ac:dyDescent="0.35">
      <c r="L26" s="129"/>
      <c r="M26" s="129"/>
    </row>
    <row r="27" spans="12:13" x14ac:dyDescent="0.35">
      <c r="L27" s="129"/>
      <c r="M27" s="129"/>
    </row>
    <row r="28" spans="12:13" x14ac:dyDescent="0.35">
      <c r="L28" s="129"/>
      <c r="M28" s="129"/>
    </row>
    <row r="29" spans="12:13" x14ac:dyDescent="0.35">
      <c r="L29" s="129"/>
      <c r="M29" s="129"/>
    </row>
    <row r="30" spans="12:13" x14ac:dyDescent="0.35">
      <c r="L30" s="129"/>
      <c r="M30" s="129"/>
    </row>
    <row r="31" spans="12:13" x14ac:dyDescent="0.35">
      <c r="L31" s="129"/>
      <c r="M31" s="129"/>
    </row>
    <row r="32" spans="12:13" x14ac:dyDescent="0.35">
      <c r="L32" s="132"/>
      <c r="M32" s="132"/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6"/>
  </sheetPr>
  <dimension ref="B1:AX137"/>
  <sheetViews>
    <sheetView zoomScale="85" zoomScaleNormal="85" workbookViewId="0">
      <selection activeCell="AJ16" sqref="AJ16"/>
    </sheetView>
  </sheetViews>
  <sheetFormatPr baseColWidth="10" defaultColWidth="11.453125" defaultRowHeight="14" x14ac:dyDescent="0.35"/>
  <cols>
    <col min="1" max="1" width="11.453125" style="2"/>
    <col min="2" max="2" width="32.81640625" style="2" bestFit="1" customWidth="1"/>
    <col min="3" max="3" width="28.453125" style="191" bestFit="1" customWidth="1"/>
    <col min="4" max="4" width="14.1796875" style="2" bestFit="1" customWidth="1"/>
    <col min="5" max="13" width="11.453125" style="2"/>
    <col min="14" max="14" width="38.54296875" style="2" bestFit="1" customWidth="1"/>
    <col min="15" max="15" width="22.81640625" style="2" bestFit="1" customWidth="1"/>
    <col min="16" max="16" width="12.453125" style="191" bestFit="1" customWidth="1"/>
    <col min="17" max="17" width="19.54296875" style="2" bestFit="1" customWidth="1"/>
    <col min="18" max="26" width="11.453125" style="2"/>
    <col min="27" max="27" width="38.54296875" style="2" bestFit="1" customWidth="1"/>
    <col min="28" max="28" width="22.54296875" style="2" bestFit="1" customWidth="1"/>
    <col min="29" max="29" width="22.54296875" style="191" customWidth="1"/>
    <col min="30" max="38" width="11.453125" style="2"/>
    <col min="39" max="39" width="38.54296875" style="2" bestFit="1" customWidth="1"/>
    <col min="40" max="40" width="38.453125" style="2" bestFit="1" customWidth="1"/>
    <col min="41" max="42" width="11.453125" style="2"/>
    <col min="43" max="43" width="14.453125" style="2" bestFit="1" customWidth="1"/>
    <col min="44" max="16384" width="11.453125" style="2"/>
  </cols>
  <sheetData>
    <row r="1" spans="2:50" ht="14.5" thickBot="1" x14ac:dyDescent="0.4"/>
    <row r="2" spans="2:50" ht="14.5" x14ac:dyDescent="0.35">
      <c r="B2" s="25" t="s">
        <v>1294</v>
      </c>
      <c r="C2" s="214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N2" s="25" t="s">
        <v>1295</v>
      </c>
      <c r="O2" s="29"/>
      <c r="P2" s="209"/>
      <c r="Q2" s="89">
        <v>2</v>
      </c>
      <c r="R2" s="89">
        <v>3</v>
      </c>
      <c r="S2" s="89">
        <v>4</v>
      </c>
      <c r="T2" s="89">
        <v>5</v>
      </c>
      <c r="U2" s="89">
        <v>6</v>
      </c>
      <c r="V2" s="89">
        <v>7</v>
      </c>
      <c r="W2" s="89">
        <v>8</v>
      </c>
      <c r="X2" s="89">
        <v>9</v>
      </c>
      <c r="AA2" s="25" t="s">
        <v>1297</v>
      </c>
      <c r="AB2" s="29"/>
      <c r="AC2" s="209"/>
      <c r="AD2" s="89">
        <v>2</v>
      </c>
      <c r="AE2" s="89">
        <v>3</v>
      </c>
      <c r="AF2" s="89">
        <v>4</v>
      </c>
      <c r="AG2" s="89">
        <v>5</v>
      </c>
      <c r="AH2" s="89">
        <v>6</v>
      </c>
      <c r="AI2" s="89">
        <v>7</v>
      </c>
      <c r="AJ2" s="89">
        <v>8</v>
      </c>
      <c r="AK2" s="89">
        <v>9</v>
      </c>
      <c r="AM2" s="25" t="s">
        <v>1278</v>
      </c>
      <c r="AN2" s="29"/>
      <c r="AO2" s="89">
        <v>2</v>
      </c>
      <c r="AP2" s="89">
        <v>3</v>
      </c>
      <c r="AQ2" s="89">
        <v>4</v>
      </c>
      <c r="AR2" s="89">
        <v>5</v>
      </c>
      <c r="AS2" s="89">
        <v>6</v>
      </c>
      <c r="AT2" s="89">
        <v>7</v>
      </c>
      <c r="AU2" s="89">
        <v>8</v>
      </c>
      <c r="AV2" s="89">
        <v>9</v>
      </c>
    </row>
    <row r="3" spans="2:50" ht="14.5" x14ac:dyDescent="0.35">
      <c r="B3" s="23" t="s">
        <v>1259</v>
      </c>
      <c r="C3" s="210"/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>
        <v>2050</v>
      </c>
      <c r="N3" s="23" t="s">
        <v>1258</v>
      </c>
      <c r="O3" s="30" t="s">
        <v>1259</v>
      </c>
      <c r="P3" s="210"/>
      <c r="Q3" s="133" t="s">
        <v>1417</v>
      </c>
      <c r="R3" s="133">
        <v>2020</v>
      </c>
      <c r="S3" s="133">
        <v>2025</v>
      </c>
      <c r="T3" s="133">
        <v>2030</v>
      </c>
      <c r="U3" s="133">
        <v>2035</v>
      </c>
      <c r="V3" s="133">
        <v>2040</v>
      </c>
      <c r="W3" s="133">
        <v>2045</v>
      </c>
      <c r="X3" s="133">
        <v>2050</v>
      </c>
      <c r="AA3" s="23" t="s">
        <v>1258</v>
      </c>
      <c r="AB3" s="30" t="s">
        <v>1259</v>
      </c>
      <c r="AC3" s="210"/>
      <c r="AD3" s="133" t="s">
        <v>1417</v>
      </c>
      <c r="AE3" s="133">
        <v>2020</v>
      </c>
      <c r="AF3" s="133">
        <v>2025</v>
      </c>
      <c r="AG3" s="133">
        <v>2030</v>
      </c>
      <c r="AH3" s="133">
        <v>2035</v>
      </c>
      <c r="AI3" s="133">
        <v>2040</v>
      </c>
      <c r="AJ3" s="133">
        <v>2045</v>
      </c>
      <c r="AK3" s="133">
        <v>2050</v>
      </c>
      <c r="AM3" s="23" t="s">
        <v>1258</v>
      </c>
      <c r="AN3" s="30" t="s">
        <v>1259</v>
      </c>
      <c r="AO3" s="133" t="s">
        <v>1417</v>
      </c>
      <c r="AP3" s="133">
        <v>2020</v>
      </c>
      <c r="AQ3" s="133">
        <v>2025</v>
      </c>
      <c r="AR3" s="133">
        <v>2030</v>
      </c>
      <c r="AS3" s="133">
        <v>2035</v>
      </c>
      <c r="AT3" s="133">
        <v>2040</v>
      </c>
      <c r="AU3" s="133">
        <v>2045</v>
      </c>
      <c r="AV3" s="133">
        <v>2050</v>
      </c>
    </row>
    <row r="4" spans="2:50" x14ac:dyDescent="0.35">
      <c r="B4" s="26" t="s">
        <v>1822</v>
      </c>
      <c r="C4" s="194" t="s">
        <v>2247</v>
      </c>
      <c r="D4" s="16" t="e">
        <f t="shared" ref="D4:K4" si="0">SUM(Q4:Q10)</f>
        <v>#N/A</v>
      </c>
      <c r="E4" s="16" t="e">
        <f t="shared" si="0"/>
        <v>#N/A</v>
      </c>
      <c r="F4" s="16" t="e">
        <f t="shared" si="0"/>
        <v>#N/A</v>
      </c>
      <c r="G4" s="16" t="e">
        <f t="shared" si="0"/>
        <v>#N/A</v>
      </c>
      <c r="H4" s="16" t="e">
        <f t="shared" si="0"/>
        <v>#N/A</v>
      </c>
      <c r="I4" s="16" t="e">
        <f t="shared" si="0"/>
        <v>#N/A</v>
      </c>
      <c r="J4" s="16" t="e">
        <f t="shared" si="0"/>
        <v>#N/A</v>
      </c>
      <c r="K4" s="16" t="e">
        <f t="shared" si="0"/>
        <v>#N/A</v>
      </c>
      <c r="N4" s="26" t="s">
        <v>593</v>
      </c>
      <c r="O4" s="31" t="s">
        <v>2324</v>
      </c>
      <c r="P4" s="194" t="s">
        <v>1893</v>
      </c>
      <c r="Q4" s="16" t="e">
        <f>VLOOKUP($N4,flows!$A$2:$J$4985,Q$2,FALSE)</f>
        <v>#N/A</v>
      </c>
      <c r="R4" s="346" t="e">
        <f>VLOOKUP($N4,flows!$A$2:$J$4985,R$2,FALSE)</f>
        <v>#N/A</v>
      </c>
      <c r="S4" s="346" t="e">
        <f>VLOOKUP($N4,flows!$A$2:$J$4985,S$2,FALSE)</f>
        <v>#N/A</v>
      </c>
      <c r="T4" s="346" t="e">
        <f>VLOOKUP($N4,flows!$A$2:$J$4985,T$2,FALSE)</f>
        <v>#N/A</v>
      </c>
      <c r="U4" s="346" t="e">
        <f>VLOOKUP($N4,flows!$A$2:$J$4985,U$2,FALSE)</f>
        <v>#N/A</v>
      </c>
      <c r="V4" s="346" t="e">
        <f>VLOOKUP($N4,flows!$A$2:$J$4985,V$2,FALSE)</f>
        <v>#N/A</v>
      </c>
      <c r="W4" s="346" t="e">
        <f>VLOOKUP($N4,flows!$A$2:$J$4985,W$2,FALSE)</f>
        <v>#N/A</v>
      </c>
      <c r="X4" s="346" t="e">
        <f>VLOOKUP($N4,flows!$A$2:$J$4985,X$2,FALSE)</f>
        <v>#N/A</v>
      </c>
      <c r="AA4" s="26" t="s">
        <v>48</v>
      </c>
      <c r="AB4" s="31" t="s">
        <v>1174</v>
      </c>
      <c r="AC4" s="194" t="s">
        <v>1342</v>
      </c>
      <c r="AD4" s="16" t="e">
        <f>VLOOKUP($AA4,flows!$A$2:$J$4985,AD$2,FALSE)</f>
        <v>#N/A</v>
      </c>
      <c r="AE4" s="346" t="e">
        <f>VLOOKUP($AA4,flows!$A$2:$J$4985,AE$2,FALSE)</f>
        <v>#N/A</v>
      </c>
      <c r="AF4" s="346" t="e">
        <f>VLOOKUP($AA4,flows!$A$2:$J$4985,AF$2,FALSE)</f>
        <v>#N/A</v>
      </c>
      <c r="AG4" s="346" t="e">
        <f>VLOOKUP($AA4,flows!$A$2:$J$4985,AG$2,FALSE)</f>
        <v>#N/A</v>
      </c>
      <c r="AH4" s="346" t="e">
        <f>VLOOKUP($AA4,flows!$A$2:$J$4985,AH$2,FALSE)</f>
        <v>#N/A</v>
      </c>
      <c r="AI4" s="346" t="e">
        <f>VLOOKUP($AA4,flows!$A$2:$J$4985,AI$2,FALSE)</f>
        <v>#N/A</v>
      </c>
      <c r="AJ4" s="346" t="e">
        <f>VLOOKUP($AA4,flows!$A$2:$J$4985,AJ$2,FALSE)</f>
        <v>#N/A</v>
      </c>
      <c r="AK4" s="346" t="e">
        <f>VLOOKUP($AA4,flows!$A$2:$J$4985,AK$2,FALSE)</f>
        <v>#N/A</v>
      </c>
      <c r="AM4" s="26" t="s">
        <v>26</v>
      </c>
      <c r="AN4" s="31"/>
      <c r="AO4" s="16" t="e">
        <f>VLOOKUP($AM4,flows!$A$2:$J$4985,AO$2,FALSE)</f>
        <v>#N/A</v>
      </c>
      <c r="AP4" s="346" t="e">
        <f>VLOOKUP($AM4,flows!$A$2:$J$4985,AP$2,FALSE)</f>
        <v>#N/A</v>
      </c>
      <c r="AQ4" s="346" t="e">
        <f>VLOOKUP($AM4,flows!$A$2:$J$4985,AQ$2,FALSE)</f>
        <v>#N/A</v>
      </c>
      <c r="AR4" s="346" t="e">
        <f>VLOOKUP($AM4,flows!$A$2:$J$4985,AR$2,FALSE)</f>
        <v>#N/A</v>
      </c>
      <c r="AS4" s="346" t="e">
        <f>VLOOKUP($AM4,flows!$A$2:$J$4985,AS$2,FALSE)</f>
        <v>#N/A</v>
      </c>
      <c r="AT4" s="346" t="e">
        <f>VLOOKUP($AM4,flows!$A$2:$J$4985,AT$2,FALSE)</f>
        <v>#N/A</v>
      </c>
      <c r="AU4" s="346" t="e">
        <f>VLOOKUP($AM4,flows!$A$2:$J$4985,AU$2,FALSE)</f>
        <v>#N/A</v>
      </c>
      <c r="AV4" s="346" t="e">
        <f>VLOOKUP($AM4,flows!$A$2:$J$4985,AV$2,FALSE)</f>
        <v>#N/A</v>
      </c>
    </row>
    <row r="5" spans="2:50" x14ac:dyDescent="0.35">
      <c r="B5" s="26" t="s">
        <v>1824</v>
      </c>
      <c r="C5" s="194" t="s">
        <v>2248</v>
      </c>
      <c r="D5" s="16" t="e">
        <f t="shared" ref="D5:K5" si="1">SUM(AD4:AD10)</f>
        <v>#N/A</v>
      </c>
      <c r="E5" s="16" t="e">
        <f t="shared" si="1"/>
        <v>#N/A</v>
      </c>
      <c r="F5" s="16" t="e">
        <f t="shared" si="1"/>
        <v>#N/A</v>
      </c>
      <c r="G5" s="16" t="e">
        <f t="shared" si="1"/>
        <v>#N/A</v>
      </c>
      <c r="H5" s="16" t="e">
        <f t="shared" si="1"/>
        <v>#N/A</v>
      </c>
      <c r="I5" s="16" t="e">
        <f t="shared" si="1"/>
        <v>#N/A</v>
      </c>
      <c r="J5" s="16" t="e">
        <f t="shared" si="1"/>
        <v>#N/A</v>
      </c>
      <c r="K5" s="16" t="e">
        <f t="shared" si="1"/>
        <v>#N/A</v>
      </c>
      <c r="N5" s="26" t="s">
        <v>595</v>
      </c>
      <c r="O5" s="31" t="s">
        <v>2325</v>
      </c>
      <c r="P5" s="194" t="s">
        <v>1894</v>
      </c>
      <c r="Q5" s="346" t="e">
        <f>VLOOKUP($N5,flows!$A$2:$J$4985,Q$2,FALSE)</f>
        <v>#N/A</v>
      </c>
      <c r="R5" s="346" t="e">
        <f>VLOOKUP($N5,flows!$A$2:$J$4985,R$2,FALSE)</f>
        <v>#N/A</v>
      </c>
      <c r="S5" s="346" t="e">
        <f>VLOOKUP($N5,flows!$A$2:$J$4985,S$2,FALSE)</f>
        <v>#N/A</v>
      </c>
      <c r="T5" s="346" t="e">
        <f>VLOOKUP($N5,flows!$A$2:$J$4985,T$2,FALSE)</f>
        <v>#N/A</v>
      </c>
      <c r="U5" s="346" t="e">
        <f>VLOOKUP($N5,flows!$A$2:$J$4985,U$2,FALSE)</f>
        <v>#N/A</v>
      </c>
      <c r="V5" s="346" t="e">
        <f>VLOOKUP($N5,flows!$A$2:$J$4985,V$2,FALSE)</f>
        <v>#N/A</v>
      </c>
      <c r="W5" s="346" t="e">
        <f>VLOOKUP($N5,flows!$A$2:$J$4985,W$2,FALSE)</f>
        <v>#N/A</v>
      </c>
      <c r="X5" s="346" t="e">
        <f>VLOOKUP($N5,flows!$A$2:$J$4985,X$2,FALSE)</f>
        <v>#N/A</v>
      </c>
      <c r="AA5" s="26" t="s">
        <v>2251</v>
      </c>
      <c r="AB5" s="31" t="s">
        <v>2252</v>
      </c>
      <c r="AC5" s="194" t="s">
        <v>1815</v>
      </c>
      <c r="AD5" s="346" t="e">
        <f>VLOOKUP($AA5,flows!$A$2:$J$4985,AD$2,FALSE)</f>
        <v>#N/A</v>
      </c>
      <c r="AE5" s="346" t="e">
        <f>VLOOKUP($AA5,flows!$A$2:$J$4985,AE$2,FALSE)</f>
        <v>#N/A</v>
      </c>
      <c r="AF5" s="346" t="e">
        <f>VLOOKUP($AA5,flows!$A$2:$J$4985,AF$2,FALSE)</f>
        <v>#N/A</v>
      </c>
      <c r="AG5" s="346" t="e">
        <f>VLOOKUP($AA5,flows!$A$2:$J$4985,AG$2,FALSE)</f>
        <v>#N/A</v>
      </c>
      <c r="AH5" s="346" t="e">
        <f>VLOOKUP($AA5,flows!$A$2:$J$4985,AH$2,FALSE)</f>
        <v>#N/A</v>
      </c>
      <c r="AI5" s="346" t="e">
        <f>VLOOKUP($AA5,flows!$A$2:$J$4985,AI$2,FALSE)</f>
        <v>#N/A</v>
      </c>
      <c r="AJ5" s="346" t="e">
        <f>VLOOKUP($AA5,flows!$A$2:$J$4985,AJ$2,FALSE)</f>
        <v>#N/A</v>
      </c>
      <c r="AK5" s="346" t="e">
        <f>VLOOKUP($AA5,flows!$A$2:$J$4985,AK$2,FALSE)</f>
        <v>#N/A</v>
      </c>
      <c r="AM5" s="26" t="s">
        <v>27</v>
      </c>
      <c r="AN5" s="31"/>
      <c r="AO5" s="346" t="e">
        <f>VLOOKUP($AM5,flows!$A$2:$J$4985,AO$2,FALSE)</f>
        <v>#N/A</v>
      </c>
      <c r="AP5" s="346" t="e">
        <f>VLOOKUP($AM5,flows!$A$2:$J$4985,AP$2,FALSE)</f>
        <v>#N/A</v>
      </c>
      <c r="AQ5" s="346" t="e">
        <f>VLOOKUP($AM5,flows!$A$2:$J$4985,AQ$2,FALSE)</f>
        <v>#N/A</v>
      </c>
      <c r="AR5" s="346" t="e">
        <f>VLOOKUP($AM5,flows!$A$2:$J$4985,AR$2,FALSE)</f>
        <v>#N/A</v>
      </c>
      <c r="AS5" s="346" t="e">
        <f>VLOOKUP($AM5,flows!$A$2:$J$4985,AS$2,FALSE)</f>
        <v>#N/A</v>
      </c>
      <c r="AT5" s="346" t="e">
        <f>VLOOKUP($AM5,flows!$A$2:$J$4985,AT$2,FALSE)</f>
        <v>#N/A</v>
      </c>
      <c r="AU5" s="346" t="e">
        <f>VLOOKUP($AM5,flows!$A$2:$J$4985,AU$2,FALSE)</f>
        <v>#N/A</v>
      </c>
      <c r="AV5" s="346" t="e">
        <f>VLOOKUP($AM5,flows!$A$2:$J$4985,AV$2,FALSE)</f>
        <v>#N/A</v>
      </c>
    </row>
    <row r="6" spans="2:50" ht="14.5" thickBot="1" x14ac:dyDescent="0.4">
      <c r="B6" s="28" t="s">
        <v>1826</v>
      </c>
      <c r="C6" s="33" t="s">
        <v>2249</v>
      </c>
      <c r="D6" s="17" t="e">
        <f t="shared" ref="D6:K6" si="2">SUM(AO39:AO62)</f>
        <v>#N/A</v>
      </c>
      <c r="E6" s="17" t="e">
        <f t="shared" si="2"/>
        <v>#N/A</v>
      </c>
      <c r="F6" s="17" t="e">
        <f t="shared" si="2"/>
        <v>#N/A</v>
      </c>
      <c r="G6" s="17" t="e">
        <f t="shared" si="2"/>
        <v>#N/A</v>
      </c>
      <c r="H6" s="17" t="e">
        <f t="shared" si="2"/>
        <v>#N/A</v>
      </c>
      <c r="I6" s="17" t="e">
        <f t="shared" si="2"/>
        <v>#N/A</v>
      </c>
      <c r="J6" s="17" t="e">
        <f t="shared" si="2"/>
        <v>#N/A</v>
      </c>
      <c r="K6" s="17" t="e">
        <f t="shared" si="2"/>
        <v>#N/A</v>
      </c>
      <c r="N6" s="26" t="s">
        <v>651</v>
      </c>
      <c r="O6" s="31" t="s">
        <v>1206</v>
      </c>
      <c r="P6" s="194" t="s">
        <v>1342</v>
      </c>
      <c r="Q6" s="346" t="e">
        <f>VLOOKUP($N6,flows!$A$2:$J$4985,Q$2,FALSE)</f>
        <v>#N/A</v>
      </c>
      <c r="R6" s="346" t="e">
        <f>VLOOKUP($N6,flows!$A$2:$J$4985,R$2,FALSE)</f>
        <v>#N/A</v>
      </c>
      <c r="S6" s="346" t="e">
        <f>VLOOKUP($N6,flows!$A$2:$J$4985,S$2,FALSE)</f>
        <v>#N/A</v>
      </c>
      <c r="T6" s="346" t="e">
        <f>VLOOKUP($N6,flows!$A$2:$J$4985,T$2,FALSE)</f>
        <v>#N/A</v>
      </c>
      <c r="U6" s="346" t="e">
        <f>VLOOKUP($N6,flows!$A$2:$J$4985,U$2,FALSE)</f>
        <v>#N/A</v>
      </c>
      <c r="V6" s="346" t="e">
        <f>VLOOKUP($N6,flows!$A$2:$J$4985,V$2,FALSE)</f>
        <v>#N/A</v>
      </c>
      <c r="W6" s="346" t="e">
        <f>VLOOKUP($N6,flows!$A$2:$J$4985,W$2,FALSE)</f>
        <v>#N/A</v>
      </c>
      <c r="X6" s="346" t="e">
        <f>VLOOKUP($N6,flows!$A$2:$J$4985,X$2,FALSE)</f>
        <v>#N/A</v>
      </c>
      <c r="AA6" s="26" t="s">
        <v>49</v>
      </c>
      <c r="AB6" s="31" t="s">
        <v>1177</v>
      </c>
      <c r="AC6" s="194" t="s">
        <v>1340</v>
      </c>
      <c r="AD6" s="346" t="e">
        <f>VLOOKUP($AA6,flows!$A$2:$J$4985,AD$2,FALSE)</f>
        <v>#N/A</v>
      </c>
      <c r="AE6" s="346" t="e">
        <f>VLOOKUP($AA6,flows!$A$2:$J$4985,AE$2,FALSE)</f>
        <v>#N/A</v>
      </c>
      <c r="AF6" s="346" t="e">
        <f>VLOOKUP($AA6,flows!$A$2:$J$4985,AF$2,FALSE)</f>
        <v>#N/A</v>
      </c>
      <c r="AG6" s="346" t="e">
        <f>VLOOKUP($AA6,flows!$A$2:$J$4985,AG$2,FALSE)</f>
        <v>#N/A</v>
      </c>
      <c r="AH6" s="346" t="e">
        <f>VLOOKUP($AA6,flows!$A$2:$J$4985,AH$2,FALSE)</f>
        <v>#N/A</v>
      </c>
      <c r="AI6" s="346" t="e">
        <f>VLOOKUP($AA6,flows!$A$2:$J$4985,AI$2,FALSE)</f>
        <v>#N/A</v>
      </c>
      <c r="AJ6" s="346" t="e">
        <f>VLOOKUP($AA6,flows!$A$2:$J$4985,AJ$2,FALSE)</f>
        <v>#N/A</v>
      </c>
      <c r="AK6" s="346" t="e">
        <f>VLOOKUP($AA6,flows!$A$2:$J$4985,AK$2,FALSE)</f>
        <v>#N/A</v>
      </c>
      <c r="AM6" s="26" t="s">
        <v>28</v>
      </c>
      <c r="AN6" s="31"/>
      <c r="AO6" s="346" t="e">
        <f>VLOOKUP($AM6,flows!$A$2:$J$4985,AO$2,FALSE)</f>
        <v>#N/A</v>
      </c>
      <c r="AP6" s="346" t="e">
        <f>VLOOKUP($AM6,flows!$A$2:$J$4985,AP$2,FALSE)</f>
        <v>#N/A</v>
      </c>
      <c r="AQ6" s="346" t="e">
        <f>VLOOKUP($AM6,flows!$A$2:$J$4985,AQ$2,FALSE)</f>
        <v>#N/A</v>
      </c>
      <c r="AR6" s="346" t="e">
        <f>VLOOKUP($AM6,flows!$A$2:$J$4985,AR$2,FALSE)</f>
        <v>#N/A</v>
      </c>
      <c r="AS6" s="346" t="e">
        <f>VLOOKUP($AM6,flows!$A$2:$J$4985,AS$2,FALSE)</f>
        <v>#N/A</v>
      </c>
      <c r="AT6" s="346" t="e">
        <f>VLOOKUP($AM6,flows!$A$2:$J$4985,AT$2,FALSE)</f>
        <v>#N/A</v>
      </c>
      <c r="AU6" s="346" t="e">
        <f>VLOOKUP($AM6,flows!$A$2:$J$4985,AU$2,FALSE)</f>
        <v>#N/A</v>
      </c>
      <c r="AV6" s="346" t="e">
        <f>VLOOKUP($AM6,flows!$A$2:$J$4985,AV$2,FALSE)</f>
        <v>#N/A</v>
      </c>
    </row>
    <row r="7" spans="2:50" x14ac:dyDescent="0.35">
      <c r="N7" s="26" t="s">
        <v>760</v>
      </c>
      <c r="O7" s="31" t="s">
        <v>1167</v>
      </c>
      <c r="P7" s="194" t="s">
        <v>1340</v>
      </c>
      <c r="Q7" s="346" t="e">
        <f>VLOOKUP($N7,flows!$A$2:$J$4985,Q$2,FALSE)</f>
        <v>#N/A</v>
      </c>
      <c r="R7" s="346" t="e">
        <f>VLOOKUP($N7,flows!$A$2:$J$4985,R$2,FALSE)</f>
        <v>#N/A</v>
      </c>
      <c r="S7" s="346" t="e">
        <f>VLOOKUP($N7,flows!$A$2:$J$4985,S$2,FALSE)</f>
        <v>#N/A</v>
      </c>
      <c r="T7" s="346" t="e">
        <f>VLOOKUP($N7,flows!$A$2:$J$4985,T$2,FALSE)</f>
        <v>#N/A</v>
      </c>
      <c r="U7" s="346" t="e">
        <f>VLOOKUP($N7,flows!$A$2:$J$4985,U$2,FALSE)</f>
        <v>#N/A</v>
      </c>
      <c r="V7" s="346" t="e">
        <f>VLOOKUP($N7,flows!$A$2:$J$4985,V$2,FALSE)</f>
        <v>#N/A</v>
      </c>
      <c r="W7" s="346" t="e">
        <f>VLOOKUP($N7,flows!$A$2:$J$4985,W$2,FALSE)</f>
        <v>#N/A</v>
      </c>
      <c r="X7" s="346" t="e">
        <f>VLOOKUP($N7,flows!$A$2:$J$4985,X$2,FALSE)</f>
        <v>#N/A</v>
      </c>
      <c r="AA7" s="26" t="s">
        <v>50</v>
      </c>
      <c r="AB7" s="31" t="s">
        <v>1182</v>
      </c>
      <c r="AC7" s="194" t="s">
        <v>1884</v>
      </c>
      <c r="AD7" s="346" t="e">
        <f>VLOOKUP($AA7,flows!$A$2:$J$4985,AD$2,FALSE)</f>
        <v>#N/A</v>
      </c>
      <c r="AE7" s="346" t="e">
        <f>VLOOKUP($AA7,flows!$A$2:$J$4985,AE$2,FALSE)</f>
        <v>#N/A</v>
      </c>
      <c r="AF7" s="346" t="e">
        <f>VLOOKUP($AA7,flows!$A$2:$J$4985,AF$2,FALSE)</f>
        <v>#N/A</v>
      </c>
      <c r="AG7" s="346" t="e">
        <f>VLOOKUP($AA7,flows!$A$2:$J$4985,AG$2,FALSE)</f>
        <v>#N/A</v>
      </c>
      <c r="AH7" s="346" t="e">
        <f>VLOOKUP($AA7,flows!$A$2:$J$4985,AH$2,FALSE)</f>
        <v>#N/A</v>
      </c>
      <c r="AI7" s="346" t="e">
        <f>VLOOKUP($AA7,flows!$A$2:$J$4985,AI$2,FALSE)</f>
        <v>#N/A</v>
      </c>
      <c r="AJ7" s="346" t="e">
        <f>VLOOKUP($AA7,flows!$A$2:$J$4985,AJ$2,FALSE)</f>
        <v>#N/A</v>
      </c>
      <c r="AK7" s="346" t="e">
        <f>VLOOKUP($AA7,flows!$A$2:$J$4985,AK$2,FALSE)</f>
        <v>#N/A</v>
      </c>
      <c r="AM7" s="26" t="s">
        <v>29</v>
      </c>
      <c r="AN7" s="31"/>
      <c r="AO7" s="346" t="e">
        <f>VLOOKUP($AM7,flows!$A$2:$J$4985,AO$2,FALSE)</f>
        <v>#N/A</v>
      </c>
      <c r="AP7" s="346" t="e">
        <f>VLOOKUP($AM7,flows!$A$2:$J$4985,AP$2,FALSE)</f>
        <v>#N/A</v>
      </c>
      <c r="AQ7" s="346" t="e">
        <f>VLOOKUP($AM7,flows!$A$2:$J$4985,AQ$2,FALSE)</f>
        <v>#N/A</v>
      </c>
      <c r="AR7" s="346" t="e">
        <f>VLOOKUP($AM7,flows!$A$2:$J$4985,AR$2,FALSE)</f>
        <v>#N/A</v>
      </c>
      <c r="AS7" s="346" t="e">
        <f>VLOOKUP($AM7,flows!$A$2:$J$4985,AS$2,FALSE)</f>
        <v>#N/A</v>
      </c>
      <c r="AT7" s="346" t="e">
        <f>VLOOKUP($AM7,flows!$A$2:$J$4985,AT$2,FALSE)</f>
        <v>#N/A</v>
      </c>
      <c r="AU7" s="346" t="e">
        <f>VLOOKUP($AM7,flows!$A$2:$J$4985,AU$2,FALSE)</f>
        <v>#N/A</v>
      </c>
      <c r="AV7" s="346" t="e">
        <f>VLOOKUP($AM7,flows!$A$2:$J$4985,AV$2,FALSE)</f>
        <v>#N/A</v>
      </c>
    </row>
    <row r="8" spans="2:50" x14ac:dyDescent="0.35">
      <c r="N8" s="26" t="s">
        <v>772</v>
      </c>
      <c r="O8" s="31" t="s">
        <v>1162</v>
      </c>
      <c r="P8" s="194" t="s">
        <v>1816</v>
      </c>
      <c r="Q8" s="346" t="e">
        <f>VLOOKUP($N8,flows!$A$2:$J$4985,Q$2,FALSE)</f>
        <v>#N/A</v>
      </c>
      <c r="R8" s="346" t="e">
        <f>VLOOKUP($N8,flows!$A$2:$J$4985,R$2,FALSE)</f>
        <v>#N/A</v>
      </c>
      <c r="S8" s="346" t="e">
        <f>VLOOKUP($N8,flows!$A$2:$J$4985,S$2,FALSE)</f>
        <v>#N/A</v>
      </c>
      <c r="T8" s="346" t="e">
        <f>VLOOKUP($N8,flows!$A$2:$J$4985,T$2,FALSE)</f>
        <v>#N/A</v>
      </c>
      <c r="U8" s="346" t="e">
        <f>VLOOKUP($N8,flows!$A$2:$J$4985,U$2,FALSE)</f>
        <v>#N/A</v>
      </c>
      <c r="V8" s="346" t="e">
        <f>VLOOKUP($N8,flows!$A$2:$J$4985,V$2,FALSE)</f>
        <v>#N/A</v>
      </c>
      <c r="W8" s="346" t="e">
        <f>VLOOKUP($N8,flows!$A$2:$J$4985,W$2,FALSE)</f>
        <v>#N/A</v>
      </c>
      <c r="X8" s="346" t="e">
        <f>VLOOKUP($N8,flows!$A$2:$J$4985,X$2,FALSE)</f>
        <v>#N/A</v>
      </c>
      <c r="AA8" s="26" t="s">
        <v>51</v>
      </c>
      <c r="AB8" s="31" t="s">
        <v>1298</v>
      </c>
      <c r="AC8" s="194" t="s">
        <v>1895</v>
      </c>
      <c r="AD8" s="346">
        <f>IFERROR(VLOOKUP($AA8,flows!$A$2:$J$4985,AD$2,FALSE),0)</f>
        <v>0</v>
      </c>
      <c r="AE8" s="346">
        <f>IFERROR(VLOOKUP($AA8,flows!$A$2:$J$4985,AE$2,FALSE),0)</f>
        <v>0</v>
      </c>
      <c r="AF8" s="346">
        <f>IFERROR(VLOOKUP($AA8,flows!$A$2:$J$4985,AF$2,FALSE),0)</f>
        <v>0</v>
      </c>
      <c r="AG8" s="346">
        <f>IFERROR(VLOOKUP($AA8,flows!$A$2:$J$4985,AG$2,FALSE),0)</f>
        <v>0</v>
      </c>
      <c r="AH8" s="346">
        <f>IFERROR(VLOOKUP($AA8,flows!$A$2:$J$4985,AH$2,FALSE),0)</f>
        <v>0</v>
      </c>
      <c r="AI8" s="346">
        <f>IFERROR(VLOOKUP($AA8,flows!$A$2:$J$4985,AI$2,FALSE),0)</f>
        <v>0</v>
      </c>
      <c r="AJ8" s="346">
        <f>IFERROR(VLOOKUP($AA8,flows!$A$2:$J$4985,AJ$2,FALSE),0)</f>
        <v>0</v>
      </c>
      <c r="AK8" s="346">
        <f>IFERROR(VLOOKUP($AA8,flows!$A$2:$J$4985,AK$2,FALSE),0)</f>
        <v>0</v>
      </c>
      <c r="AM8" s="26" t="s">
        <v>30</v>
      </c>
      <c r="AN8" s="31"/>
      <c r="AO8" s="346" t="e">
        <f>VLOOKUP($AM8,flows!$A$2:$J$4985,AO$2,FALSE)</f>
        <v>#N/A</v>
      </c>
      <c r="AP8" s="346" t="e">
        <f>VLOOKUP($AM8,flows!$A$2:$J$4985,AP$2,FALSE)</f>
        <v>#N/A</v>
      </c>
      <c r="AQ8" s="346" t="e">
        <f>VLOOKUP($AM8,flows!$A$2:$J$4985,AQ$2,FALSE)</f>
        <v>#N/A</v>
      </c>
      <c r="AR8" s="346" t="e">
        <f>VLOOKUP($AM8,flows!$A$2:$J$4985,AR$2,FALSE)</f>
        <v>#N/A</v>
      </c>
      <c r="AS8" s="346" t="e">
        <f>VLOOKUP($AM8,flows!$A$2:$J$4985,AS$2,FALSE)</f>
        <v>#N/A</v>
      </c>
      <c r="AT8" s="346" t="e">
        <f>VLOOKUP($AM8,flows!$A$2:$J$4985,AT$2,FALSE)</f>
        <v>#N/A</v>
      </c>
      <c r="AU8" s="346" t="e">
        <f>VLOOKUP($AM8,flows!$A$2:$J$4985,AU$2,FALSE)</f>
        <v>#N/A</v>
      </c>
      <c r="AV8" s="346" t="e">
        <f>VLOOKUP($AM8,flows!$A$2:$J$4985,AV$2,FALSE)</f>
        <v>#N/A</v>
      </c>
    </row>
    <row r="9" spans="2:50" x14ac:dyDescent="0.35">
      <c r="N9" s="26" t="s">
        <v>2250</v>
      </c>
      <c r="O9" s="6" t="s">
        <v>1160</v>
      </c>
      <c r="P9" s="199" t="s">
        <v>1815</v>
      </c>
      <c r="Q9" s="346" t="e">
        <f>VLOOKUP($N9,flows!$A$2:$J$4985,Q$2,FALSE)</f>
        <v>#N/A</v>
      </c>
      <c r="R9" s="346" t="e">
        <f>VLOOKUP($N9,flows!$A$2:$J$4985,R$2,FALSE)</f>
        <v>#N/A</v>
      </c>
      <c r="S9" s="346" t="e">
        <f>VLOOKUP($N9,flows!$A$2:$J$4985,S$2,FALSE)</f>
        <v>#N/A</v>
      </c>
      <c r="T9" s="346" t="e">
        <f>VLOOKUP($N9,flows!$A$2:$J$4985,T$2,FALSE)</f>
        <v>#N/A</v>
      </c>
      <c r="U9" s="346" t="e">
        <f>VLOOKUP($N9,flows!$A$2:$J$4985,U$2,FALSE)</f>
        <v>#N/A</v>
      </c>
      <c r="V9" s="346" t="e">
        <f>VLOOKUP($N9,flows!$A$2:$J$4985,V$2,FALSE)</f>
        <v>#N/A</v>
      </c>
      <c r="W9" s="346" t="e">
        <f>VLOOKUP($N9,flows!$A$2:$J$4985,W$2,FALSE)</f>
        <v>#N/A</v>
      </c>
      <c r="X9" s="346" t="e">
        <f>VLOOKUP($N9,flows!$A$2:$J$4985,X$2,FALSE)</f>
        <v>#N/A</v>
      </c>
      <c r="AA9" s="26" t="s">
        <v>1006</v>
      </c>
      <c r="AB9" s="31" t="s">
        <v>1191</v>
      </c>
      <c r="AC9" s="194" t="s">
        <v>2253</v>
      </c>
      <c r="AD9" s="346" t="e">
        <f>VLOOKUP($AA9,flows!$A$2:$J$4985,AD$2,FALSE)</f>
        <v>#N/A</v>
      </c>
      <c r="AE9" s="346" t="e">
        <f>VLOOKUP($AA9,flows!$A$2:$J$4985,AE$2,FALSE)</f>
        <v>#N/A</v>
      </c>
      <c r="AF9" s="346" t="e">
        <f>VLOOKUP($AA9,flows!$A$2:$J$4985,AF$2,FALSE)</f>
        <v>#N/A</v>
      </c>
      <c r="AG9" s="346" t="e">
        <f>VLOOKUP($AA9,flows!$A$2:$J$4985,AG$2,FALSE)</f>
        <v>#N/A</v>
      </c>
      <c r="AH9" s="346" t="e">
        <f>VLOOKUP($AA9,flows!$A$2:$J$4985,AH$2,FALSE)</f>
        <v>#N/A</v>
      </c>
      <c r="AI9" s="346" t="e">
        <f>VLOOKUP($AA9,flows!$A$2:$J$4985,AI$2,FALSE)</f>
        <v>#N/A</v>
      </c>
      <c r="AJ9" s="346" t="e">
        <f>VLOOKUP($AA9,flows!$A$2:$J$4985,AJ$2,FALSE)</f>
        <v>#N/A</v>
      </c>
      <c r="AK9" s="346" t="e">
        <f>VLOOKUP($AA9,flows!$A$2:$J$4985,AK$2,FALSE)</f>
        <v>#N/A</v>
      </c>
      <c r="AM9" s="5" t="s">
        <v>31</v>
      </c>
      <c r="AN9" s="31"/>
      <c r="AO9" s="346" t="e">
        <f>VLOOKUP($AM9,flows!$A$2:$J$4985,AO$2,FALSE)</f>
        <v>#N/A</v>
      </c>
      <c r="AP9" s="346" t="e">
        <f>VLOOKUP($AM9,flows!$A$2:$J$4985,AP$2,FALSE)</f>
        <v>#N/A</v>
      </c>
      <c r="AQ9" s="346" t="e">
        <f>VLOOKUP($AM9,flows!$A$2:$J$4985,AQ$2,FALSE)</f>
        <v>#N/A</v>
      </c>
      <c r="AR9" s="346" t="e">
        <f>VLOOKUP($AM9,flows!$A$2:$J$4985,AR$2,FALSE)</f>
        <v>#N/A</v>
      </c>
      <c r="AS9" s="346" t="e">
        <f>VLOOKUP($AM9,flows!$A$2:$J$4985,AS$2,FALSE)</f>
        <v>#N/A</v>
      </c>
      <c r="AT9" s="346" t="e">
        <f>VLOOKUP($AM9,flows!$A$2:$J$4985,AT$2,FALSE)</f>
        <v>#N/A</v>
      </c>
      <c r="AU9" s="346" t="e">
        <f>VLOOKUP($AM9,flows!$A$2:$J$4985,AU$2,FALSE)</f>
        <v>#N/A</v>
      </c>
      <c r="AV9" s="346" t="e">
        <f>VLOOKUP($AM9,flows!$A$2:$J$4985,AV$2,FALSE)</f>
        <v>#N/A</v>
      </c>
    </row>
    <row r="10" spans="2:50" x14ac:dyDescent="0.35">
      <c r="N10" s="27" t="s">
        <v>973</v>
      </c>
      <c r="O10" s="32" t="s">
        <v>2326</v>
      </c>
      <c r="P10" s="195" t="s">
        <v>1884</v>
      </c>
      <c r="Q10" s="346" t="e">
        <f>VLOOKUP($N10,flows!$A$2:$J$4985,Q$2,FALSE)</f>
        <v>#N/A</v>
      </c>
      <c r="R10" s="346" t="e">
        <f>VLOOKUP($N10,flows!$A$2:$J$4985,R$2,FALSE)</f>
        <v>#N/A</v>
      </c>
      <c r="S10" s="346" t="e">
        <f>VLOOKUP($N10,flows!$A$2:$J$4985,S$2,FALSE)</f>
        <v>#N/A</v>
      </c>
      <c r="T10" s="346" t="e">
        <f>VLOOKUP($N10,flows!$A$2:$J$4985,T$2,FALSE)</f>
        <v>#N/A</v>
      </c>
      <c r="U10" s="346" t="e">
        <f>VLOOKUP($N10,flows!$A$2:$J$4985,U$2,FALSE)</f>
        <v>#N/A</v>
      </c>
      <c r="V10" s="346" t="e">
        <f>VLOOKUP($N10,flows!$A$2:$J$4985,V$2,FALSE)</f>
        <v>#N/A</v>
      </c>
      <c r="W10" s="346" t="e">
        <f>VLOOKUP($N10,flows!$A$2:$J$4985,W$2,FALSE)</f>
        <v>#N/A</v>
      </c>
      <c r="X10" s="346" t="e">
        <f>VLOOKUP($N10,flows!$A$2:$J$4985,X$2,FALSE)</f>
        <v>#N/A</v>
      </c>
      <c r="AA10" s="27" t="s">
        <v>52</v>
      </c>
      <c r="AB10" s="31" t="s">
        <v>1181</v>
      </c>
      <c r="AC10" s="194" t="s">
        <v>1942</v>
      </c>
      <c r="AD10" s="346" t="e">
        <f>VLOOKUP($AA10,flows!$A$2:$J$4985,AD$2,FALSE)</f>
        <v>#N/A</v>
      </c>
      <c r="AE10" s="346" t="e">
        <f>VLOOKUP($AA10,flows!$A$2:$J$4985,AE$2,FALSE)</f>
        <v>#N/A</v>
      </c>
      <c r="AF10" s="346" t="e">
        <f>VLOOKUP($AA10,flows!$A$2:$J$4985,AF$2,FALSE)</f>
        <v>#N/A</v>
      </c>
      <c r="AG10" s="346" t="e">
        <f>VLOOKUP($AA10,flows!$A$2:$J$4985,AG$2,FALSE)</f>
        <v>#N/A</v>
      </c>
      <c r="AH10" s="346" t="e">
        <f>VLOOKUP($AA10,flows!$A$2:$J$4985,AH$2,FALSE)</f>
        <v>#N/A</v>
      </c>
      <c r="AI10" s="346" t="e">
        <f>VLOOKUP($AA10,flows!$A$2:$J$4985,AI$2,FALSE)</f>
        <v>#N/A</v>
      </c>
      <c r="AJ10" s="346" t="e">
        <f>VLOOKUP($AA10,flows!$A$2:$J$4985,AJ$2,FALSE)</f>
        <v>#N/A</v>
      </c>
      <c r="AK10" s="346" t="e">
        <f>VLOOKUP($AA10,flows!$A$2:$J$4985,AK$2,FALSE)</f>
        <v>#N/A</v>
      </c>
      <c r="AM10" s="26" t="s">
        <v>1068</v>
      </c>
      <c r="AN10" s="32"/>
      <c r="AO10" s="346" t="e">
        <f>VLOOKUP($AM10,flows!$A$2:$J$4985,AO$2,FALSE)</f>
        <v>#N/A</v>
      </c>
      <c r="AP10" s="346" t="e">
        <f>VLOOKUP($AM10,flows!$A$2:$J$4985,AP$2,FALSE)</f>
        <v>#N/A</v>
      </c>
      <c r="AQ10" s="346" t="e">
        <f>VLOOKUP($AM10,flows!$A$2:$J$4985,AQ$2,FALSE)</f>
        <v>#N/A</v>
      </c>
      <c r="AR10" s="346" t="e">
        <f>VLOOKUP($AM10,flows!$A$2:$J$4985,AR$2,FALSE)</f>
        <v>#N/A</v>
      </c>
      <c r="AS10" s="346" t="e">
        <f>VLOOKUP($AM10,flows!$A$2:$J$4985,AS$2,FALSE)</f>
        <v>#N/A</v>
      </c>
      <c r="AT10" s="346" t="e">
        <f>VLOOKUP($AM10,flows!$A$2:$J$4985,AT$2,FALSE)</f>
        <v>#N/A</v>
      </c>
      <c r="AU10" s="346" t="e">
        <f>VLOOKUP($AM10,flows!$A$2:$J$4985,AU$2,FALSE)</f>
        <v>#N/A</v>
      </c>
      <c r="AV10" s="346" t="e">
        <f>VLOOKUP($AM10,flows!$A$2:$J$4985,AV$2,FALSE)</f>
        <v>#N/A</v>
      </c>
    </row>
    <row r="11" spans="2:50" x14ac:dyDescent="0.35">
      <c r="N11" s="26"/>
      <c r="O11" s="31"/>
      <c r="P11" s="194"/>
      <c r="Q11" s="13"/>
      <c r="R11" s="13"/>
      <c r="S11" s="13"/>
      <c r="T11" s="13"/>
      <c r="U11" s="13"/>
      <c r="V11" s="13"/>
      <c r="W11" s="13"/>
      <c r="X11" s="13"/>
      <c r="AA11" s="26"/>
      <c r="AB11" s="31"/>
      <c r="AC11" s="194"/>
      <c r="AD11" s="13"/>
      <c r="AE11" s="13"/>
      <c r="AF11" s="13"/>
      <c r="AG11" s="13"/>
      <c r="AH11" s="13"/>
      <c r="AI11" s="13"/>
      <c r="AJ11" s="13"/>
      <c r="AK11" s="13"/>
      <c r="AM11" s="26" t="s">
        <v>1754</v>
      </c>
      <c r="AN11" s="6"/>
      <c r="AO11" s="346" t="e">
        <f>VLOOKUP($AM11,flows!$A$2:$J$4985,AO$2,FALSE)</f>
        <v>#N/A</v>
      </c>
      <c r="AP11" s="346" t="e">
        <f>VLOOKUP($AM11,flows!$A$2:$J$4985,AP$2,FALSE)</f>
        <v>#N/A</v>
      </c>
      <c r="AQ11" s="346" t="e">
        <f>VLOOKUP($AM11,flows!$A$2:$J$4985,AQ$2,FALSE)</f>
        <v>#N/A</v>
      </c>
      <c r="AR11" s="346" t="e">
        <f>VLOOKUP($AM11,flows!$A$2:$J$4985,AR$2,FALSE)</f>
        <v>#N/A</v>
      </c>
      <c r="AS11" s="346" t="e">
        <f>VLOOKUP($AM11,flows!$A$2:$J$4985,AS$2,FALSE)</f>
        <v>#N/A</v>
      </c>
      <c r="AT11" s="346" t="e">
        <f>VLOOKUP($AM11,flows!$A$2:$J$4985,AT$2,FALSE)</f>
        <v>#N/A</v>
      </c>
      <c r="AU11" s="346" t="e">
        <f>VLOOKUP($AM11,flows!$A$2:$J$4985,AU$2,FALSE)</f>
        <v>#N/A</v>
      </c>
      <c r="AV11" s="346" t="e">
        <f>VLOOKUP($AM11,flows!$A$2:$J$4985,AV$2,FALSE)</f>
        <v>#N/A</v>
      </c>
    </row>
    <row r="12" spans="2:50" ht="15" thickBot="1" x14ac:dyDescent="0.4">
      <c r="N12" s="28"/>
      <c r="O12" s="33"/>
      <c r="P12" s="33"/>
      <c r="Q12" s="35"/>
      <c r="R12" s="35"/>
      <c r="S12" s="35"/>
      <c r="T12" s="35"/>
      <c r="U12" s="35"/>
      <c r="V12" s="35"/>
      <c r="W12" s="35"/>
      <c r="X12" s="35"/>
      <c r="AA12" s="43" t="s">
        <v>1299</v>
      </c>
      <c r="AB12" s="33"/>
      <c r="AC12" s="33"/>
      <c r="AD12" s="35"/>
      <c r="AE12" s="35"/>
      <c r="AF12" s="35"/>
      <c r="AG12" s="35"/>
      <c r="AH12" s="35"/>
      <c r="AI12" s="35"/>
      <c r="AJ12" s="35"/>
      <c r="AK12" s="35"/>
      <c r="AM12" s="26" t="s">
        <v>1073</v>
      </c>
      <c r="AN12" s="31"/>
      <c r="AO12" s="346" t="e">
        <f>VLOOKUP($AM12,flows!$A$2:$J$4985,AO$2,FALSE)</f>
        <v>#N/A</v>
      </c>
      <c r="AP12" s="346" t="e">
        <f>VLOOKUP($AM12,flows!$A$2:$J$4985,AP$2,FALSE)</f>
        <v>#N/A</v>
      </c>
      <c r="AQ12" s="346" t="e">
        <f>VLOOKUP($AM12,flows!$A$2:$J$4985,AQ$2,FALSE)</f>
        <v>#N/A</v>
      </c>
      <c r="AR12" s="346" t="e">
        <f>VLOOKUP($AM12,flows!$A$2:$J$4985,AR$2,FALSE)</f>
        <v>#N/A</v>
      </c>
      <c r="AS12" s="346" t="e">
        <f>VLOOKUP($AM12,flows!$A$2:$J$4985,AS$2,FALSE)</f>
        <v>#N/A</v>
      </c>
      <c r="AT12" s="346" t="e">
        <f>VLOOKUP($AM12,flows!$A$2:$J$4985,AT$2,FALSE)</f>
        <v>#N/A</v>
      </c>
      <c r="AU12" s="346" t="e">
        <f>VLOOKUP($AM12,flows!$A$2:$J$4985,AU$2,FALSE)</f>
        <v>#N/A</v>
      </c>
      <c r="AV12" s="346" t="e">
        <f>VLOOKUP($AM12,flows!$A$2:$J$4985,AV$2,FALSE)</f>
        <v>#N/A</v>
      </c>
      <c r="AX12" s="190"/>
    </row>
    <row r="13" spans="2:50" ht="14.5" x14ac:dyDescent="0.35">
      <c r="AM13" s="26" t="s">
        <v>32</v>
      </c>
      <c r="AN13" s="31"/>
      <c r="AO13" s="346" t="e">
        <f>VLOOKUP($AM13,flows!$A$2:$J$4985,AO$2,FALSE)</f>
        <v>#N/A</v>
      </c>
      <c r="AP13" s="346" t="e">
        <f>VLOOKUP($AM13,flows!$A$2:$J$4985,AP$2,FALSE)</f>
        <v>#N/A</v>
      </c>
      <c r="AQ13" s="346" t="e">
        <f>VLOOKUP($AM13,flows!$A$2:$J$4985,AQ$2,FALSE)</f>
        <v>#N/A</v>
      </c>
      <c r="AR13" s="346" t="e">
        <f>VLOOKUP($AM13,flows!$A$2:$J$4985,AR$2,FALSE)</f>
        <v>#N/A</v>
      </c>
      <c r="AS13" s="346" t="e">
        <f>VLOOKUP($AM13,flows!$A$2:$J$4985,AS$2,FALSE)</f>
        <v>#N/A</v>
      </c>
      <c r="AT13" s="346" t="e">
        <f>VLOOKUP($AM13,flows!$A$2:$J$4985,AT$2,FALSE)</f>
        <v>#N/A</v>
      </c>
      <c r="AU13" s="346" t="e">
        <f>VLOOKUP($AM13,flows!$A$2:$J$4985,AU$2,FALSE)</f>
        <v>#N/A</v>
      </c>
      <c r="AV13" s="346" t="e">
        <f>VLOOKUP($AM13,flows!$A$2:$J$4985,AV$2,FALSE)</f>
        <v>#N/A</v>
      </c>
      <c r="AX13" s="190"/>
    </row>
    <row r="14" spans="2:50" ht="14.5" x14ac:dyDescent="0.35">
      <c r="AM14" s="5" t="s">
        <v>1125</v>
      </c>
      <c r="AN14" s="31"/>
      <c r="AO14" s="346" t="e">
        <f>VLOOKUP($AM14,flows!$A$2:$J$4985,AO$2,FALSE)</f>
        <v>#N/A</v>
      </c>
      <c r="AP14" s="346" t="e">
        <f>VLOOKUP($AM14,flows!$A$2:$J$4985,AP$2,FALSE)</f>
        <v>#N/A</v>
      </c>
      <c r="AQ14" s="346" t="e">
        <f>VLOOKUP($AM14,flows!$A$2:$J$4985,AQ$2,FALSE)</f>
        <v>#N/A</v>
      </c>
      <c r="AR14" s="346" t="e">
        <f>VLOOKUP($AM14,flows!$A$2:$J$4985,AR$2,FALSE)</f>
        <v>#N/A</v>
      </c>
      <c r="AS14" s="346" t="e">
        <f>VLOOKUP($AM14,flows!$A$2:$J$4985,AS$2,FALSE)</f>
        <v>#N/A</v>
      </c>
      <c r="AT14" s="346" t="e">
        <f>VLOOKUP($AM14,flows!$A$2:$J$4985,AT$2,FALSE)</f>
        <v>#N/A</v>
      </c>
      <c r="AU14" s="346" t="e">
        <f>VLOOKUP($AM14,flows!$A$2:$J$4985,AU$2,FALSE)</f>
        <v>#N/A</v>
      </c>
      <c r="AV14" s="346" t="e">
        <f>VLOOKUP($AM14,flows!$A$2:$J$4985,AV$2,FALSE)</f>
        <v>#N/A</v>
      </c>
      <c r="AX14" s="190"/>
    </row>
    <row r="15" spans="2:50" ht="14.5" x14ac:dyDescent="0.35">
      <c r="AM15" s="5" t="s">
        <v>1701</v>
      </c>
      <c r="AN15" s="31"/>
      <c r="AO15" s="346" t="e">
        <f>VLOOKUP($AM15,flows!$A$2:$J$4985,AO$2,FALSE)</f>
        <v>#N/A</v>
      </c>
      <c r="AP15" s="346" t="e">
        <f>VLOOKUP($AM15,flows!$A$2:$J$4985,AP$2,FALSE)</f>
        <v>#N/A</v>
      </c>
      <c r="AQ15" s="346" t="e">
        <f>VLOOKUP($AM15,flows!$A$2:$J$4985,AQ$2,FALSE)</f>
        <v>#N/A</v>
      </c>
      <c r="AR15" s="346" t="e">
        <f>VLOOKUP($AM15,flows!$A$2:$J$4985,AR$2,FALSE)</f>
        <v>#N/A</v>
      </c>
      <c r="AS15" s="346" t="e">
        <f>VLOOKUP($AM15,flows!$A$2:$J$4985,AS$2,FALSE)</f>
        <v>#N/A</v>
      </c>
      <c r="AT15" s="346" t="e">
        <f>VLOOKUP($AM15,flows!$A$2:$J$4985,AT$2,FALSE)</f>
        <v>#N/A</v>
      </c>
      <c r="AU15" s="346" t="e">
        <f>VLOOKUP($AM15,flows!$A$2:$J$4985,AU$2,FALSE)</f>
        <v>#N/A</v>
      </c>
      <c r="AV15" s="346" t="e">
        <f>VLOOKUP($AM15,flows!$A$2:$J$4985,AV$2,FALSE)</f>
        <v>#N/A</v>
      </c>
      <c r="AX15" s="190"/>
    </row>
    <row r="16" spans="2:50" ht="14.5" x14ac:dyDescent="0.35">
      <c r="AM16" s="5" t="s">
        <v>1137</v>
      </c>
      <c r="AN16" s="6"/>
      <c r="AO16" s="346" t="e">
        <f>VLOOKUP($AM16,flows!$A$2:$J$4985,AO$2,FALSE)</f>
        <v>#N/A</v>
      </c>
      <c r="AP16" s="346" t="e">
        <f>VLOOKUP($AM16,flows!$A$2:$J$4985,AP$2,FALSE)</f>
        <v>#N/A</v>
      </c>
      <c r="AQ16" s="346" t="e">
        <f>VLOOKUP($AM16,flows!$A$2:$J$4985,AQ$2,FALSE)</f>
        <v>#N/A</v>
      </c>
      <c r="AR16" s="346" t="e">
        <f>VLOOKUP($AM16,flows!$A$2:$J$4985,AR$2,FALSE)</f>
        <v>#N/A</v>
      </c>
      <c r="AS16" s="346" t="e">
        <f>VLOOKUP($AM16,flows!$A$2:$J$4985,AS$2,FALSE)</f>
        <v>#N/A</v>
      </c>
      <c r="AT16" s="346" t="e">
        <f>VLOOKUP($AM16,flows!$A$2:$J$4985,AT$2,FALSE)</f>
        <v>#N/A</v>
      </c>
      <c r="AU16" s="346" t="e">
        <f>VLOOKUP($AM16,flows!$A$2:$J$4985,AU$2,FALSE)</f>
        <v>#N/A</v>
      </c>
      <c r="AV16" s="346" t="e">
        <f>VLOOKUP($AM16,flows!$A$2:$J$4985,AV$2,FALSE)</f>
        <v>#N/A</v>
      </c>
      <c r="AX16" s="190"/>
    </row>
    <row r="17" spans="39:50" ht="14.5" x14ac:dyDescent="0.35">
      <c r="AM17" s="5" t="s">
        <v>601</v>
      </c>
      <c r="AN17" s="6"/>
      <c r="AO17" s="346" t="e">
        <f>VLOOKUP($AM17,flows!$A$2:$J$4985,AO$2,FALSE)</f>
        <v>#N/A</v>
      </c>
      <c r="AP17" s="346" t="e">
        <f>VLOOKUP($AM17,flows!$A$2:$J$4985,AP$2,FALSE)</f>
        <v>#N/A</v>
      </c>
      <c r="AQ17" s="346" t="e">
        <f>VLOOKUP($AM17,flows!$A$2:$J$4985,AQ$2,FALSE)</f>
        <v>#N/A</v>
      </c>
      <c r="AR17" s="346" t="e">
        <f>VLOOKUP($AM17,flows!$A$2:$J$4985,AR$2,FALSE)</f>
        <v>#N/A</v>
      </c>
      <c r="AS17" s="346" t="e">
        <f>VLOOKUP($AM17,flows!$A$2:$J$4985,AS$2,FALSE)</f>
        <v>#N/A</v>
      </c>
      <c r="AT17" s="346" t="e">
        <f>VLOOKUP($AM17,flows!$A$2:$J$4985,AT$2,FALSE)</f>
        <v>#N/A</v>
      </c>
      <c r="AU17" s="346" t="e">
        <f>VLOOKUP($AM17,flows!$A$2:$J$4985,AU$2,FALSE)</f>
        <v>#N/A</v>
      </c>
      <c r="AV17" s="346" t="e">
        <f>VLOOKUP($AM17,flows!$A$2:$J$4985,AV$2,FALSE)</f>
        <v>#N/A</v>
      </c>
      <c r="AX17" s="190"/>
    </row>
    <row r="18" spans="39:50" ht="14.5" x14ac:dyDescent="0.35">
      <c r="AM18" s="5" t="s">
        <v>33</v>
      </c>
      <c r="AN18" s="6"/>
      <c r="AO18" s="346" t="e">
        <f>VLOOKUP($AM18,flows!$A$2:$J$4985,AO$2,FALSE)</f>
        <v>#N/A</v>
      </c>
      <c r="AP18" s="346" t="e">
        <f>VLOOKUP($AM18,flows!$A$2:$J$4985,AP$2,FALSE)</f>
        <v>#N/A</v>
      </c>
      <c r="AQ18" s="346" t="e">
        <f>VLOOKUP($AM18,flows!$A$2:$J$4985,AQ$2,FALSE)</f>
        <v>#N/A</v>
      </c>
      <c r="AR18" s="346" t="e">
        <f>VLOOKUP($AM18,flows!$A$2:$J$4985,AR$2,FALSE)</f>
        <v>#N/A</v>
      </c>
      <c r="AS18" s="346" t="e">
        <f>VLOOKUP($AM18,flows!$A$2:$J$4985,AS$2,FALSE)</f>
        <v>#N/A</v>
      </c>
      <c r="AT18" s="346" t="e">
        <f>VLOOKUP($AM18,flows!$A$2:$J$4985,AT$2,FALSE)</f>
        <v>#N/A</v>
      </c>
      <c r="AU18" s="346" t="e">
        <f>VLOOKUP($AM18,flows!$A$2:$J$4985,AU$2,FALSE)</f>
        <v>#N/A</v>
      </c>
      <c r="AV18" s="346" t="e">
        <f>VLOOKUP($AM18,flows!$A$2:$J$4985,AV$2,FALSE)</f>
        <v>#N/A</v>
      </c>
      <c r="AX18" s="190"/>
    </row>
    <row r="19" spans="39:50" ht="14.5" x14ac:dyDescent="0.35">
      <c r="AM19" s="5" t="s">
        <v>34</v>
      </c>
      <c r="AN19" s="6"/>
      <c r="AO19" s="346" t="e">
        <f>VLOOKUP($AM19,flows!$A$2:$J$4985,AO$2,FALSE)</f>
        <v>#N/A</v>
      </c>
      <c r="AP19" s="346" t="e">
        <f>VLOOKUP($AM19,flows!$A$2:$J$4985,AP$2,FALSE)</f>
        <v>#N/A</v>
      </c>
      <c r="AQ19" s="346" t="e">
        <f>VLOOKUP($AM19,flows!$A$2:$J$4985,AQ$2,FALSE)</f>
        <v>#N/A</v>
      </c>
      <c r="AR19" s="346" t="e">
        <f>VLOOKUP($AM19,flows!$A$2:$J$4985,AR$2,FALSE)</f>
        <v>#N/A</v>
      </c>
      <c r="AS19" s="346" t="e">
        <f>VLOOKUP($AM19,flows!$A$2:$J$4985,AS$2,FALSE)</f>
        <v>#N/A</v>
      </c>
      <c r="AT19" s="346" t="e">
        <f>VLOOKUP($AM19,flows!$A$2:$J$4985,AT$2,FALSE)</f>
        <v>#N/A</v>
      </c>
      <c r="AU19" s="346" t="e">
        <f>VLOOKUP($AM19,flows!$A$2:$J$4985,AU$2,FALSE)</f>
        <v>#N/A</v>
      </c>
      <c r="AV19" s="346" t="e">
        <f>VLOOKUP($AM19,flows!$A$2:$J$4985,AV$2,FALSE)</f>
        <v>#N/A</v>
      </c>
      <c r="AX19" s="190"/>
    </row>
    <row r="20" spans="39:50" ht="14.5" x14ac:dyDescent="0.35">
      <c r="AM20" s="5" t="s">
        <v>35</v>
      </c>
      <c r="AN20" s="6"/>
      <c r="AO20" s="346">
        <f>VLOOKUP($AM20,flows!$A$2:$J$4985,AO$2,FALSE)</f>
        <v>192713.61278901441</v>
      </c>
      <c r="AP20" s="346">
        <f>VLOOKUP($AM20,flows!$A$2:$J$4985,AP$2,FALSE)</f>
        <v>0</v>
      </c>
      <c r="AQ20" s="346">
        <f>VLOOKUP($AM20,flows!$A$2:$J$4985,AQ$2,FALSE)</f>
        <v>317.03828484666099</v>
      </c>
      <c r="AR20" s="346">
        <f>VLOOKUP($AM20,flows!$A$2:$J$4985,AR$2,FALSE)</f>
        <v>21033.57982259446</v>
      </c>
      <c r="AS20" s="346">
        <f>VLOOKUP($AM20,flows!$A$2:$J$4985,AS$2,FALSE)</f>
        <v>87942.444709228192</v>
      </c>
      <c r="AT20" s="346">
        <f>VLOOKUP($AM20,flows!$A$2:$J$4985,AT$2,FALSE)</f>
        <v>140611.58027442271</v>
      </c>
      <c r="AU20" s="346">
        <f>VLOOKUP($AM20,flows!$A$2:$J$4985,AU$2,FALSE)</f>
        <v>229926.566691382</v>
      </c>
      <c r="AV20" s="346">
        <f>VLOOKUP($AM20,flows!$A$2:$J$4985,AV$2,FALSE)</f>
        <v>0</v>
      </c>
      <c r="AX20" s="190"/>
    </row>
    <row r="21" spans="39:50" ht="14.5" x14ac:dyDescent="0.35">
      <c r="AM21" s="343" t="s">
        <v>4117</v>
      </c>
      <c r="AN21" s="344"/>
      <c r="AO21" s="346">
        <f>VLOOKUP($AM21,flows!$A$2:$J$4985,AO$2,FALSE)</f>
        <v>1.390776275840552</v>
      </c>
      <c r="AP21" s="346">
        <f>VLOOKUP($AM21,flows!$A$2:$J$4985,AP$2,FALSE)</f>
        <v>0</v>
      </c>
      <c r="AQ21" s="346">
        <f>VLOOKUP($AM21,flows!$A$2:$J$4985,AQ$2,FALSE)</f>
        <v>5.1623413669181879</v>
      </c>
      <c r="AR21" s="346">
        <f>VLOOKUP($AM21,flows!$A$2:$J$4985,AR$2,FALSE)</f>
        <v>5553.201371029395</v>
      </c>
      <c r="AS21" s="346">
        <f>VLOOKUP($AM21,flows!$A$2:$J$4985,AS$2,FALSE)</f>
        <v>22222.61797379105</v>
      </c>
      <c r="AT21" s="346">
        <f>VLOOKUP($AM21,flows!$A$2:$J$4985,AT$2,FALSE)</f>
        <v>28748.003667855312</v>
      </c>
      <c r="AU21" s="346">
        <f>VLOOKUP($AM21,flows!$A$2:$J$4985,AU$2,FALSE)</f>
        <v>31141.373324814449</v>
      </c>
      <c r="AV21" s="346">
        <f>VLOOKUP($AM21,flows!$A$2:$J$4985,AV$2,FALSE)</f>
        <v>0</v>
      </c>
      <c r="AX21" s="190"/>
    </row>
    <row r="22" spans="39:50" ht="14.5" x14ac:dyDescent="0.35">
      <c r="AM22" s="343" t="s">
        <v>4400</v>
      </c>
      <c r="AN22" s="344"/>
      <c r="AO22" s="346" t="e">
        <f>VLOOKUP($AM22,flows!$A$2:$J$4985,AO$2,FALSE)</f>
        <v>#N/A</v>
      </c>
      <c r="AP22" s="346" t="e">
        <f>VLOOKUP($AM22,flows!$A$2:$J$4985,AP$2,FALSE)</f>
        <v>#N/A</v>
      </c>
      <c r="AQ22" s="346" t="e">
        <f>VLOOKUP($AM22,flows!$A$2:$J$4985,AQ$2,FALSE)</f>
        <v>#N/A</v>
      </c>
      <c r="AR22" s="346" t="e">
        <f>VLOOKUP($AM22,flows!$A$2:$J$4985,AR$2,FALSE)</f>
        <v>#N/A</v>
      </c>
      <c r="AS22" s="346" t="e">
        <f>VLOOKUP($AM22,flows!$A$2:$J$4985,AS$2,FALSE)</f>
        <v>#N/A</v>
      </c>
      <c r="AT22" s="346" t="e">
        <f>VLOOKUP($AM22,flows!$A$2:$J$4985,AT$2,FALSE)</f>
        <v>#N/A</v>
      </c>
      <c r="AU22" s="346" t="e">
        <f>VLOOKUP($AM22,flows!$A$2:$J$4985,AU$2,FALSE)</f>
        <v>#N/A</v>
      </c>
      <c r="AV22" s="346" t="e">
        <f>VLOOKUP($AM22,flows!$A$2:$J$4985,AV$2,FALSE)</f>
        <v>#N/A</v>
      </c>
      <c r="AX22" s="190"/>
    </row>
    <row r="23" spans="39:50" ht="14.5" x14ac:dyDescent="0.35">
      <c r="AM23" s="5" t="s">
        <v>36</v>
      </c>
      <c r="AN23" s="6"/>
      <c r="AO23" s="346" t="e">
        <f>VLOOKUP($AM23,flows!$A$2:$J$4985,AO$2,FALSE)</f>
        <v>#N/A</v>
      </c>
      <c r="AP23" s="346" t="e">
        <f>VLOOKUP($AM23,flows!$A$2:$J$4985,AP$2,FALSE)</f>
        <v>#N/A</v>
      </c>
      <c r="AQ23" s="346" t="e">
        <f>VLOOKUP($AM23,flows!$A$2:$J$4985,AQ$2,FALSE)</f>
        <v>#N/A</v>
      </c>
      <c r="AR23" s="346" t="e">
        <f>VLOOKUP($AM23,flows!$A$2:$J$4985,AR$2,FALSE)</f>
        <v>#N/A</v>
      </c>
      <c r="AS23" s="346" t="e">
        <f>VLOOKUP($AM23,flows!$A$2:$J$4985,AS$2,FALSE)</f>
        <v>#N/A</v>
      </c>
      <c r="AT23" s="346" t="e">
        <f>VLOOKUP($AM23,flows!$A$2:$J$4985,AT$2,FALSE)</f>
        <v>#N/A</v>
      </c>
      <c r="AU23" s="346" t="e">
        <f>VLOOKUP($AM23,flows!$A$2:$J$4985,AU$2,FALSE)</f>
        <v>#N/A</v>
      </c>
      <c r="AV23" s="346" t="e">
        <f>VLOOKUP($AM23,flows!$A$2:$J$4985,AV$2,FALSE)</f>
        <v>#N/A</v>
      </c>
      <c r="AX23" s="190"/>
    </row>
    <row r="24" spans="39:50" ht="14.5" x14ac:dyDescent="0.35">
      <c r="AM24" s="5" t="s">
        <v>37</v>
      </c>
      <c r="AN24" s="6"/>
      <c r="AO24" s="346" t="e">
        <f>VLOOKUP($AM24,flows!$A$2:$J$4985,AO$2,FALSE)</f>
        <v>#N/A</v>
      </c>
      <c r="AP24" s="346" t="e">
        <f>VLOOKUP($AM24,flows!$A$2:$J$4985,AP$2,FALSE)</f>
        <v>#N/A</v>
      </c>
      <c r="AQ24" s="346" t="e">
        <f>VLOOKUP($AM24,flows!$A$2:$J$4985,AQ$2,FALSE)</f>
        <v>#N/A</v>
      </c>
      <c r="AR24" s="346" t="e">
        <f>VLOOKUP($AM24,flows!$A$2:$J$4985,AR$2,FALSE)</f>
        <v>#N/A</v>
      </c>
      <c r="AS24" s="346" t="e">
        <f>VLOOKUP($AM24,flows!$A$2:$J$4985,AS$2,FALSE)</f>
        <v>#N/A</v>
      </c>
      <c r="AT24" s="346" t="e">
        <f>VLOOKUP($AM24,flows!$A$2:$J$4985,AT$2,FALSE)</f>
        <v>#N/A</v>
      </c>
      <c r="AU24" s="346" t="e">
        <f>VLOOKUP($AM24,flows!$A$2:$J$4985,AU$2,FALSE)</f>
        <v>#N/A</v>
      </c>
      <c r="AV24" s="346" t="e">
        <f>VLOOKUP($AM24,flows!$A$2:$J$4985,AV$2,FALSE)</f>
        <v>#N/A</v>
      </c>
      <c r="AX24" s="190"/>
    </row>
    <row r="25" spans="39:50" ht="14.5" x14ac:dyDescent="0.35">
      <c r="AM25" s="5" t="s">
        <v>1004</v>
      </c>
      <c r="AN25" s="6"/>
      <c r="AO25" s="346" t="e">
        <f>VLOOKUP($AM25,flows!$A$2:$J$4985,AO$2,FALSE)</f>
        <v>#N/A</v>
      </c>
      <c r="AP25" s="346" t="e">
        <f>VLOOKUP($AM25,flows!$A$2:$J$4985,AP$2,FALSE)</f>
        <v>#N/A</v>
      </c>
      <c r="AQ25" s="346" t="e">
        <f>VLOOKUP($AM25,flows!$A$2:$J$4985,AQ$2,FALSE)</f>
        <v>#N/A</v>
      </c>
      <c r="AR25" s="346" t="e">
        <f>VLOOKUP($AM25,flows!$A$2:$J$4985,AR$2,FALSE)</f>
        <v>#N/A</v>
      </c>
      <c r="AS25" s="346" t="e">
        <f>VLOOKUP($AM25,flows!$A$2:$J$4985,AS$2,FALSE)</f>
        <v>#N/A</v>
      </c>
      <c r="AT25" s="346" t="e">
        <f>VLOOKUP($AM25,flows!$A$2:$J$4985,AT$2,FALSE)</f>
        <v>#N/A</v>
      </c>
      <c r="AU25" s="346" t="e">
        <f>VLOOKUP($AM25,flows!$A$2:$J$4985,AU$2,FALSE)</f>
        <v>#N/A</v>
      </c>
      <c r="AV25" s="346" t="e">
        <f>VLOOKUP($AM25,flows!$A$2:$J$4985,AV$2,FALSE)</f>
        <v>#N/A</v>
      </c>
      <c r="AX25" s="190"/>
    </row>
    <row r="26" spans="39:50" ht="14.5" x14ac:dyDescent="0.35">
      <c r="AM26" s="5" t="s">
        <v>1071</v>
      </c>
      <c r="AN26" s="6"/>
      <c r="AO26" s="346" t="e">
        <f>VLOOKUP($AM26,flows!$A$2:$J$4985,AO$2,FALSE)</f>
        <v>#N/A</v>
      </c>
      <c r="AP26" s="346" t="e">
        <f>VLOOKUP($AM26,flows!$A$2:$J$4985,AP$2,FALSE)</f>
        <v>#N/A</v>
      </c>
      <c r="AQ26" s="346" t="e">
        <f>VLOOKUP($AM26,flows!$A$2:$J$4985,AQ$2,FALSE)</f>
        <v>#N/A</v>
      </c>
      <c r="AR26" s="346" t="e">
        <f>VLOOKUP($AM26,flows!$A$2:$J$4985,AR$2,FALSE)</f>
        <v>#N/A</v>
      </c>
      <c r="AS26" s="346" t="e">
        <f>VLOOKUP($AM26,flows!$A$2:$J$4985,AS$2,FALSE)</f>
        <v>#N/A</v>
      </c>
      <c r="AT26" s="346" t="e">
        <f>VLOOKUP($AM26,flows!$A$2:$J$4985,AT$2,FALSE)</f>
        <v>#N/A</v>
      </c>
      <c r="AU26" s="346" t="e">
        <f>VLOOKUP($AM26,flows!$A$2:$J$4985,AU$2,FALSE)</f>
        <v>#N/A</v>
      </c>
      <c r="AV26" s="346" t="e">
        <f>VLOOKUP($AM26,flows!$A$2:$J$4985,AV$2,FALSE)</f>
        <v>#N/A</v>
      </c>
      <c r="AX26" s="190"/>
    </row>
    <row r="27" spans="39:50" ht="14.5" x14ac:dyDescent="0.35">
      <c r="AM27" s="5" t="s">
        <v>1128</v>
      </c>
      <c r="AN27" s="6"/>
      <c r="AO27" s="346" t="e">
        <f>VLOOKUP($AM27,flows!$A$2:$J$4985,AO$2,FALSE)</f>
        <v>#N/A</v>
      </c>
      <c r="AP27" s="346" t="e">
        <f>VLOOKUP($AM27,flows!$A$2:$J$4985,AP$2,FALSE)</f>
        <v>#N/A</v>
      </c>
      <c r="AQ27" s="346" t="e">
        <f>VLOOKUP($AM27,flows!$A$2:$J$4985,AQ$2,FALSE)</f>
        <v>#N/A</v>
      </c>
      <c r="AR27" s="346" t="e">
        <f>VLOOKUP($AM27,flows!$A$2:$J$4985,AR$2,FALSE)</f>
        <v>#N/A</v>
      </c>
      <c r="AS27" s="346" t="e">
        <f>VLOOKUP($AM27,flows!$A$2:$J$4985,AS$2,FALSE)</f>
        <v>#N/A</v>
      </c>
      <c r="AT27" s="346" t="e">
        <f>VLOOKUP($AM27,flows!$A$2:$J$4985,AT$2,FALSE)</f>
        <v>#N/A</v>
      </c>
      <c r="AU27" s="346" t="e">
        <f>VLOOKUP($AM27,flows!$A$2:$J$4985,AU$2,FALSE)</f>
        <v>#N/A</v>
      </c>
      <c r="AV27" s="346" t="e">
        <f>VLOOKUP($AM27,flows!$A$2:$J$4985,AV$2,FALSE)</f>
        <v>#N/A</v>
      </c>
      <c r="AX27" s="190"/>
    </row>
    <row r="28" spans="39:50" ht="14.5" x14ac:dyDescent="0.35">
      <c r="AM28" s="198" t="s">
        <v>666</v>
      </c>
      <c r="AN28" s="6"/>
      <c r="AO28" s="346" t="e">
        <f>VLOOKUP($AM28,flows!$A$2:$J$4985,AO$2,FALSE)</f>
        <v>#N/A</v>
      </c>
      <c r="AP28" s="346" t="e">
        <f>VLOOKUP($AM28,flows!$A$2:$J$4985,AP$2,FALSE)</f>
        <v>#N/A</v>
      </c>
      <c r="AQ28" s="346" t="e">
        <f>VLOOKUP($AM28,flows!$A$2:$J$4985,AQ$2,FALSE)</f>
        <v>#N/A</v>
      </c>
      <c r="AR28" s="346" t="e">
        <f>VLOOKUP($AM28,flows!$A$2:$J$4985,AR$2,FALSE)</f>
        <v>#N/A</v>
      </c>
      <c r="AS28" s="346" t="e">
        <f>VLOOKUP($AM28,flows!$A$2:$J$4985,AS$2,FALSE)</f>
        <v>#N/A</v>
      </c>
      <c r="AT28" s="346" t="e">
        <f>VLOOKUP($AM28,flows!$A$2:$J$4985,AT$2,FALSE)</f>
        <v>#N/A</v>
      </c>
      <c r="AU28" s="346" t="e">
        <f>VLOOKUP($AM28,flows!$A$2:$J$4985,AU$2,FALSE)</f>
        <v>#N/A</v>
      </c>
      <c r="AV28" s="346" t="e">
        <f>VLOOKUP($AM28,flows!$A$2:$J$4985,AV$2,FALSE)</f>
        <v>#N/A</v>
      </c>
      <c r="AX28" s="190"/>
    </row>
    <row r="29" spans="39:50" ht="14.5" x14ac:dyDescent="0.35">
      <c r="AM29" s="198" t="s">
        <v>867</v>
      </c>
      <c r="AN29" s="6"/>
      <c r="AO29" s="346" t="e">
        <f>VLOOKUP($AM29,flows!$A$2:$J$4985,AO$2,FALSE)</f>
        <v>#N/A</v>
      </c>
      <c r="AP29" s="346" t="e">
        <f>VLOOKUP($AM29,flows!$A$2:$J$4985,AP$2,FALSE)</f>
        <v>#N/A</v>
      </c>
      <c r="AQ29" s="346" t="e">
        <f>VLOOKUP($AM29,flows!$A$2:$J$4985,AQ$2,FALSE)</f>
        <v>#N/A</v>
      </c>
      <c r="AR29" s="346" t="e">
        <f>VLOOKUP($AM29,flows!$A$2:$J$4985,AR$2,FALSE)</f>
        <v>#N/A</v>
      </c>
      <c r="AS29" s="346" t="e">
        <f>VLOOKUP($AM29,flows!$A$2:$J$4985,AS$2,FALSE)</f>
        <v>#N/A</v>
      </c>
      <c r="AT29" s="346" t="e">
        <f>VLOOKUP($AM29,flows!$A$2:$J$4985,AT$2,FALSE)</f>
        <v>#N/A</v>
      </c>
      <c r="AU29" s="346" t="e">
        <f>VLOOKUP($AM29,flows!$A$2:$J$4985,AU$2,FALSE)</f>
        <v>#N/A</v>
      </c>
      <c r="AV29" s="346" t="e">
        <f>VLOOKUP($AM29,flows!$A$2:$J$4985,AV$2,FALSE)</f>
        <v>#N/A</v>
      </c>
      <c r="AX29" s="190"/>
    </row>
    <row r="30" spans="39:50" ht="14.5" x14ac:dyDescent="0.35">
      <c r="AM30" s="5"/>
      <c r="AN30" s="6"/>
      <c r="AO30" s="13"/>
      <c r="AP30" s="13"/>
      <c r="AQ30" s="13"/>
      <c r="AR30" s="13"/>
      <c r="AS30" s="13"/>
      <c r="AT30" s="13"/>
      <c r="AU30" s="13"/>
      <c r="AV30" s="13"/>
      <c r="AX30" s="190"/>
    </row>
    <row r="31" spans="39:50" ht="14.5" x14ac:dyDescent="0.35">
      <c r="AM31" s="5" t="s">
        <v>846</v>
      </c>
      <c r="AN31" s="6" t="s">
        <v>1300</v>
      </c>
      <c r="AO31" s="346" t="e">
        <f>VLOOKUP($AM31,flows!$A$2:$J$4985,AO$2,FALSE)</f>
        <v>#N/A</v>
      </c>
      <c r="AP31" s="346" t="e">
        <f>VLOOKUP($AM31,flows!$A$2:$J$4985,AP$2,FALSE)</f>
        <v>#N/A</v>
      </c>
      <c r="AQ31" s="346" t="e">
        <f>VLOOKUP($AM31,flows!$A$2:$J$4985,AQ$2,FALSE)</f>
        <v>#N/A</v>
      </c>
      <c r="AR31" s="346" t="e">
        <f>VLOOKUP($AM31,flows!$A$2:$J$4985,AR$2,FALSE)</f>
        <v>#N/A</v>
      </c>
      <c r="AS31" s="346" t="e">
        <f>VLOOKUP($AM31,flows!$A$2:$J$4985,AS$2,FALSE)</f>
        <v>#N/A</v>
      </c>
      <c r="AT31" s="346" t="e">
        <f>VLOOKUP($AM31,flows!$A$2:$J$4985,AT$2,FALSE)</f>
        <v>#N/A</v>
      </c>
      <c r="AU31" s="346" t="e">
        <f>VLOOKUP($AM31,flows!$A$2:$J$4985,AU$2,FALSE)</f>
        <v>#N/A</v>
      </c>
      <c r="AV31" s="346" t="e">
        <f>VLOOKUP($AM31,flows!$A$2:$J$4985,AV$2,FALSE)</f>
        <v>#N/A</v>
      </c>
      <c r="AX31" s="190"/>
    </row>
    <row r="32" spans="39:50" ht="14.5" x14ac:dyDescent="0.35">
      <c r="AM32" s="5" t="s">
        <v>665</v>
      </c>
      <c r="AN32" s="6" t="s">
        <v>1301</v>
      </c>
      <c r="AO32" s="346" t="e">
        <f>VLOOKUP($AM32,flows!$A$2:$J$4985,AO$2,FALSE)</f>
        <v>#N/A</v>
      </c>
      <c r="AP32" s="346" t="e">
        <f>VLOOKUP($AM32,flows!$A$2:$J$4985,AP$2,FALSE)</f>
        <v>#N/A</v>
      </c>
      <c r="AQ32" s="346" t="e">
        <f>VLOOKUP($AM32,flows!$A$2:$J$4985,AQ$2,FALSE)</f>
        <v>#N/A</v>
      </c>
      <c r="AR32" s="346" t="e">
        <f>VLOOKUP($AM32,flows!$A$2:$J$4985,AR$2,FALSE)</f>
        <v>#N/A</v>
      </c>
      <c r="AS32" s="346" t="e">
        <f>VLOOKUP($AM32,flows!$A$2:$J$4985,AS$2,FALSE)</f>
        <v>#N/A</v>
      </c>
      <c r="AT32" s="346" t="e">
        <f>VLOOKUP($AM32,flows!$A$2:$J$4985,AT$2,FALSE)</f>
        <v>#N/A</v>
      </c>
      <c r="AU32" s="346" t="e">
        <f>VLOOKUP($AM32,flows!$A$2:$J$4985,AU$2,FALSE)</f>
        <v>#N/A</v>
      </c>
      <c r="AV32" s="346" t="e">
        <f>VLOOKUP($AM32,flows!$A$2:$J$4985,AV$2,FALSE)</f>
        <v>#N/A</v>
      </c>
      <c r="AX32" s="190"/>
    </row>
    <row r="33" spans="39:48" x14ac:dyDescent="0.35">
      <c r="AM33" s="5" t="s">
        <v>866</v>
      </c>
      <c r="AN33" s="6" t="s">
        <v>1302</v>
      </c>
      <c r="AO33" s="346" t="e">
        <f>VLOOKUP($AM33,flows!$A$2:$J$4985,AO$2,FALSE)</f>
        <v>#N/A</v>
      </c>
      <c r="AP33" s="346" t="e">
        <f>VLOOKUP($AM33,flows!$A$2:$J$4985,AP$2,FALSE)</f>
        <v>#N/A</v>
      </c>
      <c r="AQ33" s="346" t="e">
        <f>VLOOKUP($AM33,flows!$A$2:$J$4985,AQ$2,FALSE)</f>
        <v>#N/A</v>
      </c>
      <c r="AR33" s="346" t="e">
        <f>VLOOKUP($AM33,flows!$A$2:$J$4985,AR$2,FALSE)</f>
        <v>#N/A</v>
      </c>
      <c r="AS33" s="346" t="e">
        <f>VLOOKUP($AM33,flows!$A$2:$J$4985,AS$2,FALSE)</f>
        <v>#N/A</v>
      </c>
      <c r="AT33" s="346" t="e">
        <f>VLOOKUP($AM33,flows!$A$2:$J$4985,AT$2,FALSE)</f>
        <v>#N/A</v>
      </c>
      <c r="AU33" s="346" t="e">
        <f>VLOOKUP($AM33,flows!$A$2:$J$4985,AU$2,FALSE)</f>
        <v>#N/A</v>
      </c>
      <c r="AV33" s="346" t="e">
        <f>VLOOKUP($AM33,flows!$A$2:$J$4985,AV$2,FALSE)</f>
        <v>#N/A</v>
      </c>
    </row>
    <row r="34" spans="39:48" x14ac:dyDescent="0.35">
      <c r="AM34" s="5"/>
      <c r="AN34" s="6" t="s">
        <v>1303</v>
      </c>
      <c r="AO34" s="13" t="e">
        <f>'Wärme - Gesamtverbrauch'!Q6+AO28</f>
        <v>#N/A</v>
      </c>
      <c r="AP34" s="204" t="e">
        <f>'Wärme - Gesamtverbrauch'!R6+AP28</f>
        <v>#N/A</v>
      </c>
      <c r="AQ34" s="204" t="e">
        <f>'Wärme - Gesamtverbrauch'!S6+AQ28</f>
        <v>#N/A</v>
      </c>
      <c r="AR34" s="204" t="e">
        <f>'Wärme - Gesamtverbrauch'!T6+AR28</f>
        <v>#N/A</v>
      </c>
      <c r="AS34" s="204" t="e">
        <f>'Wärme - Gesamtverbrauch'!U6+AS28</f>
        <v>#N/A</v>
      </c>
      <c r="AT34" s="204" t="e">
        <f>'Wärme - Gesamtverbrauch'!V6+AT28</f>
        <v>#N/A</v>
      </c>
      <c r="AU34" s="204" t="e">
        <f>'Wärme - Gesamtverbrauch'!W6+AU28</f>
        <v>#N/A</v>
      </c>
      <c r="AV34" s="204" t="e">
        <f>'Wärme - Gesamtverbrauch'!X6+AV28</f>
        <v>#N/A</v>
      </c>
    </row>
    <row r="35" spans="39:48" ht="14.5" thickBot="1" x14ac:dyDescent="0.4">
      <c r="AM35" s="8"/>
      <c r="AN35" s="34" t="s">
        <v>1304</v>
      </c>
      <c r="AO35" s="35" t="e">
        <f>'Wärme - Gesamtverbrauch'!Q8+AO29</f>
        <v>#N/A</v>
      </c>
      <c r="AP35" s="35" t="e">
        <f>'Wärme - Gesamtverbrauch'!R8+AP29</f>
        <v>#N/A</v>
      </c>
      <c r="AQ35" s="35" t="e">
        <f>'Wärme - Gesamtverbrauch'!S8+AQ29</f>
        <v>#N/A</v>
      </c>
      <c r="AR35" s="35" t="e">
        <f>'Wärme - Gesamtverbrauch'!T8+AR29</f>
        <v>#N/A</v>
      </c>
      <c r="AS35" s="35" t="e">
        <f>'Wärme - Gesamtverbrauch'!U8+AS29</f>
        <v>#N/A</v>
      </c>
      <c r="AT35" s="35" t="e">
        <f>'Wärme - Gesamtverbrauch'!V8+AT29</f>
        <v>#N/A</v>
      </c>
      <c r="AU35" s="35" t="e">
        <f>'Wärme - Gesamtverbrauch'!W8+AU29</f>
        <v>#N/A</v>
      </c>
      <c r="AV35" s="35" t="e">
        <f>'Wärme - Gesamtverbrauch'!X8+AV29</f>
        <v>#N/A</v>
      </c>
    </row>
    <row r="38" spans="39:48" ht="14.5" thickBot="1" x14ac:dyDescent="0.4"/>
    <row r="39" spans="39:48" x14ac:dyDescent="0.35">
      <c r="AN39" s="45" t="s">
        <v>1178</v>
      </c>
      <c r="AO39" s="49" t="e">
        <f t="shared" ref="AO39:AO45" si="3">AO4*$AO$32/($AO$32+$AO$34)</f>
        <v>#N/A</v>
      </c>
      <c r="AP39" s="49" t="e">
        <f t="shared" ref="AP39:AP45" si="4">AP4*$AP$32/($AP$32+$AP$34)</f>
        <v>#N/A</v>
      </c>
      <c r="AQ39" s="49" t="e">
        <f t="shared" ref="AQ39:AQ45" si="5">AQ4*$AQ$32/($AQ$32+$AQ$34)</f>
        <v>#N/A</v>
      </c>
      <c r="AR39" s="49" t="e">
        <f t="shared" ref="AR39:AR45" si="6">AR4*$AR$32/($AR$32+$AR$34)</f>
        <v>#N/A</v>
      </c>
      <c r="AS39" s="49" t="e">
        <f t="shared" ref="AS39:AS45" si="7">AS4*$AS$32/($AS$32+$AS$34)</f>
        <v>#N/A</v>
      </c>
      <c r="AT39" s="49" t="e">
        <f t="shared" ref="AT39:AT45" si="8">AT4*$AT$32/($AT$32+$AT$34)</f>
        <v>#N/A</v>
      </c>
      <c r="AU39" s="49" t="e">
        <f t="shared" ref="AU39:AU45" si="9">AU4*$AU$32/($AU$32+$AU$34)</f>
        <v>#N/A</v>
      </c>
      <c r="AV39" s="49" t="e">
        <f t="shared" ref="AV39:AV45" si="10">AV4*$AV$32/($AV$32+$AV$34)</f>
        <v>#N/A</v>
      </c>
    </row>
    <row r="40" spans="39:48" x14ac:dyDescent="0.35">
      <c r="AN40" s="26" t="s">
        <v>1175</v>
      </c>
      <c r="AO40" s="16" t="e">
        <f t="shared" si="3"/>
        <v>#N/A</v>
      </c>
      <c r="AP40" s="16" t="e">
        <f t="shared" si="4"/>
        <v>#N/A</v>
      </c>
      <c r="AQ40" s="16" t="e">
        <f t="shared" si="5"/>
        <v>#N/A</v>
      </c>
      <c r="AR40" s="16" t="e">
        <f t="shared" si="6"/>
        <v>#N/A</v>
      </c>
      <c r="AS40" s="16" t="e">
        <f t="shared" si="7"/>
        <v>#N/A</v>
      </c>
      <c r="AT40" s="16" t="e">
        <f t="shared" si="8"/>
        <v>#N/A</v>
      </c>
      <c r="AU40" s="16" t="e">
        <f t="shared" si="9"/>
        <v>#N/A</v>
      </c>
      <c r="AV40" s="16" t="e">
        <f t="shared" si="10"/>
        <v>#N/A</v>
      </c>
    </row>
    <row r="41" spans="39:48" x14ac:dyDescent="0.35">
      <c r="AN41" s="26" t="s">
        <v>1179</v>
      </c>
      <c r="AO41" s="16" t="e">
        <f t="shared" si="3"/>
        <v>#N/A</v>
      </c>
      <c r="AP41" s="16" t="e">
        <f t="shared" si="4"/>
        <v>#N/A</v>
      </c>
      <c r="AQ41" s="16" t="e">
        <f t="shared" si="5"/>
        <v>#N/A</v>
      </c>
      <c r="AR41" s="16" t="e">
        <f t="shared" si="6"/>
        <v>#N/A</v>
      </c>
      <c r="AS41" s="16" t="e">
        <f t="shared" si="7"/>
        <v>#N/A</v>
      </c>
      <c r="AT41" s="16" t="e">
        <f t="shared" si="8"/>
        <v>#N/A</v>
      </c>
      <c r="AU41" s="16" t="e">
        <f t="shared" si="9"/>
        <v>#N/A</v>
      </c>
      <c r="AV41" s="16" t="e">
        <f t="shared" si="10"/>
        <v>#N/A</v>
      </c>
    </row>
    <row r="42" spans="39:48" x14ac:dyDescent="0.35">
      <c r="AN42" s="26" t="s">
        <v>1254</v>
      </c>
      <c r="AO42" s="16" t="e">
        <f t="shared" si="3"/>
        <v>#N/A</v>
      </c>
      <c r="AP42" s="16" t="e">
        <f t="shared" si="4"/>
        <v>#N/A</v>
      </c>
      <c r="AQ42" s="16" t="e">
        <f t="shared" si="5"/>
        <v>#N/A</v>
      </c>
      <c r="AR42" s="16" t="e">
        <f t="shared" si="6"/>
        <v>#N/A</v>
      </c>
      <c r="AS42" s="16" t="e">
        <f t="shared" si="7"/>
        <v>#N/A</v>
      </c>
      <c r="AT42" s="16" t="e">
        <f t="shared" si="8"/>
        <v>#N/A</v>
      </c>
      <c r="AU42" s="16" t="e">
        <f t="shared" si="9"/>
        <v>#N/A</v>
      </c>
      <c r="AV42" s="16" t="e">
        <f t="shared" si="10"/>
        <v>#N/A</v>
      </c>
    </row>
    <row r="43" spans="39:48" x14ac:dyDescent="0.35">
      <c r="AN43" s="26" t="s">
        <v>320</v>
      </c>
      <c r="AO43" s="16" t="e">
        <f t="shared" si="3"/>
        <v>#N/A</v>
      </c>
      <c r="AP43" s="16" t="e">
        <f t="shared" si="4"/>
        <v>#N/A</v>
      </c>
      <c r="AQ43" s="16" t="e">
        <f t="shared" si="5"/>
        <v>#N/A</v>
      </c>
      <c r="AR43" s="16" t="e">
        <f t="shared" si="6"/>
        <v>#N/A</v>
      </c>
      <c r="AS43" s="16" t="e">
        <f t="shared" si="7"/>
        <v>#N/A</v>
      </c>
      <c r="AT43" s="16" t="e">
        <f t="shared" si="8"/>
        <v>#N/A</v>
      </c>
      <c r="AU43" s="16" t="e">
        <f t="shared" si="9"/>
        <v>#N/A</v>
      </c>
      <c r="AV43" s="16" t="e">
        <f t="shared" si="10"/>
        <v>#N/A</v>
      </c>
    </row>
    <row r="44" spans="39:48" x14ac:dyDescent="0.35">
      <c r="AN44" s="5" t="s">
        <v>1176</v>
      </c>
      <c r="AO44" s="16" t="e">
        <f t="shared" si="3"/>
        <v>#N/A</v>
      </c>
      <c r="AP44" s="16" t="e">
        <f t="shared" si="4"/>
        <v>#N/A</v>
      </c>
      <c r="AQ44" s="16" t="e">
        <f t="shared" si="5"/>
        <v>#N/A</v>
      </c>
      <c r="AR44" s="16" t="e">
        <f t="shared" si="6"/>
        <v>#N/A</v>
      </c>
      <c r="AS44" s="16" t="e">
        <f t="shared" si="7"/>
        <v>#N/A</v>
      </c>
      <c r="AT44" s="16" t="e">
        <f t="shared" si="8"/>
        <v>#N/A</v>
      </c>
      <c r="AU44" s="16" t="e">
        <f t="shared" si="9"/>
        <v>#N/A</v>
      </c>
      <c r="AV44" s="16" t="e">
        <f t="shared" si="10"/>
        <v>#N/A</v>
      </c>
    </row>
    <row r="45" spans="39:48" x14ac:dyDescent="0.35">
      <c r="AN45" s="26" t="s">
        <v>1260</v>
      </c>
      <c r="AO45" s="16" t="e">
        <f t="shared" si="3"/>
        <v>#N/A</v>
      </c>
      <c r="AP45" s="16" t="e">
        <f t="shared" si="4"/>
        <v>#N/A</v>
      </c>
      <c r="AQ45" s="16" t="e">
        <f t="shared" si="5"/>
        <v>#N/A</v>
      </c>
      <c r="AR45" s="16" t="e">
        <f t="shared" si="6"/>
        <v>#N/A</v>
      </c>
      <c r="AS45" s="16" t="e">
        <f t="shared" si="7"/>
        <v>#N/A</v>
      </c>
      <c r="AT45" s="16" t="e">
        <f t="shared" si="8"/>
        <v>#N/A</v>
      </c>
      <c r="AU45" s="16" t="e">
        <f t="shared" si="9"/>
        <v>#N/A</v>
      </c>
      <c r="AV45" s="16" t="e">
        <f t="shared" si="10"/>
        <v>#N/A</v>
      </c>
    </row>
    <row r="46" spans="39:48" x14ac:dyDescent="0.35">
      <c r="AN46" s="26" t="s">
        <v>1261</v>
      </c>
      <c r="AO46" s="16" t="e">
        <f t="shared" ref="AO46:AV46" si="11">AO11*AO$33/(AO$33+AO$35)</f>
        <v>#N/A</v>
      </c>
      <c r="AP46" s="16" t="e">
        <f t="shared" si="11"/>
        <v>#N/A</v>
      </c>
      <c r="AQ46" s="16" t="e">
        <f t="shared" si="11"/>
        <v>#N/A</v>
      </c>
      <c r="AR46" s="16" t="e">
        <f t="shared" si="11"/>
        <v>#N/A</v>
      </c>
      <c r="AS46" s="16" t="e">
        <f t="shared" si="11"/>
        <v>#N/A</v>
      </c>
      <c r="AT46" s="16" t="e">
        <f t="shared" si="11"/>
        <v>#N/A</v>
      </c>
      <c r="AU46" s="16" t="e">
        <f t="shared" si="11"/>
        <v>#N/A</v>
      </c>
      <c r="AV46" s="16" t="e">
        <f t="shared" si="11"/>
        <v>#N/A</v>
      </c>
    </row>
    <row r="47" spans="39:48" x14ac:dyDescent="0.35">
      <c r="AN47" s="26" t="s">
        <v>1230</v>
      </c>
      <c r="AO47" s="16" t="e">
        <f>AO12*$AO$32/($AO$32+$AO$34)</f>
        <v>#N/A</v>
      </c>
      <c r="AP47" s="16" t="e">
        <f>AP12*$AP$32/($AP$32+$AP$34)</f>
        <v>#N/A</v>
      </c>
      <c r="AQ47" s="16" t="e">
        <f>AQ12*$AQ$32/($AQ$32+$AQ$34)</f>
        <v>#N/A</v>
      </c>
      <c r="AR47" s="16" t="e">
        <f>AR12*$AR$32/($AR$32+$AR$34)</f>
        <v>#N/A</v>
      </c>
      <c r="AS47" s="16" t="e">
        <f>AS12*$AS$32/($AS$32+$AS$34)</f>
        <v>#N/A</v>
      </c>
      <c r="AT47" s="16" t="e">
        <f>AT12*$AT$32/($AT$32+$AT$34)</f>
        <v>#N/A</v>
      </c>
      <c r="AU47" s="16" t="e">
        <f>AU12*$AU$32/($AU$32+$AU$34)</f>
        <v>#N/A</v>
      </c>
      <c r="AV47" s="16" t="e">
        <f>AV12*$AV$32/($AV$32+$AV$34)</f>
        <v>#N/A</v>
      </c>
    </row>
    <row r="48" spans="39:48" x14ac:dyDescent="0.35">
      <c r="AN48" s="26" t="s">
        <v>1180</v>
      </c>
      <c r="AO48" s="16" t="e">
        <f>AO13*$AO$32/($AO$32+$AO$34)</f>
        <v>#N/A</v>
      </c>
      <c r="AP48" s="16" t="e">
        <f>AP13*$AP$32/($AP$32+$AP$34)</f>
        <v>#N/A</v>
      </c>
      <c r="AQ48" s="16" t="e">
        <f>AQ13*$AQ$32/($AQ$32+$AQ$34)</f>
        <v>#N/A</v>
      </c>
      <c r="AR48" s="16" t="e">
        <f>AR13*$AR$32/($AR$32+$AR$34)</f>
        <v>#N/A</v>
      </c>
      <c r="AS48" s="16" t="e">
        <f>AS13*$AS$32/($AS$32+$AS$34)</f>
        <v>#N/A</v>
      </c>
      <c r="AT48" s="16" t="e">
        <f>AT13*$AT$32/($AT$32+$AT$34)</f>
        <v>#N/A</v>
      </c>
      <c r="AU48" s="16" t="e">
        <f>AU13*$AU$32/($AU$32+$AU$34)</f>
        <v>#N/A</v>
      </c>
      <c r="AV48" s="16" t="e">
        <f>AV13*$AV$32/($AV$32+$AV$34)</f>
        <v>#N/A</v>
      </c>
    </row>
    <row r="49" spans="40:48" x14ac:dyDescent="0.35">
      <c r="AN49" s="5" t="s">
        <v>1262</v>
      </c>
      <c r="AO49" s="16" t="e">
        <f>AO14*$AO$32/($AO$32+$AO$34)</f>
        <v>#N/A</v>
      </c>
      <c r="AP49" s="16" t="e">
        <f>AP14*$AP$32/($AP$32+$AP$34)</f>
        <v>#N/A</v>
      </c>
      <c r="AQ49" s="16" t="e">
        <f>AQ14*$AQ$32/($AQ$32+$AQ$34)</f>
        <v>#N/A</v>
      </c>
      <c r="AR49" s="16" t="e">
        <f>AR14*$AR$32/($AR$32+$AR$34)</f>
        <v>#N/A</v>
      </c>
      <c r="AS49" s="16" t="e">
        <f>AS14*$AS$32/($AS$32+$AS$34)</f>
        <v>#N/A</v>
      </c>
      <c r="AT49" s="16" t="e">
        <f>AT14*$AT$32/($AT$32+$AT$34)</f>
        <v>#N/A</v>
      </c>
      <c r="AU49" s="16" t="e">
        <f>AU14*$AU$32/($AU$32+$AU$34)</f>
        <v>#N/A</v>
      </c>
      <c r="AV49" s="16" t="e">
        <f>AV14*$AV$32/($AV$32+$AV$34)</f>
        <v>#N/A</v>
      </c>
    </row>
    <row r="50" spans="40:48" x14ac:dyDescent="0.35">
      <c r="AN50" s="5" t="s">
        <v>1263</v>
      </c>
      <c r="AO50" s="16" t="e">
        <f t="shared" ref="AO50:AV50" si="12">AO15*AO$33/(AO$33+AO$35)</f>
        <v>#N/A</v>
      </c>
      <c r="AP50" s="16" t="e">
        <f t="shared" si="12"/>
        <v>#N/A</v>
      </c>
      <c r="AQ50" s="16" t="e">
        <f t="shared" si="12"/>
        <v>#N/A</v>
      </c>
      <c r="AR50" s="16" t="e">
        <f t="shared" si="12"/>
        <v>#N/A</v>
      </c>
      <c r="AS50" s="16" t="e">
        <f t="shared" si="12"/>
        <v>#N/A</v>
      </c>
      <c r="AT50" s="16" t="e">
        <f t="shared" si="12"/>
        <v>#N/A</v>
      </c>
      <c r="AU50" s="16" t="e">
        <f t="shared" si="12"/>
        <v>#N/A</v>
      </c>
      <c r="AV50" s="16" t="e">
        <f t="shared" si="12"/>
        <v>#N/A</v>
      </c>
    </row>
    <row r="51" spans="40:48" x14ac:dyDescent="0.35">
      <c r="AN51" s="5" t="s">
        <v>1231</v>
      </c>
      <c r="AO51" s="16" t="e">
        <f>AO16*$AO$32/($AO$32+$AO$34)</f>
        <v>#N/A</v>
      </c>
      <c r="AP51" s="16" t="e">
        <f>AP16*$AP$32/($AP$32+$AP$34)</f>
        <v>#N/A</v>
      </c>
      <c r="AQ51" s="16" t="e">
        <f>AQ16*$AQ$32/($AQ$32+$AQ$34)</f>
        <v>#N/A</v>
      </c>
      <c r="AR51" s="16" t="e">
        <f>AR16*$AR$32/($AR$32+$AR$34)</f>
        <v>#N/A</v>
      </c>
      <c r="AS51" s="16" t="e">
        <f>AS16*$AS$32/($AS$32+$AS$34)</f>
        <v>#N/A</v>
      </c>
      <c r="AT51" s="16" t="e">
        <f>AT16*$AT$32/($AT$32+$AT$34)</f>
        <v>#N/A</v>
      </c>
      <c r="AU51" s="16" t="e">
        <f>AU16*$AU$32/($AU$32+$AU$34)</f>
        <v>#N/A</v>
      </c>
      <c r="AV51" s="16" t="e">
        <f>AV16*$AV$32/($AV$32+$AV$34)</f>
        <v>#N/A</v>
      </c>
    </row>
    <row r="52" spans="40:48" x14ac:dyDescent="0.35">
      <c r="AN52" s="5" t="s">
        <v>1233</v>
      </c>
      <c r="AO52" s="16" t="e">
        <f t="shared" ref="AO52:AO62" si="13">AO17*$AO$33/($AO$33+$AO$35)</f>
        <v>#N/A</v>
      </c>
      <c r="AP52" s="16" t="e">
        <f>AP17*$AP$33/($AP$33+$AP$35)</f>
        <v>#N/A</v>
      </c>
      <c r="AQ52" s="16" t="e">
        <f>AQ17*$AQ$33/($AQ$33+$AQ$35)</f>
        <v>#N/A</v>
      </c>
      <c r="AR52" s="16" t="e">
        <f>AR17*$AR$33/($AR$33+$AR$35)</f>
        <v>#N/A</v>
      </c>
      <c r="AS52" s="16" t="e">
        <f>AS17*$AS$33/($AS$33+$AS$35)</f>
        <v>#N/A</v>
      </c>
      <c r="AT52" s="16" t="e">
        <f>AT17*$AT$33/($AT$33+$AT$35)</f>
        <v>#N/A</v>
      </c>
      <c r="AU52" s="16" t="e">
        <f>AU17*$AU$33/($AU$33+$AU$35)</f>
        <v>#N/A</v>
      </c>
      <c r="AV52" s="16" t="e">
        <f>AV17*$AV$33/($AV$33+$AV$35)</f>
        <v>#N/A</v>
      </c>
    </row>
    <row r="53" spans="40:48" x14ac:dyDescent="0.35">
      <c r="AN53" s="5" t="s">
        <v>1184</v>
      </c>
      <c r="AO53" s="16" t="e">
        <f t="shared" si="13"/>
        <v>#N/A</v>
      </c>
      <c r="AP53" s="16" t="e">
        <f>AP18*$AP$33/($AP$33+$AP$35)</f>
        <v>#N/A</v>
      </c>
      <c r="AQ53" s="16" t="e">
        <f>AQ18*$AQ$33/($AQ$33+$AQ$35)</f>
        <v>#N/A</v>
      </c>
      <c r="AR53" s="16" t="e">
        <f>AR18*$AR$33/($AR$33+$AR$35)</f>
        <v>#N/A</v>
      </c>
      <c r="AS53" s="16" t="e">
        <f>AS18*$AS$33/($AS$33+$AS$35)</f>
        <v>#N/A</v>
      </c>
      <c r="AT53" s="16" t="e">
        <f>AT18*$AT$33/($AT$33+$AT$35)</f>
        <v>#N/A</v>
      </c>
      <c r="AU53" s="16" t="e">
        <f>AU18*$AU$33/($AU$33+$AU$35)</f>
        <v>#N/A</v>
      </c>
      <c r="AV53" s="16" t="e">
        <f>AV18*$AV$33/($AV$33+$AV$35)</f>
        <v>#N/A</v>
      </c>
    </row>
    <row r="54" spans="40:48" x14ac:dyDescent="0.35">
      <c r="AN54" s="5" t="s">
        <v>1214</v>
      </c>
      <c r="AO54" s="16" t="e">
        <f t="shared" si="13"/>
        <v>#N/A</v>
      </c>
      <c r="AP54" s="16" t="e">
        <f>AP19*$AP$33/($AP$33+$AP$35)</f>
        <v>#N/A</v>
      </c>
      <c r="AQ54" s="16" t="e">
        <f>AQ19*$AQ$33/($AQ$33+$AQ$35)</f>
        <v>#N/A</v>
      </c>
      <c r="AR54" s="16" t="e">
        <f>AR19*$AR$33/($AR$33+$AR$35)</f>
        <v>#N/A</v>
      </c>
      <c r="AS54" s="16" t="e">
        <f>AS19*$AS$33/($AS$33+$AS$35)</f>
        <v>#N/A</v>
      </c>
      <c r="AT54" s="16" t="e">
        <f>AT19*$AT$33/($AT$33+$AT$35)</f>
        <v>#N/A</v>
      </c>
      <c r="AU54" s="16" t="e">
        <f>AU19*$AU$33/($AU$33+$AU$35)</f>
        <v>#N/A</v>
      </c>
      <c r="AV54" s="16" t="e">
        <f>AV19*$AV$33/($AV$33+$AV$35)</f>
        <v>#N/A</v>
      </c>
    </row>
    <row r="55" spans="40:48" x14ac:dyDescent="0.35">
      <c r="AN55" s="5" t="s">
        <v>1240</v>
      </c>
      <c r="AO55" s="16" t="e">
        <f t="shared" si="13"/>
        <v>#N/A</v>
      </c>
      <c r="AP55" s="16" t="e">
        <f>AP20*$AP$33/($AP$33+$AP$35)</f>
        <v>#N/A</v>
      </c>
      <c r="AQ55" s="16" t="e">
        <f>AQ20*$AQ$33/($AQ$33+$AQ$35)</f>
        <v>#N/A</v>
      </c>
      <c r="AR55" s="16" t="e">
        <f>AR20*$AR$33/($AR$33+$AR$35)</f>
        <v>#N/A</v>
      </c>
      <c r="AS55" s="16" t="e">
        <f>AS20*$AS$33/($AS$33+$AS$35)</f>
        <v>#N/A</v>
      </c>
      <c r="AT55" s="16" t="e">
        <f>AT20*$AT$33/($AT$33+$AT$35)</f>
        <v>#N/A</v>
      </c>
      <c r="AU55" s="16" t="e">
        <f>AU20*$AU$33/($AU$33+$AU$35)</f>
        <v>#N/A</v>
      </c>
      <c r="AV55" s="16" t="e">
        <f>AV20*$AV$33/($AV$33+$AV$35)</f>
        <v>#N/A</v>
      </c>
    </row>
    <row r="56" spans="40:48" x14ac:dyDescent="0.35">
      <c r="AN56" s="343" t="s">
        <v>4125</v>
      </c>
      <c r="AO56" s="346" t="e">
        <f t="shared" si="13"/>
        <v>#N/A</v>
      </c>
      <c r="AP56" s="346" t="e">
        <f>AP21*$AP$33/($AP$33+$AP$35)</f>
        <v>#N/A</v>
      </c>
      <c r="AQ56" s="346" t="e">
        <f>AQ21*$AQ$33/($AQ$33+$AQ$35)</f>
        <v>#N/A</v>
      </c>
      <c r="AR56" s="346" t="e">
        <f>AR21*$AR$33/($AR$33+$AR$35)</f>
        <v>#N/A</v>
      </c>
      <c r="AS56" s="346" t="e">
        <f>AS21*$AS$33/($AS$33+$AS$35)</f>
        <v>#N/A</v>
      </c>
      <c r="AT56" s="346" t="e">
        <f>AT21*$AT$33/($AT$33+$AT$35)</f>
        <v>#N/A</v>
      </c>
      <c r="AU56" s="346" t="e">
        <f>AU21*$AU$33/($AU$33+$AU$35)</f>
        <v>#N/A</v>
      </c>
      <c r="AV56" s="346" t="e">
        <f>AV21*$AV$33/($AV$33+$AV$35)</f>
        <v>#N/A</v>
      </c>
    </row>
    <row r="57" spans="40:48" x14ac:dyDescent="0.35">
      <c r="AN57" s="343" t="s">
        <v>4402</v>
      </c>
      <c r="AO57" s="346" t="e">
        <f t="shared" si="13"/>
        <v>#N/A</v>
      </c>
      <c r="AP57" s="346" t="e">
        <f t="shared" ref="AP57:AV57" si="14">AP22*$AO$33/($AO$33+$AO$35)</f>
        <v>#N/A</v>
      </c>
      <c r="AQ57" s="346" t="e">
        <f t="shared" si="14"/>
        <v>#N/A</v>
      </c>
      <c r="AR57" s="346" t="e">
        <f t="shared" si="14"/>
        <v>#N/A</v>
      </c>
      <c r="AS57" s="346" t="e">
        <f t="shared" si="14"/>
        <v>#N/A</v>
      </c>
      <c r="AT57" s="346" t="e">
        <f t="shared" si="14"/>
        <v>#N/A</v>
      </c>
      <c r="AU57" s="346" t="e">
        <f t="shared" si="14"/>
        <v>#N/A</v>
      </c>
      <c r="AV57" s="346" t="e">
        <f t="shared" si="14"/>
        <v>#N/A</v>
      </c>
    </row>
    <row r="58" spans="40:48" x14ac:dyDescent="0.35">
      <c r="AN58" s="5" t="s">
        <v>1238</v>
      </c>
      <c r="AO58" s="16" t="e">
        <f t="shared" si="13"/>
        <v>#N/A</v>
      </c>
      <c r="AP58" s="16" t="e">
        <f>AP23*$AP$33/($AP$33+$AP$35)</f>
        <v>#N/A</v>
      </c>
      <c r="AQ58" s="16" t="e">
        <f>AQ23*$AQ$33/($AQ$33+$AQ$35)</f>
        <v>#N/A</v>
      </c>
      <c r="AR58" s="16" t="e">
        <f>AR23*$AR$33/($AR$33+$AR$35)</f>
        <v>#N/A</v>
      </c>
      <c r="AS58" s="16" t="e">
        <f>AS23*$AS$33/($AS$33+$AS$35)</f>
        <v>#N/A</v>
      </c>
      <c r="AT58" s="16" t="e">
        <f>AT23*$AT$33/($AT$33+$AT$35)</f>
        <v>#N/A</v>
      </c>
      <c r="AU58" s="16" t="e">
        <f>AU23*$AU$33/($AU$33+$AU$35)</f>
        <v>#N/A</v>
      </c>
      <c r="AV58" s="16" t="e">
        <f>AV23*$AV$33/($AV$33+$AV$35)</f>
        <v>#N/A</v>
      </c>
    </row>
    <row r="59" spans="40:48" x14ac:dyDescent="0.35">
      <c r="AN59" s="5" t="s">
        <v>1305</v>
      </c>
      <c r="AO59" s="16" t="e">
        <f t="shared" si="13"/>
        <v>#N/A</v>
      </c>
      <c r="AP59" s="16" t="e">
        <f>AP24*$AP$33/($AP$33+$AP$35)</f>
        <v>#N/A</v>
      </c>
      <c r="AQ59" s="16" t="e">
        <f>AQ24*$AQ$33/($AQ$33+$AQ$35)</f>
        <v>#N/A</v>
      </c>
      <c r="AR59" s="16" t="e">
        <f>AR24*$AR$33/($AR$33+$AR$35)</f>
        <v>#N/A</v>
      </c>
      <c r="AS59" s="16" t="e">
        <f>AS24*$AS$33/($AS$33+$AS$35)</f>
        <v>#N/A</v>
      </c>
      <c r="AT59" s="16" t="e">
        <f>AT24*$AT$33/($AT$33+$AT$35)</f>
        <v>#N/A</v>
      </c>
      <c r="AU59" s="16" t="e">
        <f>AU24*$AU$33/($AU$33+$AU$35)</f>
        <v>#N/A</v>
      </c>
      <c r="AV59" s="16" t="e">
        <f>AV24*$AV$33/($AV$33+$AV$35)</f>
        <v>#N/A</v>
      </c>
    </row>
    <row r="60" spans="40:48" x14ac:dyDescent="0.35">
      <c r="AN60" s="5" t="s">
        <v>1239</v>
      </c>
      <c r="AO60" s="16" t="e">
        <f t="shared" si="13"/>
        <v>#N/A</v>
      </c>
      <c r="AP60" s="16" t="e">
        <f>AP25*$AP$33/($AP$33+$AP$35)</f>
        <v>#N/A</v>
      </c>
      <c r="AQ60" s="16" t="e">
        <f>AQ25*$AQ$33/($AQ$33+$AQ$35)</f>
        <v>#N/A</v>
      </c>
      <c r="AR60" s="16" t="e">
        <f>AR25*$AR$33/($AR$33+$AR$35)</f>
        <v>#N/A</v>
      </c>
      <c r="AS60" s="16" t="e">
        <f>AS25*$AS$33/($AS$33+$AS$35)</f>
        <v>#N/A</v>
      </c>
      <c r="AT60" s="16" t="e">
        <f>AT25*$AT$33/($AT$33+$AT$35)</f>
        <v>#N/A</v>
      </c>
      <c r="AU60" s="16" t="e">
        <f>AU25*$AU$33/($AU$33+$AU$35)</f>
        <v>#N/A</v>
      </c>
      <c r="AV60" s="16" t="e">
        <f>AV25*$AV$33/($AV$33+$AV$35)</f>
        <v>#N/A</v>
      </c>
    </row>
    <row r="61" spans="40:48" x14ac:dyDescent="0.35">
      <c r="AN61" s="5" t="s">
        <v>1235</v>
      </c>
      <c r="AO61" s="16" t="e">
        <f t="shared" si="13"/>
        <v>#N/A</v>
      </c>
      <c r="AP61" s="16" t="e">
        <f>AP26*$AP$33/($AP$33+$AP$35)</f>
        <v>#N/A</v>
      </c>
      <c r="AQ61" s="16" t="e">
        <f>AQ26*$AQ$33/($AQ$33+$AQ$35)</f>
        <v>#N/A</v>
      </c>
      <c r="AR61" s="16" t="e">
        <f>AR26*$AR$33/($AR$33+$AR$35)</f>
        <v>#N/A</v>
      </c>
      <c r="AS61" s="16" t="e">
        <f>AS26*$AS$33/($AS$33+$AS$35)</f>
        <v>#N/A</v>
      </c>
      <c r="AT61" s="16" t="e">
        <f>AT26*$AT$33/($AT$33+$AT$35)</f>
        <v>#N/A</v>
      </c>
      <c r="AU61" s="16" t="e">
        <f>AU26*$AU$33/($AU$33+$AU$35)</f>
        <v>#N/A</v>
      </c>
      <c r="AV61" s="16" t="e">
        <f>AV26*$AV$33/($AV$33+$AV$35)</f>
        <v>#N/A</v>
      </c>
    </row>
    <row r="62" spans="40:48" ht="14.5" thickBot="1" x14ac:dyDescent="0.4">
      <c r="AN62" s="8" t="s">
        <v>1234</v>
      </c>
      <c r="AO62" s="17" t="e">
        <f t="shared" si="13"/>
        <v>#N/A</v>
      </c>
      <c r="AP62" s="17" t="e">
        <f>AP27*$AP$33/($AP$33+$AP$35)</f>
        <v>#N/A</v>
      </c>
      <c r="AQ62" s="17" t="e">
        <f>AQ27*$AQ$33/($AQ$33+$AQ$35)</f>
        <v>#N/A</v>
      </c>
      <c r="AR62" s="17" t="e">
        <f>AR27*$AR$33/($AR$33+$AR$35)</f>
        <v>#N/A</v>
      </c>
      <c r="AS62" s="17" t="e">
        <f>AS27*$AS$33/($AS$33+$AS$35)</f>
        <v>#N/A</v>
      </c>
      <c r="AT62" s="17" t="e">
        <f>AT27*$AT$33/($AT$33+$AT$35)</f>
        <v>#N/A</v>
      </c>
      <c r="AU62" s="17" t="e">
        <f>AU27*$AU$33/($AU$33+$AU$35)</f>
        <v>#N/A</v>
      </c>
      <c r="AV62" s="17" t="e">
        <f>AV27*$AV$33/($AV$33+$AV$35)</f>
        <v>#N/A</v>
      </c>
    </row>
    <row r="84" spans="40:48" ht="14.5" thickBot="1" x14ac:dyDescent="0.4"/>
    <row r="85" spans="40:48" x14ac:dyDescent="0.35">
      <c r="AN85" s="46" t="s">
        <v>1178</v>
      </c>
      <c r="AO85" s="4" t="e">
        <f t="shared" ref="AO85:AV87" si="15">AO39</f>
        <v>#N/A</v>
      </c>
      <c r="AP85" s="4" t="e">
        <f t="shared" si="15"/>
        <v>#N/A</v>
      </c>
      <c r="AQ85" s="4" t="e">
        <f t="shared" si="15"/>
        <v>#N/A</v>
      </c>
      <c r="AR85" s="4" t="e">
        <f t="shared" si="15"/>
        <v>#N/A</v>
      </c>
      <c r="AS85" s="4" t="e">
        <f t="shared" si="15"/>
        <v>#N/A</v>
      </c>
      <c r="AT85" s="4" t="e">
        <f t="shared" si="15"/>
        <v>#N/A</v>
      </c>
      <c r="AU85" s="4" t="e">
        <f t="shared" si="15"/>
        <v>#N/A</v>
      </c>
      <c r="AV85" s="4" t="e">
        <f t="shared" si="15"/>
        <v>#N/A</v>
      </c>
    </row>
    <row r="86" spans="40:48" x14ac:dyDescent="0.35">
      <c r="AN86" s="5" t="s">
        <v>1175</v>
      </c>
      <c r="AO86" s="6" t="e">
        <f t="shared" si="15"/>
        <v>#N/A</v>
      </c>
      <c r="AP86" s="6" t="e">
        <f t="shared" si="15"/>
        <v>#N/A</v>
      </c>
      <c r="AQ86" s="6" t="e">
        <f t="shared" si="15"/>
        <v>#N/A</v>
      </c>
      <c r="AR86" s="6" t="e">
        <f t="shared" si="15"/>
        <v>#N/A</v>
      </c>
      <c r="AS86" s="6" t="e">
        <f t="shared" si="15"/>
        <v>#N/A</v>
      </c>
      <c r="AT86" s="6" t="e">
        <f t="shared" si="15"/>
        <v>#N/A</v>
      </c>
      <c r="AU86" s="6" t="e">
        <f t="shared" si="15"/>
        <v>#N/A</v>
      </c>
      <c r="AV86" s="6" t="e">
        <f t="shared" si="15"/>
        <v>#N/A</v>
      </c>
    </row>
    <row r="87" spans="40:48" x14ac:dyDescent="0.35">
      <c r="AN87" s="5" t="s">
        <v>1179</v>
      </c>
      <c r="AO87" s="6" t="e">
        <f t="shared" si="15"/>
        <v>#N/A</v>
      </c>
      <c r="AP87" s="6" t="e">
        <f t="shared" si="15"/>
        <v>#N/A</v>
      </c>
      <c r="AQ87" s="6" t="e">
        <f t="shared" si="15"/>
        <v>#N/A</v>
      </c>
      <c r="AR87" s="6" t="e">
        <f t="shared" si="15"/>
        <v>#N/A</v>
      </c>
      <c r="AS87" s="6" t="e">
        <f t="shared" si="15"/>
        <v>#N/A</v>
      </c>
      <c r="AT87" s="6" t="e">
        <f t="shared" si="15"/>
        <v>#N/A</v>
      </c>
      <c r="AU87" s="6" t="e">
        <f t="shared" si="15"/>
        <v>#N/A</v>
      </c>
      <c r="AV87" s="6" t="e">
        <f t="shared" si="15"/>
        <v>#N/A</v>
      </c>
    </row>
    <row r="88" spans="40:48" x14ac:dyDescent="0.35">
      <c r="AN88" s="5" t="s">
        <v>320</v>
      </c>
      <c r="AO88" s="6" t="e">
        <f t="shared" ref="AO88:AV89" si="16">AO43</f>
        <v>#N/A</v>
      </c>
      <c r="AP88" s="6" t="e">
        <f t="shared" si="16"/>
        <v>#N/A</v>
      </c>
      <c r="AQ88" s="6" t="e">
        <f t="shared" si="16"/>
        <v>#N/A</v>
      </c>
      <c r="AR88" s="6" t="e">
        <f t="shared" si="16"/>
        <v>#N/A</v>
      </c>
      <c r="AS88" s="6" t="e">
        <f t="shared" si="16"/>
        <v>#N/A</v>
      </c>
      <c r="AT88" s="6" t="e">
        <f t="shared" si="16"/>
        <v>#N/A</v>
      </c>
      <c r="AU88" s="6" t="e">
        <f t="shared" si="16"/>
        <v>#N/A</v>
      </c>
      <c r="AV88" s="6" t="e">
        <f t="shared" si="16"/>
        <v>#N/A</v>
      </c>
    </row>
    <row r="89" spans="40:48" x14ac:dyDescent="0.35">
      <c r="AN89" s="5" t="s">
        <v>1176</v>
      </c>
      <c r="AO89" s="6" t="e">
        <f t="shared" si="16"/>
        <v>#N/A</v>
      </c>
      <c r="AP89" s="6" t="e">
        <f t="shared" si="16"/>
        <v>#N/A</v>
      </c>
      <c r="AQ89" s="6" t="e">
        <f t="shared" si="16"/>
        <v>#N/A</v>
      </c>
      <c r="AR89" s="6" t="e">
        <f t="shared" si="16"/>
        <v>#N/A</v>
      </c>
      <c r="AS89" s="6" t="e">
        <f t="shared" si="16"/>
        <v>#N/A</v>
      </c>
      <c r="AT89" s="6" t="e">
        <f t="shared" si="16"/>
        <v>#N/A</v>
      </c>
      <c r="AU89" s="6" t="e">
        <f t="shared" si="16"/>
        <v>#N/A</v>
      </c>
      <c r="AV89" s="6" t="e">
        <f t="shared" si="16"/>
        <v>#N/A</v>
      </c>
    </row>
    <row r="90" spans="40:48" x14ac:dyDescent="0.35">
      <c r="AN90" s="5" t="s">
        <v>1306</v>
      </c>
      <c r="AO90" s="6" t="e">
        <f t="shared" ref="AO90:AV90" si="17">AO45+AO46+AO61</f>
        <v>#N/A</v>
      </c>
      <c r="AP90" s="6" t="e">
        <f t="shared" si="17"/>
        <v>#N/A</v>
      </c>
      <c r="AQ90" s="6" t="e">
        <f t="shared" si="17"/>
        <v>#N/A</v>
      </c>
      <c r="AR90" s="6" t="e">
        <f t="shared" si="17"/>
        <v>#N/A</v>
      </c>
      <c r="AS90" s="6" t="e">
        <f t="shared" si="17"/>
        <v>#N/A</v>
      </c>
      <c r="AT90" s="6" t="e">
        <f t="shared" si="17"/>
        <v>#N/A</v>
      </c>
      <c r="AU90" s="6" t="e">
        <f t="shared" si="17"/>
        <v>#N/A</v>
      </c>
      <c r="AV90" s="6" t="e">
        <f t="shared" si="17"/>
        <v>#N/A</v>
      </c>
    </row>
    <row r="91" spans="40:48" x14ac:dyDescent="0.35">
      <c r="AN91" s="5" t="s">
        <v>1230</v>
      </c>
      <c r="AO91" s="6" t="e">
        <f t="shared" ref="AO91:AV92" si="18">AO47</f>
        <v>#N/A</v>
      </c>
      <c r="AP91" s="6" t="e">
        <f t="shared" si="18"/>
        <v>#N/A</v>
      </c>
      <c r="AQ91" s="6" t="e">
        <f t="shared" si="18"/>
        <v>#N/A</v>
      </c>
      <c r="AR91" s="6" t="e">
        <f t="shared" si="18"/>
        <v>#N/A</v>
      </c>
      <c r="AS91" s="6" t="e">
        <f t="shared" si="18"/>
        <v>#N/A</v>
      </c>
      <c r="AT91" s="6" t="e">
        <f t="shared" si="18"/>
        <v>#N/A</v>
      </c>
      <c r="AU91" s="6" t="e">
        <f t="shared" si="18"/>
        <v>#N/A</v>
      </c>
      <c r="AV91" s="6" t="e">
        <f t="shared" si="18"/>
        <v>#N/A</v>
      </c>
    </row>
    <row r="92" spans="40:48" x14ac:dyDescent="0.35">
      <c r="AN92" s="5" t="s">
        <v>1180</v>
      </c>
      <c r="AO92" s="6" t="e">
        <f t="shared" si="18"/>
        <v>#N/A</v>
      </c>
      <c r="AP92" s="6" t="e">
        <f t="shared" si="18"/>
        <v>#N/A</v>
      </c>
      <c r="AQ92" s="6" t="e">
        <f t="shared" si="18"/>
        <v>#N/A</v>
      </c>
      <c r="AR92" s="6" t="e">
        <f t="shared" si="18"/>
        <v>#N/A</v>
      </c>
      <c r="AS92" s="6" t="e">
        <f t="shared" si="18"/>
        <v>#N/A</v>
      </c>
      <c r="AT92" s="6" t="e">
        <f t="shared" si="18"/>
        <v>#N/A</v>
      </c>
      <c r="AU92" s="6" t="e">
        <f t="shared" si="18"/>
        <v>#N/A</v>
      </c>
      <c r="AV92" s="6" t="e">
        <f t="shared" si="18"/>
        <v>#N/A</v>
      </c>
    </row>
    <row r="93" spans="40:48" x14ac:dyDescent="0.35">
      <c r="AN93" s="5" t="s">
        <v>1307</v>
      </c>
      <c r="AO93" s="6" t="e">
        <f t="shared" ref="AO93:AV93" si="19">AO62+AO50+AO49</f>
        <v>#N/A</v>
      </c>
      <c r="AP93" s="6" t="e">
        <f t="shared" si="19"/>
        <v>#N/A</v>
      </c>
      <c r="AQ93" s="6" t="e">
        <f t="shared" si="19"/>
        <v>#N/A</v>
      </c>
      <c r="AR93" s="6" t="e">
        <f t="shared" si="19"/>
        <v>#N/A</v>
      </c>
      <c r="AS93" s="6" t="e">
        <f t="shared" si="19"/>
        <v>#N/A</v>
      </c>
      <c r="AT93" s="6" t="e">
        <f t="shared" si="19"/>
        <v>#N/A</v>
      </c>
      <c r="AU93" s="6" t="e">
        <f t="shared" si="19"/>
        <v>#N/A</v>
      </c>
      <c r="AV93" s="6" t="e">
        <f t="shared" si="19"/>
        <v>#N/A</v>
      </c>
    </row>
    <row r="94" spans="40:48" x14ac:dyDescent="0.35">
      <c r="AN94" s="5" t="s">
        <v>1231</v>
      </c>
      <c r="AO94" s="6" t="e">
        <f t="shared" ref="AO94:AV96" si="20">AO51</f>
        <v>#N/A</v>
      </c>
      <c r="AP94" s="6" t="e">
        <f t="shared" si="20"/>
        <v>#N/A</v>
      </c>
      <c r="AQ94" s="6" t="e">
        <f t="shared" si="20"/>
        <v>#N/A</v>
      </c>
      <c r="AR94" s="6" t="e">
        <f t="shared" si="20"/>
        <v>#N/A</v>
      </c>
      <c r="AS94" s="6" t="e">
        <f t="shared" si="20"/>
        <v>#N/A</v>
      </c>
      <c r="AT94" s="6" t="e">
        <f t="shared" si="20"/>
        <v>#N/A</v>
      </c>
      <c r="AU94" s="6" t="e">
        <f t="shared" si="20"/>
        <v>#N/A</v>
      </c>
      <c r="AV94" s="6" t="e">
        <f t="shared" si="20"/>
        <v>#N/A</v>
      </c>
    </row>
    <row r="95" spans="40:48" x14ac:dyDescent="0.35">
      <c r="AN95" s="5" t="s">
        <v>1233</v>
      </c>
      <c r="AO95" s="6" t="e">
        <f t="shared" si="20"/>
        <v>#N/A</v>
      </c>
      <c r="AP95" s="6" t="e">
        <f t="shared" si="20"/>
        <v>#N/A</v>
      </c>
      <c r="AQ95" s="6" t="e">
        <f t="shared" si="20"/>
        <v>#N/A</v>
      </c>
      <c r="AR95" s="6" t="e">
        <f t="shared" si="20"/>
        <v>#N/A</v>
      </c>
      <c r="AS95" s="6" t="e">
        <f t="shared" si="20"/>
        <v>#N/A</v>
      </c>
      <c r="AT95" s="6" t="e">
        <f t="shared" si="20"/>
        <v>#N/A</v>
      </c>
      <c r="AU95" s="6" t="e">
        <f t="shared" si="20"/>
        <v>#N/A</v>
      </c>
      <c r="AV95" s="6" t="e">
        <f t="shared" si="20"/>
        <v>#N/A</v>
      </c>
    </row>
    <row r="96" spans="40:48" x14ac:dyDescent="0.35">
      <c r="AN96" s="5" t="s">
        <v>1184</v>
      </c>
      <c r="AO96" s="6" t="e">
        <f t="shared" si="20"/>
        <v>#N/A</v>
      </c>
      <c r="AP96" s="6" t="e">
        <f t="shared" si="20"/>
        <v>#N/A</v>
      </c>
      <c r="AQ96" s="6" t="e">
        <f t="shared" si="20"/>
        <v>#N/A</v>
      </c>
      <c r="AR96" s="6" t="e">
        <f t="shared" si="20"/>
        <v>#N/A</v>
      </c>
      <c r="AS96" s="6" t="e">
        <f t="shared" si="20"/>
        <v>#N/A</v>
      </c>
      <c r="AT96" s="6" t="e">
        <f t="shared" si="20"/>
        <v>#N/A</v>
      </c>
      <c r="AU96" s="6" t="e">
        <f t="shared" si="20"/>
        <v>#N/A</v>
      </c>
      <c r="AV96" s="6" t="e">
        <f t="shared" si="20"/>
        <v>#N/A</v>
      </c>
    </row>
    <row r="97" spans="40:48" x14ac:dyDescent="0.35">
      <c r="AN97" s="5" t="s">
        <v>1240</v>
      </c>
      <c r="AO97" s="6" t="e">
        <f t="shared" ref="AO97:AV97" si="21">AO55</f>
        <v>#N/A</v>
      </c>
      <c r="AP97" s="6" t="e">
        <f t="shared" si="21"/>
        <v>#N/A</v>
      </c>
      <c r="AQ97" s="6" t="e">
        <f t="shared" si="21"/>
        <v>#N/A</v>
      </c>
      <c r="AR97" s="6" t="e">
        <f t="shared" si="21"/>
        <v>#N/A</v>
      </c>
      <c r="AS97" s="6" t="e">
        <f t="shared" si="21"/>
        <v>#N/A</v>
      </c>
      <c r="AT97" s="6" t="e">
        <f t="shared" si="21"/>
        <v>#N/A</v>
      </c>
      <c r="AU97" s="6" t="e">
        <f t="shared" si="21"/>
        <v>#N/A</v>
      </c>
      <c r="AV97" s="6" t="e">
        <f t="shared" si="21"/>
        <v>#N/A</v>
      </c>
    </row>
    <row r="98" spans="40:48" x14ac:dyDescent="0.35">
      <c r="AN98" s="343" t="s">
        <v>4125</v>
      </c>
      <c r="AO98" s="344" t="e">
        <f>AO56</f>
        <v>#N/A</v>
      </c>
      <c r="AP98" s="344" t="e">
        <f t="shared" ref="AP98:AV98" si="22">AP56</f>
        <v>#N/A</v>
      </c>
      <c r="AQ98" s="344" t="e">
        <f t="shared" si="22"/>
        <v>#N/A</v>
      </c>
      <c r="AR98" s="344" t="e">
        <f t="shared" si="22"/>
        <v>#N/A</v>
      </c>
      <c r="AS98" s="344" t="e">
        <f t="shared" si="22"/>
        <v>#N/A</v>
      </c>
      <c r="AT98" s="344" t="e">
        <f t="shared" si="22"/>
        <v>#N/A</v>
      </c>
      <c r="AU98" s="344" t="e">
        <f t="shared" si="22"/>
        <v>#N/A</v>
      </c>
      <c r="AV98" s="344" t="e">
        <f t="shared" si="22"/>
        <v>#N/A</v>
      </c>
    </row>
    <row r="99" spans="40:48" x14ac:dyDescent="0.35">
      <c r="AN99" s="343" t="s">
        <v>4402</v>
      </c>
      <c r="AO99" s="344" t="e">
        <f>AO57</f>
        <v>#N/A</v>
      </c>
      <c r="AP99" s="344" t="e">
        <f t="shared" ref="AP99:AV99" si="23">AP57</f>
        <v>#N/A</v>
      </c>
      <c r="AQ99" s="344" t="e">
        <f t="shared" si="23"/>
        <v>#N/A</v>
      </c>
      <c r="AR99" s="344" t="e">
        <f t="shared" si="23"/>
        <v>#N/A</v>
      </c>
      <c r="AS99" s="344" t="e">
        <f t="shared" si="23"/>
        <v>#N/A</v>
      </c>
      <c r="AT99" s="344" t="e">
        <f t="shared" si="23"/>
        <v>#N/A</v>
      </c>
      <c r="AU99" s="344" t="e">
        <f t="shared" si="23"/>
        <v>#N/A</v>
      </c>
      <c r="AV99" s="344" t="e">
        <f t="shared" si="23"/>
        <v>#N/A</v>
      </c>
    </row>
    <row r="100" spans="40:48" x14ac:dyDescent="0.35">
      <c r="AN100" s="5" t="s">
        <v>1238</v>
      </c>
      <c r="AO100" s="6" t="e">
        <f>AO58</f>
        <v>#N/A</v>
      </c>
      <c r="AP100" s="6" t="e">
        <f t="shared" ref="AP100:AV102" si="24">AP58</f>
        <v>#N/A</v>
      </c>
      <c r="AQ100" s="6" t="e">
        <f t="shared" si="24"/>
        <v>#N/A</v>
      </c>
      <c r="AR100" s="6" t="e">
        <f t="shared" si="24"/>
        <v>#N/A</v>
      </c>
      <c r="AS100" s="6" t="e">
        <f t="shared" si="24"/>
        <v>#N/A</v>
      </c>
      <c r="AT100" s="6" t="e">
        <f t="shared" si="24"/>
        <v>#N/A</v>
      </c>
      <c r="AU100" s="6" t="e">
        <f t="shared" si="24"/>
        <v>#N/A</v>
      </c>
      <c r="AV100" s="6" t="e">
        <f t="shared" si="24"/>
        <v>#N/A</v>
      </c>
    </row>
    <row r="101" spans="40:48" x14ac:dyDescent="0.35">
      <c r="AN101" s="5" t="s">
        <v>1305</v>
      </c>
      <c r="AO101" s="6" t="e">
        <f>AO59</f>
        <v>#N/A</v>
      </c>
      <c r="AP101" s="6" t="e">
        <f t="shared" si="24"/>
        <v>#N/A</v>
      </c>
      <c r="AQ101" s="6" t="e">
        <f t="shared" si="24"/>
        <v>#N/A</v>
      </c>
      <c r="AR101" s="6" t="e">
        <f t="shared" si="24"/>
        <v>#N/A</v>
      </c>
      <c r="AS101" s="6" t="e">
        <f t="shared" si="24"/>
        <v>#N/A</v>
      </c>
      <c r="AT101" s="6" t="e">
        <f t="shared" si="24"/>
        <v>#N/A</v>
      </c>
      <c r="AU101" s="6" t="e">
        <f t="shared" si="24"/>
        <v>#N/A</v>
      </c>
      <c r="AV101" s="6" t="e">
        <f t="shared" si="24"/>
        <v>#N/A</v>
      </c>
    </row>
    <row r="102" spans="40:48" ht="14.5" thickBot="1" x14ac:dyDescent="0.4">
      <c r="AN102" s="8" t="s">
        <v>1239</v>
      </c>
      <c r="AO102" s="34" t="e">
        <f>AO60</f>
        <v>#N/A</v>
      </c>
      <c r="AP102" s="34" t="e">
        <f t="shared" si="24"/>
        <v>#N/A</v>
      </c>
      <c r="AQ102" s="34" t="e">
        <f t="shared" si="24"/>
        <v>#N/A</v>
      </c>
      <c r="AR102" s="34" t="e">
        <f t="shared" si="24"/>
        <v>#N/A</v>
      </c>
      <c r="AS102" s="34" t="e">
        <f t="shared" si="24"/>
        <v>#N/A</v>
      </c>
      <c r="AT102" s="34" t="e">
        <f t="shared" si="24"/>
        <v>#N/A</v>
      </c>
      <c r="AU102" s="34" t="e">
        <f t="shared" si="24"/>
        <v>#N/A</v>
      </c>
      <c r="AV102" s="34" t="e">
        <f t="shared" si="24"/>
        <v>#N/A</v>
      </c>
    </row>
    <row r="120" spans="39:48" x14ac:dyDescent="0.35">
      <c r="AM120" s="342"/>
    </row>
    <row r="121" spans="39:48" x14ac:dyDescent="0.35">
      <c r="AM121" s="342"/>
    </row>
    <row r="124" spans="39:48" ht="14.5" thickBot="1" x14ac:dyDescent="0.4"/>
    <row r="125" spans="39:48" x14ac:dyDescent="0.35">
      <c r="AM125" s="46" t="s">
        <v>1178</v>
      </c>
      <c r="AN125" s="197" t="s">
        <v>1862</v>
      </c>
      <c r="AO125" s="197" t="e">
        <f t="shared" ref="AO125:AV129" si="25">AO85</f>
        <v>#N/A</v>
      </c>
      <c r="AP125" s="197" t="e">
        <f t="shared" si="25"/>
        <v>#N/A</v>
      </c>
      <c r="AQ125" s="197" t="e">
        <f t="shared" si="25"/>
        <v>#N/A</v>
      </c>
      <c r="AR125" s="197" t="e">
        <f t="shared" si="25"/>
        <v>#N/A</v>
      </c>
      <c r="AS125" s="197" t="e">
        <f t="shared" si="25"/>
        <v>#N/A</v>
      </c>
      <c r="AT125" s="197" t="e">
        <f t="shared" si="25"/>
        <v>#N/A</v>
      </c>
      <c r="AU125" s="197" t="e">
        <f t="shared" si="25"/>
        <v>#N/A</v>
      </c>
      <c r="AV125" s="197" t="e">
        <f t="shared" si="25"/>
        <v>#N/A</v>
      </c>
    </row>
    <row r="126" spans="39:48" x14ac:dyDescent="0.35">
      <c r="AM126" s="198" t="s">
        <v>1175</v>
      </c>
      <c r="AN126" s="199" t="s">
        <v>1859</v>
      </c>
      <c r="AO126" s="199" t="e">
        <f t="shared" si="25"/>
        <v>#N/A</v>
      </c>
      <c r="AP126" s="199" t="e">
        <f t="shared" si="25"/>
        <v>#N/A</v>
      </c>
      <c r="AQ126" s="199" t="e">
        <f t="shared" si="25"/>
        <v>#N/A</v>
      </c>
      <c r="AR126" s="199" t="e">
        <f t="shared" si="25"/>
        <v>#N/A</v>
      </c>
      <c r="AS126" s="199" t="e">
        <f t="shared" si="25"/>
        <v>#N/A</v>
      </c>
      <c r="AT126" s="199" t="e">
        <f t="shared" si="25"/>
        <v>#N/A</v>
      </c>
      <c r="AU126" s="199" t="e">
        <f t="shared" si="25"/>
        <v>#N/A</v>
      </c>
      <c r="AV126" s="199" t="e">
        <f t="shared" si="25"/>
        <v>#N/A</v>
      </c>
    </row>
    <row r="127" spans="39:48" x14ac:dyDescent="0.35">
      <c r="AM127" s="198" t="s">
        <v>1179</v>
      </c>
      <c r="AN127" s="199" t="s">
        <v>1897</v>
      </c>
      <c r="AO127" s="199" t="e">
        <f t="shared" si="25"/>
        <v>#N/A</v>
      </c>
      <c r="AP127" s="199" t="e">
        <f t="shared" si="25"/>
        <v>#N/A</v>
      </c>
      <c r="AQ127" s="199" t="e">
        <f t="shared" si="25"/>
        <v>#N/A</v>
      </c>
      <c r="AR127" s="199" t="e">
        <f t="shared" si="25"/>
        <v>#N/A</v>
      </c>
      <c r="AS127" s="199" t="e">
        <f t="shared" si="25"/>
        <v>#N/A</v>
      </c>
      <c r="AT127" s="199" t="e">
        <f t="shared" si="25"/>
        <v>#N/A</v>
      </c>
      <c r="AU127" s="199" t="e">
        <f t="shared" si="25"/>
        <v>#N/A</v>
      </c>
      <c r="AV127" s="199" t="e">
        <f t="shared" si="25"/>
        <v>#N/A</v>
      </c>
    </row>
    <row r="128" spans="39:48" x14ac:dyDescent="0.35">
      <c r="AM128" s="198" t="s">
        <v>320</v>
      </c>
      <c r="AN128" s="199" t="s">
        <v>1886</v>
      </c>
      <c r="AO128" s="199" t="e">
        <f t="shared" si="25"/>
        <v>#N/A</v>
      </c>
      <c r="AP128" s="199" t="e">
        <f t="shared" si="25"/>
        <v>#N/A</v>
      </c>
      <c r="AQ128" s="199" t="e">
        <f t="shared" si="25"/>
        <v>#N/A</v>
      </c>
      <c r="AR128" s="199" t="e">
        <f t="shared" si="25"/>
        <v>#N/A</v>
      </c>
      <c r="AS128" s="199" t="e">
        <f t="shared" si="25"/>
        <v>#N/A</v>
      </c>
      <c r="AT128" s="199" t="e">
        <f t="shared" si="25"/>
        <v>#N/A</v>
      </c>
      <c r="AU128" s="199" t="e">
        <f t="shared" si="25"/>
        <v>#N/A</v>
      </c>
      <c r="AV128" s="199" t="e">
        <f t="shared" si="25"/>
        <v>#N/A</v>
      </c>
    </row>
    <row r="129" spans="39:48" x14ac:dyDescent="0.35">
      <c r="AM129" s="198" t="s">
        <v>1176</v>
      </c>
      <c r="AN129" s="199" t="s">
        <v>1860</v>
      </c>
      <c r="AO129" s="199" t="e">
        <f t="shared" si="25"/>
        <v>#N/A</v>
      </c>
      <c r="AP129" s="199" t="e">
        <f t="shared" si="25"/>
        <v>#N/A</v>
      </c>
      <c r="AQ129" s="199" t="e">
        <f t="shared" si="25"/>
        <v>#N/A</v>
      </c>
      <c r="AR129" s="199" t="e">
        <f t="shared" si="25"/>
        <v>#N/A</v>
      </c>
      <c r="AS129" s="199" t="e">
        <f t="shared" si="25"/>
        <v>#N/A</v>
      </c>
      <c r="AT129" s="199" t="e">
        <f t="shared" si="25"/>
        <v>#N/A</v>
      </c>
      <c r="AU129" s="199" t="e">
        <f t="shared" si="25"/>
        <v>#N/A</v>
      </c>
      <c r="AV129" s="199" t="e">
        <f t="shared" si="25"/>
        <v>#N/A</v>
      </c>
    </row>
    <row r="130" spans="39:48" x14ac:dyDescent="0.35">
      <c r="AM130" s="198" t="s">
        <v>1209</v>
      </c>
      <c r="AN130" s="199" t="s">
        <v>1885</v>
      </c>
      <c r="AO130" s="199" t="e">
        <f t="shared" ref="AO130:AV130" si="26">AO90+AO91+AO93+AO94+AO95+AO102</f>
        <v>#N/A</v>
      </c>
      <c r="AP130" s="199" t="e">
        <f t="shared" si="26"/>
        <v>#N/A</v>
      </c>
      <c r="AQ130" s="199" t="e">
        <f t="shared" si="26"/>
        <v>#N/A</v>
      </c>
      <c r="AR130" s="199" t="e">
        <f t="shared" si="26"/>
        <v>#N/A</v>
      </c>
      <c r="AS130" s="199" t="e">
        <f t="shared" si="26"/>
        <v>#N/A</v>
      </c>
      <c r="AT130" s="199" t="e">
        <f t="shared" si="26"/>
        <v>#N/A</v>
      </c>
      <c r="AU130" s="199" t="e">
        <f t="shared" si="26"/>
        <v>#N/A</v>
      </c>
      <c r="AV130" s="199" t="e">
        <f t="shared" si="26"/>
        <v>#N/A</v>
      </c>
    </row>
    <row r="131" spans="39:48" x14ac:dyDescent="0.35">
      <c r="AM131" s="198" t="s">
        <v>1180</v>
      </c>
      <c r="AN131" s="199" t="s">
        <v>1865</v>
      </c>
      <c r="AO131" s="199" t="e">
        <f t="shared" ref="AO131:AV131" si="27">AO92</f>
        <v>#N/A</v>
      </c>
      <c r="AP131" s="199" t="e">
        <f t="shared" si="27"/>
        <v>#N/A</v>
      </c>
      <c r="AQ131" s="199" t="e">
        <f t="shared" si="27"/>
        <v>#N/A</v>
      </c>
      <c r="AR131" s="199" t="e">
        <f t="shared" si="27"/>
        <v>#N/A</v>
      </c>
      <c r="AS131" s="199" t="e">
        <f t="shared" si="27"/>
        <v>#N/A</v>
      </c>
      <c r="AT131" s="199" t="e">
        <f t="shared" si="27"/>
        <v>#N/A</v>
      </c>
      <c r="AU131" s="199" t="e">
        <f t="shared" si="27"/>
        <v>#N/A</v>
      </c>
      <c r="AV131" s="199" t="e">
        <f t="shared" si="27"/>
        <v>#N/A</v>
      </c>
    </row>
    <row r="132" spans="39:48" x14ac:dyDescent="0.35">
      <c r="AM132" s="198" t="s">
        <v>1184</v>
      </c>
      <c r="AN132" s="199" t="s">
        <v>1871</v>
      </c>
      <c r="AO132" s="199" t="e">
        <f t="shared" ref="AO132:AV133" si="28">AO96</f>
        <v>#N/A</v>
      </c>
      <c r="AP132" s="199" t="e">
        <f t="shared" si="28"/>
        <v>#N/A</v>
      </c>
      <c r="AQ132" s="199" t="e">
        <f t="shared" si="28"/>
        <v>#N/A</v>
      </c>
      <c r="AR132" s="199" t="e">
        <f t="shared" si="28"/>
        <v>#N/A</v>
      </c>
      <c r="AS132" s="199" t="e">
        <f t="shared" si="28"/>
        <v>#N/A</v>
      </c>
      <c r="AT132" s="199" t="e">
        <f t="shared" si="28"/>
        <v>#N/A</v>
      </c>
      <c r="AU132" s="199" t="e">
        <f t="shared" si="28"/>
        <v>#N/A</v>
      </c>
      <c r="AV132" s="199" t="e">
        <f t="shared" si="28"/>
        <v>#N/A</v>
      </c>
    </row>
    <row r="133" spans="39:48" x14ac:dyDescent="0.35">
      <c r="AM133" s="198" t="s">
        <v>1240</v>
      </c>
      <c r="AN133" s="199" t="s">
        <v>1867</v>
      </c>
      <c r="AO133" s="199" t="e">
        <f t="shared" si="28"/>
        <v>#N/A</v>
      </c>
      <c r="AP133" s="199" t="e">
        <f t="shared" si="28"/>
        <v>#N/A</v>
      </c>
      <c r="AQ133" s="199" t="e">
        <f t="shared" si="28"/>
        <v>#N/A</v>
      </c>
      <c r="AR133" s="199" t="e">
        <f t="shared" si="28"/>
        <v>#N/A</v>
      </c>
      <c r="AS133" s="199" t="e">
        <f t="shared" si="28"/>
        <v>#N/A</v>
      </c>
      <c r="AT133" s="199" t="e">
        <f t="shared" si="28"/>
        <v>#N/A</v>
      </c>
      <c r="AU133" s="199" t="e">
        <f t="shared" si="28"/>
        <v>#N/A</v>
      </c>
      <c r="AV133" s="199" t="e">
        <f t="shared" si="28"/>
        <v>#N/A</v>
      </c>
    </row>
    <row r="134" spans="39:48" x14ac:dyDescent="0.35">
      <c r="AM134" s="343" t="s">
        <v>4125</v>
      </c>
      <c r="AN134" s="344" t="s">
        <v>4126</v>
      </c>
      <c r="AO134" s="344" t="e">
        <f>AO98</f>
        <v>#N/A</v>
      </c>
      <c r="AP134" s="344" t="e">
        <f t="shared" ref="AP134:AV134" si="29">AP98</f>
        <v>#N/A</v>
      </c>
      <c r="AQ134" s="344" t="e">
        <f t="shared" si="29"/>
        <v>#N/A</v>
      </c>
      <c r="AR134" s="344" t="e">
        <f t="shared" si="29"/>
        <v>#N/A</v>
      </c>
      <c r="AS134" s="344" t="e">
        <f t="shared" si="29"/>
        <v>#N/A</v>
      </c>
      <c r="AT134" s="344" t="e">
        <f t="shared" si="29"/>
        <v>#N/A</v>
      </c>
      <c r="AU134" s="344" t="e">
        <f t="shared" si="29"/>
        <v>#N/A</v>
      </c>
      <c r="AV134" s="344" t="e">
        <f t="shared" si="29"/>
        <v>#N/A</v>
      </c>
    </row>
    <row r="135" spans="39:48" x14ac:dyDescent="0.35">
      <c r="AM135" s="343" t="s">
        <v>4402</v>
      </c>
      <c r="AN135" s="344" t="s">
        <v>4403</v>
      </c>
      <c r="AO135" s="344" t="e">
        <f>AO99</f>
        <v>#N/A</v>
      </c>
      <c r="AP135" s="344" t="e">
        <f t="shared" ref="AP135:AV135" si="30">AP99</f>
        <v>#N/A</v>
      </c>
      <c r="AQ135" s="344" t="e">
        <f t="shared" si="30"/>
        <v>#N/A</v>
      </c>
      <c r="AR135" s="344" t="e">
        <f t="shared" si="30"/>
        <v>#N/A</v>
      </c>
      <c r="AS135" s="344" t="e">
        <f t="shared" si="30"/>
        <v>#N/A</v>
      </c>
      <c r="AT135" s="344" t="e">
        <f t="shared" si="30"/>
        <v>#N/A</v>
      </c>
      <c r="AU135" s="344" t="e">
        <f t="shared" si="30"/>
        <v>#N/A</v>
      </c>
      <c r="AV135" s="344" t="e">
        <f t="shared" si="30"/>
        <v>#N/A</v>
      </c>
    </row>
    <row r="136" spans="39:48" x14ac:dyDescent="0.35">
      <c r="AM136" s="198" t="s">
        <v>1238</v>
      </c>
      <c r="AN136" s="199" t="s">
        <v>1238</v>
      </c>
      <c r="AO136" s="199" t="e">
        <f t="shared" ref="AO136:AV136" si="31">AO100</f>
        <v>#N/A</v>
      </c>
      <c r="AP136" s="199" t="e">
        <f t="shared" si="31"/>
        <v>#N/A</v>
      </c>
      <c r="AQ136" s="199" t="e">
        <f t="shared" si="31"/>
        <v>#N/A</v>
      </c>
      <c r="AR136" s="199" t="e">
        <f t="shared" si="31"/>
        <v>#N/A</v>
      </c>
      <c r="AS136" s="199" t="e">
        <f t="shared" si="31"/>
        <v>#N/A</v>
      </c>
      <c r="AT136" s="199" t="e">
        <f t="shared" si="31"/>
        <v>#N/A</v>
      </c>
      <c r="AU136" s="199" t="e">
        <f t="shared" si="31"/>
        <v>#N/A</v>
      </c>
      <c r="AV136" s="199" t="e">
        <f t="shared" si="31"/>
        <v>#N/A</v>
      </c>
    </row>
    <row r="137" spans="39:48" ht="14.5" thickBot="1" x14ac:dyDescent="0.4">
      <c r="AM137" s="201" t="s">
        <v>1305</v>
      </c>
      <c r="AN137" s="211" t="s">
        <v>1896</v>
      </c>
      <c r="AO137" s="211" t="e">
        <f t="shared" ref="AO137:AV137" si="32">AO101</f>
        <v>#N/A</v>
      </c>
      <c r="AP137" s="211" t="e">
        <f t="shared" si="32"/>
        <v>#N/A</v>
      </c>
      <c r="AQ137" s="211" t="e">
        <f t="shared" si="32"/>
        <v>#N/A</v>
      </c>
      <c r="AR137" s="211" t="e">
        <f t="shared" si="32"/>
        <v>#N/A</v>
      </c>
      <c r="AS137" s="211" t="e">
        <f t="shared" si="32"/>
        <v>#N/A</v>
      </c>
      <c r="AT137" s="211" t="e">
        <f t="shared" si="32"/>
        <v>#N/A</v>
      </c>
      <c r="AU137" s="211" t="e">
        <f t="shared" si="32"/>
        <v>#N/A</v>
      </c>
      <c r="AV137" s="211" t="e">
        <f t="shared" si="32"/>
        <v>#N/A</v>
      </c>
    </row>
  </sheetData>
  <dataConsolidate/>
  <pageMargins left="0.7" right="0.7" top="0.78740157499999996" bottom="0.78740157499999996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6"/>
  </sheetPr>
  <dimension ref="B1:BE35"/>
  <sheetViews>
    <sheetView topLeftCell="AC1" zoomScale="70" zoomScaleNormal="70" workbookViewId="0">
      <selection activeCell="E29" sqref="E29"/>
    </sheetView>
  </sheetViews>
  <sheetFormatPr baseColWidth="10" defaultColWidth="11.453125" defaultRowHeight="14" x14ac:dyDescent="0.35"/>
  <cols>
    <col min="1" max="1" width="11.453125" style="2"/>
    <col min="2" max="2" width="22.54296875" style="2" bestFit="1" customWidth="1"/>
    <col min="3" max="3" width="22.54296875" style="191" customWidth="1"/>
    <col min="4" max="4" width="14.1796875" style="2" bestFit="1" customWidth="1"/>
    <col min="5" max="14" width="11.453125" style="2"/>
    <col min="15" max="15" width="38.54296875" style="2" bestFit="1" customWidth="1"/>
    <col min="16" max="16" width="38.54296875" style="2" customWidth="1"/>
    <col min="17" max="17" width="38.54296875" style="191" customWidth="1"/>
    <col min="18" max="18" width="19.54296875" style="2" bestFit="1" customWidth="1"/>
    <col min="19" max="27" width="11.453125" style="2"/>
    <col min="28" max="28" width="38.54296875" style="2" bestFit="1" customWidth="1"/>
    <col min="29" max="29" width="22.54296875" style="2" bestFit="1" customWidth="1"/>
    <col min="30" max="30" width="22.54296875" style="191" customWidth="1"/>
    <col min="31" max="39" width="11.453125" style="2"/>
    <col min="40" max="40" width="38.54296875" style="2" bestFit="1" customWidth="1"/>
    <col min="41" max="41" width="22.54296875" style="2" bestFit="1" customWidth="1"/>
    <col min="42" max="42" width="22.54296875" style="191" customWidth="1"/>
    <col min="43" max="16384" width="11.453125" style="2"/>
  </cols>
  <sheetData>
    <row r="1" spans="2:57" ht="14.5" thickBot="1" x14ac:dyDescent="0.4">
      <c r="B1" s="44"/>
      <c r="C1" s="44"/>
    </row>
    <row r="2" spans="2:57" ht="14.5" x14ac:dyDescent="0.35">
      <c r="B2" s="25" t="s">
        <v>1294</v>
      </c>
      <c r="C2" s="214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O2" s="25" t="s">
        <v>1291</v>
      </c>
      <c r="P2" s="29"/>
      <c r="Q2" s="209"/>
      <c r="R2" s="89">
        <v>2</v>
      </c>
      <c r="S2" s="89">
        <v>3</v>
      </c>
      <c r="T2" s="89">
        <v>4</v>
      </c>
      <c r="U2" s="89">
        <v>5</v>
      </c>
      <c r="V2" s="89">
        <v>6</v>
      </c>
      <c r="W2" s="89">
        <v>7</v>
      </c>
      <c r="X2" s="89">
        <v>8</v>
      </c>
      <c r="Y2" s="89">
        <v>9</v>
      </c>
      <c r="AB2" s="25" t="s">
        <v>1290</v>
      </c>
      <c r="AC2" s="29"/>
      <c r="AD2" s="209"/>
      <c r="AE2" s="89">
        <v>2</v>
      </c>
      <c r="AF2" s="89">
        <v>3</v>
      </c>
      <c r="AG2" s="89">
        <v>4</v>
      </c>
      <c r="AH2" s="89">
        <v>5</v>
      </c>
      <c r="AI2" s="89">
        <v>6</v>
      </c>
      <c r="AJ2" s="89">
        <v>7</v>
      </c>
      <c r="AK2" s="89">
        <v>8</v>
      </c>
      <c r="AL2" s="89">
        <v>9</v>
      </c>
      <c r="AN2" s="25" t="s">
        <v>1278</v>
      </c>
      <c r="AO2" s="29"/>
      <c r="AP2" s="209"/>
      <c r="AQ2" s="89">
        <v>2</v>
      </c>
      <c r="AR2" s="89">
        <v>3</v>
      </c>
      <c r="AS2" s="89">
        <v>4</v>
      </c>
      <c r="AT2" s="89">
        <v>5</v>
      </c>
      <c r="AU2" s="89">
        <v>6</v>
      </c>
      <c r="AV2" s="89">
        <v>7</v>
      </c>
      <c r="AW2" s="89">
        <v>8</v>
      </c>
      <c r="AX2" s="89">
        <v>9</v>
      </c>
    </row>
    <row r="3" spans="2:57" ht="14.5" x14ac:dyDescent="0.35">
      <c r="B3" s="23" t="s">
        <v>1259</v>
      </c>
      <c r="C3" s="210"/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>
        <v>2050</v>
      </c>
      <c r="O3" s="23" t="s">
        <v>1258</v>
      </c>
      <c r="P3" s="30" t="s">
        <v>1259</v>
      </c>
      <c r="Q3" s="210"/>
      <c r="R3" s="133" t="s">
        <v>1417</v>
      </c>
      <c r="S3" s="133">
        <v>2020</v>
      </c>
      <c r="T3" s="133">
        <v>2025</v>
      </c>
      <c r="U3" s="133">
        <v>2030</v>
      </c>
      <c r="V3" s="133">
        <v>2035</v>
      </c>
      <c r="W3" s="133">
        <v>2040</v>
      </c>
      <c r="X3" s="133">
        <v>2045</v>
      </c>
      <c r="Y3" s="133">
        <v>2050</v>
      </c>
      <c r="AB3" s="23" t="s">
        <v>1258</v>
      </c>
      <c r="AC3" s="30" t="s">
        <v>1259</v>
      </c>
      <c r="AD3" s="210"/>
      <c r="AE3" s="133" t="s">
        <v>1417</v>
      </c>
      <c r="AF3" s="133">
        <v>2020</v>
      </c>
      <c r="AG3" s="133">
        <v>2025</v>
      </c>
      <c r="AH3" s="133">
        <v>2030</v>
      </c>
      <c r="AI3" s="133">
        <v>2035</v>
      </c>
      <c r="AJ3" s="133">
        <v>2040</v>
      </c>
      <c r="AK3" s="133">
        <v>2045</v>
      </c>
      <c r="AL3" s="133">
        <v>2050</v>
      </c>
      <c r="AN3" s="23" t="s">
        <v>1258</v>
      </c>
      <c r="AO3" s="30" t="s">
        <v>1259</v>
      </c>
      <c r="AP3" s="210"/>
      <c r="AQ3" s="133" t="s">
        <v>1417</v>
      </c>
      <c r="AR3" s="133">
        <v>2020</v>
      </c>
      <c r="AS3" s="133">
        <v>2025</v>
      </c>
      <c r="AT3" s="133">
        <v>2030</v>
      </c>
      <c r="AU3" s="133">
        <v>2035</v>
      </c>
      <c r="AV3" s="133">
        <v>2040</v>
      </c>
      <c r="AW3" s="133">
        <v>2045</v>
      </c>
      <c r="AX3" s="133">
        <v>2050</v>
      </c>
    </row>
    <row r="4" spans="2:57" x14ac:dyDescent="0.35">
      <c r="B4" s="206" t="s">
        <v>2376</v>
      </c>
      <c r="C4" s="194" t="s">
        <v>2247</v>
      </c>
      <c r="D4" s="16" t="e">
        <f t="shared" ref="D4:K4" si="0">SUM(R4:R16)+R19+R20+R23</f>
        <v>#N/A</v>
      </c>
      <c r="E4" s="346" t="e">
        <f t="shared" si="0"/>
        <v>#N/A</v>
      </c>
      <c r="F4" s="346" t="e">
        <f t="shared" si="0"/>
        <v>#N/A</v>
      </c>
      <c r="G4" s="346" t="e">
        <f t="shared" si="0"/>
        <v>#N/A</v>
      </c>
      <c r="H4" s="346" t="e">
        <f t="shared" si="0"/>
        <v>#N/A</v>
      </c>
      <c r="I4" s="346" t="e">
        <f t="shared" si="0"/>
        <v>#N/A</v>
      </c>
      <c r="J4" s="346" t="e">
        <f t="shared" si="0"/>
        <v>#N/A</v>
      </c>
      <c r="K4" s="346" t="e">
        <f t="shared" si="0"/>
        <v>#N/A</v>
      </c>
      <c r="O4" s="26" t="s">
        <v>847</v>
      </c>
      <c r="P4" s="31" t="s">
        <v>1279</v>
      </c>
      <c r="Q4" s="194" t="s">
        <v>1904</v>
      </c>
      <c r="R4" s="16" t="e">
        <f>VLOOKUP($O4,flows!$A$2:$J$4985,R$2,FALSE)</f>
        <v>#N/A</v>
      </c>
      <c r="S4" s="346" t="e">
        <f>VLOOKUP($O4,flows!$A$2:$J$4985,S$2,FALSE)</f>
        <v>#N/A</v>
      </c>
      <c r="T4" s="346" t="e">
        <f>VLOOKUP($O4,flows!$A$2:$J$4985,T$2,FALSE)</f>
        <v>#N/A</v>
      </c>
      <c r="U4" s="346" t="e">
        <f>VLOOKUP($O4,flows!$A$2:$J$4985,U$2,FALSE)</f>
        <v>#N/A</v>
      </c>
      <c r="V4" s="346" t="e">
        <f>VLOOKUP($O4,flows!$A$2:$J$4985,V$2,FALSE)</f>
        <v>#N/A</v>
      </c>
      <c r="W4" s="346" t="e">
        <f>VLOOKUP($O4,flows!$A$2:$J$4985,W$2,FALSE)</f>
        <v>#N/A</v>
      </c>
      <c r="X4" s="346" t="e">
        <f>VLOOKUP($O4,flows!$A$2:$J$4985,X$2,FALSE)</f>
        <v>#N/A</v>
      </c>
      <c r="Y4" s="346" t="e">
        <f>VLOOKUP($O4,flows!$A$2:$J$4985,Y$2,FALSE)</f>
        <v>#N/A</v>
      </c>
      <c r="AB4" s="26" t="s">
        <v>915</v>
      </c>
      <c r="AC4" s="31" t="s">
        <v>1279</v>
      </c>
      <c r="AD4" s="194" t="s">
        <v>1904</v>
      </c>
      <c r="AE4" s="16" t="e">
        <f>VLOOKUP($AB4,flows!$A$2:$J$4985,AE$2,FALSE)</f>
        <v>#N/A</v>
      </c>
      <c r="AF4" s="346" t="e">
        <f>VLOOKUP($AB4,flows!$A$2:$J$4985,AF$2,FALSE)</f>
        <v>#N/A</v>
      </c>
      <c r="AG4" s="346" t="e">
        <f>VLOOKUP($AB4,flows!$A$2:$J$4985,AG$2,FALSE)</f>
        <v>#N/A</v>
      </c>
      <c r="AH4" s="346" t="e">
        <f>VLOOKUP($AB4,flows!$A$2:$J$4985,AH$2,FALSE)</f>
        <v>#N/A</v>
      </c>
      <c r="AI4" s="346" t="e">
        <f>VLOOKUP($AB4,flows!$A$2:$J$4985,AI$2,FALSE)</f>
        <v>#N/A</v>
      </c>
      <c r="AJ4" s="346" t="e">
        <f>VLOOKUP($AB4,flows!$A$2:$J$4985,AJ$2,FALSE)</f>
        <v>#N/A</v>
      </c>
      <c r="AK4" s="346" t="e">
        <f>VLOOKUP($AB4,flows!$A$2:$J$4985,AK$2,FALSE)</f>
        <v>#N/A</v>
      </c>
      <c r="AL4" s="346" t="e">
        <f>VLOOKUP($AB4,flows!$A$2:$J$4985,AL$2,FALSE)</f>
        <v>#N/A</v>
      </c>
      <c r="AN4" s="26" t="s">
        <v>880</v>
      </c>
      <c r="AO4" s="31" t="s">
        <v>1279</v>
      </c>
      <c r="AP4" s="194" t="s">
        <v>1904</v>
      </c>
      <c r="AQ4" s="16" t="e">
        <f>VLOOKUP($AN4,flows!$A$2:$J$4985,AQ$2,FALSE)</f>
        <v>#N/A</v>
      </c>
      <c r="AR4" s="346" t="e">
        <f>VLOOKUP($AN4,flows!$A$2:$J$4985,AR$2,FALSE)</f>
        <v>#N/A</v>
      </c>
      <c r="AS4" s="346" t="e">
        <f>VLOOKUP($AN4,flows!$A$2:$J$4985,AS$2,FALSE)</f>
        <v>#N/A</v>
      </c>
      <c r="AT4" s="346" t="e">
        <f>VLOOKUP($AN4,flows!$A$2:$J$4985,AT$2,FALSE)</f>
        <v>#N/A</v>
      </c>
      <c r="AU4" s="346" t="e">
        <f>VLOOKUP($AN4,flows!$A$2:$J$4985,AU$2,FALSE)</f>
        <v>#N/A</v>
      </c>
      <c r="AV4" s="346" t="e">
        <f>VLOOKUP($AN4,flows!$A$2:$J$4985,AV$2,FALSE)</f>
        <v>#N/A</v>
      </c>
      <c r="AW4" s="346" t="e">
        <f>VLOOKUP($AN4,flows!$A$2:$J$4985,AW$2,FALSE)</f>
        <v>#N/A</v>
      </c>
      <c r="AX4" s="346" t="e">
        <f>VLOOKUP($AN4,flows!$A$2:$J$4985,AX$2,FALSE)</f>
        <v>#N/A</v>
      </c>
    </row>
    <row r="5" spans="2:57" x14ac:dyDescent="0.35">
      <c r="B5" s="206" t="s">
        <v>2377</v>
      </c>
      <c r="C5" s="194" t="s">
        <v>2248</v>
      </c>
      <c r="D5" s="16" t="e">
        <f>SUM(AE4:AE15)</f>
        <v>#N/A</v>
      </c>
      <c r="E5" s="16" t="e">
        <f t="shared" ref="E5:K5" si="1">SUM(AF4:AF15)</f>
        <v>#N/A</v>
      </c>
      <c r="F5" s="16" t="e">
        <f t="shared" si="1"/>
        <v>#N/A</v>
      </c>
      <c r="G5" s="16" t="e">
        <f t="shared" si="1"/>
        <v>#N/A</v>
      </c>
      <c r="H5" s="16" t="e">
        <f t="shared" si="1"/>
        <v>#N/A</v>
      </c>
      <c r="I5" s="16" t="e">
        <f t="shared" si="1"/>
        <v>#N/A</v>
      </c>
      <c r="J5" s="16" t="e">
        <f t="shared" si="1"/>
        <v>#N/A</v>
      </c>
      <c r="K5" s="16" t="e">
        <f t="shared" si="1"/>
        <v>#N/A</v>
      </c>
      <c r="O5" s="26" t="s">
        <v>848</v>
      </c>
      <c r="P5" s="31" t="s">
        <v>2268</v>
      </c>
      <c r="Q5" s="194" t="s">
        <v>2269</v>
      </c>
      <c r="R5" s="346" t="e">
        <f>VLOOKUP($O5,flows!$A$2:$J$4985,R$2,FALSE)</f>
        <v>#N/A</v>
      </c>
      <c r="S5" s="346" t="e">
        <f>VLOOKUP($O5,flows!$A$2:$J$4985,S$2,FALSE)</f>
        <v>#N/A</v>
      </c>
      <c r="T5" s="346" t="e">
        <f>VLOOKUP($O5,flows!$A$2:$J$4985,T$2,FALSE)</f>
        <v>#N/A</v>
      </c>
      <c r="U5" s="346" t="e">
        <f>VLOOKUP($O5,flows!$A$2:$J$4985,U$2,FALSE)</f>
        <v>#N/A</v>
      </c>
      <c r="V5" s="346" t="e">
        <f>VLOOKUP($O5,flows!$A$2:$J$4985,V$2,FALSE)</f>
        <v>#N/A</v>
      </c>
      <c r="W5" s="346" t="e">
        <f>VLOOKUP($O5,flows!$A$2:$J$4985,W$2,FALSE)</f>
        <v>#N/A</v>
      </c>
      <c r="X5" s="346" t="e">
        <f>VLOOKUP($O5,flows!$A$2:$J$4985,X$2,FALSE)</f>
        <v>#N/A</v>
      </c>
      <c r="Y5" s="346" t="e">
        <f>VLOOKUP($O5,flows!$A$2:$J$4985,Y$2,FALSE)</f>
        <v>#N/A</v>
      </c>
      <c r="AB5" s="26" t="s">
        <v>916</v>
      </c>
      <c r="AC5" s="31" t="s">
        <v>1280</v>
      </c>
      <c r="AD5" s="194" t="s">
        <v>1906</v>
      </c>
      <c r="AE5" s="346" t="e">
        <f>VLOOKUP($AB5,flows!$A$2:$J$4985,AE$2,FALSE)</f>
        <v>#N/A</v>
      </c>
      <c r="AF5" s="346" t="e">
        <f>VLOOKUP($AB5,flows!$A$2:$J$4985,AF$2,FALSE)</f>
        <v>#N/A</v>
      </c>
      <c r="AG5" s="346" t="e">
        <f>VLOOKUP($AB5,flows!$A$2:$J$4985,AG$2,FALSE)</f>
        <v>#N/A</v>
      </c>
      <c r="AH5" s="346" t="e">
        <f>VLOOKUP($AB5,flows!$A$2:$J$4985,AH$2,FALSE)</f>
        <v>#N/A</v>
      </c>
      <c r="AI5" s="346" t="e">
        <f>VLOOKUP($AB5,flows!$A$2:$J$4985,AI$2,FALSE)</f>
        <v>#N/A</v>
      </c>
      <c r="AJ5" s="346" t="e">
        <f>VLOOKUP($AB5,flows!$A$2:$J$4985,AJ$2,FALSE)</f>
        <v>#N/A</v>
      </c>
      <c r="AK5" s="346" t="e">
        <f>VLOOKUP($AB5,flows!$A$2:$J$4985,AK$2,FALSE)</f>
        <v>#N/A</v>
      </c>
      <c r="AL5" s="346" t="e">
        <f>VLOOKUP($AB5,flows!$A$2:$J$4985,AL$2,FALSE)</f>
        <v>#N/A</v>
      </c>
      <c r="AN5" s="26" t="s">
        <v>881</v>
      </c>
      <c r="AO5" s="31" t="s">
        <v>1280</v>
      </c>
      <c r="AP5" s="194" t="s">
        <v>1906</v>
      </c>
      <c r="AQ5" s="346" t="e">
        <f>VLOOKUP($AN5,flows!$A$2:$J$4985,AQ$2,FALSE)</f>
        <v>#N/A</v>
      </c>
      <c r="AR5" s="346" t="e">
        <f>VLOOKUP($AN5,flows!$A$2:$J$4985,AR$2,FALSE)</f>
        <v>#N/A</v>
      </c>
      <c r="AS5" s="346" t="e">
        <f>VLOOKUP($AN5,flows!$A$2:$J$4985,AS$2,FALSE)</f>
        <v>#N/A</v>
      </c>
      <c r="AT5" s="346" t="e">
        <f>VLOOKUP($AN5,flows!$A$2:$J$4985,AT$2,FALSE)</f>
        <v>#N/A</v>
      </c>
      <c r="AU5" s="346" t="e">
        <f>VLOOKUP($AN5,flows!$A$2:$J$4985,AU$2,FALSE)</f>
        <v>#N/A</v>
      </c>
      <c r="AV5" s="346" t="e">
        <f>VLOOKUP($AN5,flows!$A$2:$J$4985,AV$2,FALSE)</f>
        <v>#N/A</v>
      </c>
      <c r="AW5" s="346" t="e">
        <f>VLOOKUP($AN5,flows!$A$2:$J$4985,AW$2,FALSE)</f>
        <v>#N/A</v>
      </c>
      <c r="AX5" s="346" t="e">
        <f>VLOOKUP($AN5,flows!$A$2:$J$4985,AX$2,FALSE)</f>
        <v>#N/A</v>
      </c>
    </row>
    <row r="6" spans="2:57" ht="14.5" thickBot="1" x14ac:dyDescent="0.4">
      <c r="B6" s="208" t="s">
        <v>2378</v>
      </c>
      <c r="C6" s="33" t="s">
        <v>2249</v>
      </c>
      <c r="D6" s="17" t="e">
        <f t="shared" ref="D6:K6" si="2">SUM(AQ4:AQ20)</f>
        <v>#N/A</v>
      </c>
      <c r="E6" s="17" t="e">
        <f t="shared" si="2"/>
        <v>#N/A</v>
      </c>
      <c r="F6" s="17" t="e">
        <f t="shared" si="2"/>
        <v>#N/A</v>
      </c>
      <c r="G6" s="17" t="e">
        <f t="shared" si="2"/>
        <v>#N/A</v>
      </c>
      <c r="H6" s="17" t="e">
        <f t="shared" si="2"/>
        <v>#N/A</v>
      </c>
      <c r="I6" s="17" t="e">
        <f t="shared" si="2"/>
        <v>#N/A</v>
      </c>
      <c r="J6" s="17" t="e">
        <f t="shared" si="2"/>
        <v>#N/A</v>
      </c>
      <c r="K6" s="17" t="e">
        <f t="shared" si="2"/>
        <v>#N/A</v>
      </c>
      <c r="O6" s="26" t="s">
        <v>849</v>
      </c>
      <c r="P6" s="31" t="s">
        <v>1282</v>
      </c>
      <c r="Q6" s="194" t="s">
        <v>1899</v>
      </c>
      <c r="R6" s="346" t="e">
        <f>VLOOKUP($O6,flows!$A$2:$J$4985,R$2,FALSE)</f>
        <v>#N/A</v>
      </c>
      <c r="S6" s="346" t="e">
        <f>VLOOKUP($O6,flows!$A$2:$J$4985,S$2,FALSE)</f>
        <v>#N/A</v>
      </c>
      <c r="T6" s="346" t="e">
        <f>VLOOKUP($O6,flows!$A$2:$J$4985,T$2,FALSE)</f>
        <v>#N/A</v>
      </c>
      <c r="U6" s="346" t="e">
        <f>VLOOKUP($O6,flows!$A$2:$J$4985,U$2,FALSE)</f>
        <v>#N/A</v>
      </c>
      <c r="V6" s="346" t="e">
        <f>VLOOKUP($O6,flows!$A$2:$J$4985,V$2,FALSE)</f>
        <v>#N/A</v>
      </c>
      <c r="W6" s="346" t="e">
        <f>VLOOKUP($O6,flows!$A$2:$J$4985,W$2,FALSE)</f>
        <v>#N/A</v>
      </c>
      <c r="X6" s="346" t="e">
        <f>VLOOKUP($O6,flows!$A$2:$J$4985,X$2,FALSE)</f>
        <v>#N/A</v>
      </c>
      <c r="Y6" s="346" t="e">
        <f>VLOOKUP($O6,flows!$A$2:$J$4985,Y$2,FALSE)</f>
        <v>#N/A</v>
      </c>
      <c r="AB6" s="26" t="s">
        <v>917</v>
      </c>
      <c r="AC6" s="31" t="s">
        <v>1281</v>
      </c>
      <c r="AD6" s="194" t="s">
        <v>1898</v>
      </c>
      <c r="AE6" s="346" t="e">
        <f>VLOOKUP($AB6,flows!$A$2:$J$4985,AE$2,FALSE)</f>
        <v>#N/A</v>
      </c>
      <c r="AF6" s="346" t="e">
        <f>VLOOKUP($AB6,flows!$A$2:$J$4985,AF$2,FALSE)</f>
        <v>#N/A</v>
      </c>
      <c r="AG6" s="346" t="e">
        <f>VLOOKUP($AB6,flows!$A$2:$J$4985,AG$2,FALSE)</f>
        <v>#N/A</v>
      </c>
      <c r="AH6" s="346" t="e">
        <f>VLOOKUP($AB6,flows!$A$2:$J$4985,AH$2,FALSE)</f>
        <v>#N/A</v>
      </c>
      <c r="AI6" s="346" t="e">
        <f>VLOOKUP($AB6,flows!$A$2:$J$4985,AI$2,FALSE)</f>
        <v>#N/A</v>
      </c>
      <c r="AJ6" s="346" t="e">
        <f>VLOOKUP($AB6,flows!$A$2:$J$4985,AJ$2,FALSE)</f>
        <v>#N/A</v>
      </c>
      <c r="AK6" s="346" t="e">
        <f>VLOOKUP($AB6,flows!$A$2:$J$4985,AK$2,FALSE)</f>
        <v>#N/A</v>
      </c>
      <c r="AL6" s="346" t="e">
        <f>VLOOKUP($AB6,flows!$A$2:$J$4985,AL$2,FALSE)</f>
        <v>#N/A</v>
      </c>
      <c r="AN6" s="26" t="s">
        <v>882</v>
      </c>
      <c r="AO6" s="31" t="s">
        <v>1281</v>
      </c>
      <c r="AP6" s="194" t="s">
        <v>1898</v>
      </c>
      <c r="AQ6" s="346" t="e">
        <f>VLOOKUP($AN6,flows!$A$2:$J$4985,AQ$2,FALSE)</f>
        <v>#N/A</v>
      </c>
      <c r="AR6" s="346" t="e">
        <f>VLOOKUP($AN6,flows!$A$2:$J$4985,AR$2,FALSE)</f>
        <v>#N/A</v>
      </c>
      <c r="AS6" s="346" t="e">
        <f>VLOOKUP($AN6,flows!$A$2:$J$4985,AS$2,FALSE)</f>
        <v>#N/A</v>
      </c>
      <c r="AT6" s="346" t="e">
        <f>VLOOKUP($AN6,flows!$A$2:$J$4985,AT$2,FALSE)</f>
        <v>#N/A</v>
      </c>
      <c r="AU6" s="346" t="e">
        <f>VLOOKUP($AN6,flows!$A$2:$J$4985,AU$2,FALSE)</f>
        <v>#N/A</v>
      </c>
      <c r="AV6" s="346" t="e">
        <f>VLOOKUP($AN6,flows!$A$2:$J$4985,AV$2,FALSE)</f>
        <v>#N/A</v>
      </c>
      <c r="AW6" s="346" t="e">
        <f>VLOOKUP($AN6,flows!$A$2:$J$4985,AW$2,FALSE)</f>
        <v>#N/A</v>
      </c>
      <c r="AX6" s="346" t="e">
        <f>VLOOKUP($AN6,flows!$A$2:$J$4985,AX$2,FALSE)</f>
        <v>#N/A</v>
      </c>
    </row>
    <row r="7" spans="2:57" x14ac:dyDescent="0.35">
      <c r="C7" s="191" t="s">
        <v>2031</v>
      </c>
      <c r="D7" s="2" t="e">
        <f>D4+D5+D6</f>
        <v>#N/A</v>
      </c>
      <c r="E7" s="342" t="e">
        <f t="shared" ref="E7:K7" si="3">E4+E5+E6</f>
        <v>#N/A</v>
      </c>
      <c r="F7" s="342" t="e">
        <f t="shared" si="3"/>
        <v>#N/A</v>
      </c>
      <c r="G7" s="342" t="e">
        <f t="shared" si="3"/>
        <v>#N/A</v>
      </c>
      <c r="H7" s="342" t="e">
        <f t="shared" si="3"/>
        <v>#N/A</v>
      </c>
      <c r="I7" s="342" t="e">
        <f t="shared" si="3"/>
        <v>#N/A</v>
      </c>
      <c r="J7" s="342" t="e">
        <f t="shared" si="3"/>
        <v>#N/A</v>
      </c>
      <c r="K7" s="342" t="e">
        <f t="shared" si="3"/>
        <v>#N/A</v>
      </c>
      <c r="O7" s="26" t="s">
        <v>850</v>
      </c>
      <c r="P7" s="31" t="s">
        <v>1293</v>
      </c>
      <c r="Q7" s="194" t="s">
        <v>1900</v>
      </c>
      <c r="R7" s="346" t="e">
        <f>VLOOKUP($O7,flows!$A$2:$J$4985,R$2,FALSE)</f>
        <v>#N/A</v>
      </c>
      <c r="S7" s="346" t="e">
        <f>VLOOKUP($O7,flows!$A$2:$J$4985,S$2,FALSE)</f>
        <v>#N/A</v>
      </c>
      <c r="T7" s="346" t="e">
        <f>VLOOKUP($O7,flows!$A$2:$J$4985,T$2,FALSE)</f>
        <v>#N/A</v>
      </c>
      <c r="U7" s="346" t="e">
        <f>VLOOKUP($O7,flows!$A$2:$J$4985,U$2,FALSE)</f>
        <v>#N/A</v>
      </c>
      <c r="V7" s="346" t="e">
        <f>VLOOKUP($O7,flows!$A$2:$J$4985,V$2,FALSE)</f>
        <v>#N/A</v>
      </c>
      <c r="W7" s="346" t="e">
        <f>VLOOKUP($O7,flows!$A$2:$J$4985,W$2,FALSE)</f>
        <v>#N/A</v>
      </c>
      <c r="X7" s="346" t="e">
        <f>VLOOKUP($O7,flows!$A$2:$J$4985,X$2,FALSE)</f>
        <v>#N/A</v>
      </c>
      <c r="Y7" s="346" t="e">
        <f>VLOOKUP($O7,flows!$A$2:$J$4985,Y$2,FALSE)</f>
        <v>#N/A</v>
      </c>
      <c r="AB7" s="26" t="s">
        <v>918</v>
      </c>
      <c r="AC7" s="31" t="s">
        <v>1282</v>
      </c>
      <c r="AD7" s="194" t="s">
        <v>1899</v>
      </c>
      <c r="AE7" s="346" t="e">
        <f>VLOOKUP($AB7,flows!$A$2:$J$4985,AE$2,FALSE)</f>
        <v>#N/A</v>
      </c>
      <c r="AF7" s="346" t="e">
        <f>VLOOKUP($AB7,flows!$A$2:$J$4985,AF$2,FALSE)</f>
        <v>#N/A</v>
      </c>
      <c r="AG7" s="346" t="e">
        <f>VLOOKUP($AB7,flows!$A$2:$J$4985,AG$2,FALSE)</f>
        <v>#N/A</v>
      </c>
      <c r="AH7" s="346" t="e">
        <f>VLOOKUP($AB7,flows!$A$2:$J$4985,AH$2,FALSE)</f>
        <v>#N/A</v>
      </c>
      <c r="AI7" s="346" t="e">
        <f>VLOOKUP($AB7,flows!$A$2:$J$4985,AI$2,FALSE)</f>
        <v>#N/A</v>
      </c>
      <c r="AJ7" s="346" t="e">
        <f>VLOOKUP($AB7,flows!$A$2:$J$4985,AJ$2,FALSE)</f>
        <v>#N/A</v>
      </c>
      <c r="AK7" s="346" t="e">
        <f>VLOOKUP($AB7,flows!$A$2:$J$4985,AK$2,FALSE)</f>
        <v>#N/A</v>
      </c>
      <c r="AL7" s="346" t="e">
        <f>VLOOKUP($AB7,flows!$A$2:$J$4985,AL$2,FALSE)</f>
        <v>#N/A</v>
      </c>
      <c r="AN7" s="26" t="s">
        <v>883</v>
      </c>
      <c r="AO7" s="31" t="s">
        <v>1282</v>
      </c>
      <c r="AP7" s="194" t="s">
        <v>1911</v>
      </c>
      <c r="AQ7" s="346" t="e">
        <f>VLOOKUP($AN7,flows!$A$2:$J$4985,AQ$2,FALSE)</f>
        <v>#N/A</v>
      </c>
      <c r="AR7" s="346" t="e">
        <f>VLOOKUP($AN7,flows!$A$2:$J$4985,AR$2,FALSE)</f>
        <v>#N/A</v>
      </c>
      <c r="AS7" s="346" t="e">
        <f>VLOOKUP($AN7,flows!$A$2:$J$4985,AS$2,FALSE)</f>
        <v>#N/A</v>
      </c>
      <c r="AT7" s="346" t="e">
        <f>VLOOKUP($AN7,flows!$A$2:$J$4985,AT$2,FALSE)</f>
        <v>#N/A</v>
      </c>
      <c r="AU7" s="346" t="e">
        <f>VLOOKUP($AN7,flows!$A$2:$J$4985,AU$2,FALSE)</f>
        <v>#N/A</v>
      </c>
      <c r="AV7" s="346" t="e">
        <f>VLOOKUP($AN7,flows!$A$2:$J$4985,AV$2,FALSE)</f>
        <v>#N/A</v>
      </c>
      <c r="AW7" s="346" t="e">
        <f>VLOOKUP($AN7,flows!$A$2:$J$4985,AW$2,FALSE)</f>
        <v>#N/A</v>
      </c>
      <c r="AX7" s="346" t="e">
        <f>VLOOKUP($AN7,flows!$A$2:$J$4985,AX$2,FALSE)</f>
        <v>#N/A</v>
      </c>
    </row>
    <row r="8" spans="2:57" x14ac:dyDescent="0.35">
      <c r="C8" s="191" t="s">
        <v>4062</v>
      </c>
      <c r="D8" s="2" t="e">
        <f t="shared" ref="D8:K8" si="4">R27*(D4/D7)+AE17*(D5/D7)+AQ22*(D6/D7)</f>
        <v>#N/A</v>
      </c>
      <c r="E8" s="342" t="e">
        <f t="shared" si="4"/>
        <v>#N/A</v>
      </c>
      <c r="F8" s="342" t="e">
        <f t="shared" si="4"/>
        <v>#N/A</v>
      </c>
      <c r="G8" s="342" t="e">
        <f t="shared" si="4"/>
        <v>#N/A</v>
      </c>
      <c r="H8" s="342" t="e">
        <f t="shared" si="4"/>
        <v>#N/A</v>
      </c>
      <c r="I8" s="342" t="e">
        <f t="shared" si="4"/>
        <v>#N/A</v>
      </c>
      <c r="J8" s="342" t="e">
        <f t="shared" si="4"/>
        <v>#N/A</v>
      </c>
      <c r="K8" s="342" t="e">
        <f t="shared" si="4"/>
        <v>#N/A</v>
      </c>
      <c r="O8" s="26" t="s">
        <v>851</v>
      </c>
      <c r="P8" s="31" t="s">
        <v>1284</v>
      </c>
      <c r="Q8" s="194" t="s">
        <v>1901</v>
      </c>
      <c r="R8" s="346" t="e">
        <f>VLOOKUP($O8,flows!$A$2:$J$4985,R$2,FALSE)</f>
        <v>#N/A</v>
      </c>
      <c r="S8" s="346" t="e">
        <f>VLOOKUP($O8,flows!$A$2:$J$4985,S$2,FALSE)</f>
        <v>#N/A</v>
      </c>
      <c r="T8" s="346" t="e">
        <f>VLOOKUP($O8,flows!$A$2:$J$4985,T$2,FALSE)</f>
        <v>#N/A</v>
      </c>
      <c r="U8" s="346" t="e">
        <f>VLOOKUP($O8,flows!$A$2:$J$4985,U$2,FALSE)</f>
        <v>#N/A</v>
      </c>
      <c r="V8" s="346" t="e">
        <f>VLOOKUP($O8,flows!$A$2:$J$4985,V$2,FALSE)</f>
        <v>#N/A</v>
      </c>
      <c r="W8" s="346" t="e">
        <f>VLOOKUP($O8,flows!$A$2:$J$4985,W$2,FALSE)</f>
        <v>#N/A</v>
      </c>
      <c r="X8" s="346" t="e">
        <f>VLOOKUP($O8,flows!$A$2:$J$4985,X$2,FALSE)</f>
        <v>#N/A</v>
      </c>
      <c r="Y8" s="346" t="e">
        <f>VLOOKUP($O8,flows!$A$2:$J$4985,Y$2,FALSE)</f>
        <v>#N/A</v>
      </c>
      <c r="AB8" s="26" t="s">
        <v>919</v>
      </c>
      <c r="AC8" s="31" t="s">
        <v>1293</v>
      </c>
      <c r="AD8" s="194" t="s">
        <v>1900</v>
      </c>
      <c r="AE8" s="346" t="e">
        <f>VLOOKUP($AB8,flows!$A$2:$J$4985,AE$2,FALSE)</f>
        <v>#N/A</v>
      </c>
      <c r="AF8" s="346" t="e">
        <f>VLOOKUP($AB8,flows!$A$2:$J$4985,AF$2,FALSE)</f>
        <v>#N/A</v>
      </c>
      <c r="AG8" s="346" t="e">
        <f>VLOOKUP($AB8,flows!$A$2:$J$4985,AG$2,FALSE)</f>
        <v>#N/A</v>
      </c>
      <c r="AH8" s="346" t="e">
        <f>VLOOKUP($AB8,flows!$A$2:$J$4985,AH$2,FALSE)</f>
        <v>#N/A</v>
      </c>
      <c r="AI8" s="346" t="e">
        <f>VLOOKUP($AB8,flows!$A$2:$J$4985,AI$2,FALSE)</f>
        <v>#N/A</v>
      </c>
      <c r="AJ8" s="346" t="e">
        <f>VLOOKUP($AB8,flows!$A$2:$J$4985,AJ$2,FALSE)</f>
        <v>#N/A</v>
      </c>
      <c r="AK8" s="346" t="e">
        <f>VLOOKUP($AB8,flows!$A$2:$J$4985,AK$2,FALSE)</f>
        <v>#N/A</v>
      </c>
      <c r="AL8" s="346" t="e">
        <f>VLOOKUP($AB8,flows!$A$2:$J$4985,AL$2,FALSE)</f>
        <v>#N/A</v>
      </c>
      <c r="AN8" s="26" t="s">
        <v>884</v>
      </c>
      <c r="AO8" s="31" t="s">
        <v>1283</v>
      </c>
      <c r="AP8" s="194" t="s">
        <v>1907</v>
      </c>
      <c r="AQ8" s="346" t="e">
        <f>VLOOKUP($AN8,flows!$A$2:$J$4985,AQ$2,FALSE)</f>
        <v>#N/A</v>
      </c>
      <c r="AR8" s="346" t="e">
        <f>VLOOKUP($AN8,flows!$A$2:$J$4985,AR$2,FALSE)</f>
        <v>#N/A</v>
      </c>
      <c r="AS8" s="346" t="e">
        <f>VLOOKUP($AN8,flows!$A$2:$J$4985,AS$2,FALSE)</f>
        <v>#N/A</v>
      </c>
      <c r="AT8" s="346" t="e">
        <f>VLOOKUP($AN8,flows!$A$2:$J$4985,AT$2,FALSE)</f>
        <v>#N/A</v>
      </c>
      <c r="AU8" s="346" t="e">
        <f>VLOOKUP($AN8,flows!$A$2:$J$4985,AU$2,FALSE)</f>
        <v>#N/A</v>
      </c>
      <c r="AV8" s="346" t="e">
        <f>VLOOKUP($AN8,flows!$A$2:$J$4985,AV$2,FALSE)</f>
        <v>#N/A</v>
      </c>
      <c r="AW8" s="346" t="e">
        <f>VLOOKUP($AN8,flows!$A$2:$J$4985,AW$2,FALSE)</f>
        <v>#N/A</v>
      </c>
      <c r="AX8" s="346" t="e">
        <f>VLOOKUP($AN8,flows!$A$2:$J$4985,AX$2,FALSE)</f>
        <v>#N/A</v>
      </c>
    </row>
    <row r="9" spans="2:57" x14ac:dyDescent="0.35">
      <c r="O9" s="26" t="s">
        <v>852</v>
      </c>
      <c r="P9" s="6" t="s">
        <v>1286</v>
      </c>
      <c r="Q9" s="199" t="s">
        <v>1902</v>
      </c>
      <c r="R9" s="346" t="e">
        <f>VLOOKUP($O9,flows!$A$2:$J$4985,R$2,FALSE)</f>
        <v>#N/A</v>
      </c>
      <c r="S9" s="346" t="e">
        <f>VLOOKUP($O9,flows!$A$2:$J$4985,S$2,FALSE)</f>
        <v>#N/A</v>
      </c>
      <c r="T9" s="346" t="e">
        <f>VLOOKUP($O9,flows!$A$2:$J$4985,T$2,FALSE)</f>
        <v>#N/A</v>
      </c>
      <c r="U9" s="346" t="e">
        <f>VLOOKUP($O9,flows!$A$2:$J$4985,U$2,FALSE)</f>
        <v>#N/A</v>
      </c>
      <c r="V9" s="346" t="e">
        <f>VLOOKUP($O9,flows!$A$2:$J$4985,V$2,FALSE)</f>
        <v>#N/A</v>
      </c>
      <c r="W9" s="346" t="e">
        <f>VLOOKUP($O9,flows!$A$2:$J$4985,W$2,FALSE)</f>
        <v>#N/A</v>
      </c>
      <c r="X9" s="346" t="e">
        <f>VLOOKUP($O9,flows!$A$2:$J$4985,X$2,FALSE)</f>
        <v>#N/A</v>
      </c>
      <c r="Y9" s="346" t="e">
        <f>VLOOKUP($O9,flows!$A$2:$J$4985,Y$2,FALSE)</f>
        <v>#N/A</v>
      </c>
      <c r="AB9" s="26" t="s">
        <v>920</v>
      </c>
      <c r="AC9" s="31" t="s">
        <v>1283</v>
      </c>
      <c r="AD9" s="194" t="s">
        <v>1907</v>
      </c>
      <c r="AE9" s="346" t="e">
        <f>VLOOKUP($AB9,flows!$A$2:$J$4985,AE$2,FALSE)</f>
        <v>#N/A</v>
      </c>
      <c r="AF9" s="346" t="e">
        <f>VLOOKUP($AB9,flows!$A$2:$J$4985,AF$2,FALSE)</f>
        <v>#N/A</v>
      </c>
      <c r="AG9" s="346" t="e">
        <f>VLOOKUP($AB9,flows!$A$2:$J$4985,AG$2,FALSE)</f>
        <v>#N/A</v>
      </c>
      <c r="AH9" s="346" t="e">
        <f>VLOOKUP($AB9,flows!$A$2:$J$4985,AH$2,FALSE)</f>
        <v>#N/A</v>
      </c>
      <c r="AI9" s="346" t="e">
        <f>VLOOKUP($AB9,flows!$A$2:$J$4985,AI$2,FALSE)</f>
        <v>#N/A</v>
      </c>
      <c r="AJ9" s="346" t="e">
        <f>VLOOKUP($AB9,flows!$A$2:$J$4985,AJ$2,FALSE)</f>
        <v>#N/A</v>
      </c>
      <c r="AK9" s="346" t="e">
        <f>VLOOKUP($AB9,flows!$A$2:$J$4985,AK$2,FALSE)</f>
        <v>#N/A</v>
      </c>
      <c r="AL9" s="346" t="e">
        <f>VLOOKUP($AB9,flows!$A$2:$J$4985,AL$2,FALSE)</f>
        <v>#N/A</v>
      </c>
      <c r="AN9" s="26" t="s">
        <v>885</v>
      </c>
      <c r="AO9" s="31" t="s">
        <v>1284</v>
      </c>
      <c r="AP9" s="194" t="s">
        <v>1908</v>
      </c>
      <c r="AQ9" s="346" t="e">
        <f>VLOOKUP($AN9,flows!$A$2:$J$4985,AQ$2,FALSE)</f>
        <v>#N/A</v>
      </c>
      <c r="AR9" s="346" t="e">
        <f>VLOOKUP($AN9,flows!$A$2:$J$4985,AR$2,FALSE)</f>
        <v>#N/A</v>
      </c>
      <c r="AS9" s="346" t="e">
        <f>VLOOKUP($AN9,flows!$A$2:$J$4985,AS$2,FALSE)</f>
        <v>#N/A</v>
      </c>
      <c r="AT9" s="346" t="e">
        <f>VLOOKUP($AN9,flows!$A$2:$J$4985,AT$2,FALSE)</f>
        <v>#N/A</v>
      </c>
      <c r="AU9" s="346" t="e">
        <f>VLOOKUP($AN9,flows!$A$2:$J$4985,AU$2,FALSE)</f>
        <v>#N/A</v>
      </c>
      <c r="AV9" s="346" t="e">
        <f>VLOOKUP($AN9,flows!$A$2:$J$4985,AV$2,FALSE)</f>
        <v>#N/A</v>
      </c>
      <c r="AW9" s="346" t="e">
        <f>VLOOKUP($AN9,flows!$A$2:$J$4985,AW$2,FALSE)</f>
        <v>#N/A</v>
      </c>
      <c r="AX9" s="346" t="e">
        <f>VLOOKUP($AN9,flows!$A$2:$J$4985,AX$2,FALSE)</f>
        <v>#N/A</v>
      </c>
    </row>
    <row r="10" spans="2:57" x14ac:dyDescent="0.35">
      <c r="O10" s="27" t="s">
        <v>853</v>
      </c>
      <c r="P10" s="32" t="s">
        <v>1292</v>
      </c>
      <c r="Q10" s="195" t="s">
        <v>1905</v>
      </c>
      <c r="R10" s="346" t="e">
        <f>VLOOKUP($O10,flows!$A$2:$J$4985,R$2,FALSE)</f>
        <v>#N/A</v>
      </c>
      <c r="S10" s="346" t="e">
        <f>VLOOKUP($O10,flows!$A$2:$J$4985,S$2,FALSE)</f>
        <v>#N/A</v>
      </c>
      <c r="T10" s="346" t="e">
        <f>VLOOKUP($O10,flows!$A$2:$J$4985,T$2,FALSE)</f>
        <v>#N/A</v>
      </c>
      <c r="U10" s="346" t="e">
        <f>VLOOKUP($O10,flows!$A$2:$J$4985,U$2,FALSE)</f>
        <v>#N/A</v>
      </c>
      <c r="V10" s="346" t="e">
        <f>VLOOKUP($O10,flows!$A$2:$J$4985,V$2,FALSE)</f>
        <v>#N/A</v>
      </c>
      <c r="W10" s="346" t="e">
        <f>VLOOKUP($O10,flows!$A$2:$J$4985,W$2,FALSE)</f>
        <v>#N/A</v>
      </c>
      <c r="X10" s="346" t="e">
        <f>VLOOKUP($O10,flows!$A$2:$J$4985,X$2,FALSE)</f>
        <v>#N/A</v>
      </c>
      <c r="Y10" s="346" t="e">
        <f>VLOOKUP($O10,flows!$A$2:$J$4985,Y$2,FALSE)</f>
        <v>#N/A</v>
      </c>
      <c r="AB10" s="27" t="s">
        <v>921</v>
      </c>
      <c r="AC10" s="31" t="s">
        <v>1284</v>
      </c>
      <c r="AD10" s="194" t="s">
        <v>1908</v>
      </c>
      <c r="AE10" s="346" t="e">
        <f>VLOOKUP($AB10,flows!$A$2:$J$4985,AE$2,FALSE)</f>
        <v>#N/A</v>
      </c>
      <c r="AF10" s="346" t="e">
        <f>VLOOKUP($AB10,flows!$A$2:$J$4985,AF$2,FALSE)</f>
        <v>#N/A</v>
      </c>
      <c r="AG10" s="346" t="e">
        <f>VLOOKUP($AB10,flows!$A$2:$J$4985,AG$2,FALSE)</f>
        <v>#N/A</v>
      </c>
      <c r="AH10" s="346" t="e">
        <f>VLOOKUP($AB10,flows!$A$2:$J$4985,AH$2,FALSE)</f>
        <v>#N/A</v>
      </c>
      <c r="AI10" s="346" t="e">
        <f>VLOOKUP($AB10,flows!$A$2:$J$4985,AI$2,FALSE)</f>
        <v>#N/A</v>
      </c>
      <c r="AJ10" s="346" t="e">
        <f>VLOOKUP($AB10,flows!$A$2:$J$4985,AJ$2,FALSE)</f>
        <v>#N/A</v>
      </c>
      <c r="AK10" s="346" t="e">
        <f>VLOOKUP($AB10,flows!$A$2:$J$4985,AK$2,FALSE)</f>
        <v>#N/A</v>
      </c>
      <c r="AL10" s="346" t="e">
        <f>VLOOKUP($AB10,flows!$A$2:$J$4985,AL$2,FALSE)</f>
        <v>#N/A</v>
      </c>
      <c r="AN10" s="206" t="s">
        <v>4118</v>
      </c>
      <c r="AO10" s="337" t="s">
        <v>4131</v>
      </c>
      <c r="AP10" s="337" t="s">
        <v>4132</v>
      </c>
      <c r="AQ10" s="346">
        <f>VLOOKUP($AN10,flows!$A$2:$J$4985,AQ$2,FALSE)</f>
        <v>134317.0241828826</v>
      </c>
      <c r="AR10" s="346">
        <f>VLOOKUP($AN10,flows!$A$2:$J$4985,AR$2,FALSE)</f>
        <v>0</v>
      </c>
      <c r="AS10" s="346">
        <f>VLOOKUP($AN10,flows!$A$2:$J$4985,AS$2,FALSE)</f>
        <v>2.6883388830195472</v>
      </c>
      <c r="AT10" s="346">
        <f>VLOOKUP($AN10,flows!$A$2:$J$4985,AT$2,FALSE)</f>
        <v>1.38316617623162E-2</v>
      </c>
      <c r="AU10" s="346">
        <f>VLOOKUP($AN10,flows!$A$2:$J$4985,AU$2,FALSE)</f>
        <v>4.2145774126187644E-3</v>
      </c>
      <c r="AV10" s="346">
        <f>VLOOKUP($AN10,flows!$A$2:$J$4985,AV$2,FALSE)</f>
        <v>20314.433606030441</v>
      </c>
      <c r="AW10" s="346">
        <f>VLOOKUP($AN10,flows!$A$2:$J$4985,AW$2,FALSE)</f>
        <v>142370.26970544751</v>
      </c>
      <c r="AX10" s="346">
        <f>VLOOKUP($AN10,flows!$A$2:$J$4985,AX$2,FALSE)</f>
        <v>0</v>
      </c>
    </row>
    <row r="11" spans="2:57" x14ac:dyDescent="0.35">
      <c r="O11" s="26" t="s">
        <v>854</v>
      </c>
      <c r="P11" s="31" t="s">
        <v>1289</v>
      </c>
      <c r="Q11" s="194" t="s">
        <v>1903</v>
      </c>
      <c r="R11" s="346" t="e">
        <f>VLOOKUP($O11,flows!$A$2:$J$4985,R$2,FALSE)</f>
        <v>#N/A</v>
      </c>
      <c r="S11" s="346" t="e">
        <f>VLOOKUP($O11,flows!$A$2:$J$4985,S$2,FALSE)</f>
        <v>#N/A</v>
      </c>
      <c r="T11" s="346" t="e">
        <f>VLOOKUP($O11,flows!$A$2:$J$4985,T$2,FALSE)</f>
        <v>#N/A</v>
      </c>
      <c r="U11" s="346" t="e">
        <f>VLOOKUP($O11,flows!$A$2:$J$4985,U$2,FALSE)</f>
        <v>#N/A</v>
      </c>
      <c r="V11" s="346" t="e">
        <f>VLOOKUP($O11,flows!$A$2:$J$4985,V$2,FALSE)</f>
        <v>#N/A</v>
      </c>
      <c r="W11" s="346" t="e">
        <f>VLOOKUP($O11,flows!$A$2:$J$4985,W$2,FALSE)</f>
        <v>#N/A</v>
      </c>
      <c r="X11" s="346" t="e">
        <f>VLOOKUP($O11,flows!$A$2:$J$4985,X$2,FALSE)</f>
        <v>#N/A</v>
      </c>
      <c r="Y11" s="346" t="e">
        <f>VLOOKUP($O11,flows!$A$2:$J$4985,Y$2,FALSE)</f>
        <v>#N/A</v>
      </c>
      <c r="AB11" s="5" t="s">
        <v>922</v>
      </c>
      <c r="AC11" s="32" t="s">
        <v>1285</v>
      </c>
      <c r="AD11" s="195" t="s">
        <v>1909</v>
      </c>
      <c r="AE11" s="346" t="e">
        <f>VLOOKUP($AB11,flows!$A$2:$J$4985,AE$2,FALSE)</f>
        <v>#N/A</v>
      </c>
      <c r="AF11" s="346" t="e">
        <f>VLOOKUP($AB11,flows!$A$2:$J$4985,AF$2,FALSE)</f>
        <v>#N/A</v>
      </c>
      <c r="AG11" s="346" t="e">
        <f>VLOOKUP($AB11,flows!$A$2:$J$4985,AG$2,FALSE)</f>
        <v>#N/A</v>
      </c>
      <c r="AH11" s="346" t="e">
        <f>VLOOKUP($AB11,flows!$A$2:$J$4985,AH$2,FALSE)</f>
        <v>#N/A</v>
      </c>
      <c r="AI11" s="346" t="e">
        <f>VLOOKUP($AB11,flows!$A$2:$J$4985,AI$2,FALSE)</f>
        <v>#N/A</v>
      </c>
      <c r="AJ11" s="346" t="e">
        <f>VLOOKUP($AB11,flows!$A$2:$J$4985,AJ$2,FALSE)</f>
        <v>#N/A</v>
      </c>
      <c r="AK11" s="346" t="e">
        <f>VLOOKUP($AB11,flows!$A$2:$J$4985,AK$2,FALSE)</f>
        <v>#N/A</v>
      </c>
      <c r="AL11" s="346" t="e">
        <f>VLOOKUP($AB11,flows!$A$2:$J$4985,AL$2,FALSE)</f>
        <v>#N/A</v>
      </c>
      <c r="AN11" s="27" t="s">
        <v>886</v>
      </c>
      <c r="AO11" s="32" t="s">
        <v>1285</v>
      </c>
      <c r="AP11" s="195" t="s">
        <v>1909</v>
      </c>
      <c r="AQ11" s="346" t="e">
        <f>VLOOKUP($AN11,flows!$A$2:$J$4985,AQ$2,FALSE)</f>
        <v>#N/A</v>
      </c>
      <c r="AR11" s="346" t="e">
        <f>VLOOKUP($AN11,flows!$A$2:$J$4985,AR$2,FALSE)</f>
        <v>#N/A</v>
      </c>
      <c r="AS11" s="346" t="e">
        <f>VLOOKUP($AN11,flows!$A$2:$J$4985,AS$2,FALSE)</f>
        <v>#N/A</v>
      </c>
      <c r="AT11" s="346" t="e">
        <f>VLOOKUP($AN11,flows!$A$2:$J$4985,AT$2,FALSE)</f>
        <v>#N/A</v>
      </c>
      <c r="AU11" s="346" t="e">
        <f>VLOOKUP($AN11,flows!$A$2:$J$4985,AU$2,FALSE)</f>
        <v>#N/A</v>
      </c>
      <c r="AV11" s="346" t="e">
        <f>VLOOKUP($AN11,flows!$A$2:$J$4985,AV$2,FALSE)</f>
        <v>#N/A</v>
      </c>
      <c r="AW11" s="346" t="e">
        <f>VLOOKUP($AN11,flows!$A$2:$J$4985,AW$2,FALSE)</f>
        <v>#N/A</v>
      </c>
      <c r="AX11" s="346" t="e">
        <f>VLOOKUP($AN11,flows!$A$2:$J$4985,AX$2,FALSE)</f>
        <v>#N/A</v>
      </c>
    </row>
    <row r="12" spans="2:57" x14ac:dyDescent="0.35">
      <c r="O12" s="207" t="s">
        <v>1695</v>
      </c>
      <c r="P12" s="337" t="s">
        <v>1285</v>
      </c>
      <c r="Q12" s="337"/>
      <c r="R12" s="346" t="e">
        <f>VLOOKUP($O12,flows!$A$2:$J$4985,R$2,FALSE)</f>
        <v>#N/A</v>
      </c>
      <c r="S12" s="346" t="e">
        <f>VLOOKUP($O12,flows!$A$2:$J$4985,S$2,FALSE)</f>
        <v>#N/A</v>
      </c>
      <c r="T12" s="346" t="e">
        <f>VLOOKUP($O12,flows!$A$2:$J$4985,T$2,FALSE)</f>
        <v>#N/A</v>
      </c>
      <c r="U12" s="346" t="e">
        <f>VLOOKUP($O12,flows!$A$2:$J$4985,U$2,FALSE)</f>
        <v>#N/A</v>
      </c>
      <c r="V12" s="346" t="e">
        <f>VLOOKUP($O12,flows!$A$2:$J$4985,V$2,FALSE)</f>
        <v>#N/A</v>
      </c>
      <c r="W12" s="346" t="e">
        <f>VLOOKUP($O12,flows!$A$2:$J$4985,W$2,FALSE)</f>
        <v>#N/A</v>
      </c>
      <c r="X12" s="346" t="e">
        <f>VLOOKUP($O12,flows!$A$2:$J$4985,X$2,FALSE)</f>
        <v>#N/A</v>
      </c>
      <c r="Y12" s="346" t="e">
        <f>VLOOKUP($O12,flows!$A$2:$J$4985,Y$2,FALSE)</f>
        <v>#N/A</v>
      </c>
      <c r="AB12" s="26" t="s">
        <v>923</v>
      </c>
      <c r="AC12" s="6" t="s">
        <v>1286</v>
      </c>
      <c r="AD12" s="199" t="s">
        <v>1902</v>
      </c>
      <c r="AE12" s="346" t="e">
        <f>VLOOKUP($AB12,flows!$A$2:$J$4985,AE$2,FALSE)</f>
        <v>#N/A</v>
      </c>
      <c r="AF12" s="346" t="e">
        <f>VLOOKUP($AB12,flows!$A$2:$J$4985,AF$2,FALSE)</f>
        <v>#N/A</v>
      </c>
      <c r="AG12" s="346" t="e">
        <f>VLOOKUP($AB12,flows!$A$2:$J$4985,AG$2,FALSE)</f>
        <v>#N/A</v>
      </c>
      <c r="AH12" s="346" t="e">
        <f>VLOOKUP($AB12,flows!$A$2:$J$4985,AH$2,FALSE)</f>
        <v>#N/A</v>
      </c>
      <c r="AI12" s="346" t="e">
        <f>VLOOKUP($AB12,flows!$A$2:$J$4985,AI$2,FALSE)</f>
        <v>#N/A</v>
      </c>
      <c r="AJ12" s="346" t="e">
        <f>VLOOKUP($AB12,flows!$A$2:$J$4985,AJ$2,FALSE)</f>
        <v>#N/A</v>
      </c>
      <c r="AK12" s="346" t="e">
        <f>VLOOKUP($AB12,flows!$A$2:$J$4985,AK$2,FALSE)</f>
        <v>#N/A</v>
      </c>
      <c r="AL12" s="346" t="e">
        <f>VLOOKUP($AB12,flows!$A$2:$J$4985,AL$2,FALSE)</f>
        <v>#N/A</v>
      </c>
      <c r="AN12" s="207" t="s">
        <v>4296</v>
      </c>
      <c r="AO12" s="338" t="s">
        <v>4170</v>
      </c>
      <c r="AP12" s="338" t="s">
        <v>4176</v>
      </c>
      <c r="AQ12" s="346" t="e">
        <f>VLOOKUP($AN12,flows!$A$2:$J$4985,AQ$2,FALSE)</f>
        <v>#N/A</v>
      </c>
      <c r="AR12" s="346" t="e">
        <f>VLOOKUP($AN12,flows!$A$2:$J$4985,AR$2,FALSE)</f>
        <v>#N/A</v>
      </c>
      <c r="AS12" s="346" t="e">
        <f>VLOOKUP($AN12,flows!$A$2:$J$4985,AS$2,FALSE)</f>
        <v>#N/A</v>
      </c>
      <c r="AT12" s="346" t="e">
        <f>VLOOKUP($AN12,flows!$A$2:$J$4985,AT$2,FALSE)</f>
        <v>#N/A</v>
      </c>
      <c r="AU12" s="346" t="e">
        <f>VLOOKUP($AN12,flows!$A$2:$J$4985,AU$2,FALSE)</f>
        <v>#N/A</v>
      </c>
      <c r="AV12" s="346" t="e">
        <f>VLOOKUP($AN12,flows!$A$2:$J$4985,AV$2,FALSE)</f>
        <v>#N/A</v>
      </c>
      <c r="AW12" s="346" t="e">
        <f>VLOOKUP($AN12,flows!$A$2:$J$4985,AW$2,FALSE)</f>
        <v>#N/A</v>
      </c>
      <c r="AX12" s="346" t="e">
        <f>VLOOKUP($AN12,flows!$A$2:$J$4985,AX$2,FALSE)</f>
        <v>#N/A</v>
      </c>
    </row>
    <row r="13" spans="2:57" x14ac:dyDescent="0.35">
      <c r="O13" s="207" t="s">
        <v>1694</v>
      </c>
      <c r="P13" s="337" t="s">
        <v>4030</v>
      </c>
      <c r="Q13" s="337"/>
      <c r="R13" s="346" t="e">
        <f>VLOOKUP($O13,flows!$A$2:$J$4985,R$2,FALSE)</f>
        <v>#N/A</v>
      </c>
      <c r="S13" s="346" t="e">
        <f>VLOOKUP($O13,flows!$A$2:$J$4985,S$2,FALSE)</f>
        <v>#N/A</v>
      </c>
      <c r="T13" s="346" t="e">
        <f>VLOOKUP($O13,flows!$A$2:$J$4985,T$2,FALSE)</f>
        <v>#N/A</v>
      </c>
      <c r="U13" s="346" t="e">
        <f>VLOOKUP($O13,flows!$A$2:$J$4985,U$2,FALSE)</f>
        <v>#N/A</v>
      </c>
      <c r="V13" s="346" t="e">
        <f>VLOOKUP($O13,flows!$A$2:$J$4985,V$2,FALSE)</f>
        <v>#N/A</v>
      </c>
      <c r="W13" s="346" t="e">
        <f>VLOOKUP($O13,flows!$A$2:$J$4985,W$2,FALSE)</f>
        <v>#N/A</v>
      </c>
      <c r="X13" s="346" t="e">
        <f>VLOOKUP($O13,flows!$A$2:$J$4985,X$2,FALSE)</f>
        <v>#N/A</v>
      </c>
      <c r="Y13" s="346" t="e">
        <f>VLOOKUP($O13,flows!$A$2:$J$4985,Y$2,FALSE)</f>
        <v>#N/A</v>
      </c>
      <c r="AB13" s="26" t="s">
        <v>2998</v>
      </c>
      <c r="AC13" s="31" t="s">
        <v>1287</v>
      </c>
      <c r="AD13" s="194" t="s">
        <v>1910</v>
      </c>
      <c r="AE13" s="346">
        <f>VLOOKUP($AB13,flows!$A$2:$J$4985,AE$2,FALSE)</f>
        <v>5611.666866504861</v>
      </c>
      <c r="AF13" s="346">
        <f>VLOOKUP($AB13,flows!$A$2:$J$4985,AF$2,FALSE)</f>
        <v>6966.9450982945946</v>
      </c>
      <c r="AG13" s="346">
        <f>VLOOKUP($AB13,flows!$A$2:$J$4985,AG$2,FALSE)</f>
        <v>7681.248078055829</v>
      </c>
      <c r="AH13" s="346">
        <f>VLOOKUP($AB13,flows!$A$2:$J$4985,AH$2,FALSE)</f>
        <v>1609.6046241139411</v>
      </c>
      <c r="AI13" s="346">
        <f>VLOOKUP($AB13,flows!$A$2:$J$4985,AI$2,FALSE)</f>
        <v>8737.8983172903372</v>
      </c>
      <c r="AJ13" s="346">
        <f>VLOOKUP($AB13,flows!$A$2:$J$4985,AJ$2,FALSE)</f>
        <v>10085.008691862629</v>
      </c>
      <c r="AK13" s="346">
        <f>VLOOKUP($AB13,flows!$A$2:$J$4985,AK$2,FALSE)</f>
        <v>5780.6744494661634</v>
      </c>
      <c r="AL13" s="346">
        <f>VLOOKUP($AB13,flows!$A$2:$J$4985,AL$2,FALSE)</f>
        <v>0</v>
      </c>
      <c r="AN13" s="207" t="s">
        <v>4149</v>
      </c>
      <c r="AO13" s="338" t="s">
        <v>4171</v>
      </c>
      <c r="AP13" s="338" t="s">
        <v>4177</v>
      </c>
      <c r="AQ13" s="346">
        <f>VLOOKUP($AN13,flows!$A$2:$J$4985,AQ$2,FALSE)</f>
        <v>1.733105626856152</v>
      </c>
      <c r="AR13" s="346">
        <f>VLOOKUP($AN13,flows!$A$2:$J$4985,AR$2,FALSE)</f>
        <v>0</v>
      </c>
      <c r="AS13" s="346">
        <f>VLOOKUP($AN13,flows!$A$2:$J$4985,AS$2,FALSE)</f>
        <v>1.365124789293325E-2</v>
      </c>
      <c r="AT13" s="346">
        <f>VLOOKUP($AN13,flows!$A$2:$J$4985,AT$2,FALSE)</f>
        <v>1.7389131483840911E-4</v>
      </c>
      <c r="AU13" s="346">
        <f>VLOOKUP($AN13,flows!$A$2:$J$4985,AU$2,FALSE)</f>
        <v>0.14453165847629121</v>
      </c>
      <c r="AV13" s="346">
        <f>VLOOKUP($AN13,flows!$A$2:$J$4985,AV$2,FALSE)</f>
        <v>13.32239689245378</v>
      </c>
      <c r="AW13" s="346">
        <f>VLOOKUP($AN13,flows!$A$2:$J$4985,AW$2,FALSE)</f>
        <v>1.708548660031683</v>
      </c>
      <c r="AX13" s="346">
        <f>VLOOKUP($AN13,flows!$A$2:$J$4985,AX$2,FALSE)</f>
        <v>0</v>
      </c>
    </row>
    <row r="14" spans="2:57" x14ac:dyDescent="0.35">
      <c r="O14" s="338" t="s">
        <v>4116</v>
      </c>
      <c r="P14" s="337" t="s">
        <v>4129</v>
      </c>
      <c r="Q14" s="337" t="s">
        <v>4130</v>
      </c>
      <c r="R14" s="346">
        <f>VLOOKUP($O14,flows!$A$2:$J$4985,R$2,FALSE)</f>
        <v>3.299922932554708E-2</v>
      </c>
      <c r="S14" s="346">
        <f>VLOOKUP($O14,flows!$A$2:$J$4985,S$2,FALSE)</f>
        <v>0</v>
      </c>
      <c r="T14" s="346">
        <f>VLOOKUP($O14,flows!$A$2:$J$4985,T$2,FALSE)</f>
        <v>0.79454948076285326</v>
      </c>
      <c r="U14" s="346">
        <f>VLOOKUP($O14,flows!$A$2:$J$4985,U$2,FALSE)</f>
        <v>1.0440982050192991E-3</v>
      </c>
      <c r="V14" s="346">
        <f>VLOOKUP($O14,flows!$A$2:$J$4985,V$2,FALSE)</f>
        <v>5.3281342535825039E-4</v>
      </c>
      <c r="W14" s="346">
        <f>VLOOKUP($O14,flows!$A$2:$J$4985,W$2,FALSE)</f>
        <v>6.8710159534877724E-5</v>
      </c>
      <c r="X14" s="346">
        <f>VLOOKUP($O14,flows!$A$2:$J$4985,X$2,FALSE)</f>
        <v>1.045403577385211E-4</v>
      </c>
      <c r="Y14" s="346">
        <f>VLOOKUP($O14,flows!$A$2:$J$4985,Y$2,FALSE)</f>
        <v>0</v>
      </c>
      <c r="AB14" s="26" t="s">
        <v>924</v>
      </c>
      <c r="AC14" s="31" t="s">
        <v>1292</v>
      </c>
      <c r="AD14" s="194" t="s">
        <v>1905</v>
      </c>
      <c r="AE14" s="346" t="e">
        <f>VLOOKUP($AB14,flows!$A$2:$J$4985,AE$2,FALSE)</f>
        <v>#N/A</v>
      </c>
      <c r="AF14" s="346" t="e">
        <f>VLOOKUP($AB14,flows!$A$2:$J$4985,AF$2,FALSE)</f>
        <v>#N/A</v>
      </c>
      <c r="AG14" s="346" t="e">
        <f>VLOOKUP($AB14,flows!$A$2:$J$4985,AG$2,FALSE)</f>
        <v>#N/A</v>
      </c>
      <c r="AH14" s="346" t="e">
        <f>VLOOKUP($AB14,flows!$A$2:$J$4985,AH$2,FALSE)</f>
        <v>#N/A</v>
      </c>
      <c r="AI14" s="346" t="e">
        <f>VLOOKUP($AB14,flows!$A$2:$J$4985,AI$2,FALSE)</f>
        <v>#N/A</v>
      </c>
      <c r="AJ14" s="346" t="e">
        <f>VLOOKUP($AB14,flows!$A$2:$J$4985,AJ$2,FALSE)</f>
        <v>#N/A</v>
      </c>
      <c r="AK14" s="346" t="e">
        <f>VLOOKUP($AB14,flows!$A$2:$J$4985,AK$2,FALSE)</f>
        <v>#N/A</v>
      </c>
      <c r="AL14" s="346" t="e">
        <f>VLOOKUP($AB14,flows!$A$2:$J$4985,AL$2,FALSE)</f>
        <v>#N/A</v>
      </c>
      <c r="AN14" s="207" t="s">
        <v>4150</v>
      </c>
      <c r="AO14" s="338" t="s">
        <v>4172</v>
      </c>
      <c r="AP14" s="338" t="s">
        <v>4178</v>
      </c>
      <c r="AQ14" s="346">
        <f>VLOOKUP($AN14,flows!$A$2:$J$4985,AQ$2,FALSE)</f>
        <v>9.3007592891061806E-6</v>
      </c>
      <c r="AR14" s="346">
        <f>VLOOKUP($AN14,flows!$A$2:$J$4985,AR$2,FALSE)</f>
        <v>0</v>
      </c>
      <c r="AS14" s="346">
        <f>VLOOKUP($AN14,flows!$A$2:$J$4985,AS$2,FALSE)</f>
        <v>1.347030530896875E-2</v>
      </c>
      <c r="AT14" s="346">
        <f>VLOOKUP($AN14,flows!$A$2:$J$4985,AT$2,FALSE)</f>
        <v>1.159570570802647E-5</v>
      </c>
      <c r="AU14" s="346">
        <f>VLOOKUP($AN14,flows!$A$2:$J$4985,AU$2,FALSE)</f>
        <v>3.8863300734498377E-6</v>
      </c>
      <c r="AV14" s="346">
        <f>VLOOKUP($AN14,flows!$A$2:$J$4985,AV$2,FALSE)</f>
        <v>1.431778996538453E-6</v>
      </c>
      <c r="AW14" s="346">
        <f>VLOOKUP($AN14,flows!$A$2:$J$4985,AW$2,FALSE)</f>
        <v>6.5395163002583934E-8</v>
      </c>
      <c r="AX14" s="346">
        <f>VLOOKUP($AN14,flows!$A$2:$J$4985,AX$2,FALSE)</f>
        <v>0</v>
      </c>
    </row>
    <row r="15" spans="2:57" x14ac:dyDescent="0.35">
      <c r="O15" s="2" t="s">
        <v>2623</v>
      </c>
      <c r="P15" s="337" t="s">
        <v>2609</v>
      </c>
      <c r="Q15" s="337" t="s">
        <v>2610</v>
      </c>
      <c r="R15" s="346">
        <f>VLOOKUP($O15,flows!$A$2:$J$4985,R$2,FALSE)</f>
        <v>417.1621725102757</v>
      </c>
      <c r="S15" s="346">
        <f>VLOOKUP($O15,flows!$A$2:$J$4985,S$2,FALSE)</f>
        <v>4728.8099335259121</v>
      </c>
      <c r="T15" s="346">
        <f>VLOOKUP($O15,flows!$A$2:$J$4985,T$2,FALSE)</f>
        <v>5098.9748693461806</v>
      </c>
      <c r="U15" s="346">
        <f>VLOOKUP($O15,flows!$A$2:$J$4985,U$2,FALSE)</f>
        <v>4840.9832237626997</v>
      </c>
      <c r="V15" s="346">
        <f>VLOOKUP($O15,flows!$A$2:$J$4985,V$2,FALSE)</f>
        <v>3913.3668586420372</v>
      </c>
      <c r="W15" s="346">
        <f>VLOOKUP($O15,flows!$A$2:$J$4985,W$2,FALSE)</f>
        <v>1617.6887541839869</v>
      </c>
      <c r="X15" s="346">
        <f>VLOOKUP($O15,flows!$A$2:$J$4985,X$2,FALSE)</f>
        <v>417.15776904645571</v>
      </c>
      <c r="Y15" s="346">
        <f>VLOOKUP($O15,flows!$A$2:$J$4985,Y$2,FALSE)</f>
        <v>0</v>
      </c>
      <c r="Z15" s="342"/>
      <c r="AA15" s="342"/>
      <c r="AB15" s="26" t="s">
        <v>925</v>
      </c>
      <c r="AC15" s="31" t="s">
        <v>1289</v>
      </c>
      <c r="AD15" s="194" t="s">
        <v>1903</v>
      </c>
      <c r="AE15" s="346" t="e">
        <f>VLOOKUP($AB15,flows!$A$2:$J$4985,AE$2,FALSE)</f>
        <v>#N/A</v>
      </c>
      <c r="AF15" s="346" t="e">
        <f>VLOOKUP($AB15,flows!$A$2:$J$4985,AF$2,FALSE)</f>
        <v>#N/A</v>
      </c>
      <c r="AG15" s="346" t="e">
        <f>VLOOKUP($AB15,flows!$A$2:$J$4985,AG$2,FALSE)</f>
        <v>#N/A</v>
      </c>
      <c r="AH15" s="346" t="e">
        <f>VLOOKUP($AB15,flows!$A$2:$J$4985,AH$2,FALSE)</f>
        <v>#N/A</v>
      </c>
      <c r="AI15" s="346" t="e">
        <f>VLOOKUP($AB15,flows!$A$2:$J$4985,AI$2,FALSE)</f>
        <v>#N/A</v>
      </c>
      <c r="AJ15" s="346" t="e">
        <f>VLOOKUP($AB15,flows!$A$2:$J$4985,AJ$2,FALSE)</f>
        <v>#N/A</v>
      </c>
      <c r="AK15" s="346" t="e">
        <f>VLOOKUP($AB15,flows!$A$2:$J$4985,AK$2,FALSE)</f>
        <v>#N/A</v>
      </c>
      <c r="AL15" s="346" t="e">
        <f>VLOOKUP($AB15,flows!$A$2:$J$4985,AL$2,FALSE)</f>
        <v>#N/A</v>
      </c>
      <c r="AM15" s="342"/>
      <c r="AN15" s="207" t="s">
        <v>4151</v>
      </c>
      <c r="AO15" s="338" t="s">
        <v>4173</v>
      </c>
      <c r="AP15" s="338" t="s">
        <v>4179</v>
      </c>
      <c r="AQ15" s="346">
        <f>VLOOKUP($AN15,flows!$A$2:$J$4985,AQ$2,FALSE)</f>
        <v>0.65994947755842648</v>
      </c>
      <c r="AR15" s="346">
        <f>VLOOKUP($AN15,flows!$A$2:$J$4985,AR$2,FALSE)</f>
        <v>0</v>
      </c>
      <c r="AS15" s="346">
        <f>VLOOKUP($AN15,flows!$A$2:$J$4985,AS$2,FALSE)</f>
        <v>1.3467191694433471E-2</v>
      </c>
      <c r="AT15" s="346">
        <f>VLOOKUP($AN15,flows!$A$2:$J$4985,AT$2,FALSE)</f>
        <v>1.6863779079926951E-4</v>
      </c>
      <c r="AU15" s="346">
        <f>VLOOKUP($AN15,flows!$A$2:$J$4985,AU$2,FALSE)</f>
        <v>0.206053421327834</v>
      </c>
      <c r="AV15" s="346">
        <f>VLOOKUP($AN15,flows!$A$2:$J$4985,AV$2,FALSE)</f>
        <v>2.559354394060799</v>
      </c>
      <c r="AW15" s="346">
        <f>VLOOKUP($AN15,flows!$A$2:$J$4985,AW$2,FALSE)</f>
        <v>0.65998756937382008</v>
      </c>
      <c r="AX15" s="346">
        <f>VLOOKUP($AN15,flows!$A$2:$J$4985,AX$2,FALSE)</f>
        <v>0</v>
      </c>
      <c r="AY15" s="342"/>
      <c r="AZ15" s="342"/>
      <c r="BA15" s="342"/>
      <c r="BB15" s="342"/>
      <c r="BC15" s="342"/>
      <c r="BD15" s="342"/>
      <c r="BE15" s="342"/>
    </row>
    <row r="16" spans="2:57" x14ac:dyDescent="0.35">
      <c r="O16" s="26" t="s">
        <v>2615</v>
      </c>
      <c r="P16" s="31" t="s">
        <v>2574</v>
      </c>
      <c r="Q16" s="194" t="s">
        <v>2616</v>
      </c>
      <c r="R16" s="346">
        <f>VLOOKUP($O16,flows!$A$2:$J$4985,R$2,FALSE)</f>
        <v>5.0351467247756167E-2</v>
      </c>
      <c r="S16" s="346">
        <f>VLOOKUP($O16,flows!$A$2:$J$4985,S$2,FALSE)</f>
        <v>0</v>
      </c>
      <c r="T16" s="346">
        <f>VLOOKUP($O16,flows!$A$2:$J$4985,T$2,FALSE)</f>
        <v>5.646721062172726</v>
      </c>
      <c r="U16" s="346">
        <f>VLOOKUP($O16,flows!$A$2:$J$4985,U$2,FALSE)</f>
        <v>2.0219741828214149E-3</v>
      </c>
      <c r="V16" s="346">
        <f>VLOOKUP($O16,flows!$A$2:$J$4985,V$2,FALSE)</f>
        <v>5.6478493776237115E-4</v>
      </c>
      <c r="W16" s="346">
        <f>VLOOKUP($O16,flows!$A$2:$J$4985,W$2,FALSE)</f>
        <v>7.9785681430715507E-5</v>
      </c>
      <c r="X16" s="346">
        <f>VLOOKUP($O16,flows!$A$2:$J$4985,X$2,FALSE)</f>
        <v>9.3260269722811467E-5</v>
      </c>
      <c r="Y16" s="346">
        <f>VLOOKUP($O16,flows!$A$2:$J$4985,Y$2,FALSE)</f>
        <v>0</v>
      </c>
      <c r="AB16" s="26"/>
      <c r="AC16" s="31"/>
      <c r="AD16" s="194"/>
      <c r="AE16" s="13" t="e">
        <f>SUM(AE4:AE15)</f>
        <v>#N/A</v>
      </c>
      <c r="AF16" s="204" t="e">
        <f t="shared" ref="AF16:AL16" si="5">SUM(AF4:AF15)</f>
        <v>#N/A</v>
      </c>
      <c r="AG16" s="204" t="e">
        <f t="shared" si="5"/>
        <v>#N/A</v>
      </c>
      <c r="AH16" s="204" t="e">
        <f t="shared" si="5"/>
        <v>#N/A</v>
      </c>
      <c r="AI16" s="204" t="e">
        <f t="shared" si="5"/>
        <v>#N/A</v>
      </c>
      <c r="AJ16" s="204" t="e">
        <f t="shared" si="5"/>
        <v>#N/A</v>
      </c>
      <c r="AK16" s="204" t="e">
        <f t="shared" si="5"/>
        <v>#N/A</v>
      </c>
      <c r="AL16" s="204" t="e">
        <f t="shared" si="5"/>
        <v>#N/A</v>
      </c>
      <c r="AN16" s="207" t="s">
        <v>4152</v>
      </c>
      <c r="AO16" s="338" t="s">
        <v>4174</v>
      </c>
      <c r="AP16" s="338" t="s">
        <v>4180</v>
      </c>
      <c r="AQ16" s="346">
        <f>VLOOKUP($AN16,flows!$A$2:$J$4985,AQ$2,FALSE)</f>
        <v>187.91195166002291</v>
      </c>
      <c r="AR16" s="346">
        <f>VLOOKUP($AN16,flows!$A$2:$J$4985,AR$2,FALSE)</f>
        <v>0</v>
      </c>
      <c r="AS16" s="346">
        <f>VLOOKUP($AN16,flows!$A$2:$J$4985,AS$2,FALSE)</f>
        <v>2.4239554121518871</v>
      </c>
      <c r="AT16" s="346">
        <f>VLOOKUP($AN16,flows!$A$2:$J$4985,AT$2,FALSE)</f>
        <v>8.965846313928591E-3</v>
      </c>
      <c r="AU16" s="346">
        <f>VLOOKUP($AN16,flows!$A$2:$J$4985,AU$2,FALSE)</f>
        <v>4.4168382265629587E-3</v>
      </c>
      <c r="AV16" s="346">
        <f>VLOOKUP($AN16,flows!$A$2:$J$4985,AV$2,FALSE)</f>
        <v>4461.546448189988</v>
      </c>
      <c r="AW16" s="346">
        <f>VLOOKUP($AN16,flows!$A$2:$J$4985,AW$2,FALSE)</f>
        <v>140.920005709262</v>
      </c>
      <c r="AX16" s="346">
        <f>VLOOKUP($AN16,flows!$A$2:$J$4985,AX$2,FALSE)</f>
        <v>0</v>
      </c>
    </row>
    <row r="17" spans="15:50" ht="14.5" thickBot="1" x14ac:dyDescent="0.4">
      <c r="O17" s="2" t="s">
        <v>2621</v>
      </c>
      <c r="P17" s="337" t="s">
        <v>2617</v>
      </c>
      <c r="Q17" s="337" t="s">
        <v>2618</v>
      </c>
      <c r="R17" s="346" t="e">
        <f>VLOOKUP($O17,flows!$A$2:$J$4985,R$2,FALSE)</f>
        <v>#N/A</v>
      </c>
      <c r="S17" s="346" t="e">
        <f>VLOOKUP($O17,flows!$A$2:$J$4985,S$2,FALSE)</f>
        <v>#N/A</v>
      </c>
      <c r="T17" s="346" t="e">
        <f>VLOOKUP($O17,flows!$A$2:$J$4985,T$2,FALSE)</f>
        <v>#N/A</v>
      </c>
      <c r="U17" s="346" t="e">
        <f>VLOOKUP($O17,flows!$A$2:$J$4985,U$2,FALSE)</f>
        <v>#N/A</v>
      </c>
      <c r="V17" s="346" t="e">
        <f>VLOOKUP($O17,flows!$A$2:$J$4985,V$2,FALSE)</f>
        <v>#N/A</v>
      </c>
      <c r="W17" s="346" t="e">
        <f>VLOOKUP($O17,flows!$A$2:$J$4985,W$2,FALSE)</f>
        <v>#N/A</v>
      </c>
      <c r="X17" s="346" t="e">
        <f>VLOOKUP($O17,flows!$A$2:$J$4985,X$2,FALSE)</f>
        <v>#N/A</v>
      </c>
      <c r="Y17" s="346" t="e">
        <f>VLOOKUP($O17,flows!$A$2:$J$4985,Y$2,FALSE)</f>
        <v>#N/A</v>
      </c>
      <c r="AB17" s="28"/>
      <c r="AC17" s="33"/>
      <c r="AD17" s="321" t="s">
        <v>4059</v>
      </c>
      <c r="AE17" s="35" t="e">
        <f>SUM(AE5,AE7:AE9,AE11:AE12,AE14:AE15)/AE16</f>
        <v>#N/A</v>
      </c>
      <c r="AF17" s="35" t="e">
        <f t="shared" ref="AF17:AL17" si="6">SUM(AF5,AF7:AF9,AF11:AF12,AF14:AF15)/AF16</f>
        <v>#N/A</v>
      </c>
      <c r="AG17" s="35" t="e">
        <f t="shared" si="6"/>
        <v>#N/A</v>
      </c>
      <c r="AH17" s="35" t="e">
        <f t="shared" si="6"/>
        <v>#N/A</v>
      </c>
      <c r="AI17" s="35" t="e">
        <f t="shared" si="6"/>
        <v>#N/A</v>
      </c>
      <c r="AJ17" s="35" t="e">
        <f t="shared" si="6"/>
        <v>#N/A</v>
      </c>
      <c r="AK17" s="35" t="e">
        <f t="shared" si="6"/>
        <v>#N/A</v>
      </c>
      <c r="AL17" s="35" t="e">
        <f t="shared" si="6"/>
        <v>#N/A</v>
      </c>
      <c r="AN17" s="207" t="s">
        <v>4153</v>
      </c>
      <c r="AO17" s="338" t="s">
        <v>4175</v>
      </c>
      <c r="AP17" s="338" t="s">
        <v>4181</v>
      </c>
      <c r="AQ17" s="346">
        <f>VLOOKUP($AN17,flows!$A$2:$J$4985,AQ$2,FALSE)</f>
        <v>9.5835582585947459E-4</v>
      </c>
      <c r="AR17" s="346">
        <f>VLOOKUP($AN17,flows!$A$2:$J$4985,AR$2,FALSE)</f>
        <v>0</v>
      </c>
      <c r="AS17" s="346">
        <f>VLOOKUP($AN17,flows!$A$2:$J$4985,AS$2,FALSE)</f>
        <v>0.78834134590257232</v>
      </c>
      <c r="AT17" s="346">
        <f>VLOOKUP($AN17,flows!$A$2:$J$4985,AT$2,FALSE)</f>
        <v>3.8780791202612801E-3</v>
      </c>
      <c r="AU17" s="346">
        <f>VLOOKUP($AN17,flows!$A$2:$J$4985,AU$2,FALSE)</f>
        <v>2.6262803157351979E-3</v>
      </c>
      <c r="AV17" s="346">
        <f>VLOOKUP($AN17,flows!$A$2:$J$4985,AV$2,FALSE)</f>
        <v>3719.2101309839959</v>
      </c>
      <c r="AW17" s="346">
        <f>VLOOKUP($AN17,flows!$A$2:$J$4985,AW$2,FALSE)</f>
        <v>0.1014221822483925</v>
      </c>
      <c r="AX17" s="346">
        <f>VLOOKUP($AN17,flows!$A$2:$J$4985,AX$2,FALSE)</f>
        <v>0</v>
      </c>
    </row>
    <row r="18" spans="15:50" x14ac:dyDescent="0.35">
      <c r="O18" s="206" t="s">
        <v>2622</v>
      </c>
      <c r="P18" s="337" t="s">
        <v>2619</v>
      </c>
      <c r="Q18" s="337" t="s">
        <v>2620</v>
      </c>
      <c r="R18" s="346" t="e">
        <f>VLOOKUP($O18,flows!$A$2:$J$4985,R$2,FALSE)</f>
        <v>#N/A</v>
      </c>
      <c r="S18" s="346" t="e">
        <f>VLOOKUP($O18,flows!$A$2:$J$4985,S$2,FALSE)</f>
        <v>#N/A</v>
      </c>
      <c r="T18" s="346" t="e">
        <f>VLOOKUP($O18,flows!$A$2:$J$4985,T$2,FALSE)</f>
        <v>#N/A</v>
      </c>
      <c r="U18" s="346" t="e">
        <f>VLOOKUP($O18,flows!$A$2:$J$4985,U$2,FALSE)</f>
        <v>#N/A</v>
      </c>
      <c r="V18" s="346" t="e">
        <f>VLOOKUP($O18,flows!$A$2:$J$4985,V$2,FALSE)</f>
        <v>#N/A</v>
      </c>
      <c r="W18" s="346" t="e">
        <f>VLOOKUP($O18,flows!$A$2:$J$4985,W$2,FALSE)</f>
        <v>#N/A</v>
      </c>
      <c r="X18" s="346" t="e">
        <f>VLOOKUP($O18,flows!$A$2:$J$4985,X$2,FALSE)</f>
        <v>#N/A</v>
      </c>
      <c r="Y18" s="346" t="e">
        <f>VLOOKUP($O18,flows!$A$2:$J$4985,Y$2,FALSE)</f>
        <v>#N/A</v>
      </c>
      <c r="AN18" s="5" t="s">
        <v>887</v>
      </c>
      <c r="AO18" s="6" t="s">
        <v>1286</v>
      </c>
      <c r="AP18" s="199" t="s">
        <v>1902</v>
      </c>
      <c r="AQ18" s="346" t="e">
        <f>VLOOKUP($AN18,flows!$A$2:$J$4985,AQ$2,FALSE)</f>
        <v>#N/A</v>
      </c>
      <c r="AR18" s="346" t="e">
        <f>VLOOKUP($AN18,flows!$A$2:$J$4985,AR$2,FALSE)</f>
        <v>#N/A</v>
      </c>
      <c r="AS18" s="346" t="e">
        <f>VLOOKUP($AN18,flows!$A$2:$J$4985,AS$2,FALSE)</f>
        <v>#N/A</v>
      </c>
      <c r="AT18" s="346" t="e">
        <f>VLOOKUP($AN18,flows!$A$2:$J$4985,AT$2,FALSE)</f>
        <v>#N/A</v>
      </c>
      <c r="AU18" s="346" t="e">
        <f>VLOOKUP($AN18,flows!$A$2:$J$4985,AU$2,FALSE)</f>
        <v>#N/A</v>
      </c>
      <c r="AV18" s="346" t="e">
        <f>VLOOKUP($AN18,flows!$A$2:$J$4985,AV$2,FALSE)</f>
        <v>#N/A</v>
      </c>
      <c r="AW18" s="346" t="e">
        <f>VLOOKUP($AN18,flows!$A$2:$J$4985,AW$2,FALSE)</f>
        <v>#N/A</v>
      </c>
      <c r="AX18" s="346" t="e">
        <f>VLOOKUP($AN18,flows!$A$2:$J$4985,AX$2,FALSE)</f>
        <v>#N/A</v>
      </c>
    </row>
    <row r="19" spans="15:50" x14ac:dyDescent="0.35">
      <c r="O19" s="342"/>
      <c r="P19" s="2" t="s">
        <v>2607</v>
      </c>
      <c r="Q19" s="191" t="s">
        <v>2608</v>
      </c>
      <c r="R19" s="346" t="e">
        <f>SUM(R17:R18)</f>
        <v>#N/A</v>
      </c>
      <c r="S19" s="346" t="e">
        <f t="shared" ref="S19:Y19" si="7">SUM(S17:S18)</f>
        <v>#N/A</v>
      </c>
      <c r="T19" s="346" t="e">
        <f t="shared" si="7"/>
        <v>#N/A</v>
      </c>
      <c r="U19" s="346" t="e">
        <f t="shared" si="7"/>
        <v>#N/A</v>
      </c>
      <c r="V19" s="346" t="e">
        <f t="shared" si="7"/>
        <v>#N/A</v>
      </c>
      <c r="W19" s="346" t="e">
        <f t="shared" si="7"/>
        <v>#N/A</v>
      </c>
      <c r="X19" s="346" t="e">
        <f t="shared" si="7"/>
        <v>#N/A</v>
      </c>
      <c r="Y19" s="346" t="e">
        <f t="shared" si="7"/>
        <v>#N/A</v>
      </c>
      <c r="AN19" s="26" t="s">
        <v>888</v>
      </c>
      <c r="AO19" s="31" t="s">
        <v>1288</v>
      </c>
      <c r="AP19" s="194" t="s">
        <v>1912</v>
      </c>
      <c r="AQ19" s="346" t="e">
        <f>VLOOKUP($AN19,flows!$A$2:$J$4985,AQ$2,FALSE)</f>
        <v>#N/A</v>
      </c>
      <c r="AR19" s="346" t="e">
        <f>VLOOKUP($AN19,flows!$A$2:$J$4985,AR$2,FALSE)</f>
        <v>#N/A</v>
      </c>
      <c r="AS19" s="346" t="e">
        <f>VLOOKUP($AN19,flows!$A$2:$J$4985,AS$2,FALSE)</f>
        <v>#N/A</v>
      </c>
      <c r="AT19" s="346" t="e">
        <f>VLOOKUP($AN19,flows!$A$2:$J$4985,AT$2,FALSE)</f>
        <v>#N/A</v>
      </c>
      <c r="AU19" s="346" t="e">
        <f>VLOOKUP($AN19,flows!$A$2:$J$4985,AU$2,FALSE)</f>
        <v>#N/A</v>
      </c>
      <c r="AV19" s="346" t="e">
        <f>VLOOKUP($AN19,flows!$A$2:$J$4985,AV$2,FALSE)</f>
        <v>#N/A</v>
      </c>
      <c r="AW19" s="346" t="e">
        <f>VLOOKUP($AN19,flows!$A$2:$J$4985,AW$2,FALSE)</f>
        <v>#N/A</v>
      </c>
      <c r="AX19" s="346" t="e">
        <f>VLOOKUP($AN19,flows!$A$2:$J$4985,AX$2,FALSE)</f>
        <v>#N/A</v>
      </c>
    </row>
    <row r="20" spans="15:50" x14ac:dyDescent="0.35">
      <c r="O20" s="2" t="s">
        <v>2624</v>
      </c>
      <c r="P20" s="342" t="s">
        <v>2611</v>
      </c>
      <c r="Q20" s="342" t="s">
        <v>2612</v>
      </c>
      <c r="R20" s="346">
        <f>VLOOKUP($O20,flows!$A$2:$J$4985,R$2,FALSE)</f>
        <v>295.85448065083813</v>
      </c>
      <c r="S20" s="346">
        <f>VLOOKUP($O20,flows!$A$2:$J$4985,S$2,FALSE)</f>
        <v>0</v>
      </c>
      <c r="T20" s="346">
        <f>VLOOKUP($O20,flows!$A$2:$J$4985,T$2,FALSE)</f>
        <v>1.1064900928395971</v>
      </c>
      <c r="U20" s="346">
        <f>VLOOKUP($O20,flows!$A$2:$J$4985,U$2,FALSE)</f>
        <v>2.6151789080306781E-3</v>
      </c>
      <c r="V20" s="346">
        <f>VLOOKUP($O20,flows!$A$2:$J$4985,V$2,FALSE)</f>
        <v>1.027805919068736E-3</v>
      </c>
      <c r="W20" s="346">
        <f>VLOOKUP($O20,flows!$A$2:$J$4985,W$2,FALSE)</f>
        <v>1.147993470945732E-4</v>
      </c>
      <c r="X20" s="346">
        <f>VLOOKUP($O20,flows!$A$2:$J$4985,X$2,FALSE)</f>
        <v>295.83632464343179</v>
      </c>
      <c r="Y20" s="346">
        <f>VLOOKUP($O20,flows!$A$2:$J$4985,Y$2,FALSE)</f>
        <v>0</v>
      </c>
      <c r="AN20" s="26" t="s">
        <v>889</v>
      </c>
      <c r="AO20" s="31" t="s">
        <v>1289</v>
      </c>
      <c r="AP20" s="194" t="s">
        <v>1903</v>
      </c>
      <c r="AQ20" s="346" t="e">
        <f>VLOOKUP($AN20,flows!$A$2:$J$4985,AQ$2,FALSE)</f>
        <v>#N/A</v>
      </c>
      <c r="AR20" s="346" t="e">
        <f>VLOOKUP($AN20,flows!$A$2:$J$4985,AR$2,FALSE)</f>
        <v>#N/A</v>
      </c>
      <c r="AS20" s="346" t="e">
        <f>VLOOKUP($AN20,flows!$A$2:$J$4985,AS$2,FALSE)</f>
        <v>#N/A</v>
      </c>
      <c r="AT20" s="346" t="e">
        <f>VLOOKUP($AN20,flows!$A$2:$J$4985,AT$2,FALSE)</f>
        <v>#N/A</v>
      </c>
      <c r="AU20" s="346" t="e">
        <f>VLOOKUP($AN20,flows!$A$2:$J$4985,AU$2,FALSE)</f>
        <v>#N/A</v>
      </c>
      <c r="AV20" s="346" t="e">
        <f>VLOOKUP($AN20,flows!$A$2:$J$4985,AV$2,FALSE)</f>
        <v>#N/A</v>
      </c>
      <c r="AW20" s="346" t="e">
        <f>VLOOKUP($AN20,flows!$A$2:$J$4985,AW$2,FALSE)</f>
        <v>#N/A</v>
      </c>
      <c r="AX20" s="346" t="e">
        <f>VLOOKUP($AN20,flows!$A$2:$J$4985,AX$2,FALSE)</f>
        <v>#N/A</v>
      </c>
    </row>
    <row r="21" spans="15:50" x14ac:dyDescent="0.35">
      <c r="O21" s="2" t="s">
        <v>2625</v>
      </c>
      <c r="P21" s="342" t="s">
        <v>2627</v>
      </c>
      <c r="Q21" s="342" t="s">
        <v>2628</v>
      </c>
      <c r="R21" s="346">
        <f>VLOOKUP($O21,flows!$A$2:$J$4985,R$2,FALSE)</f>
        <v>1616.797633318412</v>
      </c>
      <c r="S21" s="346">
        <f>VLOOKUP($O21,flows!$A$2:$J$4985,S$2,FALSE)</f>
        <v>869.60519979423339</v>
      </c>
      <c r="T21" s="346">
        <f>VLOOKUP($O21,flows!$A$2:$J$4985,T$2,FALSE)</f>
        <v>919.79999144847238</v>
      </c>
      <c r="U21" s="346">
        <f>VLOOKUP($O21,flows!$A$2:$J$4985,U$2,FALSE)</f>
        <v>1251.4520866807859</v>
      </c>
      <c r="V21" s="346">
        <f>VLOOKUP($O21,flows!$A$2:$J$4985,V$2,FALSE)</f>
        <v>1433.8791420872601</v>
      </c>
      <c r="W21" s="346">
        <f>VLOOKUP($O21,flows!$A$2:$J$4985,W$2,FALSE)</f>
        <v>1525.3498772737721</v>
      </c>
      <c r="X21" s="346">
        <f>VLOOKUP($O21,flows!$A$2:$J$4985,X$2,FALSE)</f>
        <v>1616.804917007275</v>
      </c>
      <c r="Y21" s="346">
        <f>VLOOKUP($O21,flows!$A$2:$J$4985,Y$2,FALSE)</f>
        <v>0</v>
      </c>
      <c r="AN21" s="342"/>
      <c r="AO21" s="342"/>
      <c r="AP21" s="337"/>
      <c r="AQ21" s="204" t="e">
        <f t="shared" ref="AQ21:AX21" si="8">SUM(AQ4:AQ20)</f>
        <v>#N/A</v>
      </c>
      <c r="AR21" s="204" t="e">
        <f t="shared" si="8"/>
        <v>#N/A</v>
      </c>
      <c r="AS21" s="204" t="e">
        <f t="shared" si="8"/>
        <v>#N/A</v>
      </c>
      <c r="AT21" s="204" t="e">
        <f t="shared" si="8"/>
        <v>#N/A</v>
      </c>
      <c r="AU21" s="204" t="e">
        <f t="shared" si="8"/>
        <v>#N/A</v>
      </c>
      <c r="AV21" s="204" t="e">
        <f t="shared" si="8"/>
        <v>#N/A</v>
      </c>
      <c r="AW21" s="204" t="e">
        <f t="shared" si="8"/>
        <v>#N/A</v>
      </c>
      <c r="AX21" s="204" t="e">
        <f t="shared" si="8"/>
        <v>#N/A</v>
      </c>
    </row>
    <row r="22" spans="15:50" ht="14.5" thickBot="1" x14ac:dyDescent="0.4">
      <c r="O22" s="2" t="s">
        <v>2626</v>
      </c>
      <c r="P22" s="342" t="s">
        <v>2629</v>
      </c>
      <c r="Q22" s="342" t="s">
        <v>2630</v>
      </c>
      <c r="R22" s="346">
        <f>VLOOKUP($O22,flows!$A$2:$J$4985,R$2,FALSE)</f>
        <v>2.2145602276048969E-2</v>
      </c>
      <c r="S22" s="346">
        <f>VLOOKUP($O22,flows!$A$2:$J$4985,S$2,FALSE)</f>
        <v>869.60519938194636</v>
      </c>
      <c r="T22" s="346">
        <f>VLOOKUP($O22,flows!$A$2:$J$4985,T$2,FALSE)</f>
        <v>919.27437456167911</v>
      </c>
      <c r="U22" s="346">
        <f>VLOOKUP($O22,flows!$A$2:$J$4985,U$2,FALSE)</f>
        <v>272.87374481984091</v>
      </c>
      <c r="V22" s="346">
        <f>VLOOKUP($O22,flows!$A$2:$J$4985,V$2,FALSE)</f>
        <v>2.576547447002329E-3</v>
      </c>
      <c r="W22" s="346">
        <f>VLOOKUP($O22,flows!$A$2:$J$4985,W$2,FALSE)</f>
        <v>3.6832087817694549E-4</v>
      </c>
      <c r="X22" s="346">
        <f>VLOOKUP($O22,flows!$A$2:$J$4985,X$2,FALSE)</f>
        <v>2.4912437073987427E-4</v>
      </c>
      <c r="Y22" s="346">
        <f>VLOOKUP($O22,flows!$A$2:$J$4985,Y$2,FALSE)</f>
        <v>0</v>
      </c>
      <c r="AP22" s="321" t="s">
        <v>4059</v>
      </c>
      <c r="AQ22" s="35" t="e">
        <f t="shared" ref="AQ22:AX22" si="9">SUM(AQ5,AQ7:AQ8,AQ11:AQ18,AQ20)/AQ21</f>
        <v>#N/A</v>
      </c>
      <c r="AR22" s="35" t="e">
        <f t="shared" si="9"/>
        <v>#N/A</v>
      </c>
      <c r="AS22" s="35" t="e">
        <f t="shared" si="9"/>
        <v>#N/A</v>
      </c>
      <c r="AT22" s="35" t="e">
        <f t="shared" si="9"/>
        <v>#N/A</v>
      </c>
      <c r="AU22" s="35" t="e">
        <f t="shared" si="9"/>
        <v>#N/A</v>
      </c>
      <c r="AV22" s="35" t="e">
        <f t="shared" si="9"/>
        <v>#N/A</v>
      </c>
      <c r="AW22" s="35" t="e">
        <f t="shared" si="9"/>
        <v>#N/A</v>
      </c>
      <c r="AX22" s="35" t="e">
        <f t="shared" si="9"/>
        <v>#N/A</v>
      </c>
    </row>
    <row r="23" spans="15:50" ht="14.5" x14ac:dyDescent="0.35">
      <c r="P23" s="2" t="s">
        <v>2613</v>
      </c>
      <c r="Q23" s="191" t="s">
        <v>2614</v>
      </c>
      <c r="R23" s="346">
        <f>SUM(R21:R22)</f>
        <v>1616.8197789206879</v>
      </c>
      <c r="S23" s="346">
        <f t="shared" ref="S23:Y23" si="10">SUM(S21:S22)</f>
        <v>1739.2103991761796</v>
      </c>
      <c r="T23" s="346">
        <f t="shared" si="10"/>
        <v>1839.0743660101516</v>
      </c>
      <c r="U23" s="346">
        <f t="shared" si="10"/>
        <v>1524.3258315006269</v>
      </c>
      <c r="V23" s="346">
        <f t="shared" si="10"/>
        <v>1433.8817186347071</v>
      </c>
      <c r="W23" s="346">
        <f t="shared" si="10"/>
        <v>1525.3502455946502</v>
      </c>
      <c r="X23" s="346">
        <f t="shared" si="10"/>
        <v>1616.8051661316458</v>
      </c>
      <c r="Y23" s="346">
        <f t="shared" si="10"/>
        <v>0</v>
      </c>
      <c r="AM23" s="129"/>
    </row>
    <row r="24" spans="15:50" ht="14.5" x14ac:dyDescent="0.35">
      <c r="R24" s="2" t="e">
        <f t="shared" ref="R24:Y24" si="11">SUM(R4:R16,R19:R20,R23)</f>
        <v>#N/A</v>
      </c>
      <c r="S24" s="342" t="e">
        <f t="shared" si="11"/>
        <v>#N/A</v>
      </c>
      <c r="T24" s="342" t="e">
        <f t="shared" si="11"/>
        <v>#N/A</v>
      </c>
      <c r="U24" s="342" t="e">
        <f t="shared" si="11"/>
        <v>#N/A</v>
      </c>
      <c r="V24" s="342" t="e">
        <f t="shared" si="11"/>
        <v>#N/A</v>
      </c>
      <c r="W24" s="342" t="e">
        <f t="shared" si="11"/>
        <v>#N/A</v>
      </c>
      <c r="X24" s="342" t="e">
        <f t="shared" si="11"/>
        <v>#N/A</v>
      </c>
      <c r="Y24" s="342" t="e">
        <f t="shared" si="11"/>
        <v>#N/A</v>
      </c>
      <c r="AM24" s="129"/>
    </row>
    <row r="25" spans="15:50" ht="14.5" x14ac:dyDescent="0.35">
      <c r="AM25" s="129"/>
    </row>
    <row r="26" spans="15:50" ht="14.5" x14ac:dyDescent="0.35">
      <c r="AM26" s="129"/>
    </row>
    <row r="27" spans="15:50" ht="14.5" x14ac:dyDescent="0.35">
      <c r="Q27" s="321" t="s">
        <v>4059</v>
      </c>
      <c r="R27" s="2" t="e">
        <f t="shared" ref="R27:Y27" si="12">SUM(R6:R7,R9:R13)/R24</f>
        <v>#N/A</v>
      </c>
      <c r="S27" s="342" t="e">
        <f t="shared" si="12"/>
        <v>#N/A</v>
      </c>
      <c r="T27" s="342" t="e">
        <f t="shared" si="12"/>
        <v>#N/A</v>
      </c>
      <c r="U27" s="342" t="e">
        <f t="shared" si="12"/>
        <v>#N/A</v>
      </c>
      <c r="V27" s="342" t="e">
        <f t="shared" si="12"/>
        <v>#N/A</v>
      </c>
      <c r="W27" s="342" t="e">
        <f t="shared" si="12"/>
        <v>#N/A</v>
      </c>
      <c r="X27" s="342" t="e">
        <f t="shared" si="12"/>
        <v>#N/A</v>
      </c>
      <c r="Y27" s="342" t="e">
        <f t="shared" si="12"/>
        <v>#N/A</v>
      </c>
      <c r="AM27" s="129"/>
    </row>
    <row r="28" spans="15:50" ht="14.5" x14ac:dyDescent="0.35">
      <c r="AM28" s="129"/>
    </row>
    <row r="29" spans="15:50" ht="14.5" x14ac:dyDescent="0.35">
      <c r="AM29" s="129"/>
    </row>
    <row r="30" spans="15:50" ht="14.5" x14ac:dyDescent="0.35">
      <c r="AM30" s="129"/>
    </row>
    <row r="31" spans="15:50" ht="14.5" x14ac:dyDescent="0.35">
      <c r="AM31" s="129"/>
    </row>
    <row r="32" spans="15:50" ht="14.5" x14ac:dyDescent="0.35">
      <c r="AM32" s="129"/>
    </row>
    <row r="33" spans="39:39" ht="14.5" x14ac:dyDescent="0.35">
      <c r="AM33" s="129"/>
    </row>
    <row r="34" spans="39:39" ht="14.5" x14ac:dyDescent="0.35">
      <c r="AM34" s="129"/>
    </row>
    <row r="35" spans="39:39" ht="14.5" x14ac:dyDescent="0.35">
      <c r="AM35" s="129"/>
    </row>
  </sheetData>
  <dataConsolidate/>
  <pageMargins left="0.7" right="0.7" top="0.78740157499999996" bottom="0.78740157499999996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6"/>
  </sheetPr>
  <dimension ref="B1:AN79"/>
  <sheetViews>
    <sheetView zoomScale="70" zoomScaleNormal="70" workbookViewId="0">
      <selection activeCell="E51" sqref="E51"/>
    </sheetView>
  </sheetViews>
  <sheetFormatPr baseColWidth="10" defaultColWidth="11.453125" defaultRowHeight="14.5" x14ac:dyDescent="0.35"/>
  <cols>
    <col min="1" max="1" width="11.453125" style="365"/>
    <col min="2" max="2" width="65.453125" style="365" bestFit="1" customWidth="1"/>
    <col min="3" max="3" width="19.81640625" style="365" customWidth="1"/>
    <col min="4" max="4" width="27.1796875" style="365" bestFit="1" customWidth="1"/>
    <col min="5" max="5" width="15" style="365" bestFit="1" customWidth="1"/>
    <col min="6" max="6" width="11.54296875" style="365" bestFit="1" customWidth="1"/>
    <col min="7" max="7" width="14.81640625" style="365" bestFit="1" customWidth="1"/>
    <col min="8" max="9" width="11.54296875" style="365" bestFit="1" customWidth="1"/>
    <col min="10" max="10" width="13.54296875" style="365" bestFit="1" customWidth="1"/>
    <col min="11" max="11" width="11.54296875" style="365" bestFit="1" customWidth="1"/>
    <col min="12" max="12" width="13.54296875" style="365" bestFit="1" customWidth="1"/>
    <col min="13" max="13" width="17.453125" style="365" bestFit="1" customWidth="1"/>
    <col min="14" max="14" width="11.453125" style="365"/>
    <col min="15" max="15" width="53.81640625" style="365" bestFit="1" customWidth="1"/>
    <col min="16" max="16" width="22.81640625" style="365" bestFit="1" customWidth="1"/>
    <col min="17" max="17" width="21" style="365" bestFit="1" customWidth="1"/>
    <col min="18" max="18" width="12" style="365" bestFit="1" customWidth="1"/>
    <col min="19" max="29" width="11.453125" style="365"/>
    <col min="30" max="30" width="49.81640625" style="365" bestFit="1" customWidth="1"/>
    <col min="31" max="31" width="28.54296875" style="365" bestFit="1" customWidth="1"/>
    <col min="32" max="32" width="34.453125" style="365" bestFit="1" customWidth="1"/>
    <col min="33" max="16384" width="11.453125" style="365"/>
  </cols>
  <sheetData>
    <row r="1" spans="2:40" ht="15" thickBot="1" x14ac:dyDescent="0.4"/>
    <row r="2" spans="2:40" x14ac:dyDescent="0.35">
      <c r="B2" s="91" t="s">
        <v>2254</v>
      </c>
      <c r="C2" s="88"/>
      <c r="D2" s="88"/>
      <c r="E2" s="89">
        <v>2</v>
      </c>
      <c r="F2" s="89">
        <v>3</v>
      </c>
      <c r="G2" s="89">
        <v>4</v>
      </c>
      <c r="H2" s="89">
        <v>5</v>
      </c>
      <c r="I2" s="89">
        <v>6</v>
      </c>
      <c r="J2" s="89">
        <v>7</v>
      </c>
      <c r="K2" s="89">
        <v>8</v>
      </c>
      <c r="L2" s="89">
        <v>9</v>
      </c>
      <c r="O2" s="91" t="s">
        <v>1743</v>
      </c>
      <c r="P2" s="88"/>
      <c r="Q2" s="88"/>
      <c r="R2" s="89">
        <v>2</v>
      </c>
      <c r="S2" s="89">
        <v>3</v>
      </c>
      <c r="T2" s="89">
        <v>4</v>
      </c>
      <c r="U2" s="89">
        <v>5</v>
      </c>
      <c r="V2" s="89">
        <v>6</v>
      </c>
      <c r="W2" s="89">
        <v>7</v>
      </c>
      <c r="X2" s="89">
        <v>8</v>
      </c>
      <c r="Y2" s="89">
        <v>9</v>
      </c>
      <c r="AD2" s="91" t="s">
        <v>2607</v>
      </c>
      <c r="AE2" s="88"/>
      <c r="AF2" s="88"/>
      <c r="AG2" s="89">
        <v>2</v>
      </c>
      <c r="AH2" s="89">
        <v>3</v>
      </c>
      <c r="AI2" s="89">
        <v>4</v>
      </c>
      <c r="AJ2" s="89">
        <v>5</v>
      </c>
      <c r="AK2" s="89">
        <v>6</v>
      </c>
      <c r="AL2" s="89">
        <v>7</v>
      </c>
      <c r="AM2" s="89">
        <v>8</v>
      </c>
      <c r="AN2" s="89">
        <v>9</v>
      </c>
    </row>
    <row r="3" spans="2:40" x14ac:dyDescent="0.35">
      <c r="B3" s="40"/>
      <c r="E3" s="365" t="s">
        <v>23</v>
      </c>
      <c r="F3" s="365" t="s">
        <v>1798</v>
      </c>
      <c r="G3" s="365" t="s">
        <v>1799</v>
      </c>
      <c r="H3" s="365" t="s">
        <v>1800</v>
      </c>
      <c r="I3" s="365" t="s">
        <v>1801</v>
      </c>
      <c r="J3" s="365" t="s">
        <v>1802</v>
      </c>
      <c r="K3" s="365" t="s">
        <v>1803</v>
      </c>
      <c r="L3" s="93" t="s">
        <v>1804</v>
      </c>
      <c r="O3" s="40"/>
      <c r="R3" s="365" t="s">
        <v>23</v>
      </c>
      <c r="S3" s="365" t="s">
        <v>1798</v>
      </c>
      <c r="T3" s="365" t="s">
        <v>1799</v>
      </c>
      <c r="U3" s="365" t="s">
        <v>1800</v>
      </c>
      <c r="V3" s="365" t="s">
        <v>1801</v>
      </c>
      <c r="W3" s="365" t="s">
        <v>1802</v>
      </c>
      <c r="X3" s="365" t="s">
        <v>1803</v>
      </c>
      <c r="Y3" s="93" t="s">
        <v>1804</v>
      </c>
      <c r="AD3" s="40"/>
      <c r="AG3" s="365" t="s">
        <v>23</v>
      </c>
      <c r="AH3" s="365" t="s">
        <v>1798</v>
      </c>
      <c r="AI3" s="365" t="s">
        <v>1799</v>
      </c>
      <c r="AJ3" s="365" t="s">
        <v>1800</v>
      </c>
      <c r="AK3" s="365" t="s">
        <v>1801</v>
      </c>
      <c r="AL3" s="365" t="s">
        <v>1802</v>
      </c>
      <c r="AM3" s="365" t="s">
        <v>1803</v>
      </c>
      <c r="AN3" s="93" t="s">
        <v>1804</v>
      </c>
    </row>
    <row r="4" spans="2:40" x14ac:dyDescent="0.35">
      <c r="B4" s="269" t="s">
        <v>2468</v>
      </c>
      <c r="C4" s="317" t="s">
        <v>2262</v>
      </c>
      <c r="D4" s="371" t="s">
        <v>2261</v>
      </c>
      <c r="E4" s="372">
        <f>IFERROR(VLOOKUP($B4,flows!$A$2:$J$4985,E$2,FALSE),0)</f>
        <v>0</v>
      </c>
      <c r="F4" s="372">
        <f>IFERROR(VLOOKUP($B4,flows!$A$2:$J$4985,F$2,FALSE),0)</f>
        <v>0</v>
      </c>
      <c r="G4" s="372">
        <f>IFERROR(VLOOKUP($B4,flows!$A$2:$J$4985,G$2,FALSE),0)</f>
        <v>0</v>
      </c>
      <c r="H4" s="372">
        <f>IFERROR(VLOOKUP($B4,flows!$A$2:$J$4985,H$2,FALSE),0)</f>
        <v>0</v>
      </c>
      <c r="I4" s="372">
        <f>IFERROR(VLOOKUP($B4,flows!$A$2:$J$4985,I$2,FALSE),0)</f>
        <v>0</v>
      </c>
      <c r="J4" s="372">
        <f>IFERROR(VLOOKUP($B4,flows!$A$2:$J$4985,J$2,FALSE),0)</f>
        <v>0</v>
      </c>
      <c r="K4" s="372">
        <f>IFERROR(VLOOKUP($B4,flows!$A$2:$J$4985,K$2,FALSE),0)</f>
        <v>0</v>
      </c>
      <c r="L4" s="372">
        <f>IFERROR(VLOOKUP($B4,flows!$A$2:$J$4985,L$2,FALSE),0)</f>
        <v>0</v>
      </c>
      <c r="O4" s="269" t="s">
        <v>4165</v>
      </c>
      <c r="P4" s="371" t="s">
        <v>2256</v>
      </c>
      <c r="Q4" s="371" t="s">
        <v>2258</v>
      </c>
      <c r="R4" s="372">
        <f>IFERROR(VLOOKUP($O4,flows!$A$2:$J$4985,R$2,FALSE),0)</f>
        <v>1100.8532314965621</v>
      </c>
      <c r="S4" s="372">
        <f>IFERROR(VLOOKUP($O4,flows!$A$2:$J$4985,S$2,FALSE),0)</f>
        <v>34200.000033679498</v>
      </c>
      <c r="T4" s="372">
        <f>IFERROR(VLOOKUP($O4,flows!$A$2:$J$4985,T$2,FALSE),0)</f>
        <v>34624.385294380707</v>
      </c>
      <c r="U4" s="372">
        <f>IFERROR(VLOOKUP($O4,flows!$A$2:$J$4985,U$2,FALSE),0)</f>
        <v>35063.58224994177</v>
      </c>
      <c r="V4" s="372">
        <f>IFERROR(VLOOKUP($O4,flows!$A$2:$J$4985,V$2,FALSE),0)</f>
        <v>35506.292121483493</v>
      </c>
      <c r="W4" s="372">
        <f>IFERROR(VLOOKUP($O4,flows!$A$2:$J$4985,W$2,FALSE),0)</f>
        <v>17524.998208283982</v>
      </c>
      <c r="X4" s="372">
        <f>IFERROR(VLOOKUP($O4,flows!$A$2:$J$4985,X$2,FALSE),0)</f>
        <v>1028.394293453314</v>
      </c>
      <c r="Y4" s="372">
        <f>IFERROR(VLOOKUP($O4,flows!$A$2:$J$4985,Y$2,FALSE),0)</f>
        <v>0</v>
      </c>
      <c r="AD4" s="373" t="s">
        <v>2470</v>
      </c>
      <c r="AE4" s="371" t="s">
        <v>2617</v>
      </c>
      <c r="AF4" s="371" t="s">
        <v>2618</v>
      </c>
      <c r="AG4" s="372">
        <f>IFERROR(VLOOKUP($AD4,flows!$A$2:$J$4985,AG$2,FALSE),0)</f>
        <v>0</v>
      </c>
      <c r="AH4" s="372">
        <f>IFERROR(VLOOKUP($AD4,flows!$A$2:$J$4985,AH$2,FALSE),0)</f>
        <v>0</v>
      </c>
      <c r="AI4" s="372">
        <f>IFERROR(VLOOKUP($AD4,flows!$A$2:$J$4985,AI$2,FALSE),0)</f>
        <v>0</v>
      </c>
      <c r="AJ4" s="372">
        <f>IFERROR(VLOOKUP($AD4,flows!$A$2:$J$4985,AJ$2,FALSE),0)</f>
        <v>0</v>
      </c>
      <c r="AK4" s="372">
        <f>IFERROR(VLOOKUP($AD4,flows!$A$2:$J$4985,AK$2,FALSE),0)</f>
        <v>0</v>
      </c>
      <c r="AL4" s="372">
        <f>IFERROR(VLOOKUP($AD4,flows!$A$2:$J$4985,AL$2,FALSE),0)</f>
        <v>0</v>
      </c>
      <c r="AM4" s="372">
        <f>IFERROR(VLOOKUP($AD4,flows!$A$2:$J$4985,AM$2,FALSE),0)</f>
        <v>0</v>
      </c>
      <c r="AN4" s="372">
        <f>IFERROR(VLOOKUP($AD4,flows!$A$2:$J$4985,AN$2,FALSE),0)</f>
        <v>0</v>
      </c>
    </row>
    <row r="5" spans="2:40" x14ac:dyDescent="0.35">
      <c r="B5" s="269"/>
      <c r="C5" s="317" t="s">
        <v>2262</v>
      </c>
      <c r="D5" s="371"/>
      <c r="E5" s="372">
        <f>E4*(E7/(E6+E7))</f>
        <v>0</v>
      </c>
      <c r="F5" s="372">
        <f t="shared" ref="F5:L5" si="0">F4*(F7/(F6+F7))</f>
        <v>0</v>
      </c>
      <c r="G5" s="372">
        <f t="shared" si="0"/>
        <v>0</v>
      </c>
      <c r="H5" s="372">
        <f t="shared" si="0"/>
        <v>0</v>
      </c>
      <c r="I5" s="372">
        <f t="shared" si="0"/>
        <v>0</v>
      </c>
      <c r="J5" s="372">
        <f t="shared" si="0"/>
        <v>0</v>
      </c>
      <c r="K5" s="372">
        <f t="shared" si="0"/>
        <v>0</v>
      </c>
      <c r="L5" s="372" t="e">
        <f t="shared" si="0"/>
        <v>#DIV/0!</v>
      </c>
      <c r="O5" s="269" t="s">
        <v>4142</v>
      </c>
      <c r="P5" s="371" t="s">
        <v>2257</v>
      </c>
      <c r="Q5" s="371" t="s">
        <v>2259</v>
      </c>
      <c r="R5" s="372">
        <f>IFERROR(VLOOKUP($O5,flows!$A$2:$J$4985,R$2,FALSE),0)</f>
        <v>0</v>
      </c>
      <c r="S5" s="372">
        <f>IFERROR(VLOOKUP($O5,flows!$A$2:$J$4985,S$2,FALSE),0)</f>
        <v>0</v>
      </c>
      <c r="T5" s="372">
        <f>IFERROR(VLOOKUP($O5,flows!$A$2:$J$4985,T$2,FALSE),0)</f>
        <v>0</v>
      </c>
      <c r="U5" s="372">
        <f>IFERROR(VLOOKUP($O5,flows!$A$2:$J$4985,U$2,FALSE),0)</f>
        <v>0</v>
      </c>
      <c r="V5" s="372">
        <f>IFERROR(VLOOKUP($O5,flows!$A$2:$J$4985,V$2,FALSE),0)</f>
        <v>0</v>
      </c>
      <c r="W5" s="372">
        <f>IFERROR(VLOOKUP($O5,flows!$A$2:$J$4985,W$2,FALSE),0)</f>
        <v>0</v>
      </c>
      <c r="X5" s="372">
        <f>IFERROR(VLOOKUP($O5,flows!$A$2:$J$4985,X$2,FALSE),0)</f>
        <v>0</v>
      </c>
      <c r="Y5" s="372">
        <f>IFERROR(VLOOKUP($O5,flows!$A$2:$J$4985,Y$2,FALSE),0)</f>
        <v>0</v>
      </c>
      <c r="AD5" s="373" t="s">
        <v>2511</v>
      </c>
      <c r="AE5" s="371" t="s">
        <v>2633</v>
      </c>
      <c r="AF5" s="371" t="s">
        <v>2620</v>
      </c>
      <c r="AG5" s="372">
        <f>IFERROR(VLOOKUP($AD5,flows!$A$2:$J$4985,AG$2,FALSE),0)</f>
        <v>0</v>
      </c>
      <c r="AH5" s="372">
        <f>IFERROR(VLOOKUP($AD5,flows!$A$2:$J$4985,AH$2,FALSE),0)</f>
        <v>0</v>
      </c>
      <c r="AI5" s="372">
        <f>IFERROR(VLOOKUP($AD5,flows!$A$2:$J$4985,AI$2,FALSE),0)</f>
        <v>0</v>
      </c>
      <c r="AJ5" s="372">
        <f>IFERROR(VLOOKUP($AD5,flows!$A$2:$J$4985,AJ$2,FALSE),0)</f>
        <v>0</v>
      </c>
      <c r="AK5" s="372">
        <f>IFERROR(VLOOKUP($AD5,flows!$A$2:$J$4985,AK$2,FALSE),0)</f>
        <v>0</v>
      </c>
      <c r="AL5" s="372">
        <f>IFERROR(VLOOKUP($AD5,flows!$A$2:$J$4985,AL$2,FALSE),0)</f>
        <v>0</v>
      </c>
      <c r="AM5" s="372">
        <f>IFERROR(VLOOKUP($AD5,flows!$A$2:$J$4985,AM$2,FALSE),0)</f>
        <v>0</v>
      </c>
      <c r="AN5" s="372">
        <f>IFERROR(VLOOKUP($AD5,flows!$A$2:$J$4985,AN$2,FALSE),0)</f>
        <v>0</v>
      </c>
    </row>
    <row r="6" spans="2:40" x14ac:dyDescent="0.35">
      <c r="B6" s="269"/>
      <c r="C6" s="317" t="s">
        <v>4346</v>
      </c>
      <c r="D6" s="371"/>
      <c r="E6" s="372">
        <f>E4*(E8/(E7+E8))</f>
        <v>0</v>
      </c>
      <c r="F6" s="372">
        <f t="shared" ref="F6:L6" si="1">F4*(F8/(F7+F8))</f>
        <v>0</v>
      </c>
      <c r="G6" s="372">
        <f t="shared" si="1"/>
        <v>0</v>
      </c>
      <c r="H6" s="372">
        <f t="shared" si="1"/>
        <v>0</v>
      </c>
      <c r="I6" s="372">
        <f t="shared" si="1"/>
        <v>0</v>
      </c>
      <c r="J6" s="372">
        <f t="shared" si="1"/>
        <v>0</v>
      </c>
      <c r="K6" s="372">
        <f t="shared" si="1"/>
        <v>0</v>
      </c>
      <c r="L6" s="372" t="e">
        <f t="shared" si="1"/>
        <v>#DIV/0!</v>
      </c>
      <c r="O6" s="377"/>
      <c r="R6" s="372"/>
      <c r="S6" s="372"/>
      <c r="T6" s="372"/>
      <c r="U6" s="372"/>
      <c r="V6" s="372"/>
      <c r="W6" s="372"/>
      <c r="X6" s="372"/>
      <c r="Y6" s="372"/>
      <c r="AD6" s="373" t="s">
        <v>2467</v>
      </c>
      <c r="AE6" s="371" t="s">
        <v>2634</v>
      </c>
      <c r="AF6" s="371" t="s">
        <v>2635</v>
      </c>
      <c r="AG6" s="372">
        <f>IFERROR(VLOOKUP($AD6,flows!$A$2:$J$4985,AG$2,FALSE),0)</f>
        <v>0</v>
      </c>
      <c r="AH6" s="372">
        <f>IFERROR(VLOOKUP($AD6,flows!$A$2:$J$4985,AH$2,FALSE),0)</f>
        <v>0</v>
      </c>
      <c r="AI6" s="372">
        <f>IFERROR(VLOOKUP($AD6,flows!$A$2:$J$4985,AI$2,FALSE),0)</f>
        <v>0</v>
      </c>
      <c r="AJ6" s="372">
        <f>IFERROR(VLOOKUP($AD6,flows!$A$2:$J$4985,AJ$2,FALSE),0)</f>
        <v>0</v>
      </c>
      <c r="AK6" s="372">
        <f>IFERROR(VLOOKUP($AD6,flows!$A$2:$J$4985,AK$2,FALSE),0)</f>
        <v>0</v>
      </c>
      <c r="AL6" s="372">
        <f>IFERROR(VLOOKUP($AD6,flows!$A$2:$J$4985,AL$2,FALSE),0)</f>
        <v>0</v>
      </c>
      <c r="AM6" s="372">
        <f>IFERROR(VLOOKUP($AD6,flows!$A$2:$J$4985,AM$2,FALSE),0)</f>
        <v>0</v>
      </c>
      <c r="AN6" s="372">
        <f>IFERROR(VLOOKUP($AD6,flows!$A$2:$J$4985,AN$2,FALSE),0)</f>
        <v>0</v>
      </c>
    </row>
    <row r="7" spans="2:40" x14ac:dyDescent="0.35">
      <c r="B7" s="269" t="s">
        <v>4345</v>
      </c>
      <c r="C7" s="371" t="s">
        <v>2631</v>
      </c>
      <c r="D7" s="371" t="s">
        <v>2632</v>
      </c>
      <c r="E7" s="372">
        <f>IFERROR(VLOOKUP($B7,flows!$A$2:$J$4985,E$2,FALSE),0)</f>
        <v>2.1106119193255038E-3</v>
      </c>
      <c r="F7" s="372">
        <f>IFERROR(VLOOKUP($B7,flows!$A$2:$J$4985,F$2,FALSE),0)</f>
        <v>26487.77900098544</v>
      </c>
      <c r="G7" s="372">
        <f>IFERROR(VLOOKUP($B7,flows!$A$2:$J$4985,G$2,FALSE),0)</f>
        <v>25331.817330776379</v>
      </c>
      <c r="H7" s="372">
        <f>IFERROR(VLOOKUP($B7,flows!$A$2:$J$4985,H$2,FALSE),0)</f>
        <v>22097.143702706471</v>
      </c>
      <c r="I7" s="372">
        <f>IFERROR(VLOOKUP($B7,flows!$A$2:$J$4985,I$2,FALSE),0)</f>
        <v>15977.92652348955</v>
      </c>
      <c r="J7" s="372">
        <f>IFERROR(VLOOKUP($B7,flows!$A$2:$J$4985,J$2,FALSE),0)</f>
        <v>1.873478328780483E-4</v>
      </c>
      <c r="K7" s="372">
        <f>IFERROR(VLOOKUP($B7,flows!$A$2:$J$4985,K$2,FALSE),0)</f>
        <v>5.006237132538288E-5</v>
      </c>
      <c r="L7" s="372">
        <f>IFERROR(VLOOKUP($B7,flows!$A$2:$J$4985,L$2,FALSE),0)</f>
        <v>0</v>
      </c>
      <c r="O7" s="374" t="s">
        <v>2255</v>
      </c>
      <c r="P7" s="371"/>
      <c r="Q7" s="371"/>
      <c r="R7" s="148">
        <f>R5/(R4+R5)</f>
        <v>0</v>
      </c>
      <c r="S7" s="148">
        <f t="shared" ref="S7:Y7" si="2">S5/(S4+S5)</f>
        <v>0</v>
      </c>
      <c r="T7" s="148">
        <f t="shared" si="2"/>
        <v>0</v>
      </c>
      <c r="U7" s="148">
        <f t="shared" si="2"/>
        <v>0</v>
      </c>
      <c r="V7" s="148">
        <f t="shared" si="2"/>
        <v>0</v>
      </c>
      <c r="W7" s="148">
        <f t="shared" si="2"/>
        <v>0</v>
      </c>
      <c r="X7" s="148">
        <f t="shared" si="2"/>
        <v>0</v>
      </c>
      <c r="Y7" s="148" t="e">
        <f t="shared" si="2"/>
        <v>#DIV/0!</v>
      </c>
      <c r="AD7" s="373" t="s">
        <v>2469</v>
      </c>
      <c r="AE7" s="371" t="s">
        <v>2636</v>
      </c>
      <c r="AF7" s="371" t="s">
        <v>2637</v>
      </c>
      <c r="AG7" s="372">
        <f>IFERROR(VLOOKUP($AD7,flows!$A$2:$J$4985,AG$2,FALSE),0)</f>
        <v>0</v>
      </c>
      <c r="AH7" s="372">
        <f>IFERROR(VLOOKUP($AD7,flows!$A$2:$J$4985,AH$2,FALSE),0)</f>
        <v>0</v>
      </c>
      <c r="AI7" s="372">
        <f>IFERROR(VLOOKUP($AD7,flows!$A$2:$J$4985,AI$2,FALSE),0)</f>
        <v>0</v>
      </c>
      <c r="AJ7" s="372">
        <f>IFERROR(VLOOKUP($AD7,flows!$A$2:$J$4985,AJ$2,FALSE),0)</f>
        <v>0</v>
      </c>
      <c r="AK7" s="372">
        <f>IFERROR(VLOOKUP($AD7,flows!$A$2:$J$4985,AK$2,FALSE),0)</f>
        <v>0</v>
      </c>
      <c r="AL7" s="372">
        <f>IFERROR(VLOOKUP($AD7,flows!$A$2:$J$4985,AL$2,FALSE),0)</f>
        <v>0</v>
      </c>
      <c r="AM7" s="372">
        <f>IFERROR(VLOOKUP($AD7,flows!$A$2:$J$4985,AM$2,FALSE),0)</f>
        <v>0</v>
      </c>
      <c r="AN7" s="372">
        <f>IFERROR(VLOOKUP($AD7,flows!$A$2:$J$4985,AN$2,FALSE),0)</f>
        <v>0</v>
      </c>
    </row>
    <row r="8" spans="2:40" x14ac:dyDescent="0.35">
      <c r="B8" s="269" t="s">
        <v>4164</v>
      </c>
      <c r="C8" s="371"/>
      <c r="D8" s="371"/>
      <c r="E8" s="372">
        <f>IFERROR(VLOOKUP($B8,flows!$A$2:$J$4985,E$2,FALSE),0)</f>
        <v>2.5326528167533679E-3</v>
      </c>
      <c r="F8" s="372">
        <f>IFERROR(VLOOKUP($B8,flows!$A$2:$J$4985,F$2,FALSE),0)</f>
        <v>0</v>
      </c>
      <c r="G8" s="372">
        <f>IFERROR(VLOOKUP($B8,flows!$A$2:$J$4985,G$2,FALSE),0)</f>
        <v>2.0833545081991871</v>
      </c>
      <c r="H8" s="372">
        <f>IFERROR(VLOOKUP($B8,flows!$A$2:$J$4985,H$2,FALSE),0)</f>
        <v>1.024862346792093E-2</v>
      </c>
      <c r="I8" s="372">
        <f>IFERROR(VLOOKUP($B8,flows!$A$2:$J$4985,I$2,FALSE),0)</f>
        <v>6.9404870923234618E-3</v>
      </c>
      <c r="J8" s="372">
        <f>IFERROR(VLOOKUP($B8,flows!$A$2:$J$4985,J$2,FALSE),0)</f>
        <v>9828.779415919651</v>
      </c>
      <c r="K8" s="372">
        <f>IFERROR(VLOOKUP($B8,flows!$A$2:$J$4985,K$2,FALSE),0)</f>
        <v>0.26802902285515978</v>
      </c>
      <c r="L8" s="372">
        <f>IFERROR(VLOOKUP($B8,flows!$A$2:$J$4985,L$2,FALSE),0)</f>
        <v>0</v>
      </c>
      <c r="O8" s="40"/>
      <c r="S8" s="854"/>
      <c r="T8" s="854"/>
      <c r="U8" s="854"/>
      <c r="V8" s="854"/>
      <c r="W8" s="854"/>
      <c r="X8" s="854"/>
      <c r="Y8" s="854"/>
      <c r="AD8" s="373" t="s">
        <v>2471</v>
      </c>
      <c r="AE8" s="371" t="s">
        <v>2638</v>
      </c>
      <c r="AF8" s="371" t="s">
        <v>2638</v>
      </c>
      <c r="AG8" s="372">
        <f>IFERROR(VLOOKUP($AD8,flows!$A$2:$J$4985,AG$2,FALSE),0)</f>
        <v>0</v>
      </c>
      <c r="AH8" s="372">
        <f>IFERROR(VLOOKUP($AD8,flows!$A$2:$J$4985,AH$2,FALSE),0)</f>
        <v>0</v>
      </c>
      <c r="AI8" s="372">
        <f>IFERROR(VLOOKUP($AD8,flows!$A$2:$J$4985,AI$2,FALSE),0)</f>
        <v>0</v>
      </c>
      <c r="AJ8" s="372">
        <f>IFERROR(VLOOKUP($AD8,flows!$A$2:$J$4985,AJ$2,FALSE),0)</f>
        <v>0</v>
      </c>
      <c r="AK8" s="372">
        <f>IFERROR(VLOOKUP($AD8,flows!$A$2:$J$4985,AK$2,FALSE),0)</f>
        <v>0</v>
      </c>
      <c r="AL8" s="372">
        <f>IFERROR(VLOOKUP($AD8,flows!$A$2:$J$4985,AL$2,FALSE),0)</f>
        <v>0</v>
      </c>
      <c r="AM8" s="372">
        <f>IFERROR(VLOOKUP($AD8,flows!$A$2:$J$4985,AM$2,FALSE),0)</f>
        <v>0</v>
      </c>
      <c r="AN8" s="372">
        <f>IFERROR(VLOOKUP($AD8,flows!$A$2:$J$4985,AN$2,FALSE),0)</f>
        <v>0</v>
      </c>
    </row>
    <row r="9" spans="2:40" x14ac:dyDescent="0.35">
      <c r="B9" s="269" t="s">
        <v>729</v>
      </c>
      <c r="C9" s="371" t="s">
        <v>1778</v>
      </c>
      <c r="D9" s="371" t="s">
        <v>2260</v>
      </c>
      <c r="E9" s="372">
        <f>IFERROR(VLOOKUP($B9,flows!$A$2:$J$4985,E$2,FALSE),0)</f>
        <v>0</v>
      </c>
      <c r="F9" s="372">
        <f>IFERROR(VLOOKUP($B9,flows!$A$2:$J$4985,F$2,FALSE),0)</f>
        <v>0</v>
      </c>
      <c r="G9" s="372">
        <f>IFERROR(VLOOKUP($B9,flows!$A$2:$J$4985,G$2,FALSE),0)</f>
        <v>0</v>
      </c>
      <c r="H9" s="372">
        <f>IFERROR(VLOOKUP($B9,flows!$A$2:$J$4985,H$2,FALSE),0)</f>
        <v>0</v>
      </c>
      <c r="I9" s="372">
        <f>IFERROR(VLOOKUP($B9,flows!$A$2:$J$4985,I$2,FALSE),0)</f>
        <v>0</v>
      </c>
      <c r="J9" s="372">
        <f>IFERROR(VLOOKUP($B9,flows!$A$2:$J$4985,J$2,FALSE),0)</f>
        <v>0</v>
      </c>
      <c r="K9" s="372">
        <f>IFERROR(VLOOKUP($B9,flows!$A$2:$J$4985,K$2,FALSE),0)</f>
        <v>0</v>
      </c>
      <c r="L9" s="372">
        <f>IFERROR(VLOOKUP($B9,flows!$A$2:$J$4985,L$2,FALSE),0)</f>
        <v>0</v>
      </c>
      <c r="O9" s="269" t="s">
        <v>610</v>
      </c>
      <c r="P9" s="317" t="s">
        <v>1167</v>
      </c>
      <c r="Q9" s="317" t="s">
        <v>1340</v>
      </c>
      <c r="R9" s="372" t="e">
        <f>IFERROR(VLOOKUP($O9,flows!$A$2:$J$4985,R$2,FALSE),0)*(1-Erdgas!F16)</f>
        <v>#N/A</v>
      </c>
      <c r="S9" s="372" t="e">
        <f>IFERROR(VLOOKUP($O9,flows!$A$2:$J$4985,S$2,FALSE),0)*(1-Erdgas!G16)</f>
        <v>#N/A</v>
      </c>
      <c r="T9" s="372" t="e">
        <f>IFERROR(VLOOKUP($O9,flows!$A$2:$J$4985,T$2,FALSE),0)*(1-Erdgas!H16)</f>
        <v>#N/A</v>
      </c>
      <c r="U9" s="372" t="e">
        <f>IFERROR(VLOOKUP($O9,flows!$A$2:$J$4985,U$2,FALSE),0)*(1-Erdgas!I16)</f>
        <v>#N/A</v>
      </c>
      <c r="V9" s="372" t="e">
        <f>IFERROR(VLOOKUP($O9,flows!$A$2:$J$4985,V$2,FALSE),0)*(1-Erdgas!J16)</f>
        <v>#N/A</v>
      </c>
      <c r="W9" s="372" t="e">
        <f>IFERROR(VLOOKUP($O9,flows!$A$2:$J$4985,W$2,FALSE),0)*(1-Erdgas!K16)</f>
        <v>#N/A</v>
      </c>
      <c r="X9" s="372" t="e">
        <f>IFERROR(VLOOKUP($O9,flows!$A$2:$J$4985,X$2,FALSE),0)*(1-Erdgas!L16)</f>
        <v>#N/A</v>
      </c>
      <c r="Y9" s="372" t="e">
        <f>IFERROR(VLOOKUP($O9,flows!$A$2:$J$4985,Y$2,FALSE),0)*(1-Erdgas!M16)</f>
        <v>#N/A</v>
      </c>
      <c r="AD9" s="373" t="s">
        <v>2504</v>
      </c>
      <c r="AE9" s="317" t="s">
        <v>1294</v>
      </c>
      <c r="AF9" s="317" t="s">
        <v>1888</v>
      </c>
      <c r="AG9" s="372">
        <f>IFERROR(VLOOKUP($AD9,flows!$A$2:$J$4985,AG$2,FALSE),0)</f>
        <v>0</v>
      </c>
      <c r="AH9" s="372">
        <f>IFERROR(VLOOKUP($AD9,flows!$A$2:$J$4985,AH$2,FALSE),0)</f>
        <v>0</v>
      </c>
      <c r="AI9" s="372">
        <f>IFERROR(VLOOKUP($AD9,flows!$A$2:$J$4985,AI$2,FALSE),0)</f>
        <v>0</v>
      </c>
      <c r="AJ9" s="372">
        <f>IFERROR(VLOOKUP($AD9,flows!$A$2:$J$4985,AJ$2,FALSE),0)</f>
        <v>0</v>
      </c>
      <c r="AK9" s="372">
        <f>IFERROR(VLOOKUP($AD9,flows!$A$2:$J$4985,AK$2,FALSE),0)</f>
        <v>0</v>
      </c>
      <c r="AL9" s="372">
        <f>IFERROR(VLOOKUP($AD9,flows!$A$2:$J$4985,AL$2,FALSE),0)</f>
        <v>0</v>
      </c>
      <c r="AM9" s="372">
        <f>IFERROR(VLOOKUP($AD9,flows!$A$2:$J$4985,AM$2,FALSE),0)</f>
        <v>0</v>
      </c>
      <c r="AN9" s="372">
        <f>IFERROR(VLOOKUP($AD9,flows!$A$2:$J$4985,AN$2,FALSE),0)</f>
        <v>0</v>
      </c>
    </row>
    <row r="10" spans="2:40" x14ac:dyDescent="0.35">
      <c r="B10" s="269" t="s">
        <v>2870</v>
      </c>
      <c r="C10" s="371" t="s">
        <v>2864</v>
      </c>
      <c r="D10" s="371" t="s">
        <v>2864</v>
      </c>
      <c r="E10" s="372">
        <f>IFERROR(VLOOKUP($B10,flows!$A$2:$J$4985,E$2,FALSE),0)</f>
        <v>0</v>
      </c>
      <c r="F10" s="372">
        <f>IFERROR(VLOOKUP($B10,flows!$A$2:$J$4985,F$2,FALSE),0)</f>
        <v>0</v>
      </c>
      <c r="G10" s="372">
        <f>IFERROR(VLOOKUP($B10,flows!$A$2:$J$4985,G$2,FALSE),0)</f>
        <v>0</v>
      </c>
      <c r="H10" s="372">
        <f>IFERROR(VLOOKUP($B10,flows!$A$2:$J$4985,H$2,FALSE),0)</f>
        <v>0</v>
      </c>
      <c r="I10" s="372">
        <f>IFERROR(VLOOKUP($B10,flows!$A$2:$J$4985,I$2,FALSE),0)</f>
        <v>0</v>
      </c>
      <c r="J10" s="372">
        <f>IFERROR(VLOOKUP($B10,flows!$A$2:$J$4985,J$2,FALSE),0)</f>
        <v>0</v>
      </c>
      <c r="K10" s="372">
        <f>IFERROR(VLOOKUP($B10,flows!$A$2:$J$4985,K$2,FALSE),0)</f>
        <v>0</v>
      </c>
      <c r="L10" s="372">
        <f>IFERROR(VLOOKUP($B10,flows!$A$2:$J$4985,L$2,FALSE),0)</f>
        <v>0</v>
      </c>
      <c r="O10" s="269"/>
      <c r="P10" s="317" t="s">
        <v>1413</v>
      </c>
      <c r="Q10" s="317" t="s">
        <v>1413</v>
      </c>
      <c r="R10" s="372" t="e">
        <f>IFERROR(VLOOKUP($O9,flows!$A$2:$J$4985,R$2,FALSE),0)*Erdgas!F16</f>
        <v>#N/A</v>
      </c>
      <c r="S10" s="372" t="e">
        <f>IFERROR(VLOOKUP($O9,flows!$A$2:$J$4985,S$2,FALSE),0)*Erdgas!G16</f>
        <v>#N/A</v>
      </c>
      <c r="T10" s="372" t="e">
        <f>IFERROR(VLOOKUP($O9,flows!$A$2:$J$4985,T$2,FALSE),0)*Erdgas!H16</f>
        <v>#N/A</v>
      </c>
      <c r="U10" s="372" t="e">
        <f>IFERROR(VLOOKUP($O9,flows!$A$2:$J$4985,U$2,FALSE),0)*Erdgas!I16</f>
        <v>#N/A</v>
      </c>
      <c r="V10" s="372" t="e">
        <f>IFERROR(VLOOKUP($O9,flows!$A$2:$J$4985,V$2,FALSE),0)*Erdgas!J16</f>
        <v>#N/A</v>
      </c>
      <c r="W10" s="372" t="e">
        <f>IFERROR(VLOOKUP($O9,flows!$A$2:$J$4985,W$2,FALSE),0)*Erdgas!K16</f>
        <v>#N/A</v>
      </c>
      <c r="X10" s="372" t="e">
        <f>IFERROR(VLOOKUP($O9,flows!$A$2:$J$4985,X$2,FALSE),0)*Erdgas!L16</f>
        <v>#N/A</v>
      </c>
      <c r="Y10" s="372" t="e">
        <f>IFERROR(VLOOKUP($O9,flows!$A$2:$J$4985,Y$2,FALSE),0)*Erdgas!M16</f>
        <v>#N/A</v>
      </c>
      <c r="AD10" s="373" t="s">
        <v>2507</v>
      </c>
      <c r="AE10" s="317" t="s">
        <v>1294</v>
      </c>
      <c r="AF10" s="317" t="s">
        <v>1888</v>
      </c>
      <c r="AG10" s="372">
        <f>IFERROR(VLOOKUP($AD10,flows!$A$2:$J$4985,AG$2,FALSE),0)</f>
        <v>0</v>
      </c>
      <c r="AH10" s="372">
        <f>IFERROR(VLOOKUP($AD10,flows!$A$2:$J$4985,AH$2,FALSE),0)</f>
        <v>0</v>
      </c>
      <c r="AI10" s="372">
        <f>IFERROR(VLOOKUP($AD10,flows!$A$2:$J$4985,AI$2,FALSE),0)</f>
        <v>0</v>
      </c>
      <c r="AJ10" s="372">
        <f>IFERROR(VLOOKUP($AD10,flows!$A$2:$J$4985,AJ$2,FALSE),0)</f>
        <v>0</v>
      </c>
      <c r="AK10" s="372">
        <f>IFERROR(VLOOKUP($AD10,flows!$A$2:$J$4985,AK$2,FALSE),0)</f>
        <v>0</v>
      </c>
      <c r="AL10" s="372">
        <f>IFERROR(VLOOKUP($AD10,flows!$A$2:$J$4985,AL$2,FALSE),0)</f>
        <v>0</v>
      </c>
      <c r="AM10" s="372">
        <f>IFERROR(VLOOKUP($AD10,flows!$A$2:$J$4985,AM$2,FALSE),0)</f>
        <v>0</v>
      </c>
      <c r="AN10" s="372">
        <f>IFERROR(VLOOKUP($AD10,flows!$A$2:$J$4985,AN$2,FALSE),0)</f>
        <v>0</v>
      </c>
    </row>
    <row r="11" spans="2:40" x14ac:dyDescent="0.35">
      <c r="B11" s="269" t="s">
        <v>2865</v>
      </c>
      <c r="C11" s="371" t="s">
        <v>2818</v>
      </c>
      <c r="D11" s="371" t="s">
        <v>2818</v>
      </c>
      <c r="E11" s="372">
        <f>IFERROR(VLOOKUP($B11,flows!$A$2:$J$4985,E$2,FALSE),0)</f>
        <v>0</v>
      </c>
      <c r="F11" s="372">
        <f>IFERROR(VLOOKUP($B11,flows!$A$2:$J$4985,F$2,FALSE),0)</f>
        <v>0</v>
      </c>
      <c r="G11" s="372">
        <f>IFERROR(VLOOKUP($B11,flows!$A$2:$J$4985,G$2,FALSE),0)</f>
        <v>0</v>
      </c>
      <c r="H11" s="372">
        <f>IFERROR(VLOOKUP($B11,flows!$A$2:$J$4985,H$2,FALSE),0)</f>
        <v>0</v>
      </c>
      <c r="I11" s="372">
        <f>IFERROR(VLOOKUP($B11,flows!$A$2:$J$4985,I$2,FALSE),0)</f>
        <v>0</v>
      </c>
      <c r="J11" s="372">
        <f>IFERROR(VLOOKUP($B11,flows!$A$2:$J$4985,J$2,FALSE),0)</f>
        <v>0</v>
      </c>
      <c r="K11" s="372">
        <f>IFERROR(VLOOKUP($B11,flows!$A$2:$J$4985,K$2,FALSE),0)</f>
        <v>0</v>
      </c>
      <c r="L11" s="372">
        <f>IFERROR(VLOOKUP($B11,flows!$A$2:$J$4985,L$2,FALSE),0)</f>
        <v>0</v>
      </c>
      <c r="O11" s="269" t="s">
        <v>612</v>
      </c>
      <c r="P11" s="317" t="s">
        <v>1162</v>
      </c>
      <c r="Q11" s="317" t="s">
        <v>1816</v>
      </c>
      <c r="R11" s="372">
        <f>IFERROR(VLOOKUP($O11,flows!$A$2:$J$4985,R$2,FALSE),0)</f>
        <v>0</v>
      </c>
      <c r="S11" s="372">
        <f>IFERROR(VLOOKUP($O11,flows!$A$2:$J$4985,S$2,FALSE),0)</f>
        <v>0</v>
      </c>
      <c r="T11" s="372">
        <f>IFERROR(VLOOKUP($O11,flows!$A$2:$J$4985,T$2,FALSE),0)</f>
        <v>0</v>
      </c>
      <c r="U11" s="372">
        <f>IFERROR(VLOOKUP($O11,flows!$A$2:$J$4985,U$2,FALSE),0)</f>
        <v>0</v>
      </c>
      <c r="V11" s="372">
        <f>IFERROR(VLOOKUP($O11,flows!$A$2:$J$4985,V$2,FALSE),0)</f>
        <v>0</v>
      </c>
      <c r="W11" s="372">
        <f>IFERROR(VLOOKUP($O11,flows!$A$2:$J$4985,W$2,FALSE),0)</f>
        <v>0</v>
      </c>
      <c r="X11" s="372">
        <f>IFERROR(VLOOKUP($O11,flows!$A$2:$J$4985,X$2,FALSE),0)</f>
        <v>0</v>
      </c>
      <c r="Y11" s="372">
        <f>IFERROR(VLOOKUP($O11,flows!$A$2:$J$4985,Y$2,FALSE),0)</f>
        <v>0</v>
      </c>
      <c r="AD11" s="373" t="s">
        <v>2494</v>
      </c>
      <c r="AE11" s="317" t="s">
        <v>1160</v>
      </c>
      <c r="AF11" s="317" t="s">
        <v>1815</v>
      </c>
      <c r="AG11" s="372">
        <f>IFERROR(VLOOKUP($AD11,flows!$A$2:$J$4985,AG$2,FALSE),0)</f>
        <v>0</v>
      </c>
      <c r="AH11" s="372">
        <f>IFERROR(VLOOKUP($AD11,flows!$A$2:$J$4985,AH$2,FALSE),0)</f>
        <v>0</v>
      </c>
      <c r="AI11" s="372">
        <f>IFERROR(VLOOKUP($AD11,flows!$A$2:$J$4985,AI$2,FALSE),0)</f>
        <v>0</v>
      </c>
      <c r="AJ11" s="372">
        <f>IFERROR(VLOOKUP($AD11,flows!$A$2:$J$4985,AJ$2,FALSE),0)</f>
        <v>0</v>
      </c>
      <c r="AK11" s="372">
        <f>IFERROR(VLOOKUP($AD11,flows!$A$2:$J$4985,AK$2,FALSE),0)</f>
        <v>0</v>
      </c>
      <c r="AL11" s="372">
        <f>IFERROR(VLOOKUP($AD11,flows!$A$2:$J$4985,AL$2,FALSE),0)</f>
        <v>0</v>
      </c>
      <c r="AM11" s="372">
        <f>IFERROR(VLOOKUP($AD11,flows!$A$2:$J$4985,AM$2,FALSE),0)</f>
        <v>0</v>
      </c>
      <c r="AN11" s="372">
        <f>IFERROR(VLOOKUP($AD11,flows!$A$2:$J$4985,AN$2,FALSE),0)</f>
        <v>0</v>
      </c>
    </row>
    <row r="12" spans="2:40" x14ac:dyDescent="0.35">
      <c r="B12" s="269" t="s">
        <v>2866</v>
      </c>
      <c r="C12" s="371" t="s">
        <v>2817</v>
      </c>
      <c r="D12" s="371" t="s">
        <v>2817</v>
      </c>
      <c r="E12" s="372">
        <f>IFERROR(VLOOKUP($B12,flows!$A$2:$J$4985,E$2,FALSE),0)</f>
        <v>0</v>
      </c>
      <c r="F12" s="372">
        <f>IFERROR(VLOOKUP($B12,flows!$A$2:$J$4985,F$2,FALSE),0)</f>
        <v>0</v>
      </c>
      <c r="G12" s="372">
        <f>IFERROR(VLOOKUP($B12,flows!$A$2:$J$4985,G$2,FALSE),0)</f>
        <v>0</v>
      </c>
      <c r="H12" s="372">
        <f>IFERROR(VLOOKUP($B12,flows!$A$2:$J$4985,H$2,FALSE),0)</f>
        <v>0</v>
      </c>
      <c r="I12" s="372">
        <f>IFERROR(VLOOKUP($B12,flows!$A$2:$J$4985,I$2,FALSE),0)</f>
        <v>0</v>
      </c>
      <c r="J12" s="372">
        <f>IFERROR(VLOOKUP($B12,flows!$A$2:$J$4985,J$2,FALSE),0)</f>
        <v>0</v>
      </c>
      <c r="K12" s="372">
        <f>IFERROR(VLOOKUP($B12,flows!$A$2:$J$4985,K$2,FALSE),0)</f>
        <v>0</v>
      </c>
      <c r="L12" s="372">
        <f>IFERROR(VLOOKUP($B12,flows!$A$2:$J$4985,L$2,FALSE),0)</f>
        <v>0</v>
      </c>
      <c r="O12" s="269" t="s">
        <v>615</v>
      </c>
      <c r="P12" s="371" t="s">
        <v>1208</v>
      </c>
      <c r="Q12" s="371" t="s">
        <v>1942</v>
      </c>
      <c r="R12" s="372">
        <f>IFERROR(VLOOKUP($O12,flows!$A$2:$J$4985,R$2,FALSE),0)</f>
        <v>0</v>
      </c>
      <c r="S12" s="372">
        <f>IFERROR(VLOOKUP($O12,flows!$A$2:$J$4985,S$2,FALSE),0)</f>
        <v>0</v>
      </c>
      <c r="T12" s="372">
        <f>IFERROR(VLOOKUP($O12,flows!$A$2:$J$4985,T$2,FALSE),0)</f>
        <v>0</v>
      </c>
      <c r="U12" s="372">
        <f>IFERROR(VLOOKUP($O12,flows!$A$2:$J$4985,U$2,FALSE),0)</f>
        <v>0</v>
      </c>
      <c r="V12" s="372">
        <f>IFERROR(VLOOKUP($O12,flows!$A$2:$J$4985,V$2,FALSE),0)</f>
        <v>0</v>
      </c>
      <c r="W12" s="372">
        <f>IFERROR(VLOOKUP($O12,flows!$A$2:$J$4985,W$2,FALSE),0)</f>
        <v>0</v>
      </c>
      <c r="X12" s="372">
        <f>IFERROR(VLOOKUP($O12,flows!$A$2:$J$4985,X$2,FALSE),0)</f>
        <v>0</v>
      </c>
      <c r="Y12" s="372">
        <f>IFERROR(VLOOKUP($O12,flows!$A$2:$J$4985,Y$2,FALSE),0)</f>
        <v>0</v>
      </c>
      <c r="AD12" s="373" t="s">
        <v>2486</v>
      </c>
      <c r="AE12" s="317" t="s">
        <v>2642</v>
      </c>
      <c r="AF12" s="317" t="s">
        <v>2643</v>
      </c>
      <c r="AG12" s="372">
        <f>IFERROR(VLOOKUP($AD12,flows!$A$2:$J$4985,AG$2,FALSE),0)</f>
        <v>0</v>
      </c>
      <c r="AH12" s="372">
        <f>IFERROR(VLOOKUP($AD12,flows!$A$2:$J$4985,AH$2,FALSE),0)</f>
        <v>0</v>
      </c>
      <c r="AI12" s="372">
        <f>IFERROR(VLOOKUP($AD12,flows!$A$2:$J$4985,AI$2,FALSE),0)</f>
        <v>0</v>
      </c>
      <c r="AJ12" s="372">
        <f>IFERROR(VLOOKUP($AD12,flows!$A$2:$J$4985,AJ$2,FALSE),0)</f>
        <v>0</v>
      </c>
      <c r="AK12" s="372">
        <f>IFERROR(VLOOKUP($AD12,flows!$A$2:$J$4985,AK$2,FALSE),0)</f>
        <v>0</v>
      </c>
      <c r="AL12" s="372">
        <f>IFERROR(VLOOKUP($AD12,flows!$A$2:$J$4985,AL$2,FALSE),0)</f>
        <v>0</v>
      </c>
      <c r="AM12" s="372">
        <f>IFERROR(VLOOKUP($AD12,flows!$A$2:$J$4985,AM$2,FALSE),0)</f>
        <v>0</v>
      </c>
      <c r="AN12" s="372">
        <f>IFERROR(VLOOKUP($AD12,flows!$A$2:$J$4985,AN$2,FALSE),0)</f>
        <v>0</v>
      </c>
    </row>
    <row r="13" spans="2:40" x14ac:dyDescent="0.35">
      <c r="B13" s="269" t="s">
        <v>2872</v>
      </c>
      <c r="C13" s="371"/>
      <c r="D13" s="371"/>
      <c r="E13" s="372">
        <f>IFERROR(VLOOKUP($B13,flows!$A$2:$J$4985,E$2,FALSE),0)</f>
        <v>0</v>
      </c>
      <c r="F13" s="372">
        <f>IFERROR(VLOOKUP($B13,flows!$A$2:$J$4985,F$2,FALSE),0)</f>
        <v>0</v>
      </c>
      <c r="G13" s="372">
        <f>IFERROR(VLOOKUP($B13,flows!$A$2:$J$4985,G$2,FALSE),0)</f>
        <v>0</v>
      </c>
      <c r="H13" s="372">
        <f>IFERROR(VLOOKUP($B13,flows!$A$2:$J$4985,H$2,FALSE),0)</f>
        <v>0</v>
      </c>
      <c r="I13" s="372">
        <f>IFERROR(VLOOKUP($B13,flows!$A$2:$J$4985,I$2,FALSE),0)</f>
        <v>0</v>
      </c>
      <c r="J13" s="372">
        <f>IFERROR(VLOOKUP($B13,flows!$A$2:$J$4985,J$2,FALSE),0)</f>
        <v>0</v>
      </c>
      <c r="K13" s="372">
        <f>IFERROR(VLOOKUP($B13,flows!$A$2:$J$4985,K$2,FALSE),0)</f>
        <v>0</v>
      </c>
      <c r="L13" s="372">
        <f>IFERROR(VLOOKUP($B13,flows!$A$2:$J$4985,L$2,FALSE),0)</f>
        <v>0</v>
      </c>
      <c r="O13" s="269" t="s">
        <v>614</v>
      </c>
      <c r="P13" s="371" t="s">
        <v>1207</v>
      </c>
      <c r="Q13" s="371" t="s">
        <v>1884</v>
      </c>
      <c r="R13" s="372">
        <f>IFERROR(VLOOKUP($O13,flows!$A$2:$J$4985,R$2,FALSE),0)</f>
        <v>0</v>
      </c>
      <c r="S13" s="372">
        <f>IFERROR(VLOOKUP($O13,flows!$A$2:$J$4985,S$2,FALSE),0)</f>
        <v>0</v>
      </c>
      <c r="T13" s="372">
        <f>IFERROR(VLOOKUP($O13,flows!$A$2:$J$4985,T$2,FALSE),0)</f>
        <v>0</v>
      </c>
      <c r="U13" s="372">
        <f>IFERROR(VLOOKUP($O13,flows!$A$2:$J$4985,U$2,FALSE),0)</f>
        <v>0</v>
      </c>
      <c r="V13" s="372">
        <f>IFERROR(VLOOKUP($O13,flows!$A$2:$J$4985,V$2,FALSE),0)</f>
        <v>0</v>
      </c>
      <c r="W13" s="372">
        <f>IFERROR(VLOOKUP($O13,flows!$A$2:$J$4985,W$2,FALSE),0)</f>
        <v>0</v>
      </c>
      <c r="X13" s="372">
        <f>IFERROR(VLOOKUP($O13,flows!$A$2:$J$4985,X$2,FALSE),0)</f>
        <v>0</v>
      </c>
      <c r="Y13" s="372">
        <f>IFERROR(VLOOKUP($O13,flows!$A$2:$J$4985,Y$2,FALSE),0)</f>
        <v>0</v>
      </c>
      <c r="AD13" s="373" t="s">
        <v>2495</v>
      </c>
      <c r="AE13" s="317" t="s">
        <v>1160</v>
      </c>
      <c r="AF13" s="317" t="s">
        <v>1815</v>
      </c>
      <c r="AG13" s="372">
        <f>IFERROR(VLOOKUP($AD13,flows!$A$2:$J$4985,AG$2,FALSE),0)</f>
        <v>0</v>
      </c>
      <c r="AH13" s="372">
        <f>IFERROR(VLOOKUP($AD13,flows!$A$2:$J$4985,AH$2,FALSE),0)</f>
        <v>0</v>
      </c>
      <c r="AI13" s="372">
        <f>IFERROR(VLOOKUP($AD13,flows!$A$2:$J$4985,AI$2,FALSE),0)</f>
        <v>0</v>
      </c>
      <c r="AJ13" s="372">
        <f>IFERROR(VLOOKUP($AD13,flows!$A$2:$J$4985,AJ$2,FALSE),0)</f>
        <v>0</v>
      </c>
      <c r="AK13" s="372">
        <f>IFERROR(VLOOKUP($AD13,flows!$A$2:$J$4985,AK$2,FALSE),0)</f>
        <v>0</v>
      </c>
      <c r="AL13" s="372">
        <f>IFERROR(VLOOKUP($AD13,flows!$A$2:$J$4985,AL$2,FALSE),0)</f>
        <v>0</v>
      </c>
      <c r="AM13" s="372">
        <f>IFERROR(VLOOKUP($AD13,flows!$A$2:$J$4985,AM$2,FALSE),0)</f>
        <v>0</v>
      </c>
      <c r="AN13" s="372">
        <f>IFERROR(VLOOKUP($AD13,flows!$A$2:$J$4985,AN$2,FALSE),0)</f>
        <v>0</v>
      </c>
    </row>
    <row r="14" spans="2:40" x14ac:dyDescent="0.35">
      <c r="B14" s="458" t="s">
        <v>2520</v>
      </c>
      <c r="C14" s="371"/>
      <c r="D14" s="371"/>
      <c r="E14" s="372">
        <f>IFERROR(VLOOKUP($B14,flows!$A$2:$J$4985,E$2,FALSE),0)</f>
        <v>0</v>
      </c>
      <c r="F14" s="372">
        <f>IFERROR(VLOOKUP($B14,flows!$A$2:$J$4985,F$2,FALSE),0)</f>
        <v>0</v>
      </c>
      <c r="G14" s="372">
        <f>IFERROR(VLOOKUP($B14,flows!$A$2:$J$4985,G$2,FALSE),0)</f>
        <v>0</v>
      </c>
      <c r="H14" s="372">
        <f>IFERROR(VLOOKUP($B14,flows!$A$2:$J$4985,H$2,FALSE),0)</f>
        <v>0</v>
      </c>
      <c r="I14" s="372">
        <f>IFERROR(VLOOKUP($B14,flows!$A$2:$J$4985,I$2,FALSE),0)</f>
        <v>0</v>
      </c>
      <c r="J14" s="372">
        <f>IFERROR(VLOOKUP($B14,flows!$A$2:$J$4985,J$2,FALSE),0)</f>
        <v>0</v>
      </c>
      <c r="K14" s="372">
        <f>IFERROR(VLOOKUP($B14,flows!$A$2:$J$4985,K$2,FALSE),0)</f>
        <v>0</v>
      </c>
      <c r="L14" s="372">
        <f>IFERROR(VLOOKUP($B14,flows!$A$2:$J$4985,L$2,FALSE),0)</f>
        <v>0</v>
      </c>
      <c r="O14" s="269" t="s">
        <v>611</v>
      </c>
      <c r="P14" s="317" t="s">
        <v>2264</v>
      </c>
      <c r="Q14" s="317" t="s">
        <v>1342</v>
      </c>
      <c r="R14" s="372">
        <f>IFERROR(VLOOKUP($O14,flows!$A$2:$J$4985,R$2,FALSE),0)</f>
        <v>0</v>
      </c>
      <c r="S14" s="372">
        <f>IFERROR(VLOOKUP($O14,flows!$A$2:$J$4985,S$2,FALSE),0)</f>
        <v>0</v>
      </c>
      <c r="T14" s="372">
        <f>IFERROR(VLOOKUP($O14,flows!$A$2:$J$4985,T$2,FALSE),0)</f>
        <v>0</v>
      </c>
      <c r="U14" s="372">
        <f>IFERROR(VLOOKUP($O14,flows!$A$2:$J$4985,U$2,FALSE),0)</f>
        <v>0</v>
      </c>
      <c r="V14" s="372">
        <f>IFERROR(VLOOKUP($O14,flows!$A$2:$J$4985,V$2,FALSE),0)</f>
        <v>0</v>
      </c>
      <c r="W14" s="372">
        <f>IFERROR(VLOOKUP($O14,flows!$A$2:$J$4985,W$2,FALSE),0)</f>
        <v>0</v>
      </c>
      <c r="X14" s="372">
        <f>IFERROR(VLOOKUP($O14,flows!$A$2:$J$4985,X$2,FALSE),0)</f>
        <v>0</v>
      </c>
      <c r="Y14" s="372">
        <f>IFERROR(VLOOKUP($O14,flows!$A$2:$J$4985,Y$2,FALSE),0)</f>
        <v>0</v>
      </c>
      <c r="AD14" s="373" t="s">
        <v>2513</v>
      </c>
      <c r="AE14" s="317" t="s">
        <v>2644</v>
      </c>
      <c r="AF14" s="317" t="s">
        <v>2645</v>
      </c>
      <c r="AG14" s="372">
        <f>IFERROR(VLOOKUP($AD14,flows!$A$2:$J$4985,AG$2,FALSE),0)</f>
        <v>0</v>
      </c>
      <c r="AH14" s="372">
        <f>IFERROR(VLOOKUP($AD14,flows!$A$2:$J$4985,AH$2,FALSE),0)</f>
        <v>0</v>
      </c>
      <c r="AI14" s="372">
        <f>IFERROR(VLOOKUP($AD14,flows!$A$2:$J$4985,AI$2,FALSE),0)</f>
        <v>0</v>
      </c>
      <c r="AJ14" s="372">
        <f>IFERROR(VLOOKUP($AD14,flows!$A$2:$J$4985,AJ$2,FALSE),0)</f>
        <v>0</v>
      </c>
      <c r="AK14" s="372">
        <f>IFERROR(VLOOKUP($AD14,flows!$A$2:$J$4985,AK$2,FALSE),0)</f>
        <v>0</v>
      </c>
      <c r="AL14" s="372">
        <f>IFERROR(VLOOKUP($AD14,flows!$A$2:$J$4985,AL$2,FALSE),0)</f>
        <v>0</v>
      </c>
      <c r="AM14" s="372">
        <f>IFERROR(VLOOKUP($AD14,flows!$A$2:$J$4985,AM$2,FALSE),0)</f>
        <v>0</v>
      </c>
      <c r="AN14" s="372">
        <f>IFERROR(VLOOKUP($AD14,flows!$A$2:$J$4985,AN$2,FALSE),0)</f>
        <v>0</v>
      </c>
    </row>
    <row r="15" spans="2:40" x14ac:dyDescent="0.35">
      <c r="B15" s="458" t="s">
        <v>2871</v>
      </c>
      <c r="C15" s="371"/>
      <c r="D15" s="371"/>
      <c r="E15" s="372">
        <f>IFERROR(VLOOKUP($B15,flows!$A$2:$J$4985,E$2,FALSE),0)</f>
        <v>20498.386878399211</v>
      </c>
      <c r="F15" s="372">
        <f>IFERROR(VLOOKUP($B15,flows!$A$2:$J$4985,F$2,FALSE),0)</f>
        <v>14995.594600148501</v>
      </c>
      <c r="G15" s="372">
        <f>IFERROR(VLOOKUP($B15,flows!$A$2:$J$4985,G$2,FALSE),0)</f>
        <v>15383.53687976722</v>
      </c>
      <c r="H15" s="372">
        <f>IFERROR(VLOOKUP($B15,flows!$A$2:$J$4985,H$2,FALSE),0)</f>
        <v>16040.42569927669</v>
      </c>
      <c r="I15" s="372">
        <f>IFERROR(VLOOKUP($B15,flows!$A$2:$J$4985,I$2,FALSE),0)</f>
        <v>17274.944105712671</v>
      </c>
      <c r="J15" s="372">
        <f>IFERROR(VLOOKUP($B15,flows!$A$2:$J$4985,J$2,FALSE),0)</f>
        <v>18515.500741215481</v>
      </c>
      <c r="K15" s="372">
        <f>IFERROR(VLOOKUP($B15,flows!$A$2:$J$4985,K$2,FALSE),0)</f>
        <v>20498.345910066331</v>
      </c>
      <c r="L15" s="372">
        <f>IFERROR(VLOOKUP($B15,flows!$A$2:$J$4985,L$2,FALSE),0)</f>
        <v>0</v>
      </c>
      <c r="O15" s="269" t="s">
        <v>4296</v>
      </c>
      <c r="P15" s="317" t="s">
        <v>4183</v>
      </c>
      <c r="Q15" s="317" t="s">
        <v>4182</v>
      </c>
      <c r="R15" s="372">
        <f>IFERROR(VLOOKUP($O15,flows!$A$2:$J$4985,R$2,FALSE),0)</f>
        <v>0</v>
      </c>
      <c r="S15" s="372">
        <f>IFERROR(VLOOKUP($O15,flows!$A$2:$J$4985,S$2,FALSE),0)</f>
        <v>0</v>
      </c>
      <c r="T15" s="372">
        <f>IFERROR(VLOOKUP($O15,flows!$A$2:$J$4985,T$2,FALSE),0)</f>
        <v>0</v>
      </c>
      <c r="U15" s="372">
        <f>IFERROR(VLOOKUP($O15,flows!$A$2:$J$4985,U$2,FALSE),0)</f>
        <v>0</v>
      </c>
      <c r="V15" s="372">
        <f>IFERROR(VLOOKUP($O15,flows!$A$2:$J$4985,V$2,FALSE),0)</f>
        <v>0</v>
      </c>
      <c r="W15" s="372">
        <f>IFERROR(VLOOKUP($O15,flows!$A$2:$J$4985,W$2,FALSE),0)</f>
        <v>0</v>
      </c>
      <c r="X15" s="372">
        <f>IFERROR(VLOOKUP($O15,flows!$A$2:$J$4985,X$2,FALSE),0)</f>
        <v>0</v>
      </c>
      <c r="Y15" s="372">
        <f>IFERROR(VLOOKUP($O15,flows!$A$2:$J$4985,Y$2,FALSE),0)</f>
        <v>0</v>
      </c>
      <c r="AD15" s="373" t="s">
        <v>2487</v>
      </c>
      <c r="AE15" s="317" t="s">
        <v>1160</v>
      </c>
      <c r="AF15" s="317" t="s">
        <v>1815</v>
      </c>
      <c r="AG15" s="372">
        <f>IFERROR(VLOOKUP($AD15,flows!$A$2:$J$4985,AG$2,FALSE),0)</f>
        <v>0</v>
      </c>
      <c r="AH15" s="372">
        <f>IFERROR(VLOOKUP($AD15,flows!$A$2:$J$4985,AH$2,FALSE),0)</f>
        <v>0</v>
      </c>
      <c r="AI15" s="372">
        <f>IFERROR(VLOOKUP($AD15,flows!$A$2:$J$4985,AI$2,FALSE),0)</f>
        <v>0</v>
      </c>
      <c r="AJ15" s="372">
        <f>IFERROR(VLOOKUP($AD15,flows!$A$2:$J$4985,AJ$2,FALSE),0)</f>
        <v>0</v>
      </c>
      <c r="AK15" s="372">
        <f>IFERROR(VLOOKUP($AD15,flows!$A$2:$J$4985,AK$2,FALSE),0)</f>
        <v>0</v>
      </c>
      <c r="AL15" s="372">
        <f>IFERROR(VLOOKUP($AD15,flows!$A$2:$J$4985,AL$2,FALSE),0)</f>
        <v>0</v>
      </c>
      <c r="AM15" s="372">
        <f>IFERROR(VLOOKUP($AD15,flows!$A$2:$J$4985,AM$2,FALSE),0)</f>
        <v>0</v>
      </c>
      <c r="AN15" s="372">
        <f>IFERROR(VLOOKUP($AD15,flows!$A$2:$J$4985,AN$2,FALSE),0)</f>
        <v>0</v>
      </c>
    </row>
    <row r="16" spans="2:40" x14ac:dyDescent="0.35">
      <c r="B16" s="458" t="s">
        <v>2869</v>
      </c>
      <c r="C16" s="371"/>
      <c r="D16" s="371"/>
      <c r="E16" s="372">
        <f>IFERROR(VLOOKUP($B16,flows!$A$2:$J$4985,E$2,FALSE),0)</f>
        <v>23805.62566354372</v>
      </c>
      <c r="F16" s="372">
        <f>IFERROR(VLOOKUP($B16,flows!$A$2:$J$4985,F$2,FALSE),0)</f>
        <v>0</v>
      </c>
      <c r="G16" s="372">
        <f>IFERROR(VLOOKUP($B16,flows!$A$2:$J$4985,G$2,FALSE),0)</f>
        <v>2.255091775651318</v>
      </c>
      <c r="H16" s="372">
        <f>IFERROR(VLOOKUP($B16,flows!$A$2:$J$4985,H$2,FALSE),0)</f>
        <v>2482.7777380409871</v>
      </c>
      <c r="I16" s="372">
        <f>IFERROR(VLOOKUP($B16,flows!$A$2:$J$4985,I$2,FALSE),0)</f>
        <v>7627.3214557678157</v>
      </c>
      <c r="J16" s="372">
        <f>IFERROR(VLOOKUP($B16,flows!$A$2:$J$4985,J$2,FALSE),0)</f>
        <v>12805.36722167767</v>
      </c>
      <c r="K16" s="372">
        <f>IFERROR(VLOOKUP($B16,flows!$A$2:$J$4985,K$2,FALSE),0)</f>
        <v>23805.299995626021</v>
      </c>
      <c r="L16" s="372">
        <f>IFERROR(VLOOKUP($B16,flows!$A$2:$J$4985,L$2,FALSE),0)</f>
        <v>0</v>
      </c>
      <c r="O16" s="269" t="s">
        <v>613</v>
      </c>
      <c r="P16" s="371" t="s">
        <v>1310</v>
      </c>
      <c r="Q16" s="371" t="s">
        <v>1343</v>
      </c>
      <c r="R16" s="372">
        <f>IFERROR(VLOOKUP($O16,flows!$A$2:$J$4985,R$2,FALSE),0)</f>
        <v>0</v>
      </c>
      <c r="S16" s="372">
        <f>IFERROR(VLOOKUP($O16,flows!$A$2:$J$4985,S$2,FALSE),0)</f>
        <v>0</v>
      </c>
      <c r="T16" s="372">
        <f>IFERROR(VLOOKUP($O16,flows!$A$2:$J$4985,T$2,FALSE),0)</f>
        <v>0</v>
      </c>
      <c r="U16" s="372">
        <f>IFERROR(VLOOKUP($O16,flows!$A$2:$J$4985,U$2,FALSE),0)</f>
        <v>0</v>
      </c>
      <c r="V16" s="372">
        <f>IFERROR(VLOOKUP($O16,flows!$A$2:$J$4985,V$2,FALSE),0)</f>
        <v>0</v>
      </c>
      <c r="W16" s="372">
        <f>IFERROR(VLOOKUP($O16,flows!$A$2:$J$4985,W$2,FALSE),0)</f>
        <v>0</v>
      </c>
      <c r="X16" s="372">
        <f>IFERROR(VLOOKUP($O16,flows!$A$2:$J$4985,X$2,FALSE),0)</f>
        <v>0</v>
      </c>
      <c r="Y16" s="372">
        <f>IFERROR(VLOOKUP($O16,flows!$A$2:$J$4985,Y$2,FALSE),0)</f>
        <v>0</v>
      </c>
      <c r="AD16" s="40"/>
      <c r="AE16" s="317" t="s">
        <v>2642</v>
      </c>
      <c r="AF16" s="317" t="s">
        <v>2643</v>
      </c>
      <c r="AG16" s="365">
        <f t="shared" ref="AG16:AN16" si="3">AG12</f>
        <v>0</v>
      </c>
      <c r="AH16" s="365">
        <f t="shared" si="3"/>
        <v>0</v>
      </c>
      <c r="AI16" s="365">
        <f t="shared" si="3"/>
        <v>0</v>
      </c>
      <c r="AJ16" s="365">
        <f t="shared" si="3"/>
        <v>0</v>
      </c>
      <c r="AK16" s="365">
        <f t="shared" si="3"/>
        <v>0</v>
      </c>
      <c r="AL16" s="365">
        <f t="shared" si="3"/>
        <v>0</v>
      </c>
      <c r="AM16" s="365">
        <f t="shared" si="3"/>
        <v>0</v>
      </c>
      <c r="AN16" s="93">
        <f t="shared" si="3"/>
        <v>0</v>
      </c>
    </row>
    <row r="17" spans="2:40" x14ac:dyDescent="0.35">
      <c r="B17" s="458"/>
      <c r="C17" s="371" t="s">
        <v>2815</v>
      </c>
      <c r="D17" s="371" t="s">
        <v>2816</v>
      </c>
      <c r="E17" s="372">
        <f>SUM(E15:E16)</f>
        <v>44304.012541942931</v>
      </c>
      <c r="F17" s="372">
        <f t="shared" ref="F17:K17" si="4">SUM(F15:F16)</f>
        <v>14995.594600148501</v>
      </c>
      <c r="G17" s="372">
        <f t="shared" si="4"/>
        <v>15385.791971542871</v>
      </c>
      <c r="H17" s="372">
        <f t="shared" si="4"/>
        <v>18523.203437317676</v>
      </c>
      <c r="I17" s="372">
        <f t="shared" si="4"/>
        <v>24902.265561480486</v>
      </c>
      <c r="J17" s="372">
        <f t="shared" si="4"/>
        <v>31320.86796289315</v>
      </c>
      <c r="K17" s="372">
        <f t="shared" si="4"/>
        <v>44303.645905692349</v>
      </c>
      <c r="L17" s="372">
        <f>SUM(L15:L16)</f>
        <v>0</v>
      </c>
      <c r="O17" s="269" t="s">
        <v>119</v>
      </c>
      <c r="P17" s="317" t="s">
        <v>1160</v>
      </c>
      <c r="Q17" s="317" t="s">
        <v>1815</v>
      </c>
      <c r="R17" s="372">
        <f>IFERROR(VLOOKUP($O17,flows!$A$2:$J$4985,R$2,FALSE),0)</f>
        <v>0</v>
      </c>
      <c r="S17" s="372">
        <f>IFERROR(VLOOKUP($O17,flows!$A$2:$J$4985,S$2,FALSE),0)</f>
        <v>0</v>
      </c>
      <c r="T17" s="372">
        <f>IFERROR(VLOOKUP($O17,flows!$A$2:$J$4985,T$2,FALSE),0)</f>
        <v>0</v>
      </c>
      <c r="U17" s="372">
        <f>IFERROR(VLOOKUP($O17,flows!$A$2:$J$4985,U$2,FALSE),0)</f>
        <v>0</v>
      </c>
      <c r="V17" s="372">
        <f>IFERROR(VLOOKUP($O17,flows!$A$2:$J$4985,V$2,FALSE),0)</f>
        <v>0</v>
      </c>
      <c r="W17" s="372">
        <f>IFERROR(VLOOKUP($O17,flows!$A$2:$J$4985,W$2,FALSE),0)</f>
        <v>0</v>
      </c>
      <c r="X17" s="372">
        <f>IFERROR(VLOOKUP($O17,flows!$A$2:$J$4985,X$2,FALSE),0)</f>
        <v>0</v>
      </c>
      <c r="Y17" s="372">
        <f>IFERROR(VLOOKUP($O17,flows!$A$2:$J$4985,Y$2,FALSE),0)</f>
        <v>0</v>
      </c>
      <c r="AD17" s="40"/>
      <c r="AE17" s="317" t="s">
        <v>1160</v>
      </c>
      <c r="AF17" s="317" t="s">
        <v>1815</v>
      </c>
      <c r="AG17" s="365">
        <f t="shared" ref="AG17:AN17" si="5">AG11+AG13+AG15</f>
        <v>0</v>
      </c>
      <c r="AH17" s="365">
        <f t="shared" si="5"/>
        <v>0</v>
      </c>
      <c r="AI17" s="365">
        <f t="shared" si="5"/>
        <v>0</v>
      </c>
      <c r="AJ17" s="365">
        <f t="shared" si="5"/>
        <v>0</v>
      </c>
      <c r="AK17" s="365">
        <f t="shared" si="5"/>
        <v>0</v>
      </c>
      <c r="AL17" s="365">
        <f t="shared" si="5"/>
        <v>0</v>
      </c>
      <c r="AM17" s="365">
        <f t="shared" si="5"/>
        <v>0</v>
      </c>
      <c r="AN17" s="93">
        <f t="shared" si="5"/>
        <v>0</v>
      </c>
    </row>
    <row r="18" spans="2:40" x14ac:dyDescent="0.35">
      <c r="B18" s="458" t="s">
        <v>3037</v>
      </c>
      <c r="C18" s="371"/>
      <c r="D18" s="371"/>
      <c r="E18" s="372">
        <f>IFERROR(VLOOKUP($B18,flows!$A$2:$J$4985,E$2,FALSE),0)</f>
        <v>20498.386878399211</v>
      </c>
      <c r="F18" s="372">
        <f>IFERROR(VLOOKUP($B18,flows!$A$2:$J$4985,F$2,FALSE),0)</f>
        <v>14995.594600148501</v>
      </c>
      <c r="G18" s="372">
        <f>IFERROR(VLOOKUP($B18,flows!$A$2:$J$4985,G$2,FALSE),0)</f>
        <v>15383.53687976722</v>
      </c>
      <c r="H18" s="372">
        <f>IFERROR(VLOOKUP($B18,flows!$A$2:$J$4985,H$2,FALSE),0)</f>
        <v>16040.42569927669</v>
      </c>
      <c r="I18" s="372">
        <f>IFERROR(VLOOKUP($B18,flows!$A$2:$J$4985,I$2,FALSE),0)</f>
        <v>17274.944105712671</v>
      </c>
      <c r="J18" s="372">
        <f>IFERROR(VLOOKUP($B18,flows!$A$2:$J$4985,J$2,FALSE),0)</f>
        <v>18515.500741215481</v>
      </c>
      <c r="K18" s="372">
        <f>IFERROR(VLOOKUP($B18,flows!$A$2:$J$4985,K$2,FALSE),0)</f>
        <v>20498.345910066331</v>
      </c>
      <c r="L18" s="372">
        <f>IFERROR(VLOOKUP($B18,flows!$A$2:$J$4985,L$2,FALSE),0)</f>
        <v>0</v>
      </c>
      <c r="O18" s="269" t="s">
        <v>4143</v>
      </c>
      <c r="P18" s="317" t="s">
        <v>1160</v>
      </c>
      <c r="Q18" s="317" t="s">
        <v>1815</v>
      </c>
      <c r="R18" s="372">
        <f>IFERROR(VLOOKUP($O18,flows!$A$2:$J$4985,R$2,FALSE),0)</f>
        <v>0</v>
      </c>
      <c r="S18" s="372">
        <f>IFERROR(VLOOKUP($O18,flows!$A$2:$J$4985,S$2,FALSE),0)</f>
        <v>0</v>
      </c>
      <c r="T18" s="372">
        <f>IFERROR(VLOOKUP($O18,flows!$A$2:$J$4985,T$2,FALSE),0)</f>
        <v>0</v>
      </c>
      <c r="U18" s="372">
        <f>IFERROR(VLOOKUP($O18,flows!$A$2:$J$4985,U$2,FALSE),0)</f>
        <v>0</v>
      </c>
      <c r="V18" s="372">
        <f>IFERROR(VLOOKUP($O18,flows!$A$2:$J$4985,V$2,FALSE),0)</f>
        <v>0</v>
      </c>
      <c r="W18" s="372">
        <f>IFERROR(VLOOKUP($O18,flows!$A$2:$J$4985,W$2,FALSE),0)</f>
        <v>0</v>
      </c>
      <c r="X18" s="372">
        <f>IFERROR(VLOOKUP($O18,flows!$A$2:$J$4985,X$2,FALSE),0)</f>
        <v>0</v>
      </c>
      <c r="Y18" s="372">
        <f>IFERROR(VLOOKUP($O18,flows!$A$2:$J$4985,Y$2,FALSE),0)</f>
        <v>0</v>
      </c>
      <c r="AD18" s="40"/>
      <c r="AE18" s="317" t="s">
        <v>1294</v>
      </c>
      <c r="AF18" s="317" t="s">
        <v>1888</v>
      </c>
      <c r="AG18" s="365">
        <f t="shared" ref="AG18:AN18" si="6">AG9+AG10</f>
        <v>0</v>
      </c>
      <c r="AH18" s="365">
        <f t="shared" si="6"/>
        <v>0</v>
      </c>
      <c r="AI18" s="365">
        <f t="shared" si="6"/>
        <v>0</v>
      </c>
      <c r="AJ18" s="365">
        <f t="shared" si="6"/>
        <v>0</v>
      </c>
      <c r="AK18" s="365">
        <f t="shared" si="6"/>
        <v>0</v>
      </c>
      <c r="AL18" s="365">
        <f t="shared" si="6"/>
        <v>0</v>
      </c>
      <c r="AM18" s="365">
        <f t="shared" si="6"/>
        <v>0</v>
      </c>
      <c r="AN18" s="93">
        <f t="shared" si="6"/>
        <v>0</v>
      </c>
    </row>
    <row r="19" spans="2:40" x14ac:dyDescent="0.35">
      <c r="B19" s="458" t="s">
        <v>3038</v>
      </c>
      <c r="C19" s="371"/>
      <c r="D19" s="371"/>
      <c r="E19" s="372">
        <f>IFERROR(VLOOKUP($B19,flows!$A$2:$J$4985,E$2,FALSE),0)</f>
        <v>23805.62566354372</v>
      </c>
      <c r="F19" s="372">
        <f>IFERROR(VLOOKUP($B19,flows!$A$2:$J$4985,F$2,FALSE),0)</f>
        <v>0</v>
      </c>
      <c r="G19" s="372">
        <f>IFERROR(VLOOKUP($B19,flows!$A$2:$J$4985,G$2,FALSE),0)</f>
        <v>2.255091775651318</v>
      </c>
      <c r="H19" s="372">
        <f>IFERROR(VLOOKUP($B19,flows!$A$2:$J$4985,H$2,FALSE),0)</f>
        <v>2482.7777380409871</v>
      </c>
      <c r="I19" s="372">
        <f>IFERROR(VLOOKUP($B19,flows!$A$2:$J$4985,I$2,FALSE),0)</f>
        <v>7627.3214557678157</v>
      </c>
      <c r="J19" s="372">
        <f>IFERROR(VLOOKUP($B19,flows!$A$2:$J$4985,J$2,FALSE),0)</f>
        <v>12805.36722167767</v>
      </c>
      <c r="K19" s="372">
        <f>IFERROR(VLOOKUP($B19,flows!$A$2:$J$4985,K$2,FALSE),0)</f>
        <v>23805.299995626021</v>
      </c>
      <c r="L19" s="372">
        <f>IFERROR(VLOOKUP($B19,flows!$A$2:$J$4985,L$2,FALSE),0)</f>
        <v>0</v>
      </c>
      <c r="O19" s="375"/>
      <c r="P19" s="317" t="s">
        <v>1160</v>
      </c>
      <c r="Q19" s="317" t="s">
        <v>1815</v>
      </c>
      <c r="R19" s="372">
        <f>SUM(R17:R18)</f>
        <v>0</v>
      </c>
      <c r="S19" s="372">
        <f t="shared" ref="S19:X19" si="7">SUM(S17:S18)</f>
        <v>0</v>
      </c>
      <c r="T19" s="372">
        <f t="shared" si="7"/>
        <v>0</v>
      </c>
      <c r="U19" s="372">
        <f t="shared" si="7"/>
        <v>0</v>
      </c>
      <c r="V19" s="372">
        <f t="shared" si="7"/>
        <v>0</v>
      </c>
      <c r="W19" s="372">
        <f t="shared" si="7"/>
        <v>0</v>
      </c>
      <c r="X19" s="372">
        <f t="shared" si="7"/>
        <v>0</v>
      </c>
      <c r="Y19" s="372">
        <f>SUM(Y17:Y18)</f>
        <v>0</v>
      </c>
      <c r="AD19" s="40"/>
      <c r="AN19" s="93"/>
    </row>
    <row r="20" spans="2:40" ht="15" thickBot="1" x14ac:dyDescent="0.4">
      <c r="B20" s="458"/>
      <c r="C20" s="371"/>
      <c r="D20" s="371"/>
      <c r="E20" s="372"/>
      <c r="F20" s="372"/>
      <c r="G20" s="372"/>
      <c r="H20" s="372"/>
      <c r="I20" s="372"/>
      <c r="J20" s="372"/>
      <c r="K20" s="372"/>
      <c r="L20" s="372"/>
      <c r="O20" s="376" t="s">
        <v>1229</v>
      </c>
      <c r="P20" s="316"/>
      <c r="Q20" s="316"/>
      <c r="R20" s="103" t="e">
        <f t="shared" ref="R20:Y20" si="8">SUM(R9:R18)</f>
        <v>#N/A</v>
      </c>
      <c r="S20" s="103" t="e">
        <f t="shared" si="8"/>
        <v>#N/A</v>
      </c>
      <c r="T20" s="103" t="e">
        <f t="shared" si="8"/>
        <v>#N/A</v>
      </c>
      <c r="U20" s="103" t="e">
        <f t="shared" si="8"/>
        <v>#N/A</v>
      </c>
      <c r="V20" s="103" t="e">
        <f t="shared" si="8"/>
        <v>#N/A</v>
      </c>
      <c r="W20" s="103" t="e">
        <f t="shared" si="8"/>
        <v>#N/A</v>
      </c>
      <c r="X20" s="103" t="e">
        <f t="shared" si="8"/>
        <v>#N/A</v>
      </c>
      <c r="Y20" s="271" t="e">
        <f t="shared" si="8"/>
        <v>#N/A</v>
      </c>
      <c r="AD20" s="41"/>
      <c r="AE20" s="77"/>
      <c r="AF20" s="103" t="s">
        <v>1229</v>
      </c>
      <c r="AG20" s="103">
        <f t="shared" ref="AG20:AN20" si="9">SUM(AG16:AG18)</f>
        <v>0</v>
      </c>
      <c r="AH20" s="103">
        <f t="shared" si="9"/>
        <v>0</v>
      </c>
      <c r="AI20" s="103">
        <f t="shared" si="9"/>
        <v>0</v>
      </c>
      <c r="AJ20" s="103">
        <f t="shared" si="9"/>
        <v>0</v>
      </c>
      <c r="AK20" s="103">
        <f t="shared" si="9"/>
        <v>0</v>
      </c>
      <c r="AL20" s="103">
        <f t="shared" si="9"/>
        <v>0</v>
      </c>
      <c r="AM20" s="103">
        <f t="shared" si="9"/>
        <v>0</v>
      </c>
      <c r="AN20" s="271">
        <f t="shared" si="9"/>
        <v>0</v>
      </c>
    </row>
    <row r="21" spans="2:40" ht="15" thickBot="1" x14ac:dyDescent="0.4">
      <c r="B21" s="458"/>
      <c r="C21" s="371" t="s">
        <v>2819</v>
      </c>
      <c r="D21" s="371" t="s">
        <v>2821</v>
      </c>
      <c r="E21" s="459" t="e">
        <f>(E11/E10)*(E16/E17)*E9</f>
        <v>#DIV/0!</v>
      </c>
      <c r="F21" s="459"/>
      <c r="G21" s="459" t="e">
        <f t="shared" ref="G21:L21" si="10">(G11/G10)*(G16/G17)*G9</f>
        <v>#DIV/0!</v>
      </c>
      <c r="H21" s="459" t="e">
        <f t="shared" si="10"/>
        <v>#DIV/0!</v>
      </c>
      <c r="I21" s="459" t="e">
        <f t="shared" si="10"/>
        <v>#DIV/0!</v>
      </c>
      <c r="J21" s="459" t="e">
        <f t="shared" si="10"/>
        <v>#DIV/0!</v>
      </c>
      <c r="K21" s="459" t="e">
        <f t="shared" si="10"/>
        <v>#DIV/0!</v>
      </c>
      <c r="L21" s="459" t="e">
        <f t="shared" si="10"/>
        <v>#DIV/0!</v>
      </c>
      <c r="AF21" s="317"/>
    </row>
    <row r="22" spans="2:40" x14ac:dyDescent="0.35">
      <c r="B22" s="269"/>
      <c r="C22" s="375" t="s">
        <v>2820</v>
      </c>
      <c r="D22" s="375" t="s">
        <v>2822</v>
      </c>
      <c r="E22" s="459" t="e">
        <f>((E12*(1-Erdgas!F16))/E10)*(E16/E17)*E9</f>
        <v>#N/A</v>
      </c>
      <c r="F22" s="459"/>
      <c r="G22" s="459" t="e">
        <f>((G12*(1-Erdgas!H16))/G10)*(G16/G17)*G9</f>
        <v>#N/A</v>
      </c>
      <c r="H22" s="459" t="e">
        <f>((H12*(1-Erdgas!I16))/H10)*(H16/H17)*H9</f>
        <v>#N/A</v>
      </c>
      <c r="I22" s="459" t="e">
        <f>((I12*(1-Erdgas!J16))/I10)*(I16/I17)*I9</f>
        <v>#N/A</v>
      </c>
      <c r="J22" s="459" t="e">
        <f>((J12*(1-Erdgas!K16))/J10)*(J16/J17)*J9</f>
        <v>#N/A</v>
      </c>
      <c r="K22" s="459" t="e">
        <f>((K12*(1-Erdgas!L16))/K10)*(K16/K17)*K9</f>
        <v>#N/A</v>
      </c>
      <c r="L22" s="459" t="e">
        <f>((L12*(1-Erdgas!M16))/L10)*(L16/L17)*L9</f>
        <v>#N/A</v>
      </c>
      <c r="O22" s="87" t="s">
        <v>205</v>
      </c>
      <c r="P22" s="89"/>
      <c r="Q22" s="89"/>
      <c r="R22" s="372">
        <f>IFERROR(VLOOKUP($O22,capacities!$A$2:$J$2856,R$2,FALSE),0)</f>
        <v>0</v>
      </c>
      <c r="S22" s="372">
        <f>IFERROR(VLOOKUP($O22,capacities!$A$2:$J$2856,S$2,FALSE),0)</f>
        <v>0</v>
      </c>
      <c r="T22" s="372">
        <f>IFERROR(VLOOKUP($O22,capacities!$A$2:$J$2856,T$2,FALSE),0)</f>
        <v>0</v>
      </c>
      <c r="U22" s="372">
        <f>IFERROR(VLOOKUP($O22,capacities!$A$2:$J$2856,U$2,FALSE),0)</f>
        <v>0</v>
      </c>
      <c r="V22" s="372">
        <f>IFERROR(VLOOKUP($O22,capacities!$A$2:$J$2856,V$2,FALSE),0)</f>
        <v>0</v>
      </c>
      <c r="W22" s="372">
        <f>IFERROR(VLOOKUP($O22,capacities!$A$2:$J$2856,W$2,FALSE),0)</f>
        <v>0</v>
      </c>
      <c r="X22" s="372">
        <f>IFERROR(VLOOKUP($O22,capacities!$A$2:$J$2856,X$2,FALSE),0)</f>
        <v>0</v>
      </c>
      <c r="Y22" s="372">
        <f>IFERROR(VLOOKUP($O22,capacities!$A$2:$J$2856,Y$2,FALSE),0)</f>
        <v>0</v>
      </c>
    </row>
    <row r="23" spans="2:40" x14ac:dyDescent="0.35">
      <c r="B23" s="269"/>
      <c r="C23" s="375" t="s">
        <v>4347</v>
      </c>
      <c r="D23" s="375" t="s">
        <v>4348</v>
      </c>
      <c r="E23" s="459" t="e">
        <f>((E12*(Erdgas!F16))/E10)*(E16/E17)*E9</f>
        <v>#N/A</v>
      </c>
      <c r="F23" s="459"/>
      <c r="G23" s="459" t="e">
        <f>((G12*(Erdgas!H16))/G10)*(G16/G17)*G9</f>
        <v>#N/A</v>
      </c>
      <c r="H23" s="459" t="e">
        <f>((H12*(Erdgas!I16))/H10)*(H16/H17)*H9</f>
        <v>#N/A</v>
      </c>
      <c r="I23" s="459" t="e">
        <f>((I12*(Erdgas!J16))/I10)*(I16/I17)*I9</f>
        <v>#N/A</v>
      </c>
      <c r="J23" s="459" t="e">
        <f>((J12*(Erdgas!K16))/J10)*(J16/J17)*J9</f>
        <v>#N/A</v>
      </c>
      <c r="K23" s="459" t="e">
        <f>((K12*(Erdgas!L16))/K10)*(K16/K17)*K9</f>
        <v>#N/A</v>
      </c>
      <c r="L23" s="459" t="e">
        <f>((L12*(Erdgas!M16))/L10)*(L16/L17)*L9</f>
        <v>#N/A</v>
      </c>
      <c r="O23" s="40" t="s">
        <v>4133</v>
      </c>
      <c r="R23" s="372">
        <f>IFERROR(VLOOKUP($O23,capacities!$A$2:$J$2856,R$2,FALSE),0)</f>
        <v>0</v>
      </c>
      <c r="S23" s="372">
        <f>IFERROR(VLOOKUP($O23,capacities!$A$2:$J$2856,S$2,FALSE),0)</f>
        <v>0</v>
      </c>
      <c r="T23" s="372">
        <f>IFERROR(VLOOKUP($O23,capacities!$A$2:$J$2856,T$2,FALSE),0)</f>
        <v>0</v>
      </c>
      <c r="U23" s="372">
        <f>IFERROR(VLOOKUP($O23,capacities!$A$2:$J$2856,U$2,FALSE),0)</f>
        <v>0</v>
      </c>
      <c r="V23" s="372">
        <f>IFERROR(VLOOKUP($O23,capacities!$A$2:$J$2856,V$2,FALSE),0)</f>
        <v>0</v>
      </c>
      <c r="W23" s="372">
        <f>IFERROR(VLOOKUP($O23,capacities!$A$2:$J$2856,W$2,FALSE),0)</f>
        <v>0</v>
      </c>
      <c r="X23" s="372">
        <f>IFERROR(VLOOKUP($O23,capacities!$A$2:$J$2856,X$2,FALSE),0)</f>
        <v>0</v>
      </c>
      <c r="Y23" s="372">
        <f>IFERROR(VLOOKUP($O23,capacities!$A$2:$J$2856,Y$2,FALSE),0)</f>
        <v>0</v>
      </c>
    </row>
    <row r="24" spans="2:40" ht="15" thickBot="1" x14ac:dyDescent="0.4">
      <c r="B24" s="269"/>
      <c r="C24" s="375" t="s">
        <v>2639</v>
      </c>
      <c r="D24" s="375" t="s">
        <v>2823</v>
      </c>
      <c r="E24" s="459">
        <f t="shared" ref="E24:L24" si="11">(E15/E17)*E9</f>
        <v>0</v>
      </c>
      <c r="F24" s="459">
        <f t="shared" si="11"/>
        <v>0</v>
      </c>
      <c r="G24" s="459">
        <f t="shared" si="11"/>
        <v>0</v>
      </c>
      <c r="H24" s="459">
        <f t="shared" si="11"/>
        <v>0</v>
      </c>
      <c r="I24" s="459">
        <f t="shared" si="11"/>
        <v>0</v>
      </c>
      <c r="J24" s="459">
        <f t="shared" si="11"/>
        <v>0</v>
      </c>
      <c r="K24" s="459">
        <f t="shared" si="11"/>
        <v>0</v>
      </c>
      <c r="L24" s="459" t="e">
        <f t="shared" si="11"/>
        <v>#DIV/0!</v>
      </c>
      <c r="O24" s="40" t="s">
        <v>188</v>
      </c>
      <c r="R24" s="372">
        <f>IFERROR(VLOOKUP($O24,capacities!$A$2:$J$2856,R$2,FALSE),0)</f>
        <v>0</v>
      </c>
      <c r="S24" s="372">
        <f>IFERROR(VLOOKUP($O24,capacities!$A$2:$J$2856,S$2,FALSE),0)</f>
        <v>0</v>
      </c>
      <c r="T24" s="372">
        <f>IFERROR(VLOOKUP($O24,capacities!$A$2:$J$2856,T$2,FALSE),0)</f>
        <v>0</v>
      </c>
      <c r="U24" s="372">
        <f>IFERROR(VLOOKUP($O24,capacities!$A$2:$J$2856,U$2,FALSE),0)</f>
        <v>0</v>
      </c>
      <c r="V24" s="372">
        <f>IFERROR(VLOOKUP($O24,capacities!$A$2:$J$2856,V$2,FALSE),0)</f>
        <v>0</v>
      </c>
      <c r="W24" s="372">
        <f>IFERROR(VLOOKUP($O24,capacities!$A$2:$J$2856,W$2,FALSE),0)</f>
        <v>0</v>
      </c>
      <c r="X24" s="372">
        <f>IFERROR(VLOOKUP($O24,capacities!$A$2:$J$2856,X$2,FALSE),0)</f>
        <v>0</v>
      </c>
      <c r="Y24" s="372">
        <f>IFERROR(VLOOKUP($O24,capacities!$A$2:$J$2856,Y$2,FALSE),0)</f>
        <v>0</v>
      </c>
      <c r="AG24" s="470"/>
    </row>
    <row r="25" spans="2:40" x14ac:dyDescent="0.35">
      <c r="B25" s="269" t="s">
        <v>2641</v>
      </c>
      <c r="C25" s="89"/>
      <c r="D25" s="89"/>
      <c r="E25" s="89"/>
      <c r="F25" s="89"/>
      <c r="G25" s="89"/>
      <c r="H25" s="89"/>
      <c r="I25" s="89"/>
      <c r="J25" s="89"/>
      <c r="K25" s="89"/>
      <c r="L25" s="90"/>
      <c r="O25" s="40" t="s">
        <v>190</v>
      </c>
      <c r="R25" s="372">
        <f>IFERROR(VLOOKUP($O25,capacities!$A$2:$J$2856,R$2,FALSE),0)</f>
        <v>0</v>
      </c>
      <c r="S25" s="372">
        <f>IFERROR(VLOOKUP($O25,capacities!$A$2:$J$2856,S$2,FALSE),0)</f>
        <v>0</v>
      </c>
      <c r="T25" s="372">
        <f>IFERROR(VLOOKUP($O25,capacities!$A$2:$J$2856,T$2,FALSE),0)</f>
        <v>0</v>
      </c>
      <c r="U25" s="372">
        <f>IFERROR(VLOOKUP($O25,capacities!$A$2:$J$2856,U$2,FALSE),0)</f>
        <v>0</v>
      </c>
      <c r="V25" s="372">
        <f>IFERROR(VLOOKUP($O25,capacities!$A$2:$J$2856,V$2,FALSE),0)</f>
        <v>0</v>
      </c>
      <c r="W25" s="372">
        <f>IFERROR(VLOOKUP($O25,capacities!$A$2:$J$2856,W$2,FALSE),0)</f>
        <v>0</v>
      </c>
      <c r="X25" s="372">
        <f>IFERROR(VLOOKUP($O25,capacities!$A$2:$J$2856,X$2,FALSE),0)</f>
        <v>0</v>
      </c>
      <c r="Y25" s="372">
        <f>IFERROR(VLOOKUP($O25,capacities!$A$2:$J$2856,Y$2,FALSE),0)</f>
        <v>0</v>
      </c>
      <c r="AG25" s="470"/>
    </row>
    <row r="26" spans="2:40" x14ac:dyDescent="0.35">
      <c r="B26" s="269" t="s">
        <v>2484</v>
      </c>
      <c r="C26" s="371"/>
      <c r="D26" s="371"/>
      <c r="E26" s="346">
        <f>IFERROR(VLOOKUP($B26,flows!$A$2:$J$4985,E$2,FALSE),0)</f>
        <v>0</v>
      </c>
      <c r="F26" s="346">
        <f>IFERROR(VLOOKUP($B26,flows!$A$2:$J$4985,F$2,FALSE),0)</f>
        <v>0</v>
      </c>
      <c r="G26" s="346">
        <f>IFERROR(VLOOKUP($B26,flows!$A$2:$J$4985,G$2,FALSE),0)</f>
        <v>0</v>
      </c>
      <c r="H26" s="346">
        <f>IFERROR(VLOOKUP($B26,flows!$A$2:$J$4985,H$2,FALSE),0)</f>
        <v>0</v>
      </c>
      <c r="I26" s="346">
        <f>IFERROR(VLOOKUP($B26,flows!$A$2:$J$4985,I$2,FALSE),0)</f>
        <v>0</v>
      </c>
      <c r="J26" s="346">
        <f>IFERROR(VLOOKUP($B26,flows!$A$2:$J$4985,J$2,FALSE),0)</f>
        <v>0</v>
      </c>
      <c r="K26" s="346">
        <f>IFERROR(VLOOKUP($B26,flows!$A$2:$J$4985,K$2,FALSE),0)</f>
        <v>0</v>
      </c>
      <c r="L26" s="346">
        <f>IFERROR(VLOOKUP($B26,flows!$A$2:$J$4985,L$2,FALSE),0)</f>
        <v>0</v>
      </c>
      <c r="O26" s="40" t="s">
        <v>193</v>
      </c>
      <c r="R26" s="372">
        <f>IFERROR(VLOOKUP($O26,capacities!$A$2:$J$2856,R$2,FALSE),0)</f>
        <v>0</v>
      </c>
      <c r="S26" s="372">
        <f>IFERROR(VLOOKUP($O26,capacities!$A$2:$J$2856,S$2,FALSE),0)</f>
        <v>0</v>
      </c>
      <c r="T26" s="372">
        <f>IFERROR(VLOOKUP($O26,capacities!$A$2:$J$2856,T$2,FALSE),0)</f>
        <v>0</v>
      </c>
      <c r="U26" s="372">
        <f>IFERROR(VLOOKUP($O26,capacities!$A$2:$J$2856,U$2,FALSE),0)</f>
        <v>0</v>
      </c>
      <c r="V26" s="372">
        <f>IFERROR(VLOOKUP($O26,capacities!$A$2:$J$2856,V$2,FALSE),0)</f>
        <v>0</v>
      </c>
      <c r="W26" s="372">
        <f>IFERROR(VLOOKUP($O26,capacities!$A$2:$J$2856,W$2,FALSE),0)</f>
        <v>0</v>
      </c>
      <c r="X26" s="372">
        <f>IFERROR(VLOOKUP($O26,capacities!$A$2:$J$2856,X$2,FALSE),0)</f>
        <v>0</v>
      </c>
      <c r="Y26" s="372">
        <f>IFERROR(VLOOKUP($O26,capacities!$A$2:$J$2856,Y$2,FALSE),0)</f>
        <v>0</v>
      </c>
    </row>
    <row r="27" spans="2:40" x14ac:dyDescent="0.35">
      <c r="B27" s="269" t="s">
        <v>2485</v>
      </c>
      <c r="D27" s="371"/>
      <c r="E27" s="346">
        <f>IFERROR(VLOOKUP($B27,flows!$A$2:$J$4985,E$2,FALSE),0)</f>
        <v>0</v>
      </c>
      <c r="F27" s="346">
        <f>IFERROR(VLOOKUP($B27,flows!$A$2:$J$4985,F$2,FALSE),0)</f>
        <v>0</v>
      </c>
      <c r="G27" s="346">
        <f>IFERROR(VLOOKUP($B27,flows!$A$2:$J$4985,G$2,FALSE),0)</f>
        <v>0</v>
      </c>
      <c r="H27" s="346">
        <f>IFERROR(VLOOKUP($B27,flows!$A$2:$J$4985,H$2,FALSE),0)</f>
        <v>0</v>
      </c>
      <c r="I27" s="346">
        <f>IFERROR(VLOOKUP($B27,flows!$A$2:$J$4985,I$2,FALSE),0)</f>
        <v>0</v>
      </c>
      <c r="J27" s="346">
        <f>IFERROR(VLOOKUP($B27,flows!$A$2:$J$4985,J$2,FALSE),0)</f>
        <v>0</v>
      </c>
      <c r="K27" s="346">
        <f>IFERROR(VLOOKUP($B27,flows!$A$2:$J$4985,K$2,FALSE),0)</f>
        <v>0</v>
      </c>
      <c r="L27" s="346">
        <f>IFERROR(VLOOKUP($B27,flows!$A$2:$J$4985,L$2,FALSE),0)</f>
        <v>0</v>
      </c>
      <c r="O27" s="40" t="s">
        <v>192</v>
      </c>
      <c r="R27" s="372">
        <f>IFERROR(VLOOKUP($O27,capacities!$A$2:$J$2856,R$2,FALSE),0)</f>
        <v>0</v>
      </c>
      <c r="S27" s="372">
        <f>IFERROR(VLOOKUP($O27,capacities!$A$2:$J$2856,S$2,FALSE),0)</f>
        <v>0</v>
      </c>
      <c r="T27" s="372">
        <f>IFERROR(VLOOKUP($O27,capacities!$A$2:$J$2856,T$2,FALSE),0)</f>
        <v>0</v>
      </c>
      <c r="U27" s="372">
        <f>IFERROR(VLOOKUP($O27,capacities!$A$2:$J$2856,U$2,FALSE),0)</f>
        <v>0</v>
      </c>
      <c r="V27" s="372">
        <f>IFERROR(VLOOKUP($O27,capacities!$A$2:$J$2856,V$2,FALSE),0)</f>
        <v>0</v>
      </c>
      <c r="W27" s="372">
        <f>IFERROR(VLOOKUP($O27,capacities!$A$2:$J$2856,W$2,FALSE),0)</f>
        <v>0</v>
      </c>
      <c r="X27" s="372">
        <f>IFERROR(VLOOKUP($O27,capacities!$A$2:$J$2856,X$2,FALSE),0)</f>
        <v>0</v>
      </c>
      <c r="Y27" s="372">
        <f>IFERROR(VLOOKUP($O27,capacities!$A$2:$J$2856,Y$2,FALSE),0)</f>
        <v>0</v>
      </c>
    </row>
    <row r="28" spans="2:40" x14ac:dyDescent="0.35">
      <c r="B28" s="269" t="s">
        <v>650</v>
      </c>
      <c r="E28" s="346">
        <f>IFERROR(VLOOKUP($B28,flows!$A$2:$J$4985,E$2,FALSE),0)</f>
        <v>0</v>
      </c>
      <c r="F28" s="346">
        <f>IFERROR(VLOOKUP($B28,flows!$A$2:$J$4985,F$2,FALSE),0)</f>
        <v>0</v>
      </c>
      <c r="G28" s="346">
        <f>IFERROR(VLOOKUP($B28,flows!$A$2:$J$4985,G$2,FALSE),0)</f>
        <v>0</v>
      </c>
      <c r="H28" s="346">
        <f>IFERROR(VLOOKUP($B28,flows!$A$2:$J$4985,H$2,FALSE),0)</f>
        <v>0</v>
      </c>
      <c r="I28" s="346">
        <f>IFERROR(VLOOKUP($B28,flows!$A$2:$J$4985,I$2,FALSE),0)</f>
        <v>0</v>
      </c>
      <c r="J28" s="346">
        <f>IFERROR(VLOOKUP($B28,flows!$A$2:$J$4985,J$2,FALSE),0)</f>
        <v>0</v>
      </c>
      <c r="K28" s="346">
        <f>IFERROR(VLOOKUP($B28,flows!$A$2:$J$4985,K$2,FALSE),0)</f>
        <v>0</v>
      </c>
      <c r="L28" s="346">
        <f>IFERROR(VLOOKUP($B28,flows!$A$2:$J$4985,L$2,FALSE),0)</f>
        <v>0</v>
      </c>
      <c r="O28" s="40" t="s">
        <v>189</v>
      </c>
      <c r="R28" s="372">
        <f>IFERROR(VLOOKUP($O28,capacities!$A$2:$J$2856,R$2,FALSE),0)</f>
        <v>0</v>
      </c>
      <c r="S28" s="372">
        <f>IFERROR(VLOOKUP($O28,capacities!$A$2:$J$2856,S$2,FALSE),0)</f>
        <v>0</v>
      </c>
      <c r="T28" s="372">
        <f>IFERROR(VLOOKUP($O28,capacities!$A$2:$J$2856,T$2,FALSE),0)</f>
        <v>0</v>
      </c>
      <c r="U28" s="372">
        <f>IFERROR(VLOOKUP($O28,capacities!$A$2:$J$2856,U$2,FALSE),0)</f>
        <v>0</v>
      </c>
      <c r="V28" s="372">
        <f>IFERROR(VLOOKUP($O28,capacities!$A$2:$J$2856,V$2,FALSE),0)</f>
        <v>0</v>
      </c>
      <c r="W28" s="372">
        <f>IFERROR(VLOOKUP($O28,capacities!$A$2:$J$2856,W$2,FALSE),0)</f>
        <v>0</v>
      </c>
      <c r="X28" s="372">
        <f>IFERROR(VLOOKUP($O28,capacities!$A$2:$J$2856,X$2,FALSE),0)</f>
        <v>0</v>
      </c>
      <c r="Y28" s="372">
        <f>IFERROR(VLOOKUP($O28,capacities!$A$2:$J$2856,Y$2,FALSE),0)</f>
        <v>0</v>
      </c>
    </row>
    <row r="29" spans="2:40" ht="15" thickBot="1" x14ac:dyDescent="0.4">
      <c r="B29" s="269" t="s">
        <v>4223</v>
      </c>
      <c r="C29" s="758"/>
      <c r="D29" s="758"/>
      <c r="E29" s="346">
        <f>IFERROR(VLOOKUP($B29,flows!$A$2:$J$4985,E$2,FALSE),0)</f>
        <v>4005.039287317009</v>
      </c>
      <c r="F29" s="346">
        <f>IFERROR(VLOOKUP($B29,flows!$A$2:$J$4985,F$2,FALSE),0)</f>
        <v>0</v>
      </c>
      <c r="G29" s="346">
        <f>IFERROR(VLOOKUP($B29,flows!$A$2:$J$4985,G$2,FALSE),0)</f>
        <v>1.651125082986914</v>
      </c>
      <c r="H29" s="346">
        <f>IFERROR(VLOOKUP($B29,flows!$A$2:$J$4985,H$2,FALSE),0)</f>
        <v>9.1672203015324312E-3</v>
      </c>
      <c r="I29" s="346">
        <f>IFERROR(VLOOKUP($B29,flows!$A$2:$J$4985,I$2,FALSE),0)</f>
        <v>4712.9720061677363</v>
      </c>
      <c r="J29" s="346">
        <f>IFERROR(VLOOKUP($B29,flows!$A$2:$J$4985,J$2,FALSE),0)</f>
        <v>4.9331093052695459E-2</v>
      </c>
      <c r="K29" s="346">
        <f>IFERROR(VLOOKUP($B29,flows!$A$2:$J$4985,K$2,FALSE),0)</f>
        <v>4056.4651695948169</v>
      </c>
      <c r="L29" s="346">
        <f>IFERROR(VLOOKUP($B29,flows!$A$2:$J$4985,L$2,FALSE),0)</f>
        <v>0</v>
      </c>
      <c r="O29" s="41" t="s">
        <v>191</v>
      </c>
      <c r="P29" s="77"/>
      <c r="Q29" s="77"/>
      <c r="R29" s="372">
        <f>IFERROR(VLOOKUP($O29,capacities!$A$2:$J$2856,R$2,FALSE),0)</f>
        <v>0</v>
      </c>
      <c r="S29" s="372">
        <f>IFERROR(VLOOKUP($O29,capacities!$A$2:$J$2856,S$2,FALSE),0)</f>
        <v>0</v>
      </c>
      <c r="T29" s="372">
        <f>IFERROR(VLOOKUP($O29,capacities!$A$2:$J$2856,T$2,FALSE),0)</f>
        <v>0</v>
      </c>
      <c r="U29" s="372">
        <f>IFERROR(VLOOKUP($O29,capacities!$A$2:$J$2856,U$2,FALSE),0)</f>
        <v>0</v>
      </c>
      <c r="V29" s="372">
        <f>IFERROR(VLOOKUP($O29,capacities!$A$2:$J$2856,V$2,FALSE),0)</f>
        <v>0</v>
      </c>
      <c r="W29" s="372">
        <f>IFERROR(VLOOKUP($O29,capacities!$A$2:$J$2856,W$2,FALSE),0)</f>
        <v>0</v>
      </c>
      <c r="X29" s="372">
        <f>IFERROR(VLOOKUP($O29,capacities!$A$2:$J$2856,X$2,FALSE),0)</f>
        <v>0</v>
      </c>
      <c r="Y29" s="372">
        <f>IFERROR(VLOOKUP($O29,capacities!$A$2:$J$2856,Y$2,FALSE),0)</f>
        <v>0</v>
      </c>
    </row>
    <row r="30" spans="2:40" x14ac:dyDescent="0.35">
      <c r="B30" s="269" t="s">
        <v>3891</v>
      </c>
      <c r="C30" s="491"/>
      <c r="D30" s="491"/>
      <c r="E30" s="346">
        <f>IFERROR(VLOOKUP($B30,flows!$A$2:$J$4985,E$2,FALSE),0)</f>
        <v>4379.9631321032984</v>
      </c>
      <c r="F30" s="346">
        <f>IFERROR(VLOOKUP($B30,flows!$A$2:$J$4985,F$2,FALSE),0)</f>
        <v>2838.0748052862859</v>
      </c>
      <c r="G30" s="346">
        <f>IFERROR(VLOOKUP($B30,flows!$A$2:$J$4985,G$2,FALSE),0)</f>
        <v>2911.1009775129619</v>
      </c>
      <c r="H30" s="346">
        <f>IFERROR(VLOOKUP($B30,flows!$A$2:$J$4985,H$2,FALSE),0)</f>
        <v>3505.7031327876039</v>
      </c>
      <c r="I30" s="346">
        <f>IFERROR(VLOOKUP($B30,flows!$A$2:$J$4985,I$2,FALSE),0)</f>
        <v>4.5088325233072372E-2</v>
      </c>
      <c r="J30" s="346">
        <f>IFERROR(VLOOKUP($B30,flows!$A$2:$J$4985,J$2,FALSE),0)</f>
        <v>5927.7557852660711</v>
      </c>
      <c r="K30" s="346">
        <f>IFERROR(VLOOKUP($B30,flows!$A$2:$J$4985,K$2,FALSE),0)</f>
        <v>4328.4678144655218</v>
      </c>
      <c r="L30" s="346">
        <f>IFERROR(VLOOKUP($B30,flows!$A$2:$J$4985,L$2,FALSE),0)</f>
        <v>0</v>
      </c>
    </row>
    <row r="31" spans="2:40" x14ac:dyDescent="0.35">
      <c r="B31" s="269" t="s">
        <v>2473</v>
      </c>
      <c r="C31" s="371"/>
      <c r="D31" s="371"/>
      <c r="E31" s="346">
        <f>IFERROR(VLOOKUP($B31,flows!$A$2:$J$4985,E$2,FALSE),0)</f>
        <v>0</v>
      </c>
      <c r="F31" s="346">
        <f>IFERROR(VLOOKUP($B31,flows!$A$2:$J$4985,F$2,FALSE),0)</f>
        <v>0</v>
      </c>
      <c r="G31" s="346">
        <f>IFERROR(VLOOKUP($B31,flows!$A$2:$J$4985,G$2,FALSE),0)</f>
        <v>0</v>
      </c>
      <c r="H31" s="346">
        <f>IFERROR(VLOOKUP($B31,flows!$A$2:$J$4985,H$2,FALSE),0)</f>
        <v>0</v>
      </c>
      <c r="I31" s="346">
        <f>IFERROR(VLOOKUP($B31,flows!$A$2:$J$4985,I$2,FALSE),0)</f>
        <v>0</v>
      </c>
      <c r="J31" s="346">
        <f>IFERROR(VLOOKUP($B31,flows!$A$2:$J$4985,J$2,FALSE),0)</f>
        <v>0</v>
      </c>
      <c r="K31" s="346">
        <f>IFERROR(VLOOKUP($B31,flows!$A$2:$J$4985,K$2,FALSE),0)</f>
        <v>0</v>
      </c>
      <c r="L31" s="346">
        <f>IFERROR(VLOOKUP($B31,flows!$A$2:$J$4985,L$2,FALSE),0)</f>
        <v>0</v>
      </c>
    </row>
    <row r="32" spans="2:40" x14ac:dyDescent="0.35">
      <c r="B32" s="269" t="s">
        <v>2472</v>
      </c>
      <c r="C32" s="371"/>
      <c r="D32" s="371"/>
      <c r="E32" s="346">
        <f>IFERROR(VLOOKUP($B32,flows!$A$2:$J$4985,E$2,FALSE),0)</f>
        <v>0</v>
      </c>
      <c r="F32" s="346">
        <f>IFERROR(VLOOKUP($B32,flows!$A$2:$J$4985,F$2,FALSE),0)</f>
        <v>0</v>
      </c>
      <c r="G32" s="346">
        <f>IFERROR(VLOOKUP($B32,flows!$A$2:$J$4985,G$2,FALSE),0)</f>
        <v>0</v>
      </c>
      <c r="H32" s="346">
        <f>IFERROR(VLOOKUP($B32,flows!$A$2:$J$4985,H$2,FALSE),0)</f>
        <v>0</v>
      </c>
      <c r="I32" s="346">
        <f>IFERROR(VLOOKUP($B32,flows!$A$2:$J$4985,I$2,FALSE),0)</f>
        <v>0</v>
      </c>
      <c r="J32" s="346">
        <f>IFERROR(VLOOKUP($B32,flows!$A$2:$J$4985,J$2,FALSE),0)</f>
        <v>0</v>
      </c>
      <c r="K32" s="346">
        <f>IFERROR(VLOOKUP($B32,flows!$A$2:$J$4985,K$2,FALSE),0)</f>
        <v>0</v>
      </c>
      <c r="L32" s="346">
        <f>IFERROR(VLOOKUP($B32,flows!$A$2:$J$4985,L$2,FALSE),0)</f>
        <v>0</v>
      </c>
    </row>
    <row r="33" spans="2:12" x14ac:dyDescent="0.35">
      <c r="B33" s="269" t="s">
        <v>2863</v>
      </c>
      <c r="C33" s="371"/>
      <c r="D33" s="371" t="s">
        <v>1502</v>
      </c>
      <c r="E33" s="346">
        <f>IFERROR(VLOOKUP($B33,flows!$A$2:$J$4985,E$2,FALSE),0)</f>
        <v>0</v>
      </c>
      <c r="F33" s="346">
        <f>IFERROR(VLOOKUP($B33,flows!$A$2:$J$4985,F$2,FALSE),0)</f>
        <v>0</v>
      </c>
      <c r="G33" s="346">
        <f>IFERROR(VLOOKUP($B33,flows!$A$2:$J$4985,G$2,FALSE),0)</f>
        <v>0</v>
      </c>
      <c r="H33" s="346">
        <f>IFERROR(VLOOKUP($B33,flows!$A$2:$J$4985,H$2,FALSE),0)</f>
        <v>0</v>
      </c>
      <c r="I33" s="346">
        <f>IFERROR(VLOOKUP($B33,flows!$A$2:$J$4985,I$2,FALSE),0)</f>
        <v>0</v>
      </c>
      <c r="J33" s="346">
        <f>IFERROR(VLOOKUP($B33,flows!$A$2:$J$4985,J$2,FALSE),0)</f>
        <v>0</v>
      </c>
      <c r="K33" s="346">
        <f>IFERROR(VLOOKUP($B33,flows!$A$2:$J$4985,K$2,FALSE),0)</f>
        <v>0</v>
      </c>
      <c r="L33" s="346">
        <f>IFERROR(VLOOKUP($B33,flows!$A$2:$J$4985,L$2,FALSE),0)</f>
        <v>0</v>
      </c>
    </row>
    <row r="34" spans="2:12" x14ac:dyDescent="0.35">
      <c r="B34" s="269" t="s">
        <v>2860</v>
      </c>
      <c r="C34" s="371"/>
      <c r="D34" s="371" t="s">
        <v>1409</v>
      </c>
      <c r="E34" s="346">
        <f>IFERROR(VLOOKUP($B34,flows!$A$2:$J$4985,E$2,FALSE),0)</f>
        <v>0</v>
      </c>
      <c r="F34" s="346">
        <f>IFERROR(VLOOKUP($B34,flows!$A$2:$J$4985,F$2,FALSE),0)</f>
        <v>0</v>
      </c>
      <c r="G34" s="346">
        <f>IFERROR(VLOOKUP($B34,flows!$A$2:$J$4985,G$2,FALSE),0)</f>
        <v>0</v>
      </c>
      <c r="H34" s="346">
        <f>IFERROR(VLOOKUP($B34,flows!$A$2:$J$4985,H$2,FALSE),0)</f>
        <v>0</v>
      </c>
      <c r="I34" s="346">
        <f>IFERROR(VLOOKUP($B34,flows!$A$2:$J$4985,I$2,FALSE),0)</f>
        <v>0</v>
      </c>
      <c r="J34" s="346">
        <f>IFERROR(VLOOKUP($B34,flows!$A$2:$J$4985,J$2,FALSE),0)</f>
        <v>0</v>
      </c>
      <c r="K34" s="346">
        <f>IFERROR(VLOOKUP($B34,flows!$A$2:$J$4985,K$2,FALSE),0)</f>
        <v>0</v>
      </c>
      <c r="L34" s="346">
        <f>IFERROR(VLOOKUP($B34,flows!$A$2:$J$4985,L$2,FALSE),0)</f>
        <v>0</v>
      </c>
    </row>
    <row r="35" spans="2:12" x14ac:dyDescent="0.35">
      <c r="B35" s="269" t="s">
        <v>2865</v>
      </c>
      <c r="C35" s="371"/>
      <c r="D35" s="371"/>
      <c r="E35" s="346">
        <f>IFERROR(VLOOKUP($B35,flows!$A$2:$J$4985,E$2,FALSE),0)</f>
        <v>0</v>
      </c>
      <c r="F35" s="346">
        <f>IFERROR(VLOOKUP($B35,flows!$A$2:$J$4985,F$2,FALSE),0)</f>
        <v>0</v>
      </c>
      <c r="G35" s="346">
        <f>IFERROR(VLOOKUP($B35,flows!$A$2:$J$4985,G$2,FALSE),0)</f>
        <v>0</v>
      </c>
      <c r="H35" s="346">
        <f>IFERROR(VLOOKUP($B35,flows!$A$2:$J$4985,H$2,FALSE),0)</f>
        <v>0</v>
      </c>
      <c r="I35" s="346">
        <f>IFERROR(VLOOKUP($B35,flows!$A$2:$J$4985,I$2,FALSE),0)</f>
        <v>0</v>
      </c>
      <c r="J35" s="346">
        <f>IFERROR(VLOOKUP($B35,flows!$A$2:$J$4985,J$2,FALSE),0)</f>
        <v>0</v>
      </c>
      <c r="K35" s="346">
        <f>IFERROR(VLOOKUP($B35,flows!$A$2:$J$4985,K$2,FALSE),0)</f>
        <v>0</v>
      </c>
      <c r="L35" s="346">
        <f>IFERROR(VLOOKUP($B35,flows!$A$2:$J$4985,L$2,FALSE),0)</f>
        <v>0</v>
      </c>
    </row>
    <row r="36" spans="2:12" x14ac:dyDescent="0.35">
      <c r="B36" s="269" t="s">
        <v>2866</v>
      </c>
      <c r="C36" s="371"/>
      <c r="D36" s="371"/>
      <c r="E36" s="346">
        <f>IFERROR(VLOOKUP($B36,flows!$A$2:$J$4985,E$2,FALSE),0)</f>
        <v>0</v>
      </c>
      <c r="F36" s="346">
        <f>IFERROR(VLOOKUP($B36,flows!$A$2:$J$4985,F$2,FALSE),0)</f>
        <v>0</v>
      </c>
      <c r="G36" s="346">
        <f>IFERROR(VLOOKUP($B36,flows!$A$2:$J$4985,G$2,FALSE),0)</f>
        <v>0</v>
      </c>
      <c r="H36" s="346">
        <f>IFERROR(VLOOKUP($B36,flows!$A$2:$J$4985,H$2,FALSE),0)</f>
        <v>0</v>
      </c>
      <c r="I36" s="346">
        <f>IFERROR(VLOOKUP($B36,flows!$A$2:$J$4985,I$2,FALSE),0)</f>
        <v>0</v>
      </c>
      <c r="J36" s="346">
        <f>IFERROR(VLOOKUP($B36,flows!$A$2:$J$4985,J$2,FALSE),0)</f>
        <v>0</v>
      </c>
      <c r="K36" s="346">
        <f>IFERROR(VLOOKUP($B36,flows!$A$2:$J$4985,K$2,FALSE),0)</f>
        <v>0</v>
      </c>
      <c r="L36" s="346">
        <f>IFERROR(VLOOKUP($B36,flows!$A$2:$J$4985,L$2,FALSE),0)</f>
        <v>0</v>
      </c>
    </row>
    <row r="37" spans="2:12" x14ac:dyDescent="0.35">
      <c r="B37" s="269" t="s">
        <v>2861</v>
      </c>
      <c r="E37" s="346">
        <f>IFERROR(VLOOKUP($B37,flows!$A$2:$J$4985,E$2,FALSE),0)</f>
        <v>0</v>
      </c>
      <c r="F37" s="346">
        <f>IFERROR(VLOOKUP($B37,flows!$A$2:$J$4985,F$2,FALSE),0)</f>
        <v>0</v>
      </c>
      <c r="G37" s="346">
        <f>IFERROR(VLOOKUP($B37,flows!$A$2:$J$4985,G$2,FALSE),0)</f>
        <v>0</v>
      </c>
      <c r="H37" s="346">
        <f>IFERROR(VLOOKUP($B37,flows!$A$2:$J$4985,H$2,FALSE),0)</f>
        <v>0</v>
      </c>
      <c r="I37" s="346">
        <f>IFERROR(VLOOKUP($B37,flows!$A$2:$J$4985,I$2,FALSE),0)</f>
        <v>0</v>
      </c>
      <c r="J37" s="346">
        <f>IFERROR(VLOOKUP($B37,flows!$A$2:$J$4985,J$2,FALSE),0)</f>
        <v>0</v>
      </c>
      <c r="K37" s="346">
        <f>IFERROR(VLOOKUP($B37,flows!$A$2:$J$4985,K$2,FALSE),0)</f>
        <v>0</v>
      </c>
      <c r="L37" s="346">
        <f>IFERROR(VLOOKUP($B37,flows!$A$2:$J$4985,L$2,FALSE),0)</f>
        <v>0</v>
      </c>
    </row>
    <row r="38" spans="2:12" x14ac:dyDescent="0.35">
      <c r="B38" s="269" t="s">
        <v>4148</v>
      </c>
      <c r="C38" s="862"/>
      <c r="D38" s="862"/>
      <c r="E38" s="346">
        <f>IFERROR(VLOOKUP($B38,flows!$A$2:$J$4985,E$2,FALSE),0)</f>
        <v>8.8465562889195146E-4</v>
      </c>
      <c r="F38" s="346">
        <f>IFERROR(VLOOKUP($B38,flows!$A$2:$J$4985,F$2,FALSE),0)</f>
        <v>0</v>
      </c>
      <c r="G38" s="346">
        <f>IFERROR(VLOOKUP($B38,flows!$A$2:$J$4985,G$2,FALSE),0)</f>
        <v>0.72771572971397591</v>
      </c>
      <c r="H38" s="346">
        <f>IFERROR(VLOOKUP($B38,flows!$A$2:$J$4985,H$2,FALSE),0)</f>
        <v>3.5798441773447812E-3</v>
      </c>
      <c r="I38" s="346">
        <f>IFERROR(VLOOKUP($B38,flows!$A$2:$J$4985,I$2,FALSE),0)</f>
        <v>2.4243121413485848E-3</v>
      </c>
      <c r="J38" s="346">
        <f>IFERROR(VLOOKUP($B38,flows!$A$2:$J$4985,J$2,FALSE),0)</f>
        <v>3433.1926499807341</v>
      </c>
      <c r="K38" s="346">
        <f>IFERROR(VLOOKUP($B38,flows!$A$2:$J$4985,K$2,FALSE),0)</f>
        <v>9.3622537683307305E-2</v>
      </c>
      <c r="L38" s="346">
        <f>IFERROR(VLOOKUP($B38,flows!$A$2:$J$4985,L$2,FALSE),0)</f>
        <v>0</v>
      </c>
    </row>
    <row r="39" spans="2:12" x14ac:dyDescent="0.35">
      <c r="B39" s="269" t="s">
        <v>4153</v>
      </c>
      <c r="C39" s="862"/>
      <c r="D39" s="862"/>
      <c r="E39" s="346">
        <f>IFERROR(VLOOKUP($B39,flows!$A$2:$J$4985,E$2,FALSE),0)</f>
        <v>9.5835582585947459E-4</v>
      </c>
      <c r="F39" s="346">
        <f>IFERROR(VLOOKUP($B39,flows!$A$2:$J$4985,F$2,FALSE),0)</f>
        <v>0</v>
      </c>
      <c r="G39" s="346">
        <f>IFERROR(VLOOKUP($B39,flows!$A$2:$J$4985,G$2,FALSE),0)</f>
        <v>0.78834134590257232</v>
      </c>
      <c r="H39" s="346">
        <f>IFERROR(VLOOKUP($B39,flows!$A$2:$J$4985,H$2,FALSE),0)</f>
        <v>3.8780791202612801E-3</v>
      </c>
      <c r="I39" s="346">
        <f>IFERROR(VLOOKUP($B39,flows!$A$2:$J$4985,I$2,FALSE),0)</f>
        <v>2.6262803157351979E-3</v>
      </c>
      <c r="J39" s="346">
        <f>IFERROR(VLOOKUP($B39,flows!$A$2:$J$4985,J$2,FALSE),0)</f>
        <v>3719.2101309839959</v>
      </c>
      <c r="K39" s="346">
        <f>IFERROR(VLOOKUP($B39,flows!$A$2:$J$4985,K$2,FALSE),0)</f>
        <v>0.1014221822483925</v>
      </c>
      <c r="L39" s="346">
        <f>IFERROR(VLOOKUP($B39,flows!$A$2:$J$4985,L$2,FALSE),0)</f>
        <v>0</v>
      </c>
    </row>
    <row r="40" spans="2:12" x14ac:dyDescent="0.35">
      <c r="B40" s="269" t="s">
        <v>2489</v>
      </c>
      <c r="C40" s="862"/>
      <c r="D40" s="862"/>
      <c r="E40" s="346">
        <f>IFERROR(VLOOKUP($B40,flows!$A$2:$J$4985,E$2,FALSE),0)</f>
        <v>0</v>
      </c>
      <c r="F40" s="346">
        <f>IFERROR(VLOOKUP($B40,flows!$A$2:$J$4985,F$2,FALSE),0)</f>
        <v>0</v>
      </c>
      <c r="G40" s="346">
        <f>IFERROR(VLOOKUP($B40,flows!$A$2:$J$4985,G$2,FALSE),0)</f>
        <v>0</v>
      </c>
      <c r="H40" s="346">
        <f>IFERROR(VLOOKUP($B40,flows!$A$2:$J$4985,H$2,FALSE),0)</f>
        <v>0</v>
      </c>
      <c r="I40" s="346">
        <f>IFERROR(VLOOKUP($B40,flows!$A$2:$J$4985,I$2,FALSE),0)</f>
        <v>0</v>
      </c>
      <c r="J40" s="346">
        <f>IFERROR(VLOOKUP($B40,flows!$A$2:$J$4985,J$2,FALSE),0)</f>
        <v>0</v>
      </c>
      <c r="K40" s="346">
        <f>IFERROR(VLOOKUP($B40,flows!$A$2:$J$4985,K$2,FALSE),0)</f>
        <v>0</v>
      </c>
      <c r="L40" s="346">
        <f>IFERROR(VLOOKUP($B40,flows!$A$2:$J$4985,L$2,FALSE),0)</f>
        <v>0</v>
      </c>
    </row>
    <row r="41" spans="2:12" x14ac:dyDescent="0.35">
      <c r="B41" s="269" t="s">
        <v>2488</v>
      </c>
      <c r="C41" s="862"/>
      <c r="D41" s="862"/>
      <c r="E41" s="346">
        <f>IFERROR(VLOOKUP($B41,flows!$A$2:$J$4985,E$2,FALSE),0)</f>
        <v>0</v>
      </c>
      <c r="F41" s="346">
        <f>IFERROR(VLOOKUP($B41,flows!$A$2:$J$4985,F$2,FALSE),0)</f>
        <v>0</v>
      </c>
      <c r="G41" s="346">
        <f>IFERROR(VLOOKUP($B41,flows!$A$2:$J$4985,G$2,FALSE),0)</f>
        <v>0</v>
      </c>
      <c r="H41" s="346">
        <f>IFERROR(VLOOKUP($B41,flows!$A$2:$J$4985,H$2,FALSE),0)</f>
        <v>0</v>
      </c>
      <c r="I41" s="346">
        <f>IFERROR(VLOOKUP($B41,flows!$A$2:$J$4985,I$2,FALSE),0)</f>
        <v>0</v>
      </c>
      <c r="J41" s="346">
        <f>IFERROR(VLOOKUP($B41,flows!$A$2:$J$4985,J$2,FALSE),0)</f>
        <v>0</v>
      </c>
      <c r="K41" s="346">
        <f>IFERROR(VLOOKUP($B41,flows!$A$2:$J$4985,K$2,FALSE),0)</f>
        <v>0</v>
      </c>
      <c r="L41" s="346">
        <f>IFERROR(VLOOKUP($B41,flows!$A$2:$J$4985,L$2,FALSE),0)</f>
        <v>0</v>
      </c>
    </row>
    <row r="42" spans="2:12" x14ac:dyDescent="0.35">
      <c r="B42" s="269" t="s">
        <v>121</v>
      </c>
      <c r="D42" s="371"/>
      <c r="E42" s="346">
        <f>IFERROR(VLOOKUP($B42,flows!$A$2:$J$4985,E$2,FALSE),0)</f>
        <v>0</v>
      </c>
      <c r="F42" s="346">
        <f>IFERROR(VLOOKUP($B42,flows!$A$2:$J$4985,F$2,FALSE),0)</f>
        <v>0</v>
      </c>
      <c r="G42" s="346">
        <f>IFERROR(VLOOKUP($B42,flows!$A$2:$J$4985,G$2,FALSE),0)</f>
        <v>0</v>
      </c>
      <c r="H42" s="346">
        <f>IFERROR(VLOOKUP($B42,flows!$A$2:$J$4985,H$2,FALSE),0)</f>
        <v>0</v>
      </c>
      <c r="I42" s="346">
        <f>IFERROR(VLOOKUP($B42,flows!$A$2:$J$4985,I$2,FALSE),0)</f>
        <v>0</v>
      </c>
      <c r="J42" s="346">
        <f>IFERROR(VLOOKUP($B42,flows!$A$2:$J$4985,J$2,FALSE),0)</f>
        <v>0</v>
      </c>
      <c r="K42" s="346">
        <f>IFERROR(VLOOKUP($B42,flows!$A$2:$J$4985,K$2,FALSE),0)</f>
        <v>0</v>
      </c>
      <c r="L42" s="346">
        <f>IFERROR(VLOOKUP($B42,flows!$A$2:$J$4985,L$2,FALSE),0)</f>
        <v>0</v>
      </c>
    </row>
    <row r="43" spans="2:12" x14ac:dyDescent="0.35">
      <c r="B43" s="269" t="s">
        <v>2862</v>
      </c>
      <c r="D43" s="371"/>
      <c r="E43" s="346">
        <f>IFERROR(VLOOKUP($B43,flows!$A$2:$J$4985,E$2,FALSE),0)</f>
        <v>0</v>
      </c>
      <c r="F43" s="346">
        <f>IFERROR(VLOOKUP($B43,flows!$A$2:$J$4985,F$2,FALSE),0)</f>
        <v>0</v>
      </c>
      <c r="G43" s="346">
        <f>IFERROR(VLOOKUP($B43,flows!$A$2:$J$4985,G$2,FALSE),0)</f>
        <v>0</v>
      </c>
      <c r="H43" s="346">
        <f>IFERROR(VLOOKUP($B43,flows!$A$2:$J$4985,H$2,FALSE),0)</f>
        <v>0</v>
      </c>
      <c r="I43" s="346">
        <f>IFERROR(VLOOKUP($B43,flows!$A$2:$J$4985,I$2,FALSE),0)</f>
        <v>0</v>
      </c>
      <c r="J43" s="346">
        <f>IFERROR(VLOOKUP($B43,flows!$A$2:$J$4985,J$2,FALSE),0)</f>
        <v>0</v>
      </c>
      <c r="K43" s="346">
        <f>IFERROR(VLOOKUP($B43,flows!$A$2:$J$4985,K$2,FALSE),0)</f>
        <v>0</v>
      </c>
      <c r="L43" s="346">
        <f>IFERROR(VLOOKUP($B43,flows!$A$2:$J$4985,L$2,FALSE),0)</f>
        <v>0</v>
      </c>
    </row>
    <row r="44" spans="2:12" x14ac:dyDescent="0.35">
      <c r="B44" s="40"/>
      <c r="C44" s="365" t="s">
        <v>2646</v>
      </c>
      <c r="D44" s="365" t="s">
        <v>2647</v>
      </c>
      <c r="E44" s="348" t="e">
        <f t="shared" ref="E44:L44" si="12">E21/(E4+E9)</f>
        <v>#DIV/0!</v>
      </c>
      <c r="F44" s="348" t="e">
        <f t="shared" si="12"/>
        <v>#DIV/0!</v>
      </c>
      <c r="G44" s="348" t="e">
        <f t="shared" si="12"/>
        <v>#DIV/0!</v>
      </c>
      <c r="H44" s="348" t="e">
        <f t="shared" si="12"/>
        <v>#DIV/0!</v>
      </c>
      <c r="I44" s="348" t="e">
        <f t="shared" si="12"/>
        <v>#DIV/0!</v>
      </c>
      <c r="J44" s="348" t="e">
        <f t="shared" si="12"/>
        <v>#DIV/0!</v>
      </c>
      <c r="K44" s="348" t="e">
        <f t="shared" si="12"/>
        <v>#DIV/0!</v>
      </c>
      <c r="L44" s="348" t="e">
        <f t="shared" si="12"/>
        <v>#DIV/0!</v>
      </c>
    </row>
    <row r="45" spans="2:12" x14ac:dyDescent="0.35">
      <c r="B45" s="40"/>
      <c r="C45" s="365" t="s">
        <v>2648</v>
      </c>
      <c r="D45" s="365" t="s">
        <v>2649</v>
      </c>
      <c r="E45" s="348" t="e">
        <f t="shared" ref="E45:L45" si="13">E22/(E9+E4)</f>
        <v>#N/A</v>
      </c>
      <c r="F45" s="348" t="e">
        <f t="shared" si="13"/>
        <v>#DIV/0!</v>
      </c>
      <c r="G45" s="348" t="e">
        <f t="shared" si="13"/>
        <v>#N/A</v>
      </c>
      <c r="H45" s="348" t="e">
        <f t="shared" si="13"/>
        <v>#N/A</v>
      </c>
      <c r="I45" s="348" t="e">
        <f t="shared" si="13"/>
        <v>#N/A</v>
      </c>
      <c r="J45" s="348" t="e">
        <f t="shared" si="13"/>
        <v>#N/A</v>
      </c>
      <c r="K45" s="348" t="e">
        <f t="shared" si="13"/>
        <v>#N/A</v>
      </c>
      <c r="L45" s="348" t="e">
        <f t="shared" si="13"/>
        <v>#N/A</v>
      </c>
    </row>
    <row r="46" spans="2:12" x14ac:dyDescent="0.35">
      <c r="B46" s="40"/>
      <c r="C46" s="365" t="s">
        <v>2640</v>
      </c>
      <c r="D46" s="365" t="s">
        <v>2824</v>
      </c>
      <c r="E46" s="348" t="e">
        <f t="shared" ref="E46:L46" si="14">E24/(E9+E4)</f>
        <v>#DIV/0!</v>
      </c>
      <c r="F46" s="348" t="e">
        <f t="shared" si="14"/>
        <v>#DIV/0!</v>
      </c>
      <c r="G46" s="348" t="e">
        <f t="shared" si="14"/>
        <v>#DIV/0!</v>
      </c>
      <c r="H46" s="348" t="e">
        <f t="shared" si="14"/>
        <v>#DIV/0!</v>
      </c>
      <c r="I46" s="348" t="e">
        <f t="shared" si="14"/>
        <v>#DIV/0!</v>
      </c>
      <c r="J46" s="348" t="e">
        <f t="shared" si="14"/>
        <v>#DIV/0!</v>
      </c>
      <c r="K46" s="348" t="e">
        <f t="shared" si="14"/>
        <v>#DIV/0!</v>
      </c>
      <c r="L46" s="348" t="e">
        <f t="shared" si="14"/>
        <v>#DIV/0!</v>
      </c>
    </row>
    <row r="47" spans="2:12" x14ac:dyDescent="0.35">
      <c r="B47" s="40"/>
      <c r="C47" s="365" t="s">
        <v>1206</v>
      </c>
      <c r="D47" s="365" t="s">
        <v>2263</v>
      </c>
      <c r="E47" s="365" t="e">
        <f>SUM(E26:E28)-E50</f>
        <v>#DIV/0!</v>
      </c>
      <c r="F47" s="862" t="e">
        <f t="shared" ref="F47:L47" si="15">SUM(F26:F28)-F50</f>
        <v>#DIV/0!</v>
      </c>
      <c r="G47" s="862" t="e">
        <f t="shared" si="15"/>
        <v>#DIV/0!</v>
      </c>
      <c r="H47" s="862" t="e">
        <f t="shared" si="15"/>
        <v>#DIV/0!</v>
      </c>
      <c r="I47" s="862" t="e">
        <f t="shared" si="15"/>
        <v>#DIV/0!</v>
      </c>
      <c r="J47" s="862" t="e">
        <f t="shared" si="15"/>
        <v>#DIV/0!</v>
      </c>
      <c r="K47" s="862" t="e">
        <f t="shared" si="15"/>
        <v>#DIV/0!</v>
      </c>
      <c r="L47" s="862">
        <f t="shared" si="15"/>
        <v>0</v>
      </c>
    </row>
    <row r="48" spans="2:12" x14ac:dyDescent="0.35">
      <c r="B48" s="40"/>
      <c r="C48" s="365" t="s">
        <v>1167</v>
      </c>
      <c r="D48" s="365" t="s">
        <v>1340</v>
      </c>
      <c r="E48" s="365" t="e">
        <f>(SUM(E30:E32)+E34)*(1-Erdgas!F16)</f>
        <v>#N/A</v>
      </c>
      <c r="F48" s="854" t="e">
        <f>(SUM(F30:F32)+F34)*(1-Erdgas!G16)</f>
        <v>#N/A</v>
      </c>
      <c r="G48" s="854" t="e">
        <f>(SUM(G30:G32)+G34)*(1-Erdgas!H16)</f>
        <v>#N/A</v>
      </c>
      <c r="H48" s="854" t="e">
        <f>(SUM(H30:H32)+H34)*(1-Erdgas!I16)</f>
        <v>#N/A</v>
      </c>
      <c r="I48" s="854" t="e">
        <f>(SUM(I30:I32)+I34)*(1-Erdgas!J16)</f>
        <v>#N/A</v>
      </c>
      <c r="J48" s="854" t="e">
        <f>(SUM(J30:J32)+J34)*(1-Erdgas!K16)</f>
        <v>#N/A</v>
      </c>
      <c r="K48" s="854" t="e">
        <f>(SUM(K30:K32)+K34)*(1-Erdgas!L16)</f>
        <v>#N/A</v>
      </c>
      <c r="L48" s="854" t="e">
        <f>(SUM(L30:L32)+L34)*(1-Erdgas!M16)</f>
        <v>#N/A</v>
      </c>
    </row>
    <row r="49" spans="2:12" x14ac:dyDescent="0.35">
      <c r="B49" s="40"/>
      <c r="C49" s="854" t="s">
        <v>1413</v>
      </c>
      <c r="D49" s="854" t="s">
        <v>1413</v>
      </c>
      <c r="E49" s="854" t="e">
        <f>(SUM(E30:E32)+E34)*(Erdgas!F16)</f>
        <v>#N/A</v>
      </c>
      <c r="F49" s="854" t="e">
        <f>(SUM(F30:F32)+F34)*(Erdgas!G16)</f>
        <v>#N/A</v>
      </c>
      <c r="G49" s="854" t="e">
        <f>(SUM(G30:G32)+G34)*(Erdgas!H16)</f>
        <v>#N/A</v>
      </c>
      <c r="H49" s="854" t="e">
        <f>(SUM(H30:H32)+H34)*(Erdgas!I16)</f>
        <v>#N/A</v>
      </c>
      <c r="I49" s="854" t="e">
        <f>(SUM(I30:I32)+I34)*(Erdgas!J16)</f>
        <v>#N/A</v>
      </c>
      <c r="J49" s="854" t="e">
        <f>(SUM(J30:J32)+J34)*(Erdgas!K16)</f>
        <v>#N/A</v>
      </c>
      <c r="K49" s="854" t="e">
        <f>(SUM(K30:K32)+K34)*(Erdgas!L16)</f>
        <v>#N/A</v>
      </c>
      <c r="L49" s="854" t="e">
        <f>(SUM(L30:L32)+L34)*(Erdgas!M16)</f>
        <v>#N/A</v>
      </c>
    </row>
    <row r="50" spans="2:12" x14ac:dyDescent="0.35">
      <c r="B50" s="40"/>
      <c r="C50" s="862" t="s">
        <v>4242</v>
      </c>
      <c r="D50" s="862" t="s">
        <v>1893</v>
      </c>
      <c r="E50" s="862" t="e">
        <f>(E26+E28)*'Biomasse - Produktion'!D39</f>
        <v>#DIV/0!</v>
      </c>
      <c r="F50" s="862" t="e">
        <f>(F26+F28)*'Biomasse - Produktion'!E39</f>
        <v>#DIV/0!</v>
      </c>
      <c r="G50" s="862" t="e">
        <f>(G26+G28)*'Biomasse - Produktion'!F39</f>
        <v>#DIV/0!</v>
      </c>
      <c r="H50" s="862" t="e">
        <f>(H26+H28)*'Biomasse - Produktion'!G39</f>
        <v>#DIV/0!</v>
      </c>
      <c r="I50" s="862" t="e">
        <f>(I26+I28)*'Biomasse - Produktion'!H39</f>
        <v>#DIV/0!</v>
      </c>
      <c r="J50" s="862" t="e">
        <f>(J26+J28)*'Biomasse - Produktion'!I39</f>
        <v>#DIV/0!</v>
      </c>
      <c r="K50" s="862" t="e">
        <f>(K26+K28)*'Biomasse - Produktion'!J39</f>
        <v>#DIV/0!</v>
      </c>
      <c r="L50" s="862">
        <f>(L26+L28)*'Biomasse - Produktion'!K39</f>
        <v>0</v>
      </c>
    </row>
    <row r="51" spans="2:12" x14ac:dyDescent="0.35">
      <c r="B51" s="40"/>
      <c r="C51" s="365" t="s">
        <v>1160</v>
      </c>
      <c r="D51" s="365" t="s">
        <v>1815</v>
      </c>
      <c r="E51" s="93">
        <f t="shared" ref="E51:L51" si="16">SUM(E38,E42:E43)</f>
        <v>8.8465562889195146E-4</v>
      </c>
      <c r="F51" s="93">
        <f t="shared" si="16"/>
        <v>0</v>
      </c>
      <c r="G51" s="93">
        <f t="shared" si="16"/>
        <v>0.72771572971397591</v>
      </c>
      <c r="H51" s="93">
        <f t="shared" si="16"/>
        <v>3.5798441773447812E-3</v>
      </c>
      <c r="I51" s="93">
        <f t="shared" si="16"/>
        <v>2.4243121413485848E-3</v>
      </c>
      <c r="J51" s="93">
        <f t="shared" si="16"/>
        <v>3433.1926499807341</v>
      </c>
      <c r="K51" s="93">
        <f t="shared" si="16"/>
        <v>9.3622537683307305E-2</v>
      </c>
      <c r="L51" s="93">
        <f t="shared" si="16"/>
        <v>0</v>
      </c>
    </row>
    <row r="52" spans="2:12" x14ac:dyDescent="0.35">
      <c r="B52" s="40"/>
      <c r="C52" s="365" t="s">
        <v>1162</v>
      </c>
      <c r="D52" s="365" t="s">
        <v>1816</v>
      </c>
      <c r="E52" s="365">
        <f t="shared" ref="E52:L52" si="17">E33+E29</f>
        <v>4005.039287317009</v>
      </c>
      <c r="F52" s="758">
        <f t="shared" si="17"/>
        <v>0</v>
      </c>
      <c r="G52" s="758">
        <f t="shared" si="17"/>
        <v>1.651125082986914</v>
      </c>
      <c r="H52" s="758">
        <f t="shared" si="17"/>
        <v>9.1672203015324312E-3</v>
      </c>
      <c r="I52" s="758">
        <f t="shared" si="17"/>
        <v>4712.9720061677363</v>
      </c>
      <c r="J52" s="758">
        <f>J33+J29</f>
        <v>4.9331093052695459E-2</v>
      </c>
      <c r="K52" s="758">
        <f t="shared" si="17"/>
        <v>4056.4651695948169</v>
      </c>
      <c r="L52" s="758">
        <f t="shared" si="17"/>
        <v>0</v>
      </c>
    </row>
    <row r="53" spans="2:12" ht="15" thickBot="1" x14ac:dyDescent="0.4">
      <c r="B53" s="41"/>
      <c r="C53" s="77"/>
      <c r="D53" s="103" t="s">
        <v>2031</v>
      </c>
      <c r="E53" s="103" t="e">
        <f t="shared" ref="E53:L53" si="18">SUM(E47:E52)</f>
        <v>#DIV/0!</v>
      </c>
      <c r="F53" s="103" t="e">
        <f t="shared" si="18"/>
        <v>#DIV/0!</v>
      </c>
      <c r="G53" s="103" t="e">
        <f t="shared" si="18"/>
        <v>#DIV/0!</v>
      </c>
      <c r="H53" s="103" t="e">
        <f t="shared" si="18"/>
        <v>#DIV/0!</v>
      </c>
      <c r="I53" s="103" t="e">
        <f t="shared" si="18"/>
        <v>#DIV/0!</v>
      </c>
      <c r="J53" s="103" t="e">
        <f t="shared" si="18"/>
        <v>#DIV/0!</v>
      </c>
      <c r="K53" s="103" t="e">
        <f t="shared" si="18"/>
        <v>#DIV/0!</v>
      </c>
      <c r="L53" s="271" t="e">
        <f t="shared" si="18"/>
        <v>#N/A</v>
      </c>
    </row>
    <row r="70" spans="16:25" ht="15" thickBot="1" x14ac:dyDescent="0.4"/>
    <row r="71" spans="16:25" x14ac:dyDescent="0.35">
      <c r="P71" s="87"/>
      <c r="Q71" s="89"/>
      <c r="R71" s="89" t="s">
        <v>23</v>
      </c>
      <c r="S71" s="89" t="s">
        <v>1798</v>
      </c>
      <c r="T71" s="89" t="s">
        <v>1799</v>
      </c>
      <c r="U71" s="89" t="s">
        <v>1800</v>
      </c>
      <c r="V71" s="89" t="s">
        <v>1801</v>
      </c>
      <c r="W71" s="89" t="s">
        <v>1802</v>
      </c>
      <c r="X71" s="89" t="s">
        <v>1803</v>
      </c>
      <c r="Y71" s="90" t="s">
        <v>1804</v>
      </c>
    </row>
    <row r="72" spans="16:25" x14ac:dyDescent="0.35">
      <c r="P72" s="377" t="s">
        <v>1167</v>
      </c>
      <c r="Q72" s="317" t="s">
        <v>1340</v>
      </c>
      <c r="R72" s="365" t="e">
        <f t="shared" ref="R72:Y72" si="19">R9</f>
        <v>#N/A</v>
      </c>
      <c r="S72" s="365" t="e">
        <f t="shared" si="19"/>
        <v>#N/A</v>
      </c>
      <c r="T72" s="365" t="e">
        <f t="shared" si="19"/>
        <v>#N/A</v>
      </c>
      <c r="U72" s="365" t="e">
        <f t="shared" si="19"/>
        <v>#N/A</v>
      </c>
      <c r="V72" s="365" t="e">
        <f t="shared" si="19"/>
        <v>#N/A</v>
      </c>
      <c r="W72" s="365" t="e">
        <f t="shared" si="19"/>
        <v>#N/A</v>
      </c>
      <c r="X72" s="365" t="e">
        <f t="shared" si="19"/>
        <v>#N/A</v>
      </c>
      <c r="Y72" s="93" t="e">
        <f t="shared" si="19"/>
        <v>#N/A</v>
      </c>
    </row>
    <row r="73" spans="16:25" x14ac:dyDescent="0.35">
      <c r="P73" s="377" t="s">
        <v>1162</v>
      </c>
      <c r="Q73" s="317" t="s">
        <v>1816</v>
      </c>
      <c r="R73" s="365">
        <f t="shared" ref="R73:Y76" si="20">R11</f>
        <v>0</v>
      </c>
      <c r="S73" s="365">
        <f t="shared" si="20"/>
        <v>0</v>
      </c>
      <c r="T73" s="365">
        <f t="shared" si="20"/>
        <v>0</v>
      </c>
      <c r="U73" s="365">
        <f t="shared" si="20"/>
        <v>0</v>
      </c>
      <c r="V73" s="365">
        <f t="shared" si="20"/>
        <v>0</v>
      </c>
      <c r="W73" s="365">
        <f t="shared" si="20"/>
        <v>0</v>
      </c>
      <c r="X73" s="365">
        <f t="shared" si="20"/>
        <v>0</v>
      </c>
      <c r="Y73" s="93">
        <f t="shared" si="20"/>
        <v>0</v>
      </c>
    </row>
    <row r="74" spans="16:25" x14ac:dyDescent="0.35">
      <c r="P74" s="374" t="s">
        <v>1208</v>
      </c>
      <c r="Q74" s="371" t="s">
        <v>1942</v>
      </c>
      <c r="R74" s="365">
        <f t="shared" si="20"/>
        <v>0</v>
      </c>
      <c r="S74" s="365">
        <f t="shared" si="20"/>
        <v>0</v>
      </c>
      <c r="T74" s="365">
        <f t="shared" si="20"/>
        <v>0</v>
      </c>
      <c r="U74" s="365">
        <f t="shared" si="20"/>
        <v>0</v>
      </c>
      <c r="V74" s="365">
        <f t="shared" si="20"/>
        <v>0</v>
      </c>
      <c r="W74" s="365">
        <f t="shared" si="20"/>
        <v>0</v>
      </c>
      <c r="X74" s="365">
        <f t="shared" si="20"/>
        <v>0</v>
      </c>
      <c r="Y74" s="93">
        <f t="shared" si="20"/>
        <v>0</v>
      </c>
    </row>
    <row r="75" spans="16:25" x14ac:dyDescent="0.35">
      <c r="P75" s="374" t="s">
        <v>1207</v>
      </c>
      <c r="Q75" s="371" t="s">
        <v>1884</v>
      </c>
      <c r="R75" s="365">
        <f t="shared" si="20"/>
        <v>0</v>
      </c>
      <c r="S75" s="365">
        <f t="shared" si="20"/>
        <v>0</v>
      </c>
      <c r="T75" s="365">
        <f t="shared" si="20"/>
        <v>0</v>
      </c>
      <c r="U75" s="365">
        <f t="shared" si="20"/>
        <v>0</v>
      </c>
      <c r="V75" s="365">
        <f t="shared" si="20"/>
        <v>0</v>
      </c>
      <c r="W75" s="365">
        <f t="shared" si="20"/>
        <v>0</v>
      </c>
      <c r="X75" s="365">
        <f t="shared" si="20"/>
        <v>0</v>
      </c>
      <c r="Y75" s="93">
        <f t="shared" si="20"/>
        <v>0</v>
      </c>
    </row>
    <row r="76" spans="16:25" x14ac:dyDescent="0.35">
      <c r="P76" s="377" t="s">
        <v>2264</v>
      </c>
      <c r="Q76" s="317" t="s">
        <v>1342</v>
      </c>
      <c r="R76" s="365">
        <f t="shared" si="20"/>
        <v>0</v>
      </c>
      <c r="S76" s="365">
        <f t="shared" si="20"/>
        <v>0</v>
      </c>
      <c r="T76" s="365">
        <f t="shared" si="20"/>
        <v>0</v>
      </c>
      <c r="U76" s="365">
        <f t="shared" si="20"/>
        <v>0</v>
      </c>
      <c r="V76" s="365">
        <f t="shared" si="20"/>
        <v>0</v>
      </c>
      <c r="W76" s="365">
        <f t="shared" si="20"/>
        <v>0</v>
      </c>
      <c r="X76" s="365">
        <f t="shared" si="20"/>
        <v>0</v>
      </c>
      <c r="Y76" s="93">
        <f t="shared" si="20"/>
        <v>0</v>
      </c>
    </row>
    <row r="77" spans="16:25" x14ac:dyDescent="0.35">
      <c r="P77" s="374" t="s">
        <v>1310</v>
      </c>
      <c r="Q77" s="371" t="s">
        <v>1343</v>
      </c>
      <c r="R77" s="365">
        <f t="shared" ref="R77:X77" si="21">R16</f>
        <v>0</v>
      </c>
      <c r="S77" s="365">
        <f t="shared" si="21"/>
        <v>0</v>
      </c>
      <c r="T77" s="365">
        <f t="shared" si="21"/>
        <v>0</v>
      </c>
      <c r="U77" s="365">
        <f t="shared" si="21"/>
        <v>0</v>
      </c>
      <c r="V77" s="365">
        <f t="shared" si="21"/>
        <v>0</v>
      </c>
      <c r="W77" s="365">
        <f t="shared" si="21"/>
        <v>0</v>
      </c>
      <c r="X77" s="365">
        <f t="shared" si="21"/>
        <v>0</v>
      </c>
      <c r="Y77" s="93">
        <f>Y16</f>
        <v>0</v>
      </c>
    </row>
    <row r="78" spans="16:25" x14ac:dyDescent="0.35">
      <c r="P78" s="377" t="s">
        <v>1160</v>
      </c>
      <c r="Q78" s="317" t="s">
        <v>1815</v>
      </c>
      <c r="R78" s="365">
        <f t="shared" ref="R78:Y78" si="22">R18</f>
        <v>0</v>
      </c>
      <c r="S78" s="365">
        <f t="shared" si="22"/>
        <v>0</v>
      </c>
      <c r="T78" s="365">
        <f t="shared" si="22"/>
        <v>0</v>
      </c>
      <c r="U78" s="365">
        <f t="shared" si="22"/>
        <v>0</v>
      </c>
      <c r="V78" s="365">
        <f t="shared" si="22"/>
        <v>0</v>
      </c>
      <c r="W78" s="365">
        <f t="shared" si="22"/>
        <v>0</v>
      </c>
      <c r="X78" s="365">
        <f t="shared" si="22"/>
        <v>0</v>
      </c>
      <c r="Y78" s="93">
        <f t="shared" si="22"/>
        <v>0</v>
      </c>
    </row>
    <row r="79" spans="16:25" ht="15" thickBot="1" x14ac:dyDescent="0.4">
      <c r="P79" s="378" t="s">
        <v>2371</v>
      </c>
      <c r="Q79" s="316" t="s">
        <v>2372</v>
      </c>
      <c r="R79" s="77">
        <v>0</v>
      </c>
      <c r="S79" s="77"/>
      <c r="T79" s="77"/>
      <c r="U79" s="77"/>
      <c r="V79" s="77"/>
      <c r="W79" s="77"/>
      <c r="X79" s="77"/>
      <c r="Y79" s="94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6"/>
  </sheetPr>
  <dimension ref="B1:EA176"/>
  <sheetViews>
    <sheetView zoomScale="70" zoomScaleNormal="70" workbookViewId="0">
      <selection activeCell="AM42" sqref="AM42"/>
    </sheetView>
  </sheetViews>
  <sheetFormatPr baseColWidth="10" defaultColWidth="11.453125" defaultRowHeight="14.5" x14ac:dyDescent="0.35"/>
  <cols>
    <col min="1" max="1" width="11.453125" style="365"/>
    <col min="2" max="2" width="47.1796875" style="365" bestFit="1" customWidth="1"/>
    <col min="3" max="3" width="24.54296875" style="365" bestFit="1" customWidth="1"/>
    <col min="4" max="4" width="30.1796875" style="365" bestFit="1" customWidth="1"/>
    <col min="5" max="13" width="11.453125" style="365"/>
    <col min="14" max="14" width="45.81640625" style="486" bestFit="1" customWidth="1"/>
    <col min="15" max="15" width="31.453125" style="486" bestFit="1" customWidth="1"/>
    <col min="16" max="16" width="38.1796875" style="486" bestFit="1" customWidth="1"/>
    <col min="17" max="25" width="11.453125" style="486"/>
    <col min="26" max="26" width="37.1796875" style="486" bestFit="1" customWidth="1"/>
    <col min="27" max="27" width="16.453125" style="486" bestFit="1" customWidth="1"/>
    <col min="28" max="28" width="17.1796875" style="486" bestFit="1" customWidth="1"/>
    <col min="29" max="32" width="11.453125" style="486"/>
    <col min="33" max="43" width="11.453125" style="491"/>
    <col min="44" max="44" width="11.453125" style="365"/>
    <col min="45" max="45" width="47.1796875" style="365" bestFit="1" customWidth="1"/>
    <col min="46" max="46" width="24.54296875" style="365" bestFit="1" customWidth="1"/>
    <col min="47" max="47" width="29.54296875" style="365" bestFit="1" customWidth="1"/>
    <col min="48" max="58" width="11.453125" style="365"/>
    <col min="59" max="59" width="42" style="365" bestFit="1" customWidth="1"/>
    <col min="60" max="60" width="24.54296875" style="365" bestFit="1" customWidth="1"/>
    <col min="61" max="61" width="30.1796875" style="365" bestFit="1" customWidth="1"/>
    <col min="62" max="72" width="11.453125" style="365"/>
    <col min="73" max="73" width="42" style="365" bestFit="1" customWidth="1"/>
    <col min="74" max="74" width="31" style="365" bestFit="1" customWidth="1"/>
    <col min="75" max="75" width="39.54296875" style="365" bestFit="1" customWidth="1"/>
    <col min="76" max="85" width="11.453125" style="365"/>
    <col min="86" max="86" width="22.453125" style="365" customWidth="1"/>
    <col min="87" max="87" width="27.1796875" style="847" bestFit="1" customWidth="1"/>
    <col min="88" max="88" width="25" style="847" customWidth="1"/>
    <col min="89" max="89" width="24.81640625" style="847" customWidth="1"/>
    <col min="90" max="95" width="16.453125" style="847" customWidth="1"/>
    <col min="96" max="96" width="25.453125" style="847" customWidth="1"/>
    <col min="97" max="97" width="23.81640625" style="365" bestFit="1" customWidth="1"/>
    <col min="98" max="98" width="57.81640625" style="365" bestFit="1" customWidth="1"/>
    <col min="99" max="99" width="17.1796875" style="365" bestFit="1" customWidth="1"/>
    <col min="100" max="100" width="37.1796875" style="365" customWidth="1"/>
    <col min="101" max="101" width="24" style="365" bestFit="1" customWidth="1"/>
    <col min="102" max="110" width="11.453125" style="365"/>
    <col min="111" max="111" width="53.81640625" style="365" bestFit="1" customWidth="1"/>
    <col min="112" max="112" width="25.453125" style="365" bestFit="1" customWidth="1"/>
    <col min="113" max="113" width="32.54296875" style="365" bestFit="1" customWidth="1"/>
    <col min="114" max="114" width="14.81640625" style="365" bestFit="1" customWidth="1"/>
    <col min="115" max="16384" width="11.453125" style="365"/>
  </cols>
  <sheetData>
    <row r="1" spans="2:125" ht="15" thickBot="1" x14ac:dyDescent="0.4">
      <c r="CK1" s="848"/>
    </row>
    <row r="2" spans="2:125" x14ac:dyDescent="0.35">
      <c r="B2" s="91" t="s">
        <v>2574</v>
      </c>
      <c r="C2" s="88"/>
      <c r="D2" s="88"/>
      <c r="E2" s="89">
        <v>2</v>
      </c>
      <c r="F2" s="89">
        <v>3</v>
      </c>
      <c r="G2" s="89">
        <v>4</v>
      </c>
      <c r="H2" s="89">
        <v>5</v>
      </c>
      <c r="I2" s="89">
        <v>6</v>
      </c>
      <c r="J2" s="89">
        <v>7</v>
      </c>
      <c r="K2" s="89">
        <v>8</v>
      </c>
      <c r="L2" s="90">
        <v>9</v>
      </c>
      <c r="N2" s="91" t="s">
        <v>3070</v>
      </c>
      <c r="O2" s="88"/>
      <c r="P2" s="88"/>
      <c r="Q2" s="89">
        <v>2</v>
      </c>
      <c r="R2" s="89">
        <v>3</v>
      </c>
      <c r="S2" s="89">
        <v>4</v>
      </c>
      <c r="T2" s="89">
        <v>5</v>
      </c>
      <c r="U2" s="89">
        <v>6</v>
      </c>
      <c r="V2" s="89">
        <v>7</v>
      </c>
      <c r="W2" s="89">
        <v>8</v>
      </c>
      <c r="X2" s="90">
        <v>9</v>
      </c>
      <c r="Z2" s="91" t="s">
        <v>3134</v>
      </c>
      <c r="AA2" s="88"/>
      <c r="AB2" s="88"/>
      <c r="AC2" s="89">
        <v>2</v>
      </c>
      <c r="AD2" s="89">
        <v>3</v>
      </c>
      <c r="AE2" s="89">
        <v>4</v>
      </c>
      <c r="AF2" s="89">
        <v>5</v>
      </c>
      <c r="AG2" s="89">
        <v>6</v>
      </c>
      <c r="AH2" s="89">
        <v>7</v>
      </c>
      <c r="AI2" s="89">
        <v>8</v>
      </c>
      <c r="AJ2" s="90">
        <v>9</v>
      </c>
      <c r="AS2" s="91" t="s">
        <v>2611</v>
      </c>
      <c r="AT2" s="88"/>
      <c r="AU2" s="88"/>
      <c r="AV2" s="89">
        <v>2</v>
      </c>
      <c r="AW2" s="89">
        <v>3</v>
      </c>
      <c r="AX2" s="89">
        <v>4</v>
      </c>
      <c r="AY2" s="89">
        <v>5</v>
      </c>
      <c r="AZ2" s="89">
        <v>6</v>
      </c>
      <c r="BA2" s="89">
        <v>7</v>
      </c>
      <c r="BB2" s="89">
        <v>8</v>
      </c>
      <c r="BC2" s="89">
        <v>9</v>
      </c>
      <c r="BG2" s="91" t="s">
        <v>2609</v>
      </c>
      <c r="BH2" s="88"/>
      <c r="BI2" s="88"/>
      <c r="BJ2" s="89">
        <v>2</v>
      </c>
      <c r="BK2" s="89">
        <v>3</v>
      </c>
      <c r="BL2" s="89">
        <v>4</v>
      </c>
      <c r="BM2" s="89">
        <v>5</v>
      </c>
      <c r="BN2" s="89">
        <v>6</v>
      </c>
      <c r="BO2" s="89">
        <v>7</v>
      </c>
      <c r="BP2" s="89">
        <v>8</v>
      </c>
      <c r="BQ2" s="89">
        <v>9</v>
      </c>
      <c r="BU2" s="91" t="s">
        <v>2613</v>
      </c>
      <c r="BV2" s="88"/>
      <c r="BW2" s="88"/>
      <c r="BX2" s="89">
        <v>2</v>
      </c>
      <c r="BY2" s="89">
        <v>3</v>
      </c>
      <c r="BZ2" s="89">
        <v>4</v>
      </c>
      <c r="CA2" s="89">
        <v>5</v>
      </c>
      <c r="CB2" s="89">
        <v>6</v>
      </c>
      <c r="CC2" s="89">
        <v>7</v>
      </c>
      <c r="CD2" s="89">
        <v>8</v>
      </c>
      <c r="CE2" s="89">
        <v>9</v>
      </c>
      <c r="CH2" s="91" t="s">
        <v>1772</v>
      </c>
      <c r="CI2" s="88"/>
      <c r="CJ2" s="88"/>
      <c r="CK2" s="89">
        <v>2</v>
      </c>
      <c r="CL2" s="89">
        <v>3</v>
      </c>
      <c r="CM2" s="89">
        <v>4</v>
      </c>
      <c r="CN2" s="89">
        <v>5</v>
      </c>
      <c r="CO2" s="89">
        <v>6</v>
      </c>
      <c r="CP2" s="89">
        <v>7</v>
      </c>
      <c r="CQ2" s="89">
        <v>8</v>
      </c>
      <c r="CR2" s="89">
        <v>9</v>
      </c>
      <c r="CT2" s="91" t="s">
        <v>2650</v>
      </c>
      <c r="CU2" s="88"/>
      <c r="CV2" s="88"/>
      <c r="CW2" s="89">
        <v>2</v>
      </c>
      <c r="CX2" s="89">
        <v>3</v>
      </c>
      <c r="CY2" s="89">
        <v>4</v>
      </c>
      <c r="CZ2" s="89">
        <v>5</v>
      </c>
      <c r="DA2" s="89">
        <v>6</v>
      </c>
      <c r="DB2" s="89">
        <v>7</v>
      </c>
      <c r="DC2" s="89">
        <v>8</v>
      </c>
      <c r="DD2" s="89">
        <v>9</v>
      </c>
      <c r="DG2" s="91" t="s">
        <v>2837</v>
      </c>
      <c r="DH2" s="88"/>
      <c r="DI2" s="88"/>
      <c r="DJ2" s="89">
        <v>2</v>
      </c>
      <c r="DK2" s="89">
        <v>3</v>
      </c>
      <c r="DL2" s="89">
        <v>4</v>
      </c>
      <c r="DM2" s="89">
        <v>5</v>
      </c>
      <c r="DN2" s="89">
        <v>6</v>
      </c>
      <c r="DO2" s="89">
        <v>7</v>
      </c>
      <c r="DP2" s="89">
        <v>8</v>
      </c>
      <c r="DQ2" s="90">
        <v>9</v>
      </c>
    </row>
    <row r="3" spans="2:125" x14ac:dyDescent="0.35">
      <c r="B3" s="40"/>
      <c r="C3" s="92"/>
      <c r="D3" s="92"/>
      <c r="E3" s="92" t="s">
        <v>23</v>
      </c>
      <c r="F3" s="92" t="s">
        <v>1798</v>
      </c>
      <c r="G3" s="92" t="s">
        <v>1799</v>
      </c>
      <c r="H3" s="92" t="s">
        <v>1800</v>
      </c>
      <c r="I3" s="92" t="s">
        <v>1801</v>
      </c>
      <c r="J3" s="92" t="s">
        <v>1802</v>
      </c>
      <c r="K3" s="92" t="s">
        <v>1803</v>
      </c>
      <c r="L3" s="93" t="s">
        <v>1804</v>
      </c>
      <c r="N3" s="40"/>
      <c r="O3" s="92"/>
      <c r="P3" s="92"/>
      <c r="Q3" s="92" t="s">
        <v>23</v>
      </c>
      <c r="R3" s="92" t="s">
        <v>1798</v>
      </c>
      <c r="S3" s="92" t="s">
        <v>1799</v>
      </c>
      <c r="T3" s="92" t="s">
        <v>1800</v>
      </c>
      <c r="U3" s="92" t="s">
        <v>1801</v>
      </c>
      <c r="V3" s="92" t="s">
        <v>1802</v>
      </c>
      <c r="W3" s="92" t="s">
        <v>1803</v>
      </c>
      <c r="X3" s="93" t="s">
        <v>1804</v>
      </c>
      <c r="Z3" s="40"/>
      <c r="AA3" s="92"/>
      <c r="AB3" s="92"/>
      <c r="AC3" s="92" t="s">
        <v>23</v>
      </c>
      <c r="AD3" s="92" t="s">
        <v>1798</v>
      </c>
      <c r="AE3" s="92" t="s">
        <v>1799</v>
      </c>
      <c r="AF3" s="92" t="s">
        <v>1800</v>
      </c>
      <c r="AG3" s="92" t="s">
        <v>1801</v>
      </c>
      <c r="AH3" s="92" t="s">
        <v>1802</v>
      </c>
      <c r="AI3" s="92" t="s">
        <v>1803</v>
      </c>
      <c r="AJ3" s="93" t="s">
        <v>1804</v>
      </c>
      <c r="AS3" s="40"/>
      <c r="AV3" s="365" t="s">
        <v>23</v>
      </c>
      <c r="AW3" s="365" t="s">
        <v>1798</v>
      </c>
      <c r="AX3" s="365" t="s">
        <v>1799</v>
      </c>
      <c r="AY3" s="365" t="s">
        <v>1800</v>
      </c>
      <c r="AZ3" s="365" t="s">
        <v>1801</v>
      </c>
      <c r="BA3" s="365" t="s">
        <v>1802</v>
      </c>
      <c r="BB3" s="365" t="s">
        <v>1803</v>
      </c>
      <c r="BC3" s="93" t="s">
        <v>1804</v>
      </c>
      <c r="BG3" s="40"/>
      <c r="BJ3" s="365" t="s">
        <v>23</v>
      </c>
      <c r="BK3" s="365" t="s">
        <v>1798</v>
      </c>
      <c r="BL3" s="365" t="s">
        <v>1799</v>
      </c>
      <c r="BM3" s="365" t="s">
        <v>1800</v>
      </c>
      <c r="BN3" s="365" t="s">
        <v>1801</v>
      </c>
      <c r="BO3" s="365" t="s">
        <v>1802</v>
      </c>
      <c r="BP3" s="365" t="s">
        <v>1803</v>
      </c>
      <c r="BQ3" s="93" t="s">
        <v>1804</v>
      </c>
      <c r="BU3" s="40"/>
      <c r="BX3" s="365" t="s">
        <v>23</v>
      </c>
      <c r="BY3" s="365" t="s">
        <v>1798</v>
      </c>
      <c r="BZ3" s="365" t="s">
        <v>1799</v>
      </c>
      <c r="CA3" s="365" t="s">
        <v>1800</v>
      </c>
      <c r="CB3" s="365" t="s">
        <v>1801</v>
      </c>
      <c r="CC3" s="365" t="s">
        <v>1802</v>
      </c>
      <c r="CD3" s="365" t="s">
        <v>1803</v>
      </c>
      <c r="CE3" s="93" t="s">
        <v>1804</v>
      </c>
      <c r="CH3" s="40"/>
      <c r="CK3" s="847" t="s">
        <v>23</v>
      </c>
      <c r="CL3" s="847" t="s">
        <v>1798</v>
      </c>
      <c r="CM3" s="847" t="s">
        <v>1799</v>
      </c>
      <c r="CN3" s="847" t="s">
        <v>1800</v>
      </c>
      <c r="CO3" s="847" t="s">
        <v>1801</v>
      </c>
      <c r="CP3" s="847" t="s">
        <v>1802</v>
      </c>
      <c r="CQ3" s="847" t="s">
        <v>1803</v>
      </c>
      <c r="CR3" s="93" t="s">
        <v>1804</v>
      </c>
      <c r="CT3" s="40"/>
      <c r="CW3" s="365" t="s">
        <v>23</v>
      </c>
      <c r="CX3" s="365" t="s">
        <v>1798</v>
      </c>
      <c r="CY3" s="365" t="s">
        <v>1799</v>
      </c>
      <c r="CZ3" s="365" t="s">
        <v>1800</v>
      </c>
      <c r="DA3" s="365" t="s">
        <v>1801</v>
      </c>
      <c r="DB3" s="365" t="s">
        <v>1802</v>
      </c>
      <c r="DC3" s="365" t="s">
        <v>1803</v>
      </c>
      <c r="DD3" s="93" t="s">
        <v>1804</v>
      </c>
      <c r="DH3" s="92"/>
      <c r="DI3" s="92"/>
      <c r="DJ3" s="92" t="s">
        <v>23</v>
      </c>
      <c r="DK3" s="92" t="s">
        <v>1798</v>
      </c>
      <c r="DL3" s="92" t="s">
        <v>1799</v>
      </c>
      <c r="DM3" s="92" t="s">
        <v>1800</v>
      </c>
      <c r="DN3" s="92" t="s">
        <v>1801</v>
      </c>
      <c r="DO3" s="92" t="s">
        <v>1802</v>
      </c>
      <c r="DP3" s="92" t="s">
        <v>1803</v>
      </c>
      <c r="DQ3" s="93" t="s">
        <v>1804</v>
      </c>
    </row>
    <row r="4" spans="2:125" x14ac:dyDescent="0.35">
      <c r="B4" s="269" t="s">
        <v>4166</v>
      </c>
      <c r="C4" s="457" t="s">
        <v>2651</v>
      </c>
      <c r="D4" s="371" t="s">
        <v>4350</v>
      </c>
      <c r="E4" s="346">
        <f>IFERROR(VLOOKUP($B4,flows!$A$2:$J$4985,E$2,FALSE),0)</f>
        <v>4.0809464191462752E-2</v>
      </c>
      <c r="F4" s="346">
        <f>IFERROR(VLOOKUP($B4,flows!$A$2:$J$4985,F$2,FALSE),0)</f>
        <v>451.99945937109078</v>
      </c>
      <c r="G4" s="346">
        <f>IFERROR(VLOOKUP($B4,flows!$A$2:$J$4985,G$2,FALSE),0)</f>
        <v>495.97167683205629</v>
      </c>
      <c r="H4" s="346">
        <f>IFERROR(VLOOKUP($B4,flows!$A$2:$J$4985,H$2,FALSE),0)</f>
        <v>2579.6539084760889</v>
      </c>
      <c r="I4" s="346">
        <f>IFERROR(VLOOKUP($B4,flows!$A$2:$J$4985,I$2,FALSE),0)</f>
        <v>6029.2311943884952</v>
      </c>
      <c r="J4" s="346">
        <f>IFERROR(VLOOKUP($B4,flows!$A$2:$J$4985,J$2,FALSE),0)</f>
        <v>3.8397968620422588E-4</v>
      </c>
      <c r="K4" s="346">
        <f>IFERROR(VLOOKUP($B4,flows!$A$2:$J$4985,K$2,FALSE),0)</f>
        <v>1.539891721432136E-4</v>
      </c>
      <c r="L4" s="346">
        <f>IFERROR(VLOOKUP($B4,flows!$A$2:$J$4985,L$2,FALSE),0)</f>
        <v>0</v>
      </c>
      <c r="N4" s="374" t="s">
        <v>4355</v>
      </c>
      <c r="O4" s="457"/>
      <c r="P4" s="315"/>
      <c r="Q4" s="346">
        <f>IFERROR(VLOOKUP($N4,flows!$A$2:$J$4985,Q$2,FALSE),0)</f>
        <v>7056.3247637599834</v>
      </c>
      <c r="R4" s="346">
        <f>IFERROR(VLOOKUP($N4,flows!$A$2:$J$4985,R$2,FALSE),0)</f>
        <v>0</v>
      </c>
      <c r="S4" s="346">
        <f>IFERROR(VLOOKUP($N4,flows!$A$2:$J$4985,S$2,FALSE),0)</f>
        <v>4.1498527158671548E-5</v>
      </c>
      <c r="T4" s="346">
        <f>IFERROR(VLOOKUP($N4,flows!$A$2:$J$4985,T$2,FALSE),0)</f>
        <v>1.078512042044412E-3</v>
      </c>
      <c r="U4" s="346">
        <f>IFERROR(VLOOKUP($N4,flows!$A$2:$J$4985,U$2,FALSE),0)</f>
        <v>1.14930693014929E-3</v>
      </c>
      <c r="V4" s="346">
        <f>IFERROR(VLOOKUP($N4,flows!$A$2:$J$4985,V$2,FALSE),0)</f>
        <v>8.0442563765884494E-5</v>
      </c>
      <c r="W4" s="346">
        <f>IFERROR(VLOOKUP($N4,flows!$A$2:$J$4985,W$2,FALSE),0)</f>
        <v>7035.5073333045402</v>
      </c>
      <c r="X4" s="346">
        <f>IFERROR(VLOOKUP($N4,flows!$A$2:$J$4985,X$2,FALSE),0)</f>
        <v>0</v>
      </c>
      <c r="Z4" s="374" t="s">
        <v>4139</v>
      </c>
      <c r="AA4" s="92" t="s">
        <v>4184</v>
      </c>
      <c r="AB4" s="92" t="s">
        <v>4185</v>
      </c>
      <c r="AC4" s="346">
        <f>IFERROR(VLOOKUP($Z4,flows!$A$2:$J$4985,AC$2,FALSE),0)</f>
        <v>1.8856702471741191E-2</v>
      </c>
      <c r="AD4" s="346">
        <f>IFERROR(VLOOKUP($Z4,flows!$A$2:$J$4985,AD$2,FALSE),0)</f>
        <v>0</v>
      </c>
      <c r="AE4" s="346">
        <f>IFERROR(VLOOKUP($Z4,flows!$A$2:$J$4985,AE$2,FALSE),0)</f>
        <v>0.45402827472163038</v>
      </c>
      <c r="AF4" s="346">
        <f>IFERROR(VLOOKUP($Z4,flows!$A$2:$J$4985,AF$2,FALSE),0)</f>
        <v>5.9662754572531364E-4</v>
      </c>
      <c r="AG4" s="346">
        <f>IFERROR(VLOOKUP($Z4,flows!$A$2:$J$4985,AG$2,FALSE),0)</f>
        <v>3.0446481449042877E-4</v>
      </c>
      <c r="AH4" s="346">
        <f>IFERROR(VLOOKUP($Z4,flows!$A$2:$J$4985,AH$2,FALSE),0)</f>
        <v>3.926294830564441E-5</v>
      </c>
      <c r="AI4" s="346">
        <f>IFERROR(VLOOKUP($Z4,flows!$A$2:$J$4985,AI$2,FALSE),0)</f>
        <v>5.9737347279154917E-5</v>
      </c>
      <c r="AJ4" s="346">
        <f>IFERROR(VLOOKUP($Z4,flows!$A$2:$J$4985,AJ$2,FALSE),0)</f>
        <v>0</v>
      </c>
      <c r="AS4" s="269" t="s">
        <v>2521</v>
      </c>
      <c r="AT4" s="317" t="s">
        <v>2652</v>
      </c>
      <c r="AU4" s="371" t="s">
        <v>2653</v>
      </c>
      <c r="AV4" s="372">
        <f>IFERROR(VLOOKUP($AS4,flows!$A$2:$J$4985,AV$2,FALSE),0)</f>
        <v>401.35915339862498</v>
      </c>
      <c r="AW4" s="372">
        <f>IFERROR(VLOOKUP($AS4,flows!$A$2:$J$4985,AW$2,FALSE),0)</f>
        <v>519.99999921213987</v>
      </c>
      <c r="AX4" s="372">
        <f>IFERROR(VLOOKUP($AS4,flows!$A$2:$J$4985,AX$2,FALSE),0)</f>
        <v>559.79264982477866</v>
      </c>
      <c r="AY4" s="372">
        <f>IFERROR(VLOOKUP($AS4,flows!$A$2:$J$4985,AY$2,FALSE),0)</f>
        <v>601.99714413574225</v>
      </c>
      <c r="AZ4" s="372">
        <f>IFERROR(VLOOKUP($AS4,flows!$A$2:$J$4985,AZ$2,FALSE),0)</f>
        <v>642.99887858741522</v>
      </c>
      <c r="BA4" s="372">
        <f>IFERROR(VLOOKUP($AS4,flows!$A$2:$J$4985,BA$2,FALSE),0)</f>
        <v>683.99987455658834</v>
      </c>
      <c r="BB4" s="372">
        <f>IFERROR(VLOOKUP($AS4,flows!$A$2:$J$4985,BB$2,FALSE),0)</f>
        <v>401.37896808487938</v>
      </c>
      <c r="BC4" s="372">
        <f>IFERROR(VLOOKUP($AS4,flows!$A$2:$J$4985,BC$2,FALSE),0)</f>
        <v>0</v>
      </c>
      <c r="BG4" s="269" t="s">
        <v>2654</v>
      </c>
      <c r="BH4" s="317"/>
      <c r="BI4" s="371"/>
      <c r="BJ4" s="372">
        <f>IFERROR(VLOOKUP($BG4,flows!$A$2:$J$4985,BJ$2,FALSE),0)</f>
        <v>3186.4369686923628</v>
      </c>
      <c r="BK4" s="372">
        <f>IFERROR(VLOOKUP($BG4,flows!$A$2:$J$4985,BK$2,FALSE),0)</f>
        <v>0</v>
      </c>
      <c r="BL4" s="372">
        <f>IFERROR(VLOOKUP($BG4,flows!$A$2:$J$4985,BL$2,FALSE),0)</f>
        <v>1.1830004795994571</v>
      </c>
      <c r="BM4" s="372">
        <f>IFERROR(VLOOKUP($BG4,flows!$A$2:$J$4985,BM$2,FALSE),0)</f>
        <v>346.01602436597079</v>
      </c>
      <c r="BN4" s="372">
        <f>IFERROR(VLOOKUP($BG4,flows!$A$2:$J$4985,BN$2,FALSE),0)</f>
        <v>1055.578518517156</v>
      </c>
      <c r="BO4" s="372">
        <f>IFERROR(VLOOKUP($BG4,flows!$A$2:$J$4985,BO$2,FALSE),0)</f>
        <v>2511.4917884039628</v>
      </c>
      <c r="BP4" s="372">
        <f>IFERROR(VLOOKUP($BG4,flows!$A$2:$J$4985,BP$2,FALSE),0)</f>
        <v>3186.4498975003771</v>
      </c>
      <c r="BQ4" s="372">
        <f>IFERROR(VLOOKUP($BG4,flows!$A$2:$J$4985,BQ$2,FALSE),0)</f>
        <v>0</v>
      </c>
      <c r="BU4" s="269"/>
      <c r="BV4" s="317"/>
      <c r="BW4" s="371"/>
      <c r="BX4" s="346"/>
      <c r="BY4" s="346"/>
      <c r="BZ4" s="346"/>
      <c r="CA4" s="346"/>
      <c r="CB4" s="346"/>
      <c r="CC4" s="346"/>
      <c r="CD4" s="346"/>
      <c r="CE4" s="346"/>
      <c r="CH4" s="315"/>
      <c r="CI4" s="457" t="s">
        <v>1492</v>
      </c>
      <c r="CJ4" s="315"/>
      <c r="CK4" s="346"/>
      <c r="CL4" s="346"/>
      <c r="CM4" s="346"/>
      <c r="CN4" s="346"/>
      <c r="CO4" s="346"/>
      <c r="CP4" s="346"/>
      <c r="CQ4" s="346"/>
      <c r="CR4" s="346"/>
      <c r="CT4" s="315"/>
      <c r="CU4" s="457"/>
      <c r="CV4" s="315"/>
      <c r="CW4" s="346"/>
      <c r="CX4" s="346"/>
      <c r="CY4" s="346"/>
      <c r="CZ4" s="346"/>
      <c r="DA4" s="346"/>
      <c r="DB4" s="346"/>
      <c r="DC4" s="346"/>
      <c r="DD4" s="346"/>
      <c r="DG4" s="92" t="s">
        <v>3922</v>
      </c>
      <c r="DH4" s="92"/>
      <c r="DI4" s="92"/>
      <c r="DJ4" s="92">
        <f>IFERROR(VLOOKUP($DG4,flows!$A$2:$J$4985,DJ$2,FALSE),0)</f>
        <v>9.7517762383220082E-3</v>
      </c>
      <c r="DK4" s="92">
        <f>IFERROR(VLOOKUP($DG4,flows!$A$2:$J$4985,DK$2,FALSE),0)</f>
        <v>7680.4540410129785</v>
      </c>
      <c r="DL4" s="92">
        <f>IFERROR(VLOOKUP($DG4,flows!$A$2:$J$4985,DL$2,FALSE),0)</f>
        <v>8484.3175630898313</v>
      </c>
      <c r="DM4" s="92">
        <f>IFERROR(VLOOKUP($DG4,flows!$A$2:$J$4985,DM$2,FALSE),0)</f>
        <v>8618.1355570126889</v>
      </c>
      <c r="DN4" s="92">
        <f>IFERROR(VLOOKUP($DG4,flows!$A$2:$J$4985,DN$2,FALSE),0)</f>
        <v>7588.9046437219031</v>
      </c>
      <c r="DO4" s="92">
        <f>IFERROR(VLOOKUP($DG4,flows!$A$2:$J$4985,DO$2,FALSE),0)</f>
        <v>2521.1445176905559</v>
      </c>
      <c r="DP4" s="92">
        <f>IFERROR(VLOOKUP($DG4,flows!$A$2:$J$4985,DP$2,FALSE),0)</f>
        <v>4.3085390199666562E-5</v>
      </c>
      <c r="DQ4" s="93">
        <f>IFERROR(VLOOKUP($DG4,flows!$A$2:$J$4985,DQ$2,FALSE),0)</f>
        <v>0</v>
      </c>
    </row>
    <row r="5" spans="2:125" x14ac:dyDescent="0.35">
      <c r="B5" s="269" t="s">
        <v>4156</v>
      </c>
      <c r="C5" s="317" t="s">
        <v>4349</v>
      </c>
      <c r="D5" s="315" t="s">
        <v>4353</v>
      </c>
      <c r="E5" s="346">
        <f>IFERROR(VLOOKUP($B5,flows!$A$2:$J$4985,E$2,FALSE),0)</f>
        <v>1575.5505698692291</v>
      </c>
      <c r="F5" s="346">
        <f>IFERROR(VLOOKUP($B5,flows!$A$2:$J$4985,F$2,FALSE),0)</f>
        <v>0</v>
      </c>
      <c r="G5" s="346">
        <f>IFERROR(VLOOKUP($B5,flows!$A$2:$J$4985,G$2,FALSE),0)</f>
        <v>12.410225357212051</v>
      </c>
      <c r="H5" s="346">
        <f>IFERROR(VLOOKUP($B5,flows!$A$2:$J$4985,H$2,FALSE),0)</f>
        <v>0.15808301348946269</v>
      </c>
      <c r="I5" s="346">
        <f>IFERROR(VLOOKUP($B5,flows!$A$2:$J$4985,I$2,FALSE),0)</f>
        <v>131.39241679662831</v>
      </c>
      <c r="J5" s="346">
        <f>IFERROR(VLOOKUP($B5,flows!$A$2:$J$4985,J$2,FALSE),0)</f>
        <v>12111.26990223071</v>
      </c>
      <c r="K5" s="346">
        <f>IFERROR(VLOOKUP($B5,flows!$A$2:$J$4985,K$2,FALSE),0)</f>
        <v>1553.226054574257</v>
      </c>
      <c r="L5" s="346">
        <f>IFERROR(VLOOKUP($B5,flows!$A$2:$J$4985,L$2,FALSE),0)</f>
        <v>0</v>
      </c>
      <c r="N5" s="374" t="s">
        <v>4356</v>
      </c>
      <c r="O5" s="92"/>
      <c r="P5" s="92"/>
      <c r="Q5" s="346">
        <f>IFERROR(VLOOKUP($N5,flows!$A$2:$J$4985,Q$2,FALSE),0)</f>
        <v>1.7908850365795351E-3</v>
      </c>
      <c r="R5" s="346">
        <f>IFERROR(VLOOKUP($N5,flows!$A$2:$J$4985,R$2,FALSE),0)</f>
        <v>0</v>
      </c>
      <c r="S5" s="346">
        <f>IFERROR(VLOOKUP($N5,flows!$A$2:$J$4985,S$2,FALSE),0)</f>
        <v>4.1483589625149862E-5</v>
      </c>
      <c r="T5" s="346">
        <f>IFERROR(VLOOKUP($N5,flows!$A$2:$J$4985,T$2,FALSE),0)</f>
        <v>543.68531682329933</v>
      </c>
      <c r="U5" s="346">
        <f>IFERROR(VLOOKUP($N5,flows!$A$2:$J$4985,U$2,FALSE),0)</f>
        <v>2036.6979061625409</v>
      </c>
      <c r="V5" s="346">
        <f>IFERROR(VLOOKUP($N5,flows!$A$2:$J$4985,V$2,FALSE),0)</f>
        <v>4543.0242069175556</v>
      </c>
      <c r="W5" s="346">
        <f>IFERROR(VLOOKUP($N5,flows!$A$2:$J$4985,W$2,FALSE),0)</f>
        <v>1.7828569678311441E-5</v>
      </c>
      <c r="X5" s="346">
        <f>IFERROR(VLOOKUP($N5,flows!$A$2:$J$4985,X$2,FALSE),0)</f>
        <v>0</v>
      </c>
      <c r="Z5" s="374" t="s">
        <v>4140</v>
      </c>
      <c r="AA5" s="92" t="s">
        <v>4186</v>
      </c>
      <c r="AB5" s="92" t="s">
        <v>4187</v>
      </c>
      <c r="AC5" s="346">
        <f>IFERROR(VLOOKUP($Z5,flows!$A$2:$J$4985,AC$2,FALSE),0)</f>
        <v>83948.140114301597</v>
      </c>
      <c r="AD5" s="346">
        <f>IFERROR(VLOOKUP($Z5,flows!$A$2:$J$4985,AD$2,FALSE),0)</f>
        <v>0</v>
      </c>
      <c r="AE5" s="346">
        <f>IFERROR(VLOOKUP($Z5,flows!$A$2:$J$4985,AE$2,FALSE),0)</f>
        <v>1.680211801887217</v>
      </c>
      <c r="AF5" s="346">
        <f>IFERROR(VLOOKUP($Z5,flows!$A$2:$J$4985,AF$2,FALSE),0)</f>
        <v>8.2690940019380984E-3</v>
      </c>
      <c r="AG5" s="346">
        <f>IFERROR(VLOOKUP($Z5,flows!$A$2:$J$4985,AG$2,FALSE),0)</f>
        <v>2.50307291229579E-3</v>
      </c>
      <c r="AH5" s="346">
        <f>IFERROR(VLOOKUP($Z5,flows!$A$2:$J$4985,AH$2,FALSE),0)</f>
        <v>12208.085236479101</v>
      </c>
      <c r="AI5" s="346">
        <f>IFERROR(VLOOKUP($Z5,flows!$A$2:$J$4985,AI$2,FALSE),0)</f>
        <v>85370.605624690914</v>
      </c>
      <c r="AJ5" s="346">
        <f>IFERROR(VLOOKUP($Z5,flows!$A$2:$J$4985,AJ$2,FALSE),0)</f>
        <v>0</v>
      </c>
      <c r="AS5" s="269" t="s">
        <v>2522</v>
      </c>
      <c r="AT5" s="371" t="s">
        <v>2657</v>
      </c>
      <c r="AU5" s="371" t="s">
        <v>2658</v>
      </c>
      <c r="AV5" s="372">
        <f>IFERROR(VLOOKUP($AS5,flows!$A$2:$J$4985,AV$2,FALSE),0)</f>
        <v>323.69199195934141</v>
      </c>
      <c r="AW5" s="372">
        <f>IFERROR(VLOOKUP($AS5,flows!$A$2:$J$4985,AW$2,FALSE),0)</f>
        <v>0</v>
      </c>
      <c r="AX5" s="372">
        <f>IFERROR(VLOOKUP($AS5,flows!$A$2:$J$4985,AX$2,FALSE),0)</f>
        <v>1.210601852122098</v>
      </c>
      <c r="AY5" s="372">
        <f>IFERROR(VLOOKUP($AS5,flows!$A$2:$J$4985,AY$2,FALSE),0)</f>
        <v>2.8612460700554458E-3</v>
      </c>
      <c r="AZ5" s="372">
        <f>IFERROR(VLOOKUP($AS5,flows!$A$2:$J$4985,AZ$2,FALSE),0)</f>
        <v>1.1245141346485079E-3</v>
      </c>
      <c r="BA5" s="372">
        <f>IFERROR(VLOOKUP($AS5,flows!$A$2:$J$4985,BA$2,FALSE),0)</f>
        <v>1.256010362085046E-4</v>
      </c>
      <c r="BB5" s="372">
        <f>IFERROR(VLOOKUP($AS5,flows!$A$2:$J$4985,BB$2,FALSE),0)</f>
        <v>323.67212761863442</v>
      </c>
      <c r="BC5" s="372">
        <f>IFERROR(VLOOKUP($AS5,flows!$A$2:$J$4985,BC$2,FALSE),0)</f>
        <v>0</v>
      </c>
      <c r="BG5" s="269" t="s">
        <v>2659</v>
      </c>
      <c r="BH5" s="371"/>
      <c r="BI5" s="371"/>
      <c r="BJ5" s="372">
        <f>IFERROR(VLOOKUP($BG5,flows!$A$2:$J$4985,BJ$2,FALSE),0)</f>
        <v>1.308065314670759E-2</v>
      </c>
      <c r="BK5" s="372">
        <f>IFERROR(VLOOKUP($BG5,flows!$A$2:$J$4985,BK$2,FALSE),0)</f>
        <v>2285.2000681631798</v>
      </c>
      <c r="BL5" s="372">
        <f>IFERROR(VLOOKUP($BG5,flows!$A$2:$J$4985,BL$2,FALSE),0)</f>
        <v>2464.270352704697</v>
      </c>
      <c r="BM5" s="372">
        <f>IFERROR(VLOOKUP($BG5,flows!$A$2:$J$4985,BM$2,FALSE),0)</f>
        <v>2299.6839810480942</v>
      </c>
      <c r="BN5" s="372">
        <f>IFERROR(VLOOKUP($BG5,flows!$A$2:$J$4985,BN$2,FALSE),0)</f>
        <v>1770.371484576046</v>
      </c>
      <c r="BO5" s="372">
        <f>IFERROR(VLOOKUP($BG5,flows!$A$2:$J$4985,BO$2,FALSE),0)</f>
        <v>494.70821175339393</v>
      </c>
      <c r="BP5" s="372">
        <f>IFERROR(VLOOKUP($BG5,flows!$A$2:$J$4985,BP$2,FALSE),0)</f>
        <v>1.026584635180298E-4</v>
      </c>
      <c r="BQ5" s="372">
        <f>IFERROR(VLOOKUP($BG5,flows!$A$2:$J$4985,BQ$2,FALSE),0)</f>
        <v>0</v>
      </c>
      <c r="BU5" s="269"/>
      <c r="BV5" s="371"/>
      <c r="BW5" s="371"/>
      <c r="BX5" s="346"/>
      <c r="BY5" s="346"/>
      <c r="BZ5" s="346"/>
      <c r="CA5" s="346"/>
      <c r="CB5" s="346"/>
      <c r="CC5" s="346"/>
      <c r="CD5" s="346"/>
      <c r="CE5" s="346"/>
      <c r="CH5" s="92" t="s">
        <v>654</v>
      </c>
      <c r="CK5" s="372">
        <f>IFERROR(VLOOKUP($CH5,flows!$A$2:$J$4985,CK$2,FALSE),0)</f>
        <v>7.2016417185952877E-2</v>
      </c>
      <c r="CL5" s="372">
        <f>IFERROR(VLOOKUP($CH5,flows!$A$2:$J$4985,CL$2,FALSE),0)</f>
        <v>437040.71055254468</v>
      </c>
      <c r="CM5" s="372">
        <f>IFERROR(VLOOKUP($CH5,flows!$A$2:$J$4985,CM$2,FALSE),0)</f>
        <v>267464.6217766616</v>
      </c>
      <c r="CN5" s="372">
        <f>IFERROR(VLOOKUP($CH5,flows!$A$2:$J$4985,CN$2,FALSE),0)</f>
        <v>0.1239469318867943</v>
      </c>
      <c r="CO5" s="372">
        <f>IFERROR(VLOOKUP($CH5,flows!$A$2:$J$4985,CO$2,FALSE),0)</f>
        <v>7.0881622972531304E-3</v>
      </c>
      <c r="CP5" s="372">
        <f>IFERROR(VLOOKUP($CH5,flows!$A$2:$J$4985,CP$2,FALSE),0)</f>
        <v>19666.81033550237</v>
      </c>
      <c r="CQ5" s="372">
        <f>IFERROR(VLOOKUP($CH5,flows!$A$2:$J$4985,CQ$2,FALSE),0)</f>
        <v>2.3320735549338961E-4</v>
      </c>
      <c r="CR5" s="372">
        <f>IFERROR(VLOOKUP($CH5,flows!$A$2:$J$4985,CR$2,FALSE),0)</f>
        <v>0</v>
      </c>
      <c r="CT5" s="92" t="s">
        <v>3922</v>
      </c>
      <c r="CU5" s="315"/>
      <c r="CV5" s="315"/>
      <c r="CW5" s="372">
        <f>IFERROR(VLOOKUP($CT5,flows!$A$2:$J$4985,CW$2,FALSE),0)</f>
        <v>9.7517762383220082E-3</v>
      </c>
      <c r="CX5" s="372">
        <f>IFERROR(VLOOKUP($CT5,flows!$A$2:$J$4985,CX$2,FALSE),0)</f>
        <v>7680.4540410129785</v>
      </c>
      <c r="CY5" s="372">
        <f>IFERROR(VLOOKUP($CT5,flows!$A$2:$J$4985,CY$2,FALSE),0)</f>
        <v>8484.3175630898313</v>
      </c>
      <c r="CZ5" s="372">
        <f>IFERROR(VLOOKUP($CT5,flows!$A$2:$J$4985,CZ$2,FALSE),0)</f>
        <v>8618.1355570126889</v>
      </c>
      <c r="DA5" s="372">
        <f>IFERROR(VLOOKUP($CT5,flows!$A$2:$J$4985,DA$2,FALSE),0)</f>
        <v>7588.9046437219031</v>
      </c>
      <c r="DB5" s="372">
        <f>IFERROR(VLOOKUP($CT5,flows!$A$2:$J$4985,DB$2,FALSE),0)</f>
        <v>2521.1445176905559</v>
      </c>
      <c r="DC5" s="372">
        <f>IFERROR(VLOOKUP($CT5,flows!$A$2:$J$4985,DC$2,FALSE),0)</f>
        <v>4.3085390199666562E-5</v>
      </c>
      <c r="DD5" s="372">
        <f>IFERROR(VLOOKUP($CT5,flows!$A$2:$J$4985,DD$2,FALSE),0)</f>
        <v>0</v>
      </c>
      <c r="DG5" s="92" t="s">
        <v>3923</v>
      </c>
      <c r="DH5" s="92"/>
      <c r="DI5" s="92"/>
      <c r="DJ5" s="92">
        <f>IFERROR(VLOOKUP($DG5,flows!$A$2:$J$4985,DJ$2,FALSE),0)</f>
        <v>4.3098814166056109E-3</v>
      </c>
      <c r="DK5" s="92">
        <f>IFERROR(VLOOKUP($DG5,flows!$A$2:$J$4985,DK$2,FALSE),0)</f>
        <v>0</v>
      </c>
      <c r="DL5" s="92">
        <f>IFERROR(VLOOKUP($DG5,flows!$A$2:$J$4985,DL$2,FALSE),0)</f>
        <v>0.36206393624737671</v>
      </c>
      <c r="DM5" s="92">
        <f>IFERROR(VLOOKUP($DG5,flows!$A$2:$J$4985,DM$2,FALSE),0)</f>
        <v>4.315771586678132E-4</v>
      </c>
      <c r="DN5" s="92">
        <f>IFERROR(VLOOKUP($DG5,flows!$A$2:$J$4985,DN$2,FALSE),0)</f>
        <v>2.7787717240590888E-4</v>
      </c>
      <c r="DO5" s="92">
        <f>IFERROR(VLOOKUP($DG5,flows!$A$2:$J$4985,DO$2,FALSE),0)</f>
        <v>7.2484588479564879E-6</v>
      </c>
      <c r="DP5" s="92">
        <f>IFERROR(VLOOKUP($DG5,flows!$A$2:$J$4985,DP$2,FALSE),0)</f>
        <v>22.266340858072699</v>
      </c>
      <c r="DQ5" s="93">
        <f>IFERROR(VLOOKUP($DG5,flows!$A$2:$J$4985,DQ$2,FALSE),0)</f>
        <v>0</v>
      </c>
      <c r="DU5" s="365">
        <f>1.439*8.76</f>
        <v>12.605640000000001</v>
      </c>
    </row>
    <row r="6" spans="2:125" x14ac:dyDescent="0.35">
      <c r="B6" s="269" t="s">
        <v>4154</v>
      </c>
      <c r="C6" s="315" t="s">
        <v>2655</v>
      </c>
      <c r="D6" s="315" t="s">
        <v>2656</v>
      </c>
      <c r="E6" s="346">
        <f>IFERROR(VLOOKUP($B6,flows!$A$2:$J$4985,E$2,FALSE),0)</f>
        <v>1.510695086941379E-2</v>
      </c>
      <c r="F6" s="346">
        <f>IFERROR(VLOOKUP($B6,flows!$A$2:$J$4985,F$2,FALSE),0)</f>
        <v>0</v>
      </c>
      <c r="G6" s="346">
        <f>IFERROR(VLOOKUP($B6,flows!$A$2:$J$4985,G$2,FALSE),0)</f>
        <v>1.69418573722554</v>
      </c>
      <c r="H6" s="346">
        <f>IFERROR(VLOOKUP($B6,flows!$A$2:$J$4985,H$2,FALSE),0)</f>
        <v>6.0665292013843827E-4</v>
      </c>
      <c r="I6" s="346">
        <f>IFERROR(VLOOKUP($B6,flows!$A$2:$J$4985,I$2,FALSE),0)</f>
        <v>1.6945242657136851E-4</v>
      </c>
      <c r="J6" s="346">
        <f>IFERROR(VLOOKUP($B6,flows!$A$2:$J$4985,J$2,FALSE),0)</f>
        <v>2.3938098239038551E-5</v>
      </c>
      <c r="K6" s="346">
        <f>IFERROR(VLOOKUP($B6,flows!$A$2:$J$4985,K$2,FALSE),0)</f>
        <v>2.7980879004743911E-5</v>
      </c>
      <c r="L6" s="336">
        <f>IFERROR(VLOOKUP($B6,flows!$A$2:$J$4985,L$2,FALSE),0)</f>
        <v>0</v>
      </c>
      <c r="N6" s="40"/>
      <c r="O6" s="92"/>
      <c r="P6" s="92"/>
      <c r="Q6" s="92"/>
      <c r="R6" s="92"/>
      <c r="S6" s="92"/>
      <c r="T6" s="92"/>
      <c r="U6" s="92"/>
      <c r="V6" s="92"/>
      <c r="W6" s="92"/>
      <c r="X6" s="93"/>
      <c r="Z6" s="374" t="s">
        <v>1326</v>
      </c>
      <c r="AA6" s="92" t="s">
        <v>1413</v>
      </c>
      <c r="AB6" s="92" t="s">
        <v>1413</v>
      </c>
      <c r="AC6" s="346">
        <f>IFERROR(VLOOKUP($Z6,flows!$A$2:$J$4985,AC$2,FALSE),0)</f>
        <v>0</v>
      </c>
      <c r="AD6" s="346">
        <f>IFERROR(VLOOKUP($Z6,flows!$A$2:$J$4985,AD$2,FALSE),0)</f>
        <v>0</v>
      </c>
      <c r="AE6" s="346">
        <f>IFERROR(VLOOKUP($Z6,flows!$A$2:$J$4985,AE$2,FALSE),0)</f>
        <v>0</v>
      </c>
      <c r="AF6" s="346">
        <f>IFERROR(VLOOKUP($Z6,flows!$A$2:$J$4985,AF$2,FALSE),0)</f>
        <v>0</v>
      </c>
      <c r="AG6" s="346">
        <f>IFERROR(VLOOKUP($Z6,flows!$A$2:$J$4985,AG$2,FALSE),0)</f>
        <v>0</v>
      </c>
      <c r="AH6" s="346">
        <f>IFERROR(VLOOKUP($Z6,flows!$A$2:$J$4985,AH$2,FALSE),0)</f>
        <v>0</v>
      </c>
      <c r="AI6" s="346">
        <f>IFERROR(VLOOKUP($Z6,flows!$A$2:$J$4985,AI$2,FALSE),0)</f>
        <v>0</v>
      </c>
      <c r="AJ6" s="346">
        <f>IFERROR(VLOOKUP($Z6,flows!$A$2:$J$4985,AJ$2,FALSE),0)</f>
        <v>0</v>
      </c>
      <c r="AS6" s="269" t="s">
        <v>2523</v>
      </c>
      <c r="AT6" s="371" t="s">
        <v>2662</v>
      </c>
      <c r="AU6" s="371" t="s">
        <v>2663</v>
      </c>
      <c r="AV6" s="372">
        <f>IFERROR(VLOOKUP($AS6,flows!$A$2:$J$4985,AV$2,FALSE),0)</f>
        <v>0</v>
      </c>
      <c r="AW6" s="372">
        <f>IFERROR(VLOOKUP($AS6,flows!$A$2:$J$4985,AW$2,FALSE),0)</f>
        <v>0</v>
      </c>
      <c r="AX6" s="372">
        <f>IFERROR(VLOOKUP($AS6,flows!$A$2:$J$4985,AX$2,FALSE),0)</f>
        <v>0</v>
      </c>
      <c r="AY6" s="372">
        <f>IFERROR(VLOOKUP($AS6,flows!$A$2:$J$4985,AY$2,FALSE),0)</f>
        <v>0</v>
      </c>
      <c r="AZ6" s="372">
        <f>IFERROR(VLOOKUP($AS6,flows!$A$2:$J$4985,AZ$2,FALSE),0)</f>
        <v>0</v>
      </c>
      <c r="BA6" s="372">
        <f>IFERROR(VLOOKUP($AS6,flows!$A$2:$J$4985,BA$2,FALSE),0)</f>
        <v>0</v>
      </c>
      <c r="BB6" s="372">
        <f>IFERROR(VLOOKUP($AS6,flows!$A$2:$J$4985,BB$2,FALSE),0)</f>
        <v>0</v>
      </c>
      <c r="BC6" s="372">
        <f>IFERROR(VLOOKUP($AS6,flows!$A$2:$J$4985,BC$2,FALSE),0)</f>
        <v>0</v>
      </c>
      <c r="BG6" s="269" t="s">
        <v>4168</v>
      </c>
      <c r="BH6" s="317" t="s">
        <v>2664</v>
      </c>
      <c r="BI6" s="371" t="s">
        <v>2665</v>
      </c>
      <c r="BJ6" s="372">
        <f>IFERROR(VLOOKUP($BG6,flows!$A$2:$J$4985,BJ$2,FALSE),0)</f>
        <v>1.498390201144321E-2</v>
      </c>
      <c r="BK6" s="372">
        <f>IFERROR(VLOOKUP($BG6,flows!$A$2:$J$4985,BK$2,FALSE),0)</f>
        <v>2580.040135741408</v>
      </c>
      <c r="BL6" s="372">
        <f>IFERROR(VLOOKUP($BG6,flows!$A$2:$J$4985,BL$2,FALSE),0)</f>
        <v>2777.0319899521919</v>
      </c>
      <c r="BM6" s="372">
        <f>IFERROR(VLOOKUP($BG6,flows!$A$2:$J$4985,BM$2,FALSE),0)</f>
        <v>2640.958216092592</v>
      </c>
      <c r="BN6" s="372">
        <f>IFERROR(VLOOKUP($BG6,flows!$A$2:$J$4985,BN$2,FALSE),0)</f>
        <v>2063.898947769454</v>
      </c>
      <c r="BO6" s="372">
        <f>IFERROR(VLOOKUP($BG6,flows!$A$2:$J$4985,BO$2,FALSE),0)</f>
        <v>1.4283202619460201E-4</v>
      </c>
      <c r="BP6" s="372">
        <f>IFERROR(VLOOKUP($BG6,flows!$A$2:$J$4985,BP$2,FALSE),0)</f>
        <v>5.7247298497962468E-5</v>
      </c>
      <c r="BQ6" s="372">
        <f>IFERROR(VLOOKUP($BG6,flows!$A$2:$J$4985,BQ$2,FALSE),0)</f>
        <v>0</v>
      </c>
      <c r="BU6" s="269" t="s">
        <v>2482</v>
      </c>
      <c r="BV6" s="317" t="s">
        <v>2666</v>
      </c>
      <c r="BW6" s="371" t="s">
        <v>2667</v>
      </c>
      <c r="BX6" s="372">
        <f>IFERROR(VLOOKUP($BU6,flows!$A$2:$J$4985,BX$2,FALSE),0)</f>
        <v>5389.325444394708</v>
      </c>
      <c r="BY6" s="372">
        <f>IFERROR(VLOOKUP($BU6,flows!$A$2:$J$4985,BY$2,FALSE),0)</f>
        <v>2898.6839993141111</v>
      </c>
      <c r="BZ6" s="372">
        <f>IFERROR(VLOOKUP($BU6,flows!$A$2:$J$4985,BZ$2,FALSE),0)</f>
        <v>3065.9999714949081</v>
      </c>
      <c r="CA6" s="372">
        <f>IFERROR(VLOOKUP($BU6,flows!$A$2:$J$4985,CA$2,FALSE),0)</f>
        <v>4171.5069556026201</v>
      </c>
      <c r="CB6" s="372">
        <f>IFERROR(VLOOKUP($BU6,flows!$A$2:$J$4985,CB$2,FALSE),0)</f>
        <v>4779.5971402908672</v>
      </c>
      <c r="CC6" s="372">
        <f>IFERROR(VLOOKUP($BU6,flows!$A$2:$J$4985,CC$2,FALSE),0)</f>
        <v>5084.4995909125737</v>
      </c>
      <c r="CD6" s="372">
        <f>IFERROR(VLOOKUP($BU6,flows!$A$2:$J$4985,CD$2,FALSE),0)</f>
        <v>5389.3497233575827</v>
      </c>
      <c r="CE6" s="372">
        <f>IFERROR(VLOOKUP($BU6,flows!$A$2:$J$4985,CE$2,FALSE),0)</f>
        <v>0</v>
      </c>
      <c r="CH6" s="92" t="s">
        <v>655</v>
      </c>
      <c r="CI6" s="315"/>
      <c r="CJ6" s="315"/>
      <c r="CK6" s="372">
        <f>IFERROR(VLOOKUP($CH6,flows!$A$2:$J$4985,CK$2,FALSE),0)</f>
        <v>0.31158360838142451</v>
      </c>
      <c r="CL6" s="372">
        <f>IFERROR(VLOOKUP($CH6,flows!$A$2:$J$4985,CL$2,FALSE),0)</f>
        <v>737360.83742150152</v>
      </c>
      <c r="CM6" s="372">
        <f>IFERROR(VLOOKUP($CH6,flows!$A$2:$J$4985,CM$2,FALSE),0)</f>
        <v>777688.55756677513</v>
      </c>
      <c r="CN6" s="372">
        <f>IFERROR(VLOOKUP($CH6,flows!$A$2:$J$4985,CN$2,FALSE),0)</f>
        <v>695290.23331904039</v>
      </c>
      <c r="CO6" s="372">
        <f>IFERROR(VLOOKUP($CH6,flows!$A$2:$J$4985,CO$2,FALSE),0)</f>
        <v>528183.56555787928</v>
      </c>
      <c r="CP6" s="372">
        <f>IFERROR(VLOOKUP($CH6,flows!$A$2:$J$4985,CP$2,FALSE),0)</f>
        <v>164022.05118488401</v>
      </c>
      <c r="CQ6" s="372">
        <f>IFERROR(VLOOKUP($CH6,flows!$A$2:$J$4985,CQ$2,FALSE),0)</f>
        <v>1.4093780033679749E-3</v>
      </c>
      <c r="CR6" s="372">
        <f>IFERROR(VLOOKUP($CH6,flows!$A$2:$J$4985,CR$2,FALSE),0)</f>
        <v>0</v>
      </c>
      <c r="CT6" s="92" t="s">
        <v>3923</v>
      </c>
      <c r="CU6" s="315" t="s">
        <v>2650</v>
      </c>
      <c r="CV6" s="315" t="s">
        <v>2674</v>
      </c>
      <c r="CW6" s="372">
        <f>IFERROR(VLOOKUP($CT6,flows!$A$2:$J$4985,CW$2,FALSE),0)</f>
        <v>4.3098814166056109E-3</v>
      </c>
      <c r="CX6" s="372">
        <f>IFERROR(VLOOKUP($CT6,flows!$A$2:$J$4985,CX$2,FALSE),0)</f>
        <v>0</v>
      </c>
      <c r="CY6" s="372">
        <f>IFERROR(VLOOKUP($CT6,flows!$A$2:$J$4985,CY$2,FALSE),0)</f>
        <v>0.36206393624737671</v>
      </c>
      <c r="CZ6" s="372">
        <f>IFERROR(VLOOKUP($CT6,flows!$A$2:$J$4985,CZ$2,FALSE),0)</f>
        <v>4.315771586678132E-4</v>
      </c>
      <c r="DA6" s="372">
        <f>IFERROR(VLOOKUP($CT6,flows!$A$2:$J$4985,DA$2,FALSE),0)</f>
        <v>2.7787717240590888E-4</v>
      </c>
      <c r="DB6" s="372">
        <f>IFERROR(VLOOKUP($CT6,flows!$A$2:$J$4985,DB$2,FALSE),0)</f>
        <v>7.2484588479564879E-6</v>
      </c>
      <c r="DC6" s="372">
        <f>IFERROR(VLOOKUP($CT6,flows!$A$2:$J$4985,DC$2,FALSE),0)</f>
        <v>22.266340858072699</v>
      </c>
      <c r="DD6" s="372">
        <f>IFERROR(VLOOKUP($CT6,flows!$A$2:$J$4985,DD$2,FALSE),0)</f>
        <v>0</v>
      </c>
      <c r="DG6" s="40" t="s">
        <v>3915</v>
      </c>
      <c r="DH6" s="92"/>
      <c r="DI6" s="92"/>
      <c r="DJ6" s="92">
        <f>IFERROR(VLOOKUP($DG6,flows!$A$2:$J$4985,DJ$2,FALSE),0)</f>
        <v>0</v>
      </c>
      <c r="DK6" s="92">
        <f>IFERROR(VLOOKUP($DG6,flows!$A$2:$J$4985,DK$2,FALSE),0)</f>
        <v>0</v>
      </c>
      <c r="DL6" s="92">
        <f>IFERROR(VLOOKUP($DG6,flows!$A$2:$J$4985,DL$2,FALSE),0)</f>
        <v>0</v>
      </c>
      <c r="DM6" s="92">
        <f>IFERROR(VLOOKUP($DG6,flows!$A$2:$J$4985,DM$2,FALSE),0)</f>
        <v>0</v>
      </c>
      <c r="DN6" s="92">
        <f>IFERROR(VLOOKUP($DG6,flows!$A$2:$J$4985,DN$2,FALSE),0)</f>
        <v>0</v>
      </c>
      <c r="DO6" s="92">
        <f>IFERROR(VLOOKUP($DG6,flows!$A$2:$J$4985,DO$2,FALSE),0)</f>
        <v>0</v>
      </c>
      <c r="DP6" s="92">
        <f>IFERROR(VLOOKUP($DG6,flows!$A$2:$J$4985,DP$2,FALSE),0)</f>
        <v>0</v>
      </c>
      <c r="DQ6" s="93">
        <f>IFERROR(VLOOKUP($DG6,flows!$A$2:$J$4985,DQ$2,FALSE),0)</f>
        <v>0</v>
      </c>
    </row>
    <row r="7" spans="2:125" x14ac:dyDescent="0.35">
      <c r="B7" s="269" t="s">
        <v>4160</v>
      </c>
      <c r="C7" s="315" t="s">
        <v>2660</v>
      </c>
      <c r="D7" s="315" t="s">
        <v>2661</v>
      </c>
      <c r="E7" s="346">
        <f>IFERROR(VLOOKUP($B7,flows!$A$2:$J$4985,E$2,FALSE),0)</f>
        <v>16502.670712103321</v>
      </c>
      <c r="F7" s="346">
        <f>IFERROR(VLOOKUP($B7,flows!$A$2:$J$4985,F$2,FALSE),0)</f>
        <v>0</v>
      </c>
      <c r="G7" s="346">
        <f>IFERROR(VLOOKUP($B7,flows!$A$2:$J$4985,G$2,FALSE),0)</f>
        <v>0.49107680590368391</v>
      </c>
      <c r="H7" s="346">
        <f>IFERROR(VLOOKUP($B7,flows!$A$2:$J$4985,H$2,FALSE),0)</f>
        <v>2.7122418447224732E-3</v>
      </c>
      <c r="I7" s="346">
        <f>IFERROR(VLOOKUP($B7,flows!$A$2:$J$4985,I$2,FALSE),0)</f>
        <v>2.9735059541241E-3</v>
      </c>
      <c r="J7" s="346">
        <f>IFERROR(VLOOKUP($B7,flows!$A$2:$J$4985,J$2,FALSE),0)</f>
        <v>2.1482145293314129E-4</v>
      </c>
      <c r="K7" s="346">
        <f>IFERROR(VLOOKUP($B7,flows!$A$2:$J$4985,K$2,FALSE),0)</f>
        <v>16476.364785163289</v>
      </c>
      <c r="L7" s="336">
        <f>IFERROR(VLOOKUP($B7,flows!$A$2:$J$4985,L$2,FALSE),0)</f>
        <v>0</v>
      </c>
      <c r="N7" s="374" t="s">
        <v>4157</v>
      </c>
      <c r="O7" s="371" t="s">
        <v>4357</v>
      </c>
      <c r="P7" s="371" t="s">
        <v>4358</v>
      </c>
      <c r="Q7" s="346">
        <f>IFERROR(VLOOKUP($N7,flows!$A$2:$J$4985,Q$2,FALSE),0)</f>
        <v>4.1883428350485584E-3</v>
      </c>
      <c r="R7" s="346">
        <f>IFERROR(VLOOKUP($N7,flows!$A$2:$J$4985,R$2,FALSE),0)</f>
        <v>0</v>
      </c>
      <c r="S7" s="346">
        <f>IFERROR(VLOOKUP($N7,flows!$A$2:$J$4985,S$2,FALSE),0)</f>
        <v>9.7017671056337976E-5</v>
      </c>
      <c r="T7" s="346">
        <f>IFERROR(VLOOKUP($N7,flows!$A$2:$J$4985,T$2,FALSE),0)</f>
        <v>1271.51685045465</v>
      </c>
      <c r="U7" s="346">
        <f>IFERROR(VLOOKUP($N7,flows!$A$2:$J$4985,U$2,FALSE),0)</f>
        <v>4763.2253931423338</v>
      </c>
      <c r="V7" s="346">
        <f>IFERROR(VLOOKUP($N7,flows!$A$2:$J$4985,V$2,FALSE),0)</f>
        <v>10624.770712718089</v>
      </c>
      <c r="W7" s="346">
        <f>IFERROR(VLOOKUP($N7,flows!$A$2:$J$4985,W$2,FALSE),0)</f>
        <v>4.1695675906666973E-5</v>
      </c>
      <c r="X7" s="346">
        <f>IFERROR(VLOOKUP($N7,flows!$A$2:$J$4985,X$2,FALSE),0)</f>
        <v>0</v>
      </c>
      <c r="Z7" s="317" t="s">
        <v>4273</v>
      </c>
      <c r="AA7" s="137" t="s">
        <v>1943</v>
      </c>
      <c r="AB7" s="137" t="s">
        <v>1943</v>
      </c>
      <c r="AC7" s="346">
        <f>IFERROR(VLOOKUP($Z7,flows!$A$2:$J$4985,AC$2,FALSE),0)</f>
        <v>4.252078924158556E-2</v>
      </c>
      <c r="AD7" s="346">
        <f>IFERROR(VLOOKUP($Z7,flows!$A$2:$J$4985,AD$2,FALSE),0)</f>
        <v>0</v>
      </c>
      <c r="AE7" s="346">
        <f>IFERROR(VLOOKUP($Z7,flows!$A$2:$J$4985,AE$2,FALSE),0)</f>
        <v>0.56903836031329047</v>
      </c>
      <c r="AF7" s="346">
        <f>IFERROR(VLOOKUP($Z7,flows!$A$2:$J$4985,AF$2,FALSE),0)</f>
        <v>2.2982179871535772E-3</v>
      </c>
      <c r="AG7" s="346">
        <f>IFERROR(VLOOKUP($Z7,flows!$A$2:$J$4985,AG$2,FALSE),0)</f>
        <v>1.8254563435626369E-3</v>
      </c>
      <c r="AH7" s="346">
        <f>IFERROR(VLOOKUP($Z7,flows!$A$2:$J$4985,AH$2,FALSE),0)</f>
        <v>519.41134587754755</v>
      </c>
      <c r="AI7" s="346">
        <f>IFERROR(VLOOKUP($Z7,flows!$A$2:$J$4985,AI$2,FALSE),0)</f>
        <v>67.262972687594242</v>
      </c>
      <c r="AJ7" s="346">
        <f>IFERROR(VLOOKUP($Z7,flows!$A$2:$J$4985,AJ$2,FALSE),0)</f>
        <v>0</v>
      </c>
      <c r="AS7" s="269"/>
      <c r="AV7" s="372"/>
      <c r="AW7" s="372"/>
      <c r="AX7" s="372"/>
      <c r="AY7" s="372"/>
      <c r="AZ7" s="372"/>
      <c r="BA7" s="372"/>
      <c r="BB7" s="372"/>
      <c r="BC7" s="336"/>
      <c r="BG7" s="269" t="s">
        <v>4362</v>
      </c>
      <c r="BH7" s="317" t="s">
        <v>4363</v>
      </c>
      <c r="BI7" s="371"/>
      <c r="BJ7" s="372">
        <f>IFERROR(VLOOKUP($BG7,flows!$A$2:$J$4985,BJ$2,FALSE),0)</f>
        <v>227.5687853649747</v>
      </c>
      <c r="BK7" s="372">
        <f>IFERROR(VLOOKUP($BG7,flows!$A$2:$J$4985,BK$2,FALSE),0)</f>
        <v>0</v>
      </c>
      <c r="BL7" s="372">
        <f>IFERROR(VLOOKUP($BG7,flows!$A$2:$J$4985,BL$2,FALSE),0)</f>
        <v>4.6438592049770619</v>
      </c>
      <c r="BM7" s="372">
        <f>IFERROR(VLOOKUP($BG7,flows!$A$2:$J$4985,BM$2,FALSE),0)</f>
        <v>5.8150962344575688E-2</v>
      </c>
      <c r="BN7" s="372">
        <f>IFERROR(VLOOKUP($BG7,flows!$A$2:$J$4985,BN$2,FALSE),0)</f>
        <v>71.05290390614968</v>
      </c>
      <c r="BO7" s="372">
        <f>IFERROR(VLOOKUP($BG7,flows!$A$2:$J$4985,BO$2,FALSE),0)</f>
        <v>882.53599795200012</v>
      </c>
      <c r="BP7" s="372">
        <f>IFERROR(VLOOKUP($BG7,flows!$A$2:$J$4985,BP$2,FALSE),0)</f>
        <v>227.58192047373109</v>
      </c>
      <c r="BQ7" s="372">
        <f>IFERROR(VLOOKUP($BG7,flows!$A$2:$J$4985,BQ$2,FALSE),0)</f>
        <v>0</v>
      </c>
      <c r="BU7" s="269" t="s">
        <v>2479</v>
      </c>
      <c r="BV7" s="371" t="s">
        <v>2672</v>
      </c>
      <c r="BW7" s="371" t="s">
        <v>2673</v>
      </c>
      <c r="BX7" s="372">
        <f>IFERROR(VLOOKUP($BU7,flows!$A$2:$J$4985,BX$2,FALSE),0)</f>
        <v>2.4606224751165529E-2</v>
      </c>
      <c r="BY7" s="372">
        <f>IFERROR(VLOOKUP($BU7,flows!$A$2:$J$4985,BY$2,FALSE),0)</f>
        <v>966.22799931327381</v>
      </c>
      <c r="BZ7" s="372">
        <f>IFERROR(VLOOKUP($BU7,flows!$A$2:$J$4985,BZ$2,FALSE),0)</f>
        <v>1021.415971735199</v>
      </c>
      <c r="CA7" s="372">
        <f>IFERROR(VLOOKUP($BU7,flows!$A$2:$J$4985,CA$2,FALSE),0)</f>
        <v>303.19304979982331</v>
      </c>
      <c r="CB7" s="372">
        <f>IFERROR(VLOOKUP($BU7,flows!$A$2:$J$4985,CB$2,FALSE),0)</f>
        <v>2.8628304966692541E-3</v>
      </c>
      <c r="CC7" s="372">
        <f>IFERROR(VLOOKUP($BU7,flows!$A$2:$J$4985,CC$2,FALSE),0)</f>
        <v>4.0924542019660622E-4</v>
      </c>
      <c r="CD7" s="372">
        <f>IFERROR(VLOOKUP($BU7,flows!$A$2:$J$4985,CD$2,FALSE),0)</f>
        <v>2.768048563776382E-4</v>
      </c>
      <c r="CE7" s="372">
        <f>IFERROR(VLOOKUP($BU7,flows!$A$2:$J$4985,CE$2,FALSE),0)</f>
        <v>0</v>
      </c>
      <c r="CH7" s="92" t="s">
        <v>656</v>
      </c>
      <c r="CI7" s="315"/>
      <c r="CJ7" s="315"/>
      <c r="CK7" s="372">
        <f>IFERROR(VLOOKUP($CH7,flows!$A$2:$J$4985,CK$2,FALSE),0)</f>
        <v>7.2425176429977409E-2</v>
      </c>
      <c r="CL7" s="372">
        <f>IFERROR(VLOOKUP($CH7,flows!$A$2:$J$4985,CL$2,FALSE),0)</f>
        <v>0.3947366457414343</v>
      </c>
      <c r="CM7" s="372">
        <f>IFERROR(VLOOKUP($CH7,flows!$A$2:$J$4985,CM$2,FALSE),0)</f>
        <v>8.7913162416138402</v>
      </c>
      <c r="CN7" s="372">
        <f>IFERROR(VLOOKUP($CH7,flows!$A$2:$J$4985,CN$2,FALSE),0)</f>
        <v>1.2151518151527929E-2</v>
      </c>
      <c r="CO7" s="372">
        <f>IFERROR(VLOOKUP($CH7,flows!$A$2:$J$4985,CO$2,FALSE),0)</f>
        <v>4.4671680576641136E-3</v>
      </c>
      <c r="CP7" s="372">
        <f>IFERROR(VLOOKUP($CH7,flows!$A$2:$J$4985,CP$2,FALSE),0)</f>
        <v>1.09632428431773E-3</v>
      </c>
      <c r="CQ7" s="372">
        <f>IFERROR(VLOOKUP($CH7,flows!$A$2:$J$4985,CQ$2,FALSE),0)</f>
        <v>2.330625007936029E-4</v>
      </c>
      <c r="CR7" s="372">
        <f>IFERROR(VLOOKUP($CH7,flows!$A$2:$J$4985,CR$2,FALSE),0)</f>
        <v>0</v>
      </c>
      <c r="CT7" s="92" t="s">
        <v>3915</v>
      </c>
      <c r="CU7" s="315" t="s">
        <v>2650</v>
      </c>
      <c r="CV7" s="315" t="s">
        <v>2674</v>
      </c>
      <c r="CW7" s="372">
        <f>IFERROR(VLOOKUP($CT7,flows!$A$2:$J$4985,CW$2,FALSE),0)</f>
        <v>0</v>
      </c>
      <c r="CX7" s="372">
        <f>IFERROR(VLOOKUP($CT7,flows!$A$2:$J$4985,CX$2,FALSE),0)</f>
        <v>0</v>
      </c>
      <c r="CY7" s="372">
        <f>IFERROR(VLOOKUP($CT7,flows!$A$2:$J$4985,CY$2,FALSE),0)</f>
        <v>0</v>
      </c>
      <c r="CZ7" s="372">
        <f>IFERROR(VLOOKUP($CT7,flows!$A$2:$J$4985,CZ$2,FALSE),0)</f>
        <v>0</v>
      </c>
      <c r="DA7" s="372">
        <f>IFERROR(VLOOKUP($CT7,flows!$A$2:$J$4985,DA$2,FALSE),0)</f>
        <v>0</v>
      </c>
      <c r="DB7" s="372">
        <f>IFERROR(VLOOKUP($CT7,flows!$A$2:$J$4985,DB$2,FALSE),0)</f>
        <v>0</v>
      </c>
      <c r="DC7" s="372">
        <f>IFERROR(VLOOKUP($CT7,flows!$A$2:$J$4985,DC$2,FALSE),0)</f>
        <v>0</v>
      </c>
      <c r="DD7" s="372">
        <f>IFERROR(VLOOKUP($CT7,flows!$A$2:$J$4985,DD$2,FALSE),0)</f>
        <v>0</v>
      </c>
      <c r="DG7" s="40" t="s">
        <v>3917</v>
      </c>
      <c r="DH7" s="92" t="s">
        <v>2854</v>
      </c>
      <c r="DI7" s="92"/>
      <c r="DJ7" s="92">
        <f>IFERROR(VLOOKUP($DG7,flows!$A$2:$J$4985,DJ$2,FALSE),0)</f>
        <v>0</v>
      </c>
      <c r="DK7" s="92">
        <f>IFERROR(VLOOKUP($DG7,flows!$A$2:$J$4985,DK$2,FALSE),0)</f>
        <v>0</v>
      </c>
      <c r="DL7" s="92">
        <f>IFERROR(VLOOKUP($DG7,flows!$A$2:$J$4985,DL$2,FALSE),0)</f>
        <v>0</v>
      </c>
      <c r="DM7" s="92">
        <f>IFERROR(VLOOKUP($DG7,flows!$A$2:$J$4985,DM$2,FALSE),0)</f>
        <v>0</v>
      </c>
      <c r="DN7" s="92">
        <f>IFERROR(VLOOKUP($DG7,flows!$A$2:$J$4985,DN$2,FALSE),0)</f>
        <v>0</v>
      </c>
      <c r="DO7" s="92">
        <f>IFERROR(VLOOKUP($DG7,flows!$A$2:$J$4985,DO$2,FALSE),0)</f>
        <v>0</v>
      </c>
      <c r="DP7" s="92">
        <f>IFERROR(VLOOKUP($DG7,flows!$A$2:$J$4985,DP$2,FALSE),0)</f>
        <v>0</v>
      </c>
      <c r="DQ7" s="93">
        <f>IFERROR(VLOOKUP($DG7,flows!$A$2:$J$4985,DQ$2,FALSE),0)</f>
        <v>0</v>
      </c>
    </row>
    <row r="8" spans="2:125" x14ac:dyDescent="0.35">
      <c r="B8" s="269" t="s">
        <v>2514</v>
      </c>
      <c r="C8" s="315" t="s">
        <v>2668</v>
      </c>
      <c r="D8" s="315" t="s">
        <v>2669</v>
      </c>
      <c r="E8" s="346">
        <f>IFERROR(VLOOKUP($B8,flows!$A$2:$J$4985,E$2,FALSE),0)</f>
        <v>0</v>
      </c>
      <c r="F8" s="346">
        <f>IFERROR(VLOOKUP($B8,flows!$A$2:$J$4985,F$2,FALSE),0)</f>
        <v>0</v>
      </c>
      <c r="G8" s="346">
        <f>IFERROR(VLOOKUP($B8,flows!$A$2:$J$4985,G$2,FALSE),0)</f>
        <v>0</v>
      </c>
      <c r="H8" s="346">
        <f>IFERROR(VLOOKUP($B8,flows!$A$2:$J$4985,H$2,FALSE),0)</f>
        <v>0</v>
      </c>
      <c r="I8" s="346">
        <f>IFERROR(VLOOKUP($B8,flows!$A$2:$J$4985,I$2,FALSE),0)</f>
        <v>0</v>
      </c>
      <c r="J8" s="346">
        <f>IFERROR(VLOOKUP($B8,flows!$A$2:$J$4985,J$2,FALSE),0)</f>
        <v>0</v>
      </c>
      <c r="K8" s="346">
        <f>IFERROR(VLOOKUP($B8,flows!$A$2:$J$4985,K$2,FALSE),0)</f>
        <v>0</v>
      </c>
      <c r="L8" s="336">
        <f>IFERROR(VLOOKUP($B8,flows!$A$2:$J$4985,L$2,FALSE),0)</f>
        <v>0</v>
      </c>
      <c r="N8" s="374" t="s">
        <v>4359</v>
      </c>
      <c r="O8" s="371" t="s">
        <v>4360</v>
      </c>
      <c r="P8" s="371" t="s">
        <v>4361</v>
      </c>
      <c r="Q8" s="346">
        <f>IFERROR(VLOOKUP($N8,flows!$A$2:$J$4985,Q$2,FALSE),0)</f>
        <v>16502.62672500547</v>
      </c>
      <c r="R8" s="346">
        <f>IFERROR(VLOOKUP($N8,flows!$A$2:$J$4985,R$2,FALSE),0)</f>
        <v>0</v>
      </c>
      <c r="S8" s="346">
        <f>IFERROR(VLOOKUP($N8,flows!$A$2:$J$4985,S$2,FALSE),0)</f>
        <v>9.7052605465985161E-5</v>
      </c>
      <c r="T8" s="346">
        <f>IFERROR(VLOOKUP($N8,flows!$A$2:$J$4985,T$2,FALSE),0)</f>
        <v>2.522316112729267E-3</v>
      </c>
      <c r="U8" s="346">
        <f>IFERROR(VLOOKUP($N8,flows!$A$2:$J$4985,U$2,FALSE),0)</f>
        <v>2.6878841175401449E-3</v>
      </c>
      <c r="V8" s="346">
        <f>IFERROR(VLOOKUP($N8,flows!$A$2:$J$4985,V$2,FALSE),0)</f>
        <v>1.8813102387927409E-4</v>
      </c>
      <c r="W8" s="346">
        <f>IFERROR(VLOOKUP($N8,flows!$A$2:$J$4985,W$2,FALSE),0)</f>
        <v>16453.941000399329</v>
      </c>
      <c r="X8" s="346">
        <f>IFERROR(VLOOKUP($N8,flows!$A$2:$J$4985,X$2,FALSE),0)</f>
        <v>0</v>
      </c>
      <c r="Z8" s="374" t="s">
        <v>4141</v>
      </c>
      <c r="AA8" s="92" t="s">
        <v>3135</v>
      </c>
      <c r="AB8" s="92" t="s">
        <v>3143</v>
      </c>
      <c r="AC8" s="346">
        <f>IFERROR(VLOOKUP($Z8,flows!$A$2:$J$4985,AC$2,FALSE),0)</f>
        <v>0</v>
      </c>
      <c r="AD8" s="346">
        <f>IFERROR(VLOOKUP($Z8,flows!$A$2:$J$4985,AD$2,FALSE),0)</f>
        <v>0</v>
      </c>
      <c r="AE8" s="346">
        <f>IFERROR(VLOOKUP($Z8,flows!$A$2:$J$4985,AE$2,FALSE),0)</f>
        <v>0</v>
      </c>
      <c r="AF8" s="346">
        <f>IFERROR(VLOOKUP($Z8,flows!$A$2:$J$4985,AF$2,FALSE),0)</f>
        <v>0</v>
      </c>
      <c r="AG8" s="346">
        <f>IFERROR(VLOOKUP($Z8,flows!$A$2:$J$4985,AG$2,FALSE),0)</f>
        <v>0</v>
      </c>
      <c r="AH8" s="346">
        <f>IFERROR(VLOOKUP($Z8,flows!$A$2:$J$4985,AH$2,FALSE),0)</f>
        <v>0</v>
      </c>
      <c r="AI8" s="346">
        <f>IFERROR(VLOOKUP($Z8,flows!$A$2:$J$4985,AI$2,FALSE),0)</f>
        <v>0</v>
      </c>
      <c r="AJ8" s="346">
        <f>IFERROR(VLOOKUP($Z8,flows!$A$2:$J$4985,AJ$2,FALSE),0)</f>
        <v>0</v>
      </c>
      <c r="AS8" s="269"/>
      <c r="AT8" s="371"/>
      <c r="AU8" s="371"/>
      <c r="AV8" s="372"/>
      <c r="AW8" s="372"/>
      <c r="AX8" s="372"/>
      <c r="AY8" s="372"/>
      <c r="AZ8" s="372"/>
      <c r="BA8" s="372"/>
      <c r="BB8" s="372"/>
      <c r="BC8" s="336"/>
      <c r="BG8" s="269" t="s">
        <v>2510</v>
      </c>
      <c r="BH8" s="371" t="s">
        <v>2670</v>
      </c>
      <c r="BI8" s="371" t="s">
        <v>2671</v>
      </c>
      <c r="BJ8" s="372">
        <f>IFERROR(VLOOKUP($BG8,flows!$A$2:$J$4985,BJ$2,FALSE),0)</f>
        <v>3369.9703764612609</v>
      </c>
      <c r="BK8" s="372">
        <f>IFERROR(VLOOKUP($BG8,flows!$A$2:$J$4985,BK$2,FALSE),0)</f>
        <v>0</v>
      </c>
      <c r="BL8" s="372">
        <f>IFERROR(VLOOKUP($BG8,flows!$A$2:$J$4985,BL$2,FALSE),0)</f>
        <v>1.8726297521572719</v>
      </c>
      <c r="BM8" s="372">
        <f>IFERROR(VLOOKUP($BG8,flows!$A$2:$J$4985,BM$2,FALSE),0)</f>
        <v>346.01765200402019</v>
      </c>
      <c r="BN8" s="372">
        <f>IFERROR(VLOOKUP($BG8,flows!$A$2:$J$4985,BN$2,FALSE),0)</f>
        <v>1055.5791591478501</v>
      </c>
      <c r="BO8" s="372">
        <f>IFERROR(VLOOKUP($BG8,flows!$A$2:$J$4985,BO$2,FALSE),0)</f>
        <v>2511.491859776791</v>
      </c>
      <c r="BP8" s="372">
        <f>IFERROR(VLOOKUP($BG8,flows!$A$2:$J$4985,BP$2,FALSE),0)</f>
        <v>3369.971994018797</v>
      </c>
      <c r="BQ8" s="372">
        <f>IFERROR(VLOOKUP($BG8,flows!$A$2:$J$4985,BQ$2,FALSE),0)</f>
        <v>0</v>
      </c>
      <c r="BU8" s="269" t="s">
        <v>2481</v>
      </c>
      <c r="BV8" s="371"/>
      <c r="BW8" s="371"/>
      <c r="BX8" s="372">
        <f>IFERROR(VLOOKUP($BU8,flows!$A$2:$J$4985,BX$2,FALSE),0)</f>
        <v>0</v>
      </c>
      <c r="BY8" s="372">
        <f>IFERROR(VLOOKUP($BU8,flows!$A$2:$J$4985,BY$2,FALSE),0)</f>
        <v>0</v>
      </c>
      <c r="BZ8" s="372">
        <f>IFERROR(VLOOKUP($BU8,flows!$A$2:$J$4985,BZ$2,FALSE),0)</f>
        <v>0</v>
      </c>
      <c r="CA8" s="372">
        <f>IFERROR(VLOOKUP($BU8,flows!$A$2:$J$4985,CA$2,FALSE),0)</f>
        <v>0</v>
      </c>
      <c r="CB8" s="372">
        <f>IFERROR(VLOOKUP($BU8,flows!$A$2:$J$4985,CB$2,FALSE),0)</f>
        <v>0</v>
      </c>
      <c r="CC8" s="372">
        <f>IFERROR(VLOOKUP($BU8,flows!$A$2:$J$4985,CC$2,FALSE),0)</f>
        <v>0</v>
      </c>
      <c r="CD8" s="372">
        <f>IFERROR(VLOOKUP($BU8,flows!$A$2:$J$4985,CD$2,FALSE),0)</f>
        <v>0</v>
      </c>
      <c r="CE8" s="372">
        <f>IFERROR(VLOOKUP($BU8,flows!$A$2:$J$4985,CE$2,FALSE),0)</f>
        <v>0</v>
      </c>
      <c r="CH8" s="92"/>
      <c r="CI8" s="315" t="s">
        <v>2681</v>
      </c>
      <c r="CJ8" s="315" t="s">
        <v>2682</v>
      </c>
      <c r="CK8" s="372">
        <f>SUM(CK5:CK7)</f>
        <v>0.4560252019973548</v>
      </c>
      <c r="CL8" s="372">
        <f t="shared" ref="CL8:CR8" si="0">SUM(CL5:CL7)</f>
        <v>1174401.9427106921</v>
      </c>
      <c r="CM8" s="372">
        <f t="shared" si="0"/>
        <v>1045161.9706596783</v>
      </c>
      <c r="CN8" s="372">
        <f t="shared" si="0"/>
        <v>695290.36941749044</v>
      </c>
      <c r="CO8" s="372">
        <f t="shared" si="0"/>
        <v>528183.57711320964</v>
      </c>
      <c r="CP8" s="372">
        <f t="shared" si="0"/>
        <v>183688.86261671068</v>
      </c>
      <c r="CQ8" s="372">
        <f t="shared" si="0"/>
        <v>1.8756478596549673E-3</v>
      </c>
      <c r="CR8" s="372">
        <f t="shared" si="0"/>
        <v>0</v>
      </c>
      <c r="CT8" s="315"/>
      <c r="CU8" s="315"/>
      <c r="CV8" s="315"/>
      <c r="CW8" s="346"/>
      <c r="CX8" s="346"/>
      <c r="CY8" s="346"/>
      <c r="CZ8" s="346"/>
      <c r="DA8" s="346"/>
      <c r="DB8" s="346"/>
      <c r="DC8" s="346"/>
      <c r="DD8" s="346"/>
      <c r="DG8" s="40"/>
      <c r="DH8" s="92"/>
      <c r="DI8" s="92"/>
      <c r="DJ8" s="92"/>
      <c r="DK8" s="92"/>
      <c r="DL8" s="92"/>
      <c r="DM8" s="92"/>
      <c r="DN8" s="92"/>
      <c r="DO8" s="92"/>
      <c r="DP8" s="92"/>
      <c r="DQ8" s="93"/>
    </row>
    <row r="9" spans="2:125" x14ac:dyDescent="0.35">
      <c r="B9" s="269" t="s">
        <v>4167</v>
      </c>
      <c r="C9" s="315" t="s">
        <v>2675</v>
      </c>
      <c r="D9" s="371" t="s">
        <v>4351</v>
      </c>
      <c r="E9" s="346">
        <f>IFERROR(VLOOKUP($B9,flows!$A$2:$J$4985,E$2,FALSE),0)</f>
        <v>1.6993207924875079E-3</v>
      </c>
      <c r="F9" s="346">
        <f>IFERROR(VLOOKUP($B9,flows!$A$2:$J$4985,F$2,FALSE),0)</f>
        <v>678.00067328703642</v>
      </c>
      <c r="G9" s="346">
        <f>IFERROR(VLOOKUP($B9,flows!$A$2:$J$4985,G$2,FALSE),0)</f>
        <v>705.59289172396723</v>
      </c>
      <c r="H9" s="346">
        <f>IFERROR(VLOOKUP($B9,flows!$A$2:$J$4985,H$2,FALSE),0)</f>
        <v>1.491050105277504E-3</v>
      </c>
      <c r="I9" s="346">
        <f>IFERROR(VLOOKUP($B9,flows!$A$2:$J$4985,I$2,FALSE),0)</f>
        <v>4.6641420022896471E-4</v>
      </c>
      <c r="J9" s="346">
        <f>IFERROR(VLOOKUP($B9,flows!$A$2:$J$4985,J$2,FALSE),0)</f>
        <v>5.7867286992472769E-5</v>
      </c>
      <c r="K9" s="346">
        <f>IFERROR(VLOOKUP($B9,flows!$A$2:$J$4985,K$2,FALSE),0)</f>
        <v>6.0167928021240697E-6</v>
      </c>
      <c r="L9" s="346">
        <f>IFERROR(VLOOKUP($B9,flows!$A$2:$J$4985,L$2,FALSE),0)</f>
        <v>0</v>
      </c>
      <c r="N9" s="374"/>
      <c r="O9" s="371" t="s">
        <v>2574</v>
      </c>
      <c r="P9" s="371"/>
      <c r="Q9" s="346">
        <f>Q7+Q8</f>
        <v>16502.630913348305</v>
      </c>
      <c r="R9" s="346">
        <f t="shared" ref="R9:X9" si="1">R7+R8</f>
        <v>0</v>
      </c>
      <c r="S9" s="346">
        <f t="shared" si="1"/>
        <v>1.9407027652232312E-4</v>
      </c>
      <c r="T9" s="346">
        <f t="shared" si="1"/>
        <v>1271.5193727707626</v>
      </c>
      <c r="U9" s="346">
        <f t="shared" si="1"/>
        <v>4763.228081026451</v>
      </c>
      <c r="V9" s="346">
        <f t="shared" si="1"/>
        <v>10624.770900849113</v>
      </c>
      <c r="W9" s="346">
        <f t="shared" si="1"/>
        <v>16453.941042095004</v>
      </c>
      <c r="X9" s="346">
        <f t="shared" si="1"/>
        <v>0</v>
      </c>
      <c r="Z9" s="374" t="s">
        <v>634</v>
      </c>
      <c r="AA9" s="137" t="s">
        <v>3141</v>
      </c>
      <c r="AB9" s="137" t="s">
        <v>3142</v>
      </c>
      <c r="AC9" s="346">
        <f>IFERROR(VLOOKUP($Z9,flows!$A$2:$J$4985,AC$2,FALSE),0)</f>
        <v>0</v>
      </c>
      <c r="AD9" s="346">
        <f>IFERROR(VLOOKUP($Z9,flows!$A$2:$J$4985,AD$2,FALSE),0)</f>
        <v>0</v>
      </c>
      <c r="AE9" s="346">
        <f>IFERROR(VLOOKUP($Z9,flows!$A$2:$J$4985,AE$2,FALSE),0)</f>
        <v>0</v>
      </c>
      <c r="AF9" s="346">
        <f>IFERROR(VLOOKUP($Z9,flows!$A$2:$J$4985,AF$2,FALSE),0)</f>
        <v>0</v>
      </c>
      <c r="AG9" s="346">
        <f>IFERROR(VLOOKUP($Z9,flows!$A$2:$J$4985,AG$2,FALSE),0)</f>
        <v>0</v>
      </c>
      <c r="AH9" s="346">
        <f>IFERROR(VLOOKUP($Z9,flows!$A$2:$J$4985,AH$2,FALSE),0)</f>
        <v>0</v>
      </c>
      <c r="AI9" s="346">
        <f>IFERROR(VLOOKUP($Z9,flows!$A$2:$J$4985,AI$2,FALSE),0)</f>
        <v>0</v>
      </c>
      <c r="AJ9" s="346">
        <f>IFERROR(VLOOKUP($Z9,flows!$A$2:$J$4985,AJ$2,FALSE),0)</f>
        <v>0</v>
      </c>
      <c r="AS9" s="269"/>
      <c r="AV9" s="372"/>
      <c r="AW9" s="372"/>
      <c r="AX9" s="372"/>
      <c r="AY9" s="372"/>
      <c r="AZ9" s="372"/>
      <c r="BA9" s="372"/>
      <c r="BB9" s="372"/>
      <c r="BC9" s="336"/>
      <c r="BG9" s="269" t="s">
        <v>2515</v>
      </c>
      <c r="BH9" s="371"/>
      <c r="BI9" s="371"/>
      <c r="BJ9" s="372">
        <f>IFERROR(VLOOKUP($BG9,flows!$A$2:$J$4985,BJ$2,FALSE),0)</f>
        <v>0</v>
      </c>
      <c r="BK9" s="372">
        <f>IFERROR(VLOOKUP($BG9,flows!$A$2:$J$4985,BK$2,FALSE),0)</f>
        <v>0</v>
      </c>
      <c r="BL9" s="372">
        <f>IFERROR(VLOOKUP($BG9,flows!$A$2:$J$4985,BL$2,FALSE),0)</f>
        <v>0</v>
      </c>
      <c r="BM9" s="372">
        <f>IFERROR(VLOOKUP($BG9,flows!$A$2:$J$4985,BM$2,FALSE),0)</f>
        <v>0</v>
      </c>
      <c r="BN9" s="372">
        <f>IFERROR(VLOOKUP($BG9,flows!$A$2:$J$4985,BN$2,FALSE),0)</f>
        <v>0</v>
      </c>
      <c r="BO9" s="372">
        <f>IFERROR(VLOOKUP($BG9,flows!$A$2:$J$4985,BO$2,FALSE),0)</f>
        <v>0</v>
      </c>
      <c r="BP9" s="372">
        <f>IFERROR(VLOOKUP($BG9,flows!$A$2:$J$4985,BP$2,FALSE),0)</f>
        <v>0</v>
      </c>
      <c r="BQ9" s="372">
        <f>IFERROR(VLOOKUP($BG9,flows!$A$2:$J$4985,BQ$2,FALSE),0)</f>
        <v>0</v>
      </c>
      <c r="BU9" s="269"/>
      <c r="BX9" s="346"/>
      <c r="BY9" s="346"/>
      <c r="BZ9" s="346"/>
      <c r="CA9" s="346"/>
      <c r="CB9" s="346"/>
      <c r="CC9" s="346"/>
      <c r="CD9" s="346"/>
      <c r="CE9" s="346"/>
      <c r="CF9" s="92"/>
      <c r="CH9" s="92"/>
      <c r="CI9" s="315" t="s">
        <v>4263</v>
      </c>
      <c r="CJ9" s="315" t="s">
        <v>4264</v>
      </c>
      <c r="CK9" s="372" t="e">
        <f>CK8*'Biomasse - Produktion'!D76</f>
        <v>#N/A</v>
      </c>
      <c r="CL9" s="372" t="e">
        <f>CL8*'Biomasse - Produktion'!E76</f>
        <v>#N/A</v>
      </c>
      <c r="CM9" s="372" t="e">
        <f>CM8*'Biomasse - Produktion'!F76</f>
        <v>#N/A</v>
      </c>
      <c r="CN9" s="372" t="e">
        <f>CN8*'Biomasse - Produktion'!G76</f>
        <v>#N/A</v>
      </c>
      <c r="CO9" s="372" t="e">
        <f>CO8*'Biomasse - Produktion'!H76</f>
        <v>#N/A</v>
      </c>
      <c r="CP9" s="372" t="e">
        <f>CP8*'Biomasse - Produktion'!I76</f>
        <v>#N/A</v>
      </c>
      <c r="CQ9" s="372" t="e">
        <f>CQ8*'Biomasse - Produktion'!J76</f>
        <v>#N/A</v>
      </c>
      <c r="CR9" s="372" t="e">
        <f>CR8*'Biomasse - Produktion'!K76</f>
        <v>#N/A</v>
      </c>
      <c r="CT9" s="485" t="s">
        <v>3048</v>
      </c>
      <c r="CU9" s="485"/>
      <c r="CV9" s="485" t="s">
        <v>3057</v>
      </c>
      <c r="CW9" s="487">
        <f>IFERROR(VLOOKUP($CT9,flows!$A$2:$J$4985,CW$2,FALSE),0)</f>
        <v>0</v>
      </c>
      <c r="CX9" s="487">
        <f>IFERROR(VLOOKUP($CT9,flows!$A$2:$J$4985,CX$2,FALSE),0)</f>
        <v>0</v>
      </c>
      <c r="CY9" s="487">
        <f>IFERROR(VLOOKUP($CT9,flows!$A$2:$J$4985,CY$2,FALSE),0)</f>
        <v>0</v>
      </c>
      <c r="CZ9" s="487">
        <f>IFERROR(VLOOKUP($CT9,flows!$A$2:$J$4985,CZ$2,FALSE),0)</f>
        <v>0</v>
      </c>
      <c r="DA9" s="487">
        <f>IFERROR(VLOOKUP($CT9,flows!$A$2:$J$4985,DA$2,FALSE),0)</f>
        <v>0</v>
      </c>
      <c r="DB9" s="487">
        <f>IFERROR(VLOOKUP($CT9,flows!$A$2:$J$4985,DB$2,FALSE),0)</f>
        <v>0</v>
      </c>
      <c r="DC9" s="487">
        <f>IFERROR(VLOOKUP($CT9,flows!$A$2:$J$4985,DC$2,FALSE),0)</f>
        <v>0</v>
      </c>
      <c r="DD9" s="487">
        <f>IFERROR(VLOOKUP($CT9,flows!$A$2:$J$4985,DD$2,FALSE),0)</f>
        <v>0</v>
      </c>
      <c r="DG9" s="134" t="s">
        <v>3919</v>
      </c>
      <c r="DH9" s="862" t="s">
        <v>4374</v>
      </c>
      <c r="DI9" s="862" t="s">
        <v>4375</v>
      </c>
      <c r="DJ9" s="92">
        <f>IFERROR(VLOOKUP($DG9,flows!$A$2:$J$4985,DJ$2,FALSE),0)</f>
        <v>2495.067190771329</v>
      </c>
      <c r="DK9" s="92">
        <f>IFERROR(VLOOKUP($DG9,flows!$A$2:$J$4985,DK$2,FALSE),0)</f>
        <v>0</v>
      </c>
      <c r="DL9" s="92">
        <f>IFERROR(VLOOKUP($DG9,flows!$A$2:$J$4985,DL$2,FALSE),0)</f>
        <v>0.29791517172856119</v>
      </c>
      <c r="DM9" s="92">
        <f>IFERROR(VLOOKUP($DG9,flows!$A$2:$J$4985,DM$2,FALSE),0)</f>
        <v>3.5511824346520879E-4</v>
      </c>
      <c r="DN9" s="92">
        <f>IFERROR(VLOOKUP($DG9,flows!$A$2:$J$4985,DN$2,FALSE),0)</f>
        <v>2.2869046206334251E-4</v>
      </c>
      <c r="DO9" s="92">
        <f>IFERROR(VLOOKUP($DG9,flows!$A$2:$J$4985,DO$2,FALSE),0)</f>
        <v>2301.883477601481</v>
      </c>
      <c r="DP9" s="92">
        <f>IFERROR(VLOOKUP($DG9,flows!$A$2:$J$4985,DP$2,FALSE),0)</f>
        <v>2515.8861596017309</v>
      </c>
      <c r="DQ9" s="93">
        <f>IFERROR(VLOOKUP($DG9,flows!$A$2:$J$4985,DQ$2,FALSE),0)</f>
        <v>0</v>
      </c>
    </row>
    <row r="10" spans="2:125" x14ac:dyDescent="0.35">
      <c r="B10" s="269" t="s">
        <v>4159</v>
      </c>
      <c r="C10" s="371" t="s">
        <v>4352</v>
      </c>
      <c r="D10" s="371" t="s">
        <v>4354</v>
      </c>
      <c r="E10" s="346">
        <f>IFERROR(VLOOKUP($B10,flows!$A$2:$J$4985,E$2,FALSE),0)</f>
        <v>2.0668353975791518E-3</v>
      </c>
      <c r="F10" s="346">
        <f>IFERROR(VLOOKUP($B10,flows!$A$2:$J$4985,F$2,FALSE),0)</f>
        <v>0</v>
      </c>
      <c r="G10" s="346">
        <f>IFERROR(VLOOKUP($B10,flows!$A$2:$J$4985,G$2,FALSE),0)</f>
        <v>2.9934011797708342</v>
      </c>
      <c r="H10" s="346">
        <f>IFERROR(VLOOKUP($B10,flows!$A$2:$J$4985,H$2,FALSE),0)</f>
        <v>2.5768234906725501E-3</v>
      </c>
      <c r="I10" s="346">
        <f>IFERROR(VLOOKUP($B10,flows!$A$2:$J$4985,I$2,FALSE),0)</f>
        <v>8.6362890521107533E-4</v>
      </c>
      <c r="J10" s="346">
        <f>IFERROR(VLOOKUP($B10,flows!$A$2:$J$4985,J$2,FALSE),0)</f>
        <v>3.1817311034187842E-4</v>
      </c>
      <c r="K10" s="346">
        <f>IFERROR(VLOOKUP($B10,flows!$A$2:$J$4985,K$2,FALSE),0)</f>
        <v>1.4532258445018651E-5</v>
      </c>
      <c r="L10" s="346">
        <f>IFERROR(VLOOKUP($B10,flows!$A$2:$J$4985,L$2,FALSE),0)</f>
        <v>0</v>
      </c>
      <c r="N10" s="374" t="s">
        <v>3071</v>
      </c>
      <c r="O10" s="92" t="s">
        <v>1160</v>
      </c>
      <c r="P10" s="315"/>
      <c r="Q10" s="346">
        <f>IFERROR(VLOOKUP($N10,flows!$A$2:$J$4985,Q$2,FALSE),0)</f>
        <v>9800.5319517464595</v>
      </c>
      <c r="R10" s="346">
        <f>IFERROR(VLOOKUP($N10,flows!$A$2:$J$4985,R$2,FALSE),0)</f>
        <v>0</v>
      </c>
      <c r="S10" s="346">
        <f>IFERROR(VLOOKUP($N10,flows!$A$2:$J$4985,S$2,FALSE),0)</f>
        <v>1.152538620010497E-4</v>
      </c>
      <c r="T10" s="346">
        <f>IFERROR(VLOOKUP($N10,flows!$A$2:$J$4985,T$2,FALSE),0)</f>
        <v>755.12603447194886</v>
      </c>
      <c r="U10" s="346">
        <f>IFERROR(VLOOKUP($N10,flows!$A$2:$J$4985,U$2,FALSE),0)</f>
        <v>2828.7713181294471</v>
      </c>
      <c r="V10" s="346">
        <f>IFERROR(VLOOKUP($N10,flows!$A$2:$J$4985,V$2,FALSE),0)</f>
        <v>6309.8064327091524</v>
      </c>
      <c r="W10" s="346">
        <f>IFERROR(VLOOKUP($N10,flows!$A$2:$J$4985,W$2,FALSE),0)</f>
        <v>9771.6161599888146</v>
      </c>
      <c r="X10" s="336">
        <f>IFERROR(VLOOKUP($N10,flows!$A$2:$J$4985,X$2,FALSE),0)</f>
        <v>0</v>
      </c>
      <c r="Z10" s="374" t="s">
        <v>642</v>
      </c>
      <c r="AA10" s="92" t="s">
        <v>3137</v>
      </c>
      <c r="AB10" s="92" t="s">
        <v>3144</v>
      </c>
      <c r="AC10" s="346">
        <f>IFERROR(VLOOKUP($Z10,flows!$A$2:$J$4985,AC$2,FALSE),0)</f>
        <v>0</v>
      </c>
      <c r="AD10" s="346">
        <f>IFERROR(VLOOKUP($Z10,flows!$A$2:$J$4985,AD$2,FALSE),0)</f>
        <v>0</v>
      </c>
      <c r="AE10" s="346">
        <f>IFERROR(VLOOKUP($Z10,flows!$A$2:$J$4985,AE$2,FALSE),0)</f>
        <v>0</v>
      </c>
      <c r="AF10" s="346">
        <f>IFERROR(VLOOKUP($Z10,flows!$A$2:$J$4985,AF$2,FALSE),0)</f>
        <v>0</v>
      </c>
      <c r="AG10" s="346">
        <f>IFERROR(VLOOKUP($Z10,flows!$A$2:$J$4985,AG$2,FALSE),0)</f>
        <v>0</v>
      </c>
      <c r="AH10" s="346">
        <f>IFERROR(VLOOKUP($Z10,flows!$A$2:$J$4985,AH$2,FALSE),0)</f>
        <v>0</v>
      </c>
      <c r="AI10" s="346">
        <f>IFERROR(VLOOKUP($Z10,flows!$A$2:$J$4985,AI$2,FALSE),0)</f>
        <v>0</v>
      </c>
      <c r="AJ10" s="346">
        <f>IFERROR(VLOOKUP($Z10,flows!$A$2:$J$4985,AJ$2,FALSE),0)</f>
        <v>0</v>
      </c>
      <c r="AS10" s="269"/>
      <c r="AT10" s="375"/>
      <c r="AU10" s="375"/>
      <c r="AV10" s="372"/>
      <c r="AW10" s="372"/>
      <c r="AX10" s="372"/>
      <c r="AY10" s="372"/>
      <c r="AZ10" s="372"/>
      <c r="BA10" s="372"/>
      <c r="BB10" s="372"/>
      <c r="BC10" s="336"/>
      <c r="BG10" s="269"/>
      <c r="BJ10" s="372"/>
      <c r="BK10" s="372"/>
      <c r="BL10" s="372"/>
      <c r="BM10" s="372"/>
      <c r="BN10" s="372"/>
      <c r="BO10" s="372"/>
      <c r="BP10" s="372"/>
      <c r="BQ10" s="336"/>
      <c r="BU10" s="373"/>
      <c r="BV10" s="371"/>
      <c r="BW10" s="371"/>
      <c r="BX10" s="346"/>
      <c r="BY10" s="346"/>
      <c r="BZ10" s="346"/>
      <c r="CA10" s="346"/>
      <c r="CB10" s="346"/>
      <c r="CC10" s="346"/>
      <c r="CD10" s="346"/>
      <c r="CE10" s="346"/>
      <c r="CF10" s="92"/>
      <c r="CH10" s="92"/>
      <c r="CI10" s="315" t="s">
        <v>4265</v>
      </c>
      <c r="CJ10" s="315" t="s">
        <v>4266</v>
      </c>
      <c r="CK10" s="372" t="e">
        <f>CK8-CK9</f>
        <v>#N/A</v>
      </c>
      <c r="CL10" s="372" t="e">
        <f t="shared" ref="CL10:CR10" si="2">CL8-CL9</f>
        <v>#N/A</v>
      </c>
      <c r="CM10" s="372" t="e">
        <f t="shared" si="2"/>
        <v>#N/A</v>
      </c>
      <c r="CN10" s="372" t="e">
        <f t="shared" si="2"/>
        <v>#N/A</v>
      </c>
      <c r="CO10" s="372" t="e">
        <f t="shared" si="2"/>
        <v>#N/A</v>
      </c>
      <c r="CP10" s="372" t="e">
        <f t="shared" si="2"/>
        <v>#N/A</v>
      </c>
      <c r="CQ10" s="372" t="e">
        <f t="shared" si="2"/>
        <v>#N/A</v>
      </c>
      <c r="CR10" s="372" t="e">
        <f t="shared" si="2"/>
        <v>#N/A</v>
      </c>
      <c r="CT10" s="485" t="s">
        <v>3050</v>
      </c>
      <c r="CU10" s="485"/>
      <c r="CV10" s="485" t="s">
        <v>3057</v>
      </c>
      <c r="CW10" s="487">
        <f>IFERROR(VLOOKUP($CT10,flows!$A$2:$J$4985,CW$2,FALSE),0)</f>
        <v>0</v>
      </c>
      <c r="CX10" s="487">
        <f>IFERROR(VLOOKUP($CT10,flows!$A$2:$J$4985,CX$2,FALSE),0)</f>
        <v>0</v>
      </c>
      <c r="CY10" s="487">
        <f>IFERROR(VLOOKUP($CT10,flows!$A$2:$J$4985,CY$2,FALSE),0)</f>
        <v>0</v>
      </c>
      <c r="CZ10" s="487">
        <f>IFERROR(VLOOKUP($CT10,flows!$A$2:$J$4985,CZ$2,FALSE),0)</f>
        <v>0</v>
      </c>
      <c r="DA10" s="487">
        <f>IFERROR(VLOOKUP($CT10,flows!$A$2:$J$4985,DA$2,FALSE),0)</f>
        <v>0</v>
      </c>
      <c r="DB10" s="487">
        <f>IFERROR(VLOOKUP($CT10,flows!$A$2:$J$4985,DB$2,FALSE),0)</f>
        <v>0</v>
      </c>
      <c r="DC10" s="487">
        <f>IFERROR(VLOOKUP($CT10,flows!$A$2:$J$4985,DC$2,FALSE),0)</f>
        <v>0</v>
      </c>
      <c r="DD10" s="487">
        <f>IFERROR(VLOOKUP($CT10,flows!$A$2:$J$4985,DD$2,FALSE),0)</f>
        <v>0</v>
      </c>
      <c r="DG10" s="134" t="s">
        <v>3918</v>
      </c>
      <c r="DH10" s="862" t="s">
        <v>4376</v>
      </c>
      <c r="DI10" s="862" t="s">
        <v>4377</v>
      </c>
      <c r="DJ10" s="92">
        <f>IFERROR(VLOOKUP($DG10,flows!$A$2:$J$4985,DJ$2,FALSE),0)</f>
        <v>6285.670595967511</v>
      </c>
      <c r="DK10" s="92">
        <f>IFERROR(VLOOKUP($DG10,flows!$A$2:$J$4985,DK$2,FALSE),0)</f>
        <v>12604.93066366337</v>
      </c>
      <c r="DL10" s="92">
        <f>IFERROR(VLOOKUP($DG10,flows!$A$2:$J$4985,DL$2,FALSE),0)</f>
        <v>13266.04968075352</v>
      </c>
      <c r="DM10" s="92">
        <f>IFERROR(VLOOKUP($DG10,flows!$A$2:$J$4985,DM$2,FALSE),0)</f>
        <v>13376.444911127301</v>
      </c>
      <c r="DN10" s="92">
        <f>IFERROR(VLOOKUP($DG10,flows!$A$2:$J$4985,DN$2,FALSE),0)</f>
        <v>12529.62029728744</v>
      </c>
      <c r="DO10" s="92">
        <f>IFERROR(VLOOKUP($DG10,flows!$A$2:$J$4985,DO$2,FALSE),0)</f>
        <v>8359.9971236877991</v>
      </c>
      <c r="DP10" s="92">
        <f>IFERROR(VLOOKUP($DG10,flows!$A$2:$J$4985,DP$2,FALSE),0)</f>
        <v>6285.6640099236511</v>
      </c>
      <c r="DQ10" s="93">
        <f>IFERROR(VLOOKUP($DG10,flows!$A$2:$J$4985,DQ$2,FALSE),0)</f>
        <v>0</v>
      </c>
    </row>
    <row r="11" spans="2:125" ht="15" thickBot="1" x14ac:dyDescent="0.4">
      <c r="B11" s="269"/>
      <c r="C11" s="375"/>
      <c r="D11" s="375"/>
      <c r="E11" s="346"/>
      <c r="F11" s="346"/>
      <c r="G11" s="346"/>
      <c r="H11" s="346"/>
      <c r="I11" s="346"/>
      <c r="J11" s="346"/>
      <c r="K11" s="346"/>
      <c r="L11" s="336"/>
      <c r="N11" s="40"/>
      <c r="O11" s="92"/>
      <c r="P11" s="92"/>
      <c r="Q11" s="92"/>
      <c r="R11" s="92"/>
      <c r="S11" s="92"/>
      <c r="T11" s="92"/>
      <c r="U11" s="92"/>
      <c r="V11" s="92"/>
      <c r="W11" s="92"/>
      <c r="X11" s="93"/>
      <c r="Z11" s="374" t="s">
        <v>757</v>
      </c>
      <c r="AA11" s="137" t="s">
        <v>3136</v>
      </c>
      <c r="AB11" s="137" t="s">
        <v>3145</v>
      </c>
      <c r="AC11" s="346">
        <f>IFERROR(VLOOKUP($Z11,flows!$A$2:$J$4985,AC$2,FALSE),0)</f>
        <v>0</v>
      </c>
      <c r="AD11" s="346">
        <f>IFERROR(VLOOKUP($Z11,flows!$A$2:$J$4985,AD$2,FALSE),0)</f>
        <v>0</v>
      </c>
      <c r="AE11" s="346">
        <f>IFERROR(VLOOKUP($Z11,flows!$A$2:$J$4985,AE$2,FALSE),0)</f>
        <v>0</v>
      </c>
      <c r="AF11" s="346">
        <f>IFERROR(VLOOKUP($Z11,flows!$A$2:$J$4985,AF$2,FALSE),0)</f>
        <v>0</v>
      </c>
      <c r="AG11" s="346">
        <f>IFERROR(VLOOKUP($Z11,flows!$A$2:$J$4985,AG$2,FALSE),0)</f>
        <v>0</v>
      </c>
      <c r="AH11" s="346">
        <f>IFERROR(VLOOKUP($Z11,flows!$A$2:$J$4985,AH$2,FALSE),0)</f>
        <v>0</v>
      </c>
      <c r="AI11" s="346">
        <f>IFERROR(VLOOKUP($Z11,flows!$A$2:$J$4985,AI$2,FALSE),0)</f>
        <v>0</v>
      </c>
      <c r="AJ11" s="346">
        <f>IFERROR(VLOOKUP($Z11,flows!$A$2:$J$4985,AJ$2,FALSE),0)</f>
        <v>0</v>
      </c>
      <c r="AS11" s="269"/>
      <c r="AT11" s="375"/>
      <c r="AU11" s="375"/>
      <c r="AV11" s="372"/>
      <c r="AW11" s="372"/>
      <c r="AX11" s="372"/>
      <c r="AY11" s="372"/>
      <c r="AZ11" s="372"/>
      <c r="BA11" s="372"/>
      <c r="BB11" s="372"/>
      <c r="BC11" s="336"/>
      <c r="BG11" s="373"/>
      <c r="BH11" s="371"/>
      <c r="BI11" s="371"/>
      <c r="BJ11" s="372"/>
      <c r="BK11" s="372"/>
      <c r="BL11" s="372"/>
      <c r="BM11" s="372"/>
      <c r="BN11" s="372"/>
      <c r="BO11" s="372"/>
      <c r="BP11" s="372"/>
      <c r="BQ11" s="336"/>
      <c r="BU11" s="373"/>
      <c r="BV11" s="371"/>
      <c r="BW11" s="371"/>
      <c r="BX11" s="346"/>
      <c r="BY11" s="346"/>
      <c r="BZ11" s="346"/>
      <c r="CA11" s="346"/>
      <c r="CB11" s="346"/>
      <c r="CC11" s="346"/>
      <c r="CD11" s="346"/>
      <c r="CE11" s="346"/>
      <c r="CF11" s="92"/>
      <c r="CH11" s="92"/>
      <c r="CI11" s="315" t="s">
        <v>4267</v>
      </c>
      <c r="CJ11" s="315" t="s">
        <v>4268</v>
      </c>
      <c r="CK11" s="372" t="e">
        <f>CK13*'Biomasse - Produktion'!D76</f>
        <v>#N/A</v>
      </c>
      <c r="CL11" s="372" t="e">
        <f>CL13*'Biomasse - Produktion'!E76</f>
        <v>#N/A</v>
      </c>
      <c r="CM11" s="372" t="e">
        <f>CM13*'Biomasse - Produktion'!F76</f>
        <v>#N/A</v>
      </c>
      <c r="CN11" s="372" t="e">
        <f>CN13*'Biomasse - Produktion'!G76</f>
        <v>#N/A</v>
      </c>
      <c r="CO11" s="372" t="e">
        <f>CO13*'Biomasse - Produktion'!H76</f>
        <v>#N/A</v>
      </c>
      <c r="CP11" s="372" t="e">
        <f>CP13*'Biomasse - Produktion'!I76</f>
        <v>#N/A</v>
      </c>
      <c r="CQ11" s="372" t="e">
        <f>CQ13*'Biomasse - Produktion'!J76</f>
        <v>#N/A</v>
      </c>
      <c r="CR11" s="372" t="e">
        <f>CR13*'Biomasse - Produktion'!K76</f>
        <v>#N/A</v>
      </c>
      <c r="CT11" s="485" t="s">
        <v>3975</v>
      </c>
      <c r="CU11" s="485"/>
      <c r="CV11" s="485" t="s">
        <v>3057</v>
      </c>
      <c r="CW11" s="487">
        <f>IFERROR(VLOOKUP($CT11,flows!$A$2:$J$4985,CW$2,FALSE),0)</f>
        <v>0</v>
      </c>
      <c r="CX11" s="487">
        <f>IFERROR(VLOOKUP($CT11,flows!$A$2:$J$4985,CX$2,FALSE),0)</f>
        <v>0</v>
      </c>
      <c r="CY11" s="487">
        <f>IFERROR(VLOOKUP($CT11,flows!$A$2:$J$4985,CY$2,FALSE),0)</f>
        <v>0</v>
      </c>
      <c r="CZ11" s="487">
        <f>IFERROR(VLOOKUP($CT11,flows!$A$2:$J$4985,CZ$2,FALSE),0)</f>
        <v>0</v>
      </c>
      <c r="DA11" s="487">
        <f>IFERROR(VLOOKUP($CT11,flows!$A$2:$J$4985,DA$2,FALSE),0)</f>
        <v>0</v>
      </c>
      <c r="DB11" s="487">
        <f>IFERROR(VLOOKUP($CT11,flows!$A$2:$J$4985,DB$2,FALSE),0)</f>
        <v>0</v>
      </c>
      <c r="DC11" s="487">
        <f>IFERROR(VLOOKUP($CT11,flows!$A$2:$J$4985,DC$2,FALSE),0)</f>
        <v>0</v>
      </c>
      <c r="DD11" s="487">
        <f>IFERROR(VLOOKUP($CT11,flows!$A$2:$J$4985,DD$2,FALSE),0)</f>
        <v>0</v>
      </c>
      <c r="DG11" s="839" t="s">
        <v>3921</v>
      </c>
      <c r="DH11" s="92"/>
      <c r="DI11" s="92" t="s">
        <v>3924</v>
      </c>
      <c r="DJ11" s="92">
        <f>IFERROR(VLOOKUP($DG11,flows!$A$2:$J$4985,DJ$2,FALSE),0)</f>
        <v>9551.3919545312947</v>
      </c>
      <c r="DK11" s="92">
        <f>IFERROR(VLOOKUP($DG11,flows!$A$2:$J$4985,DK$2,FALSE),0)</f>
        <v>0</v>
      </c>
      <c r="DL11" s="92">
        <f>IFERROR(VLOOKUP($DG11,flows!$A$2:$J$4985,DL$2,FALSE),0)</f>
        <v>0.29795667025572009</v>
      </c>
      <c r="DM11" s="92">
        <f>IFERROR(VLOOKUP($DG11,flows!$A$2:$J$4985,DM$2,FALSE),0)</f>
        <v>1.4336302855096131E-3</v>
      </c>
      <c r="DN11" s="92">
        <f>IFERROR(VLOOKUP($DG11,flows!$A$2:$J$4985,DN$2,FALSE),0)</f>
        <v>1.377997392212636E-3</v>
      </c>
      <c r="DO11" s="92">
        <f>IFERROR(VLOOKUP($DG11,flows!$A$2:$J$4985,DO$2,FALSE),0)</f>
        <v>2301.8835580440491</v>
      </c>
      <c r="DP11" s="92">
        <f>IFERROR(VLOOKUP($DG11,flows!$A$2:$J$4985,DP$2,FALSE),0)</f>
        <v>9551.3934929063162</v>
      </c>
      <c r="DQ11" s="93">
        <f>IFERROR(VLOOKUP($DG11,flows!$A$2:$J$4985,DQ$2,FALSE),0)</f>
        <v>0</v>
      </c>
    </row>
    <row r="12" spans="2:125" ht="15" thickBot="1" x14ac:dyDescent="0.4">
      <c r="B12" s="269"/>
      <c r="C12" s="375"/>
      <c r="D12" s="375"/>
      <c r="E12" s="346"/>
      <c r="F12" s="346"/>
      <c r="G12" s="346"/>
      <c r="H12" s="346"/>
      <c r="I12" s="346"/>
      <c r="J12" s="346"/>
      <c r="K12" s="346"/>
      <c r="L12" s="336"/>
      <c r="N12" s="40"/>
      <c r="O12" s="92"/>
      <c r="P12" s="92"/>
      <c r="Q12" s="92"/>
      <c r="R12" s="92"/>
      <c r="S12" s="92"/>
      <c r="T12" s="92"/>
      <c r="U12" s="92"/>
      <c r="V12" s="92"/>
      <c r="W12" s="92"/>
      <c r="X12" s="93"/>
      <c r="Z12" s="374"/>
      <c r="AA12" s="862" t="s">
        <v>4202</v>
      </c>
      <c r="AB12" s="862" t="s">
        <v>4203</v>
      </c>
      <c r="AC12" s="372" t="e">
        <f>AC11*Erdgas!F16</f>
        <v>#N/A</v>
      </c>
      <c r="AD12" s="372" t="e">
        <f>AD11*Erdgas!G16</f>
        <v>#N/A</v>
      </c>
      <c r="AE12" s="372" t="e">
        <f>AE11*Erdgas!H16</f>
        <v>#N/A</v>
      </c>
      <c r="AF12" s="372" t="e">
        <f>AF11*Erdgas!I16</f>
        <v>#N/A</v>
      </c>
      <c r="AG12" s="372" t="e">
        <f>AG11*Erdgas!J16</f>
        <v>#N/A</v>
      </c>
      <c r="AH12" s="372" t="e">
        <f>AH11*Erdgas!K16</f>
        <v>#N/A</v>
      </c>
      <c r="AI12" s="372" t="e">
        <f>AI11*Erdgas!L16</f>
        <v>#N/A</v>
      </c>
      <c r="AJ12" s="372" t="e">
        <f>AJ11*Erdgas!M16</f>
        <v>#N/A</v>
      </c>
      <c r="AS12" s="269"/>
      <c r="AT12" s="89"/>
      <c r="AU12" s="89"/>
      <c r="AV12" s="89"/>
      <c r="AW12" s="89"/>
      <c r="AX12" s="89"/>
      <c r="AY12" s="89"/>
      <c r="AZ12" s="89"/>
      <c r="BA12" s="89"/>
      <c r="BB12" s="89"/>
      <c r="BC12" s="90"/>
      <c r="BG12" s="373"/>
      <c r="BH12" s="371"/>
      <c r="BI12" s="371"/>
      <c r="BJ12" s="372"/>
      <c r="BK12" s="372"/>
      <c r="BL12" s="372"/>
      <c r="BM12" s="372"/>
      <c r="BN12" s="372"/>
      <c r="BO12" s="372"/>
      <c r="BP12" s="372"/>
      <c r="BQ12" s="336"/>
      <c r="BU12" s="269"/>
      <c r="BX12" s="346"/>
      <c r="BY12" s="346"/>
      <c r="BZ12" s="346"/>
      <c r="CA12" s="346"/>
      <c r="CB12" s="346"/>
      <c r="CC12" s="346"/>
      <c r="CD12" s="346"/>
      <c r="CE12" s="346"/>
      <c r="CF12" s="92"/>
      <c r="CH12" s="92"/>
      <c r="CI12" s="315" t="s">
        <v>4269</v>
      </c>
      <c r="CJ12" s="315" t="s">
        <v>4270</v>
      </c>
      <c r="CK12" s="372" t="e">
        <f>CK13-CK11</f>
        <v>#N/A</v>
      </c>
      <c r="CL12" s="372" t="e">
        <f t="shared" ref="CL12:CR12" si="3">CL13-CL11</f>
        <v>#N/A</v>
      </c>
      <c r="CM12" s="372" t="e">
        <f t="shared" si="3"/>
        <v>#N/A</v>
      </c>
      <c r="CN12" s="372" t="e">
        <f t="shared" si="3"/>
        <v>#N/A</v>
      </c>
      <c r="CO12" s="372" t="e">
        <f t="shared" si="3"/>
        <v>#N/A</v>
      </c>
      <c r="CP12" s="372" t="e">
        <f t="shared" si="3"/>
        <v>#N/A</v>
      </c>
      <c r="CQ12" s="372" t="e">
        <f t="shared" si="3"/>
        <v>#N/A</v>
      </c>
      <c r="CR12" s="372" t="e">
        <f t="shared" si="3"/>
        <v>#N/A</v>
      </c>
      <c r="CT12" s="485" t="s">
        <v>3055</v>
      </c>
      <c r="CU12" s="485"/>
      <c r="CV12" s="485" t="s">
        <v>3058</v>
      </c>
      <c r="CW12" s="487">
        <f>IFERROR(VLOOKUP($CT12,flows!$A$2:$J$4985,CW$2,FALSE),0)</f>
        <v>0</v>
      </c>
      <c r="CX12" s="487">
        <f>IFERROR(VLOOKUP($CT12,flows!$A$2:$J$4985,CX$2,FALSE),0)</f>
        <v>0</v>
      </c>
      <c r="CY12" s="487">
        <f>IFERROR(VLOOKUP($CT12,flows!$A$2:$J$4985,CY$2,FALSE),0)</f>
        <v>0</v>
      </c>
      <c r="CZ12" s="487">
        <f>IFERROR(VLOOKUP($CT12,flows!$A$2:$J$4985,CZ$2,FALSE),0)</f>
        <v>0</v>
      </c>
      <c r="DA12" s="487">
        <f>IFERROR(VLOOKUP($CT12,flows!$A$2:$J$4985,DA$2,FALSE),0)</f>
        <v>0</v>
      </c>
      <c r="DB12" s="487">
        <f>IFERROR(VLOOKUP($CT12,flows!$A$2:$J$4985,DB$2,FALSE),0)</f>
        <v>0</v>
      </c>
      <c r="DC12" s="487">
        <f>IFERROR(VLOOKUP($CT12,flows!$A$2:$J$4985,DC$2,FALSE),0)</f>
        <v>0</v>
      </c>
      <c r="DD12" s="487">
        <f>IFERROR(VLOOKUP($CT12,flows!$A$2:$J$4985,DD$2,FALSE),0)</f>
        <v>0</v>
      </c>
      <c r="DG12" s="839" t="s">
        <v>3920</v>
      </c>
      <c r="DH12" s="92"/>
      <c r="DI12" s="92" t="s">
        <v>3925</v>
      </c>
      <c r="DJ12" s="92">
        <f>IFERROR(VLOOKUP($DG12,flows!$A$2:$J$4985,DJ$2,FALSE),0)</f>
        <v>6285.6723868525587</v>
      </c>
      <c r="DK12" s="92">
        <f>IFERROR(VLOOKUP($DG12,flows!$A$2:$J$4985,DK$2,FALSE),0)</f>
        <v>12604.93066366337</v>
      </c>
      <c r="DL12" s="92">
        <f>IFERROR(VLOOKUP($DG12,flows!$A$2:$J$4985,DL$2,FALSE),0)</f>
        <v>13266.04972223709</v>
      </c>
      <c r="DM12" s="92">
        <f>IFERROR(VLOOKUP($DG12,flows!$A$2:$J$4985,DM$2,FALSE),0)</f>
        <v>13920.130227950531</v>
      </c>
      <c r="DN12" s="92">
        <f>IFERROR(VLOOKUP($DG12,flows!$A$2:$J$4985,DN$2,FALSE),0)</f>
        <v>14566.31820345009</v>
      </c>
      <c r="DO12" s="92">
        <f>IFERROR(VLOOKUP($DG12,flows!$A$2:$J$4985,DO$2,FALSE),0)</f>
        <v>12903.02133060535</v>
      </c>
      <c r="DP12" s="92">
        <f>IFERROR(VLOOKUP($DG12,flows!$A$2:$J$4985,DP$2,FALSE),0)</f>
        <v>6285.6640277522392</v>
      </c>
      <c r="DQ12" s="92">
        <f>IFERROR(VLOOKUP($DG12,flows!$A$2:$J$4985,DQ$2,FALSE),0)</f>
        <v>0</v>
      </c>
    </row>
    <row r="13" spans="2:125" ht="15" thickBot="1" x14ac:dyDescent="0.4">
      <c r="B13" s="269"/>
      <c r="C13" s="89"/>
      <c r="D13" s="89"/>
      <c r="E13" s="89"/>
      <c r="F13" s="89"/>
      <c r="G13" s="89"/>
      <c r="H13" s="89"/>
      <c r="I13" s="89"/>
      <c r="J13" s="89"/>
      <c r="K13" s="89"/>
      <c r="L13" s="90"/>
      <c r="N13" s="41"/>
      <c r="O13" s="77"/>
      <c r="P13" s="77"/>
      <c r="Q13" s="77"/>
      <c r="R13" s="77"/>
      <c r="S13" s="77"/>
      <c r="T13" s="77"/>
      <c r="U13" s="77"/>
      <c r="V13" s="77"/>
      <c r="W13" s="77"/>
      <c r="X13" s="94"/>
      <c r="Z13" s="374"/>
      <c r="AA13" s="862" t="s">
        <v>4204</v>
      </c>
      <c r="AB13" s="862" t="s">
        <v>4205</v>
      </c>
      <c r="AC13" s="372" t="e">
        <f>AC11-AC12</f>
        <v>#N/A</v>
      </c>
      <c r="AD13" s="372" t="e">
        <f t="shared" ref="AD13:AJ13" si="4">AD11-AD12</f>
        <v>#N/A</v>
      </c>
      <c r="AE13" s="372" t="e">
        <f t="shared" si="4"/>
        <v>#N/A</v>
      </c>
      <c r="AF13" s="372" t="e">
        <f t="shared" si="4"/>
        <v>#N/A</v>
      </c>
      <c r="AG13" s="372" t="e">
        <f>AG11-AG12</f>
        <v>#N/A</v>
      </c>
      <c r="AH13" s="372" t="e">
        <f t="shared" si="4"/>
        <v>#N/A</v>
      </c>
      <c r="AI13" s="372" t="e">
        <f>AI11-AI12</f>
        <v>#N/A</v>
      </c>
      <c r="AJ13" s="372" t="e">
        <f t="shared" si="4"/>
        <v>#N/A</v>
      </c>
      <c r="AS13" s="269" t="s">
        <v>2516</v>
      </c>
      <c r="AT13" s="371"/>
      <c r="AU13" s="371"/>
      <c r="AV13" s="372">
        <f>IFERROR(VLOOKUP($AS13,flows!$A$2:$J$4985,AV$2,FALSE),0)</f>
        <v>227.57063997702031</v>
      </c>
      <c r="AW13" s="372">
        <f>IFERROR(VLOOKUP($AS13,flows!$A$2:$J$4985,AW$2,FALSE),0)</f>
        <v>294.83999955328329</v>
      </c>
      <c r="AX13" s="372">
        <f>IFERROR(VLOOKUP($AS13,flows!$A$2:$J$4985,AX$2,FALSE),0)</f>
        <v>317.40243245064948</v>
      </c>
      <c r="AY13" s="372">
        <f>IFERROR(VLOOKUP($AS13,flows!$A$2:$J$4985,AY$2,FALSE),0)</f>
        <v>341.33238072496579</v>
      </c>
      <c r="AZ13" s="372">
        <f>IFERROR(VLOOKUP($AS13,flows!$A$2:$J$4985,AZ$2,FALSE),0)</f>
        <v>364.5803641590644</v>
      </c>
      <c r="BA13" s="372">
        <f>IFERROR(VLOOKUP($AS13,flows!$A$2:$J$4985,BA$2,FALSE),0)</f>
        <v>387.82792887358562</v>
      </c>
      <c r="BB13" s="372">
        <f>IFERROR(VLOOKUP($AS13,flows!$A$2:$J$4985,BB$2,FALSE),0)</f>
        <v>227.58187490412669</v>
      </c>
      <c r="BC13" s="372">
        <f>IFERROR(VLOOKUP($AS13,flows!$A$2:$J$4985,BC$2,FALSE),0)</f>
        <v>0</v>
      </c>
      <c r="BG13" s="269"/>
      <c r="BQ13" s="93"/>
      <c r="BU13" s="269" t="s">
        <v>2491</v>
      </c>
      <c r="BV13" s="365" t="s">
        <v>1160</v>
      </c>
      <c r="BW13" s="365" t="s">
        <v>1344</v>
      </c>
      <c r="BX13" s="372">
        <f>IFERROR(VLOOKUP($BU13,flows!$A$2:$J$4985,BX$2,FALSE),0)</f>
        <v>12664.91479432756</v>
      </c>
      <c r="BY13" s="372">
        <f>IFERROR(VLOOKUP($BU13,flows!$A$2:$J$4985,BY$2,FALSE),0)</f>
        <v>6811.9073983881608</v>
      </c>
      <c r="BZ13" s="372">
        <f>IFERROR(VLOOKUP($BU13,flows!$A$2:$J$4985,BZ$2,FALSE),0)</f>
        <v>7205.0999330130326</v>
      </c>
      <c r="CA13" s="372">
        <f>IFERROR(VLOOKUP($BU13,flows!$A$2:$J$4985,CA$2,FALSE),0)</f>
        <v>9803.041345666159</v>
      </c>
      <c r="CB13" s="372">
        <f>IFERROR(VLOOKUP($BU13,flows!$A$2:$J$4985,CB$2,FALSE),0)</f>
        <v>11232.05327968354</v>
      </c>
      <c r="CC13" s="372">
        <f>IFERROR(VLOOKUP($BU13,flows!$A$2:$J$4985,CC$2,FALSE),0)</f>
        <v>11948.57403864455</v>
      </c>
      <c r="CD13" s="372">
        <f>IFERROR(VLOOKUP($BU13,flows!$A$2:$J$4985,CD$2,FALSE),0)</f>
        <v>12664.97184989032</v>
      </c>
      <c r="CE13" s="372">
        <f>IFERROR(VLOOKUP($BU13,flows!$A$2:$J$4985,CE$2,FALSE),0)</f>
        <v>0</v>
      </c>
      <c r="CH13" s="92"/>
      <c r="CI13" s="315" t="s">
        <v>4003</v>
      </c>
      <c r="CJ13" s="315" t="s">
        <v>4004</v>
      </c>
      <c r="CK13" s="372">
        <f t="shared" ref="CK13:CR13" si="5">CK8-CK31</f>
        <v>0.42410343785753996</v>
      </c>
      <c r="CL13" s="372">
        <f t="shared" si="5"/>
        <v>1092193.8067209437</v>
      </c>
      <c r="CM13" s="372">
        <f t="shared" si="5"/>
        <v>972000.63271350088</v>
      </c>
      <c r="CN13" s="372">
        <f t="shared" si="5"/>
        <v>646620.04355826613</v>
      </c>
      <c r="CO13" s="372">
        <f t="shared" si="5"/>
        <v>491210.72671528498</v>
      </c>
      <c r="CP13" s="372">
        <f t="shared" si="5"/>
        <v>170830.64223354094</v>
      </c>
      <c r="CQ13" s="372">
        <f t="shared" si="5"/>
        <v>1.7443525094791195E-3</v>
      </c>
      <c r="CR13" s="372">
        <f t="shared" si="5"/>
        <v>0</v>
      </c>
      <c r="CT13" s="485" t="s">
        <v>3056</v>
      </c>
      <c r="CU13" s="485"/>
      <c r="CV13" s="485" t="s">
        <v>3059</v>
      </c>
      <c r="CW13" s="487">
        <f>IFERROR(VLOOKUP($CT13,flows!$A$2:$J$4985,CW$2,FALSE),0)</f>
        <v>0</v>
      </c>
      <c r="CX13" s="487">
        <f>IFERROR(VLOOKUP($CT13,flows!$A$2:$J$4985,CX$2,FALSE),0)</f>
        <v>0</v>
      </c>
      <c r="CY13" s="487">
        <f>IFERROR(VLOOKUP($CT13,flows!$A$2:$J$4985,CY$2,FALSE),0)</f>
        <v>0</v>
      </c>
      <c r="CZ13" s="487">
        <f>IFERROR(VLOOKUP($CT13,flows!$A$2:$J$4985,CZ$2,FALSE),0)</f>
        <v>0</v>
      </c>
      <c r="DA13" s="487">
        <f>IFERROR(VLOOKUP($CT13,flows!$A$2:$J$4985,DA$2,FALSE),0)</f>
        <v>0</v>
      </c>
      <c r="DB13" s="487">
        <f>IFERROR(VLOOKUP($CT13,flows!$A$2:$J$4985,DB$2,FALSE),0)</f>
        <v>0</v>
      </c>
      <c r="DC13" s="487">
        <f>IFERROR(VLOOKUP($CT13,flows!$A$2:$J$4985,DC$2,FALSE),0)</f>
        <v>0</v>
      </c>
      <c r="DD13" s="487">
        <f>IFERROR(VLOOKUP($CT13,flows!$A$2:$J$4985,DD$2,FALSE),0)</f>
        <v>0</v>
      </c>
      <c r="DG13" s="839" t="s">
        <v>4368</v>
      </c>
      <c r="DH13" s="92" t="s">
        <v>4369</v>
      </c>
      <c r="DI13" s="92" t="s">
        <v>4370</v>
      </c>
      <c r="DJ13" s="92">
        <f>IFERROR(VLOOKUP($DG13,flows!$A$2:$J$4985,DJ$2,FALSE),0)</f>
        <v>7056.3247637599834</v>
      </c>
      <c r="DK13" s="92">
        <f>IFERROR(VLOOKUP($DG13,flows!$A$2:$J$4985,DK$2,FALSE),0)</f>
        <v>0</v>
      </c>
      <c r="DL13" s="92">
        <f>IFERROR(VLOOKUP($DG13,flows!$A$2:$J$4985,DL$2,FALSE),0)</f>
        <v>4.1498527158671548E-5</v>
      </c>
      <c r="DM13" s="92">
        <f>IFERROR(VLOOKUP($DG13,flows!$A$2:$J$4985,DM$2,FALSE),0)</f>
        <v>1.078512042044412E-3</v>
      </c>
      <c r="DN13" s="92">
        <f>IFERROR(VLOOKUP($DG13,flows!$A$2:$J$4985,DN$2,FALSE),0)</f>
        <v>1.14930693014929E-3</v>
      </c>
      <c r="DO13" s="92">
        <f>IFERROR(VLOOKUP($DG13,flows!$A$2:$J$4985,DO$2,FALSE),0)</f>
        <v>8.0442563765884494E-5</v>
      </c>
      <c r="DP13" s="92">
        <f>IFERROR(VLOOKUP($DG13,flows!$A$2:$J$4985,DP$2,FALSE),0)</f>
        <v>7035.5073333045402</v>
      </c>
      <c r="DQ13" s="92">
        <f>IFERROR(VLOOKUP($DG13,flows!$A$2:$J$4985,DQ$2,FALSE),0)</f>
        <v>0</v>
      </c>
    </row>
    <row r="14" spans="2:125" x14ac:dyDescent="0.35">
      <c r="B14" s="269" t="s">
        <v>4293</v>
      </c>
      <c r="C14" s="315"/>
      <c r="D14" s="315"/>
      <c r="E14" s="346">
        <f>IFERROR(VLOOKUP($B14,flows!$A$2:$J$4985,E$2,FALSE),0)</f>
        <v>15886.69895914054</v>
      </c>
      <c r="F14" s="346">
        <f>IFERROR(VLOOKUP($B14,flows!$A$2:$J$4985,F$2,FALSE),0)</f>
        <v>4557.5414327415228</v>
      </c>
      <c r="G14" s="346">
        <f>IFERROR(VLOOKUP($B14,flows!$A$2:$J$4985,G$2,FALSE),0)</f>
        <v>5127.0050497940692</v>
      </c>
      <c r="H14" s="346">
        <f>IFERROR(VLOOKUP($B14,flows!$A$2:$J$4985,H$2,FALSE),0)</f>
        <v>26012.246016510489</v>
      </c>
      <c r="I14" s="346">
        <f>IFERROR(VLOOKUP($B14,flows!$A$2:$J$4985,I$2,FALSE),0)</f>
        <v>62117.568804889161</v>
      </c>
      <c r="J14" s="346">
        <f>IFERROR(VLOOKUP($B14,flows!$A$2:$J$4985,J$2,FALSE),0)</f>
        <v>122117.9383480804</v>
      </c>
      <c r="K14" s="346">
        <f>IFERROR(VLOOKUP($B14,flows!$A$2:$J$4985,K$2,FALSE),0)</f>
        <v>15661.179898431221</v>
      </c>
      <c r="L14" s="336">
        <f>IFERROR(VLOOKUP($B14,flows!$A$2:$J$4985,L$2,FALSE),0)</f>
        <v>0</v>
      </c>
      <c r="Z14" s="374" t="s">
        <v>4251</v>
      </c>
      <c r="AA14" s="862" t="s">
        <v>4255</v>
      </c>
      <c r="AB14" s="862" t="s">
        <v>4256</v>
      </c>
      <c r="AC14" s="346">
        <f>IFERROR(VLOOKUP($Z14,flows!$A$2:$J$4985,AC$2,FALSE),0)</f>
        <v>0</v>
      </c>
      <c r="AD14" s="346">
        <f>IFERROR(VLOOKUP($Z14,flows!$A$2:$J$4985,AD$2,FALSE),0)</f>
        <v>0</v>
      </c>
      <c r="AE14" s="346">
        <f>IFERROR(VLOOKUP($Z14,flows!$A$2:$J$4985,AE$2,FALSE),0)</f>
        <v>0</v>
      </c>
      <c r="AF14" s="346">
        <f>IFERROR(VLOOKUP($Z14,flows!$A$2:$J$4985,AF$2,FALSE),0)</f>
        <v>0</v>
      </c>
      <c r="AG14" s="346">
        <f>IFERROR(VLOOKUP($Z14,flows!$A$2:$J$4985,AG$2,FALSE),0)</f>
        <v>0</v>
      </c>
      <c r="AH14" s="346">
        <f>IFERROR(VLOOKUP($Z14,flows!$A$2:$J$4985,AH$2,FALSE),0)</f>
        <v>0</v>
      </c>
      <c r="AI14" s="346">
        <f>IFERROR(VLOOKUP($Z14,flows!$A$2:$J$4985,AI$2,FALSE),0)</f>
        <v>0</v>
      </c>
      <c r="AJ14" s="346">
        <f>IFERROR(VLOOKUP($Z14,flows!$A$2:$J$4985,AJ$2,FALSE),0)</f>
        <v>0</v>
      </c>
      <c r="AS14" s="269" t="s">
        <v>2499</v>
      </c>
      <c r="AU14" s="371"/>
      <c r="AV14" s="372">
        <f>IFERROR(VLOOKUP($AS14,flows!$A$2:$J$4985,AV$2,FALSE),0)</f>
        <v>22.476112590323002</v>
      </c>
      <c r="AW14" s="372">
        <f>IFERROR(VLOOKUP($AS14,flows!$A$2:$J$4985,AW$2,FALSE),0)</f>
        <v>29.11999995587983</v>
      </c>
      <c r="AX14" s="372">
        <f>IFERROR(VLOOKUP($AS14,flows!$A$2:$J$4985,AX$2,FALSE),0)</f>
        <v>31.348388390187608</v>
      </c>
      <c r="AY14" s="372">
        <f>IFERROR(VLOOKUP($AS14,flows!$A$2:$J$4985,AY$2,FALSE),0)</f>
        <v>33.711840071601557</v>
      </c>
      <c r="AZ14" s="372">
        <f>IFERROR(VLOOKUP($AS14,flows!$A$2:$J$4985,AZ$2,FALSE),0)</f>
        <v>36.007937200895249</v>
      </c>
      <c r="BA14" s="372">
        <f>IFERROR(VLOOKUP($AS14,flows!$A$2:$J$4985,BA$2,FALSE),0)</f>
        <v>38.303992975168953</v>
      </c>
      <c r="BB14" s="372">
        <f>IFERROR(VLOOKUP($AS14,flows!$A$2:$J$4985,BB$2,FALSE),0)</f>
        <v>22.477222212753251</v>
      </c>
      <c r="BC14" s="372">
        <f>IFERROR(VLOOKUP($AS14,flows!$A$2:$J$4985,BC$2,FALSE),0)</f>
        <v>0</v>
      </c>
      <c r="BG14" s="269" t="s">
        <v>2492</v>
      </c>
      <c r="BH14" s="365" t="s">
        <v>1160</v>
      </c>
      <c r="BI14" s="365" t="s">
        <v>1815</v>
      </c>
      <c r="BJ14" s="372">
        <f>IFERROR(VLOOKUP($BG14,flows!$A$2:$J$4985,BJ$2,FALSE),0)</f>
        <v>471.09967108361741</v>
      </c>
      <c r="BK14" s="372">
        <f>IFERROR(VLOOKUP($BG14,flows!$A$2:$J$4985,BK$2,FALSE),0)</f>
        <v>5340.2272571732883</v>
      </c>
      <c r="BL14" s="372">
        <f>IFERROR(VLOOKUP($BG14,flows!$A$2:$J$4985,BL$2,FALSE),0)</f>
        <v>5758.2531257755563</v>
      </c>
      <c r="BM14" s="372">
        <f>IFERROR(VLOOKUP($BG14,flows!$A$2:$J$4985,BM$2,FALSE),0)</f>
        <v>5466.9041315814447</v>
      </c>
      <c r="BN14" s="372">
        <f>IFERROR(VLOOKUP($BG14,flows!$A$2:$J$4985,BN$2,FALSE),0)</f>
        <v>4419.3504622962446</v>
      </c>
      <c r="BO14" s="372">
        <f>IFERROR(VLOOKUP($BG14,flows!$A$2:$J$4985,BO$2,FALSE),0)</f>
        <v>1826.849820600574</v>
      </c>
      <c r="BP14" s="372">
        <f>IFERROR(VLOOKUP($BG14,flows!$A$2:$J$4985,BP$2,FALSE),0)</f>
        <v>471.09469826850147</v>
      </c>
      <c r="BQ14" s="372">
        <f>IFERROR(VLOOKUP($BG14,flows!$A$2:$J$4985,BQ$2,FALSE),0)</f>
        <v>0</v>
      </c>
      <c r="BU14" s="269" t="s">
        <v>2505</v>
      </c>
      <c r="BV14" s="365" t="s">
        <v>1294</v>
      </c>
      <c r="BW14" s="365" t="s">
        <v>1888</v>
      </c>
      <c r="BX14" s="372">
        <f>IFERROR(VLOOKUP($BU14,flows!$A$2:$J$4985,BX$2,FALSE),0)</f>
        <v>1616.797633318412</v>
      </c>
      <c r="BY14" s="372">
        <f>IFERROR(VLOOKUP($BU14,flows!$A$2:$J$4985,BY$2,FALSE),0)</f>
        <v>869.60519979423339</v>
      </c>
      <c r="BZ14" s="372">
        <f>IFERROR(VLOOKUP($BU14,flows!$A$2:$J$4985,BZ$2,FALSE),0)</f>
        <v>919.79999144847238</v>
      </c>
      <c r="CA14" s="372">
        <f>IFERROR(VLOOKUP($BU14,flows!$A$2:$J$4985,CA$2,FALSE),0)</f>
        <v>1251.4520866807859</v>
      </c>
      <c r="CB14" s="372">
        <f>IFERROR(VLOOKUP($BU14,flows!$A$2:$J$4985,CB$2,FALSE),0)</f>
        <v>1433.8791420872601</v>
      </c>
      <c r="CC14" s="372">
        <f>IFERROR(VLOOKUP($BU14,flows!$A$2:$J$4985,CC$2,FALSE),0)</f>
        <v>1525.3498772737721</v>
      </c>
      <c r="CD14" s="372">
        <f>IFERROR(VLOOKUP($BU14,flows!$A$2:$J$4985,CD$2,FALSE),0)</f>
        <v>1616.804917007275</v>
      </c>
      <c r="CE14" s="372">
        <f>IFERROR(VLOOKUP($BU14,flows!$A$2:$J$4985,CE$2,FALSE),0)</f>
        <v>0</v>
      </c>
      <c r="CH14" s="92"/>
      <c r="CI14" s="315" t="s">
        <v>4083</v>
      </c>
      <c r="CJ14" s="315"/>
      <c r="CK14" s="372">
        <f t="shared" ref="CK14:CR14" si="6">CK8-CK37</f>
        <v>0.4560252019973548</v>
      </c>
      <c r="CL14" s="372">
        <f t="shared" si="6"/>
        <v>1174401.9427106921</v>
      </c>
      <c r="CM14" s="372">
        <f t="shared" si="6"/>
        <v>1045161.9706596783</v>
      </c>
      <c r="CN14" s="372">
        <f t="shared" si="6"/>
        <v>695290.36941749044</v>
      </c>
      <c r="CO14" s="372">
        <f t="shared" si="6"/>
        <v>528183.57711320964</v>
      </c>
      <c r="CP14" s="372">
        <f t="shared" si="6"/>
        <v>183688.86261671068</v>
      </c>
      <c r="CQ14" s="372">
        <f t="shared" si="6"/>
        <v>1.8756478596549673E-3</v>
      </c>
      <c r="CR14" s="372">
        <f t="shared" si="6"/>
        <v>0</v>
      </c>
      <c r="CT14" s="488" t="s">
        <v>3052</v>
      </c>
      <c r="CU14" s="488"/>
      <c r="CV14" s="488" t="s">
        <v>3064</v>
      </c>
      <c r="CW14" s="489">
        <f>IFERROR(VLOOKUP($CT14,flows!$A$2:$J$4985,CW$2,FALSE),0)</f>
        <v>1.1522626749752461E-2</v>
      </c>
      <c r="CX14" s="489">
        <f>IFERROR(VLOOKUP($CT14,flows!$A$2:$J$4985,CX$2,FALSE),0)</f>
        <v>69926.513688407154</v>
      </c>
      <c r="CY14" s="489">
        <f>IFERROR(VLOOKUP($CT14,flows!$A$2:$J$4985,CY$2,FALSE),0)</f>
        <v>42794.33948426586</v>
      </c>
      <c r="CZ14" s="489">
        <f>IFERROR(VLOOKUP($CT14,flows!$A$2:$J$4985,CZ$2,FALSE),0)</f>
        <v>1.9831509101887079E-2</v>
      </c>
      <c r="DA14" s="489">
        <f>IFERROR(VLOOKUP($CT14,flows!$A$2:$J$4985,DA$2,FALSE),0)</f>
        <v>1.134105967560501E-3</v>
      </c>
      <c r="DB14" s="489">
        <f>IFERROR(VLOOKUP($CT14,flows!$A$2:$J$4985,DB$2,FALSE),0)</f>
        <v>3146.6896536803788</v>
      </c>
      <c r="DC14" s="489">
        <f>IFERROR(VLOOKUP($CT14,flows!$A$2:$J$4985,DC$2,FALSE),0)</f>
        <v>3.731317687894234E-5</v>
      </c>
      <c r="DD14" s="489">
        <f>IFERROR(VLOOKUP($CT14,flows!$A$2:$J$4985,DD$2,FALSE),0)</f>
        <v>0</v>
      </c>
      <c r="DG14" s="839" t="s">
        <v>4371</v>
      </c>
      <c r="DH14" s="92" t="s">
        <v>4372</v>
      </c>
      <c r="DI14" s="92" t="s">
        <v>4373</v>
      </c>
      <c r="DJ14" s="92">
        <f>IFERROR(VLOOKUP($DG14,flows!$A$2:$J$4985,DJ$2,FALSE),0)</f>
        <v>1.7908850365795351E-3</v>
      </c>
      <c r="DK14" s="92">
        <f>IFERROR(VLOOKUP($DG14,flows!$A$2:$J$4985,DK$2,FALSE),0)</f>
        <v>0</v>
      </c>
      <c r="DL14" s="92">
        <f>IFERROR(VLOOKUP($DG14,flows!$A$2:$J$4985,DL$2,FALSE),0)</f>
        <v>4.1483589625149862E-5</v>
      </c>
      <c r="DM14" s="92">
        <f>IFERROR(VLOOKUP($DG14,flows!$A$2:$J$4985,DM$2,FALSE),0)</f>
        <v>543.68531682329933</v>
      </c>
      <c r="DN14" s="92">
        <f>IFERROR(VLOOKUP($DG14,flows!$A$2:$J$4985,DN$2,FALSE),0)</f>
        <v>2036.6979061625409</v>
      </c>
      <c r="DO14" s="92">
        <f>IFERROR(VLOOKUP($DG14,flows!$A$2:$J$4985,DO$2,FALSE),0)</f>
        <v>4543.0242069175556</v>
      </c>
      <c r="DP14" s="92">
        <f>IFERROR(VLOOKUP($DG14,flows!$A$2:$J$4985,DP$2,FALSE),0)</f>
        <v>1.7828569678311441E-5</v>
      </c>
      <c r="DQ14" s="92">
        <f>IFERROR(VLOOKUP($DG14,flows!$A$2:$J$4985,DQ$2,FALSE),0)</f>
        <v>0</v>
      </c>
    </row>
    <row r="15" spans="2:125" x14ac:dyDescent="0.35">
      <c r="B15" s="269"/>
      <c r="C15" s="371" t="s">
        <v>4391</v>
      </c>
      <c r="D15" s="371" t="s">
        <v>4392</v>
      </c>
      <c r="E15" s="346">
        <f>E14*(Erdgas!F6/(Erdgas!F5+Erdgas!F6))</f>
        <v>0</v>
      </c>
      <c r="F15" s="346">
        <f>F14*(Erdgas!G6/(Erdgas!G5+Erdgas!G6))</f>
        <v>0</v>
      </c>
      <c r="G15" s="346">
        <f>G14*(Erdgas!H6/(Erdgas!H5+Erdgas!H6))</f>
        <v>0</v>
      </c>
      <c r="H15" s="346">
        <f>H14*(Erdgas!I6/(Erdgas!I5+Erdgas!I6))</f>
        <v>0</v>
      </c>
      <c r="I15" s="346">
        <f>I14*(Erdgas!J6/(Erdgas!J5+Erdgas!J6))</f>
        <v>0</v>
      </c>
      <c r="J15" s="346">
        <f>J14*(Erdgas!K6/(Erdgas!K5+Erdgas!K6))</f>
        <v>0</v>
      </c>
      <c r="K15" s="346">
        <f>K14*(Erdgas!L6/(Erdgas!L5+Erdgas!L6))</f>
        <v>0</v>
      </c>
      <c r="L15" s="346" t="e">
        <f>L14*(Erdgas!M6/(Erdgas!M5+Erdgas!M6))</f>
        <v>#DIV/0!</v>
      </c>
      <c r="Z15" s="374" t="s">
        <v>4248</v>
      </c>
      <c r="AA15" s="862" t="s">
        <v>4257</v>
      </c>
      <c r="AB15" s="862" t="s">
        <v>4258</v>
      </c>
      <c r="AC15" s="346">
        <f>IFERROR(VLOOKUP($Z15,flows!$A$2:$J$4985,AC$2,FALSE),0)</f>
        <v>0</v>
      </c>
      <c r="AD15" s="346">
        <f>IFERROR(VLOOKUP($Z15,flows!$A$2:$J$4985,AD$2,FALSE),0)</f>
        <v>0</v>
      </c>
      <c r="AE15" s="346">
        <f>IFERROR(VLOOKUP($Z15,flows!$A$2:$J$4985,AE$2,FALSE),0)</f>
        <v>0</v>
      </c>
      <c r="AF15" s="346">
        <f>IFERROR(VLOOKUP($Z15,flows!$A$2:$J$4985,AF$2,FALSE),0)</f>
        <v>0</v>
      </c>
      <c r="AG15" s="346">
        <f>IFERROR(VLOOKUP($Z15,flows!$A$2:$J$4985,AG$2,FALSE),0)</f>
        <v>0</v>
      </c>
      <c r="AH15" s="346">
        <f>IFERROR(VLOOKUP($Z15,flows!$A$2:$J$4985,AH$2,FALSE),0)</f>
        <v>0</v>
      </c>
      <c r="AI15" s="346">
        <f>IFERROR(VLOOKUP($Z15,flows!$A$2:$J$4985,AI$2,FALSE),0)</f>
        <v>0</v>
      </c>
      <c r="AJ15" s="346">
        <f>IFERROR(VLOOKUP($Z15,flows!$A$2:$J$4985,AJ$2,FALSE),0)</f>
        <v>0</v>
      </c>
      <c r="AS15" s="269" t="s">
        <v>2477</v>
      </c>
      <c r="AV15" s="372">
        <f>IFERROR(VLOOKUP($AS15,flows!$A$2:$J$4985,AV$2,FALSE),0)</f>
        <v>0</v>
      </c>
      <c r="AW15" s="372">
        <f>IFERROR(VLOOKUP($AS15,flows!$A$2:$J$4985,AW$2,FALSE),0)</f>
        <v>0</v>
      </c>
      <c r="AX15" s="372">
        <f>IFERROR(VLOOKUP($AS15,flows!$A$2:$J$4985,AX$2,FALSE),0)</f>
        <v>0</v>
      </c>
      <c r="AY15" s="372">
        <f>IFERROR(VLOOKUP($AS15,flows!$A$2:$J$4985,AY$2,FALSE),0)</f>
        <v>0</v>
      </c>
      <c r="AZ15" s="372">
        <f>IFERROR(VLOOKUP($AS15,flows!$A$2:$J$4985,AZ$2,FALSE),0)</f>
        <v>0</v>
      </c>
      <c r="BA15" s="372">
        <f>IFERROR(VLOOKUP($AS15,flows!$A$2:$J$4985,BA$2,FALSE),0)</f>
        <v>0</v>
      </c>
      <c r="BB15" s="372">
        <f>IFERROR(VLOOKUP($AS15,flows!$A$2:$J$4985,BB$2,FALSE),0)</f>
        <v>0</v>
      </c>
      <c r="BC15" s="372">
        <f>IFERROR(VLOOKUP($AS15,flows!$A$2:$J$4985,BC$2,FALSE),0)</f>
        <v>0</v>
      </c>
      <c r="BG15" s="269" t="s">
        <v>2493</v>
      </c>
      <c r="BH15" s="365" t="s">
        <v>1160</v>
      </c>
      <c r="BI15" s="365" t="s">
        <v>1815</v>
      </c>
      <c r="BJ15" s="372">
        <f>IFERROR(VLOOKUP($BG15,flows!$A$2:$J$4985,BJ$2,FALSE),0)</f>
        <v>5796.3490475133694</v>
      </c>
      <c r="BK15" s="372">
        <f>IFERROR(VLOOKUP($BG15,flows!$A$2:$J$4985,BK$2,FALSE),0)</f>
        <v>0</v>
      </c>
      <c r="BL15" s="372">
        <f>IFERROR(VLOOKUP($BG15,flows!$A$2:$J$4985,BL$2,FALSE),0)</f>
        <v>3.2209231737105082</v>
      </c>
      <c r="BM15" s="372">
        <f>IFERROR(VLOOKUP($BG15,flows!$A$2:$J$4985,BM$2,FALSE),0)</f>
        <v>595.15036144691476</v>
      </c>
      <c r="BN15" s="372">
        <f>IFERROR(VLOOKUP($BG15,flows!$A$2:$J$4985,BN$2,FALSE),0)</f>
        <v>1815.5961537343021</v>
      </c>
      <c r="BO15" s="372">
        <f>IFERROR(VLOOKUP($BG15,flows!$A$2:$J$4985,BO$2,FALSE),0)</f>
        <v>4319.7659988160794</v>
      </c>
      <c r="BP15" s="372">
        <f>IFERROR(VLOOKUP($BG15,flows!$A$2:$J$4985,BP$2,FALSE),0)</f>
        <v>5796.3518297123301</v>
      </c>
      <c r="BQ15" s="372">
        <f>IFERROR(VLOOKUP($BG15,flows!$A$2:$J$4985,BQ$2,FALSE),0)</f>
        <v>0</v>
      </c>
      <c r="BU15" s="269" t="s">
        <v>2490</v>
      </c>
      <c r="BV15" s="365" t="s">
        <v>1160</v>
      </c>
      <c r="BW15" s="365" t="s">
        <v>1344</v>
      </c>
      <c r="BX15" s="372">
        <f>IFERROR(VLOOKUP($BU15,flows!$A$2:$J$4985,BX$2,FALSE),0)</f>
        <v>6.3976184353030374E-2</v>
      </c>
      <c r="BY15" s="372">
        <f>IFERROR(VLOOKUP($BU15,flows!$A$2:$J$4985,BY$2,FALSE),0)</f>
        <v>2512.1927982145121</v>
      </c>
      <c r="BZ15" s="372">
        <f>IFERROR(VLOOKUP($BU15,flows!$A$2:$J$4985,BZ$2,FALSE),0)</f>
        <v>2655.6815265115179</v>
      </c>
      <c r="CA15" s="372">
        <f>IFERROR(VLOOKUP($BU15,flows!$A$2:$J$4985,CA$2,FALSE),0)</f>
        <v>788.3019294795406</v>
      </c>
      <c r="CB15" s="372">
        <f>IFERROR(VLOOKUP($BU15,flows!$A$2:$J$4985,CB$2,FALSE),0)</f>
        <v>7.4433592913400607E-3</v>
      </c>
      <c r="CC15" s="372">
        <f>IFERROR(VLOOKUP($BU15,flows!$A$2:$J$4985,CC$2,FALSE),0)</f>
        <v>1.064038092511176E-3</v>
      </c>
      <c r="CD15" s="372">
        <f>IFERROR(VLOOKUP($BU15,flows!$A$2:$J$4985,CD$2,FALSE),0)</f>
        <v>7.1969262658185928E-4</v>
      </c>
      <c r="CE15" s="372">
        <f>IFERROR(VLOOKUP($BU15,flows!$A$2:$J$4985,CE$2,FALSE),0)</f>
        <v>0</v>
      </c>
      <c r="CH15" s="92"/>
      <c r="CI15" s="315" t="s">
        <v>4084</v>
      </c>
      <c r="CJ15" s="315"/>
      <c r="CK15" s="372">
        <f>CK13-CK37</f>
        <v>0.42410343785753996</v>
      </c>
      <c r="CL15" s="372">
        <f t="shared" ref="CL15:CR15" si="7">CL13-CL37</f>
        <v>1092193.8067209437</v>
      </c>
      <c r="CM15" s="372">
        <f t="shared" si="7"/>
        <v>972000.63271350088</v>
      </c>
      <c r="CN15" s="372">
        <f t="shared" si="7"/>
        <v>646620.04355826613</v>
      </c>
      <c r="CO15" s="372">
        <f t="shared" si="7"/>
        <v>491210.72671528498</v>
      </c>
      <c r="CP15" s="372">
        <f t="shared" si="7"/>
        <v>170830.64223354094</v>
      </c>
      <c r="CQ15" s="372">
        <f t="shared" si="7"/>
        <v>1.7443525094791195E-3</v>
      </c>
      <c r="CR15" s="372">
        <f t="shared" si="7"/>
        <v>0</v>
      </c>
      <c r="CT15" s="488" t="s">
        <v>3053</v>
      </c>
      <c r="CU15" s="488"/>
      <c r="CV15" s="488" t="s">
        <v>3064</v>
      </c>
      <c r="CW15" s="489">
        <f>IFERROR(VLOOKUP($CT15,flows!$A$2:$J$4985,CW$2,FALSE),0)</f>
        <v>0.1059384268496843</v>
      </c>
      <c r="CX15" s="489">
        <f>IFERROR(VLOOKUP($CT15,flows!$A$2:$J$4985,CX$2,FALSE),0)</f>
        <v>250702.68472331049</v>
      </c>
      <c r="CY15" s="489">
        <f>IFERROR(VLOOKUP($CT15,flows!$A$2:$J$4985,CY$2,FALSE),0)</f>
        <v>264414.10957270348</v>
      </c>
      <c r="CZ15" s="489">
        <f>IFERROR(VLOOKUP($CT15,flows!$A$2:$J$4985,CZ$2,FALSE),0)</f>
        <v>236398.67932847381</v>
      </c>
      <c r="DA15" s="489">
        <f>IFERROR(VLOOKUP($CT15,flows!$A$2:$J$4985,DA$2,FALSE),0)</f>
        <v>179582.41228967899</v>
      </c>
      <c r="DB15" s="489">
        <f>IFERROR(VLOOKUP($CT15,flows!$A$2:$J$4985,DB$2,FALSE),0)</f>
        <v>55767.49740286055</v>
      </c>
      <c r="DC15" s="489">
        <f>IFERROR(VLOOKUP($CT15,flows!$A$2:$J$4985,DC$2,FALSE),0)</f>
        <v>4.7918852114511151E-4</v>
      </c>
      <c r="DD15" s="489">
        <f>IFERROR(VLOOKUP($CT15,flows!$A$2:$J$4985,DD$2,FALSE),0)</f>
        <v>0</v>
      </c>
      <c r="DG15" s="839"/>
      <c r="DH15" s="92"/>
      <c r="DI15" s="92"/>
      <c r="DJ15" s="92"/>
      <c r="DK15" s="92"/>
      <c r="DL15" s="92"/>
      <c r="DM15" s="92"/>
      <c r="DN15" s="92"/>
      <c r="DO15" s="92"/>
      <c r="DP15" s="92"/>
      <c r="DQ15" s="93"/>
    </row>
    <row r="16" spans="2:125" x14ac:dyDescent="0.35">
      <c r="B16" s="269"/>
      <c r="C16" s="371" t="s">
        <v>4393</v>
      </c>
      <c r="D16" s="371" t="s">
        <v>4394</v>
      </c>
      <c r="E16" s="346">
        <f>E14*(Erdgas!F5/(Erdgas!F6+Erdgas!F5))</f>
        <v>15886.69895914054</v>
      </c>
      <c r="F16" s="346">
        <f>F14*(Erdgas!G5/(Erdgas!G6+Erdgas!G5))</f>
        <v>4557.5414327415228</v>
      </c>
      <c r="G16" s="346">
        <f>G14*(Erdgas!H5/(Erdgas!H6+Erdgas!H5))</f>
        <v>5127.0050497940692</v>
      </c>
      <c r="H16" s="346">
        <f>H14*(Erdgas!I5/(Erdgas!I6+Erdgas!I5))</f>
        <v>26012.246016510489</v>
      </c>
      <c r="I16" s="346">
        <f>I14*(Erdgas!J5/(Erdgas!J6+Erdgas!J5))</f>
        <v>62117.568804889161</v>
      </c>
      <c r="J16" s="346">
        <f>J14*(Erdgas!K5/(Erdgas!K6+Erdgas!K5))</f>
        <v>122117.9383480804</v>
      </c>
      <c r="K16" s="346">
        <f>K14*(Erdgas!L5/(Erdgas!L6+Erdgas!L5))</f>
        <v>15661.179898431221</v>
      </c>
      <c r="L16" s="346" t="e">
        <f>L14*(Erdgas!M5/(Erdgas!M6+Erdgas!M5))</f>
        <v>#DIV/0!</v>
      </c>
      <c r="Z16" s="374" t="s">
        <v>894</v>
      </c>
      <c r="AA16" s="137" t="s">
        <v>3138</v>
      </c>
      <c r="AB16" s="137" t="s">
        <v>3146</v>
      </c>
      <c r="AC16" s="346">
        <f>IFERROR(VLOOKUP($Z16,flows!$A$2:$J$4985,AC$2,FALSE),0)</f>
        <v>0</v>
      </c>
      <c r="AD16" s="346">
        <f>IFERROR(VLOOKUP($Z16,flows!$A$2:$J$4985,AD$2,FALSE),0)</f>
        <v>0</v>
      </c>
      <c r="AE16" s="346">
        <f>IFERROR(VLOOKUP($Z16,flows!$A$2:$J$4985,AE$2,FALSE),0)</f>
        <v>0</v>
      </c>
      <c r="AF16" s="346">
        <f>IFERROR(VLOOKUP($Z16,flows!$A$2:$J$4985,AF$2,FALSE),0)</f>
        <v>0</v>
      </c>
      <c r="AG16" s="346">
        <f>IFERROR(VLOOKUP($Z16,flows!$A$2:$J$4985,AG$2,FALSE),0)</f>
        <v>0</v>
      </c>
      <c r="AH16" s="346">
        <f>IFERROR(VLOOKUP($Z16,flows!$A$2:$J$4985,AH$2,FALSE),0)</f>
        <v>0</v>
      </c>
      <c r="AI16" s="346">
        <f>IFERROR(VLOOKUP($Z16,flows!$A$2:$J$4985,AI$2,FALSE),0)</f>
        <v>0</v>
      </c>
      <c r="AJ16" s="346">
        <f>IFERROR(VLOOKUP($Z16,flows!$A$2:$J$4985,AJ$2,FALSE),0)</f>
        <v>0</v>
      </c>
      <c r="AS16" s="269" t="s">
        <v>2517</v>
      </c>
      <c r="AT16" s="371"/>
      <c r="AU16" s="371"/>
      <c r="AV16" s="372">
        <f>IFERROR(VLOOKUP($AS16,flows!$A$2:$J$4985,AV$2,FALSE),0)</f>
        <v>183.53335944094661</v>
      </c>
      <c r="AW16" s="372">
        <f>IFERROR(VLOOKUP($AS16,flows!$A$2:$J$4985,AW$2,FALSE),0)</f>
        <v>0</v>
      </c>
      <c r="AX16" s="372">
        <f>IFERROR(VLOOKUP($AS16,flows!$A$2:$J$4985,AX$2,FALSE),0)</f>
        <v>0.68641125015322924</v>
      </c>
      <c r="AY16" s="372">
        <f>IFERROR(VLOOKUP($AS16,flows!$A$2:$J$4985,AY$2,FALSE),0)</f>
        <v>1.6223265217214381E-3</v>
      </c>
      <c r="AZ16" s="372">
        <f>IFERROR(VLOOKUP($AS16,flows!$A$2:$J$4985,AZ$2,FALSE),0)</f>
        <v>6.3759951434570381E-4</v>
      </c>
      <c r="BA16" s="372">
        <f>IFERROR(VLOOKUP($AS16,flows!$A$2:$J$4985,BA$2,FALSE),0)</f>
        <v>7.1215787530222081E-5</v>
      </c>
      <c r="BB16" s="372">
        <f>IFERROR(VLOOKUP($AS16,flows!$A$2:$J$4985,BB$2,FALSE),0)</f>
        <v>183.5220963597657</v>
      </c>
      <c r="BC16" s="372">
        <f>IFERROR(VLOOKUP($AS16,flows!$A$2:$J$4985,BC$2,FALSE),0)</f>
        <v>0</v>
      </c>
      <c r="BG16" s="269" t="s">
        <v>4292</v>
      </c>
      <c r="BH16" s="365" t="s">
        <v>1499</v>
      </c>
      <c r="BI16" s="365" t="s">
        <v>1967</v>
      </c>
      <c r="BJ16" s="372">
        <f>IFERROR(VLOOKUP($BG16,flows!$A$2:$J$4985,BJ$2,FALSE),0)</f>
        <v>1327.499701174271</v>
      </c>
      <c r="BK16" s="372">
        <f>IFERROR(VLOOKUP($BG16,flows!$A$2:$J$4985,BK$2,FALSE),0)</f>
        <v>15048.089657532269</v>
      </c>
      <c r="BL16" s="372">
        <f>IFERROR(VLOOKUP($BG16,flows!$A$2:$J$4985,BL$2,FALSE),0)</f>
        <v>16226.034049588799</v>
      </c>
      <c r="BM16" s="372">
        <f>IFERROR(VLOOKUP($BG16,flows!$A$2:$J$4985,BM$2,FALSE),0)</f>
        <v>15405.04917850946</v>
      </c>
      <c r="BN16" s="372">
        <f>IFERROR(VLOOKUP($BG16,flows!$A$2:$J$4985,BN$2,FALSE),0)</f>
        <v>12453.17451525314</v>
      </c>
      <c r="BO16" s="372">
        <f>IFERROR(VLOOKUP($BG16,flows!$A$2:$J$4985,BO$2,FALSE),0)</f>
        <v>5147.8333350546627</v>
      </c>
      <c r="BP16" s="372">
        <f>IFERROR(VLOOKUP($BG16,flows!$A$2:$J$4985,BP$2,FALSE),0)</f>
        <v>1327.485688405879</v>
      </c>
      <c r="BQ16" s="372">
        <f>IFERROR(VLOOKUP($BG16,flows!$A$2:$J$4985,BQ$2,FALSE),0)</f>
        <v>0</v>
      </c>
      <c r="BU16" s="269" t="s">
        <v>2505</v>
      </c>
      <c r="BV16" s="365" t="s">
        <v>1294</v>
      </c>
      <c r="BW16" s="365" t="s">
        <v>1888</v>
      </c>
      <c r="BX16" s="372">
        <f>IFERROR(VLOOKUP($BU16,flows!$A$2:$J$4985,BX$2,FALSE),0)</f>
        <v>1616.797633318412</v>
      </c>
      <c r="BY16" s="372">
        <f>IFERROR(VLOOKUP($BU16,flows!$A$2:$J$4985,BY$2,FALSE),0)</f>
        <v>869.60519979423339</v>
      </c>
      <c r="BZ16" s="372">
        <f>IFERROR(VLOOKUP($BU16,flows!$A$2:$J$4985,BZ$2,FALSE),0)</f>
        <v>919.79999144847238</v>
      </c>
      <c r="CA16" s="372">
        <f>IFERROR(VLOOKUP($BU16,flows!$A$2:$J$4985,CA$2,FALSE),0)</f>
        <v>1251.4520866807859</v>
      </c>
      <c r="CB16" s="372">
        <f>IFERROR(VLOOKUP($BU16,flows!$A$2:$J$4985,CB$2,FALSE),0)</f>
        <v>1433.8791420872601</v>
      </c>
      <c r="CC16" s="372">
        <f>IFERROR(VLOOKUP($BU16,flows!$A$2:$J$4985,CC$2,FALSE),0)</f>
        <v>1525.3498772737721</v>
      </c>
      <c r="CD16" s="372">
        <f>IFERROR(VLOOKUP($BU16,flows!$A$2:$J$4985,CD$2,FALSE),0)</f>
        <v>1616.804917007275</v>
      </c>
      <c r="CE16" s="372">
        <f>IFERROR(VLOOKUP($BU16,flows!$A$2:$J$4985,CE$2,FALSE),0)</f>
        <v>0</v>
      </c>
      <c r="CH16" s="92" t="s">
        <v>3052</v>
      </c>
      <c r="CI16" s="315"/>
      <c r="CJ16" s="315"/>
      <c r="CK16" s="372">
        <f>IFERROR(VLOOKUP($CH16,flows!$A$2:$J$4985,CK$2,FALSE),0)</f>
        <v>1.1522626749752461E-2</v>
      </c>
      <c r="CL16" s="372">
        <f>IFERROR(VLOOKUP($CH16,flows!$A$2:$J$4985,CL$2,FALSE),0)</f>
        <v>69926.513688407154</v>
      </c>
      <c r="CM16" s="372">
        <f>IFERROR(VLOOKUP($CH16,flows!$A$2:$J$4985,CM$2,FALSE),0)</f>
        <v>42794.33948426586</v>
      </c>
      <c r="CN16" s="372">
        <f>IFERROR(VLOOKUP($CH16,flows!$A$2:$J$4985,CN$2,FALSE),0)</f>
        <v>1.9831509101887079E-2</v>
      </c>
      <c r="CO16" s="372">
        <f>IFERROR(VLOOKUP($CH16,flows!$A$2:$J$4985,CO$2,FALSE),0)</f>
        <v>1.134105967560501E-3</v>
      </c>
      <c r="CP16" s="372">
        <f>IFERROR(VLOOKUP($CH16,flows!$A$2:$J$4985,CP$2,FALSE),0)</f>
        <v>3146.6896536803788</v>
      </c>
      <c r="CQ16" s="372">
        <f>IFERROR(VLOOKUP($CH16,flows!$A$2:$J$4985,CQ$2,FALSE),0)</f>
        <v>3.731317687894234E-5</v>
      </c>
      <c r="CR16" s="372">
        <f>IFERROR(VLOOKUP($CH16,flows!$A$2:$J$4985,CR$2,FALSE),0)</f>
        <v>0</v>
      </c>
      <c r="CT16" s="488" t="s">
        <v>3054</v>
      </c>
      <c r="CU16" s="488"/>
      <c r="CV16" s="488" t="s">
        <v>3064</v>
      </c>
      <c r="CW16" s="489">
        <f>IFERROR(VLOOKUP($CT16,flows!$A$2:$J$4985,CW$2,FALSE),0)</f>
        <v>1.013952470019684E-2</v>
      </c>
      <c r="CX16" s="489">
        <f>IFERROR(VLOOKUP($CT16,flows!$A$2:$J$4985,CX$2,FALSE),0)</f>
        <v>5.5263130403800813E-2</v>
      </c>
      <c r="CY16" s="489">
        <f>IFERROR(VLOOKUP($CT16,flows!$A$2:$J$4985,CY$2,FALSE),0)</f>
        <v>1.230784273825938</v>
      </c>
      <c r="CZ16" s="489">
        <f>IFERROR(VLOOKUP($CT16,flows!$A$2:$J$4985,CZ$2,FALSE),0)</f>
        <v>1.70121254121391E-3</v>
      </c>
      <c r="DA16" s="489">
        <f>IFERROR(VLOOKUP($CT16,flows!$A$2:$J$4985,DA$2,FALSE),0)</f>
        <v>6.2540352807297593E-4</v>
      </c>
      <c r="DB16" s="489">
        <f>IFERROR(VLOOKUP($CT16,flows!$A$2:$J$4985,DB$2,FALSE),0)</f>
        <v>1.534853998044823E-4</v>
      </c>
      <c r="DC16" s="489">
        <f>IFERROR(VLOOKUP($CT16,flows!$A$2:$J$4985,DC$2,FALSE),0)</f>
        <v>3.2628750111104409E-5</v>
      </c>
      <c r="DD16" s="489">
        <f>IFERROR(VLOOKUP($CT16,flows!$A$2:$J$4985,DD$2,FALSE),0)</f>
        <v>0</v>
      </c>
      <c r="DG16" s="134" t="s">
        <v>3966</v>
      </c>
      <c r="DH16" s="92"/>
      <c r="DI16" s="92"/>
      <c r="DJ16" s="92">
        <f>IFERROR(VLOOKUP($DG16,flows!$A$2:$J$4985,DJ$2,FALSE),0)</f>
        <v>5647.0884401727562</v>
      </c>
      <c r="DK16" s="92">
        <f>IFERROR(VLOOKUP($DG16,flows!$A$2:$J$4985,DK$2,FALSE),0)</f>
        <v>4377.9993083896852</v>
      </c>
      <c r="DL16" s="92">
        <f>IFERROR(VLOOKUP($DG16,flows!$A$2:$J$4985,DL$2,FALSE),0)</f>
        <v>4631.7844243842856</v>
      </c>
      <c r="DM16" s="92">
        <f>IFERROR(VLOOKUP($DG16,flows!$A$2:$J$4985,DM$2,FALSE),0)</f>
        <v>4885.5982454809264</v>
      </c>
      <c r="DN16" s="92">
        <f>IFERROR(VLOOKUP($DG16,flows!$A$2:$J$4985,DN$2,FALSE),0)</f>
        <v>5139.449485685097</v>
      </c>
      <c r="DO16" s="92">
        <f>IFERROR(VLOOKUP($DG16,flows!$A$2:$J$4985,DO$2,FALSE),0)</f>
        <v>5393.2999130850949</v>
      </c>
      <c r="DP16" s="92">
        <f>IFERROR(VLOOKUP($DG16,flows!$A$2:$J$4985,DP$2,FALSE),0)</f>
        <v>5647.0999565712154</v>
      </c>
      <c r="DQ16" s="93">
        <f>IFERROR(VLOOKUP($DG16,flows!$A$2:$J$4985,DQ$2,FALSE),0)</f>
        <v>0</v>
      </c>
    </row>
    <row r="17" spans="2:131" x14ac:dyDescent="0.35">
      <c r="B17" s="269" t="s">
        <v>2497</v>
      </c>
      <c r="C17" s="92"/>
      <c r="D17" s="315"/>
      <c r="E17" s="346">
        <f>IFERROR(VLOOKUP($B17,flows!$A$2:$J$4985,E$2,FALSE),0)</f>
        <v>267.85072131844612</v>
      </c>
      <c r="F17" s="346">
        <f>IFERROR(VLOOKUP($B17,flows!$A$2:$J$4985,F$2,FALSE),0)</f>
        <v>76.840428797585943</v>
      </c>
      <c r="G17" s="346">
        <f>IFERROR(VLOOKUP($B17,flows!$A$2:$J$4985,G$2,FALSE),0)</f>
        <v>86.441620397202414</v>
      </c>
      <c r="H17" s="346">
        <f>IFERROR(VLOOKUP($B17,flows!$A$2:$J$4985,H$2,FALSE),0)</f>
        <v>438.56806732190648</v>
      </c>
      <c r="I17" s="346">
        <f>IFERROR(VLOOKUP($B17,flows!$A$2:$J$4985,I$2,FALSE),0)</f>
        <v>1047.3060296371279</v>
      </c>
      <c r="J17" s="346">
        <f>IFERROR(VLOOKUP($B17,flows!$A$2:$J$4985,J$2,FALSE),0)</f>
        <v>2058.915949536216</v>
      </c>
      <c r="K17" s="346">
        <f>IFERROR(VLOOKUP($B17,flows!$A$2:$J$4985,K$2,FALSE),0)</f>
        <v>264.04845608780198</v>
      </c>
      <c r="L17" s="336">
        <f>IFERROR(VLOOKUP($B17,flows!$A$2:$J$4985,L$2,FALSE),0)</f>
        <v>0</v>
      </c>
      <c r="Z17" s="374" t="s">
        <v>1122</v>
      </c>
      <c r="AA17" s="137" t="s">
        <v>3140</v>
      </c>
      <c r="AB17" s="137" t="s">
        <v>3147</v>
      </c>
      <c r="AC17" s="346">
        <f>IFERROR(VLOOKUP($Z17,flows!$A$2:$J$4985,AC$2,FALSE),0)</f>
        <v>0</v>
      </c>
      <c r="AD17" s="346">
        <f>IFERROR(VLOOKUP($Z17,flows!$A$2:$J$4985,AD$2,FALSE),0)</f>
        <v>0</v>
      </c>
      <c r="AE17" s="346">
        <f>IFERROR(VLOOKUP($Z17,flows!$A$2:$J$4985,AE$2,FALSE),0)</f>
        <v>0</v>
      </c>
      <c r="AF17" s="346">
        <f>IFERROR(VLOOKUP($Z17,flows!$A$2:$J$4985,AF$2,FALSE),0)</f>
        <v>0</v>
      </c>
      <c r="AG17" s="346">
        <f>IFERROR(VLOOKUP($Z17,flows!$A$2:$J$4985,AG$2,FALSE),0)</f>
        <v>0</v>
      </c>
      <c r="AH17" s="346">
        <f>IFERROR(VLOOKUP($Z17,flows!$A$2:$J$4985,AH$2,FALSE),0)</f>
        <v>0</v>
      </c>
      <c r="AI17" s="346">
        <f>IFERROR(VLOOKUP($Z17,flows!$A$2:$J$4985,AI$2,FALSE),0)</f>
        <v>0</v>
      </c>
      <c r="AJ17" s="346">
        <f>IFERROR(VLOOKUP($Z17,flows!$A$2:$J$4985,AJ$2,FALSE),0)</f>
        <v>0</v>
      </c>
      <c r="AS17" s="269" t="s">
        <v>2500</v>
      </c>
      <c r="AT17" s="371"/>
      <c r="AU17" s="371"/>
      <c r="AV17" s="372">
        <f>IFERROR(VLOOKUP($AS17,flows!$A$2:$J$4985,AV$2,FALSE),0)</f>
        <v>18.126751549723121</v>
      </c>
      <c r="AW17" s="372">
        <f>IFERROR(VLOOKUP($AS17,flows!$A$2:$J$4985,AW$2,FALSE),0)</f>
        <v>0</v>
      </c>
      <c r="AX17" s="372">
        <f>IFERROR(VLOOKUP($AS17,flows!$A$2:$J$4985,AX$2,FALSE),0)</f>
        <v>6.7793703718837472E-2</v>
      </c>
      <c r="AY17" s="372">
        <f>IFERROR(VLOOKUP($AS17,flows!$A$2:$J$4985,AY$2,FALSE),0)</f>
        <v>1.6022977992310501E-4</v>
      </c>
      <c r="AZ17" s="372">
        <f>IFERROR(VLOOKUP($AS17,flows!$A$2:$J$4985,AZ$2,FALSE),0)</f>
        <v>6.2972791540316439E-5</v>
      </c>
      <c r="BA17" s="372">
        <f>IFERROR(VLOOKUP($AS17,flows!$A$2:$J$4985,BA$2,FALSE),0)</f>
        <v>7.0336580276762563E-6</v>
      </c>
      <c r="BB17" s="372">
        <f>IFERROR(VLOOKUP($AS17,flows!$A$2:$J$4985,BB$2,FALSE),0)</f>
        <v>18.125639146643518</v>
      </c>
      <c r="BC17" s="372">
        <f>IFERROR(VLOOKUP($AS17,flows!$A$2:$J$4985,BC$2,FALSE),0)</f>
        <v>0</v>
      </c>
      <c r="BG17" s="269"/>
      <c r="BH17" s="137" t="s">
        <v>4395</v>
      </c>
      <c r="BI17" s="862" t="s">
        <v>4396</v>
      </c>
      <c r="BJ17" s="372">
        <f>BJ16*(Erdgas!F5/(Erdgas!F5+Erdgas!F6))</f>
        <v>1327.499701174271</v>
      </c>
      <c r="BK17" s="372">
        <f>BK16*(Erdgas!G5/(Erdgas!G5+Erdgas!G6))</f>
        <v>15048.089657532269</v>
      </c>
      <c r="BL17" s="372">
        <f>BL16*(Erdgas!H5/(Erdgas!H5+Erdgas!H6))</f>
        <v>16226.034049588799</v>
      </c>
      <c r="BM17" s="372">
        <f>BM16*(Erdgas!I5/(Erdgas!I5+Erdgas!I6))</f>
        <v>15405.04917850946</v>
      </c>
      <c r="BN17" s="372">
        <f>BN16*(Erdgas!J5/(Erdgas!J5+Erdgas!J6))</f>
        <v>12453.17451525314</v>
      </c>
      <c r="BO17" s="372">
        <f>BO16*(Erdgas!K5/(Erdgas!K5+Erdgas!K6))</f>
        <v>5147.8333350546627</v>
      </c>
      <c r="BP17" s="372">
        <f>BP16*(Erdgas!L5/(Erdgas!L5+Erdgas!L6))</f>
        <v>1327.485688405879</v>
      </c>
      <c r="BQ17" s="372" t="e">
        <f>BQ16*(Erdgas!M5/(Erdgas!M5+Erdgas!M6))</f>
        <v>#DIV/0!</v>
      </c>
      <c r="BU17" s="269" t="s">
        <v>2676</v>
      </c>
      <c r="BX17" s="346"/>
      <c r="BY17" s="346"/>
      <c r="BZ17" s="346"/>
      <c r="CA17" s="346"/>
      <c r="CB17" s="346"/>
      <c r="CC17" s="346"/>
      <c r="CD17" s="346"/>
      <c r="CE17" s="346"/>
      <c r="CH17" s="92" t="s">
        <v>3053</v>
      </c>
      <c r="CI17" s="315"/>
      <c r="CJ17" s="315"/>
      <c r="CK17" s="372">
        <f>IFERROR(VLOOKUP($CH17,flows!$A$2:$J$4985,CK$2,FALSE),0)</f>
        <v>0.1059384268496843</v>
      </c>
      <c r="CL17" s="372">
        <f>IFERROR(VLOOKUP($CH17,flows!$A$2:$J$4985,CL$2,FALSE),0)</f>
        <v>250702.68472331049</v>
      </c>
      <c r="CM17" s="372">
        <f>IFERROR(VLOOKUP($CH17,flows!$A$2:$J$4985,CM$2,FALSE),0)</f>
        <v>264414.10957270348</v>
      </c>
      <c r="CN17" s="372">
        <f>IFERROR(VLOOKUP($CH17,flows!$A$2:$J$4985,CN$2,FALSE),0)</f>
        <v>236398.67932847381</v>
      </c>
      <c r="CO17" s="372">
        <f>IFERROR(VLOOKUP($CH17,flows!$A$2:$J$4985,CO$2,FALSE),0)</f>
        <v>179582.41228967899</v>
      </c>
      <c r="CP17" s="372">
        <f>IFERROR(VLOOKUP($CH17,flows!$A$2:$J$4985,CP$2,FALSE),0)</f>
        <v>55767.49740286055</v>
      </c>
      <c r="CQ17" s="372">
        <f>IFERROR(VLOOKUP($CH17,flows!$A$2:$J$4985,CQ$2,FALSE),0)</f>
        <v>4.7918852114511151E-4</v>
      </c>
      <c r="CR17" s="372">
        <f>IFERROR(VLOOKUP($CH17,flows!$A$2:$J$4985,CR$2,FALSE),0)</f>
        <v>0</v>
      </c>
      <c r="CT17" s="137"/>
      <c r="CU17" s="137"/>
      <c r="CV17" s="137"/>
      <c r="CW17" s="65"/>
      <c r="CX17" s="65"/>
      <c r="CY17" s="65"/>
      <c r="CZ17" s="65"/>
      <c r="DA17" s="65"/>
      <c r="DB17" s="65"/>
      <c r="DC17" s="65"/>
      <c r="DD17" s="65"/>
      <c r="DG17" s="134" t="s">
        <v>3968</v>
      </c>
      <c r="DH17" s="92"/>
      <c r="DI17" s="92"/>
      <c r="DJ17" s="92">
        <f>IFERROR(VLOOKUP($DG17,flows!$A$2:$J$4985,DJ$2,FALSE),0)</f>
        <v>1.158447746889715E-2</v>
      </c>
      <c r="DK17" s="92">
        <f>IFERROR(VLOOKUP($DG17,flows!$A$2:$J$4985,DK$2,FALSE),0)</f>
        <v>7.4815472178616567E-4</v>
      </c>
      <c r="DL17" s="92">
        <f>IFERROR(VLOOKUP($DG17,flows!$A$2:$J$4985,DL$2,FALSE),0)</f>
        <v>1.695240801170788E-2</v>
      </c>
      <c r="DM17" s="92">
        <f>IFERROR(VLOOKUP($DG17,flows!$A$2:$J$4985,DM$2,FALSE),0)</f>
        <v>1.7571957891883651E-3</v>
      </c>
      <c r="DN17" s="92">
        <f>IFERROR(VLOOKUP($DG17,flows!$A$2:$J$4985,DN$2,FALSE),0)</f>
        <v>5.1585620037348763E-4</v>
      </c>
      <c r="DO17" s="92">
        <f>IFERROR(VLOOKUP($DG17,flows!$A$2:$J$4985,DO$2,FALSE),0)</f>
        <v>8.6990132447161913E-5</v>
      </c>
      <c r="DP17" s="92">
        <f>IFERROR(VLOOKUP($DG17,flows!$A$2:$J$4985,DP$2,FALSE),0)</f>
        <v>4.3508033804520839E-5</v>
      </c>
      <c r="DQ17" s="93">
        <f>IFERROR(VLOOKUP($DG17,flows!$A$2:$J$4985,DQ$2,FALSE),0)</f>
        <v>0</v>
      </c>
    </row>
    <row r="18" spans="2:131" x14ac:dyDescent="0.35">
      <c r="B18" s="269" t="s">
        <v>4144</v>
      </c>
      <c r="C18" s="92"/>
      <c r="D18" s="315"/>
      <c r="E18" s="346">
        <f>IFERROR(VLOOKUP($B18,flows!$A$2:$J$4985,E$2,FALSE),0)</f>
        <v>68.536449789311447</v>
      </c>
      <c r="F18" s="346">
        <f>IFERROR(VLOOKUP($B18,flows!$A$2:$J$4985,F$2,FALSE),0)</f>
        <v>0</v>
      </c>
      <c r="G18" s="346">
        <f>IFERROR(VLOOKUP($B18,flows!$A$2:$J$4985,G$2,FALSE),0)</f>
        <v>0.53984480303872406</v>
      </c>
      <c r="H18" s="346">
        <f>IFERROR(VLOOKUP($B18,flows!$A$2:$J$4985,H$2,FALSE),0)</f>
        <v>6.8766110867916307E-3</v>
      </c>
      <c r="I18" s="346">
        <f>IFERROR(VLOOKUP($B18,flows!$A$2:$J$4985,I$2,FALSE),0)</f>
        <v>5.7155701306533331</v>
      </c>
      <c r="J18" s="346">
        <f>IFERROR(VLOOKUP($B18,flows!$A$2:$J$4985,J$2,FALSE),0)</f>
        <v>526.84024074703586</v>
      </c>
      <c r="K18" s="346">
        <f>IFERROR(VLOOKUP($B18,flows!$A$2:$J$4985,K$2,FALSE),0)</f>
        <v>67.565333373980181</v>
      </c>
      <c r="L18" s="336">
        <f>IFERROR(VLOOKUP($B18,flows!$A$2:$J$4985,L$2,FALSE),0)</f>
        <v>0</v>
      </c>
      <c r="Z18" s="374" t="s">
        <v>4155</v>
      </c>
      <c r="AA18" s="137" t="s">
        <v>4190</v>
      </c>
      <c r="AB18" s="137" t="s">
        <v>4194</v>
      </c>
      <c r="AC18" s="346">
        <f>IFERROR(VLOOKUP($Z18,flows!$A$2:$J$4985,AC$2,FALSE),0)</f>
        <v>616.8280481038031</v>
      </c>
      <c r="AD18" s="346">
        <f>IFERROR(VLOOKUP($Z18,flows!$A$2:$J$4985,AD$2,FALSE),0)</f>
        <v>0</v>
      </c>
      <c r="AE18" s="346">
        <f>IFERROR(VLOOKUP($Z18,flows!$A$2:$J$4985,AE$2,FALSE),0)</f>
        <v>4.8586032273485156</v>
      </c>
      <c r="AF18" s="346">
        <f>IFERROR(VLOOKUP($Z18,flows!$A$2:$J$4985,AF$2,FALSE),0)</f>
        <v>6.1889499781124679E-2</v>
      </c>
      <c r="AG18" s="346">
        <f>IFERROR(VLOOKUP($Z18,flows!$A$2:$J$4985,AG$2,FALSE),0)</f>
        <v>51.440131175879998</v>
      </c>
      <c r="AH18" s="346">
        <f>IFERROR(VLOOKUP($Z18,flows!$A$2:$J$4985,AH$2,FALSE),0)</f>
        <v>4741.5621667233227</v>
      </c>
      <c r="AI18" s="346">
        <f>IFERROR(VLOOKUP($Z18,flows!$A$2:$J$4985,AI$2,FALSE),0)</f>
        <v>608.08800036582159</v>
      </c>
      <c r="AJ18" s="346">
        <f>IFERROR(VLOOKUP($Z18,flows!$A$2:$J$4985,AJ$2,FALSE),0)</f>
        <v>0</v>
      </c>
      <c r="AS18" s="269" t="s">
        <v>2478</v>
      </c>
      <c r="AT18" s="371"/>
      <c r="AU18" s="371"/>
      <c r="AV18" s="372">
        <f>IFERROR(VLOOKUP($AS18,flows!$A$2:$J$4985,AV$2,FALSE),0)</f>
        <v>0</v>
      </c>
      <c r="AW18" s="372">
        <f>IFERROR(VLOOKUP($AS18,flows!$A$2:$J$4985,AW$2,FALSE),0)</f>
        <v>0</v>
      </c>
      <c r="AX18" s="372">
        <f>IFERROR(VLOOKUP($AS18,flows!$A$2:$J$4985,AX$2,FALSE),0)</f>
        <v>0</v>
      </c>
      <c r="AY18" s="372">
        <f>IFERROR(VLOOKUP($AS18,flows!$A$2:$J$4985,AY$2,FALSE),0)</f>
        <v>0</v>
      </c>
      <c r="AZ18" s="372">
        <f>IFERROR(VLOOKUP($AS18,flows!$A$2:$J$4985,AZ$2,FALSE),0)</f>
        <v>0</v>
      </c>
      <c r="BA18" s="372">
        <f>IFERROR(VLOOKUP($AS18,flows!$A$2:$J$4985,BA$2,FALSE),0)</f>
        <v>0</v>
      </c>
      <c r="BB18" s="372">
        <f>IFERROR(VLOOKUP($AS18,flows!$A$2:$J$4985,BB$2,FALSE),0)</f>
        <v>0</v>
      </c>
      <c r="BC18" s="372">
        <f>IFERROR(VLOOKUP($AS18,flows!$A$2:$J$4985,BC$2,FALSE),0)</f>
        <v>0</v>
      </c>
      <c r="BG18" s="269"/>
      <c r="BH18" s="137" t="s">
        <v>4397</v>
      </c>
      <c r="BI18" s="862" t="s">
        <v>4398</v>
      </c>
      <c r="BJ18" s="372">
        <f>BJ16*(Erdgas!F6/(Erdgas!F6+Erdgas!F5))</f>
        <v>0</v>
      </c>
      <c r="BK18" s="372">
        <f>BK16*(Erdgas!G6/(Erdgas!G6+Erdgas!G5))</f>
        <v>0</v>
      </c>
      <c r="BL18" s="372">
        <f>BL16*(Erdgas!H6/(Erdgas!H6+Erdgas!H5))</f>
        <v>0</v>
      </c>
      <c r="BM18" s="372">
        <f>BM16*(Erdgas!I6/(Erdgas!I6+Erdgas!I5))</f>
        <v>0</v>
      </c>
      <c r="BN18" s="372">
        <f>BN16*(Erdgas!J6/(Erdgas!J6+Erdgas!J5))</f>
        <v>0</v>
      </c>
      <c r="BO18" s="372">
        <f>BO16*(Erdgas!K6/(Erdgas!K6+Erdgas!K5))</f>
        <v>0</v>
      </c>
      <c r="BP18" s="372">
        <f>BP16*(Erdgas!L6/(Erdgas!L6+Erdgas!L5))</f>
        <v>0</v>
      </c>
      <c r="BQ18" s="372" t="e">
        <f>BQ16*(Erdgas!M6/(Erdgas!M6+Erdgas!M5))</f>
        <v>#DIV/0!</v>
      </c>
      <c r="BU18" s="269" t="s">
        <v>2677</v>
      </c>
      <c r="BV18" s="371"/>
      <c r="BW18" s="371"/>
      <c r="BX18" s="346"/>
      <c r="BY18" s="346"/>
      <c r="BZ18" s="346"/>
      <c r="CA18" s="346"/>
      <c r="CB18" s="346"/>
      <c r="CC18" s="346"/>
      <c r="CD18" s="346"/>
      <c r="CE18" s="346"/>
      <c r="CH18" s="92" t="s">
        <v>3054</v>
      </c>
      <c r="CI18" s="315"/>
      <c r="CJ18" s="315"/>
      <c r="CK18" s="372">
        <f>IFERROR(VLOOKUP($CH18,flows!$A$2:$J$4985,CK$2,FALSE),0)</f>
        <v>1.013952470019684E-2</v>
      </c>
      <c r="CL18" s="372">
        <f>IFERROR(VLOOKUP($CH18,flows!$A$2:$J$4985,CL$2,FALSE),0)</f>
        <v>5.5263130403800813E-2</v>
      </c>
      <c r="CM18" s="372">
        <f>IFERROR(VLOOKUP($CH18,flows!$A$2:$J$4985,CM$2,FALSE),0)</f>
        <v>1.230784273825938</v>
      </c>
      <c r="CN18" s="372">
        <f>IFERROR(VLOOKUP($CH18,flows!$A$2:$J$4985,CN$2,FALSE),0)</f>
        <v>1.70121254121391E-3</v>
      </c>
      <c r="CO18" s="372">
        <f>IFERROR(VLOOKUP($CH18,flows!$A$2:$J$4985,CO$2,FALSE),0)</f>
        <v>6.2540352807297593E-4</v>
      </c>
      <c r="CP18" s="372">
        <f>IFERROR(VLOOKUP($CH18,flows!$A$2:$J$4985,CP$2,FALSE),0)</f>
        <v>1.534853998044823E-4</v>
      </c>
      <c r="CQ18" s="372">
        <f>IFERROR(VLOOKUP($CH18,flows!$A$2:$J$4985,CQ$2,FALSE),0)</f>
        <v>3.2628750111104409E-5</v>
      </c>
      <c r="CR18" s="372">
        <f>IFERROR(VLOOKUP($CH18,flows!$A$2:$J$4985,CR$2,FALSE),0)</f>
        <v>0</v>
      </c>
      <c r="CT18" s="485" t="s">
        <v>3119</v>
      </c>
      <c r="CU18" s="485"/>
      <c r="CV18" s="485" t="s">
        <v>3061</v>
      </c>
      <c r="CW18" s="487">
        <f>IFERROR(VLOOKUP($CT18,flows!$A$2:$J$4985,CW$2,FALSE),0)</f>
        <v>5.107209478677649E-2</v>
      </c>
      <c r="CX18" s="487">
        <f>IFERROR(VLOOKUP($CT18,flows!$A$2:$J$4985,CX$2,FALSE),0)</f>
        <v>0</v>
      </c>
      <c r="CY18" s="487">
        <f>IFERROR(VLOOKUP($CT18,flows!$A$2:$J$4985,CY$2,FALSE),0)</f>
        <v>4.290457644531414</v>
      </c>
      <c r="CZ18" s="487">
        <f>IFERROR(VLOOKUP($CT18,flows!$A$2:$J$4985,CZ$2,FALSE),0)</f>
        <v>5.1141893302135864E-3</v>
      </c>
      <c r="DA18" s="487">
        <f>IFERROR(VLOOKUP($CT18,flows!$A$2:$J$4985,DA$2,FALSE),0)</f>
        <v>3.2928444930100209E-3</v>
      </c>
      <c r="DB18" s="487">
        <f>IFERROR(VLOOKUP($CT18,flows!$A$2:$J$4985,DB$2,FALSE),0)</f>
        <v>8.5894237348284379E-5</v>
      </c>
      <c r="DC18" s="487">
        <f>IFERROR(VLOOKUP($CT18,flows!$A$2:$J$4985,DC$2,FALSE),0)</f>
        <v>263.85613916816141</v>
      </c>
      <c r="DD18" s="487">
        <f>IFERROR(VLOOKUP($CT18,flows!$A$2:$J$4985,DD$2,FALSE),0)</f>
        <v>0</v>
      </c>
      <c r="DG18" s="134" t="s">
        <v>3955</v>
      </c>
      <c r="DH18" s="92"/>
      <c r="DI18" s="92"/>
      <c r="DJ18" s="92">
        <f>IFERROR(VLOOKUP($DG18,flows!$A$2:$J$4985,DJ$2,FALSE),0)</f>
        <v>4540.3444207655193</v>
      </c>
      <c r="DK18" s="92">
        <f>IFERROR(VLOOKUP($DG18,flows!$A$2:$J$4985,DK$2,FALSE),0)</f>
        <v>3519.999746595719</v>
      </c>
      <c r="DL18" s="92">
        <f>IFERROR(VLOOKUP($DG18,flows!$A$2:$J$4985,DL$2,FALSE),0)</f>
        <v>3724.044091826845</v>
      </c>
      <c r="DM18" s="92">
        <f>IFERROR(VLOOKUP($DG18,flows!$A$2:$J$4985,DM$2,FALSE),0)</f>
        <v>3928.0992136071609</v>
      </c>
      <c r="DN18" s="92">
        <f>IFERROR(VLOOKUP($DG18,flows!$A$2:$J$4985,DN$2,FALSE),0)</f>
        <v>4132.1997633992414</v>
      </c>
      <c r="DO18" s="92">
        <f>IFERROR(VLOOKUP($DG18,flows!$A$2:$J$4985,DO$2,FALSE),0)</f>
        <v>4336.2999589868459</v>
      </c>
      <c r="DP18" s="92">
        <f>IFERROR(VLOOKUP($DG18,flows!$A$2:$J$4985,DP$2,FALSE),0)</f>
        <v>4540.349979049518</v>
      </c>
      <c r="DQ18" s="93">
        <f>IFERROR(VLOOKUP($DG18,flows!$A$2:$J$4985,DQ$2,FALSE),0)</f>
        <v>0</v>
      </c>
    </row>
    <row r="19" spans="2:131" x14ac:dyDescent="0.35">
      <c r="B19" s="269" t="s">
        <v>4149</v>
      </c>
      <c r="C19" s="92"/>
      <c r="D19" s="315"/>
      <c r="E19" s="346">
        <f>IFERROR(VLOOKUP($B19,flows!$A$2:$J$4985,E$2,FALSE),0)</f>
        <v>1.733105626856152</v>
      </c>
      <c r="F19" s="346">
        <f>IFERROR(VLOOKUP($B19,flows!$A$2:$J$4985,F$2,FALSE),0)</f>
        <v>0</v>
      </c>
      <c r="G19" s="346">
        <f>IFERROR(VLOOKUP($B19,flows!$A$2:$J$4985,G$2,FALSE),0)</f>
        <v>1.365124789293325E-2</v>
      </c>
      <c r="H19" s="346">
        <f>IFERROR(VLOOKUP($B19,flows!$A$2:$J$4985,H$2,FALSE),0)</f>
        <v>1.7389131483840911E-4</v>
      </c>
      <c r="I19" s="346">
        <f>IFERROR(VLOOKUP($B19,flows!$A$2:$J$4985,I$2,FALSE),0)</f>
        <v>0.14453165847629121</v>
      </c>
      <c r="J19" s="346">
        <f>IFERROR(VLOOKUP($B19,flows!$A$2:$J$4985,J$2,FALSE),0)</f>
        <v>13.32239689245378</v>
      </c>
      <c r="K19" s="346">
        <f>IFERROR(VLOOKUP($B19,flows!$A$2:$J$4985,K$2,FALSE),0)</f>
        <v>1.708548660031683</v>
      </c>
      <c r="L19" s="336">
        <f>IFERROR(VLOOKUP($B19,flows!$A$2:$J$4985,L$2,FALSE),0)</f>
        <v>0</v>
      </c>
      <c r="Z19" s="374" t="s">
        <v>4294</v>
      </c>
      <c r="AA19" s="862" t="s">
        <v>4206</v>
      </c>
      <c r="AB19" s="862" t="s">
        <v>4207</v>
      </c>
      <c r="AC19" s="346">
        <f>IFERROR(VLOOKUP($Z19,flows!$A$2:$J$4985,AC$2,FALSE),0)</f>
        <v>0.15232338561629921</v>
      </c>
      <c r="AD19" s="346">
        <f>IFERROR(VLOOKUP($Z19,flows!$A$2:$J$4985,AD$2,FALSE),0)</f>
        <v>0</v>
      </c>
      <c r="AE19" s="346">
        <f>IFERROR(VLOOKUP($Z19,flows!$A$2:$J$4985,AE$2,FALSE),0)</f>
        <v>17.082474788445118</v>
      </c>
      <c r="AF19" s="346">
        <f>IFERROR(VLOOKUP($Z19,flows!$A$2:$J$4985,AF$2,FALSE),0)</f>
        <v>6.1168813937558728E-3</v>
      </c>
      <c r="AG19" s="346">
        <f>IFERROR(VLOOKUP($Z19,flows!$A$2:$J$4985,AG$2,FALSE),0)</f>
        <v>1.708588817119109E-3</v>
      </c>
      <c r="AH19" s="346">
        <f>IFERROR(VLOOKUP($Z19,flows!$A$2:$J$4985,AH$2,FALSE),0)</f>
        <v>2.4136784454422571E-4</v>
      </c>
      <c r="AI19" s="346">
        <f>IFERROR(VLOOKUP($Z19,flows!$A$2:$J$4985,AI$2,FALSE),0)</f>
        <v>2.8213120300483291E-4</v>
      </c>
      <c r="AJ19" s="346">
        <f>IFERROR(VLOOKUP($Z19,flows!$A$2:$J$4985,AJ$2,FALSE),0)</f>
        <v>0</v>
      </c>
      <c r="AS19" s="269" t="s">
        <v>2509</v>
      </c>
      <c r="AT19" s="371"/>
      <c r="AU19" s="371"/>
      <c r="AV19" s="372">
        <f>IFERROR(VLOOKUP($AS19,flows!$A$2:$J$4985,AV$2,FALSE),0)</f>
        <v>295.85448065083813</v>
      </c>
      <c r="AW19" s="372">
        <f>IFERROR(VLOOKUP($AS19,flows!$A$2:$J$4985,AW$2,FALSE),0)</f>
        <v>0</v>
      </c>
      <c r="AX19" s="372">
        <f>IFERROR(VLOOKUP($AS19,flows!$A$2:$J$4985,AX$2,FALSE),0)</f>
        <v>1.1064900928395971</v>
      </c>
      <c r="AY19" s="372">
        <f>IFERROR(VLOOKUP($AS19,flows!$A$2:$J$4985,AY$2,FALSE),0)</f>
        <v>2.6151789080306781E-3</v>
      </c>
      <c r="AZ19" s="372">
        <f>IFERROR(VLOOKUP($AS19,flows!$A$2:$J$4985,AZ$2,FALSE),0)</f>
        <v>1.027805919068736E-3</v>
      </c>
      <c r="BA19" s="372">
        <f>IFERROR(VLOOKUP($AS19,flows!$A$2:$J$4985,BA$2,FALSE),0)</f>
        <v>1.147993470945732E-4</v>
      </c>
      <c r="BB19" s="372">
        <f>IFERROR(VLOOKUP($AS19,flows!$A$2:$J$4985,BB$2,FALSE),0)</f>
        <v>295.83632464343179</v>
      </c>
      <c r="BC19" s="372">
        <f>IFERROR(VLOOKUP($AS19,flows!$A$2:$J$4985,BC$2,FALSE),0)</f>
        <v>0</v>
      </c>
      <c r="BG19" s="269" t="s">
        <v>2501</v>
      </c>
      <c r="BH19" s="365" t="s">
        <v>1162</v>
      </c>
      <c r="BI19" s="365" t="s">
        <v>1816</v>
      </c>
      <c r="BJ19" s="372">
        <f>IFERROR(VLOOKUP($BG19,flows!$A$2:$J$4985,BJ$2,FALSE),0)</f>
        <v>19994.034243544658</v>
      </c>
      <c r="BK19" s="372">
        <f>IFERROR(VLOOKUP($BG19,flows!$A$2:$J$4985,BK$2,FALSE),0)</f>
        <v>0</v>
      </c>
      <c r="BL19" s="372">
        <f>IFERROR(VLOOKUP($BG19,flows!$A$2:$J$4985,BL$2,FALSE),0)</f>
        <v>11.1103123195491</v>
      </c>
      <c r="BM19" s="372">
        <f>IFERROR(VLOOKUP($BG19,flows!$A$2:$J$4985,BM$2,FALSE),0)</f>
        <v>2052.9227293398508</v>
      </c>
      <c r="BN19" s="372">
        <f>IFERROR(VLOOKUP($BG19,flows!$A$2:$J$4985,BN$2,FALSE),0)</f>
        <v>6262.7511512241936</v>
      </c>
      <c r="BO19" s="372">
        <f>IFERROR(VLOOKUP($BG19,flows!$A$2:$J$4985,BO$2,FALSE),0)</f>
        <v>14900.681204055691</v>
      </c>
      <c r="BP19" s="372">
        <f>IFERROR(VLOOKUP($BG19,flows!$A$2:$J$4985,BP$2,FALSE),0)</f>
        <v>19994.04384051351</v>
      </c>
      <c r="BQ19" s="372">
        <f>IFERROR(VLOOKUP($BG19,flows!$A$2:$J$4985,BQ$2,FALSE),0)</f>
        <v>0</v>
      </c>
      <c r="BU19" s="269"/>
      <c r="BV19" s="371"/>
      <c r="BW19" s="371"/>
      <c r="BX19" s="346"/>
      <c r="BY19" s="346"/>
      <c r="BZ19" s="346"/>
      <c r="CA19" s="346"/>
      <c r="CB19" s="346"/>
      <c r="CC19" s="346"/>
      <c r="CD19" s="346"/>
      <c r="CE19" s="346"/>
      <c r="CI19" s="315" t="s">
        <v>4001</v>
      </c>
      <c r="CJ19" s="315" t="s">
        <v>2674</v>
      </c>
      <c r="CK19" s="372">
        <f>SUM(CK16:CK18)-CK35</f>
        <v>0.12760057829963359</v>
      </c>
      <c r="CL19" s="372">
        <f t="shared" ref="CL19:CR19" si="8">SUM(CL16:CL18)-CL35</f>
        <v>320629.25367484806</v>
      </c>
      <c r="CM19" s="372">
        <f t="shared" si="8"/>
        <v>307209.6798412432</v>
      </c>
      <c r="CN19" s="372">
        <f t="shared" si="8"/>
        <v>236398.70086119545</v>
      </c>
      <c r="CO19" s="372">
        <f t="shared" si="8"/>
        <v>179582.41404918849</v>
      </c>
      <c r="CP19" s="372">
        <f t="shared" si="8"/>
        <v>58914.187210026328</v>
      </c>
      <c r="CQ19" s="372">
        <f t="shared" si="8"/>
        <v>5.4913044813515832E-4</v>
      </c>
      <c r="CR19" s="372">
        <f t="shared" si="8"/>
        <v>0</v>
      </c>
      <c r="CT19" s="485" t="s">
        <v>3116</v>
      </c>
      <c r="CU19" s="485"/>
      <c r="CV19" s="485" t="s">
        <v>3060</v>
      </c>
      <c r="CW19" s="487">
        <f>IFERROR(VLOOKUP($CT19,flows!$A$2:$J$4985,CW$2,FALSE),0)</f>
        <v>1.7803157452617579E-2</v>
      </c>
      <c r="CX19" s="487">
        <f>IFERROR(VLOOKUP($CT19,flows!$A$2:$J$4985,CX$2,FALSE),0)</f>
        <v>6.8558213900714859E-7</v>
      </c>
      <c r="CY19" s="487">
        <f>IFERROR(VLOOKUP($CT19,flows!$A$2:$J$4985,CY$2,FALSE),0)</f>
        <v>5.2656100022294519</v>
      </c>
      <c r="CZ19" s="487">
        <f>IFERROR(VLOOKUP($CT19,flows!$A$2:$J$4985,CZ$2,FALSE),0)</f>
        <v>1.03560709718779E-2</v>
      </c>
      <c r="DA19" s="487">
        <f>IFERROR(VLOOKUP($CT19,flows!$A$2:$J$4985,DA$2,FALSE),0)</f>
        <v>263.77346287051341</v>
      </c>
      <c r="DB19" s="487">
        <f>IFERROR(VLOOKUP($CT19,flows!$A$2:$J$4985,DB$2,FALSE),0)</f>
        <v>263.85608285319182</v>
      </c>
      <c r="DC19" s="487">
        <f>IFERROR(VLOOKUP($CT19,flows!$A$2:$J$4985,DC$2,FALSE),0)</f>
        <v>9.024810006235671E-5</v>
      </c>
      <c r="DD19" s="487">
        <f>IFERROR(VLOOKUP($CT19,flows!$A$2:$J$4985,DD$2,FALSE),0)</f>
        <v>0</v>
      </c>
      <c r="DG19" s="134" t="s">
        <v>3957</v>
      </c>
      <c r="DH19" s="92"/>
      <c r="DI19" s="92"/>
      <c r="DJ19" s="92">
        <f>IFERROR(VLOOKUP($DG19,flows!$A$2:$J$4985,DJ$2,FALSE),0)</f>
        <v>5.6039421301510616E-3</v>
      </c>
      <c r="DK19" s="92">
        <f>IFERROR(VLOOKUP($DG19,flows!$A$2:$J$4985,DK$2,FALSE),0)</f>
        <v>3.1660150497935262E-4</v>
      </c>
      <c r="DL19" s="92">
        <f>IFERROR(VLOOKUP($DG19,flows!$A$2:$J$4985,DL$2,FALSE),0)</f>
        <v>7.4334286291705678E-3</v>
      </c>
      <c r="DM19" s="92">
        <f>IFERROR(VLOOKUP($DG19,flows!$A$2:$J$4985,DM$2,FALSE),0)</f>
        <v>7.8907456628309449E-4</v>
      </c>
      <c r="DN19" s="92">
        <f>IFERROR(VLOOKUP($DG19,flows!$A$2:$J$4985,DN$2,FALSE),0)</f>
        <v>2.3814764726526799E-4</v>
      </c>
      <c r="DO19" s="92">
        <f>IFERROR(VLOOKUP($DG19,flows!$A$2:$J$4985,DO$2,FALSE),0)</f>
        <v>4.1088051071547291E-5</v>
      </c>
      <c r="DP19" s="92">
        <f>IFERROR(VLOOKUP($DG19,flows!$A$2:$J$4985,DP$2,FALSE),0)</f>
        <v>2.1029560921977962E-5</v>
      </c>
      <c r="DQ19" s="93">
        <f>IFERROR(VLOOKUP($DG19,flows!$A$2:$J$4985,DQ$2,FALSE),0)</f>
        <v>0</v>
      </c>
    </row>
    <row r="20" spans="2:131" ht="15" thickBot="1" x14ac:dyDescent="0.4">
      <c r="B20" s="269" t="s">
        <v>4294</v>
      </c>
      <c r="C20" s="315"/>
      <c r="D20" s="315"/>
      <c r="E20" s="346">
        <f>IFERROR(VLOOKUP($B20,flows!$A$2:$J$4985,E$2,FALSE),0)</f>
        <v>0.15232338561629921</v>
      </c>
      <c r="F20" s="346">
        <f>IFERROR(VLOOKUP($B20,flows!$A$2:$J$4985,F$2,FALSE),0)</f>
        <v>0</v>
      </c>
      <c r="G20" s="346">
        <f>IFERROR(VLOOKUP($B20,flows!$A$2:$J$4985,G$2,FALSE),0)</f>
        <v>17.082474788445118</v>
      </c>
      <c r="H20" s="346">
        <f>IFERROR(VLOOKUP($B20,flows!$A$2:$J$4985,H$2,FALSE),0)</f>
        <v>6.1168813937558728E-3</v>
      </c>
      <c r="I20" s="346">
        <f>IFERROR(VLOOKUP($B20,flows!$A$2:$J$4985,I$2,FALSE),0)</f>
        <v>1.708588817119109E-3</v>
      </c>
      <c r="J20" s="346">
        <f>IFERROR(VLOOKUP($B20,flows!$A$2:$J$4985,J$2,FALSE),0)</f>
        <v>2.4136784454422571E-4</v>
      </c>
      <c r="K20" s="346">
        <f>IFERROR(VLOOKUP($B20,flows!$A$2:$J$4985,K$2,FALSE),0)</f>
        <v>2.8213120300483291E-4</v>
      </c>
      <c r="L20" s="336">
        <f>IFERROR(VLOOKUP($B20,flows!$A$2:$J$4985,L$2,FALSE),0)</f>
        <v>0</v>
      </c>
      <c r="Z20" s="374"/>
      <c r="AA20" s="862" t="s">
        <v>4304</v>
      </c>
      <c r="AB20" s="862" t="s">
        <v>4305</v>
      </c>
      <c r="AC20" s="372">
        <f>AC18+AC19</f>
        <v>616.98037148941944</v>
      </c>
      <c r="AD20" s="372">
        <f t="shared" ref="AD20:AJ20" si="9">AD18+AD19</f>
        <v>0</v>
      </c>
      <c r="AE20" s="372">
        <f t="shared" si="9"/>
        <v>21.941078015793636</v>
      </c>
      <c r="AF20" s="372">
        <f t="shared" si="9"/>
        <v>6.8006381174880559E-2</v>
      </c>
      <c r="AG20" s="372">
        <f t="shared" si="9"/>
        <v>51.441839764697114</v>
      </c>
      <c r="AH20" s="372">
        <f t="shared" si="9"/>
        <v>4741.5624080911675</v>
      </c>
      <c r="AI20" s="372">
        <f t="shared" si="9"/>
        <v>608.08828249702458</v>
      </c>
      <c r="AJ20" s="372">
        <f t="shared" si="9"/>
        <v>0</v>
      </c>
      <c r="AS20" s="269"/>
      <c r="AV20" s="17"/>
      <c r="AW20" s="17"/>
      <c r="AX20" s="17"/>
      <c r="AY20" s="17"/>
      <c r="AZ20" s="17"/>
      <c r="BA20" s="17"/>
      <c r="BB20" s="17"/>
      <c r="BC20" s="18"/>
      <c r="BG20" s="269" t="s">
        <v>2506</v>
      </c>
      <c r="BH20" s="365" t="s">
        <v>1294</v>
      </c>
      <c r="BI20" s="365" t="s">
        <v>1888</v>
      </c>
      <c r="BJ20" s="372">
        <f>IFERROR(VLOOKUP($BG20,flows!$A$2:$J$4985,BJ$2,FALSE),0)</f>
        <v>417.1621725102757</v>
      </c>
      <c r="BK20" s="372">
        <f>IFERROR(VLOOKUP($BG20,flows!$A$2:$J$4985,BK$2,FALSE),0)</f>
        <v>4728.8099335259121</v>
      </c>
      <c r="BL20" s="372">
        <f>IFERROR(VLOOKUP($BG20,flows!$A$2:$J$4985,BL$2,FALSE),0)</f>
        <v>5098.9748693461806</v>
      </c>
      <c r="BM20" s="372">
        <f>IFERROR(VLOOKUP($BG20,flows!$A$2:$J$4985,BM$2,FALSE),0)</f>
        <v>4840.9832237626997</v>
      </c>
      <c r="BN20" s="372">
        <f>IFERROR(VLOOKUP($BG20,flows!$A$2:$J$4985,BN$2,FALSE),0)</f>
        <v>3913.3668586420372</v>
      </c>
      <c r="BO20" s="372">
        <f>IFERROR(VLOOKUP($BG20,flows!$A$2:$J$4985,BO$2,FALSE),0)</f>
        <v>1617.6887541839869</v>
      </c>
      <c r="BP20" s="372">
        <f>IFERROR(VLOOKUP($BG20,flows!$A$2:$J$4985,BP$2,FALSE),0)</f>
        <v>417.15776904645571</v>
      </c>
      <c r="BQ20" s="372">
        <f>IFERROR(VLOOKUP($BG20,flows!$A$2:$J$4985,BQ$2,FALSE),0)</f>
        <v>0</v>
      </c>
      <c r="BU20" s="269" t="s">
        <v>2686</v>
      </c>
      <c r="BX20" s="372">
        <f>IFERROR(VLOOKUP($BU20,flows!$A$2:$J$4985,BX$2,FALSE),0)</f>
        <v>5109.0805212861833</v>
      </c>
      <c r="BY20" s="372">
        <f>IFERROR(VLOOKUP($BU20,flows!$A$2:$J$4985,BY$2,FALSE),0)</f>
        <v>2747.9524313497768</v>
      </c>
      <c r="BZ20" s="372">
        <f>IFERROR(VLOOKUP($BU20,flows!$A$2:$J$4985,BZ$2,FALSE),0)</f>
        <v>2906.5679729771732</v>
      </c>
      <c r="CA20" s="372">
        <f>IFERROR(VLOOKUP($BU20,flows!$A$2:$J$4985,CA$2,FALSE),0)</f>
        <v>3954.5885939112841</v>
      </c>
      <c r="CB20" s="372">
        <f>IFERROR(VLOOKUP($BU20,flows!$A$2:$J$4985,CB$2,FALSE),0)</f>
        <v>4531.0580889957419</v>
      </c>
      <c r="CC20" s="372">
        <f>IFERROR(VLOOKUP($BU20,flows!$A$2:$J$4985,CC$2,FALSE),0)</f>
        <v>4820.1056121851198</v>
      </c>
      <c r="CD20" s="372">
        <f>IFERROR(VLOOKUP($BU20,flows!$A$2:$J$4985,CD$2,FALSE),0)</f>
        <v>5109.103537742988</v>
      </c>
      <c r="CE20" s="372">
        <f>IFERROR(VLOOKUP($BU20,flows!$A$2:$J$4985,CE$2,FALSE),0)</f>
        <v>0</v>
      </c>
      <c r="CH20" s="92" t="s">
        <v>3106</v>
      </c>
      <c r="CI20" s="315"/>
      <c r="CJ20" s="315"/>
      <c r="CK20" s="372">
        <f>IFERROR(VLOOKUP($CH20,flows!$A$2:$J$4985,CK$2,FALSE),0)</f>
        <v>2.592591018694303E-2</v>
      </c>
      <c r="CL20" s="372">
        <f>IFERROR(VLOOKUP($CH20,flows!$A$2:$J$4985,CL$2,FALSE),0)</f>
        <v>157334.65579891609</v>
      </c>
      <c r="CM20" s="372">
        <f>IFERROR(VLOOKUP($CH20,flows!$A$2:$J$4985,CM$2,FALSE),0)</f>
        <v>96287.263839598178</v>
      </c>
      <c r="CN20" s="372">
        <f>IFERROR(VLOOKUP($CH20,flows!$A$2:$J$4985,CN$2,FALSE),0)</f>
        <v>4.4620895479245928E-2</v>
      </c>
      <c r="CO20" s="372">
        <f>IFERROR(VLOOKUP($CH20,flows!$A$2:$J$4985,CO$2,FALSE),0)</f>
        <v>2.551738427011127E-3</v>
      </c>
      <c r="CP20" s="372">
        <f>IFERROR(VLOOKUP($CH20,flows!$A$2:$J$4985,CP$2,FALSE),0)</f>
        <v>7080.0517207808534</v>
      </c>
      <c r="CQ20" s="372">
        <f>IFERROR(VLOOKUP($CH20,flows!$A$2:$J$4985,CQ$2,FALSE),0)</f>
        <v>8.3954647977620253E-5</v>
      </c>
      <c r="CR20" s="372">
        <f>IFERROR(VLOOKUP($CH20,flows!$A$2:$J$4985,CR$2,FALSE),0)</f>
        <v>0</v>
      </c>
      <c r="CT20" s="137"/>
      <c r="CU20" s="137"/>
      <c r="CV20" s="137"/>
      <c r="CW20" s="65">
        <f t="shared" ref="CW20:DD20" si="10">SUM(CW18:CW19)</f>
        <v>6.8875252239394072E-2</v>
      </c>
      <c r="CX20" s="65">
        <f t="shared" si="10"/>
        <v>6.8558213900714859E-7</v>
      </c>
      <c r="CY20" s="65">
        <f t="shared" si="10"/>
        <v>9.5560676467608658</v>
      </c>
      <c r="CZ20" s="65">
        <f t="shared" si="10"/>
        <v>1.5470260302091487E-2</v>
      </c>
      <c r="DA20" s="65">
        <f t="shared" si="10"/>
        <v>263.7767557150064</v>
      </c>
      <c r="DB20" s="65">
        <f t="shared" si="10"/>
        <v>263.85616874742919</v>
      </c>
      <c r="DC20" s="65">
        <f t="shared" si="10"/>
        <v>263.85622941626144</v>
      </c>
      <c r="DD20" s="65">
        <f t="shared" si="10"/>
        <v>0</v>
      </c>
      <c r="DG20" s="134" t="s">
        <v>3951</v>
      </c>
      <c r="DH20" s="92"/>
      <c r="DI20" s="92"/>
      <c r="DJ20" s="92">
        <f>IFERROR(VLOOKUP($DG20,flows!$A$2:$J$4985,DJ$2,FALSE),0)</f>
        <v>2077.9778636858218</v>
      </c>
      <c r="DK20" s="92">
        <f>IFERROR(VLOOKUP($DG20,flows!$A$2:$J$4985,DK$2,FALSE),0)</f>
        <v>1610.9986355314279</v>
      </c>
      <c r="DL20" s="92">
        <f>IFERROR(VLOOKUP($DG20,flows!$A$2:$J$4985,DL$2,FALSE),0)</f>
        <v>1704.368934153282</v>
      </c>
      <c r="DM20" s="92">
        <f>IFERROR(VLOOKUP($DG20,flows!$A$2:$J$4985,DM$2,FALSE),0)</f>
        <v>1797.796656933142</v>
      </c>
      <c r="DN20" s="92">
        <f>IFERROR(VLOOKUP($DG20,flows!$A$2:$J$4985,DN$2,FALSE),0)</f>
        <v>1891.199019443724</v>
      </c>
      <c r="DO20" s="92">
        <f>IFERROR(VLOOKUP($DG20,flows!$A$2:$J$4985,DO$2,FALSE),0)</f>
        <v>1984.5998335744371</v>
      </c>
      <c r="DP20" s="92">
        <f>IFERROR(VLOOKUP($DG20,flows!$A$2:$J$4985,DP$2,FALSE),0)</f>
        <v>2077.9999166607658</v>
      </c>
      <c r="DQ20" s="93">
        <f>IFERROR(VLOOKUP($DG20,flows!$A$2:$J$4985,DQ$2,FALSE),0)</f>
        <v>0</v>
      </c>
      <c r="DS20" s="460">
        <f t="shared" ref="DS20:DY20" si="11">DK28/DK16</f>
        <v>1.2142135685199997</v>
      </c>
      <c r="DT20" s="460">
        <f t="shared" si="11"/>
        <v>1.2142135685199997</v>
      </c>
      <c r="DU20" s="460">
        <f t="shared" si="11"/>
        <v>1.2142135685199997</v>
      </c>
      <c r="DV20" s="460">
        <f t="shared" si="11"/>
        <v>1.2142135685199997</v>
      </c>
      <c r="DW20" s="460">
        <f t="shared" si="11"/>
        <v>1.2142135685199997</v>
      </c>
      <c r="DX20" s="460">
        <f t="shared" si="11"/>
        <v>1.2142135685199995</v>
      </c>
      <c r="DY20" s="460" t="e">
        <f t="shared" si="11"/>
        <v>#DIV/0!</v>
      </c>
      <c r="DZ20" s="460"/>
      <c r="EA20" s="460"/>
    </row>
    <row r="21" spans="2:131" ht="15" thickBot="1" x14ac:dyDescent="0.4">
      <c r="B21" s="269" t="s">
        <v>2496</v>
      </c>
      <c r="C21" s="315"/>
      <c r="D21" s="315"/>
      <c r="E21" s="346">
        <f>IFERROR(VLOOKUP($B21,flows!$A$2:$J$4985,E$2,FALSE),0)</f>
        <v>2.5681816478003452E-3</v>
      </c>
      <c r="F21" s="346">
        <f>IFERROR(VLOOKUP($B21,flows!$A$2:$J$4985,F$2,FALSE),0)</f>
        <v>0</v>
      </c>
      <c r="G21" s="346">
        <f>IFERROR(VLOOKUP($B21,flows!$A$2:$J$4985,G$2,FALSE),0)</f>
        <v>0.28801157532834187</v>
      </c>
      <c r="H21" s="346">
        <f>IFERROR(VLOOKUP($B21,flows!$A$2:$J$4985,H$2,FALSE),0)</f>
        <v>1.031309964235345E-4</v>
      </c>
      <c r="I21" s="346">
        <f>IFERROR(VLOOKUP($B21,flows!$A$2:$J$4985,I$2,FALSE),0)</f>
        <v>2.8806912517132649E-5</v>
      </c>
      <c r="J21" s="346">
        <f>IFERROR(VLOOKUP($B21,flows!$A$2:$J$4985,J$2,FALSE),0)</f>
        <v>4.0694767006365541E-6</v>
      </c>
      <c r="K21" s="346">
        <f>IFERROR(VLOOKUP($B21,flows!$A$2:$J$4985,K$2,FALSE),0)</f>
        <v>4.7567494308064657E-6</v>
      </c>
      <c r="L21" s="336">
        <f>IFERROR(VLOOKUP($B21,flows!$A$2:$J$4985,L$2,FALSE),0)</f>
        <v>0</v>
      </c>
      <c r="Z21" s="374" t="s">
        <v>4158</v>
      </c>
      <c r="AA21" s="137" t="s">
        <v>4191</v>
      </c>
      <c r="AB21" s="137" t="s">
        <v>4195</v>
      </c>
      <c r="AC21" s="346">
        <f>IFERROR(VLOOKUP($Z21,flows!$A$2:$J$4985,AC$2,FALSE),0)</f>
        <v>3.3333921292156561E-3</v>
      </c>
      <c r="AD21" s="346">
        <f>IFERROR(VLOOKUP($Z21,flows!$A$2:$J$4985,AD$2,FALSE),0)</f>
        <v>0</v>
      </c>
      <c r="AE21" s="346">
        <f>IFERROR(VLOOKUP($Z21,flows!$A$2:$J$4985,AE$2,FALSE),0)</f>
        <v>4.8277574227343996</v>
      </c>
      <c r="AF21" s="346">
        <f>IFERROR(VLOOKUP($Z21,flows!$A$2:$J$4985,AF$2,FALSE),0)</f>
        <v>4.155900925756688E-3</v>
      </c>
      <c r="AG21" s="346">
        <f>IFERROR(VLOOKUP($Z21,flows!$A$2:$J$4985,AG$2,FALSE),0)</f>
        <v>1.392860698324422E-3</v>
      </c>
      <c r="AH21" s="346">
        <f>IFERROR(VLOOKUP($Z21,flows!$A$2:$J$4985,AH$2,FALSE),0)</f>
        <v>5.1314959235938145E-4</v>
      </c>
      <c r="AI21" s="346">
        <f>IFERROR(VLOOKUP($Z21,flows!$A$2:$J$4985,AI$2,FALSE),0)</f>
        <v>2.343762642012608E-5</v>
      </c>
      <c r="AJ21" s="346">
        <f>IFERROR(VLOOKUP($Z21,flows!$A$2:$J$4985,AJ$2,FALSE),0)</f>
        <v>0</v>
      </c>
      <c r="AS21" s="269"/>
      <c r="AU21" s="371"/>
      <c r="AV21" s="17"/>
      <c r="AW21" s="17"/>
      <c r="AX21" s="17"/>
      <c r="AY21" s="17"/>
      <c r="AZ21" s="17"/>
      <c r="BA21" s="17"/>
      <c r="BB21" s="17"/>
      <c r="BC21" s="18"/>
      <c r="BG21" s="269" t="s">
        <v>4146</v>
      </c>
      <c r="BH21" s="371" t="s">
        <v>1160</v>
      </c>
      <c r="BI21" s="371" t="s">
        <v>1815</v>
      </c>
      <c r="BJ21" s="372">
        <f>IFERROR(VLOOKUP($BG21,flows!$A$2:$J$4985,BJ$2,FALSE),0)</f>
        <v>26.625547887702041</v>
      </c>
      <c r="BK21" s="372">
        <f>IFERROR(VLOOKUP($BG21,flows!$A$2:$J$4985,BK$2,FALSE),0)</f>
        <v>0</v>
      </c>
      <c r="BL21" s="372">
        <f>IFERROR(VLOOKUP($BG21,flows!$A$2:$J$4985,BL$2,FALSE),0)</f>
        <v>0.54333152698231624</v>
      </c>
      <c r="BM21" s="372">
        <f>IFERROR(VLOOKUP($BG21,flows!$A$2:$J$4985,BM$2,FALSE),0)</f>
        <v>6.8036625943153559E-3</v>
      </c>
      <c r="BN21" s="372">
        <f>IFERROR(VLOOKUP($BG21,flows!$A$2:$J$4985,BN$2,FALSE),0)</f>
        <v>8.3131897570195132</v>
      </c>
      <c r="BO21" s="372">
        <f>IFERROR(VLOOKUP($BG21,flows!$A$2:$J$4985,BO$2,FALSE),0)</f>
        <v>103.25671176038399</v>
      </c>
      <c r="BP21" s="372">
        <f>IFERROR(VLOOKUP($BG21,flows!$A$2:$J$4985,BP$2,FALSE),0)</f>
        <v>26.627084695426539</v>
      </c>
      <c r="BQ21" s="372">
        <f>IFERROR(VLOOKUP($BG21,flows!$A$2:$J$4985,BQ$2,FALSE),0)</f>
        <v>0</v>
      </c>
      <c r="BU21" s="269" t="s">
        <v>2687</v>
      </c>
      <c r="BW21" s="371"/>
      <c r="BX21" s="372">
        <f>IFERROR(VLOOKUP($BU21,flows!$A$2:$J$4985,BX$2,FALSE),0)</f>
        <v>2.3326701064104921E-2</v>
      </c>
      <c r="BY21" s="372">
        <f>IFERROR(VLOOKUP($BU21,flows!$A$2:$J$4985,BY$2,FALSE),0)</f>
        <v>915.98414334898348</v>
      </c>
      <c r="BZ21" s="372">
        <f>IFERROR(VLOOKUP($BU21,flows!$A$2:$J$4985,BZ$2,FALSE),0)</f>
        <v>968.30234120496868</v>
      </c>
      <c r="CA21" s="372">
        <f>IFERROR(VLOOKUP($BU21,flows!$A$2:$J$4985,CA$2,FALSE),0)</f>
        <v>287.42701121023248</v>
      </c>
      <c r="CB21" s="372">
        <f>IFERROR(VLOOKUP($BU21,flows!$A$2:$J$4985,CB$2,FALSE),0)</f>
        <v>2.7139633108424531E-3</v>
      </c>
      <c r="CC21" s="372">
        <f>IFERROR(VLOOKUP($BU21,flows!$A$2:$J$4985,CC$2,FALSE),0)</f>
        <v>3.879646583463827E-4</v>
      </c>
      <c r="CD21" s="372">
        <f>IFERROR(VLOOKUP($BU21,flows!$A$2:$J$4985,CD$2,FALSE),0)</f>
        <v>2.6241100384600098E-4</v>
      </c>
      <c r="CE21" s="372">
        <f>IFERROR(VLOOKUP($BU21,flows!$A$2:$J$4985,CE$2,FALSE),0)</f>
        <v>0</v>
      </c>
      <c r="CH21" s="92" t="s">
        <v>3108</v>
      </c>
      <c r="CI21" s="315"/>
      <c r="CJ21" s="315"/>
      <c r="CK21" s="372">
        <f>IFERROR(VLOOKUP($CH21,flows!$A$2:$J$4985,CK$2,FALSE),0)</f>
        <v>8.1011738179170373E-2</v>
      </c>
      <c r="CL21" s="372">
        <f>IFERROR(VLOOKUP($CH21,flows!$A$2:$J$4985,CL$2,FALSE),0)</f>
        <v>191713.8177295904</v>
      </c>
      <c r="CM21" s="372">
        <f>IFERROR(VLOOKUP($CH21,flows!$A$2:$J$4985,CM$2,FALSE),0)</f>
        <v>202199.0249673615</v>
      </c>
      <c r="CN21" s="372">
        <f>IFERROR(VLOOKUP($CH21,flows!$A$2:$J$4985,CN$2,FALSE),0)</f>
        <v>180775.4606629505</v>
      </c>
      <c r="CO21" s="372">
        <f>IFERROR(VLOOKUP($CH21,flows!$A$2:$J$4985,CO$2,FALSE),0)</f>
        <v>137327.72704504861</v>
      </c>
      <c r="CP21" s="372">
        <f>IFERROR(VLOOKUP($CH21,flows!$A$2:$J$4985,CP$2,FALSE),0)</f>
        <v>42645.73330806983</v>
      </c>
      <c r="CQ21" s="372">
        <f>IFERROR(VLOOKUP($CH21,flows!$A$2:$J$4985,CQ$2,FALSE),0)</f>
        <v>3.6643828087567349E-4</v>
      </c>
      <c r="CR21" s="372">
        <f>IFERROR(VLOOKUP($CH21,flows!$A$2:$J$4985,CR$2,FALSE),0)</f>
        <v>0</v>
      </c>
      <c r="CT21" s="488" t="s">
        <v>3117</v>
      </c>
      <c r="CU21" s="488"/>
      <c r="CV21" s="488" t="s">
        <v>3063</v>
      </c>
      <c r="CW21" s="489">
        <f>IFERROR(VLOOKUP($CT21,flows!$A$2:$J$4985,CW$2,FALSE),0)</f>
        <v>0.1155585484241158</v>
      </c>
      <c r="CX21" s="489">
        <f>IFERROR(VLOOKUP($CT21,flows!$A$2:$J$4985,CX$2,FALSE),0)</f>
        <v>91013.380386003788</v>
      </c>
      <c r="CY21" s="489">
        <f>IFERROR(VLOOKUP($CT21,flows!$A$2:$J$4985,CY$2,FALSE),0)</f>
        <v>100539.1631226145</v>
      </c>
      <c r="CZ21" s="489">
        <f>IFERROR(VLOOKUP($CT21,flows!$A$2:$J$4985,CZ$2,FALSE),0)</f>
        <v>102124.9063506004</v>
      </c>
      <c r="DA21" s="489">
        <f>IFERROR(VLOOKUP($CT21,flows!$A$2:$J$4985,DA$2,FALSE),0)</f>
        <v>89928.520028104555</v>
      </c>
      <c r="DB21" s="489">
        <f>IFERROR(VLOOKUP($CT21,flows!$A$2:$J$4985,DB$2,FALSE),0)</f>
        <v>29875.562534633089</v>
      </c>
      <c r="DC21" s="489">
        <f>IFERROR(VLOOKUP($CT21,flows!$A$2:$J$4985,DC$2,FALSE),0)</f>
        <v>5.1056187386604862E-4</v>
      </c>
      <c r="DD21" s="489">
        <f>IFERROR(VLOOKUP($CT21,flows!$A$2:$J$4985,DD$2,FALSE),0)</f>
        <v>0</v>
      </c>
      <c r="DG21" s="134" t="s">
        <v>3953</v>
      </c>
      <c r="DH21" s="92"/>
      <c r="DI21" s="92"/>
      <c r="DJ21" s="92">
        <f>IFERROR(VLOOKUP($DG21,flows!$A$2:$J$4985,DJ$2,FALSE),0)</f>
        <v>2.216091977957009E-2</v>
      </c>
      <c r="DK21" s="92">
        <f>IFERROR(VLOOKUP($DG21,flows!$A$2:$J$4985,DK$2,FALSE),0)</f>
        <v>1.419013164365151E-3</v>
      </c>
      <c r="DL21" s="92">
        <f>IFERROR(VLOOKUP($DG21,flows!$A$2:$J$4985,DL$2,FALSE),0)</f>
        <v>3.2372773838057887E-2</v>
      </c>
      <c r="DM21" s="92">
        <f>IFERROR(VLOOKUP($DG21,flows!$A$2:$J$4985,DM$2,FALSE),0)</f>
        <v>3.3457407794595562E-3</v>
      </c>
      <c r="DN21" s="92">
        <f>IFERROR(VLOOKUP($DG21,flows!$A$2:$J$4985,DN$2,FALSE),0)</f>
        <v>9.8209466831510484E-4</v>
      </c>
      <c r="DO21" s="92">
        <f>IFERROR(VLOOKUP($DG21,flows!$A$2:$J$4985,DO$2,FALSE),0)</f>
        <v>1.6650082858824089E-4</v>
      </c>
      <c r="DP21" s="92">
        <f>IFERROR(VLOOKUP($DG21,flows!$A$2:$J$4985,DP$2,FALSE),0)</f>
        <v>8.3418110322730938E-5</v>
      </c>
      <c r="DQ21" s="93">
        <f>IFERROR(VLOOKUP($DG21,flows!$A$2:$J$4985,DQ$2,FALSE),0)</f>
        <v>0</v>
      </c>
      <c r="DS21" s="460">
        <f t="shared" ref="DS21:DY21" si="12">DK29/DK18</f>
        <v>1.2142135685199995</v>
      </c>
      <c r="DT21" s="460">
        <f t="shared" si="12"/>
        <v>1.2142135685199997</v>
      </c>
      <c r="DU21" s="460">
        <f t="shared" si="12"/>
        <v>1.2142135685199997</v>
      </c>
      <c r="DV21" s="460">
        <f t="shared" si="12"/>
        <v>1.2142135685199997</v>
      </c>
      <c r="DW21" s="460">
        <f t="shared" si="12"/>
        <v>1.2142135685199997</v>
      </c>
      <c r="DX21" s="460">
        <f t="shared" si="12"/>
        <v>1.2142135685199997</v>
      </c>
      <c r="DY21" s="460" t="e">
        <f t="shared" si="12"/>
        <v>#DIV/0!</v>
      </c>
      <c r="DZ21" s="460"/>
      <c r="EA21" s="460"/>
    </row>
    <row r="22" spans="2:131" ht="15" thickBot="1" x14ac:dyDescent="0.4">
      <c r="B22" s="269" t="s">
        <v>2508</v>
      </c>
      <c r="C22" s="315"/>
      <c r="D22" s="315"/>
      <c r="E22" s="346">
        <f>IFERROR(VLOOKUP($B22,flows!$A$2:$J$4985,E$2,FALSE),0)</f>
        <v>5.0351467247756167E-2</v>
      </c>
      <c r="F22" s="346">
        <f>IFERROR(VLOOKUP($B22,flows!$A$2:$J$4985,F$2,FALSE),0)</f>
        <v>0</v>
      </c>
      <c r="G22" s="346">
        <f>IFERROR(VLOOKUP($B22,flows!$A$2:$J$4985,G$2,FALSE),0)</f>
        <v>5.646721062172726</v>
      </c>
      <c r="H22" s="346">
        <f>IFERROR(VLOOKUP($B22,flows!$A$2:$J$4985,H$2,FALSE),0)</f>
        <v>2.0219741828214149E-3</v>
      </c>
      <c r="I22" s="346">
        <f>IFERROR(VLOOKUP($B22,flows!$A$2:$J$4985,I$2,FALSE),0)</f>
        <v>5.6478493776237115E-4</v>
      </c>
      <c r="J22" s="346">
        <f>IFERROR(VLOOKUP($B22,flows!$A$2:$J$4985,J$2,FALSE),0)</f>
        <v>7.9785681430715507E-5</v>
      </c>
      <c r="K22" s="346">
        <f>IFERROR(VLOOKUP($B22,flows!$A$2:$J$4985,K$2,FALSE),0)</f>
        <v>9.3260269722811467E-5</v>
      </c>
      <c r="L22" s="336">
        <f>IFERROR(VLOOKUP($B22,flows!$A$2:$J$4985,L$2,FALSE),0)</f>
        <v>0</v>
      </c>
      <c r="Z22" s="374" t="s">
        <v>4161</v>
      </c>
      <c r="AA22" s="137" t="s">
        <v>4192</v>
      </c>
      <c r="AB22" s="137" t="s">
        <v>4196</v>
      </c>
      <c r="AC22" s="346">
        <f>IFERROR(VLOOKUP($Z22,flows!$A$2:$J$4985,AC$2,FALSE),0)</f>
        <v>239.62993098931841</v>
      </c>
      <c r="AD22" s="346">
        <f>IFERROR(VLOOKUP($Z22,flows!$A$2:$J$4985,AD$2,FALSE),0)</f>
        <v>0</v>
      </c>
      <c r="AE22" s="346">
        <f>IFERROR(VLOOKUP($Z22,flows!$A$2:$J$4985,AE$2,FALSE),0)</f>
        <v>4.8899837428408448</v>
      </c>
      <c r="AF22" s="346">
        <f>IFERROR(VLOOKUP($Z22,flows!$A$2:$J$4985,AF$2,FALSE),0)</f>
        <v>6.1232963348838182E-2</v>
      </c>
      <c r="AG22" s="346">
        <f>IFERROR(VLOOKUP($Z22,flows!$A$2:$J$4985,AG$2,FALSE),0)</f>
        <v>74.818707813175592</v>
      </c>
      <c r="AH22" s="346">
        <f>IFERROR(VLOOKUP($Z22,flows!$A$2:$J$4985,AH$2,FALSE),0)</f>
        <v>929.3104058434559</v>
      </c>
      <c r="AI22" s="346">
        <f>IFERROR(VLOOKUP($Z22,flows!$A$2:$J$4985,AI$2,FALSE),0)</f>
        <v>239.64376225883879</v>
      </c>
      <c r="AJ22" s="346">
        <f>IFERROR(VLOOKUP($Z22,flows!$A$2:$J$4985,AJ$2,FALSE),0)</f>
        <v>0</v>
      </c>
      <c r="AS22" s="269"/>
      <c r="AU22" s="371"/>
      <c r="AV22" s="17"/>
      <c r="AW22" s="17"/>
      <c r="AX22" s="17"/>
      <c r="AY22" s="17"/>
      <c r="AZ22" s="17"/>
      <c r="BA22" s="17"/>
      <c r="BB22" s="17"/>
      <c r="BC22" s="18"/>
      <c r="BG22" s="269" t="s">
        <v>4151</v>
      </c>
      <c r="BH22" s="371" t="s">
        <v>1294</v>
      </c>
      <c r="BI22" s="371" t="s">
        <v>1888</v>
      </c>
      <c r="BJ22" s="372">
        <f>IFERROR(VLOOKUP($BG22,flows!$A$2:$J$4985,BJ$2,FALSE),0)</f>
        <v>0.65994947755842648</v>
      </c>
      <c r="BK22" s="372">
        <f>IFERROR(VLOOKUP($BG22,flows!$A$2:$J$4985,BK$2,FALSE),0)</f>
        <v>0</v>
      </c>
      <c r="BL22" s="372">
        <f>IFERROR(VLOOKUP($BG22,flows!$A$2:$J$4985,BL$2,FALSE),0)</f>
        <v>1.3467191694433471E-2</v>
      </c>
      <c r="BM22" s="372">
        <f>IFERROR(VLOOKUP($BG22,flows!$A$2:$J$4985,BM$2,FALSE),0)</f>
        <v>1.6863779079926951E-4</v>
      </c>
      <c r="BN22" s="372">
        <f>IFERROR(VLOOKUP($BG22,flows!$A$2:$J$4985,BN$2,FALSE),0)</f>
        <v>0.206053421327834</v>
      </c>
      <c r="BO22" s="372">
        <f>IFERROR(VLOOKUP($BG22,flows!$A$2:$J$4985,BO$2,FALSE),0)</f>
        <v>2.559354394060799</v>
      </c>
      <c r="BP22" s="372">
        <f>IFERROR(VLOOKUP($BG22,flows!$A$2:$J$4985,BP$2,FALSE),0)</f>
        <v>0.65998756937382008</v>
      </c>
      <c r="BQ22" s="372">
        <f>IFERROR(VLOOKUP($BG22,flows!$A$2:$J$4985,BQ$2,FALSE),0)</f>
        <v>0</v>
      </c>
      <c r="BU22" s="269"/>
      <c r="BV22" s="365" t="s">
        <v>1162</v>
      </c>
      <c r="BW22" s="371"/>
      <c r="BX22" s="346">
        <f>SUM(BX20:BX21)</f>
        <v>5109.1038479872477</v>
      </c>
      <c r="BY22" s="346">
        <f t="shared" ref="BY22:CE22" si="13">SUM(BY20:BY21)</f>
        <v>3663.9365746987605</v>
      </c>
      <c r="BZ22" s="346">
        <f t="shared" si="13"/>
        <v>3874.870314182142</v>
      </c>
      <c r="CA22" s="346">
        <f t="shared" si="13"/>
        <v>4242.0156051215163</v>
      </c>
      <c r="CB22" s="346">
        <f t="shared" si="13"/>
        <v>4531.060802959053</v>
      </c>
      <c r="CC22" s="346">
        <f t="shared" si="13"/>
        <v>4820.1060001497781</v>
      </c>
      <c r="CD22" s="346">
        <f t="shared" si="13"/>
        <v>5109.1038001539919</v>
      </c>
      <c r="CE22" s="346">
        <f t="shared" si="13"/>
        <v>0</v>
      </c>
      <c r="CH22" s="92" t="s">
        <v>3110</v>
      </c>
      <c r="CI22" s="315"/>
      <c r="CJ22" s="315"/>
      <c r="CK22" s="372">
        <f>IFERROR(VLOOKUP($CH22,flows!$A$2:$J$4985,CK$2,FALSE),0)</f>
        <v>1.6657790578894809E-2</v>
      </c>
      <c r="CL22" s="372">
        <f>IFERROR(VLOOKUP($CH22,flows!$A$2:$J$4985,CL$2,FALSE),0)</f>
        <v>9.0789428520529888E-2</v>
      </c>
      <c r="CM22" s="372">
        <f>IFERROR(VLOOKUP($CH22,flows!$A$2:$J$4985,CM$2,FALSE),0)</f>
        <v>2.0220027355711832</v>
      </c>
      <c r="CN22" s="372">
        <f>IFERROR(VLOOKUP($CH22,flows!$A$2:$J$4985,CN$2,FALSE),0)</f>
        <v>2.7948491748514231E-3</v>
      </c>
      <c r="CO22" s="372">
        <f>IFERROR(VLOOKUP($CH22,flows!$A$2:$J$4985,CO$2,FALSE),0)</f>
        <v>1.027448653262746E-3</v>
      </c>
      <c r="CP22" s="372">
        <f>IFERROR(VLOOKUP($CH22,flows!$A$2:$J$4985,CP$2,FALSE),0)</f>
        <v>2.5215458539307802E-4</v>
      </c>
      <c r="CQ22" s="372">
        <f>IFERROR(VLOOKUP($CH22,flows!$A$2:$J$4985,CQ$2,FALSE),0)</f>
        <v>5.3604375182528671E-5</v>
      </c>
      <c r="CR22" s="372">
        <f>IFERROR(VLOOKUP($CH22,flows!$A$2:$J$4985,CR$2,FALSE),0)</f>
        <v>0</v>
      </c>
      <c r="CT22" s="488" t="s">
        <v>3118</v>
      </c>
      <c r="CU22" s="488"/>
      <c r="CV22" s="488" t="s">
        <v>3062</v>
      </c>
      <c r="CW22" s="489">
        <f>IFERROR(VLOOKUP($CT22,flows!$A$2:$J$4985,CW$2,FALSE),0)</f>
        <v>4.3298194882618116E-3</v>
      </c>
      <c r="CX22" s="489">
        <f>IFERROR(VLOOKUP($CT22,flows!$A$2:$J$4985,CX$2,FALSE),0)</f>
        <v>230666.83198727321</v>
      </c>
      <c r="CY22" s="489">
        <f>IFERROR(VLOOKUP($CT22,flows!$A$2:$J$4985,CY$2,FALSE),0)</f>
        <v>207014.82635901691</v>
      </c>
      <c r="CZ22" s="489">
        <f>IFERROR(VLOOKUP($CT22,flows!$A$2:$J$4985,CZ$2,FALSE),0)</f>
        <v>134273.79340214681</v>
      </c>
      <c r="DA22" s="489">
        <f>IFERROR(VLOOKUP($CT22,flows!$A$2:$J$4985,DA$2,FALSE),0)</f>
        <v>89653.894464600642</v>
      </c>
      <c r="DB22" s="489">
        <f>IFERROR(VLOOKUP($CT22,flows!$A$2:$J$4985,DB$2,FALSE),0)</f>
        <v>29038.62465491928</v>
      </c>
      <c r="DC22" s="489">
        <f>IFERROR(VLOOKUP($CT22,flows!$A$2:$J$4985,DC$2,FALSE),0)</f>
        <v>1.5213275054950291E-5</v>
      </c>
      <c r="DD22" s="489">
        <f>IFERROR(VLOOKUP($CT22,flows!$A$2:$J$4985,DD$2,FALSE),0)</f>
        <v>0</v>
      </c>
      <c r="DG22" s="134" t="s">
        <v>3963</v>
      </c>
      <c r="DH22" s="92"/>
      <c r="DI22" s="92"/>
      <c r="DJ22" s="92">
        <f>IFERROR(VLOOKUP($DG22,flows!$A$2:$J$4985,DJ$2,FALSE),0)</f>
        <v>5107.8911923760515</v>
      </c>
      <c r="DK22" s="92">
        <f>IFERROR(VLOOKUP($DG22,flows!$A$2:$J$4985,DK$2,FALSE),0)</f>
        <v>3959.9995231277971</v>
      </c>
      <c r="DL22" s="92">
        <f>IFERROR(VLOOKUP($DG22,flows!$A$2:$J$4985,DL$2,FALSE),0)</f>
        <v>4189.5890814332424</v>
      </c>
      <c r="DM22" s="92">
        <f>IFERROR(VLOOKUP($DG22,flows!$A$2:$J$4985,DM$2,FALSE),0)</f>
        <v>4419.198708912606</v>
      </c>
      <c r="DN22" s="92">
        <f>IFERROR(VLOOKUP($DG22,flows!$A$2:$J$4985,DN$2,FALSE),0)</f>
        <v>4648.7496167167083</v>
      </c>
      <c r="DO22" s="92">
        <f>IFERROR(VLOOKUP($DG22,flows!$A$2:$J$4985,DO$2,FALSE),0)</f>
        <v>4878.299934468876</v>
      </c>
      <c r="DP22" s="92">
        <f>IFERROR(VLOOKUP($DG22,flows!$A$2:$J$4985,DP$2,FALSE),0)</f>
        <v>5107.8999669185341</v>
      </c>
      <c r="DQ22" s="93">
        <f>IFERROR(VLOOKUP($DG22,flows!$A$2:$J$4985,DQ$2,FALSE),0)</f>
        <v>0</v>
      </c>
      <c r="DS22" s="460">
        <f t="shared" ref="DS22:DY22" si="14">DK30/DK20</f>
        <v>1.2142135685199995</v>
      </c>
      <c r="DT22" s="460">
        <f t="shared" si="14"/>
        <v>1.2142135685199997</v>
      </c>
      <c r="DU22" s="460">
        <f t="shared" si="14"/>
        <v>1.2142135685199997</v>
      </c>
      <c r="DV22" s="460">
        <f t="shared" si="14"/>
        <v>1.2142135685199995</v>
      </c>
      <c r="DW22" s="460">
        <f t="shared" si="14"/>
        <v>1.2142135685199993</v>
      </c>
      <c r="DX22" s="460">
        <f t="shared" si="14"/>
        <v>1.21421356852</v>
      </c>
      <c r="DY22" s="460" t="e">
        <f t="shared" si="14"/>
        <v>#DIV/0!</v>
      </c>
      <c r="DZ22" s="460"/>
      <c r="EA22" s="460"/>
    </row>
    <row r="23" spans="2:131" ht="15" thickBot="1" x14ac:dyDescent="0.4">
      <c r="B23" s="269" t="s">
        <v>2502</v>
      </c>
      <c r="C23" s="315"/>
      <c r="D23" s="315"/>
      <c r="E23" s="346">
        <f>IFERROR(VLOOKUP($B23,flows!$A$2:$J$4985,E$2,FALSE),0)</f>
        <v>104511.4136197503</v>
      </c>
      <c r="F23" s="346">
        <f>IFERROR(VLOOKUP($B23,flows!$A$2:$J$4985,F$2,FALSE),0)</f>
        <v>0</v>
      </c>
      <c r="G23" s="346">
        <f>IFERROR(VLOOKUP($B23,flows!$A$2:$J$4985,G$2,FALSE),0)</f>
        <v>3.10998941178803</v>
      </c>
      <c r="H23" s="346">
        <f>IFERROR(VLOOKUP($B23,flows!$A$2:$J$4985,H$2,FALSE),0)</f>
        <v>1.717662760262742E-2</v>
      </c>
      <c r="I23" s="346">
        <f>IFERROR(VLOOKUP($B23,flows!$A$2:$J$4985,I$2,FALSE),0)</f>
        <v>1.8831213207467921E-2</v>
      </c>
      <c r="J23" s="346">
        <f>IFERROR(VLOOKUP($B23,flows!$A$2:$J$4985,J$2,FALSE),0)</f>
        <v>1.3604642614255839E-3</v>
      </c>
      <c r="K23" s="346">
        <f>IFERROR(VLOOKUP($B23,flows!$A$2:$J$4985,K$2,FALSE),0)</f>
        <v>104344.81818443909</v>
      </c>
      <c r="L23" s="336">
        <f>IFERROR(VLOOKUP($B23,flows!$A$2:$J$4985,L$2,FALSE),0)</f>
        <v>0</v>
      </c>
      <c r="Z23" s="374" t="s">
        <v>4163</v>
      </c>
      <c r="AA23" s="137" t="s">
        <v>4193</v>
      </c>
      <c r="AB23" s="137" t="s">
        <v>4197</v>
      </c>
      <c r="AC23" s="346">
        <f>IFERROR(VLOOKUP($Z23,flows!$A$2:$J$4985,AC$2,FALSE),0)</f>
        <v>3.685769644221177E-3</v>
      </c>
      <c r="AD23" s="346">
        <f>IFERROR(VLOOKUP($Z23,flows!$A$2:$J$4985,AD$2,FALSE),0)</f>
        <v>0</v>
      </c>
      <c r="AE23" s="346">
        <f>IFERROR(VLOOKUP($Z23,flows!$A$2:$J$4985,AE$2,FALSE),0)</f>
        <v>3.031905815782276</v>
      </c>
      <c r="AF23" s="346">
        <f>IFERROR(VLOOKUP($Z23,flows!$A$2:$J$4985,AF$2,FALSE),0)</f>
        <v>1.4914821732865329E-2</v>
      </c>
      <c r="AG23" s="346">
        <f>IFERROR(VLOOKUP($Z23,flows!$A$2:$J$4985,AG$2,FALSE),0)</f>
        <v>1.010049086545833E-2</v>
      </c>
      <c r="AH23" s="346">
        <f>IFERROR(VLOOKUP($Z23,flows!$A$2:$J$4985,AH$2,FALSE),0)</f>
        <v>14303.82268398787</v>
      </c>
      <c r="AI23" s="346">
        <f>IFERROR(VLOOKUP($Z23,flows!$A$2:$J$4985,AI$2,FALSE),0)</f>
        <v>0.39006263696111398</v>
      </c>
      <c r="AJ23" s="346">
        <f>IFERROR(VLOOKUP($Z23,flows!$A$2:$J$4985,AJ$2,FALSE),0)</f>
        <v>0</v>
      </c>
      <c r="AS23" s="269"/>
      <c r="AV23" s="17"/>
      <c r="AW23" s="17"/>
      <c r="AX23" s="17"/>
      <c r="AY23" s="17"/>
      <c r="AZ23" s="17"/>
      <c r="BA23" s="17"/>
      <c r="BB23" s="17"/>
      <c r="BC23" s="18"/>
      <c r="BG23" s="269"/>
      <c r="BJ23" s="346"/>
      <c r="BK23" s="346"/>
      <c r="BL23" s="346"/>
      <c r="BM23" s="346"/>
      <c r="BN23" s="346"/>
      <c r="BO23" s="346"/>
      <c r="BP23" s="346"/>
      <c r="BQ23" s="346"/>
      <c r="BU23" s="269"/>
      <c r="BX23" s="346"/>
      <c r="BY23" s="346"/>
      <c r="BZ23" s="346"/>
      <c r="CA23" s="346"/>
      <c r="CB23" s="346"/>
      <c r="CC23" s="346"/>
      <c r="CD23" s="346"/>
      <c r="CE23" s="346"/>
      <c r="CI23" s="468" t="s">
        <v>1317</v>
      </c>
      <c r="CJ23" s="315" t="s">
        <v>1317</v>
      </c>
      <c r="CK23" s="372">
        <f>SUM(CK20:CK22)-CK34</f>
        <v>0.12359543894500821</v>
      </c>
      <c r="CL23" s="372">
        <f t="shared" ref="CL23:CR23" si="15">SUM(CL20:CL22)-CL34</f>
        <v>349048.56431793497</v>
      </c>
      <c r="CM23" s="372">
        <f t="shared" si="15"/>
        <v>298488.31080969528</v>
      </c>
      <c r="CN23" s="372">
        <f t="shared" si="15"/>
        <v>180775.50807869513</v>
      </c>
      <c r="CO23" s="372">
        <f t="shared" si="15"/>
        <v>137327.7306242357</v>
      </c>
      <c r="CP23" s="372">
        <f t="shared" si="15"/>
        <v>49725.785281005265</v>
      </c>
      <c r="CQ23" s="372">
        <f t="shared" si="15"/>
        <v>5.039973040358224E-4</v>
      </c>
      <c r="CR23" s="372">
        <f t="shared" si="15"/>
        <v>0</v>
      </c>
      <c r="CT23" s="137"/>
      <c r="CU23" s="137"/>
      <c r="CV23" s="137"/>
      <c r="CW23" s="65">
        <f>SUM(CW21:CW22)</f>
        <v>0.11988836791237761</v>
      </c>
      <c r="CX23" s="65">
        <f t="shared" ref="CX23:DC23" si="16">SUM(CX21:CX22)</f>
        <v>321680.212373277</v>
      </c>
      <c r="CY23" s="65">
        <f t="shared" si="16"/>
        <v>307553.98948163143</v>
      </c>
      <c r="CZ23" s="65">
        <f t="shared" si="16"/>
        <v>236398.6997527472</v>
      </c>
      <c r="DA23" s="65">
        <f t="shared" si="16"/>
        <v>179582.4144927052</v>
      </c>
      <c r="DB23" s="65">
        <f t="shared" si="16"/>
        <v>58914.187189552365</v>
      </c>
      <c r="DC23" s="65">
        <f t="shared" si="16"/>
        <v>5.2577514892099893E-4</v>
      </c>
      <c r="DD23" s="65">
        <f>SUM(DD21:DD22)</f>
        <v>0</v>
      </c>
      <c r="DG23" s="134" t="s">
        <v>3965</v>
      </c>
      <c r="DH23" s="92"/>
      <c r="DI23" s="92"/>
      <c r="DJ23" s="92">
        <f>IFERROR(VLOOKUP($DG23,flows!$A$2:$J$4985,DJ$2,FALSE),0)</f>
        <v>8.832290102057121E-3</v>
      </c>
      <c r="DK23" s="92">
        <f>IFERROR(VLOOKUP($DG23,flows!$A$2:$J$4985,DK$2,FALSE),0)</f>
        <v>5.3519930574164965E-4</v>
      </c>
      <c r="DL23" s="92">
        <f>IFERROR(VLOOKUP($DG23,flows!$A$2:$J$4985,DL$2,FALSE),0)</f>
        <v>1.2334268844543309E-2</v>
      </c>
      <c r="DM23" s="92">
        <f>IFERROR(VLOOKUP($DG23,flows!$A$2:$J$4985,DM$2,FALSE),0)</f>
        <v>1.293765571620689E-3</v>
      </c>
      <c r="DN23" s="92">
        <f>IFERROR(VLOOKUP($DG23,flows!$A$2:$J$4985,DN$2,FALSE),0)</f>
        <v>3.8482599148603031E-4</v>
      </c>
      <c r="DO23" s="92">
        <f>IFERROR(VLOOKUP($DG23,flows!$A$2:$J$4985,DO$2,FALSE),0)</f>
        <v>6.5596820971030158E-5</v>
      </c>
      <c r="DP23" s="92">
        <f>IFERROR(VLOOKUP($DG23,flows!$A$2:$J$4985,DP$2,FALSE),0)</f>
        <v>3.3160342054531368E-5</v>
      </c>
      <c r="DQ23" s="93">
        <f>IFERROR(VLOOKUP($DG23,flows!$A$2:$J$4985,DQ$2,FALSE),0)</f>
        <v>0</v>
      </c>
      <c r="DS23" s="460">
        <f t="shared" ref="DS23:DY23" si="17">DK31/DK22</f>
        <v>1.2142135685199997</v>
      </c>
      <c r="DT23" s="460">
        <f t="shared" si="17"/>
        <v>1.2142135685199997</v>
      </c>
      <c r="DU23" s="460">
        <f t="shared" si="17"/>
        <v>1.2142135685199997</v>
      </c>
      <c r="DV23" s="460">
        <f t="shared" si="17"/>
        <v>1.2142135685199997</v>
      </c>
      <c r="DW23" s="460">
        <f t="shared" si="17"/>
        <v>1.2142135685199997</v>
      </c>
      <c r="DX23" s="460">
        <f t="shared" si="17"/>
        <v>1.2142135685199997</v>
      </c>
      <c r="DY23" s="460" t="e">
        <f t="shared" si="17"/>
        <v>#DIV/0!</v>
      </c>
      <c r="DZ23" s="460"/>
      <c r="EA23" s="460"/>
    </row>
    <row r="24" spans="2:131" x14ac:dyDescent="0.35">
      <c r="B24" s="269" t="s">
        <v>2498</v>
      </c>
      <c r="C24" s="92"/>
      <c r="D24" s="92"/>
      <c r="E24" s="346">
        <f>IFERROR(VLOOKUP($B24,flows!$A$2:$J$4985,E$2,FALSE),0)</f>
        <v>24754.00606815498</v>
      </c>
      <c r="F24" s="346">
        <f>IFERROR(VLOOKUP($B24,flows!$A$2:$J$4985,F$2,FALSE),0)</f>
        <v>0</v>
      </c>
      <c r="G24" s="346">
        <f>IFERROR(VLOOKUP($B24,flows!$A$2:$J$4985,G$2,FALSE),0)</f>
        <v>0.73661520885552578</v>
      </c>
      <c r="H24" s="346">
        <f>IFERROR(VLOOKUP($B24,flows!$A$2:$J$4985,H$2,FALSE),0)</f>
        <v>4.0683627670837098E-3</v>
      </c>
      <c r="I24" s="346">
        <f>IFERROR(VLOOKUP($B24,flows!$A$2:$J$4985,I$2,FALSE),0)</f>
        <v>4.4602589311861507E-3</v>
      </c>
      <c r="J24" s="346">
        <f>IFERROR(VLOOKUP($B24,flows!$A$2:$J$4985,J$2,FALSE),0)</f>
        <v>3.2223217939971192E-4</v>
      </c>
      <c r="K24" s="346">
        <f>IFERROR(VLOOKUP($B24,flows!$A$2:$J$4985,K$2,FALSE),0)</f>
        <v>24714.547177744938</v>
      </c>
      <c r="L24" s="336">
        <f>IFERROR(VLOOKUP($B24,flows!$A$2:$J$4985,L$2,FALSE),0)</f>
        <v>0</v>
      </c>
      <c r="Z24" s="374"/>
      <c r="AA24" s="137" t="s">
        <v>4259</v>
      </c>
      <c r="AB24" s="137" t="s">
        <v>4260</v>
      </c>
      <c r="AC24" s="346" t="e">
        <f>AC23*'Biomasse - Produktion'!D39</f>
        <v>#DIV/0!</v>
      </c>
      <c r="AD24" s="346" t="e">
        <f>AD23*'Biomasse - Produktion'!E39</f>
        <v>#DIV/0!</v>
      </c>
      <c r="AE24" s="346" t="e">
        <f>AE23*'Biomasse - Produktion'!F39</f>
        <v>#DIV/0!</v>
      </c>
      <c r="AF24" s="346" t="e">
        <f>AF23*'Biomasse - Produktion'!G39</f>
        <v>#DIV/0!</v>
      </c>
      <c r="AG24" s="346" t="e">
        <f>AG23*'Biomasse - Produktion'!H39</f>
        <v>#DIV/0!</v>
      </c>
      <c r="AH24" s="346" t="e">
        <f>AH23*'Biomasse - Produktion'!I39</f>
        <v>#DIV/0!</v>
      </c>
      <c r="AI24" s="346" t="e">
        <f>AI23*'Biomasse - Produktion'!J39</f>
        <v>#DIV/0!</v>
      </c>
      <c r="AJ24" s="346">
        <f>AJ23*'Biomasse - Produktion'!K39</f>
        <v>0</v>
      </c>
      <c r="AS24" s="40"/>
      <c r="AT24" s="365" t="s">
        <v>1160</v>
      </c>
      <c r="AU24" s="365" t="s">
        <v>1815</v>
      </c>
      <c r="AV24" s="365">
        <f>AV14+AV17</f>
        <v>40.602864140046123</v>
      </c>
      <c r="AW24" s="365">
        <f t="shared" ref="AW24:BC24" si="18">AW14+AW17</f>
        <v>29.11999995587983</v>
      </c>
      <c r="AX24" s="365">
        <f t="shared" si="18"/>
        <v>31.416182093906446</v>
      </c>
      <c r="AY24" s="365">
        <f t="shared" si="18"/>
        <v>33.71200030138148</v>
      </c>
      <c r="AZ24" s="365">
        <f>AZ14+AZ17</f>
        <v>36.008000173686789</v>
      </c>
      <c r="BA24" s="365">
        <f t="shared" si="18"/>
        <v>38.304000008826982</v>
      </c>
      <c r="BB24" s="365">
        <f t="shared" si="18"/>
        <v>40.602861359396769</v>
      </c>
      <c r="BC24" s="93">
        <f t="shared" si="18"/>
        <v>0</v>
      </c>
      <c r="BG24" s="269"/>
      <c r="BI24" s="371"/>
      <c r="BJ24" s="346"/>
      <c r="BK24" s="346"/>
      <c r="BL24" s="346"/>
      <c r="BM24" s="346"/>
      <c r="BN24" s="346"/>
      <c r="BO24" s="346"/>
      <c r="BP24" s="346"/>
      <c r="BQ24" s="346"/>
      <c r="BU24" s="40"/>
      <c r="BV24" s="365" t="s">
        <v>1160</v>
      </c>
      <c r="BW24" s="365" t="s">
        <v>1815</v>
      </c>
      <c r="BX24" s="365">
        <f t="shared" ref="BX24:CE25" si="19">BX13+BX15</f>
        <v>12664.978770511912</v>
      </c>
      <c r="BY24" s="365">
        <f t="shared" si="19"/>
        <v>9324.1001966026724</v>
      </c>
      <c r="BZ24" s="365">
        <f t="shared" si="19"/>
        <v>9860.7814595245509</v>
      </c>
      <c r="CA24" s="365">
        <f t="shared" si="19"/>
        <v>10591.3432751457</v>
      </c>
      <c r="CB24" s="365">
        <f t="shared" si="19"/>
        <v>11232.06072304283</v>
      </c>
      <c r="CC24" s="365">
        <f t="shared" si="19"/>
        <v>11948.575102682644</v>
      </c>
      <c r="CD24" s="365">
        <f t="shared" si="19"/>
        <v>12664.972569582947</v>
      </c>
      <c r="CE24" s="93">
        <f t="shared" si="19"/>
        <v>0</v>
      </c>
      <c r="CH24" s="92" t="s">
        <v>3107</v>
      </c>
      <c r="CI24" s="468"/>
      <c r="CJ24" s="315"/>
      <c r="CK24" s="372">
        <f>IFERROR(VLOOKUP($CH24,flows!$A$2:$J$4985,CK$2,FALSE),0)</f>
        <v>1.296295509347152E-2</v>
      </c>
      <c r="CL24" s="372">
        <f>IFERROR(VLOOKUP($CH24,flows!$A$2:$J$4985,CL$2,FALSE),0)</f>
        <v>78667.327899458047</v>
      </c>
      <c r="CM24" s="372">
        <f>IFERROR(VLOOKUP($CH24,flows!$A$2:$J$4985,CM$2,FALSE),0)</f>
        <v>48143.631919799089</v>
      </c>
      <c r="CN24" s="372">
        <f>IFERROR(VLOOKUP($CH24,flows!$A$2:$J$4985,CN$2,FALSE),0)</f>
        <v>2.2310447739622961E-2</v>
      </c>
      <c r="CO24" s="372">
        <f>IFERROR(VLOOKUP($CH24,flows!$A$2:$J$4985,CO$2,FALSE),0)</f>
        <v>1.2758692135055631E-3</v>
      </c>
      <c r="CP24" s="372">
        <f>IFERROR(VLOOKUP($CH24,flows!$A$2:$J$4985,CP$2,FALSE),0)</f>
        <v>3540.0258603904272</v>
      </c>
      <c r="CQ24" s="372">
        <f>IFERROR(VLOOKUP($CH24,flows!$A$2:$J$4985,CQ$2,FALSE),0)</f>
        <v>4.1977323988810127E-5</v>
      </c>
      <c r="CR24" s="372">
        <f>IFERROR(VLOOKUP($CH24,flows!$A$2:$J$4985,CR$2,FALSE),0)</f>
        <v>0</v>
      </c>
      <c r="CT24" s="92"/>
      <c r="CU24" s="92"/>
      <c r="CV24" s="92" t="s">
        <v>3065</v>
      </c>
      <c r="CW24" s="461">
        <f t="shared" ref="CW24:DD25" si="20">CW18/CW$20</f>
        <v>0.74151590195651085</v>
      </c>
      <c r="CX24" s="461">
        <f t="shared" si="20"/>
        <v>0</v>
      </c>
      <c r="CY24" s="461">
        <f t="shared" si="20"/>
        <v>0.4489773202877767</v>
      </c>
      <c r="CZ24" s="461">
        <f t="shared" si="20"/>
        <v>0.33058198313070264</v>
      </c>
      <c r="DA24" s="461">
        <f t="shared" si="20"/>
        <v>1.2483452092221973E-5</v>
      </c>
      <c r="DB24" s="461">
        <f t="shared" si="20"/>
        <v>3.2553431574497258E-7</v>
      </c>
      <c r="DC24" s="461">
        <f t="shared" si="20"/>
        <v>0.99999965796486878</v>
      </c>
      <c r="DD24" s="461" t="e">
        <f t="shared" si="20"/>
        <v>#DIV/0!</v>
      </c>
      <c r="DG24" s="134" t="s">
        <v>3959</v>
      </c>
      <c r="DH24" s="92"/>
      <c r="DI24" s="92"/>
      <c r="DJ24" s="92">
        <f>IFERROR(VLOOKUP($DG24,flows!$A$2:$J$4985,DJ$2,FALSE),0)</f>
        <v>1162.1192185656159</v>
      </c>
      <c r="DK24" s="92">
        <f>IFERROR(VLOOKUP($DG24,flows!$A$2:$J$4985,DK$2,FALSE),0)</f>
        <v>900.99792291884364</v>
      </c>
      <c r="DL24" s="92">
        <f>IFERROR(VLOOKUP($DG24,flows!$A$2:$J$4985,DL$2,FALSE),0)</f>
        <v>953.20364442855544</v>
      </c>
      <c r="DM24" s="92">
        <f>IFERROR(VLOOKUP($DG24,flows!$A$2:$J$4985,DM$2,FALSE),0)</f>
        <v>1005.495212312302</v>
      </c>
      <c r="DN24" s="92">
        <f>IFERROR(VLOOKUP($DG24,flows!$A$2:$J$4985,DN$2,FALSE),0)</f>
        <v>1057.698621540701</v>
      </c>
      <c r="DO24" s="92">
        <f>IFERROR(VLOOKUP($DG24,flows!$A$2:$J$4985,DO$2,FALSE),0)</f>
        <v>1109.899770125176</v>
      </c>
      <c r="DP24" s="92">
        <f>IFERROR(VLOOKUP($DG24,flows!$A$2:$J$4985,DP$2,FALSE),0)</f>
        <v>1162.149884044813</v>
      </c>
      <c r="DQ24" s="93">
        <f>IFERROR(VLOOKUP($DG24,flows!$A$2:$J$4985,DQ$2,FALSE),0)</f>
        <v>0</v>
      </c>
      <c r="DS24" s="460">
        <f t="shared" ref="DS24:DY24" si="21">DK32/DK24</f>
        <v>1.21421356852</v>
      </c>
      <c r="DT24" s="460">
        <f t="shared" si="21"/>
        <v>1.2142135685199995</v>
      </c>
      <c r="DU24" s="460">
        <f t="shared" si="21"/>
        <v>1.2142135685199997</v>
      </c>
      <c r="DV24" s="460">
        <f t="shared" si="21"/>
        <v>1.2142135685199995</v>
      </c>
      <c r="DW24" s="460">
        <f t="shared" si="21"/>
        <v>1.2142135685199995</v>
      </c>
      <c r="DX24" s="460">
        <f t="shared" si="21"/>
        <v>1.2142135685199995</v>
      </c>
      <c r="DY24" s="460" t="e">
        <f t="shared" si="21"/>
        <v>#DIV/0!</v>
      </c>
      <c r="DZ24" s="460"/>
      <c r="EA24" s="460"/>
    </row>
    <row r="25" spans="2:131" x14ac:dyDescent="0.35">
      <c r="B25" s="269" t="s">
        <v>2476</v>
      </c>
      <c r="C25" s="92"/>
      <c r="D25" s="315"/>
      <c r="E25" s="346">
        <f>IFERROR(VLOOKUP($B25,flows!$A$2:$J$4985,E$2,FALSE),0)</f>
        <v>0</v>
      </c>
      <c r="F25" s="346">
        <f>IFERROR(VLOOKUP($B25,flows!$A$2:$J$4985,F$2,FALSE),0)</f>
        <v>0</v>
      </c>
      <c r="G25" s="346">
        <f>IFERROR(VLOOKUP($B25,flows!$A$2:$J$4985,G$2,FALSE),0)</f>
        <v>0</v>
      </c>
      <c r="H25" s="346">
        <f>IFERROR(VLOOKUP($B25,flows!$A$2:$J$4985,H$2,FALSE),0)</f>
        <v>0</v>
      </c>
      <c r="I25" s="346">
        <f>IFERROR(VLOOKUP($B25,flows!$A$2:$J$4985,I$2,FALSE),0)</f>
        <v>0</v>
      </c>
      <c r="J25" s="346">
        <f>IFERROR(VLOOKUP($B25,flows!$A$2:$J$4985,J$2,FALSE),0)</f>
        <v>0</v>
      </c>
      <c r="K25" s="346">
        <f>IFERROR(VLOOKUP($B25,flows!$A$2:$J$4985,K$2,FALSE),0)</f>
        <v>0</v>
      </c>
      <c r="L25" s="336">
        <f>IFERROR(VLOOKUP($B25,flows!$A$2:$J$4985,L$2,FALSE),0)</f>
        <v>0</v>
      </c>
      <c r="Z25" s="374"/>
      <c r="AA25" s="137" t="s">
        <v>4261</v>
      </c>
      <c r="AB25" s="137" t="s">
        <v>4262</v>
      </c>
      <c r="AC25" s="346" t="e">
        <f>AC23-AC24</f>
        <v>#DIV/0!</v>
      </c>
      <c r="AD25" s="346" t="e">
        <f t="shared" ref="AD25:AJ25" si="22">AD23-AD24</f>
        <v>#DIV/0!</v>
      </c>
      <c r="AE25" s="346" t="e">
        <f t="shared" si="22"/>
        <v>#DIV/0!</v>
      </c>
      <c r="AF25" s="346" t="e">
        <f t="shared" si="22"/>
        <v>#DIV/0!</v>
      </c>
      <c r="AG25" s="346" t="e">
        <f t="shared" si="22"/>
        <v>#DIV/0!</v>
      </c>
      <c r="AH25" s="346" t="e">
        <f t="shared" si="22"/>
        <v>#DIV/0!</v>
      </c>
      <c r="AI25" s="346" t="e">
        <f t="shared" si="22"/>
        <v>#DIV/0!</v>
      </c>
      <c r="AJ25" s="346">
        <f t="shared" si="22"/>
        <v>0</v>
      </c>
      <c r="AS25" s="40"/>
      <c r="AT25" s="365" t="s">
        <v>1294</v>
      </c>
      <c r="AU25" s="365" t="s">
        <v>1888</v>
      </c>
      <c r="AV25" s="365">
        <f>AV19</f>
        <v>295.85448065083813</v>
      </c>
      <c r="AW25" s="365">
        <f t="shared" ref="AW25:BC25" si="23">AW19</f>
        <v>0</v>
      </c>
      <c r="AX25" s="365">
        <f t="shared" si="23"/>
        <v>1.1064900928395971</v>
      </c>
      <c r="AY25" s="365">
        <f t="shared" si="23"/>
        <v>2.6151789080306781E-3</v>
      </c>
      <c r="AZ25" s="365">
        <f>AZ19</f>
        <v>1.027805919068736E-3</v>
      </c>
      <c r="BA25" s="365">
        <f t="shared" si="23"/>
        <v>1.147993470945732E-4</v>
      </c>
      <c r="BB25" s="365">
        <f t="shared" si="23"/>
        <v>295.83632464343179</v>
      </c>
      <c r="BC25" s="93">
        <f t="shared" si="23"/>
        <v>0</v>
      </c>
      <c r="BG25" s="269"/>
      <c r="BI25" s="371"/>
      <c r="BJ25" s="346"/>
      <c r="BK25" s="346"/>
      <c r="BL25" s="346"/>
      <c r="BM25" s="346"/>
      <c r="BN25" s="346"/>
      <c r="BO25" s="346"/>
      <c r="BP25" s="346"/>
      <c r="BQ25" s="346"/>
      <c r="BU25" s="40"/>
      <c r="BV25" s="365" t="s">
        <v>1294</v>
      </c>
      <c r="BW25" s="365" t="s">
        <v>1888</v>
      </c>
      <c r="BX25" s="365">
        <f t="shared" si="19"/>
        <v>3233.5952666368239</v>
      </c>
      <c r="BY25" s="365">
        <f t="shared" si="19"/>
        <v>1739.2103995884668</v>
      </c>
      <c r="BZ25" s="365">
        <f t="shared" si="19"/>
        <v>1839.5999828969448</v>
      </c>
      <c r="CA25" s="365">
        <f t="shared" si="19"/>
        <v>2502.9041733615718</v>
      </c>
      <c r="CB25" s="365">
        <f t="shared" si="19"/>
        <v>2867.7582841745202</v>
      </c>
      <c r="CC25" s="365">
        <f t="shared" si="19"/>
        <v>3050.6997545475442</v>
      </c>
      <c r="CD25" s="365">
        <f t="shared" si="19"/>
        <v>3233.60983401455</v>
      </c>
      <c r="CE25" s="93">
        <f t="shared" si="19"/>
        <v>0</v>
      </c>
      <c r="CH25" s="92" t="s">
        <v>3109</v>
      </c>
      <c r="CI25" s="468"/>
      <c r="CJ25" s="315"/>
      <c r="CK25" s="372">
        <f>IFERROR(VLOOKUP($CH25,flows!$A$2:$J$4985,CK$2,FALSE),0)</f>
        <v>1.8695016502885471E-2</v>
      </c>
      <c r="CL25" s="372">
        <f>IFERROR(VLOOKUP($CH25,flows!$A$2:$J$4985,CL$2,FALSE),0)</f>
        <v>44241.65024529009</v>
      </c>
      <c r="CM25" s="372">
        <f>IFERROR(VLOOKUP($CH25,flows!$A$2:$J$4985,CM$2,FALSE),0)</f>
        <v>46661.313454006508</v>
      </c>
      <c r="CN25" s="372">
        <f>IFERROR(VLOOKUP($CH25,flows!$A$2:$J$4985,CN$2,FALSE),0)</f>
        <v>41717.413999142424</v>
      </c>
      <c r="CO25" s="372">
        <f>IFERROR(VLOOKUP($CH25,flows!$A$2:$J$4985,CO$2,FALSE),0)</f>
        <v>31691.013933472761</v>
      </c>
      <c r="CP25" s="372">
        <f>IFERROR(VLOOKUP($CH25,flows!$A$2:$J$4985,CP$2,FALSE),0)</f>
        <v>9841.3230710930366</v>
      </c>
      <c r="CQ25" s="372">
        <f>IFERROR(VLOOKUP($CH25,flows!$A$2:$J$4985,CQ$2,FALSE),0)</f>
        <v>8.4562680202078495E-5</v>
      </c>
      <c r="CR25" s="372">
        <f>IFERROR(VLOOKUP($CH25,flows!$A$2:$J$4985,CR$2,FALSE),0)</f>
        <v>0</v>
      </c>
      <c r="CT25" s="92"/>
      <c r="CU25" s="92"/>
      <c r="CV25" s="92" t="s">
        <v>3068</v>
      </c>
      <c r="CW25" s="461">
        <f t="shared" si="20"/>
        <v>0.2584840980434891</v>
      </c>
      <c r="CX25" s="461">
        <f t="shared" si="20"/>
        <v>1</v>
      </c>
      <c r="CY25" s="461">
        <f t="shared" si="20"/>
        <v>0.5510226797122233</v>
      </c>
      <c r="CZ25" s="461">
        <f t="shared" si="20"/>
        <v>0.66941801686929736</v>
      </c>
      <c r="DA25" s="461">
        <f t="shared" si="20"/>
        <v>0.99998751654790785</v>
      </c>
      <c r="DB25" s="461">
        <f t="shared" si="20"/>
        <v>0.99999967446568416</v>
      </c>
      <c r="DC25" s="461">
        <f t="shared" si="20"/>
        <v>3.4203513126074684E-7</v>
      </c>
      <c r="DD25" s="461" t="e">
        <f t="shared" si="20"/>
        <v>#DIV/0!</v>
      </c>
      <c r="DG25" s="134" t="s">
        <v>3961</v>
      </c>
      <c r="DH25" s="92"/>
      <c r="DI25" s="92"/>
      <c r="DJ25" s="92">
        <f>IFERROR(VLOOKUP($DG25,flows!$A$2:$J$4985,DJ$2,FALSE),0)</f>
        <v>3.0806131064290108E-2</v>
      </c>
      <c r="DK25" s="92">
        <f>IFERROR(VLOOKUP($DG25,flows!$A$2:$J$4985,DK$2,FALSE),0)</f>
        <v>2.1308994061012289E-3</v>
      </c>
      <c r="DL25" s="92">
        <f>IFERROR(VLOOKUP($DG25,flows!$A$2:$J$4985,DL$2,FALSE),0)</f>
        <v>4.7635962441207887E-2</v>
      </c>
      <c r="DM25" s="92">
        <f>IFERROR(VLOOKUP($DG25,flows!$A$2:$J$4985,DM$2,FALSE),0)</f>
        <v>4.790360609120835E-3</v>
      </c>
      <c r="DN25" s="92">
        <f>IFERROR(VLOOKUP($DG25,flows!$A$2:$J$4985,DN$2,FALSE),0)</f>
        <v>1.3799973907769501E-3</v>
      </c>
      <c r="DO25" s="92">
        <f>IFERROR(VLOOKUP($DG25,flows!$A$2:$J$4985,DO$2,FALSE),0)</f>
        <v>2.2995310993431669E-4</v>
      </c>
      <c r="DP25" s="92">
        <f>IFERROR(VLOOKUP($DG25,flows!$A$2:$J$4985,DP$2,FALSE),0)</f>
        <v>1.16034023185529E-4</v>
      </c>
      <c r="DQ25" s="93">
        <f>IFERROR(VLOOKUP($DG25,flows!$A$2:$J$4985,DQ$2,FALSE),0)</f>
        <v>0</v>
      </c>
    </row>
    <row r="26" spans="2:131" ht="15" thickBot="1" x14ac:dyDescent="0.4">
      <c r="B26" s="269" t="s">
        <v>2678</v>
      </c>
      <c r="C26" s="92"/>
      <c r="D26" s="315"/>
      <c r="E26" s="346">
        <f>IFERROR(VLOOKUP($B26,flows!$A$2:$J$4985,E$2,FALSE),0)</f>
        <v>7.9706497892875576E-4</v>
      </c>
      <c r="F26" s="346">
        <f>IFERROR(VLOOKUP($B26,flows!$A$2:$J$4985,F$2,FALSE),0)</f>
        <v>122.0406723703766</v>
      </c>
      <c r="G26" s="346">
        <f>IFERROR(VLOOKUP($B26,flows!$A$2:$J$4985,G$2,FALSE),0)</f>
        <v>127.563367780029</v>
      </c>
      <c r="H26" s="346">
        <f>IFERROR(VLOOKUP($B26,flows!$A$2:$J$4985,H$2,FALSE),0)</f>
        <v>7.5949246595208427E-4</v>
      </c>
      <c r="I26" s="346">
        <f>IFERROR(VLOOKUP($B26,flows!$A$2:$J$4985,I$2,FALSE),0)</f>
        <v>2.5322270915387022E-4</v>
      </c>
      <c r="J26" s="346">
        <f>IFERROR(VLOOKUP($B26,flows!$A$2:$J$4985,J$2,FALSE),0)</f>
        <v>6.8546637538640076E-5</v>
      </c>
      <c r="K26" s="346">
        <f>IFERROR(VLOOKUP($B26,flows!$A$2:$J$4985,K$2,FALSE),0)</f>
        <v>4.1086225363883912E-6</v>
      </c>
      <c r="L26" s="336">
        <f>IFERROR(VLOOKUP($B26,flows!$A$2:$J$4985,L$2,FALSE),0)</f>
        <v>0</v>
      </c>
      <c r="Z26" s="374" t="s">
        <v>1123</v>
      </c>
      <c r="AA26" s="137" t="s">
        <v>3139</v>
      </c>
      <c r="AB26" s="137" t="s">
        <v>3148</v>
      </c>
      <c r="AC26" s="346">
        <f>IFERROR(VLOOKUP($Z26,flows!$A$2:$J$4985,AC$2,FALSE),0)</f>
        <v>0</v>
      </c>
      <c r="AD26" s="346">
        <f>IFERROR(VLOOKUP($Z26,flows!$A$2:$J$4985,AD$2,FALSE),0)</f>
        <v>0</v>
      </c>
      <c r="AE26" s="346">
        <f>IFERROR(VLOOKUP($Z26,flows!$A$2:$J$4985,AE$2,FALSE),0)</f>
        <v>0</v>
      </c>
      <c r="AF26" s="346">
        <f>IFERROR(VLOOKUP($Z26,flows!$A$2:$J$4985,AF$2,FALSE),0)</f>
        <v>0</v>
      </c>
      <c r="AG26" s="346">
        <f>IFERROR(VLOOKUP($Z26,flows!$A$2:$J$4985,AG$2,FALSE),0)</f>
        <v>0</v>
      </c>
      <c r="AH26" s="346">
        <f>IFERROR(VLOOKUP($Z26,flows!$A$2:$J$4985,AH$2,FALSE),0)</f>
        <v>0</v>
      </c>
      <c r="AI26" s="346">
        <f>IFERROR(VLOOKUP($Z26,flows!$A$2:$J$4985,AI$2,FALSE),0)</f>
        <v>0</v>
      </c>
      <c r="AJ26" s="346">
        <f>IFERROR(VLOOKUP($Z26,flows!$A$2:$J$4985,AJ$2,FALSE),0)</f>
        <v>0</v>
      </c>
      <c r="AS26" s="41"/>
      <c r="AT26" s="77" t="s">
        <v>2683</v>
      </c>
      <c r="AU26" s="77" t="s">
        <v>2031</v>
      </c>
      <c r="AV26" s="77">
        <f>SUM(AV24:AV25)</f>
        <v>336.45734479088424</v>
      </c>
      <c r="AW26" s="77">
        <f t="shared" ref="AW26:BC26" si="24">SUM(AW24:AW25)</f>
        <v>29.11999995587983</v>
      </c>
      <c r="AX26" s="77">
        <f t="shared" si="24"/>
        <v>32.522672186746043</v>
      </c>
      <c r="AY26" s="77">
        <f t="shared" si="24"/>
        <v>33.71461548028951</v>
      </c>
      <c r="AZ26" s="77">
        <f t="shared" si="24"/>
        <v>36.009027979605854</v>
      </c>
      <c r="BA26" s="77">
        <f t="shared" si="24"/>
        <v>38.304114808174077</v>
      </c>
      <c r="BB26" s="77">
        <f t="shared" si="24"/>
        <v>336.43918600282859</v>
      </c>
      <c r="BC26" s="77">
        <f t="shared" si="24"/>
        <v>0</v>
      </c>
      <c r="BG26" s="269"/>
      <c r="BH26" s="854"/>
      <c r="BI26" s="371"/>
      <c r="BJ26" s="346"/>
      <c r="BK26" s="346"/>
      <c r="BL26" s="346"/>
      <c r="BM26" s="346"/>
      <c r="BN26" s="346"/>
      <c r="BO26" s="346"/>
      <c r="BP26" s="346"/>
      <c r="BQ26" s="346"/>
      <c r="BU26" s="41"/>
      <c r="BV26" s="77" t="s">
        <v>2360</v>
      </c>
      <c r="BW26" s="77" t="s">
        <v>2684</v>
      </c>
      <c r="BX26" s="77">
        <f t="shared" ref="BX26:CE26" si="25">SUM(BX24:BX25)</f>
        <v>15898.574037148737</v>
      </c>
      <c r="BY26" s="77">
        <f t="shared" si="25"/>
        <v>11063.310596191139</v>
      </c>
      <c r="BZ26" s="77">
        <f t="shared" si="25"/>
        <v>11700.381442421496</v>
      </c>
      <c r="CA26" s="77">
        <f t="shared" si="25"/>
        <v>13094.247448507273</v>
      </c>
      <c r="CB26" s="77">
        <f t="shared" si="25"/>
        <v>14099.819007217351</v>
      </c>
      <c r="CC26" s="77">
        <f t="shared" si="25"/>
        <v>14999.274857230188</v>
      </c>
      <c r="CD26" s="77">
        <f t="shared" si="25"/>
        <v>15898.582403597498</v>
      </c>
      <c r="CE26" s="94">
        <f t="shared" si="25"/>
        <v>0</v>
      </c>
      <c r="CH26" s="92" t="s">
        <v>3111</v>
      </c>
      <c r="CI26" s="468"/>
      <c r="CJ26" s="315"/>
      <c r="CK26" s="372">
        <f>IFERROR(VLOOKUP($CH26,flows!$A$2:$J$4985,CK$2,FALSE),0)</f>
        <v>2.317605645759277E-2</v>
      </c>
      <c r="CL26" s="372">
        <f>IFERROR(VLOOKUP($CH26,flows!$A$2:$J$4985,CL$2,FALSE),0)</f>
        <v>0.12631572663725901</v>
      </c>
      <c r="CM26" s="372">
        <f>IFERROR(VLOOKUP($CH26,flows!$A$2:$J$4985,CM$2,FALSE),0)</f>
        <v>2.8132211973164289</v>
      </c>
      <c r="CN26" s="372">
        <f>IFERROR(VLOOKUP($CH26,flows!$A$2:$J$4985,CN$2,FALSE),0)</f>
        <v>3.8884858084889369E-3</v>
      </c>
      <c r="CO26" s="372">
        <f>IFERROR(VLOOKUP($CH26,flows!$A$2:$J$4985,CO$2,FALSE),0)</f>
        <v>1.429493778452516E-3</v>
      </c>
      <c r="CP26" s="372">
        <f>IFERROR(VLOOKUP($CH26,flows!$A$2:$J$4985,CP$2,FALSE),0)</f>
        <v>3.5082377098167368E-4</v>
      </c>
      <c r="CQ26" s="372">
        <f>IFERROR(VLOOKUP($CH26,flows!$A$2:$J$4985,CQ$2,FALSE),0)</f>
        <v>7.4580000253952926E-5</v>
      </c>
      <c r="CR26" s="372">
        <f>IFERROR(VLOOKUP($CH26,flows!$A$2:$J$4985,CR$2,FALSE),0)</f>
        <v>0</v>
      </c>
      <c r="CT26" s="92"/>
      <c r="CU26" s="92"/>
      <c r="CV26" s="92" t="s">
        <v>3066</v>
      </c>
      <c r="CW26" s="461">
        <f t="shared" ref="CW26:DD27" si="26">CW21/CW$23</f>
        <v>0.96388457392775306</v>
      </c>
      <c r="CX26" s="461">
        <f t="shared" si="26"/>
        <v>0.28293123694034394</v>
      </c>
      <c r="CY26" s="461">
        <f t="shared" si="26"/>
        <v>0.32689923252847014</v>
      </c>
      <c r="CZ26" s="461">
        <f t="shared" si="26"/>
        <v>0.43200282597752998</v>
      </c>
      <c r="DA26" s="461">
        <f t="shared" si="26"/>
        <v>0.50076462265049637</v>
      </c>
      <c r="DB26" s="461">
        <f t="shared" si="26"/>
        <v>0.50710302492183268</v>
      </c>
      <c r="DC26" s="461">
        <f t="shared" si="26"/>
        <v>0.97106505492667128</v>
      </c>
      <c r="DD26" s="461" t="e">
        <f>DD21/DD$23</f>
        <v>#DIV/0!</v>
      </c>
      <c r="DG26" s="134"/>
      <c r="DH26" s="92" t="s">
        <v>2839</v>
      </c>
      <c r="DI26" s="92" t="s">
        <v>2838</v>
      </c>
      <c r="DJ26" s="92">
        <f>SUM(DJ16:DJ25)</f>
        <v>18535.50012332631</v>
      </c>
      <c r="DK26" s="92">
        <f t="shared" ref="DK26:DQ26" si="27">SUM(DK16:DK25)</f>
        <v>14370.000286431576</v>
      </c>
      <c r="DL26" s="92">
        <f t="shared" si="27"/>
        <v>15203.106905067974</v>
      </c>
      <c r="DM26" s="92">
        <f t="shared" si="27"/>
        <v>16036.20001338345</v>
      </c>
      <c r="DN26" s="92">
        <f t="shared" si="27"/>
        <v>16869.30000770737</v>
      </c>
      <c r="DO26" s="92">
        <f t="shared" si="27"/>
        <v>17702.400000369376</v>
      </c>
      <c r="DP26" s="92">
        <f t="shared" si="27"/>
        <v>18535.500000394914</v>
      </c>
      <c r="DQ26" s="92">
        <f t="shared" si="27"/>
        <v>0</v>
      </c>
    </row>
    <row r="27" spans="2:131" ht="15" thickBot="1" x14ac:dyDescent="0.4">
      <c r="B27" s="269" t="s">
        <v>4145</v>
      </c>
      <c r="C27" s="92"/>
      <c r="D27" s="315"/>
      <c r="E27" s="346">
        <f>IFERROR(VLOOKUP($B27,flows!$A$2:$J$4985,E$2,FALSE),0)</f>
        <v>3.7037690324618402E-4</v>
      </c>
      <c r="F27" s="346">
        <f>IFERROR(VLOOKUP($B27,flows!$A$2:$J$4985,F$2,FALSE),0)</f>
        <v>0</v>
      </c>
      <c r="G27" s="346">
        <f>IFERROR(VLOOKUP($B27,flows!$A$2:$J$4985,G$2,FALSE),0)</f>
        <v>0.53641749141493344</v>
      </c>
      <c r="H27" s="346">
        <f>IFERROR(VLOOKUP($B27,flows!$A$2:$J$4985,H$2,FALSE),0)</f>
        <v>4.6176676952852089E-4</v>
      </c>
      <c r="I27" s="346">
        <f>IFERROR(VLOOKUP($B27,flows!$A$2:$J$4985,I$2,FALSE),0)</f>
        <v>1.5476229981382469E-4</v>
      </c>
      <c r="J27" s="346">
        <f>IFERROR(VLOOKUP($B27,flows!$A$2:$J$4985,J$2,FALSE),0)</f>
        <v>5.7016621373264621E-5</v>
      </c>
      <c r="K27" s="346">
        <f>IFERROR(VLOOKUP($B27,flows!$A$2:$J$4985,K$2,FALSE),0)</f>
        <v>2.604180713347343E-6</v>
      </c>
      <c r="L27" s="336">
        <f>IFERROR(VLOOKUP($B27,flows!$A$2:$J$4985,L$2,FALSE),0)</f>
        <v>0</v>
      </c>
      <c r="Z27" s="845" t="s">
        <v>4162</v>
      </c>
      <c r="AA27" s="137" t="s">
        <v>4188</v>
      </c>
      <c r="AB27" s="137" t="s">
        <v>4189</v>
      </c>
      <c r="AC27" s="346">
        <f>IFERROR(VLOOKUP($Z27,flows!$A$2:$J$4985,AC$2,FALSE),0)</f>
        <v>214.07690695445649</v>
      </c>
      <c r="AD27" s="346">
        <f>IFERROR(VLOOKUP($Z27,flows!$A$2:$J$4985,AD$2,FALSE),0)</f>
        <v>0</v>
      </c>
      <c r="AE27" s="346">
        <f>IFERROR(VLOOKUP($Z27,flows!$A$2:$J$4985,AE$2,FALSE),0)</f>
        <v>2.761468191059111</v>
      </c>
      <c r="AF27" s="346">
        <f>IFERROR(VLOOKUP($Z27,flows!$A$2:$J$4985,AF$2,FALSE),0)</f>
        <v>1.021425529434903E-2</v>
      </c>
      <c r="AG27" s="346">
        <f>IFERROR(VLOOKUP($Z27,flows!$A$2:$J$4985,AG$2,FALSE),0)</f>
        <v>5.0318410176033706E-3</v>
      </c>
      <c r="AH27" s="346">
        <f>IFERROR(VLOOKUP($Z27,flows!$A$2:$J$4985,AH$2,FALSE),0)</f>
        <v>5082.7744346468216</v>
      </c>
      <c r="AI27" s="346">
        <f>IFERROR(VLOOKUP($Z27,flows!$A$2:$J$4985,AI$2,FALSE),0)</f>
        <v>160.54177865612129</v>
      </c>
      <c r="AJ27" s="346">
        <f>IFERROR(VLOOKUP($Z27,flows!$A$2:$J$4985,AJ$2,FALSE),0)</f>
        <v>0</v>
      </c>
      <c r="BG27" s="40"/>
      <c r="BJ27" s="346"/>
      <c r="BK27" s="346"/>
      <c r="BL27" s="346"/>
      <c r="BM27" s="346"/>
      <c r="BN27" s="346"/>
      <c r="BO27" s="346"/>
      <c r="BP27" s="346"/>
      <c r="BQ27" s="346"/>
      <c r="CI27" s="468" t="s">
        <v>1318</v>
      </c>
      <c r="CJ27" s="468" t="s">
        <v>1575</v>
      </c>
      <c r="CK27" s="372">
        <f>SUM(CK24:CK26)-CK36</f>
        <v>5.4834028053949761E-2</v>
      </c>
      <c r="CL27" s="372">
        <f t="shared" ref="CL27:CR27" si="28">SUM(CL24:CL26)-CL36</f>
        <v>122909.10446047477</v>
      </c>
      <c r="CM27" s="372">
        <f t="shared" si="28"/>
        <v>94807.758595002902</v>
      </c>
      <c r="CN27" s="372">
        <f t="shared" si="28"/>
        <v>41717.440198075972</v>
      </c>
      <c r="CO27" s="372">
        <f t="shared" si="28"/>
        <v>31691.016638835754</v>
      </c>
      <c r="CP27" s="372">
        <f t="shared" si="28"/>
        <v>13381.349282307236</v>
      </c>
      <c r="CQ27" s="372">
        <f t="shared" si="28"/>
        <v>2.0112000444484155E-4</v>
      </c>
      <c r="CR27" s="372">
        <f t="shared" si="28"/>
        <v>0</v>
      </c>
      <c r="CT27" s="92"/>
      <c r="CU27" s="92"/>
      <c r="CV27" s="92" t="s">
        <v>3067</v>
      </c>
      <c r="CW27" s="461">
        <f t="shared" si="26"/>
        <v>3.6115426072246902E-2</v>
      </c>
      <c r="CX27" s="461">
        <f t="shared" si="26"/>
        <v>0.71706876305965606</v>
      </c>
      <c r="CY27" s="461">
        <f t="shared" si="26"/>
        <v>0.6731007674715298</v>
      </c>
      <c r="CZ27" s="461">
        <f t="shared" si="26"/>
        <v>0.56799717402247007</v>
      </c>
      <c r="DA27" s="461">
        <f t="shared" si="26"/>
        <v>0.49923537734950357</v>
      </c>
      <c r="DB27" s="461">
        <f t="shared" si="26"/>
        <v>0.49289697507816738</v>
      </c>
      <c r="DC27" s="461">
        <f t="shared" si="26"/>
        <v>2.8934945073328642E-2</v>
      </c>
      <c r="DD27" s="461" t="e">
        <f t="shared" si="26"/>
        <v>#DIV/0!</v>
      </c>
      <c r="DG27" s="134"/>
      <c r="DH27" s="92"/>
      <c r="DI27" s="92"/>
      <c r="DJ27" s="92"/>
      <c r="DK27" s="92"/>
      <c r="DL27" s="92"/>
      <c r="DM27" s="92"/>
      <c r="DN27" s="92"/>
      <c r="DO27" s="92"/>
      <c r="DP27" s="92"/>
      <c r="DQ27" s="93"/>
    </row>
    <row r="28" spans="2:131" ht="15" thickBot="1" x14ac:dyDescent="0.4">
      <c r="B28" s="269" t="s">
        <v>4150</v>
      </c>
      <c r="C28" s="92"/>
      <c r="D28" s="315"/>
      <c r="E28" s="346">
        <f>IFERROR(VLOOKUP($B28,flows!$A$2:$J$4985,E$2,FALSE),0)</f>
        <v>9.3007592891061806E-6</v>
      </c>
      <c r="F28" s="346">
        <f>IFERROR(VLOOKUP($B28,flows!$A$2:$J$4985,F$2,FALSE),0)</f>
        <v>0</v>
      </c>
      <c r="G28" s="346">
        <f>IFERROR(VLOOKUP($B28,flows!$A$2:$J$4985,G$2,FALSE),0)</f>
        <v>1.347030530896875E-2</v>
      </c>
      <c r="H28" s="346">
        <f>IFERROR(VLOOKUP($B28,flows!$A$2:$J$4985,H$2,FALSE),0)</f>
        <v>1.159570570802647E-5</v>
      </c>
      <c r="I28" s="346">
        <f>IFERROR(VLOOKUP($B28,flows!$A$2:$J$4985,I$2,FALSE),0)</f>
        <v>3.8863300734498377E-6</v>
      </c>
      <c r="J28" s="346">
        <f>IFERROR(VLOOKUP($B28,flows!$A$2:$J$4985,J$2,FALSE),0)</f>
        <v>1.431778996538453E-6</v>
      </c>
      <c r="K28" s="346">
        <f>IFERROR(VLOOKUP($B28,flows!$A$2:$J$4985,K$2,FALSE),0)</f>
        <v>6.5395163002583934E-8</v>
      </c>
      <c r="L28" s="336">
        <f>IFERROR(VLOOKUP($B28,flows!$A$2:$J$4985,L$2,FALSE),0)</f>
        <v>0</v>
      </c>
      <c r="BG28" s="40"/>
      <c r="BH28" s="365" t="s">
        <v>1160</v>
      </c>
      <c r="BI28" s="365" t="s">
        <v>1815</v>
      </c>
      <c r="BJ28" s="365">
        <f t="shared" ref="BJ28:BQ28" si="29">BJ14+BJ15+BJ21</f>
        <v>6294.0742664846885</v>
      </c>
      <c r="BK28" s="862">
        <f t="shared" si="29"/>
        <v>5340.2272571732883</v>
      </c>
      <c r="BL28" s="862">
        <f t="shared" si="29"/>
        <v>5762.0173804762489</v>
      </c>
      <c r="BM28" s="862">
        <f t="shared" si="29"/>
        <v>6062.0612966909539</v>
      </c>
      <c r="BN28" s="862">
        <f t="shared" si="29"/>
        <v>6243.2598057875657</v>
      </c>
      <c r="BO28" s="862">
        <f t="shared" si="29"/>
        <v>6249.8725311770377</v>
      </c>
      <c r="BP28" s="862">
        <f t="shared" si="29"/>
        <v>6294.0736126762586</v>
      </c>
      <c r="BQ28" s="862">
        <f t="shared" si="29"/>
        <v>0</v>
      </c>
      <c r="CH28" s="92" t="s">
        <v>3041</v>
      </c>
      <c r="CI28" s="468"/>
      <c r="CJ28" s="468"/>
      <c r="CK28" s="372">
        <f>IFERROR(VLOOKUP($CH28,flows!$A$2:$J$4985,CK$2,FALSE),0)</f>
        <v>5.0411492030167024E-3</v>
      </c>
      <c r="CL28" s="372">
        <f>IFERROR(VLOOKUP($CH28,flows!$A$2:$J$4985,CL$2,FALSE),0)</f>
        <v>30592.849738678131</v>
      </c>
      <c r="CM28" s="372">
        <f>IFERROR(VLOOKUP($CH28,flows!$A$2:$J$4985,CM$2,FALSE),0)</f>
        <v>18722.523524366319</v>
      </c>
      <c r="CN28" s="372">
        <f>IFERROR(VLOOKUP($CH28,flows!$A$2:$J$4985,CN$2,FALSE),0)</f>
        <v>8.6762852320755989E-3</v>
      </c>
      <c r="CO28" s="372">
        <f>IFERROR(VLOOKUP($CH28,flows!$A$2:$J$4985,CO$2,FALSE),0)</f>
        <v>4.961713608077191E-4</v>
      </c>
      <c r="CP28" s="372">
        <f>IFERROR(VLOOKUP($CH28,flows!$A$2:$J$4985,CP$2,FALSE),0)</f>
        <v>1376.6767234851659</v>
      </c>
      <c r="CQ28" s="372">
        <f>IFERROR(VLOOKUP($CH28,flows!$A$2:$J$4985,CQ$2,FALSE),0)</f>
        <v>1.632451488453727E-5</v>
      </c>
      <c r="CR28" s="372">
        <f>IFERROR(VLOOKUP($CH28,flows!$A$2:$J$4985,CR$2,FALSE),0)</f>
        <v>0</v>
      </c>
      <c r="CT28" s="991" t="s">
        <v>2650</v>
      </c>
      <c r="CU28" s="89" t="s">
        <v>1162</v>
      </c>
      <c r="CV28" s="89" t="s">
        <v>1816</v>
      </c>
      <c r="CW28" s="477" t="e">
        <f>CW24*((CW50*CW62)+(CW51*CW64)+(CW52*CW66))</f>
        <v>#DIV/0!</v>
      </c>
      <c r="CX28" s="477">
        <f t="shared" ref="CX28:DC28" si="30">CX24*((CX50*CX62)+(CX51*CX64)+(CX52*CX66))</f>
        <v>0</v>
      </c>
      <c r="CY28" s="477" t="e">
        <f t="shared" si="30"/>
        <v>#DIV/0!</v>
      </c>
      <c r="CZ28" s="477" t="e">
        <f t="shared" si="30"/>
        <v>#DIV/0!</v>
      </c>
      <c r="DA28" s="477" t="e">
        <f t="shared" si="30"/>
        <v>#DIV/0!</v>
      </c>
      <c r="DB28" s="477" t="e">
        <f t="shared" si="30"/>
        <v>#DIV/0!</v>
      </c>
      <c r="DC28" s="477" t="e">
        <f t="shared" si="30"/>
        <v>#DIV/0!</v>
      </c>
      <c r="DD28" s="477" t="e">
        <f>DD24*((DD50*DD62)+(DD51*DD64)+(DD52*DD66))</f>
        <v>#DIV/0!</v>
      </c>
      <c r="DG28" s="134" t="s">
        <v>3967</v>
      </c>
      <c r="DH28" s="92"/>
      <c r="DI28" s="92"/>
      <c r="DJ28" s="92">
        <f>IFERROR(VLOOKUP($DG28,flows!$A$2:$J$4985,DJ$2,FALSE),0)</f>
        <v>6856.7714066902017</v>
      </c>
      <c r="DK28" s="92">
        <f>IFERROR(VLOOKUP($DG28,flows!$A$2:$J$4985,DK$2,FALSE),0)</f>
        <v>5315.8261632179301</v>
      </c>
      <c r="DL28" s="92">
        <f>IFERROR(VLOOKUP($DG28,flows!$A$2:$J$4985,DL$2,FALSE),0)</f>
        <v>5623.9754945469958</v>
      </c>
      <c r="DM28" s="92">
        <f>IFERROR(VLOOKUP($DG28,flows!$A$2:$J$4985,DM$2,FALSE),0)</f>
        <v>5932.1596800004454</v>
      </c>
      <c r="DN28" s="92">
        <f>IFERROR(VLOOKUP($DG28,flows!$A$2:$J$4985,DN$2,FALSE),0)</f>
        <v>6240.3893002419791</v>
      </c>
      <c r="DO28" s="92">
        <f>IFERROR(VLOOKUP($DG28,flows!$A$2:$J$4985,DO$2,FALSE),0)</f>
        <v>6548.617933565657</v>
      </c>
      <c r="DP28" s="92">
        <f>IFERROR(VLOOKUP($DG28,flows!$A$2:$J$4985,DP$2,FALSE),0)</f>
        <v>6856.7853900574701</v>
      </c>
      <c r="DQ28" s="93">
        <f>IFERROR(VLOOKUP($DG28,flows!$A$2:$J$4985,DQ$2,FALSE),0)</f>
        <v>0</v>
      </c>
    </row>
    <row r="29" spans="2:131" x14ac:dyDescent="0.35">
      <c r="B29" s="269" t="s">
        <v>2679</v>
      </c>
      <c r="C29" s="92"/>
      <c r="D29" s="92"/>
      <c r="E29" s="346">
        <f>IFERROR(VLOOKUP($B29,flows!$A$2:$J$4985,E$2,FALSE),0)</f>
        <v>3.8967621192072512E-2</v>
      </c>
      <c r="F29" s="346">
        <f>IFERROR(VLOOKUP($B29,flows!$A$2:$J$4985,F$2,FALSE),0)</f>
        <v>5966.4328714406338</v>
      </c>
      <c r="G29" s="346">
        <f>IFERROR(VLOOKUP($B29,flows!$A$2:$J$4985,G$2,FALSE),0)</f>
        <v>6236.4313136903056</v>
      </c>
      <c r="H29" s="346">
        <f>IFERROR(VLOOKUP($B29,flows!$A$2:$J$4985,H$2,FALSE),0)</f>
        <v>3.7130742779879683E-2</v>
      </c>
      <c r="I29" s="346">
        <f>IFERROR(VLOOKUP($B29,flows!$A$2:$J$4985,I$2,FALSE),0)</f>
        <v>1.237977689196699E-2</v>
      </c>
      <c r="J29" s="346">
        <f>IFERROR(VLOOKUP($B29,flows!$A$2:$J$4985,J$2,FALSE),0)</f>
        <v>3.3511689463335149E-3</v>
      </c>
      <c r="K29" s="346">
        <f>IFERROR(VLOOKUP($B29,flows!$A$2:$J$4985,K$2,FALSE),0)</f>
        <v>2.0086599066787691E-4</v>
      </c>
      <c r="L29" s="336">
        <f>IFERROR(VLOOKUP($B29,flows!$A$2:$J$4985,L$2,FALSE),0)</f>
        <v>0</v>
      </c>
      <c r="Z29" s="468" t="s">
        <v>4208</v>
      </c>
      <c r="AA29" s="486" t="s">
        <v>4209</v>
      </c>
      <c r="AC29" s="89">
        <v>2</v>
      </c>
      <c r="AD29" s="89">
        <v>3</v>
      </c>
      <c r="AE29" s="89">
        <v>4</v>
      </c>
      <c r="AF29" s="89">
        <v>5</v>
      </c>
      <c r="AG29" s="89">
        <v>6</v>
      </c>
      <c r="AH29" s="89">
        <v>7</v>
      </c>
      <c r="AI29" s="89">
        <v>8</v>
      </c>
      <c r="AJ29" s="90">
        <v>9</v>
      </c>
      <c r="BG29" s="40"/>
      <c r="BH29" s="365" t="s">
        <v>1294</v>
      </c>
      <c r="BI29" s="365" t="s">
        <v>1888</v>
      </c>
      <c r="BJ29" s="365">
        <f>BJ20+BJ22</f>
        <v>417.82212198783412</v>
      </c>
      <c r="BK29" s="862">
        <f t="shared" ref="BK29:BQ29" si="31">BK20+BK22</f>
        <v>4728.8099335259121</v>
      </c>
      <c r="BL29" s="862">
        <f t="shared" si="31"/>
        <v>5098.9883365378755</v>
      </c>
      <c r="BM29" s="862">
        <f t="shared" si="31"/>
        <v>4840.9833924004906</v>
      </c>
      <c r="BN29" s="862">
        <f t="shared" si="31"/>
        <v>3913.572912063365</v>
      </c>
      <c r="BO29" s="862">
        <f t="shared" si="31"/>
        <v>1620.2481085780478</v>
      </c>
      <c r="BP29" s="862">
        <f t="shared" si="31"/>
        <v>417.81775661582952</v>
      </c>
      <c r="BQ29" s="862">
        <f t="shared" si="31"/>
        <v>0</v>
      </c>
      <c r="CH29" s="92" t="s">
        <v>3042</v>
      </c>
      <c r="CI29" s="468"/>
      <c r="CJ29" s="468"/>
      <c r="CK29" s="372">
        <f>IFERROR(VLOOKUP($CH29,flows!$A$2:$J$4985,CK$2,FALSE),0)</f>
        <v>2.1810852586699719E-2</v>
      </c>
      <c r="CL29" s="372">
        <f>IFERROR(VLOOKUP($CH29,flows!$A$2:$J$4985,CL$2,FALSE),0)</f>
        <v>51615.258619505112</v>
      </c>
      <c r="CM29" s="372">
        <f>IFERROR(VLOOKUP($CH29,flows!$A$2:$J$4985,CM$2,FALSE),0)</f>
        <v>54438.199029674273</v>
      </c>
      <c r="CN29" s="372">
        <f>IFERROR(VLOOKUP($CH29,flows!$A$2:$J$4985,CN$2,FALSE),0)</f>
        <v>48670.316332332834</v>
      </c>
      <c r="CO29" s="372">
        <f>IFERROR(VLOOKUP($CH29,flows!$A$2:$J$4985,CO$2,FALSE),0)</f>
        <v>36972.849589051562</v>
      </c>
      <c r="CP29" s="372">
        <f>IFERROR(VLOOKUP($CH29,flows!$A$2:$J$4985,CP$2,FALSE),0)</f>
        <v>11481.54358294188</v>
      </c>
      <c r="CQ29" s="372">
        <f>IFERROR(VLOOKUP($CH29,flows!$A$2:$J$4985,CQ$2,FALSE),0)</f>
        <v>9.8656460235758248E-5</v>
      </c>
      <c r="CR29" s="372">
        <f>IFERROR(VLOOKUP($CH29,flows!$A$2:$J$4985,CR$2,FALSE),0)</f>
        <v>0</v>
      </c>
      <c r="CT29" s="992"/>
      <c r="CU29" s="92" t="s">
        <v>3029</v>
      </c>
      <c r="CV29" s="92" t="s">
        <v>3029</v>
      </c>
      <c r="CW29" s="463">
        <f>CW24*CW45</f>
        <v>0</v>
      </c>
      <c r="CX29" s="463">
        <f t="shared" ref="CX29:DD29" si="32">CX24*CX45</f>
        <v>0</v>
      </c>
      <c r="CY29" s="463">
        <f t="shared" si="32"/>
        <v>0</v>
      </c>
      <c r="CZ29" s="463">
        <f t="shared" si="32"/>
        <v>0</v>
      </c>
      <c r="DA29" s="463">
        <f t="shared" si="32"/>
        <v>0</v>
      </c>
      <c r="DB29" s="463">
        <f t="shared" si="32"/>
        <v>0</v>
      </c>
      <c r="DC29" s="463">
        <f t="shared" si="32"/>
        <v>0</v>
      </c>
      <c r="DD29" s="478" t="e">
        <f t="shared" si="32"/>
        <v>#DIV/0!</v>
      </c>
      <c r="DG29" s="134" t="s">
        <v>3956</v>
      </c>
      <c r="DH29" s="92"/>
      <c r="DI29" s="92"/>
      <c r="DJ29" s="92">
        <f>IFERROR(VLOOKUP($DG29,flows!$A$2:$J$4985,DJ$2,FALSE),0)</f>
        <v>5512.9478014475726</v>
      </c>
      <c r="DK29" s="92">
        <f>IFERROR(VLOOKUP($DG29,flows!$A$2:$J$4985,DK$2,FALSE),0)</f>
        <v>4274.0314535034822</v>
      </c>
      <c r="DL29" s="92">
        <f>IFERROR(VLOOKUP($DG29,flows!$A$2:$J$4985,DL$2,FALSE),0)</f>
        <v>4521.7848660628952</v>
      </c>
      <c r="DM29" s="92">
        <f>IFERROR(VLOOKUP($DG29,flows!$A$2:$J$4985,DM$2,FALSE),0)</f>
        <v>4769.5513636545556</v>
      </c>
      <c r="DN29" s="92">
        <f>IFERROR(VLOOKUP($DG29,flows!$A$2:$J$4985,DN$2,FALSE),0)</f>
        <v>5017.3730205544916</v>
      </c>
      <c r="DO29" s="92">
        <f>IFERROR(VLOOKUP($DG29,flows!$A$2:$J$4985,DO$2,FALSE),0)</f>
        <v>5265.1942473745466</v>
      </c>
      <c r="DP29" s="92">
        <f>IFERROR(VLOOKUP($DG29,flows!$A$2:$J$4985,DP$2,FALSE),0)</f>
        <v>5512.9545503914214</v>
      </c>
      <c r="DQ29" s="93">
        <f>IFERROR(VLOOKUP($DG29,flows!$A$2:$J$4985,DQ$2,FALSE),0)</f>
        <v>0</v>
      </c>
    </row>
    <row r="30" spans="2:131" x14ac:dyDescent="0.35">
      <c r="B30" s="269" t="s">
        <v>2680</v>
      </c>
      <c r="C30" s="92"/>
      <c r="D30" s="92"/>
      <c r="E30" s="346">
        <f>IFERROR(VLOOKUP($B30,flows!$A$2:$J$4985,E$2,FALSE),0)</f>
        <v>1.867788933956384E-3</v>
      </c>
      <c r="F30" s="346">
        <f>IFERROR(VLOOKUP($B30,flows!$A$2:$J$4985,F$2,FALSE),0)</f>
        <v>285.98197558791588</v>
      </c>
      <c r="G30" s="346">
        <f>IFERROR(VLOOKUP($B30,flows!$A$2:$J$4985,G$2,FALSE),0)</f>
        <v>298.92349183120132</v>
      </c>
      <c r="H30" s="346">
        <f>IFERROR(VLOOKUP($B30,flows!$A$2:$J$4985,H$2,FALSE),0)</f>
        <v>1.779744011881051E-3</v>
      </c>
      <c r="I30" s="346">
        <f>IFERROR(VLOOKUP($B30,flows!$A$2:$J$4985,I$2,FALSE),0)</f>
        <v>5.9338521511723575E-4</v>
      </c>
      <c r="J30" s="346">
        <f>IFERROR(VLOOKUP($B30,flows!$A$2:$J$4985,J$2,FALSE),0)</f>
        <v>1.6062762063221331E-4</v>
      </c>
      <c r="K30" s="346">
        <f>IFERROR(VLOOKUP($B30,flows!$A$2:$J$4985,K$2,FALSE),0)</f>
        <v>9.6278721436034653E-6</v>
      </c>
      <c r="L30" s="336">
        <f>IFERROR(VLOOKUP($B30,flows!$A$2:$J$4985,L$2,FALSE),0)</f>
        <v>0</v>
      </c>
      <c r="Z30" s="468"/>
      <c r="AA30" s="862"/>
      <c r="AB30" s="862"/>
      <c r="AC30" s="92" t="s">
        <v>23</v>
      </c>
      <c r="AD30" s="92" t="s">
        <v>1798</v>
      </c>
      <c r="AE30" s="92" t="s">
        <v>1799</v>
      </c>
      <c r="AF30" s="92" t="s">
        <v>1800</v>
      </c>
      <c r="AG30" s="92" t="s">
        <v>1801</v>
      </c>
      <c r="AH30" s="92" t="s">
        <v>1802</v>
      </c>
      <c r="AI30" s="92" t="s">
        <v>1803</v>
      </c>
      <c r="AJ30" s="93" t="s">
        <v>4477</v>
      </c>
      <c r="BG30" s="40"/>
      <c r="BH30" s="365" t="s">
        <v>1162</v>
      </c>
      <c r="BI30" s="365" t="s">
        <v>1816</v>
      </c>
      <c r="BJ30" s="365">
        <f>BJ19</f>
        <v>19994.034243544658</v>
      </c>
      <c r="BK30" s="854">
        <f t="shared" ref="BK30:BQ30" si="33">BK19</f>
        <v>0</v>
      </c>
      <c r="BL30" s="854">
        <f t="shared" si="33"/>
        <v>11.1103123195491</v>
      </c>
      <c r="BM30" s="854">
        <f t="shared" si="33"/>
        <v>2052.9227293398508</v>
      </c>
      <c r="BN30" s="854">
        <f t="shared" si="33"/>
        <v>6262.7511512241936</v>
      </c>
      <c r="BO30" s="854">
        <f t="shared" si="33"/>
        <v>14900.681204055691</v>
      </c>
      <c r="BP30" s="854">
        <f t="shared" si="33"/>
        <v>19994.04384051351</v>
      </c>
      <c r="BQ30" s="854">
        <f t="shared" si="33"/>
        <v>0</v>
      </c>
      <c r="CH30" s="92" t="s">
        <v>3043</v>
      </c>
      <c r="CI30" s="468"/>
      <c r="CJ30" s="468"/>
      <c r="CK30" s="372">
        <f>IFERROR(VLOOKUP($CH30,flows!$A$2:$J$4985,CK$2,FALSE),0)</f>
        <v>5.0697623500984192E-3</v>
      </c>
      <c r="CL30" s="372">
        <f>IFERROR(VLOOKUP($CH30,flows!$A$2:$J$4985,CL$2,FALSE),0)</f>
        <v>2.7631565201900399E-2</v>
      </c>
      <c r="CM30" s="372">
        <f>IFERROR(VLOOKUP($CH30,flows!$A$2:$J$4985,CM$2,FALSE),0)</f>
        <v>0.6153921369129689</v>
      </c>
      <c r="CN30" s="372">
        <f>IFERROR(VLOOKUP($CH30,flows!$A$2:$J$4985,CN$2,FALSE),0)</f>
        <v>8.5060627060695487E-4</v>
      </c>
      <c r="CO30" s="372">
        <f>IFERROR(VLOOKUP($CH30,flows!$A$2:$J$4985,CO$2,FALSE),0)</f>
        <v>3.1270176403648802E-4</v>
      </c>
      <c r="CP30" s="372">
        <f>IFERROR(VLOOKUP($CH30,flows!$A$2:$J$4985,CP$2,FALSE),0)</f>
        <v>7.6742699902241135E-5</v>
      </c>
      <c r="CQ30" s="372">
        <f>IFERROR(VLOOKUP($CH30,flows!$A$2:$J$4985,CQ$2,FALSE),0)</f>
        <v>1.6314375055552201E-5</v>
      </c>
      <c r="CR30" s="372">
        <f>IFERROR(VLOOKUP($CH30,flows!$A$2:$J$4985,CR$2,FALSE),0)</f>
        <v>0</v>
      </c>
      <c r="CT30" s="992"/>
      <c r="CU30" s="92" t="s">
        <v>2681</v>
      </c>
      <c r="CV30" s="92" t="s">
        <v>2682</v>
      </c>
      <c r="CW30" s="463">
        <f t="shared" ref="CW30:DC30" si="34">(CW7+CW5)*11.85</f>
        <v>0.1155585484241158</v>
      </c>
      <c r="CX30" s="463">
        <f t="shared" si="34"/>
        <v>91013.380386003788</v>
      </c>
      <c r="CY30" s="463">
        <f t="shared" si="34"/>
        <v>100539.1631226145</v>
      </c>
      <c r="CZ30" s="463">
        <f t="shared" si="34"/>
        <v>102124.90635060036</v>
      </c>
      <c r="DA30" s="463">
        <f t="shared" si="34"/>
        <v>89928.520028104555</v>
      </c>
      <c r="DB30" s="463">
        <f t="shared" si="34"/>
        <v>29875.562534633085</v>
      </c>
      <c r="DC30" s="463">
        <f t="shared" si="34"/>
        <v>5.1056187386604873E-4</v>
      </c>
      <c r="DD30" s="478">
        <f>(DD7+DD5)*11.85</f>
        <v>0</v>
      </c>
      <c r="DG30" s="134" t="s">
        <v>3952</v>
      </c>
      <c r="DH30" s="92"/>
      <c r="DI30" s="92"/>
      <c r="DJ30" s="92">
        <f>IFERROR(VLOOKUP($DG30,flows!$A$2:$J$4985,DJ$2,FALSE),0)</f>
        <v>2523.1089171715271</v>
      </c>
      <c r="DK30" s="92">
        <f>IFERROR(VLOOKUP($DG30,flows!$A$2:$J$4985,DK$2,FALSE),0)</f>
        <v>1956.0964021294651</v>
      </c>
      <c r="DL30" s="92">
        <f>IFERROR(VLOOKUP($DG30,flows!$A$2:$J$4985,DL$2,FALSE),0)</f>
        <v>2069.4678856128849</v>
      </c>
      <c r="DM30" s="92">
        <f>IFERROR(VLOOKUP($DG30,flows!$A$2:$J$4985,DM$2,FALSE),0)</f>
        <v>2182.9090942881162</v>
      </c>
      <c r="DN30" s="92">
        <f>IFERROR(VLOOKUP($DG30,flows!$A$2:$J$4985,DN$2,FALSE),0)</f>
        <v>2296.319510180288</v>
      </c>
      <c r="DO30" s="92">
        <f>IFERROR(VLOOKUP($DG30,flows!$A$2:$J$4985,DO$2,FALSE),0)</f>
        <v>2409.728046008614</v>
      </c>
      <c r="DP30" s="92">
        <f>IFERROR(VLOOKUP($DG30,flows!$A$2:$J$4985,DP$2,FALSE),0)</f>
        <v>2523.1356941929312</v>
      </c>
      <c r="DQ30" s="93">
        <f>IFERROR(VLOOKUP($DG30,flows!$A$2:$J$4985,DQ$2,FALSE),0)</f>
        <v>0</v>
      </c>
    </row>
    <row r="31" spans="2:131" ht="15" thickBot="1" x14ac:dyDescent="0.4">
      <c r="B31" s="374" t="s">
        <v>3040</v>
      </c>
      <c r="C31" s="92"/>
      <c r="D31" s="92"/>
      <c r="E31" s="346">
        <f>IFERROR(VLOOKUP($B31,flows!$A$2:$J$4985,E$2,FALSE),0)</f>
        <v>0</v>
      </c>
      <c r="F31" s="346">
        <f>IFERROR(VLOOKUP($B31,flows!$A$2:$J$4985,F$2,FALSE),0)</f>
        <v>0</v>
      </c>
      <c r="G31" s="346">
        <f>IFERROR(VLOOKUP($B31,flows!$A$2:$J$4985,G$2,FALSE),0)</f>
        <v>0</v>
      </c>
      <c r="H31" s="346">
        <f>IFERROR(VLOOKUP($B31,flows!$A$2:$J$4985,H$2,FALSE),0)</f>
        <v>0</v>
      </c>
      <c r="I31" s="346">
        <f>IFERROR(VLOOKUP($B31,flows!$A$2:$J$4985,I$2,FALSE),0)</f>
        <v>0</v>
      </c>
      <c r="J31" s="346">
        <f>IFERROR(VLOOKUP($B31,flows!$A$2:$J$4985,J$2,FALSE),0)</f>
        <v>0</v>
      </c>
      <c r="K31" s="346">
        <f>IFERROR(VLOOKUP($B31,flows!$A$2:$J$4985,K$2,FALSE),0)</f>
        <v>0</v>
      </c>
      <c r="L31" s="336">
        <f>IFERROR(VLOOKUP($B31,flows!$A$2:$J$4985,L$2,FALSE),0)</f>
        <v>0</v>
      </c>
      <c r="Z31" s="468" t="s">
        <v>4210</v>
      </c>
      <c r="AA31" s="486" t="s">
        <v>4210</v>
      </c>
      <c r="AB31" s="486" t="s">
        <v>4210</v>
      </c>
      <c r="AC31" s="486">
        <f t="shared" ref="AC31:AI31" si="35">AC4+AC5</f>
        <v>83948.158971004072</v>
      </c>
      <c r="AD31" s="862">
        <f t="shared" si="35"/>
        <v>0</v>
      </c>
      <c r="AE31" s="862">
        <f t="shared" si="35"/>
        <v>2.1342400766088474</v>
      </c>
      <c r="AF31" s="862">
        <f t="shared" si="35"/>
        <v>8.8657215476634112E-3</v>
      </c>
      <c r="AG31" s="862">
        <f t="shared" si="35"/>
        <v>2.8075377267862186E-3</v>
      </c>
      <c r="AH31" s="862">
        <f t="shared" si="35"/>
        <v>12208.085275742049</v>
      </c>
      <c r="AI31" s="862">
        <f t="shared" si="35"/>
        <v>85370.605684428258</v>
      </c>
      <c r="AJ31" s="118">
        <v>60763.912383026014</v>
      </c>
      <c r="BG31" s="40"/>
      <c r="BH31" s="365" t="s">
        <v>1167</v>
      </c>
      <c r="BI31" s="365" t="s">
        <v>1340</v>
      </c>
      <c r="BJ31" s="365">
        <f>BJ17</f>
        <v>1327.499701174271</v>
      </c>
      <c r="BK31" s="862">
        <f t="shared" ref="BK31:BQ31" si="36">BK17</f>
        <v>15048.089657532269</v>
      </c>
      <c r="BL31" s="862">
        <f t="shared" si="36"/>
        <v>16226.034049588799</v>
      </c>
      <c r="BM31" s="862">
        <f t="shared" si="36"/>
        <v>15405.04917850946</v>
      </c>
      <c r="BN31" s="862">
        <f t="shared" si="36"/>
        <v>12453.17451525314</v>
      </c>
      <c r="BO31" s="862">
        <f t="shared" si="36"/>
        <v>5147.8333350546627</v>
      </c>
      <c r="BP31" s="862">
        <f t="shared" si="36"/>
        <v>1327.485688405879</v>
      </c>
      <c r="BQ31" s="862" t="e">
        <f t="shared" si="36"/>
        <v>#DIV/0!</v>
      </c>
      <c r="CI31" s="468" t="s">
        <v>4005</v>
      </c>
      <c r="CJ31" s="468" t="s">
        <v>4002</v>
      </c>
      <c r="CK31" s="372">
        <f>SUM(CK28:CK30)</f>
        <v>3.1921764139814839E-2</v>
      </c>
      <c r="CL31" s="372">
        <f>SUM(CL28:CL30)</f>
        <v>82208.135989748436</v>
      </c>
      <c r="CM31" s="372">
        <f t="shared" ref="CM31" si="37">SUM(CM28:CM30)</f>
        <v>73161.337946177504</v>
      </c>
      <c r="CN31" s="372">
        <f t="shared" ref="CN31" si="38">SUM(CN28:CN30)</f>
        <v>48670.325859224336</v>
      </c>
      <c r="CO31" s="372">
        <f t="shared" ref="CO31" si="39">SUM(CO28:CO30)</f>
        <v>36972.850397924689</v>
      </c>
      <c r="CP31" s="372">
        <f t="shared" ref="CP31" si="40">SUM(CP28:CP30)</f>
        <v>12858.220383169746</v>
      </c>
      <c r="CQ31" s="372">
        <f t="shared" ref="CQ31" si="41">SUM(CQ28:CQ30)</f>
        <v>1.3129535017584771E-4</v>
      </c>
      <c r="CR31" s="372">
        <f t="shared" ref="CR31" si="42">SUM(CR28:CR30)</f>
        <v>0</v>
      </c>
      <c r="CT31" s="993"/>
      <c r="CU31" s="138" t="s">
        <v>1209</v>
      </c>
      <c r="CV31" s="138" t="s">
        <v>1885</v>
      </c>
      <c r="CW31" s="479">
        <f>SUM(CW48:CW49)*CW24</f>
        <v>0</v>
      </c>
      <c r="CX31" s="479">
        <f t="shared" ref="CX31:DD31" si="43">SUM(CX48:CX49)*CX24</f>
        <v>0</v>
      </c>
      <c r="CY31" s="479">
        <f t="shared" si="43"/>
        <v>0</v>
      </c>
      <c r="CZ31" s="479">
        <f t="shared" si="43"/>
        <v>0</v>
      </c>
      <c r="DA31" s="479">
        <f t="shared" si="43"/>
        <v>0</v>
      </c>
      <c r="DB31" s="479">
        <f t="shared" si="43"/>
        <v>0</v>
      </c>
      <c r="DC31" s="479">
        <f t="shared" si="43"/>
        <v>0</v>
      </c>
      <c r="DD31" s="480" t="e">
        <f t="shared" si="43"/>
        <v>#DIV/0!</v>
      </c>
      <c r="DG31" s="134" t="s">
        <v>3964</v>
      </c>
      <c r="DH31" s="92"/>
      <c r="DI31" s="92"/>
      <c r="DJ31" s="92">
        <f>IFERROR(VLOOKUP($DG31,flows!$A$2:$J$4985,DJ$2,FALSE),0)</f>
        <v>6202.0707923068021</v>
      </c>
      <c r="DK31" s="92">
        <f>IFERROR(VLOOKUP($DG31,flows!$A$2:$J$4985,DK$2,FALSE),0)</f>
        <v>4808.2851523145</v>
      </c>
      <c r="DL31" s="92">
        <f>IFERROR(VLOOKUP($DG31,flows!$A$2:$J$4985,DL$2,FALSE),0)</f>
        <v>5087.0559091994846</v>
      </c>
      <c r="DM31" s="92">
        <f>IFERROR(VLOOKUP($DG31,flows!$A$2:$J$4985,DM$2,FALSE),0)</f>
        <v>5365.851034347751</v>
      </c>
      <c r="DN31" s="92">
        <f>IFERROR(VLOOKUP($DG31,flows!$A$2:$J$4985,DN$2,FALSE),0)</f>
        <v>5644.5748612695752</v>
      </c>
      <c r="DO31" s="92">
        <f>IFERROR(VLOOKUP($DG31,flows!$A$2:$J$4985,DO$2,FALSE),0)</f>
        <v>5923.297971742335</v>
      </c>
      <c r="DP31" s="92">
        <f>IFERROR(VLOOKUP($DG31,flows!$A$2:$J$4985,DP$2,FALSE),0)</f>
        <v>6202.0814464753421</v>
      </c>
      <c r="DQ31" s="93">
        <f>IFERROR(VLOOKUP($DG31,flows!$A$2:$J$4985,DQ$2,FALSE),0)</f>
        <v>0</v>
      </c>
    </row>
    <row r="32" spans="2:131" x14ac:dyDescent="0.35">
      <c r="B32" s="40"/>
      <c r="C32" s="92" t="s">
        <v>1160</v>
      </c>
      <c r="D32" s="92" t="s">
        <v>1815</v>
      </c>
      <c r="E32" s="93">
        <f>E17+E18+E21+E24+E26+E27</f>
        <v>25090.396974886269</v>
      </c>
      <c r="F32" s="93">
        <f t="shared" ref="F32:K32" si="44">F17+F18+F21+F24+F26+F27</f>
        <v>198.88110116796253</v>
      </c>
      <c r="G32" s="93">
        <f t="shared" si="44"/>
        <v>216.10587725586893</v>
      </c>
      <c r="H32" s="93">
        <f t="shared" si="44"/>
        <v>438.58033668599228</v>
      </c>
      <c r="I32" s="93">
        <f t="shared" si="44"/>
        <v>1053.0264968186341</v>
      </c>
      <c r="J32" s="93">
        <f t="shared" si="44"/>
        <v>2585.7566421481665</v>
      </c>
      <c r="K32" s="93">
        <f t="shared" si="44"/>
        <v>25046.160978676275</v>
      </c>
      <c r="L32" s="93">
        <f>L17+L18+L21+L24+L26+L27</f>
        <v>0</v>
      </c>
      <c r="Z32" s="468" t="s">
        <v>4213</v>
      </c>
      <c r="AA32" s="862" t="s">
        <v>4211</v>
      </c>
      <c r="AB32" s="862" t="s">
        <v>4212</v>
      </c>
      <c r="AC32" s="862">
        <f t="shared" ref="AC32:AI32" si="45">AC8</f>
        <v>0</v>
      </c>
      <c r="AD32" s="862">
        <f t="shared" si="45"/>
        <v>0</v>
      </c>
      <c r="AE32" s="862">
        <f t="shared" si="45"/>
        <v>0</v>
      </c>
      <c r="AF32" s="862">
        <f t="shared" si="45"/>
        <v>0</v>
      </c>
      <c r="AG32" s="862">
        <f t="shared" si="45"/>
        <v>0</v>
      </c>
      <c r="AH32" s="862">
        <f t="shared" si="45"/>
        <v>0</v>
      </c>
      <c r="AI32" s="862">
        <f t="shared" si="45"/>
        <v>0</v>
      </c>
      <c r="AJ32" s="118">
        <v>12874.444020311579</v>
      </c>
      <c r="BG32" s="40"/>
      <c r="BH32" s="854" t="s">
        <v>1413</v>
      </c>
      <c r="BI32" s="854" t="s">
        <v>1413</v>
      </c>
      <c r="BJ32" s="854">
        <f>BJ18</f>
        <v>0</v>
      </c>
      <c r="BK32" s="862">
        <f t="shared" ref="BK32:BQ32" si="46">BK18</f>
        <v>0</v>
      </c>
      <c r="BL32" s="862">
        <f t="shared" si="46"/>
        <v>0</v>
      </c>
      <c r="BM32" s="862">
        <f t="shared" si="46"/>
        <v>0</v>
      </c>
      <c r="BN32" s="862">
        <f t="shared" si="46"/>
        <v>0</v>
      </c>
      <c r="BO32" s="862">
        <f t="shared" si="46"/>
        <v>0</v>
      </c>
      <c r="BP32" s="862">
        <f t="shared" si="46"/>
        <v>0</v>
      </c>
      <c r="BQ32" s="862" t="e">
        <f t="shared" si="46"/>
        <v>#DIV/0!</v>
      </c>
      <c r="CT32" s="991" t="s">
        <v>1165</v>
      </c>
      <c r="CU32" s="89" t="s">
        <v>1162</v>
      </c>
      <c r="CV32" s="89" t="s">
        <v>1816</v>
      </c>
      <c r="CW32" s="477" t="e">
        <f>SUM(CW50:CW52)-CW28</f>
        <v>#DIV/0!</v>
      </c>
      <c r="CX32" s="477">
        <f t="shared" ref="CX32:DD32" si="47">SUM(CX50:CX52)-CX28</f>
        <v>0</v>
      </c>
      <c r="CY32" s="477" t="e">
        <f t="shared" si="47"/>
        <v>#DIV/0!</v>
      </c>
      <c r="CZ32" s="477" t="e">
        <f t="shared" si="47"/>
        <v>#DIV/0!</v>
      </c>
      <c r="DA32" s="477" t="e">
        <f t="shared" si="47"/>
        <v>#DIV/0!</v>
      </c>
      <c r="DB32" s="477" t="e">
        <f t="shared" si="47"/>
        <v>#DIV/0!</v>
      </c>
      <c r="DC32" s="477" t="e">
        <f t="shared" si="47"/>
        <v>#DIV/0!</v>
      </c>
      <c r="DD32" s="477" t="e">
        <f t="shared" si="47"/>
        <v>#DIV/0!</v>
      </c>
      <c r="DG32" s="134" t="s">
        <v>3960</v>
      </c>
      <c r="DH32" s="92"/>
      <c r="DI32" s="92"/>
      <c r="DJ32" s="92">
        <f>IFERROR(VLOOKUP($DG32,flows!$A$2:$J$4985,DJ$2,FALSE),0)</f>
        <v>1411.06092342023</v>
      </c>
      <c r="DK32" s="92">
        <f>IFERROR(VLOOKUP($DG32,flows!$A$2:$J$4985,DK$2,FALSE),0)</f>
        <v>1094.003903216397</v>
      </c>
      <c r="DL32" s="92">
        <f>IFERROR(VLOOKUP($DG32,flows!$A$2:$J$4985,DL$2,FALSE),0)</f>
        <v>1157.392798627865</v>
      </c>
      <c r="DM32" s="92">
        <f>IFERROR(VLOOKUP($DG32,flows!$A$2:$J$4985,DM$2,FALSE),0)</f>
        <v>1220.8859298714949</v>
      </c>
      <c r="DN32" s="92">
        <f>IFERROR(VLOOKUP($DG32,flows!$A$2:$J$4985,DN$2,FALSE),0)</f>
        <v>1284.272017679619</v>
      </c>
      <c r="DO32" s="92">
        <f>IFERROR(VLOOKUP($DG32,flows!$A$2:$J$4985,DO$2,FALSE),0)</f>
        <v>1347.6553605832171</v>
      </c>
      <c r="DP32" s="92">
        <f>IFERROR(VLOOKUP($DG32,flows!$A$2:$J$4985,DP$2,FALSE),0)</f>
        <v>1411.0981578611561</v>
      </c>
      <c r="DQ32" s="93">
        <f>IFERROR(VLOOKUP($DG32,flows!$A$2:$J$4985,DQ$2,FALSE),0)</f>
        <v>0</v>
      </c>
    </row>
    <row r="33" spans="2:121" ht="15" thickBot="1" x14ac:dyDescent="0.4">
      <c r="B33" s="40"/>
      <c r="C33" s="92" t="s">
        <v>1294</v>
      </c>
      <c r="D33" s="92" t="s">
        <v>1888</v>
      </c>
      <c r="E33" s="92">
        <f>E22+E19+E28</f>
        <v>1.7834663948631972</v>
      </c>
      <c r="F33" s="92">
        <f t="shared" ref="F33:K33" si="48">F22+F19+F28</f>
        <v>0</v>
      </c>
      <c r="G33" s="92">
        <f t="shared" si="48"/>
        <v>5.6738426153746282</v>
      </c>
      <c r="H33" s="92">
        <f t="shared" si="48"/>
        <v>2.2074612033678503E-3</v>
      </c>
      <c r="I33" s="92">
        <f t="shared" si="48"/>
        <v>0.14510032974412704</v>
      </c>
      <c r="J33" s="92">
        <f t="shared" si="48"/>
        <v>13.322478109914206</v>
      </c>
      <c r="K33" s="92">
        <f t="shared" si="48"/>
        <v>1.7086419856965689</v>
      </c>
      <c r="L33" s="92">
        <f>L22+L19+L28</f>
        <v>0</v>
      </c>
      <c r="Z33" s="468" t="s">
        <v>4214</v>
      </c>
      <c r="AA33" s="862" t="s">
        <v>4215</v>
      </c>
      <c r="AB33" s="862" t="s">
        <v>4216</v>
      </c>
      <c r="AC33" s="862" t="e">
        <f>AC10+AC13+AC16+AC25+AC27+(AC14+AC15)*Erdgas!F16+'Chemische Industrie'!AC18*'Chemische Industrie'!E16/'Chemische Industrie'!E14+'Chemische Industrie'!AC22*'Chemische Industrie'!BJ17/'Chemische Industrie'!BJ16</f>
        <v>#N/A</v>
      </c>
      <c r="AD33" s="862" t="e">
        <f>AD10+AD13+AD16+AD25+AD27+(AD14+AD15)*Erdgas!G16+'Chemische Industrie'!AD18*'Chemische Industrie'!F16/'Chemische Industrie'!F14+'Chemische Industrie'!AD22*'Chemische Industrie'!BK17/'Chemische Industrie'!BK16</f>
        <v>#N/A</v>
      </c>
      <c r="AE33" s="862" t="e">
        <f>AE10+AE13+AE16+AE25+AE27+(AE14+AE15)*Erdgas!H16+'Chemische Industrie'!AE18*'Chemische Industrie'!G16/'Chemische Industrie'!G14+'Chemische Industrie'!AE22*'Chemische Industrie'!BL17/'Chemische Industrie'!BL16</f>
        <v>#N/A</v>
      </c>
      <c r="AF33" s="862" t="e">
        <f>AF10+AF13+AF16+AF25+AF27+(AF14+AF15)*Erdgas!I16+'Chemische Industrie'!AF18*'Chemische Industrie'!H16/'Chemische Industrie'!H14+'Chemische Industrie'!AF22*'Chemische Industrie'!BM17/'Chemische Industrie'!BM16</f>
        <v>#N/A</v>
      </c>
      <c r="AG33" s="862" t="e">
        <f>AG10+AG13+AG16+AG25+AG27+(AG14+AG15)*Erdgas!J16+'Chemische Industrie'!AG18*'Chemische Industrie'!I16/'Chemische Industrie'!I14+'Chemische Industrie'!AG22*'Chemische Industrie'!BN17/'Chemische Industrie'!BN16</f>
        <v>#N/A</v>
      </c>
      <c r="AH33" s="862" t="e">
        <f>AH10+AH13+AH16+AH25+AH27+(AH14+AH15)*Erdgas!K16+'Chemische Industrie'!AH18*'Chemische Industrie'!J16/'Chemische Industrie'!J14+'Chemische Industrie'!AH22*'Chemische Industrie'!BO17/'Chemische Industrie'!BO16</f>
        <v>#N/A</v>
      </c>
      <c r="AI33" s="862" t="e">
        <f>AI10+AI13+AI16+AI25+AI27+(AI14+AI15)*Erdgas!L16+'Chemische Industrie'!AI18*'Chemische Industrie'!K16/'Chemische Industrie'!K14+'Chemische Industrie'!AI22*'Chemische Industrie'!BP17/'Chemische Industrie'!BP16</f>
        <v>#N/A</v>
      </c>
      <c r="AJ33" s="118">
        <v>498.8588102881032</v>
      </c>
      <c r="BG33" s="41"/>
      <c r="BH33" s="77" t="s">
        <v>2360</v>
      </c>
      <c r="BI33" s="77" t="s">
        <v>2684</v>
      </c>
      <c r="BJ33" s="77">
        <f>SUM(BJ28:BJ32)</f>
        <v>28033.430333191453</v>
      </c>
      <c r="BK33" s="77">
        <f t="shared" ref="BK33:BQ33" si="49">SUM(BK28:BK32)</f>
        <v>25117.12684823147</v>
      </c>
      <c r="BL33" s="77">
        <f t="shared" si="49"/>
        <v>27098.150078922474</v>
      </c>
      <c r="BM33" s="77">
        <f t="shared" si="49"/>
        <v>28361.016596940754</v>
      </c>
      <c r="BN33" s="77">
        <f t="shared" si="49"/>
        <v>28872.758384328266</v>
      </c>
      <c r="BO33" s="77">
        <f t="shared" si="49"/>
        <v>27918.635178865439</v>
      </c>
      <c r="BP33" s="77">
        <f t="shared" si="49"/>
        <v>28033.420898211476</v>
      </c>
      <c r="BQ33" s="77" t="e">
        <f t="shared" si="49"/>
        <v>#DIV/0!</v>
      </c>
      <c r="CT33" s="992"/>
      <c r="CU33" s="92" t="s">
        <v>3029</v>
      </c>
      <c r="CV33" s="92" t="s">
        <v>3029</v>
      </c>
      <c r="CW33" s="463">
        <f>CW25*CW45</f>
        <v>0</v>
      </c>
      <c r="CX33" s="463">
        <f t="shared" ref="CX33:DD33" si="50">CX25*CX45</f>
        <v>0</v>
      </c>
      <c r="CY33" s="463">
        <f t="shared" si="50"/>
        <v>0</v>
      </c>
      <c r="CZ33" s="463">
        <f t="shared" si="50"/>
        <v>0</v>
      </c>
      <c r="DA33" s="463">
        <f t="shared" si="50"/>
        <v>0</v>
      </c>
      <c r="DB33" s="463">
        <f t="shared" si="50"/>
        <v>0</v>
      </c>
      <c r="DC33" s="463">
        <f t="shared" si="50"/>
        <v>0</v>
      </c>
      <c r="DD33" s="478" t="e">
        <f t="shared" si="50"/>
        <v>#DIV/0!</v>
      </c>
      <c r="DG33" s="134"/>
      <c r="DH33" s="92"/>
      <c r="DI33" s="92"/>
      <c r="DJ33" s="92"/>
      <c r="DK33" s="92"/>
      <c r="DL33" s="92"/>
      <c r="DM33" s="92"/>
      <c r="DN33" s="92"/>
      <c r="DO33" s="92"/>
      <c r="DP33" s="92"/>
      <c r="DQ33" s="93"/>
    </row>
    <row r="34" spans="2:121" x14ac:dyDescent="0.35">
      <c r="B34" s="40"/>
      <c r="C34" s="92" t="s">
        <v>1162</v>
      </c>
      <c r="D34" s="92" t="s">
        <v>1816</v>
      </c>
      <c r="E34" s="92">
        <f t="shared" ref="E34:L34" si="51">E23</f>
        <v>104511.4136197503</v>
      </c>
      <c r="F34" s="92">
        <f t="shared" si="51"/>
        <v>0</v>
      </c>
      <c r="G34" s="92">
        <f t="shared" si="51"/>
        <v>3.10998941178803</v>
      </c>
      <c r="H34" s="92">
        <f t="shared" si="51"/>
        <v>1.717662760262742E-2</v>
      </c>
      <c r="I34" s="92">
        <f t="shared" si="51"/>
        <v>1.8831213207467921E-2</v>
      </c>
      <c r="J34" s="92">
        <f t="shared" si="51"/>
        <v>1.3604642614255839E-3</v>
      </c>
      <c r="K34" s="92">
        <f t="shared" si="51"/>
        <v>104344.81818443909</v>
      </c>
      <c r="L34" s="93">
        <f t="shared" si="51"/>
        <v>0</v>
      </c>
      <c r="Z34" s="468" t="s">
        <v>3148</v>
      </c>
      <c r="AA34" s="486" t="s">
        <v>3139</v>
      </c>
      <c r="AB34" s="486" t="s">
        <v>3148</v>
      </c>
      <c r="AC34" s="486" t="e">
        <f>AC6+AC12+AC19+AC26+AC24+AC7+AC18*E15/E14+AC22*BJ18/BJ16</f>
        <v>#N/A</v>
      </c>
      <c r="AD34" s="862" t="e">
        <f t="shared" ref="AD34:AI34" si="52">AD6+AD12+AD19+AD26+AD24+AD7+AD18*F15/F14+AD22*BK18/BK16</f>
        <v>#N/A</v>
      </c>
      <c r="AE34" s="862" t="e">
        <f>AE6+AE12+AE19+AE26+AE24+AE7+AE18*G15/G14+AE22*BL18/BL16</f>
        <v>#N/A</v>
      </c>
      <c r="AF34" s="862" t="e">
        <f t="shared" si="52"/>
        <v>#N/A</v>
      </c>
      <c r="AG34" s="862" t="e">
        <f t="shared" si="52"/>
        <v>#N/A</v>
      </c>
      <c r="AH34" s="862" t="e">
        <f t="shared" si="52"/>
        <v>#N/A</v>
      </c>
      <c r="AI34" s="862" t="e">
        <f t="shared" si="52"/>
        <v>#N/A</v>
      </c>
      <c r="AJ34" s="118">
        <v>40490.864486727456</v>
      </c>
      <c r="BH34" s="365" t="s">
        <v>2685</v>
      </c>
      <c r="BI34" s="365">
        <f>120/132.5</f>
        <v>0.90566037735849059</v>
      </c>
      <c r="CH34" s="40" t="s">
        <v>3101</v>
      </c>
      <c r="CK34" s="372">
        <f>IFERROR(VLOOKUP($CH34,flows!$A$2:$J$4985,CK$2,FALSE),0)</f>
        <v>0</v>
      </c>
      <c r="CL34" s="372">
        <f>IFERROR(VLOOKUP($CH34,flows!$A$2:$J$4985,CL$2,FALSE),0)</f>
        <v>0</v>
      </c>
      <c r="CM34" s="372">
        <f>IFERROR(VLOOKUP($CH34,flows!$A$2:$J$4985,CM$2,FALSE),0)</f>
        <v>0</v>
      </c>
      <c r="CN34" s="372">
        <f>IFERROR(VLOOKUP($CH34,flows!$A$2:$J$4985,CN$2,FALSE),0)</f>
        <v>0</v>
      </c>
      <c r="CO34" s="372">
        <f>IFERROR(VLOOKUP($CH34,flows!$A$2:$J$4985,CO$2,FALSE),0)</f>
        <v>0</v>
      </c>
      <c r="CP34" s="372">
        <f>IFERROR(VLOOKUP($CH34,flows!$A$2:$J$4985,CP$2,FALSE),0)</f>
        <v>0</v>
      </c>
      <c r="CQ34" s="372">
        <f>IFERROR(VLOOKUP($CH34,flows!$A$2:$J$4985,CQ$2,FALSE),0)</f>
        <v>0</v>
      </c>
      <c r="CR34" s="372">
        <f>IFERROR(VLOOKUP($CH34,flows!$A$2:$J$4985,CR$2,FALSE),0)</f>
        <v>0</v>
      </c>
      <c r="CT34" s="992"/>
      <c r="CU34" s="92" t="s">
        <v>2681</v>
      </c>
      <c r="CV34" s="92" t="s">
        <v>2682</v>
      </c>
      <c r="CW34" s="463">
        <f>SUM(CW14:CW16)*CW27</f>
        <v>4.6083492523563687E-3</v>
      </c>
      <c r="CX34" s="463">
        <f t="shared" ref="CX34:DD34" si="53">SUM(CX14:CX16)*CX27</f>
        <v>229913.22233336398</v>
      </c>
      <c r="CY34" s="463">
        <f t="shared" si="53"/>
        <v>206783.07127582375</v>
      </c>
      <c r="CZ34" s="463">
        <f t="shared" si="53"/>
        <v>134273.79403174229</v>
      </c>
      <c r="DA34" s="463">
        <f t="shared" si="53"/>
        <v>89653.894243181407</v>
      </c>
      <c r="DB34" s="463">
        <f t="shared" si="53"/>
        <v>29038.624665010833</v>
      </c>
      <c r="DC34" s="463">
        <f t="shared" si="53"/>
        <v>1.5889059354883147E-5</v>
      </c>
      <c r="DD34" s="478" t="e">
        <f t="shared" si="53"/>
        <v>#DIV/0!</v>
      </c>
      <c r="DG34" s="134" t="s">
        <v>3969</v>
      </c>
      <c r="DH34" s="92"/>
      <c r="DI34" s="92"/>
      <c r="DJ34" s="92">
        <f>IFERROR(VLOOKUP($DG34,flows!$A$2:$J$4985,DJ$2,FALSE),0)</f>
        <v>1.406602972694914E-2</v>
      </c>
      <c r="DK34" s="92">
        <f>IFERROR(VLOOKUP($DG34,flows!$A$2:$J$4985,DK$2,FALSE),0)</f>
        <v>9.0841961454506777E-4</v>
      </c>
      <c r="DL34" s="92">
        <f>IFERROR(VLOOKUP($DG34,flows!$A$2:$J$4985,DL$2,FALSE),0)</f>
        <v>2.0583843826902849E-2</v>
      </c>
      <c r="DM34" s="92">
        <f>IFERROR(VLOOKUP($DG34,flows!$A$2:$J$4985,DM$2,FALSE),0)</f>
        <v>2.1336109697787211E-3</v>
      </c>
      <c r="DN34" s="92">
        <f>IFERROR(VLOOKUP($DG34,flows!$A$2:$J$4985,DN$2,FALSE),0)</f>
        <v>6.2635959789866043E-4</v>
      </c>
      <c r="DO34" s="92">
        <f>IFERROR(VLOOKUP($DG34,flows!$A$2:$J$4985,DO$2,FALSE),0)</f>
        <v>1.056245991446959E-4</v>
      </c>
      <c r="DP34" s="92">
        <f>IFERROR(VLOOKUP($DG34,flows!$A$2:$J$4985,DP$2,FALSE),0)</f>
        <v>5.2828044985076031E-5</v>
      </c>
      <c r="DQ34" s="93">
        <f>IFERROR(VLOOKUP($DG34,flows!$A$2:$J$4985,DQ$2,FALSE),0)</f>
        <v>0</v>
      </c>
    </row>
    <row r="35" spans="2:121" ht="15" thickBot="1" x14ac:dyDescent="0.4">
      <c r="B35" s="40"/>
      <c r="C35" s="92" t="s">
        <v>1167</v>
      </c>
      <c r="D35" s="92" t="s">
        <v>1340</v>
      </c>
      <c r="E35" s="92">
        <f>E16</f>
        <v>15886.69895914054</v>
      </c>
      <c r="F35" s="92">
        <f t="shared" ref="F35:L35" si="54">F16</f>
        <v>4557.5414327415228</v>
      </c>
      <c r="G35" s="92">
        <f t="shared" si="54"/>
        <v>5127.0050497940692</v>
      </c>
      <c r="H35" s="92">
        <f t="shared" si="54"/>
        <v>26012.246016510489</v>
      </c>
      <c r="I35" s="92">
        <f t="shared" si="54"/>
        <v>62117.568804889161</v>
      </c>
      <c r="J35" s="92">
        <f t="shared" si="54"/>
        <v>122117.9383480804</v>
      </c>
      <c r="K35" s="92">
        <f t="shared" si="54"/>
        <v>15661.179898431221</v>
      </c>
      <c r="L35" s="92" t="e">
        <f t="shared" si="54"/>
        <v>#DIV/0!</v>
      </c>
      <c r="CH35" s="40" t="s">
        <v>3102</v>
      </c>
      <c r="CK35" s="372">
        <f>IFERROR(VLOOKUP($CH35,flows!$A$2:$J$4985,CK$2,FALSE),0)</f>
        <v>0</v>
      </c>
      <c r="CL35" s="372">
        <f>IFERROR(VLOOKUP($CH35,flows!$A$2:$J$4985,CL$2,FALSE),0)</f>
        <v>0</v>
      </c>
      <c r="CM35" s="372">
        <f>IFERROR(VLOOKUP($CH35,flows!$A$2:$J$4985,CM$2,FALSE),0)</f>
        <v>0</v>
      </c>
      <c r="CN35" s="372">
        <f>IFERROR(VLOOKUP($CH35,flows!$A$2:$J$4985,CN$2,FALSE),0)</f>
        <v>0</v>
      </c>
      <c r="CO35" s="372">
        <f>IFERROR(VLOOKUP($CH35,flows!$A$2:$J$4985,CO$2,FALSE),0)</f>
        <v>0</v>
      </c>
      <c r="CP35" s="372">
        <f>IFERROR(VLOOKUP($CH35,flows!$A$2:$J$4985,CP$2,FALSE),0)</f>
        <v>0</v>
      </c>
      <c r="CQ35" s="372">
        <f>IFERROR(VLOOKUP($CH35,flows!$A$2:$J$4985,CQ$2,FALSE),0)</f>
        <v>0</v>
      </c>
      <c r="CR35" s="372">
        <f>IFERROR(VLOOKUP($CH35,flows!$A$2:$J$4985,CR$2,FALSE),0)</f>
        <v>0</v>
      </c>
      <c r="CT35" s="993"/>
      <c r="CU35" s="138" t="s">
        <v>1209</v>
      </c>
      <c r="CV35" s="138" t="s">
        <v>1885</v>
      </c>
      <c r="CW35" s="479">
        <f t="shared" ref="CW35:DD35" si="55">SUM(CW48:CW49)*CW25</f>
        <v>0</v>
      </c>
      <c r="CX35" s="479">
        <f t="shared" si="55"/>
        <v>0</v>
      </c>
      <c r="CY35" s="479">
        <f t="shared" si="55"/>
        <v>0</v>
      </c>
      <c r="CZ35" s="479">
        <f t="shared" si="55"/>
        <v>0</v>
      </c>
      <c r="DA35" s="479">
        <f t="shared" si="55"/>
        <v>0</v>
      </c>
      <c r="DB35" s="479">
        <f t="shared" si="55"/>
        <v>0</v>
      </c>
      <c r="DC35" s="479">
        <f t="shared" si="55"/>
        <v>0</v>
      </c>
      <c r="DD35" s="480" t="e">
        <f t="shared" si="55"/>
        <v>#DIV/0!</v>
      </c>
      <c r="DG35" s="134" t="s">
        <v>3958</v>
      </c>
      <c r="DH35" s="92"/>
      <c r="DI35" s="92"/>
      <c r="DJ35" s="92">
        <f>IFERROR(VLOOKUP($DG35,flows!$A$2:$J$4985,DJ$2,FALSE),0)</f>
        <v>6.8043825716302894E-3</v>
      </c>
      <c r="DK35" s="92">
        <f>IFERROR(VLOOKUP($DG35,flows!$A$2:$J$4985,DK$2,FALSE),0)</f>
        <v>3.844218431597822E-4</v>
      </c>
      <c r="DL35" s="92">
        <f>IFERROR(VLOOKUP($DG35,flows!$A$2:$J$4985,DL$2,FALSE),0)</f>
        <v>9.0257699021639246E-3</v>
      </c>
      <c r="DM35" s="92">
        <f>IFERROR(VLOOKUP($DG35,flows!$A$2:$J$4985,DM$2,FALSE),0)</f>
        <v>9.5810504495496727E-4</v>
      </c>
      <c r="DN35" s="92">
        <f>IFERROR(VLOOKUP($DG35,flows!$A$2:$J$4985,DN$2,FALSE),0)</f>
        <v>2.8916210462060329E-4</v>
      </c>
      <c r="DO35" s="92">
        <f>IFERROR(VLOOKUP($DG35,flows!$A$2:$J$4985,DO$2,FALSE),0)</f>
        <v>4.9889669115115443E-5</v>
      </c>
      <c r="DP35" s="92">
        <f>IFERROR(VLOOKUP($DG35,flows!$A$2:$J$4985,DP$2,FALSE),0)</f>
        <v>2.5534378211483599E-5</v>
      </c>
      <c r="DQ35" s="93">
        <f>IFERROR(VLOOKUP($DG35,flows!$A$2:$J$4985,DQ$2,FALSE),0)</f>
        <v>0</v>
      </c>
    </row>
    <row r="36" spans="2:121" x14ac:dyDescent="0.35">
      <c r="B36" s="40"/>
      <c r="C36" s="92" t="s">
        <v>1209</v>
      </c>
      <c r="D36" s="92" t="s">
        <v>1885</v>
      </c>
      <c r="E36" s="92">
        <f>E15+E6</f>
        <v>1.510695086941379E-2</v>
      </c>
      <c r="F36" s="92">
        <f t="shared" ref="F36:L36" si="56">F15+F6</f>
        <v>0</v>
      </c>
      <c r="G36" s="92">
        <f t="shared" si="56"/>
        <v>1.69418573722554</v>
      </c>
      <c r="H36" s="92">
        <f t="shared" si="56"/>
        <v>6.0665292013843827E-4</v>
      </c>
      <c r="I36" s="92">
        <f t="shared" si="56"/>
        <v>1.6945242657136851E-4</v>
      </c>
      <c r="J36" s="92">
        <f t="shared" si="56"/>
        <v>2.3938098239038551E-5</v>
      </c>
      <c r="K36" s="92">
        <f t="shared" si="56"/>
        <v>2.7980879004743911E-5</v>
      </c>
      <c r="L36" s="92" t="e">
        <f t="shared" si="56"/>
        <v>#DIV/0!</v>
      </c>
      <c r="N36" s="846"/>
      <c r="CH36" s="40" t="s">
        <v>3103</v>
      </c>
      <c r="CK36" s="372">
        <f>IFERROR(VLOOKUP($CH36,flows!$A$2:$J$4985,CK$2,FALSE),0)</f>
        <v>0</v>
      </c>
      <c r="CL36" s="372">
        <f>IFERROR(VLOOKUP($CH36,flows!$A$2:$J$4985,CL$2,FALSE),0)</f>
        <v>0</v>
      </c>
      <c r="CM36" s="372">
        <f>IFERROR(VLOOKUP($CH36,flows!$A$2:$J$4985,CM$2,FALSE),0)</f>
        <v>0</v>
      </c>
      <c r="CN36" s="372">
        <f>IFERROR(VLOOKUP($CH36,flows!$A$2:$J$4985,CN$2,FALSE),0)</f>
        <v>0</v>
      </c>
      <c r="CO36" s="372">
        <f>IFERROR(VLOOKUP($CH36,flows!$A$2:$J$4985,CO$2,FALSE),0)</f>
        <v>0</v>
      </c>
      <c r="CP36" s="372">
        <f>IFERROR(VLOOKUP($CH36,flows!$A$2:$J$4985,CP$2,FALSE),0)</f>
        <v>0</v>
      </c>
      <c r="CQ36" s="372">
        <f>IFERROR(VLOOKUP($CH36,flows!$A$2:$J$4985,CQ$2,FALSE),0)</f>
        <v>0</v>
      </c>
      <c r="CR36" s="372">
        <f>IFERROR(VLOOKUP($CH36,flows!$A$2:$J$4985,CR$2,FALSE),0)</f>
        <v>0</v>
      </c>
      <c r="CT36" s="483"/>
      <c r="CU36" s="137"/>
      <c r="CV36" s="137"/>
      <c r="CW36" s="463"/>
      <c r="CX36" s="463"/>
      <c r="CY36" s="463"/>
      <c r="CZ36" s="463"/>
      <c r="DA36" s="463"/>
      <c r="DB36" s="463"/>
      <c r="DC36" s="463"/>
      <c r="DD36" s="463"/>
      <c r="DG36" s="134" t="s">
        <v>3954</v>
      </c>
      <c r="DH36" s="92"/>
      <c r="DI36" s="92"/>
      <c r="DJ36" s="92">
        <f>IFERROR(VLOOKUP($DG36,flows!$A$2:$J$4985,DJ$2,FALSE),0)</f>
        <v>2.690808948723725E-2</v>
      </c>
      <c r="DK36" s="92">
        <f>IFERROR(VLOOKUP($DG36,flows!$A$2:$J$4985,DK$2,FALSE),0)</f>
        <v>1.7229850380806671E-3</v>
      </c>
      <c r="DL36" s="92">
        <f>IFERROR(VLOOKUP($DG36,flows!$A$2:$J$4985,DL$2,FALSE),0)</f>
        <v>3.9307461244799162E-2</v>
      </c>
      <c r="DM36" s="92">
        <f>IFERROR(VLOOKUP($DG36,flows!$A$2:$J$4985,DM$2,FALSE),0)</f>
        <v>4.0624438511704724E-3</v>
      </c>
      <c r="DN36" s="92">
        <f>IFERROR(VLOOKUP($DG36,flows!$A$2:$J$4985,DN$2,FALSE),0)</f>
        <v>1.1924726718393491E-3</v>
      </c>
      <c r="DO36" s="92">
        <f>IFERROR(VLOOKUP($DG36,flows!$A$2:$J$4985,DO$2,FALSE),0)</f>
        <v>2.0216756524166481E-4</v>
      </c>
      <c r="DP36" s="92">
        <f>IFERROR(VLOOKUP($DG36,flows!$A$2:$J$4985,DP$2,FALSE),0)</f>
        <v>1.012874014141582E-4</v>
      </c>
      <c r="DQ36" s="93">
        <f>IFERROR(VLOOKUP($DG36,flows!$A$2:$J$4985,DQ$2,FALSE),0)</f>
        <v>0</v>
      </c>
    </row>
    <row r="37" spans="2:121" x14ac:dyDescent="0.35">
      <c r="B37" s="40"/>
      <c r="C37" s="92" t="s">
        <v>2880</v>
      </c>
      <c r="D37" s="92" t="s">
        <v>2881</v>
      </c>
      <c r="E37" s="92">
        <f t="shared" ref="E37:L38" si="57">E29</f>
        <v>3.8967621192072512E-2</v>
      </c>
      <c r="F37" s="92">
        <f t="shared" si="57"/>
        <v>5966.4328714406338</v>
      </c>
      <c r="G37" s="92">
        <f t="shared" si="57"/>
        <v>6236.4313136903056</v>
      </c>
      <c r="H37" s="92">
        <f t="shared" si="57"/>
        <v>3.7130742779879683E-2</v>
      </c>
      <c r="I37" s="92">
        <f t="shared" si="57"/>
        <v>1.237977689196699E-2</v>
      </c>
      <c r="J37" s="92">
        <f t="shared" si="57"/>
        <v>3.3511689463335149E-3</v>
      </c>
      <c r="K37" s="92">
        <f t="shared" si="57"/>
        <v>2.0086599066787691E-4</v>
      </c>
      <c r="L37" s="93">
        <f t="shared" si="57"/>
        <v>0</v>
      </c>
      <c r="Z37" s="862"/>
      <c r="AA37" s="862"/>
      <c r="AB37" s="862"/>
      <c r="AC37" s="862"/>
      <c r="AD37" s="862"/>
      <c r="AE37" s="862"/>
      <c r="AF37" s="862"/>
      <c r="AG37" s="862"/>
      <c r="AH37" s="862"/>
      <c r="AI37" s="862"/>
      <c r="AJ37" s="862"/>
      <c r="CK37" s="862">
        <f>SUM(CK34:CK36)</f>
        <v>0</v>
      </c>
      <c r="CL37" s="862">
        <f t="shared" ref="CL37:CR37" si="58">SUM(CL34:CL36)</f>
        <v>0</v>
      </c>
      <c r="CM37" s="862">
        <f t="shared" si="58"/>
        <v>0</v>
      </c>
      <c r="CN37" s="862">
        <f t="shared" si="58"/>
        <v>0</v>
      </c>
      <c r="CO37" s="862">
        <f t="shared" si="58"/>
        <v>0</v>
      </c>
      <c r="CP37" s="862">
        <f t="shared" si="58"/>
        <v>0</v>
      </c>
      <c r="CQ37" s="862">
        <f t="shared" si="58"/>
        <v>0</v>
      </c>
      <c r="CR37" s="862">
        <f t="shared" si="58"/>
        <v>0</v>
      </c>
      <c r="CT37" s="994" t="s">
        <v>3072</v>
      </c>
      <c r="CU37" s="92"/>
      <c r="CV37" s="137" t="s">
        <v>3030</v>
      </c>
      <c r="CW37" s="461" t="e">
        <f t="shared" ref="CW37:DB37" si="59">SUM(CW9:CW11)/SUM(CW9:CW13)</f>
        <v>#DIV/0!</v>
      </c>
      <c r="CX37" s="461">
        <v>0</v>
      </c>
      <c r="CY37" s="461" t="e">
        <f t="shared" si="59"/>
        <v>#DIV/0!</v>
      </c>
      <c r="CZ37" s="461" t="e">
        <f t="shared" si="59"/>
        <v>#DIV/0!</v>
      </c>
      <c r="DA37" s="461" t="e">
        <f t="shared" si="59"/>
        <v>#DIV/0!</v>
      </c>
      <c r="DB37" s="461" t="e">
        <f t="shared" si="59"/>
        <v>#DIV/0!</v>
      </c>
      <c r="DC37" s="461" t="e">
        <f>SUM(DC9:DC11)/SUM(DC9:DC13)</f>
        <v>#DIV/0!</v>
      </c>
      <c r="DD37" s="461" t="e">
        <f>SUM(DD9:DD11)/SUM(DD9:DD13)</f>
        <v>#DIV/0!</v>
      </c>
      <c r="DG37" s="134" t="s">
        <v>3970</v>
      </c>
      <c r="DH37" s="92"/>
      <c r="DI37" s="92"/>
      <c r="DJ37" s="92">
        <f>IFERROR(VLOOKUP($DG37,flows!$A$2:$J$4985,DJ$2,FALSE),0)</f>
        <v>0</v>
      </c>
      <c r="DK37" s="92">
        <f>IFERROR(VLOOKUP($DG37,flows!$A$2:$J$4985,DK$2,FALSE),0)</f>
        <v>0</v>
      </c>
      <c r="DL37" s="92">
        <f>IFERROR(VLOOKUP($DG37,flows!$A$2:$J$4985,DL$2,FALSE),0)</f>
        <v>0</v>
      </c>
      <c r="DM37" s="92">
        <f>IFERROR(VLOOKUP($DG37,flows!$A$2:$J$4985,DM$2,FALSE),0)</f>
        <v>0</v>
      </c>
      <c r="DN37" s="92">
        <f>IFERROR(VLOOKUP($DG37,flows!$A$2:$J$4985,DN$2,FALSE),0)</f>
        <v>0</v>
      </c>
      <c r="DO37" s="92">
        <f>IFERROR(VLOOKUP($DG37,flows!$A$2:$J$4985,DO$2,FALSE),0)</f>
        <v>0</v>
      </c>
      <c r="DP37" s="92">
        <f>IFERROR(VLOOKUP($DG37,flows!$A$2:$J$4985,DP$2,FALSE),0)</f>
        <v>0</v>
      </c>
      <c r="DQ37" s="93">
        <f>IFERROR(VLOOKUP($DG37,flows!$A$2:$J$4985,DQ$2,FALSE),0)</f>
        <v>0</v>
      </c>
    </row>
    <row r="38" spans="2:121" x14ac:dyDescent="0.35">
      <c r="B38" s="40"/>
      <c r="C38" s="92" t="s">
        <v>2267</v>
      </c>
      <c r="D38" s="92" t="s">
        <v>1949</v>
      </c>
      <c r="E38" s="92">
        <f t="shared" si="57"/>
        <v>1.867788933956384E-3</v>
      </c>
      <c r="F38" s="92">
        <f t="shared" si="57"/>
        <v>285.98197558791588</v>
      </c>
      <c r="G38" s="92">
        <f t="shared" si="57"/>
        <v>298.92349183120132</v>
      </c>
      <c r="H38" s="92">
        <f t="shared" si="57"/>
        <v>1.779744011881051E-3</v>
      </c>
      <c r="I38" s="92">
        <f t="shared" si="57"/>
        <v>5.9338521511723575E-4</v>
      </c>
      <c r="J38" s="92">
        <f t="shared" si="57"/>
        <v>1.6062762063221331E-4</v>
      </c>
      <c r="K38" s="92">
        <f t="shared" si="57"/>
        <v>9.6278721436034653E-6</v>
      </c>
      <c r="L38" s="93">
        <f t="shared" si="57"/>
        <v>0</v>
      </c>
      <c r="Z38" s="862"/>
      <c r="AA38" s="862"/>
      <c r="AB38" s="862"/>
      <c r="AC38" s="862"/>
      <c r="AD38" s="862"/>
      <c r="AE38" s="862"/>
      <c r="AF38" s="862"/>
      <c r="AG38" s="862"/>
      <c r="AH38" s="862"/>
      <c r="AI38" s="862"/>
      <c r="AJ38" s="862"/>
      <c r="CT38" s="994"/>
      <c r="CU38" s="92"/>
      <c r="CV38" s="137" t="s">
        <v>3031</v>
      </c>
      <c r="CW38" s="461" t="e">
        <f>SUM(CW12)/SUM(CW9:CW13)</f>
        <v>#DIV/0!</v>
      </c>
      <c r="CX38" s="461">
        <v>0</v>
      </c>
      <c r="CY38" s="461" t="e">
        <f t="shared" ref="CY38:DD38" si="60">SUM(CY12)/SUM(CY9:CY13)</f>
        <v>#DIV/0!</v>
      </c>
      <c r="CZ38" s="461" t="e">
        <f t="shared" si="60"/>
        <v>#DIV/0!</v>
      </c>
      <c r="DA38" s="461" t="e">
        <f t="shared" si="60"/>
        <v>#DIV/0!</v>
      </c>
      <c r="DB38" s="461" t="e">
        <f t="shared" si="60"/>
        <v>#DIV/0!</v>
      </c>
      <c r="DC38" s="461" t="e">
        <f t="shared" si="60"/>
        <v>#DIV/0!</v>
      </c>
      <c r="DD38" s="461" t="e">
        <f t="shared" si="60"/>
        <v>#DIV/0!</v>
      </c>
      <c r="DG38" s="134" t="s">
        <v>3962</v>
      </c>
      <c r="DH38" s="92"/>
      <c r="DI38" s="92"/>
      <c r="DJ38" s="92">
        <f>IFERROR(VLOOKUP($DG38,flows!$A$2:$J$4985,DJ$2,FALSE),0)</f>
        <v>3.7405222331866522E-2</v>
      </c>
      <c r="DK38" s="92">
        <f>IFERROR(VLOOKUP($DG38,flows!$A$2:$J$4985,DK$2,FALSE),0)</f>
        <v>2.5873669720393208E-3</v>
      </c>
      <c r="DL38" s="92">
        <f>IFERROR(VLOOKUP($DG38,flows!$A$2:$J$4985,DL$2,FALSE),0)</f>
        <v>5.7840231945623703E-2</v>
      </c>
      <c r="DM38" s="92">
        <f>IFERROR(VLOOKUP($DG38,flows!$A$2:$J$4985,DM$2,FALSE),0)</f>
        <v>5.8165208496982488E-3</v>
      </c>
      <c r="DN38" s="92">
        <f>IFERROR(VLOOKUP($DG38,flows!$A$2:$J$4985,DN$2,FALSE),0)</f>
        <v>1.6756115564035691E-3</v>
      </c>
      <c r="DO38" s="92">
        <f>IFERROR(VLOOKUP($DG38,flows!$A$2:$J$4985,DO$2,FALSE),0)</f>
        <v>2.7921218620561851E-4</v>
      </c>
      <c r="DP38" s="92">
        <f>IFERROR(VLOOKUP($DG38,flows!$A$2:$J$4985,DP$2,FALSE),0)</f>
        <v>1.408900853618335E-4</v>
      </c>
      <c r="DQ38" s="93">
        <f>IFERROR(VLOOKUP($DG38,flows!$A$2:$J$4985,DQ$2,FALSE),0)</f>
        <v>0</v>
      </c>
    </row>
    <row r="39" spans="2:121" ht="15" thickBot="1" x14ac:dyDescent="0.4">
      <c r="B39" s="41"/>
      <c r="C39" s="77" t="s">
        <v>2683</v>
      </c>
      <c r="D39" s="77" t="s">
        <v>2031</v>
      </c>
      <c r="E39" s="77">
        <f t="shared" ref="E39:L39" si="61">SUM(E32:E38)</f>
        <v>145490.34896253294</v>
      </c>
      <c r="F39" s="77">
        <f t="shared" si="61"/>
        <v>11008.837380938035</v>
      </c>
      <c r="G39" s="77">
        <f t="shared" si="61"/>
        <v>11888.943750335833</v>
      </c>
      <c r="H39" s="77">
        <f t="shared" si="61"/>
        <v>26450.885254425</v>
      </c>
      <c r="I39" s="77">
        <f t="shared" si="61"/>
        <v>63170.772375865279</v>
      </c>
      <c r="J39" s="77">
        <f t="shared" si="61"/>
        <v>124717.02236453741</v>
      </c>
      <c r="K39" s="77">
        <f t="shared" si="61"/>
        <v>145053.86794200705</v>
      </c>
      <c r="L39" s="94" t="e">
        <f t="shared" si="61"/>
        <v>#DIV/0!</v>
      </c>
      <c r="Z39" s="862"/>
      <c r="AA39" s="862"/>
      <c r="AB39" s="862"/>
      <c r="AC39" s="862"/>
      <c r="AD39" s="862"/>
      <c r="AE39" s="862"/>
      <c r="AF39" s="862"/>
      <c r="AG39" s="862"/>
      <c r="AH39" s="862"/>
      <c r="AI39" s="862"/>
      <c r="AJ39" s="862"/>
      <c r="CI39" s="862" t="s">
        <v>4313</v>
      </c>
      <c r="CK39" s="847">
        <f>(SUM(CK16:CK18)*CW26)/(SUM(CK16:CK18,CK20:CK22,CK24:CK26)-CK37)</f>
        <v>0.40189592798731405</v>
      </c>
      <c r="CL39" s="862">
        <f t="shared" ref="CL39:CQ39" si="62">(SUM(CL16:CL18)*CX26)/(SUM(CL16:CL18,CL20:CL22,CL24:CL26)-CL37)</f>
        <v>0.1144556247038431</v>
      </c>
      <c r="CM39" s="862">
        <f>(SUM(CM16:CM18)*CY26)/(SUM(CM16:CM18,CM20:CM22,CM24:CM26)-CM37)</f>
        <v>0.14336300404889402</v>
      </c>
      <c r="CN39" s="862">
        <f t="shared" si="62"/>
        <v>0.22254688447980267</v>
      </c>
      <c r="CO39" s="862">
        <f t="shared" si="62"/>
        <v>0.25796965066749594</v>
      </c>
      <c r="CP39" s="862">
        <f t="shared" si="62"/>
        <v>0.2448388700501947</v>
      </c>
      <c r="CQ39" s="862">
        <f t="shared" si="62"/>
        <v>0.42514836958453306</v>
      </c>
      <c r="CR39" s="862" t="e">
        <f>(SUM(CR16:CR18)*DD26)/(SUM(CR16:CR18,CR20:CR22,CR24:CR26)-CR37)</f>
        <v>#DIV/0!</v>
      </c>
      <c r="CT39" s="994"/>
      <c r="CU39" s="92"/>
      <c r="CV39" s="137" t="s">
        <v>3032</v>
      </c>
      <c r="CW39" s="461" t="e">
        <f>SUM(CW13)/SUM(CW9:CW13)</f>
        <v>#DIV/0!</v>
      </c>
      <c r="CX39" s="461">
        <v>0</v>
      </c>
      <c r="CY39" s="461" t="e">
        <f t="shared" ref="CY39:DD39" si="63">SUM(CY13)/SUM(CY9:CY13)</f>
        <v>#DIV/0!</v>
      </c>
      <c r="CZ39" s="461" t="e">
        <f t="shared" si="63"/>
        <v>#DIV/0!</v>
      </c>
      <c r="DA39" s="461" t="e">
        <f t="shared" si="63"/>
        <v>#DIV/0!</v>
      </c>
      <c r="DB39" s="461" t="e">
        <f t="shared" si="63"/>
        <v>#DIV/0!</v>
      </c>
      <c r="DC39" s="461" t="e">
        <f t="shared" si="63"/>
        <v>#DIV/0!</v>
      </c>
      <c r="DD39" s="461" t="e">
        <f t="shared" si="63"/>
        <v>#DIV/0!</v>
      </c>
      <c r="DG39" s="134"/>
      <c r="DH39" s="92"/>
      <c r="DI39" s="92"/>
      <c r="DJ39" s="92"/>
      <c r="DK39" s="92"/>
      <c r="DL39" s="92"/>
      <c r="DM39" s="92"/>
      <c r="DN39" s="92"/>
      <c r="DO39" s="92"/>
      <c r="DP39" s="92"/>
      <c r="DQ39" s="93"/>
    </row>
    <row r="40" spans="2:121" ht="15" thickBot="1" x14ac:dyDescent="0.4">
      <c r="D40" s="365" t="s">
        <v>2685</v>
      </c>
      <c r="E40" s="365">
        <f>120/132.5</f>
        <v>0.90566037735849059</v>
      </c>
      <c r="CT40" s="92"/>
      <c r="CU40" s="92"/>
      <c r="CV40" s="137"/>
      <c r="CW40" s="372"/>
      <c r="CX40" s="372"/>
      <c r="CY40" s="372"/>
      <c r="CZ40" s="372"/>
      <c r="DA40" s="372"/>
      <c r="DB40" s="372"/>
      <c r="DC40" s="372"/>
      <c r="DD40" s="372"/>
      <c r="DG40" s="40" t="s">
        <v>3944</v>
      </c>
      <c r="DH40" s="92"/>
      <c r="DI40" s="92"/>
      <c r="DJ40" s="92">
        <f>IFERROR(VLOOKUP($DG40,flows!$A$2:$J$4985,DJ$2,FALSE),0)</f>
        <v>4992.0261811127166</v>
      </c>
      <c r="DK40" s="92">
        <f>IFERROR(VLOOKUP($DG40,flows!$A$2:$J$4985,DK$2,FALSE),0)</f>
        <v>3870.1513886164821</v>
      </c>
      <c r="DL40" s="92">
        <f>IFERROR(VLOOKUP($DG40,flows!$A$2:$J$4985,DL$2,FALSE),0)</f>
        <v>4094.497431155708</v>
      </c>
      <c r="DM40" s="92">
        <f>IFERROR(VLOOKUP($DG40,flows!$A$2:$J$4985,DM$2,FALSE),0)</f>
        <v>4318.8688490051391</v>
      </c>
      <c r="DN40" s="92">
        <f>IFERROR(VLOOKUP($DG40,flows!$A$2:$J$4985,DN$2,FALSE),0)</f>
        <v>4543.2733453456258</v>
      </c>
      <c r="DO40" s="92">
        <f>IFERROR(VLOOKUP($DG40,flows!$A$2:$J$4985,DO$2,FALSE),0)</f>
        <v>4767.6771231672237</v>
      </c>
      <c r="DP40" s="92">
        <f>IFERROR(VLOOKUP($DG40,flows!$A$2:$J$4985,DP$2,FALSE),0)</f>
        <v>4992.0363616089526</v>
      </c>
      <c r="DQ40" s="93">
        <f>IFERROR(VLOOKUP($DG40,flows!$A$2:$J$4985,DQ$2,FALSE),0)</f>
        <v>0</v>
      </c>
    </row>
    <row r="41" spans="2:121" x14ac:dyDescent="0.35">
      <c r="CT41" s="991" t="s">
        <v>2650</v>
      </c>
      <c r="CU41" s="481" t="s">
        <v>2879</v>
      </c>
      <c r="CV41" s="481" t="s">
        <v>2879</v>
      </c>
      <c r="CW41" s="49" t="e">
        <f t="shared" ref="CW41:DD41" si="64">CW37*CW6</f>
        <v>#DIV/0!</v>
      </c>
      <c r="CX41" s="49">
        <f t="shared" si="64"/>
        <v>0</v>
      </c>
      <c r="CY41" s="49" t="e">
        <f t="shared" si="64"/>
        <v>#DIV/0!</v>
      </c>
      <c r="CZ41" s="49" t="e">
        <f t="shared" si="64"/>
        <v>#DIV/0!</v>
      </c>
      <c r="DA41" s="49" t="e">
        <f t="shared" si="64"/>
        <v>#DIV/0!</v>
      </c>
      <c r="DB41" s="49" t="e">
        <f t="shared" si="64"/>
        <v>#DIV/0!</v>
      </c>
      <c r="DC41" s="49" t="e">
        <f t="shared" si="64"/>
        <v>#DIV/0!</v>
      </c>
      <c r="DD41" s="482" t="e">
        <f t="shared" si="64"/>
        <v>#DIV/0!</v>
      </c>
      <c r="DG41" s="40" t="s">
        <v>3938</v>
      </c>
      <c r="DH41" s="92"/>
      <c r="DI41" s="92"/>
      <c r="DJ41" s="92">
        <f>IFERROR(VLOOKUP($DG41,flows!$A$2:$J$4985,DJ$2,FALSE),0)</f>
        <v>3450.661759781794</v>
      </c>
      <c r="DK41" s="92">
        <f>IFERROR(VLOOKUP($DG41,flows!$A$2:$J$4985,DK$2,FALSE),0)</f>
        <v>2675.1998074127459</v>
      </c>
      <c r="DL41" s="92">
        <f>IFERROR(VLOOKUP($DG41,flows!$A$2:$J$4985,DL$2,FALSE),0)</f>
        <v>2830.273509788402</v>
      </c>
      <c r="DM41" s="92">
        <f>IFERROR(VLOOKUP($DG41,flows!$A$2:$J$4985,DM$2,FALSE),0)</f>
        <v>2985.3554023414422</v>
      </c>
      <c r="DN41" s="92">
        <f>IFERROR(VLOOKUP($DG41,flows!$A$2:$J$4985,DN$2,FALSE),0)</f>
        <v>3140.471820183423</v>
      </c>
      <c r="DO41" s="92">
        <f>IFERROR(VLOOKUP($DG41,flows!$A$2:$J$4985,DO$2,FALSE),0)</f>
        <v>3295.587968830002</v>
      </c>
      <c r="DP41" s="92">
        <f>IFERROR(VLOOKUP($DG41,flows!$A$2:$J$4985,DP$2,FALSE),0)</f>
        <v>3450.6659840776329</v>
      </c>
      <c r="DQ41" s="93">
        <f>IFERROR(VLOOKUP($DG41,flows!$A$2:$J$4985,DQ$2,FALSE),0)</f>
        <v>0</v>
      </c>
    </row>
    <row r="42" spans="2:121" x14ac:dyDescent="0.35">
      <c r="CT42" s="992"/>
      <c r="CU42" s="92" t="s">
        <v>1209</v>
      </c>
      <c r="CV42" s="137" t="s">
        <v>1885</v>
      </c>
      <c r="CW42" s="346" t="e">
        <f t="shared" ref="CW42:DD42" si="65">(CW38+CW39)*CW6</f>
        <v>#DIV/0!</v>
      </c>
      <c r="CX42" s="346">
        <f t="shared" si="65"/>
        <v>0</v>
      </c>
      <c r="CY42" s="346" t="e">
        <f t="shared" si="65"/>
        <v>#DIV/0!</v>
      </c>
      <c r="CZ42" s="346" t="e">
        <f t="shared" si="65"/>
        <v>#DIV/0!</v>
      </c>
      <c r="DA42" s="346" t="e">
        <f t="shared" si="65"/>
        <v>#DIV/0!</v>
      </c>
      <c r="DB42" s="346" t="e">
        <f t="shared" si="65"/>
        <v>#DIV/0!</v>
      </c>
      <c r="DC42" s="346" t="e">
        <f t="shared" si="65"/>
        <v>#DIV/0!</v>
      </c>
      <c r="DD42" s="346" t="e">
        <f t="shared" si="65"/>
        <v>#DIV/0!</v>
      </c>
      <c r="DG42" s="40" t="s">
        <v>3936</v>
      </c>
      <c r="DH42" s="92"/>
      <c r="DI42" s="92"/>
      <c r="DJ42" s="92">
        <f>IFERROR(VLOOKUP($DG42,flows!$A$2:$J$4985,DJ$2,FALSE),0)</f>
        <v>1952.26020293283</v>
      </c>
      <c r="DK42" s="92">
        <f>IFERROR(VLOOKUP($DG42,flows!$A$2:$J$4985,DK$2,FALSE),0)</f>
        <v>1513.5332180817761</v>
      </c>
      <c r="DL42" s="92">
        <f>IFERROR(VLOOKUP($DG42,flows!$A$2:$J$4985,DL$2,FALSE),0)</f>
        <v>1601.2546136370081</v>
      </c>
      <c r="DM42" s="92">
        <f>IFERROR(VLOOKUP($DG42,flows!$A$2:$J$4985,DM$2,FALSE),0)</f>
        <v>1689.0299591886869</v>
      </c>
      <c r="DN42" s="92">
        <f>IFERROR(VLOOKUP($DG42,flows!$A$2:$J$4985,DN$2,FALSE),0)</f>
        <v>1776.781478767379</v>
      </c>
      <c r="DO42" s="92">
        <f>IFERROR(VLOOKUP($DG42,flows!$A$2:$J$4985,DO$2,FALSE),0)</f>
        <v>1864.5315436431831</v>
      </c>
      <c r="DP42" s="92">
        <f>IFERROR(VLOOKUP($DG42,flows!$A$2:$J$4985,DP$2,FALSE),0)</f>
        <v>1952.28092170279</v>
      </c>
      <c r="DQ42" s="93">
        <f>IFERROR(VLOOKUP($DG42,flows!$A$2:$J$4985,DQ$2,FALSE),0)</f>
        <v>0</v>
      </c>
    </row>
    <row r="43" spans="2:121" ht="15" thickBot="1" x14ac:dyDescent="0.4">
      <c r="CT43" s="993"/>
      <c r="CU43" s="77" t="s">
        <v>2681</v>
      </c>
      <c r="CV43" s="138" t="s">
        <v>2682</v>
      </c>
      <c r="CW43" s="17">
        <f t="shared" ref="CW43:DD43" si="66">CW5+CW7</f>
        <v>9.7517762383220082E-3</v>
      </c>
      <c r="CX43" s="17">
        <f t="shared" si="66"/>
        <v>7680.4540410129785</v>
      </c>
      <c r="CY43" s="17">
        <f t="shared" si="66"/>
        <v>8484.3175630898313</v>
      </c>
      <c r="CZ43" s="17">
        <f t="shared" si="66"/>
        <v>8618.1355570126889</v>
      </c>
      <c r="DA43" s="17">
        <f t="shared" si="66"/>
        <v>7588.9046437219031</v>
      </c>
      <c r="DB43" s="17">
        <f t="shared" si="66"/>
        <v>2521.1445176905559</v>
      </c>
      <c r="DC43" s="17">
        <f t="shared" si="66"/>
        <v>4.3085390199666562E-5</v>
      </c>
      <c r="DD43" s="17">
        <f t="shared" si="66"/>
        <v>0</v>
      </c>
      <c r="DG43" s="40" t="s">
        <v>3942</v>
      </c>
      <c r="DH43" s="92"/>
      <c r="DI43" s="92"/>
      <c r="DJ43" s="92">
        <f>IFERROR(VLOOKUP($DG43,flows!$A$2:$J$4985,DJ$2,FALSE),0)</f>
        <v>4330.470152896416</v>
      </c>
      <c r="DK43" s="92">
        <f>IFERROR(VLOOKUP($DG43,flows!$A$2:$J$4985,DK$2,FALSE),0)</f>
        <v>3357.2875957077458</v>
      </c>
      <c r="DL43" s="92">
        <f>IFERROR(VLOOKUP($DG43,flows!$A$2:$J$4985,DL$2,FALSE),0)</f>
        <v>3551.9336232391029</v>
      </c>
      <c r="DM43" s="92">
        <f>IFERROR(VLOOKUP($DG43,flows!$A$2:$J$4985,DM$2,FALSE),0)</f>
        <v>3746.596665416107</v>
      </c>
      <c r="DN43" s="92">
        <f>IFERROR(VLOOKUP($DG43,flows!$A$2:$J$4985,DN$2,FALSE),0)</f>
        <v>3941.2099250524252</v>
      </c>
      <c r="DO43" s="92">
        <f>IFERROR(VLOOKUP($DG43,flows!$A$2:$J$4985,DO$2,FALSE),0)</f>
        <v>4135.8226844427127</v>
      </c>
      <c r="DP43" s="92">
        <f>IFERROR(VLOOKUP($DG43,flows!$A$2:$J$4985,DP$2,FALSE),0)</f>
        <v>4330.4775919535332</v>
      </c>
      <c r="DQ43" s="93">
        <f>IFERROR(VLOOKUP($DG43,flows!$A$2:$J$4985,DQ$2,FALSE),0)</f>
        <v>0</v>
      </c>
    </row>
    <row r="44" spans="2:121" x14ac:dyDescent="0.35">
      <c r="CT44" s="862"/>
      <c r="CU44" s="137" t="s">
        <v>4367</v>
      </c>
      <c r="CV44" s="862" t="s">
        <v>4366</v>
      </c>
      <c r="CW44" s="372">
        <f>DJ89</f>
        <v>3032.4968790810249</v>
      </c>
      <c r="CX44" s="372">
        <f t="shared" ref="CX44:DD44" si="67">DK89</f>
        <v>0</v>
      </c>
      <c r="CY44" s="372">
        <f t="shared" si="67"/>
        <v>1.9605579913334339E-5</v>
      </c>
      <c r="CZ44" s="372">
        <f t="shared" si="67"/>
        <v>3.1541208307871692E-8</v>
      </c>
      <c r="DA44" s="372">
        <f t="shared" si="67"/>
        <v>7.2351639767060053E-8</v>
      </c>
      <c r="DB44" s="372">
        <f t="shared" si="67"/>
        <v>2768.3508511331752</v>
      </c>
      <c r="DC44" s="372">
        <f t="shared" si="67"/>
        <v>3032.4967080184711</v>
      </c>
      <c r="DD44" s="372">
        <f t="shared" si="67"/>
        <v>0</v>
      </c>
      <c r="DG44" s="40" t="s">
        <v>3940</v>
      </c>
      <c r="DH44" s="92"/>
      <c r="DI44" s="92"/>
      <c r="DJ44" s="92">
        <f>IFERROR(VLOOKUP($DG44,flows!$A$2:$J$4985,DJ$2,FALSE),0)</f>
        <v>1111.567032558012</v>
      </c>
      <c r="DK44" s="92">
        <f>IFERROR(VLOOKUP($DG44,flows!$A$2:$J$4985,DK$2,FALSE),0)</f>
        <v>861.80451327187382</v>
      </c>
      <c r="DL44" s="92">
        <f>IFERROR(VLOOKUP($DG44,flows!$A$2:$J$4985,DL$2,FALSE),0)</f>
        <v>911.73928589591321</v>
      </c>
      <c r="DM44" s="92">
        <f>IFERROR(VLOOKUP($DG44,flows!$A$2:$J$4985,DM$2,FALSE),0)</f>
        <v>961.75617057671673</v>
      </c>
      <c r="DN44" s="92">
        <f>IFERROR(VLOOKUP($DG44,flows!$A$2:$J$4985,DN$2,FALSE),0)</f>
        <v>1011.6887315036799</v>
      </c>
      <c r="DO44" s="92">
        <f>IFERROR(VLOOKUP($DG44,flows!$A$2:$J$4985,DO$2,FALSE),0)</f>
        <v>1061.6191301247311</v>
      </c>
      <c r="DP44" s="92">
        <f>IFERROR(VLOOKUP($DG44,flows!$A$2:$J$4985,DP$2,FALSE),0)</f>
        <v>1111.5963640888631</v>
      </c>
      <c r="DQ44" s="93">
        <f>IFERROR(VLOOKUP($DG44,flows!$A$2:$J$4985,DQ$2,FALSE),0)</f>
        <v>0</v>
      </c>
    </row>
    <row r="45" spans="2:121" x14ac:dyDescent="0.35">
      <c r="CT45" s="92" t="s">
        <v>3028</v>
      </c>
      <c r="CU45" s="92"/>
      <c r="CV45" s="92"/>
      <c r="CW45" s="372">
        <f>IFERROR(VLOOKUP($CT45,flows!$A$2:$J$4985,CW$2,FALSE),0)</f>
        <v>0</v>
      </c>
      <c r="CX45" s="372">
        <f>IFERROR(VLOOKUP($CT45,flows!$A$2:$J$4985,CX$2,FALSE),0)</f>
        <v>0</v>
      </c>
      <c r="CY45" s="372">
        <f>IFERROR(VLOOKUP($CT45,flows!$A$2:$J$4985,CY$2,FALSE),0)</f>
        <v>0</v>
      </c>
      <c r="CZ45" s="372">
        <f>IFERROR(VLOOKUP($CT45,flows!$A$2:$J$4985,CZ$2,FALSE),0)</f>
        <v>0</v>
      </c>
      <c r="DA45" s="372">
        <f>IFERROR(VLOOKUP($CT45,flows!$A$2:$J$4985,DA$2,FALSE),0)</f>
        <v>0</v>
      </c>
      <c r="DB45" s="372">
        <f>IFERROR(VLOOKUP($CT45,flows!$A$2:$J$4985,DB$2,FALSE),0)</f>
        <v>0</v>
      </c>
      <c r="DC45" s="372">
        <f>IFERROR(VLOOKUP($CT45,flows!$A$2:$J$4985,DC$2,FALSE),0)</f>
        <v>0</v>
      </c>
      <c r="DD45" s="372">
        <f>IFERROR(VLOOKUP($CT45,flows!$A$2:$J$4985,DD$2,FALSE),0)</f>
        <v>0</v>
      </c>
      <c r="DG45" s="40" t="s">
        <v>3945</v>
      </c>
      <c r="DH45" s="92"/>
      <c r="DI45" s="92"/>
      <c r="DJ45" s="92">
        <f>IFERROR(VLOOKUP($DG45,flows!$A$2:$J$4985,DJ$2,FALSE),0)</f>
        <v>1.158447746889715E-2</v>
      </c>
      <c r="DK45" s="92">
        <f>IFERROR(VLOOKUP($DG45,flows!$A$2:$J$4985,DK$2,FALSE),0)</f>
        <v>7.4815472178616567E-4</v>
      </c>
      <c r="DL45" s="92">
        <f>IFERROR(VLOOKUP($DG45,flows!$A$2:$J$4985,DL$2,FALSE),0)</f>
        <v>1.695240801170788E-2</v>
      </c>
      <c r="DM45" s="92">
        <f>IFERROR(VLOOKUP($DG45,flows!$A$2:$J$4985,DM$2,FALSE),0)</f>
        <v>1.7571957891883651E-3</v>
      </c>
      <c r="DN45" s="92">
        <f>IFERROR(VLOOKUP($DG45,flows!$A$2:$J$4985,DN$2,FALSE),0)</f>
        <v>5.1585620037348763E-4</v>
      </c>
      <c r="DO45" s="92">
        <f>IFERROR(VLOOKUP($DG45,flows!$A$2:$J$4985,DO$2,FALSE),0)</f>
        <v>8.6990132447161913E-5</v>
      </c>
      <c r="DP45" s="92">
        <f>IFERROR(VLOOKUP($DG45,flows!$A$2:$J$4985,DP$2,FALSE),0)</f>
        <v>4.3508033804520839E-5</v>
      </c>
      <c r="DQ45" s="93">
        <f>IFERROR(VLOOKUP($DG45,flows!$A$2:$J$4985,DQ$2,FALSE),0)</f>
        <v>0</v>
      </c>
    </row>
    <row r="46" spans="2:121" x14ac:dyDescent="0.35">
      <c r="CT46" s="92" t="s">
        <v>4364</v>
      </c>
      <c r="CU46" s="92"/>
      <c r="CV46" s="92"/>
      <c r="CW46" s="372">
        <f>IFERROR(VLOOKUP($CT46,flows!$A$2:$J$4985,CW$2,FALSE),0)</f>
        <v>0</v>
      </c>
      <c r="CX46" s="372">
        <f>IFERROR(VLOOKUP($CT46,flows!$A$2:$J$4985,CX$2,FALSE),0)</f>
        <v>0</v>
      </c>
      <c r="CY46" s="372">
        <f>IFERROR(VLOOKUP($CT46,flows!$A$2:$J$4985,CY$2,FALSE),0)</f>
        <v>0</v>
      </c>
      <c r="CZ46" s="372">
        <f>IFERROR(VLOOKUP($CT46,flows!$A$2:$J$4985,CZ$2,FALSE),0)</f>
        <v>0</v>
      </c>
      <c r="DA46" s="372">
        <f>IFERROR(VLOOKUP($CT46,flows!$A$2:$J$4985,DA$2,FALSE),0)</f>
        <v>0</v>
      </c>
      <c r="DB46" s="372">
        <f>IFERROR(VLOOKUP($CT46,flows!$A$2:$J$4985,DB$2,FALSE),0)</f>
        <v>0</v>
      </c>
      <c r="DC46" s="372">
        <f>IFERROR(VLOOKUP($CT46,flows!$A$2:$J$4985,DC$2,FALSE),0)</f>
        <v>0</v>
      </c>
      <c r="DD46" s="372">
        <f>IFERROR(VLOOKUP($CT46,flows!$A$2:$J$4985,DD$2,FALSE),0)</f>
        <v>0</v>
      </c>
      <c r="DG46" s="40" t="s">
        <v>3939</v>
      </c>
      <c r="DH46" s="92"/>
      <c r="DI46" s="92"/>
      <c r="DJ46" s="92">
        <f>IFERROR(VLOOKUP($DG46,flows!$A$2:$J$4985,DJ$2,FALSE),0)</f>
        <v>5.6039421301510616E-3</v>
      </c>
      <c r="DK46" s="92">
        <f>IFERROR(VLOOKUP($DG46,flows!$A$2:$J$4985,DK$2,FALSE),0)</f>
        <v>3.1660150497935262E-4</v>
      </c>
      <c r="DL46" s="92">
        <f>IFERROR(VLOOKUP($DG46,flows!$A$2:$J$4985,DL$2,FALSE),0)</f>
        <v>7.4334286291705678E-3</v>
      </c>
      <c r="DM46" s="92">
        <f>IFERROR(VLOOKUP($DG46,flows!$A$2:$J$4985,DM$2,FALSE),0)</f>
        <v>7.8907456628309449E-4</v>
      </c>
      <c r="DN46" s="92">
        <f>IFERROR(VLOOKUP($DG46,flows!$A$2:$J$4985,DN$2,FALSE),0)</f>
        <v>2.3814764726526799E-4</v>
      </c>
      <c r="DO46" s="92">
        <f>IFERROR(VLOOKUP($DG46,flows!$A$2:$J$4985,DO$2,FALSE),0)</f>
        <v>4.1088051071547291E-5</v>
      </c>
      <c r="DP46" s="92">
        <f>IFERROR(VLOOKUP($DG46,flows!$A$2:$J$4985,DP$2,FALSE),0)</f>
        <v>2.1029560921977962E-5</v>
      </c>
      <c r="DQ46" s="93">
        <f>IFERROR(VLOOKUP($DG46,flows!$A$2:$J$4985,DQ$2,FALSE),0)</f>
        <v>0</v>
      </c>
    </row>
    <row r="47" spans="2:121" x14ac:dyDescent="0.35">
      <c r="CT47" s="92" t="s">
        <v>4365</v>
      </c>
      <c r="CU47" s="92"/>
      <c r="CV47" s="92" t="s">
        <v>3069</v>
      </c>
      <c r="CW47" s="372">
        <f>IFERROR(VLOOKUP($CT47,flows!$A$2:$J$4985,CW$2,FALSE),0)</f>
        <v>0</v>
      </c>
      <c r="CX47" s="372">
        <f>IFERROR(VLOOKUP($CT47,flows!$A$2:$J$4985,CX$2,FALSE),0)</f>
        <v>0</v>
      </c>
      <c r="CY47" s="372">
        <f>IFERROR(VLOOKUP($CT47,flows!$A$2:$J$4985,CY$2,FALSE),0)</f>
        <v>0</v>
      </c>
      <c r="CZ47" s="372">
        <f>IFERROR(VLOOKUP($CT47,flows!$A$2:$J$4985,CZ$2,FALSE),0)</f>
        <v>0</v>
      </c>
      <c r="DA47" s="372">
        <f>IFERROR(VLOOKUP($CT47,flows!$A$2:$J$4985,DA$2,FALSE),0)</f>
        <v>0</v>
      </c>
      <c r="DB47" s="372">
        <f>IFERROR(VLOOKUP($CT47,flows!$A$2:$J$4985,DB$2,FALSE),0)</f>
        <v>0</v>
      </c>
      <c r="DC47" s="372">
        <f>IFERROR(VLOOKUP($CT47,flows!$A$2:$J$4985,DC$2,FALSE),0)</f>
        <v>0</v>
      </c>
      <c r="DD47" s="372">
        <f>IFERROR(VLOOKUP($CT47,flows!$A$2:$J$4985,DD$2,FALSE),0)</f>
        <v>0</v>
      </c>
      <c r="DG47" s="40" t="s">
        <v>3937</v>
      </c>
      <c r="DH47" s="92"/>
      <c r="DI47" s="92"/>
      <c r="DJ47" s="92">
        <f>IFERROR(VLOOKUP($DG47,flows!$A$2:$J$4985,DJ$2,FALSE),0)</f>
        <v>2.216091977957009E-2</v>
      </c>
      <c r="DK47" s="92">
        <f>IFERROR(VLOOKUP($DG47,flows!$A$2:$J$4985,DK$2,FALSE),0)</f>
        <v>1.419013164365151E-3</v>
      </c>
      <c r="DL47" s="92">
        <f>IFERROR(VLOOKUP($DG47,flows!$A$2:$J$4985,DL$2,FALSE),0)</f>
        <v>3.2372773838057887E-2</v>
      </c>
      <c r="DM47" s="92">
        <f>IFERROR(VLOOKUP($DG47,flows!$A$2:$J$4985,DM$2,FALSE),0)</f>
        <v>3.3457407794595562E-3</v>
      </c>
      <c r="DN47" s="92">
        <f>IFERROR(VLOOKUP($DG47,flows!$A$2:$J$4985,DN$2,FALSE),0)</f>
        <v>9.8209466831510484E-4</v>
      </c>
      <c r="DO47" s="92">
        <f>IFERROR(VLOOKUP($DG47,flows!$A$2:$J$4985,DO$2,FALSE),0)</f>
        <v>1.6650082858824089E-4</v>
      </c>
      <c r="DP47" s="92">
        <f>IFERROR(VLOOKUP($DG47,flows!$A$2:$J$4985,DP$2,FALSE),0)</f>
        <v>8.3418110322730938E-5</v>
      </c>
      <c r="DQ47" s="93">
        <f>IFERROR(VLOOKUP($DG47,flows!$A$2:$J$4985,DQ$2,FALSE),0)</f>
        <v>0</v>
      </c>
    </row>
    <row r="48" spans="2:121" x14ac:dyDescent="0.35">
      <c r="CT48" s="92" t="s">
        <v>3033</v>
      </c>
      <c r="CU48" s="92"/>
      <c r="CV48" s="92"/>
      <c r="CW48" s="372">
        <f>IFERROR(VLOOKUP($CT48,flows!$A$2:$J$4985,CW$2,FALSE),0)</f>
        <v>0</v>
      </c>
      <c r="CX48" s="372">
        <f>IFERROR(VLOOKUP($CT48,flows!$A$2:$J$4985,CX$2,FALSE),0)</f>
        <v>0</v>
      </c>
      <c r="CY48" s="372">
        <f>IFERROR(VLOOKUP($CT48,flows!$A$2:$J$4985,CY$2,FALSE),0)</f>
        <v>0</v>
      </c>
      <c r="CZ48" s="372">
        <f>IFERROR(VLOOKUP($CT48,flows!$A$2:$J$4985,CZ$2,FALSE),0)</f>
        <v>0</v>
      </c>
      <c r="DA48" s="372">
        <f>IFERROR(VLOOKUP($CT48,flows!$A$2:$J$4985,DA$2,FALSE),0)</f>
        <v>0</v>
      </c>
      <c r="DB48" s="372">
        <f>IFERROR(VLOOKUP($CT48,flows!$A$2:$J$4985,DB$2,FALSE),0)</f>
        <v>0</v>
      </c>
      <c r="DC48" s="372">
        <f>IFERROR(VLOOKUP($CT48,flows!$A$2:$J$4985,DC$2,FALSE),0)</f>
        <v>0</v>
      </c>
      <c r="DD48" s="372">
        <f>IFERROR(VLOOKUP($CT48,flows!$A$2:$J$4985,DD$2,FALSE),0)</f>
        <v>0</v>
      </c>
      <c r="DG48" s="40" t="s">
        <v>3943</v>
      </c>
      <c r="DH48" s="92"/>
      <c r="DI48" s="92"/>
      <c r="DJ48" s="92">
        <f>IFERROR(VLOOKUP($DG48,flows!$A$2:$J$4985,DJ$2,FALSE),0)</f>
        <v>8.832290102057121E-3</v>
      </c>
      <c r="DK48" s="92">
        <f>IFERROR(VLOOKUP($DG48,flows!$A$2:$J$4985,DK$2,FALSE),0)</f>
        <v>5.3519930574164965E-4</v>
      </c>
      <c r="DL48" s="92">
        <f>IFERROR(VLOOKUP($DG48,flows!$A$2:$J$4985,DL$2,FALSE),0)</f>
        <v>1.2334268844543309E-2</v>
      </c>
      <c r="DM48" s="92">
        <f>IFERROR(VLOOKUP($DG48,flows!$A$2:$J$4985,DM$2,FALSE),0)</f>
        <v>1.293765571620689E-3</v>
      </c>
      <c r="DN48" s="92">
        <f>IFERROR(VLOOKUP($DG48,flows!$A$2:$J$4985,DN$2,FALSE),0)</f>
        <v>3.8482599148603031E-4</v>
      </c>
      <c r="DO48" s="92">
        <f>IFERROR(VLOOKUP($DG48,flows!$A$2:$J$4985,DO$2,FALSE),0)</f>
        <v>6.5596820971030158E-5</v>
      </c>
      <c r="DP48" s="92">
        <f>IFERROR(VLOOKUP($DG48,flows!$A$2:$J$4985,DP$2,FALSE),0)</f>
        <v>3.3160342054531368E-5</v>
      </c>
      <c r="DQ48" s="93">
        <f>IFERROR(VLOOKUP($DG48,flows!$A$2:$J$4985,DQ$2,FALSE),0)</f>
        <v>0</v>
      </c>
    </row>
    <row r="49" spans="26:121" ht="15" thickBot="1" x14ac:dyDescent="0.4">
      <c r="CT49" s="137" t="s">
        <v>3034</v>
      </c>
      <c r="CU49"/>
      <c r="CV49"/>
      <c r="CW49" s="372">
        <f>IFERROR(VLOOKUP($CT49,flows!$A$2:$J$4985,CW$2,FALSE),0)</f>
        <v>0</v>
      </c>
      <c r="CX49" s="372">
        <f>IFERROR(VLOOKUP($CT49,flows!$A$2:$J$4985,CX$2,FALSE),0)</f>
        <v>0</v>
      </c>
      <c r="CY49" s="372">
        <f>IFERROR(VLOOKUP($CT49,flows!$A$2:$J$4985,CY$2,FALSE),0)</f>
        <v>0</v>
      </c>
      <c r="CZ49" s="372">
        <f>IFERROR(VLOOKUP($CT49,flows!$A$2:$J$4985,CZ$2,FALSE),0)</f>
        <v>0</v>
      </c>
      <c r="DA49" s="372">
        <f>IFERROR(VLOOKUP($CT49,flows!$A$2:$J$4985,DA$2,FALSE),0)</f>
        <v>0</v>
      </c>
      <c r="DB49" s="372">
        <f>IFERROR(VLOOKUP($CT49,flows!$A$2:$J$4985,DB$2,FALSE),0)</f>
        <v>0</v>
      </c>
      <c r="DC49" s="372">
        <f>IFERROR(VLOOKUP($CT49,flows!$A$2:$J$4985,DC$2,FALSE),0)</f>
        <v>0</v>
      </c>
      <c r="DD49" s="372">
        <f>IFERROR(VLOOKUP($CT49,flows!$A$2:$J$4985,DD$2,FALSE),0)</f>
        <v>0</v>
      </c>
      <c r="DG49" s="40" t="s">
        <v>3941</v>
      </c>
      <c r="DH49" s="92"/>
      <c r="DI49" s="92"/>
      <c r="DJ49" s="92">
        <f>IFERROR(VLOOKUP($DG49,flows!$A$2:$J$4985,DJ$2,FALSE),0)</f>
        <v>3.0806131064290108E-2</v>
      </c>
      <c r="DK49" s="92">
        <f>IFERROR(VLOOKUP($DG49,flows!$A$2:$J$4985,DK$2,FALSE),0)</f>
        <v>2.1308994061012289E-3</v>
      </c>
      <c r="DL49" s="92">
        <f>IFERROR(VLOOKUP($DG49,flows!$A$2:$J$4985,DL$2,FALSE),0)</f>
        <v>4.7635962441207887E-2</v>
      </c>
      <c r="DM49" s="92">
        <f>IFERROR(VLOOKUP($DG49,flows!$A$2:$J$4985,DM$2,FALSE),0)</f>
        <v>4.790360609120835E-3</v>
      </c>
      <c r="DN49" s="92">
        <f>IFERROR(VLOOKUP($DG49,flows!$A$2:$J$4985,DN$2,FALSE),0)</f>
        <v>1.3799973907769501E-3</v>
      </c>
      <c r="DO49" s="92">
        <f>IFERROR(VLOOKUP($DG49,flows!$A$2:$J$4985,DO$2,FALSE),0)</f>
        <v>2.2995310993431669E-4</v>
      </c>
      <c r="DP49" s="92">
        <f>IFERROR(VLOOKUP($DG49,flows!$A$2:$J$4985,DP$2,FALSE),0)</f>
        <v>1.16034023185529E-4</v>
      </c>
      <c r="DQ49" s="93">
        <f>IFERROR(VLOOKUP($DG49,flows!$A$2:$J$4985,DQ$2,FALSE),0)</f>
        <v>0</v>
      </c>
    </row>
    <row r="50" spans="26:121" x14ac:dyDescent="0.35">
      <c r="CT50" s="490" t="s">
        <v>3085</v>
      </c>
      <c r="CU50" s="89"/>
      <c r="CV50" s="89"/>
      <c r="CW50" s="49">
        <f>IFERROR(VLOOKUP($CT50,flows!$A$2:$J$4985,CW$2,FALSE),0)</f>
        <v>0</v>
      </c>
      <c r="CX50" s="49">
        <f>IFERROR(VLOOKUP($CT50,flows!$A$2:$J$4985,CX$2,FALSE),0)</f>
        <v>0</v>
      </c>
      <c r="CY50" s="49">
        <f>IFERROR(VLOOKUP($CT50,flows!$A$2:$J$4985,CY$2,FALSE),0)</f>
        <v>0</v>
      </c>
      <c r="CZ50" s="49">
        <f>IFERROR(VLOOKUP($CT50,flows!$A$2:$J$4985,CZ$2,FALSE),0)</f>
        <v>0</v>
      </c>
      <c r="DA50" s="49">
        <f>IFERROR(VLOOKUP($CT50,flows!$A$2:$J$4985,DA$2,FALSE),0)</f>
        <v>0</v>
      </c>
      <c r="DB50" s="49">
        <f>IFERROR(VLOOKUP($CT50,flows!$A$2:$J$4985,DB$2,FALSE),0)</f>
        <v>0</v>
      </c>
      <c r="DC50" s="49">
        <f>IFERROR(VLOOKUP($CT50,flows!$A$2:$J$4985,DC$2,FALSE),0)</f>
        <v>0</v>
      </c>
      <c r="DD50" s="482">
        <f>IFERROR(VLOOKUP($CT50,flows!$A$2:$J$4985,DD$2,FALSE),0)</f>
        <v>0</v>
      </c>
      <c r="DG50" s="134"/>
      <c r="DH50" s="92" t="s">
        <v>2843</v>
      </c>
      <c r="DI50" s="92" t="s">
        <v>2844</v>
      </c>
      <c r="DJ50" s="92">
        <f>SUM(DJ40:DJ49)</f>
        <v>15837.064317042314</v>
      </c>
      <c r="DK50" s="92">
        <f t="shared" ref="DK50:DQ50" si="68">SUM(DK40:DK49)</f>
        <v>12277.981672958727</v>
      </c>
      <c r="DL50" s="92">
        <f t="shared" si="68"/>
        <v>12989.815192557899</v>
      </c>
      <c r="DM50" s="92">
        <f t="shared" si="68"/>
        <v>13701.619022665405</v>
      </c>
      <c r="DN50" s="92">
        <f t="shared" si="68"/>
        <v>14413.428801774433</v>
      </c>
      <c r="DO50" s="92">
        <f t="shared" si="68"/>
        <v>15125.239040336797</v>
      </c>
      <c r="DP50" s="92">
        <f t="shared" si="68"/>
        <v>15837.057520581844</v>
      </c>
      <c r="DQ50" s="92">
        <f t="shared" si="68"/>
        <v>0</v>
      </c>
    </row>
    <row r="51" spans="26:121" x14ac:dyDescent="0.35">
      <c r="CT51" s="134" t="s">
        <v>3086</v>
      </c>
      <c r="CU51" s="92"/>
      <c r="CV51" s="92"/>
      <c r="CW51" s="346">
        <f>IFERROR(VLOOKUP($CT51,flows!$A$2:$J$4985,CW$2,FALSE),0)</f>
        <v>0</v>
      </c>
      <c r="CX51" s="346">
        <f>IFERROR(VLOOKUP($CT51,flows!$A$2:$J$4985,CX$2,FALSE),0)</f>
        <v>0</v>
      </c>
      <c r="CY51" s="346">
        <f>IFERROR(VLOOKUP($CT51,flows!$A$2:$J$4985,CY$2,FALSE),0)</f>
        <v>0</v>
      </c>
      <c r="CZ51" s="346">
        <f>IFERROR(VLOOKUP($CT51,flows!$A$2:$J$4985,CZ$2,FALSE),0)</f>
        <v>0</v>
      </c>
      <c r="DA51" s="346">
        <f>IFERROR(VLOOKUP($CT51,flows!$A$2:$J$4985,DA$2,FALSE),0)</f>
        <v>0</v>
      </c>
      <c r="DB51" s="346">
        <f>IFERROR(VLOOKUP($CT51,flows!$A$2:$J$4985,DB$2,FALSE),0)</f>
        <v>0</v>
      </c>
      <c r="DC51" s="346">
        <f>IFERROR(VLOOKUP($CT51,flows!$A$2:$J$4985,DC$2,FALSE),0)</f>
        <v>0</v>
      </c>
      <c r="DD51" s="336">
        <f>IFERROR(VLOOKUP($CT51,flows!$A$2:$J$4985,DD$2,FALSE),0)</f>
        <v>0</v>
      </c>
      <c r="DG51" s="134"/>
      <c r="DH51" s="92"/>
      <c r="DI51" s="92"/>
      <c r="DJ51" s="92"/>
      <c r="DK51" s="92"/>
      <c r="DL51" s="92"/>
      <c r="DM51" s="92"/>
      <c r="DN51" s="92"/>
      <c r="DO51" s="92"/>
      <c r="DP51" s="92"/>
      <c r="DQ51" s="93"/>
    </row>
    <row r="52" spans="26:121" x14ac:dyDescent="0.35">
      <c r="CT52" s="134" t="s">
        <v>3990</v>
      </c>
      <c r="CU52" s="92"/>
      <c r="CV52" s="92"/>
      <c r="CW52" s="346">
        <f>IFERROR(VLOOKUP($CT52,flows!$A$2:$J$4985,CW$2,FALSE),0)</f>
        <v>0</v>
      </c>
      <c r="CX52" s="346">
        <f>IFERROR(VLOOKUP($CT52,flows!$A$2:$J$4985,CX$2,FALSE),0)</f>
        <v>0</v>
      </c>
      <c r="CY52" s="346">
        <f>IFERROR(VLOOKUP($CT52,flows!$A$2:$J$4985,CY$2,FALSE),0)</f>
        <v>0</v>
      </c>
      <c r="CZ52" s="346">
        <f>IFERROR(VLOOKUP($CT52,flows!$A$2:$J$4985,CZ$2,FALSE),0)</f>
        <v>0</v>
      </c>
      <c r="DA52" s="346">
        <f>IFERROR(VLOOKUP($CT52,flows!$A$2:$J$4985,DA$2,FALSE),0)</f>
        <v>0</v>
      </c>
      <c r="DB52" s="346">
        <f>IFERROR(VLOOKUP($CT52,flows!$A$2:$J$4985,DB$2,FALSE),0)</f>
        <v>0</v>
      </c>
      <c r="DC52" s="346">
        <f>IFERROR(VLOOKUP($CT52,flows!$A$2:$J$4985,DC$2,FALSE),0)</f>
        <v>0</v>
      </c>
      <c r="DD52" s="336">
        <f>IFERROR(VLOOKUP($CT52,flows!$A$2:$J$4985,DD$2,FALSE),0)</f>
        <v>0</v>
      </c>
      <c r="DG52" s="40" t="s">
        <v>3950</v>
      </c>
      <c r="DH52" s="92"/>
      <c r="DI52" s="92"/>
      <c r="DJ52" s="92">
        <f>IFERROR(VLOOKUP($DG52,flows!$A$2:$J$4985,DJ$2,FALSE),0)</f>
        <v>655.06225906003965</v>
      </c>
      <c r="DK52" s="92">
        <f>IFERROR(VLOOKUP($DG52,flows!$A$2:$J$4985,DK$2,FALSE),0)</f>
        <v>507.84791977320339</v>
      </c>
      <c r="DL52" s="92">
        <f>IFERROR(VLOOKUP($DG52,flows!$A$2:$J$4985,DL$2,FALSE),0)</f>
        <v>537.2869932285771</v>
      </c>
      <c r="DM52" s="92">
        <f>IFERROR(VLOOKUP($DG52,flows!$A$2:$J$4985,DM$2,FALSE),0)</f>
        <v>566.72939647578744</v>
      </c>
      <c r="DN52" s="92">
        <f>IFERROR(VLOOKUP($DG52,flows!$A$2:$J$4985,DN$2,FALSE),0)</f>
        <v>596.1761403394712</v>
      </c>
      <c r="DO52" s="92">
        <f>IFERROR(VLOOKUP($DG52,flows!$A$2:$J$4985,DO$2,FALSE),0)</f>
        <v>625.62278991787093</v>
      </c>
      <c r="DP52" s="92">
        <f>IFERROR(VLOOKUP($DG52,flows!$A$2:$J$4985,DP$2,FALSE),0)</f>
        <v>655.06359496226082</v>
      </c>
      <c r="DQ52" s="93">
        <f>IFERROR(VLOOKUP($DG52,flows!$A$2:$J$4985,DQ$2,FALSE),0)</f>
        <v>0</v>
      </c>
    </row>
    <row r="53" spans="26:121" x14ac:dyDescent="0.35">
      <c r="CT53" s="134" t="s">
        <v>3087</v>
      </c>
      <c r="CU53" s="92"/>
      <c r="CV53" s="92"/>
      <c r="CW53" s="346">
        <f>IFERROR(VLOOKUP($CT53,flows!$A$2:$J$4985,CW$2,FALSE),0)</f>
        <v>0</v>
      </c>
      <c r="CX53" s="346">
        <f>IFERROR(VLOOKUP($CT53,flows!$A$2:$J$4985,CX$2,FALSE),0)</f>
        <v>0</v>
      </c>
      <c r="CY53" s="346">
        <f>IFERROR(VLOOKUP($CT53,flows!$A$2:$J$4985,CY$2,FALSE),0)</f>
        <v>0</v>
      </c>
      <c r="CZ53" s="346">
        <f>IFERROR(VLOOKUP($CT53,flows!$A$2:$J$4985,CZ$2,FALSE),0)</f>
        <v>0</v>
      </c>
      <c r="DA53" s="346">
        <f>IFERROR(VLOOKUP($CT53,flows!$A$2:$J$4985,DA$2,FALSE),0)</f>
        <v>0</v>
      </c>
      <c r="DB53" s="346">
        <f>IFERROR(VLOOKUP($CT53,flows!$A$2:$J$4985,DB$2,FALSE),0)</f>
        <v>0</v>
      </c>
      <c r="DC53" s="346">
        <f>IFERROR(VLOOKUP($CT53,flows!$A$2:$J$4985,DC$2,FALSE),0)</f>
        <v>0</v>
      </c>
      <c r="DD53" s="336">
        <f>IFERROR(VLOOKUP($CT53,flows!$A$2:$J$4985,DD$2,FALSE),0)</f>
        <v>0</v>
      </c>
      <c r="DG53" s="40" t="s">
        <v>3947</v>
      </c>
      <c r="DH53" s="92"/>
      <c r="DI53" s="92"/>
      <c r="DJ53" s="92">
        <f>IFERROR(VLOOKUP($DG53,flows!$A$2:$J$4985,DJ$2,FALSE),0)</f>
        <v>1089.6826609837251</v>
      </c>
      <c r="DK53" s="92">
        <f>IFERROR(VLOOKUP($DG53,flows!$A$2:$J$4985,DK$2,FALSE),0)</f>
        <v>844.79993918297237</v>
      </c>
      <c r="DL53" s="92">
        <f>IFERROR(VLOOKUP($DG53,flows!$A$2:$J$4985,DL$2,FALSE),0)</f>
        <v>893.77058203844274</v>
      </c>
      <c r="DM53" s="92">
        <f>IFERROR(VLOOKUP($DG53,flows!$A$2:$J$4985,DM$2,FALSE),0)</f>
        <v>942.7438112657187</v>
      </c>
      <c r="DN53" s="92">
        <f>IFERROR(VLOOKUP($DG53,flows!$A$2:$J$4985,DN$2,FALSE),0)</f>
        <v>991.72794321581796</v>
      </c>
      <c r="DO53" s="92">
        <f>IFERROR(VLOOKUP($DG53,flows!$A$2:$J$4985,DO$2,FALSE),0)</f>
        <v>1040.7119901568431</v>
      </c>
      <c r="DP53" s="92">
        <f>IFERROR(VLOOKUP($DG53,flows!$A$2:$J$4985,DP$2,FALSE),0)</f>
        <v>1089.683994971884</v>
      </c>
      <c r="DQ53" s="93">
        <f>IFERROR(VLOOKUP($DG53,flows!$A$2:$J$4985,DQ$2,FALSE),0)</f>
        <v>0</v>
      </c>
    </row>
    <row r="54" spans="26:121" x14ac:dyDescent="0.35">
      <c r="CT54" s="134" t="s">
        <v>3991</v>
      </c>
      <c r="CU54" s="92"/>
      <c r="CV54" s="92"/>
      <c r="CW54" s="346">
        <f>IFERROR(VLOOKUP($CT54,flows!$A$2:$J$4985,CW$2,FALSE),0)</f>
        <v>0</v>
      </c>
      <c r="CX54" s="346">
        <f>IFERROR(VLOOKUP($CT54,flows!$A$2:$J$4985,CX$2,FALSE),0)</f>
        <v>0</v>
      </c>
      <c r="CY54" s="346">
        <f>IFERROR(VLOOKUP($CT54,flows!$A$2:$J$4985,CY$2,FALSE),0)</f>
        <v>0</v>
      </c>
      <c r="CZ54" s="346">
        <f>IFERROR(VLOOKUP($CT54,flows!$A$2:$J$4985,CZ$2,FALSE),0)</f>
        <v>0</v>
      </c>
      <c r="DA54" s="346">
        <f>IFERROR(VLOOKUP($CT54,flows!$A$2:$J$4985,DA$2,FALSE),0)</f>
        <v>0</v>
      </c>
      <c r="DB54" s="346">
        <f>IFERROR(VLOOKUP($CT54,flows!$A$2:$J$4985,DB$2,FALSE),0)</f>
        <v>0</v>
      </c>
      <c r="DC54" s="346">
        <f>IFERROR(VLOOKUP($CT54,flows!$A$2:$J$4985,DC$2,FALSE),0)</f>
        <v>0</v>
      </c>
      <c r="DD54" s="336">
        <f>IFERROR(VLOOKUP($CT54,flows!$A$2:$J$4985,DD$2,FALSE),0)</f>
        <v>0</v>
      </c>
      <c r="DG54" s="40" t="s">
        <v>3946</v>
      </c>
      <c r="DH54" s="92"/>
      <c r="DI54" s="92"/>
      <c r="DJ54" s="92">
        <f>IFERROR(VLOOKUP($DG54,flows!$A$2:$J$4985,DJ$2,FALSE),0)</f>
        <v>125.7176607529922</v>
      </c>
      <c r="DK54" s="92">
        <f>IFERROR(VLOOKUP($DG54,flows!$A$2:$J$4985,DK$2,FALSE),0)</f>
        <v>97.465417449651355</v>
      </c>
      <c r="DL54" s="92">
        <f>IFERROR(VLOOKUP($DG54,flows!$A$2:$J$4985,DL$2,FALSE),0)</f>
        <v>103.11432051627349</v>
      </c>
      <c r="DM54" s="92">
        <f>IFERROR(VLOOKUP($DG54,flows!$A$2:$J$4985,DM$2,FALSE),0)</f>
        <v>108.7666977444551</v>
      </c>
      <c r="DN54" s="92">
        <f>IFERROR(VLOOKUP($DG54,flows!$A$2:$J$4985,DN$2,FALSE),0)</f>
        <v>114.4175406763453</v>
      </c>
      <c r="DO54" s="92">
        <f>IFERROR(VLOOKUP($DG54,flows!$A$2:$J$4985,DO$2,FALSE),0)</f>
        <v>120.0682899312534</v>
      </c>
      <c r="DP54" s="92">
        <f>IFERROR(VLOOKUP($DG54,flows!$A$2:$J$4985,DP$2,FALSE),0)</f>
        <v>125.71899495797631</v>
      </c>
      <c r="DQ54" s="93">
        <f>IFERROR(VLOOKUP($DG54,flows!$A$2:$J$4985,DQ$2,FALSE),0)</f>
        <v>0</v>
      </c>
    </row>
    <row r="55" spans="26:121" ht="15" thickBot="1" x14ac:dyDescent="0.4">
      <c r="CT55" s="134" t="s">
        <v>3088</v>
      </c>
      <c r="CU55" s="92"/>
      <c r="CV55" s="92"/>
      <c r="CW55" s="346">
        <f>IFERROR(VLOOKUP($CT55,flows!$A$2:$J$4985,CW$2,FALSE),0)</f>
        <v>0</v>
      </c>
      <c r="CX55" s="346">
        <f>IFERROR(VLOOKUP($CT55,flows!$A$2:$J$4985,CX$2,FALSE),0)</f>
        <v>0</v>
      </c>
      <c r="CY55" s="346">
        <f>IFERROR(VLOOKUP($CT55,flows!$A$2:$J$4985,CY$2,FALSE),0)</f>
        <v>0</v>
      </c>
      <c r="CZ55" s="346">
        <f>IFERROR(VLOOKUP($CT55,flows!$A$2:$J$4985,CZ$2,FALSE),0)</f>
        <v>0</v>
      </c>
      <c r="DA55" s="346">
        <f>IFERROR(VLOOKUP($CT55,flows!$A$2:$J$4985,DA$2,FALSE),0)</f>
        <v>0</v>
      </c>
      <c r="DB55" s="346">
        <f>IFERROR(VLOOKUP($CT55,flows!$A$2:$J$4985,DB$2,FALSE),0)</f>
        <v>0</v>
      </c>
      <c r="DC55" s="346">
        <f>IFERROR(VLOOKUP($CT55,flows!$A$2:$J$4985,DC$2,FALSE),0)</f>
        <v>0</v>
      </c>
      <c r="DD55" s="336">
        <f>IFERROR(VLOOKUP($CT55,flows!$A$2:$J$4985,DD$2,FALSE),0)</f>
        <v>0</v>
      </c>
      <c r="DG55" s="40" t="s">
        <v>3949</v>
      </c>
      <c r="DH55" s="92"/>
      <c r="DI55" s="92"/>
      <c r="DJ55" s="92">
        <f>IFERROR(VLOOKUP($DG55,flows!$A$2:$J$4985,DJ$2,FALSE),0)</f>
        <v>777.42103947963506</v>
      </c>
      <c r="DK55" s="92">
        <f>IFERROR(VLOOKUP($DG55,flows!$A$2:$J$4985,DK$2,FALSE),0)</f>
        <v>602.71192742005076</v>
      </c>
      <c r="DL55" s="92">
        <f>IFERROR(VLOOKUP($DG55,flows!$A$2:$J$4985,DL$2,FALSE),0)</f>
        <v>637.65545819413956</v>
      </c>
      <c r="DM55" s="92">
        <f>IFERROR(VLOOKUP($DG55,flows!$A$2:$J$4985,DM$2,FALSE),0)</f>
        <v>672.6020434964986</v>
      </c>
      <c r="DN55" s="92">
        <f>IFERROR(VLOOKUP($DG55,flows!$A$2:$J$4985,DN$2,FALSE),0)</f>
        <v>707.53969166428305</v>
      </c>
      <c r="DO55" s="92">
        <f>IFERROR(VLOOKUP($DG55,flows!$A$2:$J$4985,DO$2,FALSE),0)</f>
        <v>742.47725002616289</v>
      </c>
      <c r="DP55" s="92">
        <f>IFERROR(VLOOKUP($DG55,flows!$A$2:$J$4985,DP$2,FALSE),0)</f>
        <v>777.42237496500093</v>
      </c>
      <c r="DQ55" s="93">
        <f>IFERROR(VLOOKUP($DG55,flows!$A$2:$J$4985,DQ$2,FALSE),0)</f>
        <v>0</v>
      </c>
    </row>
    <row r="56" spans="26:121" x14ac:dyDescent="0.35">
      <c r="Z56" s="91" t="s">
        <v>3134</v>
      </c>
      <c r="AA56" s="88"/>
      <c r="AB56" s="88"/>
      <c r="AC56" s="89">
        <v>2</v>
      </c>
      <c r="AD56" s="89">
        <v>3</v>
      </c>
      <c r="AE56" s="89">
        <v>4</v>
      </c>
      <c r="AF56" s="89">
        <v>5</v>
      </c>
      <c r="AG56" s="89">
        <v>6</v>
      </c>
      <c r="AH56" s="89">
        <v>7</v>
      </c>
      <c r="AI56" s="89">
        <v>8</v>
      </c>
      <c r="AJ56" s="90">
        <v>9</v>
      </c>
      <c r="CT56" s="134" t="s">
        <v>3089</v>
      </c>
      <c r="CU56" s="92"/>
      <c r="CV56" s="92"/>
      <c r="CW56" s="346">
        <f>IFERROR(VLOOKUP($CT56,flows!$A$2:$J$4985,CW$2,FALSE),0)</f>
        <v>0</v>
      </c>
      <c r="CX56" s="346">
        <f>IFERROR(VLOOKUP($CT56,flows!$A$2:$J$4985,CX$2,FALSE),0)</f>
        <v>0</v>
      </c>
      <c r="CY56" s="346">
        <f>IFERROR(VLOOKUP($CT56,flows!$A$2:$J$4985,CY$2,FALSE),0)</f>
        <v>0</v>
      </c>
      <c r="CZ56" s="346">
        <f>IFERROR(VLOOKUP($CT56,flows!$A$2:$J$4985,CZ$2,FALSE),0)</f>
        <v>0</v>
      </c>
      <c r="DA56" s="346">
        <f>IFERROR(VLOOKUP($CT56,flows!$A$2:$J$4985,DA$2,FALSE),0)</f>
        <v>0</v>
      </c>
      <c r="DB56" s="346">
        <f>IFERROR(VLOOKUP($CT56,flows!$A$2:$J$4985,DB$2,FALSE),0)</f>
        <v>0</v>
      </c>
      <c r="DC56" s="346">
        <f>IFERROR(VLOOKUP($CT56,flows!$A$2:$J$4985,DC$2,FALSE),0)</f>
        <v>0</v>
      </c>
      <c r="DD56" s="336">
        <f>IFERROR(VLOOKUP($CT56,flows!$A$2:$J$4985,DD$2,FALSE),0)</f>
        <v>0</v>
      </c>
      <c r="DG56" s="40" t="s">
        <v>3948</v>
      </c>
      <c r="DH56" s="92"/>
      <c r="DI56" s="92"/>
      <c r="DJ56" s="92">
        <f>IFERROR(VLOOKUP($DG56,flows!$A$2:$J$4985,DJ$2,FALSE),0)</f>
        <v>50.552186007604298</v>
      </c>
      <c r="DK56" s="92">
        <f>IFERROR(VLOOKUP($DG56,flows!$A$2:$J$4985,DK$2,FALSE),0)</f>
        <v>39.193409646969698</v>
      </c>
      <c r="DL56" s="92">
        <f>IFERROR(VLOOKUP($DG56,flows!$A$2:$J$4985,DL$2,FALSE),0)</f>
        <v>41.464358532642159</v>
      </c>
      <c r="DM56" s="92">
        <f>IFERROR(VLOOKUP($DG56,flows!$A$2:$J$4985,DM$2,FALSE),0)</f>
        <v>43.739041735585133</v>
      </c>
      <c r="DN56" s="92">
        <f>IFERROR(VLOOKUP($DG56,flows!$A$2:$J$4985,DN$2,FALSE),0)</f>
        <v>46.009890037020483</v>
      </c>
      <c r="DO56" s="92">
        <f>IFERROR(VLOOKUP($DG56,flows!$A$2:$J$4985,DO$2,FALSE),0)</f>
        <v>48.280640000445153</v>
      </c>
      <c r="DP56" s="92">
        <f>IFERROR(VLOOKUP($DG56,flows!$A$2:$J$4985,DP$2,FALSE),0)</f>
        <v>50.553519955949341</v>
      </c>
      <c r="DQ56" s="93">
        <f>IFERROR(VLOOKUP($DG56,flows!$A$2:$J$4985,DQ$2,FALSE),0)</f>
        <v>0</v>
      </c>
    </row>
    <row r="57" spans="26:121" x14ac:dyDescent="0.35">
      <c r="Z57" s="40"/>
      <c r="AA57" s="92"/>
      <c r="AB57" s="92"/>
      <c r="AC57" s="92" t="s">
        <v>23</v>
      </c>
      <c r="AD57" s="92" t="s">
        <v>1798</v>
      </c>
      <c r="AE57" s="92" t="s">
        <v>1799</v>
      </c>
      <c r="AF57" s="92" t="s">
        <v>1800</v>
      </c>
      <c r="AG57" s="92" t="s">
        <v>1801</v>
      </c>
      <c r="AH57" s="92" t="s">
        <v>1802</v>
      </c>
      <c r="AI57" s="92" t="s">
        <v>1803</v>
      </c>
      <c r="AJ57" s="93" t="s">
        <v>1804</v>
      </c>
      <c r="CT57" s="134" t="s">
        <v>3992</v>
      </c>
      <c r="CU57" s="92"/>
      <c r="CV57" s="92"/>
      <c r="CW57" s="346">
        <f>IFERROR(VLOOKUP($CT57,flows!$A$2:$J$4985,CW$2,FALSE),0)</f>
        <v>0</v>
      </c>
      <c r="CX57" s="346">
        <f>IFERROR(VLOOKUP($CT57,flows!$A$2:$J$4985,CX$2,FALSE),0)</f>
        <v>0</v>
      </c>
      <c r="CY57" s="346">
        <f>IFERROR(VLOOKUP($CT57,flows!$A$2:$J$4985,CY$2,FALSE),0)</f>
        <v>0</v>
      </c>
      <c r="CZ57" s="346">
        <f>IFERROR(VLOOKUP($CT57,flows!$A$2:$J$4985,CZ$2,FALSE),0)</f>
        <v>0</v>
      </c>
      <c r="DA57" s="346">
        <f>IFERROR(VLOOKUP($CT57,flows!$A$2:$J$4985,DA$2,FALSE),0)</f>
        <v>0</v>
      </c>
      <c r="DB57" s="346">
        <f>IFERROR(VLOOKUP($CT57,flows!$A$2:$J$4985,DB$2,FALSE),0)</f>
        <v>0</v>
      </c>
      <c r="DC57" s="346">
        <f>IFERROR(VLOOKUP($CT57,flows!$A$2:$J$4985,DC$2,FALSE),0)</f>
        <v>0</v>
      </c>
      <c r="DD57" s="336">
        <f>IFERROR(VLOOKUP($CT57,flows!$A$2:$J$4985,DD$2,FALSE),0)</f>
        <v>0</v>
      </c>
      <c r="DG57" s="40"/>
      <c r="DH57" s="92" t="s">
        <v>2856</v>
      </c>
      <c r="DI57" s="92" t="s">
        <v>2840</v>
      </c>
      <c r="DJ57" s="92">
        <f>SUM(DJ52:DJ56)</f>
        <v>2698.4358062839965</v>
      </c>
      <c r="DK57" s="92">
        <f t="shared" ref="DK57:DQ57" si="69">SUM(DK52:DK56)</f>
        <v>2092.0186134728474</v>
      </c>
      <c r="DL57" s="92">
        <f t="shared" si="69"/>
        <v>2213.2917125100748</v>
      </c>
      <c r="DM57" s="92">
        <f t="shared" si="69"/>
        <v>2334.5809907180446</v>
      </c>
      <c r="DN57" s="92">
        <f t="shared" si="69"/>
        <v>2455.8712059329378</v>
      </c>
      <c r="DO57" s="92">
        <f t="shared" si="69"/>
        <v>2577.1609600325755</v>
      </c>
      <c r="DP57" s="92">
        <f t="shared" si="69"/>
        <v>2698.4424798130717</v>
      </c>
      <c r="DQ57" s="93">
        <f t="shared" si="69"/>
        <v>0</v>
      </c>
    </row>
    <row r="58" spans="26:121" x14ac:dyDescent="0.35">
      <c r="Z58" s="486" t="s">
        <v>633</v>
      </c>
      <c r="AA58" s="92" t="s">
        <v>3149</v>
      </c>
      <c r="AB58" s="92" t="s">
        <v>1216</v>
      </c>
      <c r="AC58" s="346">
        <f>IFERROR(VLOOKUP($Z58,flows!$A$2:$J$4985,AC$2,FALSE),0)</f>
        <v>0</v>
      </c>
      <c r="AD58" s="346">
        <f>IFERROR(VLOOKUP($Z58,flows!$A$2:$J$4985,AD$2,FALSE),0)</f>
        <v>0</v>
      </c>
      <c r="AE58" s="346">
        <f>IFERROR(VLOOKUP($Z58,flows!$A$2:$J$4985,AE$2,FALSE),0)</f>
        <v>0</v>
      </c>
      <c r="AF58" s="346">
        <f>IFERROR(VLOOKUP($Z58,flows!$A$2:$J$4985,AF$2,FALSE),0)</f>
        <v>0</v>
      </c>
      <c r="AG58" s="346">
        <f>IFERROR(VLOOKUP($Z58,flows!$A$2:$J$4985,AG$2,FALSE),0)</f>
        <v>0</v>
      </c>
      <c r="AH58" s="346">
        <f>IFERROR(VLOOKUP($Z58,flows!$A$2:$J$4985,AH$2,FALSE),0)</f>
        <v>0</v>
      </c>
      <c r="AI58" s="346">
        <f>IFERROR(VLOOKUP($Z58,flows!$A$2:$J$4985,AI$2,FALSE),0)</f>
        <v>0</v>
      </c>
      <c r="AJ58" s="346">
        <f>IFERROR(VLOOKUP($Z58,flows!$A$2:$J$4985,AJ$2,FALSE),0)</f>
        <v>0</v>
      </c>
      <c r="CT58" s="134" t="s">
        <v>3993</v>
      </c>
      <c r="CU58" s="92"/>
      <c r="CV58" s="92"/>
      <c r="CW58" s="346">
        <f>IFERROR(VLOOKUP($CT58,flows!$A$2:$J$4985,CW$2,FALSE),0)</f>
        <v>0</v>
      </c>
      <c r="CX58" s="346">
        <f>IFERROR(VLOOKUP($CT58,flows!$A$2:$J$4985,CX$2,FALSE),0)</f>
        <v>0</v>
      </c>
      <c r="CY58" s="346">
        <f>IFERROR(VLOOKUP($CT58,flows!$A$2:$J$4985,CY$2,FALSE),0)</f>
        <v>0</v>
      </c>
      <c r="CZ58" s="346">
        <f>IFERROR(VLOOKUP($CT58,flows!$A$2:$J$4985,CZ$2,FALSE),0)</f>
        <v>0</v>
      </c>
      <c r="DA58" s="346">
        <f>IFERROR(VLOOKUP($CT58,flows!$A$2:$J$4985,DA$2,FALSE),0)</f>
        <v>0</v>
      </c>
      <c r="DB58" s="346">
        <f>IFERROR(VLOOKUP($CT58,flows!$A$2:$J$4985,DB$2,FALSE),0)</f>
        <v>0</v>
      </c>
      <c r="DC58" s="346">
        <f>IFERROR(VLOOKUP($CT58,flows!$A$2:$J$4985,DC$2,FALSE),0)</f>
        <v>0</v>
      </c>
      <c r="DD58" s="336">
        <f>IFERROR(VLOOKUP($CT58,flows!$A$2:$J$4985,DD$2,FALSE),0)</f>
        <v>0</v>
      </c>
      <c r="DG58" s="40"/>
      <c r="DH58" s="92"/>
      <c r="DI58" s="92"/>
      <c r="DJ58" s="92"/>
      <c r="DK58" s="92"/>
      <c r="DL58" s="92"/>
      <c r="DM58" s="92"/>
      <c r="DN58" s="92"/>
      <c r="DO58" s="92"/>
      <c r="DP58" s="92"/>
      <c r="DQ58" s="93"/>
    </row>
    <row r="59" spans="26:121" x14ac:dyDescent="0.35">
      <c r="Z59" s="491" t="s">
        <v>4295</v>
      </c>
      <c r="AA59" s="92" t="s">
        <v>3152</v>
      </c>
      <c r="AB59" s="92" t="s">
        <v>3152</v>
      </c>
      <c r="AC59" s="346">
        <f>IFERROR(VLOOKUP($Z59,flows!$A$2:$J$4985,AC$2,FALSE),0)</f>
        <v>0</v>
      </c>
      <c r="AD59" s="346">
        <f>IFERROR(VLOOKUP($Z59,flows!$A$2:$J$4985,AD$2,FALSE),0)</f>
        <v>0</v>
      </c>
      <c r="AE59" s="346">
        <f>IFERROR(VLOOKUP($Z59,flows!$A$2:$J$4985,AE$2,FALSE),0)</f>
        <v>0</v>
      </c>
      <c r="AF59" s="346">
        <f>IFERROR(VLOOKUP($Z59,flows!$A$2:$J$4985,AF$2,FALSE),0)</f>
        <v>0</v>
      </c>
      <c r="AG59" s="346">
        <f>IFERROR(VLOOKUP($Z59,flows!$A$2:$J$4985,AG$2,FALSE),0)</f>
        <v>0</v>
      </c>
      <c r="AH59" s="346">
        <f>IFERROR(VLOOKUP($Z59,flows!$A$2:$J$4985,AH$2,FALSE),0)</f>
        <v>0</v>
      </c>
      <c r="AI59" s="346">
        <f>IFERROR(VLOOKUP($Z59,flows!$A$2:$J$4985,AI$2,FALSE),0)</f>
        <v>0</v>
      </c>
      <c r="AJ59" s="346">
        <f>IFERROR(VLOOKUP($Z59,flows!$A$2:$J$4985,AJ$2,FALSE),0)</f>
        <v>0</v>
      </c>
      <c r="CT59" s="134" t="s">
        <v>3994</v>
      </c>
      <c r="CU59" s="92"/>
      <c r="CV59" s="92"/>
      <c r="CW59" s="346">
        <f>IFERROR(VLOOKUP($CT59,flows!$A$2:$J$4985,CW$2,FALSE),0)</f>
        <v>0</v>
      </c>
      <c r="CX59" s="346">
        <f>IFERROR(VLOOKUP($CT59,flows!$A$2:$J$4985,CX$2,FALSE),0)</f>
        <v>0</v>
      </c>
      <c r="CY59" s="346">
        <f>IFERROR(VLOOKUP($CT59,flows!$A$2:$J$4985,CY$2,FALSE),0)</f>
        <v>0</v>
      </c>
      <c r="CZ59" s="346">
        <f>IFERROR(VLOOKUP($CT59,flows!$A$2:$J$4985,CZ$2,FALSE),0)</f>
        <v>0</v>
      </c>
      <c r="DA59" s="346">
        <f>IFERROR(VLOOKUP($CT59,flows!$A$2:$J$4985,DA$2,FALSE),0)</f>
        <v>0</v>
      </c>
      <c r="DB59" s="346">
        <f>IFERROR(VLOOKUP($CT59,flows!$A$2:$J$4985,DB$2,FALSE),0)</f>
        <v>0</v>
      </c>
      <c r="DC59" s="346">
        <f>IFERROR(VLOOKUP($CT59,flows!$A$2:$J$4985,DC$2,FALSE),0)</f>
        <v>0</v>
      </c>
      <c r="DD59" s="336">
        <f>IFERROR(VLOOKUP($CT59,flows!$A$2:$J$4985,DD$2,FALSE),0)</f>
        <v>0</v>
      </c>
      <c r="DG59" s="134" t="s">
        <v>2973</v>
      </c>
      <c r="DH59" s="92"/>
      <c r="DI59" s="92"/>
      <c r="DJ59" s="92">
        <f>IFERROR(VLOOKUP($DG59,flows!$A$2:$J$4985,DJ$2,FALSE),0)</f>
        <v>2934.7041715602022</v>
      </c>
      <c r="DK59" s="92">
        <f>IFERROR(VLOOKUP($DG59,flows!$A$2:$J$4985,DK$2,FALSE),0)</f>
        <v>1873.7839834864239</v>
      </c>
      <c r="DL59" s="92">
        <f>IFERROR(VLOOKUP($DG59,flows!$A$2:$J$4985,DL$2,FALSE),0)</f>
        <v>2061.2108244562501</v>
      </c>
      <c r="DM59" s="92">
        <f>IFERROR(VLOOKUP($DG59,flows!$A$2:$J$4985,DM$2,FALSE),0)</f>
        <v>2257.274225692523</v>
      </c>
      <c r="DN59" s="92">
        <f>IFERROR(VLOOKUP($DG59,flows!$A$2:$J$4985,DN$2,FALSE),0)</f>
        <v>2470.373002647701</v>
      </c>
      <c r="DO59" s="92">
        <f>IFERROR(VLOOKUP($DG59,flows!$A$2:$J$4985,DO$2,FALSE),0)</f>
        <v>2692.93670323588</v>
      </c>
      <c r="DP59" s="92">
        <f>IFERROR(VLOOKUP($DG59,flows!$A$2:$J$4985,DP$2,FALSE),0)</f>
        <v>2934.7041695205921</v>
      </c>
      <c r="DQ59" s="93">
        <f>IFERROR(VLOOKUP($DG59,flows!$A$2:$J$4985,DQ$2,FALSE),0)</f>
        <v>0</v>
      </c>
    </row>
    <row r="60" spans="26:121" x14ac:dyDescent="0.35">
      <c r="Z60" s="862" t="s">
        <v>4384</v>
      </c>
      <c r="AA60" s="92" t="s">
        <v>4198</v>
      </c>
      <c r="AB60" s="92" t="s">
        <v>4199</v>
      </c>
      <c r="AC60" s="346">
        <f>IFERROR(VLOOKUP($Z60,flows!$A$2:$J$4985,AC$2,FALSE),0)</f>
        <v>0</v>
      </c>
      <c r="AD60" s="346">
        <f>IFERROR(VLOOKUP($Z60,flows!$A$2:$J$4985,AD$2,FALSE),0)</f>
        <v>0</v>
      </c>
      <c r="AE60" s="346">
        <f>IFERROR(VLOOKUP($Z60,flows!$A$2:$J$4985,AE$2,FALSE),0)</f>
        <v>0</v>
      </c>
      <c r="AF60" s="346">
        <f>IFERROR(VLOOKUP($Z60,flows!$A$2:$J$4985,AF$2,FALSE),0)</f>
        <v>0</v>
      </c>
      <c r="AG60" s="346">
        <f>IFERROR(VLOOKUP($Z60,flows!$A$2:$J$4985,AG$2,FALSE),0)</f>
        <v>0</v>
      </c>
      <c r="AH60" s="346">
        <f>IFERROR(VLOOKUP($Z60,flows!$A$2:$J$4985,AH$2,FALSE),0)</f>
        <v>0</v>
      </c>
      <c r="AI60" s="346">
        <f>IFERROR(VLOOKUP($Z60,flows!$A$2:$J$4985,AI$2,FALSE),0)</f>
        <v>0</v>
      </c>
      <c r="AJ60" s="346">
        <f>IFERROR(VLOOKUP($Z60,flows!$A$2:$J$4985,AJ$2,FALSE),0)</f>
        <v>0</v>
      </c>
      <c r="CT60" s="134" t="s">
        <v>3995</v>
      </c>
      <c r="CU60" s="92"/>
      <c r="CV60" s="92"/>
      <c r="CW60" s="346">
        <f>IFERROR(VLOOKUP($CT60,flows!$A$2:$J$4985,CW$2,FALSE),0)</f>
        <v>0</v>
      </c>
      <c r="CX60" s="346">
        <f>IFERROR(VLOOKUP($CT60,flows!$A$2:$J$4985,CX$2,FALSE),0)</f>
        <v>0</v>
      </c>
      <c r="CY60" s="346">
        <f>IFERROR(VLOOKUP($CT60,flows!$A$2:$J$4985,CY$2,FALSE),0)</f>
        <v>0</v>
      </c>
      <c r="CZ60" s="346">
        <f>IFERROR(VLOOKUP($CT60,flows!$A$2:$J$4985,CZ$2,FALSE),0)</f>
        <v>0</v>
      </c>
      <c r="DA60" s="346">
        <f>IFERROR(VLOOKUP($CT60,flows!$A$2:$J$4985,DA$2,FALSE),0)</f>
        <v>0</v>
      </c>
      <c r="DB60" s="346">
        <f>IFERROR(VLOOKUP($CT60,flows!$A$2:$J$4985,DB$2,FALSE),0)</f>
        <v>0</v>
      </c>
      <c r="DC60" s="346">
        <f>IFERROR(VLOOKUP($CT60,flows!$A$2:$J$4985,DC$2,FALSE),0)</f>
        <v>0</v>
      </c>
      <c r="DD60" s="336">
        <f>IFERROR(VLOOKUP($CT60,flows!$A$2:$J$4985,DD$2,FALSE),0)</f>
        <v>0</v>
      </c>
      <c r="DG60" s="134" t="s">
        <v>2970</v>
      </c>
      <c r="DH60" s="92"/>
      <c r="DI60" s="92"/>
      <c r="DJ60" s="92">
        <f>IFERROR(VLOOKUP($DG60,flows!$A$2:$J$4985,DJ$2,FALSE),0)</f>
        <v>2359.54456053079</v>
      </c>
      <c r="DK60" s="92">
        <f>IFERROR(VLOOKUP($DG60,flows!$A$2:$J$4985,DK$2,FALSE),0)</f>
        <v>1506.5599863399109</v>
      </c>
      <c r="DL60" s="92">
        <f>IFERROR(VLOOKUP($DG60,flows!$A$2:$J$4985,DL$2,FALSE),0)</f>
        <v>1657.250338480502</v>
      </c>
      <c r="DM60" s="92">
        <f>IFERROR(VLOOKUP($DG60,flows!$A$2:$J$4985,DM$2,FALSE),0)</f>
        <v>1814.8843306947749</v>
      </c>
      <c r="DN60" s="92">
        <f>IFERROR(VLOOKUP($DG60,flows!$A$2:$J$4985,DN$2,FALSE),0)</f>
        <v>1986.2194051190779</v>
      </c>
      <c r="DO60" s="92">
        <f>IFERROR(VLOOKUP($DG60,flows!$A$2:$J$4985,DO$2,FALSE),0)</f>
        <v>2165.164449641909</v>
      </c>
      <c r="DP60" s="92">
        <f>IFERROR(VLOOKUP($DG60,flows!$A$2:$J$4985,DP$2,FALSE),0)</f>
        <v>2359.5445584618042</v>
      </c>
      <c r="DQ60" s="93">
        <f>IFERROR(VLOOKUP($DG60,flows!$A$2:$J$4985,DQ$2,FALSE),0)</f>
        <v>0</v>
      </c>
    </row>
    <row r="61" spans="26:121" ht="15" thickBot="1" x14ac:dyDescent="0.4">
      <c r="Z61" s="862" t="s">
        <v>4383</v>
      </c>
      <c r="AA61" s="137" t="s">
        <v>4201</v>
      </c>
      <c r="AB61" s="137" t="s">
        <v>4200</v>
      </c>
      <c r="AC61" s="346">
        <f>IFERROR(VLOOKUP($Z61,flows!$A$2:$J$4985,AC$2,FALSE),0)</f>
        <v>0</v>
      </c>
      <c r="AD61" s="346">
        <f>IFERROR(VLOOKUP($Z61,flows!$A$2:$J$4985,AD$2,FALSE),0)</f>
        <v>0</v>
      </c>
      <c r="AE61" s="346">
        <f>IFERROR(VLOOKUP($Z61,flows!$A$2:$J$4985,AE$2,FALSE),0)</f>
        <v>0</v>
      </c>
      <c r="AF61" s="346">
        <f>IFERROR(VLOOKUP($Z61,flows!$A$2:$J$4985,AF$2,FALSE),0)</f>
        <v>0</v>
      </c>
      <c r="AG61" s="346">
        <f>IFERROR(VLOOKUP($Z61,flows!$A$2:$J$4985,AG$2,FALSE),0)</f>
        <v>0</v>
      </c>
      <c r="AH61" s="346">
        <f>IFERROR(VLOOKUP($Z61,flows!$A$2:$J$4985,AH$2,FALSE),0)</f>
        <v>0</v>
      </c>
      <c r="AI61" s="346">
        <f>IFERROR(VLOOKUP($Z61,flows!$A$2:$J$4985,AI$2,FALSE),0)</f>
        <v>0</v>
      </c>
      <c r="AJ61" s="346">
        <f>IFERROR(VLOOKUP($Z61,flows!$A$2:$J$4985,AJ$2,FALSE),0)</f>
        <v>0</v>
      </c>
      <c r="CT61" s="134" t="s">
        <v>3996</v>
      </c>
      <c r="CU61" s="77"/>
      <c r="CV61" s="77"/>
      <c r="CW61" s="346">
        <f>IFERROR(VLOOKUP($CT61,flows!$A$2:$J$4985,CW$2,FALSE),0)</f>
        <v>0</v>
      </c>
      <c r="CX61" s="346">
        <f>IFERROR(VLOOKUP($CT61,flows!$A$2:$J$4985,CX$2,FALSE),0)</f>
        <v>0</v>
      </c>
      <c r="CY61" s="346">
        <f>IFERROR(VLOOKUP($CT61,flows!$A$2:$J$4985,CY$2,FALSE),0)</f>
        <v>0</v>
      </c>
      <c r="CZ61" s="346">
        <f>IFERROR(VLOOKUP($CT61,flows!$A$2:$J$4985,CZ$2,FALSE),0)</f>
        <v>0</v>
      </c>
      <c r="DA61" s="346">
        <f>IFERROR(VLOOKUP($CT61,flows!$A$2:$J$4985,DA$2,FALSE),0)</f>
        <v>0</v>
      </c>
      <c r="DB61" s="346">
        <f>IFERROR(VLOOKUP($CT61,flows!$A$2:$J$4985,DB$2,FALSE),0)</f>
        <v>0</v>
      </c>
      <c r="DC61" s="346">
        <f>IFERROR(VLOOKUP($CT61,flows!$A$2:$J$4985,DC$2,FALSE),0)</f>
        <v>0</v>
      </c>
      <c r="DD61" s="336">
        <f>IFERROR(VLOOKUP($CT61,flows!$A$2:$J$4985,DD$2,FALSE),0)</f>
        <v>0</v>
      </c>
      <c r="DG61" s="134" t="s">
        <v>2969</v>
      </c>
      <c r="DH61" s="92"/>
      <c r="DI61" s="92"/>
      <c r="DJ61" s="92">
        <f>IFERROR(VLOOKUP($DG61,flows!$A$2:$J$4985,DJ$2,FALSE),0)</f>
        <v>1079.9021224447911</v>
      </c>
      <c r="DK61" s="92">
        <f>IFERROR(VLOOKUP($DG61,flows!$A$2:$J$4985,DK$2,FALSE),0)</f>
        <v>689.50798261723583</v>
      </c>
      <c r="DL61" s="92">
        <f>IFERROR(VLOOKUP($DG61,flows!$A$2:$J$4985,DL$2,FALSE),0)</f>
        <v>758.47973247758227</v>
      </c>
      <c r="DM61" s="92">
        <f>IFERROR(VLOOKUP($DG61,flows!$A$2:$J$4985,DM$2,FALSE),0)</f>
        <v>830.63034289010454</v>
      </c>
      <c r="DN61" s="92">
        <f>IFERROR(VLOOKUP($DG61,flows!$A$2:$J$4985,DN$2,FALSE),0)</f>
        <v>909.04073838096895</v>
      </c>
      <c r="DO61" s="92">
        <f>IFERROR(VLOOKUP($DG61,flows!$A$2:$J$4985,DO$2,FALSE),0)</f>
        <v>990.93359933123838</v>
      </c>
      <c r="DP61" s="92">
        <f>IFERROR(VLOOKUP($DG61,flows!$A$2:$J$4985,DP$2,FALSE),0)</f>
        <v>1079.902120431055</v>
      </c>
      <c r="DQ61" s="93">
        <f>IFERROR(VLOOKUP($DG61,flows!$A$2:$J$4985,DQ$2,FALSE),0)</f>
        <v>0</v>
      </c>
    </row>
    <row r="62" spans="26:121" x14ac:dyDescent="0.35">
      <c r="Z62" s="491" t="s">
        <v>632</v>
      </c>
      <c r="AA62" s="92" t="s">
        <v>3141</v>
      </c>
      <c r="AB62" s="92" t="s">
        <v>3142</v>
      </c>
      <c r="AC62" s="346">
        <f>IFERROR(VLOOKUP($Z62,flows!$A$2:$J$4985,AC$2,FALSE),0)</f>
        <v>0</v>
      </c>
      <c r="AD62" s="346">
        <f>IFERROR(VLOOKUP($Z62,flows!$A$2:$J$4985,AD$2,FALSE),0)</f>
        <v>0</v>
      </c>
      <c r="AE62" s="346">
        <f>IFERROR(VLOOKUP($Z62,flows!$A$2:$J$4985,AE$2,FALSE),0)</f>
        <v>0</v>
      </c>
      <c r="AF62" s="346">
        <f>IFERROR(VLOOKUP($Z62,flows!$A$2:$J$4985,AF$2,FALSE),0)</f>
        <v>0</v>
      </c>
      <c r="AG62" s="346">
        <f>IFERROR(VLOOKUP($Z62,flows!$A$2:$J$4985,AG$2,FALSE),0)</f>
        <v>0</v>
      </c>
      <c r="AH62" s="346">
        <f>IFERROR(VLOOKUP($Z62,flows!$A$2:$J$4985,AH$2,FALSE),0)</f>
        <v>0</v>
      </c>
      <c r="AI62" s="346">
        <f>IFERROR(VLOOKUP($Z62,flows!$A$2:$J$4985,AI$2,FALSE),0)</f>
        <v>0</v>
      </c>
      <c r="AJ62" s="346">
        <f>IFERROR(VLOOKUP($Z62,flows!$A$2:$J$4985,AJ$2,FALSE),0)</f>
        <v>0</v>
      </c>
      <c r="CT62"/>
      <c r="CU62"/>
      <c r="CV62" t="s">
        <v>3091</v>
      </c>
      <c r="CW62" s="348" t="e">
        <f>(CW55/SUM(CW53:CW55))</f>
        <v>#DIV/0!</v>
      </c>
      <c r="CX62" s="348">
        <v>0</v>
      </c>
      <c r="CY62" s="348" t="e">
        <f t="shared" ref="CY62:DD62" si="70">(CY55/SUM(CY53:CY55))</f>
        <v>#DIV/0!</v>
      </c>
      <c r="CZ62" s="348" t="e">
        <f t="shared" si="70"/>
        <v>#DIV/0!</v>
      </c>
      <c r="DA62" s="348" t="e">
        <f t="shared" si="70"/>
        <v>#DIV/0!</v>
      </c>
      <c r="DB62" s="348" t="e">
        <f t="shared" si="70"/>
        <v>#DIV/0!</v>
      </c>
      <c r="DC62" s="348" t="e">
        <f t="shared" si="70"/>
        <v>#DIV/0!</v>
      </c>
      <c r="DD62" s="348" t="e">
        <f t="shared" si="70"/>
        <v>#DIV/0!</v>
      </c>
      <c r="DG62" s="134" t="s">
        <v>2972</v>
      </c>
      <c r="DH62" s="92"/>
      <c r="DI62" s="92"/>
      <c r="DJ62" s="92">
        <f>IFERROR(VLOOKUP($DG62,flows!$A$2:$J$4985,DJ$2,FALSE),0)</f>
        <v>2654.4908783377859</v>
      </c>
      <c r="DK62" s="92">
        <f>IFERROR(VLOOKUP($DG62,flows!$A$2:$J$4985,DK$2,FALSE),0)</f>
        <v>1694.8799842557571</v>
      </c>
      <c r="DL62" s="92">
        <f>IFERROR(VLOOKUP($DG62,flows!$A$2:$J$4985,DL$2,FALSE),0)</f>
        <v>1864.426092636073</v>
      </c>
      <c r="DM62" s="92">
        <f>IFERROR(VLOOKUP($DG62,flows!$A$2:$J$4985,DM$2,FALSE),0)</f>
        <v>2041.785299293266</v>
      </c>
      <c r="DN62" s="92">
        <f>IFERROR(VLOOKUP($DG62,flows!$A$2:$J$4985,DN$2,FALSE),0)</f>
        <v>2234.5088474648778</v>
      </c>
      <c r="DO62" s="92">
        <f>IFERROR(VLOOKUP($DG62,flows!$A$2:$J$4985,DO$2,FALSE),0)</f>
        <v>2435.7912816734211</v>
      </c>
      <c r="DP62" s="92">
        <f>IFERROR(VLOOKUP($DG62,flows!$A$2:$J$4985,DP$2,FALSE),0)</f>
        <v>2654.4908762897312</v>
      </c>
      <c r="DQ62" s="93">
        <f>IFERROR(VLOOKUP($DG62,flows!$A$2:$J$4985,DQ$2,FALSE),0)</f>
        <v>0</v>
      </c>
    </row>
    <row r="63" spans="26:121" x14ac:dyDescent="0.35">
      <c r="Z63" s="491" t="s">
        <v>631</v>
      </c>
      <c r="AA63" s="92" t="s">
        <v>3150</v>
      </c>
      <c r="AB63" s="92" t="s">
        <v>3151</v>
      </c>
      <c r="AC63" s="346">
        <f>IFERROR(VLOOKUP($Z63,flows!$A$2:$J$4985,AC$2,FALSE),0)</f>
        <v>0</v>
      </c>
      <c r="AD63" s="346">
        <f>IFERROR(VLOOKUP($Z63,flows!$A$2:$J$4985,AD$2,FALSE),0)</f>
        <v>0</v>
      </c>
      <c r="AE63" s="346">
        <f>IFERROR(VLOOKUP($Z63,flows!$A$2:$J$4985,AE$2,FALSE),0)</f>
        <v>0</v>
      </c>
      <c r="AF63" s="346">
        <f>IFERROR(VLOOKUP($Z63,flows!$A$2:$J$4985,AF$2,FALSE),0)</f>
        <v>0</v>
      </c>
      <c r="AG63" s="346">
        <f>IFERROR(VLOOKUP($Z63,flows!$A$2:$J$4985,AG$2,FALSE),0)</f>
        <v>0</v>
      </c>
      <c r="AH63" s="346">
        <f>IFERROR(VLOOKUP($Z63,flows!$A$2:$J$4985,AH$2,FALSE),0)</f>
        <v>0</v>
      </c>
      <c r="AI63" s="346">
        <f>IFERROR(VLOOKUP($Z63,flows!$A$2:$J$4985,AI$2,FALSE),0)</f>
        <v>0</v>
      </c>
      <c r="AJ63" s="346">
        <f>IFERROR(VLOOKUP($Z63,flows!$A$2:$J$4985,AJ$2,FALSE),0)</f>
        <v>0</v>
      </c>
      <c r="CT63"/>
      <c r="CU63"/>
      <c r="CV63" t="s">
        <v>3092</v>
      </c>
      <c r="CW63" s="348" t="e">
        <f>(CW53+CW54)/SUM(CW53:CW55)</f>
        <v>#DIV/0!</v>
      </c>
      <c r="CX63" s="348">
        <v>0</v>
      </c>
      <c r="CY63" s="348" t="e">
        <f t="shared" ref="CY63:DD63" si="71">(CY53+CY54)/SUM(CY53:CY55)</f>
        <v>#DIV/0!</v>
      </c>
      <c r="CZ63" s="348" t="e">
        <f t="shared" si="71"/>
        <v>#DIV/0!</v>
      </c>
      <c r="DA63" s="348" t="e">
        <f t="shared" si="71"/>
        <v>#DIV/0!</v>
      </c>
      <c r="DB63" s="348" t="e">
        <f t="shared" si="71"/>
        <v>#DIV/0!</v>
      </c>
      <c r="DC63" s="348" t="e">
        <f t="shared" si="71"/>
        <v>#DIV/0!</v>
      </c>
      <c r="DD63" s="348" t="e">
        <f t="shared" si="71"/>
        <v>#DIV/0!</v>
      </c>
      <c r="DG63" s="134" t="s">
        <v>2971</v>
      </c>
      <c r="DH63" s="92"/>
      <c r="DI63" s="92"/>
      <c r="DJ63" s="92">
        <f>IFERROR(VLOOKUP($DG63,flows!$A$2:$J$4985,DJ$2,FALSE),0)</f>
        <v>603.95007389076329</v>
      </c>
      <c r="DK63" s="92">
        <f>IFERROR(VLOOKUP($DG63,flows!$A$2:$J$4985,DK$2,FALSE),0)</f>
        <v>385.62798228485411</v>
      </c>
      <c r="DL63" s="92">
        <f>IFERROR(VLOOKUP($DG63,flows!$A$2:$J$4985,DL$2,FALSE),0)</f>
        <v>424.20820371424742</v>
      </c>
      <c r="DM63" s="92">
        <f>IFERROR(VLOOKUP($DG63,flows!$A$2:$J$4985,DM$2,FALSE),0)</f>
        <v>464.56714308889758</v>
      </c>
      <c r="DN63" s="92">
        <f>IFERROR(VLOOKUP($DG63,flows!$A$2:$J$4985,DN$2,FALSE),0)</f>
        <v>508.40333600537838</v>
      </c>
      <c r="DO63" s="92">
        <f>IFERROR(VLOOKUP($DG63,flows!$A$2:$J$4985,DO$2,FALSE),0)</f>
        <v>554.18583185721684</v>
      </c>
      <c r="DP63" s="92">
        <f>IFERROR(VLOOKUP($DG63,flows!$A$2:$J$4985,DP$2,FALSE),0)</f>
        <v>603.95007183098869</v>
      </c>
      <c r="DQ63" s="93">
        <f>IFERROR(VLOOKUP($DG63,flows!$A$2:$J$4985,DQ$2,FALSE),0)</f>
        <v>0</v>
      </c>
    </row>
    <row r="64" spans="26:121" x14ac:dyDescent="0.35">
      <c r="Z64" s="491" t="s">
        <v>2477</v>
      </c>
      <c r="AA64" s="137" t="s">
        <v>2612</v>
      </c>
      <c r="AB64" s="137" t="s">
        <v>2611</v>
      </c>
      <c r="AC64" s="346">
        <f>IFERROR(VLOOKUP($Z64,flows!$A$2:$J$4985,AC$2,FALSE),0)</f>
        <v>0</v>
      </c>
      <c r="AD64" s="346">
        <f>IFERROR(VLOOKUP($Z64,flows!$A$2:$J$4985,AD$2,FALSE),0)</f>
        <v>0</v>
      </c>
      <c r="AE64" s="346">
        <f>IFERROR(VLOOKUP($Z64,flows!$A$2:$J$4985,AE$2,FALSE),0)</f>
        <v>0</v>
      </c>
      <c r="AF64" s="346">
        <f>IFERROR(VLOOKUP($Z64,flows!$A$2:$J$4985,AF$2,FALSE),0)</f>
        <v>0</v>
      </c>
      <c r="AG64" s="346">
        <f>IFERROR(VLOOKUP($Z64,flows!$A$2:$J$4985,AG$2,FALSE),0)</f>
        <v>0</v>
      </c>
      <c r="AH64" s="346">
        <f>IFERROR(VLOOKUP($Z64,flows!$A$2:$J$4985,AH$2,FALSE),0)</f>
        <v>0</v>
      </c>
      <c r="AI64" s="346">
        <f>IFERROR(VLOOKUP($Z64,flows!$A$2:$J$4985,AI$2,FALSE),0)</f>
        <v>0</v>
      </c>
      <c r="AJ64" s="346">
        <f>IFERROR(VLOOKUP($Z64,flows!$A$2:$J$4985,AJ$2,FALSE),0)</f>
        <v>0</v>
      </c>
      <c r="CT64"/>
      <c r="CU64"/>
      <c r="CV64" t="s">
        <v>3090</v>
      </c>
      <c r="CW64" s="348" t="e">
        <f>CW58/SUM(CW56:CW58)</f>
        <v>#DIV/0!</v>
      </c>
      <c r="CX64" s="348">
        <v>0</v>
      </c>
      <c r="CY64" s="348" t="e">
        <f t="shared" ref="CY64:DD64" si="72">CY58/SUM(CY56:CY58)</f>
        <v>#DIV/0!</v>
      </c>
      <c r="CZ64" s="348" t="e">
        <f t="shared" si="72"/>
        <v>#DIV/0!</v>
      </c>
      <c r="DA64" s="348" t="e">
        <f t="shared" si="72"/>
        <v>#DIV/0!</v>
      </c>
      <c r="DB64" s="348" t="e">
        <f t="shared" si="72"/>
        <v>#DIV/0!</v>
      </c>
      <c r="DC64" s="348" t="e">
        <f t="shared" si="72"/>
        <v>#DIV/0!</v>
      </c>
      <c r="DD64" s="348" t="e">
        <f t="shared" si="72"/>
        <v>#DIV/0!</v>
      </c>
      <c r="DG64" s="134"/>
      <c r="DH64" s="92" t="s">
        <v>2841</v>
      </c>
      <c r="DI64" s="92" t="s">
        <v>2842</v>
      </c>
      <c r="DJ64" s="92">
        <f>SUM(DJ59:DJ63)</f>
        <v>9632.5918067643324</v>
      </c>
      <c r="DK64" s="92">
        <f t="shared" ref="DK64:DQ64" si="73">SUM(DK59:DK63)</f>
        <v>6150.3599189841816</v>
      </c>
      <c r="DL64" s="92">
        <f t="shared" si="73"/>
        <v>6765.5751917646548</v>
      </c>
      <c r="DM64" s="92">
        <f t="shared" si="73"/>
        <v>7409.141341659566</v>
      </c>
      <c r="DN64" s="92">
        <f t="shared" si="73"/>
        <v>8108.545329618004</v>
      </c>
      <c r="DO64" s="92">
        <f>SUM(DO59:DO63)</f>
        <v>8839.0118657396652</v>
      </c>
      <c r="DP64" s="92">
        <f t="shared" si="73"/>
        <v>9632.5917965341705</v>
      </c>
      <c r="DQ64" s="93">
        <f t="shared" si="73"/>
        <v>0</v>
      </c>
    </row>
    <row r="65" spans="26:121" x14ac:dyDescent="0.35">
      <c r="Z65" s="491" t="s">
        <v>2478</v>
      </c>
      <c r="AA65" s="137" t="s">
        <v>2612</v>
      </c>
      <c r="AB65" s="137" t="s">
        <v>2611</v>
      </c>
      <c r="AC65" s="346">
        <f>IFERROR(VLOOKUP($Z65,flows!$A$2:$J$4985,AC$2,FALSE),0)</f>
        <v>0</v>
      </c>
      <c r="AD65" s="346">
        <f>IFERROR(VLOOKUP($Z65,flows!$A$2:$J$4985,AD$2,FALSE),0)</f>
        <v>0</v>
      </c>
      <c r="AE65" s="346">
        <f>IFERROR(VLOOKUP($Z65,flows!$A$2:$J$4985,AE$2,FALSE),0)</f>
        <v>0</v>
      </c>
      <c r="AF65" s="346">
        <f>IFERROR(VLOOKUP($Z65,flows!$A$2:$J$4985,AF$2,FALSE),0)</f>
        <v>0</v>
      </c>
      <c r="AG65" s="346">
        <f>IFERROR(VLOOKUP($Z65,flows!$A$2:$J$4985,AG$2,FALSE),0)</f>
        <v>0</v>
      </c>
      <c r="AH65" s="346">
        <f>IFERROR(VLOOKUP($Z65,flows!$A$2:$J$4985,AH$2,FALSE),0)</f>
        <v>0</v>
      </c>
      <c r="AI65" s="346">
        <f>IFERROR(VLOOKUP($Z65,flows!$A$2:$J$4985,AI$2,FALSE),0)</f>
        <v>0</v>
      </c>
      <c r="AJ65" s="346">
        <f>IFERROR(VLOOKUP($Z65,flows!$A$2:$J$4985,AJ$2,FALSE),0)</f>
        <v>0</v>
      </c>
      <c r="CT65"/>
      <c r="CU65"/>
      <c r="CV65" t="s">
        <v>3093</v>
      </c>
      <c r="CW65" s="348" t="e">
        <f>SUM(CW56:CW57)/SUM(CW56:CW58)</f>
        <v>#DIV/0!</v>
      </c>
      <c r="CX65" s="348">
        <v>0</v>
      </c>
      <c r="CY65" s="348" t="e">
        <f t="shared" ref="CY65:DD65" si="74">SUM(CY56:CY57)/SUM(CY56:CY58)</f>
        <v>#DIV/0!</v>
      </c>
      <c r="CZ65" s="348" t="e">
        <f t="shared" si="74"/>
        <v>#DIV/0!</v>
      </c>
      <c r="DA65" s="348" t="e">
        <f t="shared" si="74"/>
        <v>#DIV/0!</v>
      </c>
      <c r="DB65" s="348" t="e">
        <f t="shared" si="74"/>
        <v>#DIV/0!</v>
      </c>
      <c r="DC65" s="348" t="e">
        <f t="shared" si="74"/>
        <v>#DIV/0!</v>
      </c>
      <c r="DD65" s="348" t="e">
        <f t="shared" si="74"/>
        <v>#DIV/0!</v>
      </c>
      <c r="DG65" s="134"/>
      <c r="DH65" s="92"/>
      <c r="DI65" s="92"/>
      <c r="DJ65" s="92"/>
      <c r="DK65" s="92"/>
      <c r="DL65" s="92"/>
      <c r="DM65" s="92"/>
      <c r="DN65" s="92"/>
      <c r="DO65" s="92"/>
      <c r="DP65" s="92"/>
      <c r="DQ65" s="93"/>
    </row>
    <row r="66" spans="26:121" x14ac:dyDescent="0.35">
      <c r="Z66" s="491"/>
      <c r="AA66" s="137" t="s">
        <v>2612</v>
      </c>
      <c r="AB66" s="137" t="s">
        <v>2611</v>
      </c>
      <c r="AC66" s="346">
        <f>SUM(AC64:AC65)</f>
        <v>0</v>
      </c>
      <c r="AD66" s="346">
        <f t="shared" ref="AD66:AJ66" si="75">SUM(AD64:AD65)</f>
        <v>0</v>
      </c>
      <c r="AE66" s="346">
        <f t="shared" si="75"/>
        <v>0</v>
      </c>
      <c r="AF66" s="346">
        <f t="shared" si="75"/>
        <v>0</v>
      </c>
      <c r="AG66" s="346">
        <f t="shared" si="75"/>
        <v>0</v>
      </c>
      <c r="AH66" s="346">
        <f t="shared" si="75"/>
        <v>0</v>
      </c>
      <c r="AI66" s="346">
        <f t="shared" si="75"/>
        <v>0</v>
      </c>
      <c r="AJ66" s="346">
        <f t="shared" si="75"/>
        <v>0</v>
      </c>
      <c r="CT66"/>
      <c r="CU66"/>
      <c r="CV66" s="844" t="s">
        <v>3997</v>
      </c>
      <c r="CW66" s="348" t="e">
        <f>SUM(CW61)/SUM(CW59:CW61)</f>
        <v>#DIV/0!</v>
      </c>
      <c r="CX66" s="348">
        <v>0</v>
      </c>
      <c r="CY66" s="348" t="e">
        <f t="shared" ref="CY66:DD66" si="76">SUM(CY61)/SUM(CY59:CY61)</f>
        <v>#DIV/0!</v>
      </c>
      <c r="CZ66" s="348" t="e">
        <f t="shared" si="76"/>
        <v>#DIV/0!</v>
      </c>
      <c r="DA66" s="348" t="e">
        <f t="shared" si="76"/>
        <v>#DIV/0!</v>
      </c>
      <c r="DB66" s="348" t="e">
        <f t="shared" si="76"/>
        <v>#DIV/0!</v>
      </c>
      <c r="DC66" s="348" t="e">
        <f t="shared" si="76"/>
        <v>#DIV/0!</v>
      </c>
      <c r="DD66" s="348" t="e">
        <f t="shared" si="76"/>
        <v>#DIV/0!</v>
      </c>
      <c r="DG66" s="134"/>
      <c r="DH66" s="92"/>
      <c r="DI66" s="92"/>
      <c r="DJ66" s="92"/>
      <c r="DK66" s="92"/>
      <c r="DL66" s="92"/>
      <c r="DM66" s="92"/>
      <c r="DN66" s="92"/>
      <c r="DO66" s="92"/>
      <c r="DP66" s="92"/>
      <c r="DQ66" s="92"/>
    </row>
    <row r="67" spans="26:121" x14ac:dyDescent="0.35">
      <c r="Z67" s="491" t="s">
        <v>2476</v>
      </c>
      <c r="AA67" s="137" t="s">
        <v>2574</v>
      </c>
      <c r="AB67" s="137" t="s">
        <v>2574</v>
      </c>
      <c r="AC67" s="346">
        <f>IFERROR(VLOOKUP($Z67,flows!$A$2:$J$4985,AC$2,FALSE),0)</f>
        <v>0</v>
      </c>
      <c r="AD67" s="346">
        <f>IFERROR(VLOOKUP($Z67,flows!$A$2:$J$4985,AD$2,FALSE),0)</f>
        <v>0</v>
      </c>
      <c r="AE67" s="346">
        <f>IFERROR(VLOOKUP($Z67,flows!$A$2:$J$4985,AE$2,FALSE),0)</f>
        <v>0</v>
      </c>
      <c r="AF67" s="346">
        <f>IFERROR(VLOOKUP($Z67,flows!$A$2:$J$4985,AF$2,FALSE),0)</f>
        <v>0</v>
      </c>
      <c r="AG67" s="346">
        <f>IFERROR(VLOOKUP($Z67,flows!$A$2:$J$4985,AG$2,FALSE),0)</f>
        <v>0</v>
      </c>
      <c r="AH67" s="346">
        <f>IFERROR(VLOOKUP($Z67,flows!$A$2:$J$4985,AH$2,FALSE),0)</f>
        <v>0</v>
      </c>
      <c r="AI67" s="346">
        <f>IFERROR(VLOOKUP($Z67,flows!$A$2:$J$4985,AI$2,FALSE),0)</f>
        <v>0</v>
      </c>
      <c r="AJ67" s="346">
        <f>IFERROR(VLOOKUP($Z67,flows!$A$2:$J$4985,AJ$2,FALSE),0)</f>
        <v>0</v>
      </c>
      <c r="CT67"/>
      <c r="CU67"/>
      <c r="CV67" s="844" t="s">
        <v>3998</v>
      </c>
      <c r="CW67" s="348" t="e">
        <f>SUM(CW59:CW60)/SUM(CW59:CW61)</f>
        <v>#DIV/0!</v>
      </c>
      <c r="CX67" s="348">
        <v>0</v>
      </c>
      <c r="CY67" s="348" t="e">
        <f t="shared" ref="CY67:DD67" si="77">SUM(CY59:CY60)/SUM(CY59:CY61)</f>
        <v>#DIV/0!</v>
      </c>
      <c r="CZ67" s="348" t="e">
        <f t="shared" si="77"/>
        <v>#DIV/0!</v>
      </c>
      <c r="DA67" s="348" t="e">
        <f t="shared" si="77"/>
        <v>#DIV/0!</v>
      </c>
      <c r="DB67" s="348" t="e">
        <f t="shared" si="77"/>
        <v>#DIV/0!</v>
      </c>
      <c r="DC67" s="348" t="e">
        <f t="shared" si="77"/>
        <v>#DIV/0!</v>
      </c>
      <c r="DD67" s="348" t="e">
        <f t="shared" si="77"/>
        <v>#DIV/0!</v>
      </c>
      <c r="DG67" s="134" t="s">
        <v>3027</v>
      </c>
      <c r="DH67" s="92"/>
      <c r="DI67" s="92"/>
      <c r="DJ67" s="92">
        <f>IFERROR(VLOOKUP($DG67,flows!$A$2:$J$4985,DJ$2,FALSE),0)</f>
        <v>0</v>
      </c>
      <c r="DK67" s="92">
        <f>IFERROR(VLOOKUP($DG67,flows!$A$2:$J$4985,DK$2,FALSE),0)</f>
        <v>0</v>
      </c>
      <c r="DL67" s="92">
        <f>IFERROR(VLOOKUP($DG67,flows!$A$2:$J$4985,DL$2,FALSE),0)</f>
        <v>0</v>
      </c>
      <c r="DM67" s="92">
        <f>IFERROR(VLOOKUP($DG67,flows!$A$2:$J$4985,DM$2,FALSE),0)</f>
        <v>0</v>
      </c>
      <c r="DN67" s="92">
        <f>IFERROR(VLOOKUP($DG67,flows!$A$2:$J$4985,DN$2,FALSE),0)</f>
        <v>0</v>
      </c>
      <c r="DO67" s="92">
        <f>IFERROR(VLOOKUP($DG67,flows!$A$2:$J$4985,DO$2,FALSE),0)</f>
        <v>0</v>
      </c>
      <c r="DP67" s="92">
        <f>IFERROR(VLOOKUP($DG67,flows!$A$2:$J$4985,DP$2,FALSE),0)</f>
        <v>0</v>
      </c>
      <c r="DQ67" s="92">
        <f>IFERROR(VLOOKUP($DG67,flows!$A$2:$J$4985,DQ$2,FALSE),0)</f>
        <v>0</v>
      </c>
    </row>
    <row r="68" spans="26:121" x14ac:dyDescent="0.35">
      <c r="CT68"/>
      <c r="CU68"/>
      <c r="CV68"/>
      <c r="CW68"/>
      <c r="CX68"/>
      <c r="CY68"/>
      <c r="CZ68"/>
      <c r="DA68"/>
      <c r="DB68"/>
      <c r="DC68"/>
      <c r="DD68"/>
      <c r="DG68" s="134"/>
      <c r="DH68" s="92"/>
      <c r="DI68" s="92"/>
      <c r="DJ68" s="92"/>
      <c r="DK68" s="92"/>
      <c r="DL68" s="92"/>
      <c r="DM68" s="92"/>
      <c r="DN68" s="92"/>
      <c r="DO68" s="92"/>
      <c r="DP68" s="92"/>
      <c r="DQ68" s="92"/>
    </row>
    <row r="69" spans="26:121" x14ac:dyDescent="0.35">
      <c r="CT69"/>
      <c r="CU69"/>
      <c r="CV69"/>
      <c r="CW69"/>
      <c r="CX69"/>
      <c r="CY69"/>
      <c r="CZ69"/>
      <c r="DA69"/>
      <c r="DB69"/>
      <c r="DC69"/>
      <c r="DD69"/>
      <c r="DG69" s="134"/>
      <c r="DH69" s="92"/>
      <c r="DI69" s="92"/>
      <c r="DJ69" s="92"/>
      <c r="DK69" s="92"/>
      <c r="DL69" s="92"/>
      <c r="DM69" s="92"/>
      <c r="DN69" s="92"/>
      <c r="DO69" s="92"/>
      <c r="DP69" s="92"/>
      <c r="DQ69" s="92"/>
    </row>
    <row r="70" spans="26:121" x14ac:dyDescent="0.35">
      <c r="CT70"/>
      <c r="CU70"/>
      <c r="CV70"/>
      <c r="CW70"/>
      <c r="CX70"/>
      <c r="CY70"/>
      <c r="CZ70"/>
      <c r="DA70"/>
      <c r="DB70"/>
      <c r="DC70"/>
      <c r="DD70"/>
      <c r="DG70" s="134"/>
      <c r="DH70" s="92"/>
      <c r="DI70" s="92"/>
      <c r="DJ70" s="92"/>
      <c r="DK70" s="92"/>
      <c r="DL70" s="92"/>
      <c r="DM70" s="92"/>
      <c r="DN70" s="92"/>
      <c r="DO70" s="92"/>
      <c r="DP70" s="92"/>
      <c r="DQ70" s="92"/>
    </row>
    <row r="71" spans="26:121" x14ac:dyDescent="0.35">
      <c r="CT71"/>
      <c r="CU71"/>
      <c r="CV71"/>
      <c r="CW71"/>
      <c r="CX71"/>
      <c r="CY71"/>
      <c r="CZ71"/>
      <c r="DA71"/>
      <c r="DB71"/>
      <c r="DC71"/>
      <c r="DD71"/>
      <c r="DG71" s="134"/>
      <c r="DH71" s="92"/>
      <c r="DI71" s="92"/>
      <c r="DJ71" s="92"/>
      <c r="DK71" s="92"/>
      <c r="DL71" s="92"/>
      <c r="DM71" s="92"/>
      <c r="DN71" s="92"/>
      <c r="DO71" s="92"/>
      <c r="DP71" s="92"/>
      <c r="DQ71" s="92"/>
    </row>
    <row r="72" spans="26:121" x14ac:dyDescent="0.35">
      <c r="CT72"/>
      <c r="CU72"/>
      <c r="CV72"/>
      <c r="CW72"/>
      <c r="CX72"/>
      <c r="CY72"/>
      <c r="CZ72"/>
      <c r="DA72"/>
      <c r="DB72"/>
      <c r="DC72"/>
      <c r="DD72"/>
      <c r="DG72" s="134"/>
      <c r="DH72" s="92"/>
      <c r="DI72" s="92"/>
      <c r="DJ72" s="92"/>
      <c r="DK72" s="92"/>
      <c r="DL72" s="92"/>
      <c r="DM72" s="92"/>
      <c r="DN72" s="92"/>
      <c r="DO72" s="92"/>
      <c r="DP72" s="92"/>
      <c r="DQ72" s="92"/>
    </row>
    <row r="73" spans="26:121" x14ac:dyDescent="0.35">
      <c r="CT73"/>
      <c r="CU73"/>
      <c r="CV73"/>
      <c r="CW73"/>
      <c r="CX73"/>
      <c r="CY73"/>
      <c r="CZ73"/>
      <c r="DA73"/>
      <c r="DB73"/>
      <c r="DC73"/>
      <c r="DD73"/>
      <c r="DG73" s="134" t="s">
        <v>2835</v>
      </c>
      <c r="DH73" s="466" t="s">
        <v>2853</v>
      </c>
      <c r="DI73" s="92"/>
      <c r="DJ73" s="92">
        <f>IFERROR(VLOOKUP($DG73,flows!$A$2:$J$4985,DJ$2,FALSE),0)</f>
        <v>3597.914441722291</v>
      </c>
      <c r="DK73" s="92">
        <f>IFERROR(VLOOKUP($DG73,flows!$A$2:$J$4985,DK$2,FALSE),0)</f>
        <v>2870.081205646241</v>
      </c>
      <c r="DL73" s="92">
        <f>IFERROR(VLOOKUP($DG73,flows!$A$2:$J$4985,DL$2,FALSE),0)</f>
        <v>3048.527520349503</v>
      </c>
      <c r="DM73" s="92">
        <f>IFERROR(VLOOKUP($DG73,flows!$A$2:$J$4985,DM$2,FALSE),0)</f>
        <v>2821.4259137820059</v>
      </c>
      <c r="DN73" s="92">
        <f>IFERROR(VLOOKUP($DG73,flows!$A$2:$J$4985,DN$2,FALSE),0)</f>
        <v>3070.6423381021141</v>
      </c>
      <c r="DO73" s="92">
        <f>IFERROR(VLOOKUP($DG73,flows!$A$2:$J$4985,DO$2,FALSE),0)</f>
        <v>3329.9935027429701</v>
      </c>
      <c r="DP73" s="92">
        <f>IFERROR(VLOOKUP($DG73,flows!$A$2:$J$4985,DP$2,FALSE),0)</f>
        <v>3597.9233153634632</v>
      </c>
      <c r="DQ73" s="93">
        <f>IFERROR(VLOOKUP($DG73,flows!$A$2:$J$4985,DQ$2,FALSE),0)</f>
        <v>0</v>
      </c>
    </row>
    <row r="74" spans="26:121" x14ac:dyDescent="0.35">
      <c r="CT74"/>
      <c r="CU74"/>
      <c r="CV74"/>
      <c r="CW74"/>
      <c r="CX74"/>
      <c r="CY74"/>
      <c r="CZ74"/>
      <c r="DA74"/>
      <c r="DB74"/>
      <c r="DC74"/>
      <c r="DD74"/>
      <c r="DG74" s="134" t="s">
        <v>3981</v>
      </c>
      <c r="DH74" s="466" t="s">
        <v>3989</v>
      </c>
      <c r="DI74" s="92"/>
      <c r="DJ74" s="92">
        <f>IFERROR(VLOOKUP($DG74,flows!$A$2:$J$4985,DJ$2,FALSE),0)</f>
        <v>6034.6687893712406</v>
      </c>
      <c r="DK74" s="92">
        <f>IFERROR(VLOOKUP($DG74,flows!$A$2:$J$4985,DK$2,FALSE),0)</f>
        <v>0</v>
      </c>
      <c r="DL74" s="92">
        <f>IFERROR(VLOOKUP($DG74,flows!$A$2:$J$4985,DL$2,FALSE),0)</f>
        <v>3.9015104027535343E-5</v>
      </c>
      <c r="DM74" s="92">
        <f>IFERROR(VLOOKUP($DG74,flows!$A$2:$J$4985,DM$2,FALSE),0)</f>
        <v>6.2767004532664673E-8</v>
      </c>
      <c r="DN74" s="92">
        <f>IFERROR(VLOOKUP($DG74,flows!$A$2:$J$4985,DN$2,FALSE),0)</f>
        <v>1.439797631364495E-7</v>
      </c>
      <c r="DO74" s="92">
        <f>IFERROR(VLOOKUP($DG74,flows!$A$2:$J$4985,DO$2,FALSE),0)</f>
        <v>5509.0181937550187</v>
      </c>
      <c r="DP74" s="92">
        <f>IFERROR(VLOOKUP($DG74,flows!$A$2:$J$4985,DP$2,FALSE),0)</f>
        <v>6034.6684489567579</v>
      </c>
      <c r="DQ74" s="93">
        <f>IFERROR(VLOOKUP($DG74,flows!$A$2:$J$4985,DQ$2,FALSE),0)</f>
        <v>0</v>
      </c>
    </row>
    <row r="75" spans="26:121" x14ac:dyDescent="0.35">
      <c r="CT75"/>
      <c r="CU75"/>
      <c r="CV75"/>
      <c r="CW75"/>
      <c r="CX75"/>
      <c r="CY75"/>
      <c r="CZ75"/>
      <c r="DA75"/>
      <c r="DB75"/>
      <c r="DC75"/>
      <c r="DD75"/>
      <c r="DG75" s="134" t="s">
        <v>3982</v>
      </c>
      <c r="DH75" s="844" t="s">
        <v>3988</v>
      </c>
      <c r="DI75" s="92"/>
      <c r="DJ75" s="92">
        <f>IFERROR(VLOOKUP($DG75,flows!$A$2:$J$4985,DJ$2,FALSE),0)</f>
        <v>2.9170202869367519E-3</v>
      </c>
      <c r="DK75" s="92">
        <f>IFERROR(VLOOKUP($DG75,flows!$A$2:$J$4985,DK$2,FALSE),0)</f>
        <v>0</v>
      </c>
      <c r="DL75" s="92">
        <f>IFERROR(VLOOKUP($DG75,flows!$A$2:$J$4985,DL$2,FALSE),0)</f>
        <v>8.6021702274444986E-5</v>
      </c>
      <c r="DM75" s="92">
        <f>IFERROR(VLOOKUP($DG75,flows!$A$2:$J$4985,DM$2,FALSE),0)</f>
        <v>1.6162105472798781E-7</v>
      </c>
      <c r="DN75" s="92">
        <f>IFERROR(VLOOKUP($DG75,flows!$A$2:$J$4985,DN$2,FALSE),0)</f>
        <v>2.5016255903149192E-7</v>
      </c>
      <c r="DO75" s="92">
        <f>IFERROR(VLOOKUP($DG75,flows!$A$2:$J$4985,DO$2,FALSE),0)</f>
        <v>2.2564063481096281E-5</v>
      </c>
      <c r="DP75" s="92">
        <f>IFERROR(VLOOKUP($DG75,flows!$A$2:$J$4985,DP$2,FALSE),0)</f>
        <v>8.7378964557927646E-6</v>
      </c>
      <c r="DQ75" s="93">
        <f>IFERROR(VLOOKUP($DG75,flows!$A$2:$J$4985,DQ$2,FALSE),0)</f>
        <v>0</v>
      </c>
    </row>
    <row r="76" spans="26:121" x14ac:dyDescent="0.35">
      <c r="CT76"/>
      <c r="CU76"/>
      <c r="CV76"/>
      <c r="CW76"/>
      <c r="CX76"/>
      <c r="CY76"/>
      <c r="CZ76"/>
      <c r="DA76"/>
      <c r="DB76"/>
      <c r="DC76"/>
      <c r="DD76"/>
      <c r="DG76" s="134" t="s">
        <v>2833</v>
      </c>
      <c r="DH76" s="466" t="s">
        <v>2851</v>
      </c>
      <c r="DI76" s="92"/>
      <c r="DJ76" s="92">
        <f>IFERROR(VLOOKUP($DG76,flows!$A$2:$J$4985,DJ$2,FALSE),0)</f>
        <v>1.802974236615079E-3</v>
      </c>
      <c r="DK76" s="92">
        <f>IFERROR(VLOOKUP($DG76,flows!$A$2:$J$4985,DK$2,FALSE),0)</f>
        <v>3239.98261635364</v>
      </c>
      <c r="DL76" s="92">
        <f>IFERROR(VLOOKUP($DG76,flows!$A$2:$J$4985,DL$2,FALSE),0)</f>
        <v>3676.7481986574721</v>
      </c>
      <c r="DM76" s="92">
        <f>IFERROR(VLOOKUP($DG76,flows!$A$2:$J$4985,DM$2,FALSE),0)</f>
        <v>4564.485533878611</v>
      </c>
      <c r="DN76" s="92">
        <f>IFERROR(VLOOKUP($DG76,flows!$A$2:$J$4985,DN$2,FALSE),0)</f>
        <v>4997.6089656558179</v>
      </c>
      <c r="DO76" s="92">
        <f>IFERROR(VLOOKUP($DG76,flows!$A$2:$J$4985,DO$2,FALSE),0)</f>
        <v>1.046702899760527E-4</v>
      </c>
      <c r="DP76" s="92">
        <f>IFERROR(VLOOKUP($DG76,flows!$A$2:$J$4985,DP$2,FALSE),0)</f>
        <v>1.1952981454124801E-5</v>
      </c>
      <c r="DQ76" s="93">
        <f>IFERROR(VLOOKUP($DG76,flows!$A$2:$J$4985,DQ$2,FALSE),0)</f>
        <v>0</v>
      </c>
    </row>
    <row r="77" spans="26:121" x14ac:dyDescent="0.35">
      <c r="CT77"/>
      <c r="CU77"/>
      <c r="CV77"/>
      <c r="CW77"/>
      <c r="CX77"/>
      <c r="CY77"/>
      <c r="CZ77"/>
      <c r="DA77"/>
      <c r="DB77"/>
      <c r="DC77"/>
      <c r="DD77"/>
      <c r="DG77" s="40" t="s">
        <v>2834</v>
      </c>
      <c r="DH77" s="466" t="s">
        <v>2850</v>
      </c>
      <c r="DI77" s="92"/>
      <c r="DJ77" s="92">
        <f>IFERROR(VLOOKUP($DG77,flows!$A$2:$J$4985,DJ$2,FALSE),0)</f>
        <v>0</v>
      </c>
      <c r="DK77" s="92">
        <f>IFERROR(VLOOKUP($DG77,flows!$A$2:$J$4985,DK$2,FALSE),0)</f>
        <v>0</v>
      </c>
      <c r="DL77" s="92">
        <f>IFERROR(VLOOKUP($DG77,flows!$A$2:$J$4985,DL$2,FALSE),0)</f>
        <v>0</v>
      </c>
      <c r="DM77" s="92">
        <f>IFERROR(VLOOKUP($DG77,flows!$A$2:$J$4985,DM$2,FALSE),0)</f>
        <v>0</v>
      </c>
      <c r="DN77" s="92">
        <f>IFERROR(VLOOKUP($DG77,flows!$A$2:$J$4985,DN$2,FALSE),0)</f>
        <v>0</v>
      </c>
      <c r="DO77" s="92">
        <f>IFERROR(VLOOKUP($DG77,flows!$A$2:$J$4985,DO$2,FALSE),0)</f>
        <v>0</v>
      </c>
      <c r="DP77" s="92">
        <f>IFERROR(VLOOKUP($DG77,flows!$A$2:$J$4985,DP$2,FALSE),0)</f>
        <v>0</v>
      </c>
      <c r="DQ77" s="93">
        <f>IFERROR(VLOOKUP($DG77,flows!$A$2:$J$4985,DQ$2,FALSE),0)</f>
        <v>0</v>
      </c>
    </row>
    <row r="78" spans="26:121" x14ac:dyDescent="0.35">
      <c r="CT78"/>
      <c r="CU78"/>
      <c r="CV78"/>
      <c r="CW78"/>
      <c r="CX78"/>
      <c r="CY78"/>
      <c r="CZ78"/>
      <c r="DA78"/>
      <c r="DB78"/>
      <c r="DC78"/>
      <c r="DD78"/>
      <c r="DG78" s="134"/>
      <c r="DH78" s="92" t="s">
        <v>2845</v>
      </c>
      <c r="DI78" s="92" t="s">
        <v>2846</v>
      </c>
      <c r="DJ78" s="92">
        <f t="shared" ref="DJ78:DQ78" si="78">SUM(DJ73:DJ77)</f>
        <v>9632.587951088055</v>
      </c>
      <c r="DK78" s="92">
        <f t="shared" si="78"/>
        <v>6110.0638219998809</v>
      </c>
      <c r="DL78" s="92">
        <f t="shared" si="78"/>
        <v>6725.275844043781</v>
      </c>
      <c r="DM78" s="92">
        <f t="shared" si="78"/>
        <v>7385.9114478850042</v>
      </c>
      <c r="DN78" s="92">
        <f t="shared" si="78"/>
        <v>8068.2513041520742</v>
      </c>
      <c r="DO78" s="92">
        <f t="shared" si="78"/>
        <v>8839.0118237323422</v>
      </c>
      <c r="DP78" s="92">
        <f t="shared" si="78"/>
        <v>9632.5917850110982</v>
      </c>
      <c r="DQ78" s="93">
        <f t="shared" si="78"/>
        <v>0</v>
      </c>
    </row>
    <row r="79" spans="26:121" x14ac:dyDescent="0.35">
      <c r="CT79"/>
      <c r="CU79"/>
      <c r="CV79"/>
      <c r="CW79"/>
      <c r="CX79"/>
      <c r="CY79"/>
      <c r="CZ79"/>
      <c r="DA79"/>
      <c r="DB79"/>
      <c r="DC79"/>
      <c r="DD79"/>
      <c r="DG79" s="134"/>
      <c r="DH79" s="92"/>
      <c r="DI79" s="92"/>
      <c r="DJ79" s="92"/>
      <c r="DK79" s="92"/>
      <c r="DL79" s="92"/>
      <c r="DM79" s="92"/>
      <c r="DN79" s="92"/>
      <c r="DO79" s="92"/>
      <c r="DP79" s="92"/>
      <c r="DQ79" s="93"/>
    </row>
    <row r="80" spans="26:121" x14ac:dyDescent="0.35">
      <c r="CT80"/>
      <c r="CU80"/>
      <c r="CV80"/>
      <c r="CW80"/>
      <c r="CX80"/>
      <c r="CY80"/>
      <c r="CZ80"/>
      <c r="DA80"/>
      <c r="DB80"/>
      <c r="DC80"/>
      <c r="DD80"/>
      <c r="DG80" s="134"/>
      <c r="DH80" s="407" t="s">
        <v>2853</v>
      </c>
      <c r="DI80" s="407" t="s">
        <v>2847</v>
      </c>
      <c r="DJ80" s="453">
        <f t="shared" ref="DJ80:DQ80" si="79">DJ73/DJ78</f>
        <v>0.37351482903573036</v>
      </c>
      <c r="DK80" s="453">
        <f t="shared" si="79"/>
        <v>0.4697301516413353</v>
      </c>
      <c r="DL80" s="453">
        <f t="shared" si="79"/>
        <v>0.45329404935106438</v>
      </c>
      <c r="DM80" s="453">
        <f t="shared" si="79"/>
        <v>0.38200104803448959</v>
      </c>
      <c r="DN80" s="453">
        <f t="shared" si="79"/>
        <v>0.38058337827453437</v>
      </c>
      <c r="DO80" s="453">
        <f t="shared" si="79"/>
        <v>0.37673821114279876</v>
      </c>
      <c r="DP80" s="453">
        <f t="shared" si="79"/>
        <v>0.37351560158108765</v>
      </c>
      <c r="DQ80" s="456" t="e">
        <f t="shared" si="79"/>
        <v>#DIV/0!</v>
      </c>
    </row>
    <row r="81" spans="98:121" x14ac:dyDescent="0.35">
      <c r="CT81"/>
      <c r="CU81"/>
      <c r="CV81"/>
      <c r="CW81"/>
      <c r="CX81"/>
      <c r="CY81"/>
      <c r="CZ81"/>
      <c r="DA81"/>
      <c r="DB81"/>
      <c r="DC81"/>
      <c r="DD81"/>
      <c r="DG81" s="134"/>
      <c r="DH81" s="407" t="s">
        <v>3987</v>
      </c>
      <c r="DI81" s="407" t="s">
        <v>2848</v>
      </c>
      <c r="DJ81" s="453">
        <f t="shared" ref="DJ81:DQ81" si="80">DJ74/DJ78</f>
        <v>0.6264846809615261</v>
      </c>
      <c r="DK81" s="453">
        <f t="shared" si="80"/>
        <v>0</v>
      </c>
      <c r="DL81" s="453">
        <f t="shared" si="80"/>
        <v>5.8012645030893335E-9</v>
      </c>
      <c r="DM81" s="453">
        <f t="shared" si="80"/>
        <v>8.4982070223219829E-12</v>
      </c>
      <c r="DN81" s="453">
        <f t="shared" si="80"/>
        <v>1.7845225403719739E-11</v>
      </c>
      <c r="DO81" s="453">
        <f t="shared" si="80"/>
        <v>0.6232617744625657</v>
      </c>
      <c r="DP81" s="453">
        <f t="shared" si="80"/>
        <v>0.62648439627090513</v>
      </c>
      <c r="DQ81" s="456" t="e">
        <f t="shared" si="80"/>
        <v>#DIV/0!</v>
      </c>
    </row>
    <row r="82" spans="98:121" x14ac:dyDescent="0.35">
      <c r="CT82"/>
      <c r="CU82"/>
      <c r="CV82"/>
      <c r="CW82"/>
      <c r="CX82"/>
      <c r="CY82"/>
      <c r="CZ82"/>
      <c r="DA82"/>
      <c r="DB82"/>
      <c r="DC82"/>
      <c r="DD82"/>
      <c r="DG82" s="134"/>
      <c r="DH82" s="407" t="s">
        <v>3988</v>
      </c>
      <c r="DI82" s="407" t="s">
        <v>2848</v>
      </c>
      <c r="DJ82" s="453">
        <f>DJ75/DJ78</f>
        <v>3.028283055133961E-7</v>
      </c>
      <c r="DK82" s="453">
        <f t="shared" ref="DK82:DQ82" si="81">DK75/DK78</f>
        <v>0</v>
      </c>
      <c r="DL82" s="453">
        <f t="shared" si="81"/>
        <v>1.2790806543738994E-8</v>
      </c>
      <c r="DM82" s="453">
        <f t="shared" si="81"/>
        <v>2.1882343955568122E-11</v>
      </c>
      <c r="DN82" s="453">
        <f t="shared" si="81"/>
        <v>3.1005796621971049E-11</v>
      </c>
      <c r="DO82" s="453">
        <f t="shared" si="81"/>
        <v>2.5527812306476165E-9</v>
      </c>
      <c r="DP82" s="453">
        <f t="shared" si="81"/>
        <v>9.0711790251399071E-10</v>
      </c>
      <c r="DQ82" s="453" t="e">
        <f t="shared" si="81"/>
        <v>#DIV/0!</v>
      </c>
    </row>
    <row r="83" spans="98:121" x14ac:dyDescent="0.35">
      <c r="CT83"/>
      <c r="CU83"/>
      <c r="CV83"/>
      <c r="CW83"/>
      <c r="CX83"/>
      <c r="CY83"/>
      <c r="CZ83"/>
      <c r="DA83"/>
      <c r="DB83"/>
      <c r="DC83"/>
      <c r="DD83"/>
      <c r="DG83" s="134"/>
      <c r="DH83" s="407" t="s">
        <v>2851</v>
      </c>
      <c r="DI83" s="407" t="s">
        <v>2852</v>
      </c>
      <c r="DJ83" s="453">
        <f t="shared" ref="DJ83:DQ83" si="82">DJ76/DJ78</f>
        <v>1.8717443803992705E-7</v>
      </c>
      <c r="DK83" s="453">
        <f t="shared" si="82"/>
        <v>0.53026984835866464</v>
      </c>
      <c r="DL83" s="453">
        <f t="shared" si="82"/>
        <v>0.54670593205686457</v>
      </c>
      <c r="DM83" s="453">
        <f t="shared" si="82"/>
        <v>0.61799895193512999</v>
      </c>
      <c r="DN83" s="453">
        <f t="shared" si="82"/>
        <v>0.6194166216766146</v>
      </c>
      <c r="DO83" s="453">
        <f t="shared" si="82"/>
        <v>1.1841854277761884E-8</v>
      </c>
      <c r="DP83" s="453">
        <f t="shared" si="82"/>
        <v>1.2408894429352202E-9</v>
      </c>
      <c r="DQ83" s="456" t="e">
        <f t="shared" si="82"/>
        <v>#DIV/0!</v>
      </c>
    </row>
    <row r="84" spans="98:121" x14ac:dyDescent="0.35">
      <c r="CT84"/>
      <c r="CU84"/>
      <c r="CV84"/>
      <c r="CW84"/>
      <c r="CX84"/>
      <c r="CY84"/>
      <c r="CZ84"/>
      <c r="DA84"/>
      <c r="DB84"/>
      <c r="DC84"/>
      <c r="DD84"/>
      <c r="DG84" s="134"/>
      <c r="DH84" s="407" t="s">
        <v>2850</v>
      </c>
      <c r="DI84" s="407" t="s">
        <v>2849</v>
      </c>
      <c r="DJ84" s="453">
        <f t="shared" ref="DJ84:DQ84" si="83">DJ77/DJ78</f>
        <v>0</v>
      </c>
      <c r="DK84" s="453">
        <f t="shared" si="83"/>
        <v>0</v>
      </c>
      <c r="DL84" s="453">
        <f t="shared" si="83"/>
        <v>0</v>
      </c>
      <c r="DM84" s="453">
        <f t="shared" si="83"/>
        <v>0</v>
      </c>
      <c r="DN84" s="453">
        <f t="shared" si="83"/>
        <v>0</v>
      </c>
      <c r="DO84" s="453">
        <f t="shared" si="83"/>
        <v>0</v>
      </c>
      <c r="DP84" s="453">
        <f t="shared" si="83"/>
        <v>0</v>
      </c>
      <c r="DQ84" s="456" t="e">
        <f t="shared" si="83"/>
        <v>#DIV/0!</v>
      </c>
    </row>
    <row r="85" spans="98:121" x14ac:dyDescent="0.35">
      <c r="CT85"/>
      <c r="CU85"/>
      <c r="CV85"/>
      <c r="CW85"/>
      <c r="CX85"/>
      <c r="CY85"/>
      <c r="CZ85"/>
      <c r="DA85"/>
      <c r="DB85"/>
      <c r="DC85"/>
      <c r="DD85"/>
      <c r="DG85" s="134"/>
      <c r="DH85" s="92"/>
      <c r="DI85" s="92"/>
      <c r="DJ85" s="92"/>
      <c r="DK85" s="92"/>
      <c r="DL85" s="92"/>
      <c r="DM85" s="92"/>
      <c r="DN85" s="92"/>
      <c r="DO85" s="92"/>
      <c r="DP85" s="92"/>
      <c r="DQ85" s="93"/>
    </row>
    <row r="86" spans="98:121" x14ac:dyDescent="0.35">
      <c r="CT86"/>
      <c r="CU86"/>
      <c r="CV86"/>
      <c r="CW86"/>
      <c r="CX86"/>
      <c r="CY86"/>
      <c r="CZ86"/>
      <c r="DA86"/>
      <c r="DB86"/>
      <c r="DC86"/>
      <c r="DD86"/>
      <c r="DG86" s="134"/>
      <c r="DH86" s="92"/>
      <c r="DI86" s="92"/>
      <c r="DJ86" s="92"/>
      <c r="DK86" s="92"/>
      <c r="DL86" s="92"/>
      <c r="DM86" s="92"/>
      <c r="DN86" s="92"/>
      <c r="DO86" s="92"/>
      <c r="DP86" s="92"/>
      <c r="DQ86" s="93"/>
    </row>
    <row r="87" spans="98:121" x14ac:dyDescent="0.35">
      <c r="CT87"/>
      <c r="CU87"/>
      <c r="CV87"/>
      <c r="CW87"/>
      <c r="CX87"/>
      <c r="CY87"/>
      <c r="CZ87"/>
      <c r="DA87"/>
      <c r="DB87"/>
      <c r="DC87"/>
      <c r="DD87"/>
      <c r="DG87" s="134"/>
      <c r="DH87" s="92"/>
      <c r="DI87" s="92"/>
      <c r="DJ87" s="92"/>
      <c r="DK87" s="92"/>
      <c r="DL87" s="92"/>
      <c r="DM87" s="92"/>
      <c r="DN87" s="92"/>
      <c r="DO87" s="92"/>
      <c r="DP87" s="92"/>
      <c r="DQ87" s="93"/>
    </row>
    <row r="88" spans="98:121" x14ac:dyDescent="0.35">
      <c r="CT88"/>
      <c r="CU88"/>
      <c r="CV88"/>
      <c r="CW88"/>
      <c r="CX88"/>
      <c r="CY88"/>
      <c r="CZ88"/>
      <c r="DA88"/>
      <c r="DB88"/>
      <c r="DC88"/>
      <c r="DD88"/>
      <c r="DG88" s="40" t="s">
        <v>2832</v>
      </c>
      <c r="DH88" s="92" t="s">
        <v>2855</v>
      </c>
      <c r="DI88" s="92"/>
      <c r="DJ88" s="92">
        <f>IFERROR(VLOOKUP($DG88,flows!$A$2:$J$4985,DJ$2,FALSE),0)</f>
        <v>2698.4358312917179</v>
      </c>
      <c r="DK88" s="92">
        <f>IFERROR(VLOOKUP($DG88,flows!$A$2:$J$4985,DK$2,FALSE),0)</f>
        <v>2075.5604447907431</v>
      </c>
      <c r="DL88" s="92">
        <f>IFERROR(VLOOKUP($DG88,flows!$A$2:$J$4985,DL$2,FALSE),0)</f>
        <v>2205.9260568127311</v>
      </c>
      <c r="DM88" s="92">
        <f>IFERROR(VLOOKUP($DG88,flows!$A$2:$J$4985,DM$2,FALSE),0)</f>
        <v>2116.0690721853789</v>
      </c>
      <c r="DN88" s="92">
        <f>IFERROR(VLOOKUP($DG88,flows!$A$2:$J$4985,DN$2,FALSE),0)</f>
        <v>2302.981078079169</v>
      </c>
      <c r="DO88" s="92">
        <f>IFERROR(VLOOKUP($DG88,flows!$A$2:$J$4985,DO$2,FALSE),0)</f>
        <v>2497.4951164443569</v>
      </c>
      <c r="DP88" s="92">
        <f>IFERROR(VLOOKUP($DG88,flows!$A$2:$J$4985,DP$2,FALSE),0)</f>
        <v>2698.442479892969</v>
      </c>
      <c r="DQ88" s="93">
        <f>IFERROR(VLOOKUP($DG88,flows!$A$2:$J$4985,DQ$2,FALSE),0)</f>
        <v>0</v>
      </c>
    </row>
    <row r="89" spans="98:121" x14ac:dyDescent="0.35">
      <c r="CT89"/>
      <c r="CU89"/>
      <c r="CV89"/>
      <c r="CW89"/>
      <c r="CX89"/>
      <c r="CY89"/>
      <c r="CZ89"/>
      <c r="DA89"/>
      <c r="DB89"/>
      <c r="DC89"/>
      <c r="DD89"/>
      <c r="DG89" s="40" t="s">
        <v>3979</v>
      </c>
      <c r="DH89" s="92" t="s">
        <v>3986</v>
      </c>
      <c r="DI89" s="92"/>
      <c r="DJ89" s="92">
        <f>IFERROR(VLOOKUP($DG89,flows!$A$2:$J$4985,DJ$2,FALSE),0)</f>
        <v>3032.4968790810249</v>
      </c>
      <c r="DK89" s="92">
        <f>IFERROR(VLOOKUP($DG89,flows!$A$2:$J$4985,DK$2,FALSE),0)</f>
        <v>0</v>
      </c>
      <c r="DL89" s="92">
        <f>IFERROR(VLOOKUP($DG89,flows!$A$2:$J$4985,DL$2,FALSE),0)</f>
        <v>1.9605579913334339E-5</v>
      </c>
      <c r="DM89" s="92">
        <f>IFERROR(VLOOKUP($DG89,flows!$A$2:$J$4985,DM$2,FALSE),0)</f>
        <v>3.1541208307871692E-8</v>
      </c>
      <c r="DN89" s="92">
        <f>IFERROR(VLOOKUP($DG89,flows!$A$2:$J$4985,DN$2,FALSE),0)</f>
        <v>7.2351639767060053E-8</v>
      </c>
      <c r="DO89" s="92">
        <f>IFERROR(VLOOKUP($DG89,flows!$A$2:$J$4985,DO$2,FALSE),0)</f>
        <v>2768.3508511331752</v>
      </c>
      <c r="DP89" s="92">
        <f>IFERROR(VLOOKUP($DG89,flows!$A$2:$J$4985,DP$2,FALSE),0)</f>
        <v>3032.4967080184711</v>
      </c>
      <c r="DQ89" s="93">
        <f>IFERROR(VLOOKUP($DG89,flows!$A$2:$J$4985,DQ$2,FALSE),0)</f>
        <v>0</v>
      </c>
    </row>
    <row r="90" spans="98:121" x14ac:dyDescent="0.35">
      <c r="CT90"/>
      <c r="CU90"/>
      <c r="CV90"/>
      <c r="CW90"/>
      <c r="CX90"/>
      <c r="CY90"/>
      <c r="CZ90"/>
      <c r="DA90"/>
      <c r="DB90"/>
      <c r="DC90"/>
      <c r="DD90"/>
      <c r="DG90" s="40" t="s">
        <v>3980</v>
      </c>
      <c r="DH90" s="92" t="s">
        <v>3985</v>
      </c>
      <c r="DI90" s="92"/>
      <c r="DJ90" s="92">
        <f>IFERROR(VLOOKUP($DG90,flows!$A$2:$J$4985,DJ$2,FALSE),0)</f>
        <v>1.465839340169222E-3</v>
      </c>
      <c r="DK90" s="92">
        <f>IFERROR(VLOOKUP($DG90,flows!$A$2:$J$4985,DK$2,FALSE),0)</f>
        <v>0</v>
      </c>
      <c r="DL90" s="92">
        <f>IFERROR(VLOOKUP($DG90,flows!$A$2:$J$4985,DL$2,FALSE),0)</f>
        <v>4.3226986067560289E-5</v>
      </c>
      <c r="DM90" s="92">
        <f>IFERROR(VLOOKUP($DG90,flows!$A$2:$J$4985,DM$2,FALSE),0)</f>
        <v>8.121661041607425E-8</v>
      </c>
      <c r="DN90" s="92">
        <f>IFERROR(VLOOKUP($DG90,flows!$A$2:$J$4985,DN$2,FALSE),0)</f>
        <v>1.257098286590411E-7</v>
      </c>
      <c r="DO90" s="92">
        <f>IFERROR(VLOOKUP($DG90,flows!$A$2:$J$4985,DO$2,FALSE),0)</f>
        <v>1.1338725367385059E-5</v>
      </c>
      <c r="DP90" s="92">
        <f>IFERROR(VLOOKUP($DG90,flows!$A$2:$J$4985,DP$2,FALSE),0)</f>
        <v>4.390902741604404E-6</v>
      </c>
      <c r="DQ90" s="93">
        <f>IFERROR(VLOOKUP($DG90,flows!$A$2:$J$4985,DQ$2,FALSE),0)</f>
        <v>0</v>
      </c>
    </row>
    <row r="91" spans="98:121" x14ac:dyDescent="0.35">
      <c r="CT91"/>
      <c r="CU91"/>
      <c r="CV91"/>
      <c r="CW91"/>
      <c r="CX91"/>
      <c r="CY91"/>
      <c r="CZ91"/>
      <c r="DA91"/>
      <c r="DB91"/>
      <c r="DC91"/>
      <c r="DD91"/>
      <c r="DG91" s="40" t="s">
        <v>2831</v>
      </c>
      <c r="DH91" s="92" t="s">
        <v>2210</v>
      </c>
      <c r="DI91" s="92" t="s">
        <v>2210</v>
      </c>
      <c r="DJ91" s="92">
        <f>IFERROR(VLOOKUP($DG91,flows!$A$2:$J$4985,DJ$2,FALSE),0)</f>
        <v>5.0083018344693657E-3</v>
      </c>
      <c r="DK91" s="92">
        <f>IFERROR(VLOOKUP($DG91,flows!$A$2:$J$4985,DK$2,FALSE),0)</f>
        <v>9000.0237117071429</v>
      </c>
      <c r="DL91" s="92">
        <f>IFERROR(VLOOKUP($DG91,flows!$A$2:$J$4985,DL$2,FALSE),0)</f>
        <v>10213.271146230731</v>
      </c>
      <c r="DM91" s="92">
        <f>IFERROR(VLOOKUP($DG91,flows!$A$2:$J$4985,DM$2,FALSE),0)</f>
        <v>12679.227916008</v>
      </c>
      <c r="DN91" s="92">
        <f>IFERROR(VLOOKUP($DG91,flows!$A$2:$J$4985,DN$2,FALSE),0)</f>
        <v>13882.35818479873</v>
      </c>
      <c r="DO91" s="92">
        <f>IFERROR(VLOOKUP($DG91,flows!$A$2:$J$4985,DO$2,FALSE),0)</f>
        <v>2.907531314954792E-4</v>
      </c>
      <c r="DP91" s="92">
        <f>IFERROR(VLOOKUP($DG91,flows!$A$2:$J$4985,DP$2,FALSE),0)</f>
        <v>3.3202991883267867E-5</v>
      </c>
      <c r="DQ91" s="93">
        <f>IFERROR(VLOOKUP($DG91,flows!$A$2:$J$4985,DQ$2,FALSE),0)</f>
        <v>0</v>
      </c>
    </row>
    <row r="92" spans="98:121" x14ac:dyDescent="0.35">
      <c r="CT92"/>
      <c r="CU92"/>
      <c r="CV92"/>
      <c r="CW92"/>
      <c r="CX92"/>
      <c r="CY92"/>
      <c r="CZ92"/>
      <c r="DA92"/>
      <c r="DB92"/>
      <c r="DC92"/>
      <c r="DD92"/>
      <c r="DG92" s="40"/>
      <c r="DH92" s="92"/>
      <c r="DI92" s="92"/>
      <c r="DJ92" s="92"/>
      <c r="DK92" s="92"/>
      <c r="DL92" s="92"/>
      <c r="DM92" s="92"/>
      <c r="DN92" s="92"/>
      <c r="DO92" s="92"/>
      <c r="DP92" s="92"/>
      <c r="DQ92" s="93"/>
    </row>
    <row r="93" spans="98:121" x14ac:dyDescent="0.35">
      <c r="CT93"/>
      <c r="CU93"/>
      <c r="CV93"/>
      <c r="CW93"/>
      <c r="CX93"/>
      <c r="CY93"/>
      <c r="CZ93"/>
      <c r="DA93"/>
      <c r="DB93"/>
      <c r="DC93"/>
      <c r="DD93"/>
      <c r="DG93" s="40"/>
      <c r="DH93" s="92"/>
      <c r="DI93" s="92"/>
      <c r="DJ93" s="92"/>
      <c r="DK93" s="92"/>
      <c r="DL93" s="92"/>
      <c r="DM93" s="92"/>
      <c r="DN93" s="92"/>
      <c r="DO93" s="92"/>
      <c r="DP93" s="92"/>
      <c r="DQ93" s="93"/>
    </row>
    <row r="94" spans="98:121" x14ac:dyDescent="0.35">
      <c r="CT94"/>
      <c r="CU94"/>
      <c r="CV94"/>
      <c r="CW94"/>
      <c r="CX94"/>
      <c r="CY94"/>
      <c r="CZ94"/>
      <c r="DA94"/>
      <c r="DB94"/>
      <c r="DC94"/>
      <c r="DD94"/>
      <c r="DG94" s="40" t="s">
        <v>3983</v>
      </c>
      <c r="DH94" s="92" t="s">
        <v>1160</v>
      </c>
      <c r="DI94" s="92"/>
      <c r="DJ94" s="92">
        <f>IFERROR(VLOOKUP($DG94,flows!$A$2:$J$4985,DJ$2,FALSE),0)</f>
        <v>394.22459428053332</v>
      </c>
      <c r="DK94" s="92">
        <f>IFERROR(VLOOKUP($DG94,flows!$A$2:$J$4985,DK$2,FALSE),0)</f>
        <v>0</v>
      </c>
      <c r="DL94" s="92">
        <f>IFERROR(VLOOKUP($DG94,flows!$A$2:$J$4985,DL$2,FALSE),0)</f>
        <v>2.5487253887334641E-6</v>
      </c>
      <c r="DM94" s="92">
        <f>IFERROR(VLOOKUP($DG94,flows!$A$2:$J$4985,DM$2,FALSE),0)</f>
        <v>4.1003570800233202E-9</v>
      </c>
      <c r="DN94" s="92">
        <f>IFERROR(VLOOKUP($DG94,flows!$A$2:$J$4985,DN$2,FALSE),0)</f>
        <v>9.4057131697178074E-9</v>
      </c>
      <c r="DO94" s="92">
        <f>IFERROR(VLOOKUP($DG94,flows!$A$2:$J$4985,DO$2,FALSE),0)</f>
        <v>359.88561064731277</v>
      </c>
      <c r="DP94" s="92">
        <f>IFERROR(VLOOKUP($DG94,flows!$A$2:$J$4985,DP$2,FALSE),0)</f>
        <v>394.22457204240118</v>
      </c>
      <c r="DQ94" s="92">
        <f>IFERROR(VLOOKUP($DG94,flows!$A$2:$J$4985,DQ$2,FALSE),0)</f>
        <v>0</v>
      </c>
    </row>
    <row r="95" spans="98:121" x14ac:dyDescent="0.35">
      <c r="CT95"/>
      <c r="CU95"/>
      <c r="CV95"/>
      <c r="CW95"/>
      <c r="CX95"/>
      <c r="CY95"/>
      <c r="CZ95"/>
      <c r="DA95"/>
      <c r="DB95"/>
      <c r="DC95"/>
      <c r="DD95"/>
      <c r="DG95" s="40" t="s">
        <v>3984</v>
      </c>
      <c r="DH95" s="92" t="s">
        <v>1160</v>
      </c>
      <c r="DI95" s="92"/>
      <c r="DJ95" s="92">
        <f>IFERROR(VLOOKUP($DG95,flows!$A$2:$J$4985,DJ$2,FALSE),0)</f>
        <v>1.9055911422199889E-4</v>
      </c>
      <c r="DK95" s="92">
        <f>IFERROR(VLOOKUP($DG95,flows!$A$2:$J$4985,DK$2,FALSE),0)</f>
        <v>0</v>
      </c>
      <c r="DL95" s="92">
        <f>IFERROR(VLOOKUP($DG95,flows!$A$2:$J$4985,DL$2,FALSE),0)</f>
        <v>5.6195081887828378E-6</v>
      </c>
      <c r="DM95" s="92">
        <f>IFERROR(VLOOKUP($DG95,flows!$A$2:$J$4985,DM$2,FALSE),0)</f>
        <v>1.055815935408965E-8</v>
      </c>
      <c r="DN95" s="92">
        <f>IFERROR(VLOOKUP($DG95,flows!$A$2:$J$4985,DN$2,FALSE),0)</f>
        <v>1.6342277725675351E-8</v>
      </c>
      <c r="DO95" s="92">
        <f>IFERROR(VLOOKUP($DG95,flows!$A$2:$J$4985,DO$2,FALSE),0)</f>
        <v>1.4740342977600579E-6</v>
      </c>
      <c r="DP95" s="92">
        <f>IFERROR(VLOOKUP($DG95,flows!$A$2:$J$4985,DP$2,FALSE),0)</f>
        <v>5.7081735640857255E-7</v>
      </c>
      <c r="DQ95" s="92">
        <f>IFERROR(VLOOKUP($DG95,flows!$A$2:$J$4985,DQ$2,FALSE),0)</f>
        <v>0</v>
      </c>
    </row>
    <row r="96" spans="98:121" x14ac:dyDescent="0.35">
      <c r="CT96"/>
      <c r="CU96"/>
      <c r="CV96"/>
      <c r="CW96"/>
      <c r="CX96"/>
      <c r="CY96"/>
      <c r="CZ96"/>
      <c r="DA96"/>
      <c r="DB96"/>
      <c r="DC96"/>
      <c r="DD96"/>
      <c r="DG96" s="40" t="s">
        <v>2877</v>
      </c>
      <c r="DH96" s="92" t="s">
        <v>1160</v>
      </c>
      <c r="DI96" s="92"/>
      <c r="DJ96" s="92">
        <f>IFERROR(VLOOKUP($DG96,flows!$A$2:$J$4985,DJ$2,FALSE),0)</f>
        <v>919.68199053053877</v>
      </c>
      <c r="DK96" s="92">
        <f>IFERROR(VLOOKUP($DG96,flows!$A$2:$J$4985,DK$2,FALSE),0)</f>
        <v>0</v>
      </c>
      <c r="DL96" s="92">
        <f>IFERROR(VLOOKUP($DG96,flows!$A$2:$J$4985,DL$2,FALSE),0)</f>
        <v>3.1172560806065281E-3</v>
      </c>
      <c r="DM96" s="92">
        <f>IFERROR(VLOOKUP($DG96,flows!$A$2:$J$4985,DM$2,FALSE),0)</f>
        <v>8.5357969499872604E-6</v>
      </c>
      <c r="DN96" s="92">
        <f>IFERROR(VLOOKUP($DG96,flows!$A$2:$J$4985,DN$2,FALSE),0)</f>
        <v>4.9670050767779704E-6</v>
      </c>
      <c r="DO96" s="92">
        <f>IFERROR(VLOOKUP($DG96,flows!$A$2:$J$4985,DO$2,FALSE),0)</f>
        <v>890.89414266379663</v>
      </c>
      <c r="DP96" s="92">
        <f>IFERROR(VLOOKUP($DG96,flows!$A$2:$J$4985,DP$2,FALSE),0)</f>
        <v>1187.0062860631581</v>
      </c>
      <c r="DQ96" s="92">
        <f>IFERROR(VLOOKUP($DG96,flows!$A$2:$J$4985,DQ$2,FALSE),0)</f>
        <v>0</v>
      </c>
    </row>
    <row r="97" spans="98:121" x14ac:dyDescent="0.35">
      <c r="CT97"/>
      <c r="CU97"/>
      <c r="CV97"/>
      <c r="CW97"/>
      <c r="CX97"/>
      <c r="CY97"/>
      <c r="CZ97"/>
      <c r="DA97"/>
      <c r="DB97"/>
      <c r="DC97"/>
      <c r="DD97"/>
      <c r="DG97" s="40" t="s">
        <v>2876</v>
      </c>
      <c r="DH97" s="92" t="s">
        <v>1208</v>
      </c>
      <c r="DI97" s="92"/>
      <c r="DJ97" s="92">
        <f>IFERROR(VLOOKUP($DG97,flows!$A$2:$J$4985,DJ$2,FALSE),0)</f>
        <v>9665.1778147093883</v>
      </c>
      <c r="DK97" s="92">
        <f>IFERROR(VLOOKUP($DG97,flows!$A$2:$J$4985,DK$2,FALSE),0)</f>
        <v>0</v>
      </c>
      <c r="DL97" s="92">
        <f>IFERROR(VLOOKUP($DG97,flows!$A$2:$J$4985,DL$2,FALSE),0)</f>
        <v>2.7725225165216309E-3</v>
      </c>
      <c r="DM97" s="92">
        <f>IFERROR(VLOOKUP($DG97,flows!$A$2:$J$4985,DM$2,FALSE),0)</f>
        <v>7.599008122856956E-6</v>
      </c>
      <c r="DN97" s="92">
        <f>IFERROR(VLOOKUP($DG97,flows!$A$2:$J$4985,DN$2,FALSE),0)</f>
        <v>4.4270631102238443E-6</v>
      </c>
      <c r="DO97" s="92">
        <f>IFERROR(VLOOKUP($DG97,flows!$A$2:$J$4985,DO$2,FALSE),0)</f>
        <v>8777.6678379653113</v>
      </c>
      <c r="DP97" s="92">
        <f>IFERROR(VLOOKUP($DG97,flows!$A$2:$J$4985,DP$2,FALSE),0)</f>
        <v>9427.550548007921</v>
      </c>
      <c r="DQ97" s="92">
        <f>IFERROR(VLOOKUP($DG97,flows!$A$2:$J$4985,DQ$2,FALSE),0)</f>
        <v>0</v>
      </c>
    </row>
    <row r="98" spans="98:121" x14ac:dyDescent="0.35">
      <c r="CT98"/>
      <c r="CU98"/>
      <c r="CV98"/>
      <c r="CW98"/>
      <c r="CX98"/>
      <c r="CY98"/>
      <c r="CZ98"/>
      <c r="DA98"/>
      <c r="DB98"/>
      <c r="DC98"/>
      <c r="DD98"/>
      <c r="DG98" s="40" t="s">
        <v>3977</v>
      </c>
      <c r="DH98" s="137" t="s">
        <v>2878</v>
      </c>
      <c r="DI98" s="92"/>
      <c r="DJ98" s="92">
        <f>IFERROR(VLOOKUP($DG98,flows!$A$2:$J$4985,DJ$2,FALSE),0)</f>
        <v>9434.4010405089757</v>
      </c>
      <c r="DK98" s="92">
        <f>IFERROR(VLOOKUP($DG98,flows!$A$2:$J$4985,DK$2,FALSE),0)</f>
        <v>0</v>
      </c>
      <c r="DL98" s="92">
        <f>IFERROR(VLOOKUP($DG98,flows!$A$2:$J$4985,DL$2,FALSE),0)</f>
        <v>6.0994919668374467E-5</v>
      </c>
      <c r="DM98" s="92">
        <f>IFERROR(VLOOKUP($DG98,flows!$A$2:$J$4985,DM$2,FALSE),0)</f>
        <v>9.8127853166619626E-8</v>
      </c>
      <c r="DN98" s="92">
        <f>IFERROR(VLOOKUP($DG98,flows!$A$2:$J$4985,DN$2,FALSE),0)</f>
        <v>2.250931864793005E-7</v>
      </c>
      <c r="DO98" s="92">
        <f>IFERROR(VLOOKUP($DG98,flows!$A$2:$J$4985,DO$2,FALSE),0)</f>
        <v>8612.6163329604206</v>
      </c>
      <c r="DP98" s="92">
        <f>IFERROR(VLOOKUP($DG98,flows!$A$2:$J$4985,DP$2,FALSE),0)</f>
        <v>9434.400508316261</v>
      </c>
      <c r="DQ98" s="92">
        <f>IFERROR(VLOOKUP($DG98,flows!$A$2:$J$4985,DQ$2,FALSE),0)</f>
        <v>0</v>
      </c>
    </row>
    <row r="99" spans="98:121" x14ac:dyDescent="0.35">
      <c r="CT99"/>
      <c r="CU99"/>
      <c r="CV99"/>
      <c r="CW99"/>
      <c r="CX99"/>
      <c r="CY99"/>
      <c r="CZ99"/>
      <c r="DA99"/>
      <c r="DB99"/>
      <c r="DC99"/>
      <c r="DD99"/>
      <c r="DG99" s="40" t="s">
        <v>3978</v>
      </c>
      <c r="DH99" s="137" t="s">
        <v>2878</v>
      </c>
      <c r="DI99" s="92"/>
      <c r="DJ99" s="92">
        <f>IFERROR(VLOOKUP($DG99,flows!$A$2:$J$4985,DJ$2,FALSE),0)</f>
        <v>4.5603727712004664E-3</v>
      </c>
      <c r="DK99" s="92">
        <f>IFERROR(VLOOKUP($DG99,flows!$A$2:$J$4985,DK$2,FALSE),0)</f>
        <v>0</v>
      </c>
      <c r="DL99" s="92">
        <f>IFERROR(VLOOKUP($DG99,flows!$A$2:$J$4985,DL$2,FALSE),0)</f>
        <v>1.344834763547868E-4</v>
      </c>
      <c r="DM99" s="92">
        <f>IFERROR(VLOOKUP($DG99,flows!$A$2:$J$4985,DM$2,FALSE),0)</f>
        <v>2.5267299666544858E-7</v>
      </c>
      <c r="DN99" s="92">
        <f>IFERROR(VLOOKUP($DG99,flows!$A$2:$J$4985,DN$2,FALSE),0)</f>
        <v>3.9109584794114278E-7</v>
      </c>
      <c r="DO99" s="92">
        <f>IFERROR(VLOOKUP($DG99,flows!$A$2:$J$4985,DO$2,FALSE),0)</f>
        <v>3.5275908490471671E-5</v>
      </c>
      <c r="DP99" s="92">
        <f>IFERROR(VLOOKUP($DG99,flows!$A$2:$J$4985,DP$2,FALSE),0)</f>
        <v>1.366053751940546E-5</v>
      </c>
      <c r="DQ99" s="92">
        <f>IFERROR(VLOOKUP($DG99,flows!$A$2:$J$4985,DQ$2,FALSE),0)</f>
        <v>0</v>
      </c>
    </row>
    <row r="100" spans="98:121" x14ac:dyDescent="0.35">
      <c r="CT100"/>
      <c r="CU100"/>
      <c r="CV100"/>
      <c r="CW100"/>
      <c r="CX100"/>
      <c r="CY100"/>
      <c r="CZ100"/>
      <c r="DA100"/>
      <c r="DB100"/>
      <c r="DC100"/>
      <c r="DD100"/>
      <c r="DG100" s="40"/>
      <c r="DH100" s="466"/>
      <c r="DI100" s="92"/>
      <c r="DJ100" s="466"/>
      <c r="DK100" s="466"/>
      <c r="DL100" s="466"/>
      <c r="DM100" s="466"/>
      <c r="DN100" s="466"/>
      <c r="DO100" s="466"/>
      <c r="DP100" s="466"/>
      <c r="DQ100" s="466"/>
    </row>
    <row r="101" spans="98:121" x14ac:dyDescent="0.35">
      <c r="CT101"/>
      <c r="CU101"/>
      <c r="CV101"/>
      <c r="CW101"/>
      <c r="CX101"/>
      <c r="CY101"/>
      <c r="CZ101"/>
      <c r="DA101"/>
      <c r="DB101"/>
      <c r="DC101"/>
      <c r="DD101"/>
      <c r="DG101" s="839" t="s">
        <v>3929</v>
      </c>
      <c r="DH101" s="92" t="s">
        <v>1160</v>
      </c>
      <c r="DI101" s="92"/>
      <c r="DJ101" s="92">
        <f>IFERROR(VLOOKUP($DG101,flows!$A$2:$J$4985,DJ$2,FALSE),0)</f>
        <v>39262.487954058357</v>
      </c>
      <c r="DK101" s="92">
        <f>IFERROR(VLOOKUP($DG101,flows!$A$2:$J$4985,DK$2,FALSE),0)</f>
        <v>0</v>
      </c>
      <c r="DL101" s="92">
        <f>IFERROR(VLOOKUP($DG101,flows!$A$2:$J$4985,DL$2,FALSE),0)</f>
        <v>1.40110818978799</v>
      </c>
      <c r="DM101" s="92">
        <f>IFERROR(VLOOKUP($DG101,flows!$A$2:$J$4985,DM$2,FALSE),0)</f>
        <v>394.09253541686053</v>
      </c>
      <c r="DN101" s="92">
        <f>IFERROR(VLOOKUP($DG101,flows!$A$2:$J$4985,DN$2,FALSE),0)</f>
        <v>3576.8511009840608</v>
      </c>
      <c r="DO101" s="92">
        <f>IFERROR(VLOOKUP($DG101,flows!$A$2:$J$4985,DO$2,FALSE),0)</f>
        <v>1.0594888656842371E-3</v>
      </c>
      <c r="DP101" s="92">
        <f>IFERROR(VLOOKUP($DG101,flows!$A$2:$J$4985,DP$2,FALSE),0)</f>
        <v>40169.593012550104</v>
      </c>
      <c r="DQ101" s="93">
        <f>IFERROR(VLOOKUP($DG101,flows!$A$2:$J$4985,DQ$2,FALSE),0)</f>
        <v>0</v>
      </c>
    </row>
    <row r="102" spans="98:121" x14ac:dyDescent="0.35">
      <c r="CT102"/>
      <c r="CU102"/>
      <c r="CV102"/>
      <c r="CW102"/>
      <c r="CX102"/>
      <c r="CY102"/>
      <c r="CZ102"/>
      <c r="DA102"/>
      <c r="DB102"/>
      <c r="DC102"/>
      <c r="DD102"/>
      <c r="DG102" s="839" t="s">
        <v>4147</v>
      </c>
      <c r="DH102" s="137" t="s">
        <v>1160</v>
      </c>
      <c r="DI102" s="92"/>
      <c r="DJ102" s="92">
        <f>IFERROR(VLOOKUP($DG102,flows!$A$2:$J$4985,DJ$2,FALSE),0)</f>
        <v>54.130875044198277</v>
      </c>
      <c r="DK102" s="92">
        <f>IFERROR(VLOOKUP($DG102,flows!$A$2:$J$4985,DK$2,FALSE),0)</f>
        <v>0</v>
      </c>
      <c r="DL102" s="92">
        <f>IFERROR(VLOOKUP($DG102,flows!$A$2:$J$4985,DL$2,FALSE),0)</f>
        <v>0.69825695688208944</v>
      </c>
      <c r="DM102" s="92">
        <f>IFERROR(VLOOKUP($DG102,flows!$A$2:$J$4985,DM$2,FALSE),0)</f>
        <v>2.58274741014254E-3</v>
      </c>
      <c r="DN102" s="92">
        <f>IFERROR(VLOOKUP($DG102,flows!$A$2:$J$4985,DN$2,FALSE),0)</f>
        <v>1.2723369430225661E-3</v>
      </c>
      <c r="DO102" s="92">
        <f>IFERROR(VLOOKUP($DG102,flows!$A$2:$J$4985,DO$2,FALSE),0)</f>
        <v>1285.215821332125</v>
      </c>
      <c r="DP102" s="92">
        <f>IFERROR(VLOOKUP($DG102,flows!$A$2:$J$4985,DP$2,FALSE),0)</f>
        <v>40.594135460190671</v>
      </c>
      <c r="DQ102" s="93">
        <f>IFERROR(VLOOKUP($DG102,flows!$A$2:$J$4985,DQ$2,FALSE),0)</f>
        <v>0</v>
      </c>
    </row>
    <row r="103" spans="98:121" x14ac:dyDescent="0.35">
      <c r="CT103"/>
      <c r="CU103"/>
      <c r="CV103"/>
      <c r="CW103"/>
      <c r="CX103"/>
      <c r="CY103"/>
      <c r="CZ103"/>
      <c r="DA103"/>
      <c r="DB103"/>
      <c r="DC103"/>
      <c r="DD103"/>
      <c r="DG103" s="839" t="s">
        <v>4152</v>
      </c>
      <c r="DH103" s="137" t="s">
        <v>1294</v>
      </c>
      <c r="DI103" s="92"/>
      <c r="DJ103" s="92">
        <f>IFERROR(VLOOKUP($DG103,flows!$A$2:$J$4985,DJ$2,FALSE),0)</f>
        <v>187.91195166002291</v>
      </c>
      <c r="DK103" s="92">
        <f>IFERROR(VLOOKUP($DG103,flows!$A$2:$J$4985,DK$2,FALSE),0)</f>
        <v>0</v>
      </c>
      <c r="DL103" s="92">
        <f>IFERROR(VLOOKUP($DG103,flows!$A$2:$J$4985,DL$2,FALSE),0)</f>
        <v>2.4239554121518871</v>
      </c>
      <c r="DM103" s="92">
        <f>IFERROR(VLOOKUP($DG103,flows!$A$2:$J$4985,DM$2,FALSE),0)</f>
        <v>8.965846313928591E-3</v>
      </c>
      <c r="DN103" s="92">
        <f>IFERROR(VLOOKUP($DG103,flows!$A$2:$J$4985,DN$2,FALSE),0)</f>
        <v>4.4168382265629587E-3</v>
      </c>
      <c r="DO103" s="92">
        <f>IFERROR(VLOOKUP($DG103,flows!$A$2:$J$4985,DO$2,FALSE),0)</f>
        <v>4461.546448189988</v>
      </c>
      <c r="DP103" s="92">
        <f>IFERROR(VLOOKUP($DG103,flows!$A$2:$J$4985,DP$2,FALSE),0)</f>
        <v>140.920005709262</v>
      </c>
      <c r="DQ103" s="93">
        <f>IFERROR(VLOOKUP($DG103,flows!$A$2:$J$4985,DQ$2,FALSE),0)</f>
        <v>0</v>
      </c>
    </row>
    <row r="104" spans="98:121" x14ac:dyDescent="0.35">
      <c r="CT104"/>
      <c r="CU104"/>
      <c r="CV104"/>
      <c r="CW104"/>
      <c r="CX104"/>
      <c r="CY104"/>
      <c r="CZ104"/>
      <c r="DA104"/>
      <c r="DB104"/>
      <c r="DC104"/>
      <c r="DD104"/>
      <c r="DG104" s="839" t="s">
        <v>3928</v>
      </c>
      <c r="DH104" s="92" t="s">
        <v>1160</v>
      </c>
      <c r="DI104" s="92"/>
      <c r="DJ104" s="92">
        <f>IFERROR(VLOOKUP($DG104,flows!$A$2:$J$4985,DJ$2,FALSE),0)</f>
        <v>42.701817575834362</v>
      </c>
      <c r="DK104" s="92">
        <f>IFERROR(VLOOKUP($DG104,flows!$A$2:$J$4985,DK$2,FALSE),0)</f>
        <v>1260.4936855359999</v>
      </c>
      <c r="DL104" s="92">
        <f>IFERROR(VLOOKUP($DG104,flows!$A$2:$J$4985,DL$2,FALSE),0)</f>
        <v>1326.6193243436751</v>
      </c>
      <c r="DM104" s="92">
        <f>IFERROR(VLOOKUP($DG104,flows!$A$2:$J$4985,DM$2,FALSE),0)</f>
        <v>1329.259600293911</v>
      </c>
      <c r="DN104" s="92">
        <f>IFERROR(VLOOKUP($DG104,flows!$A$2:$J$4985,DN$2,FALSE),0)</f>
        <v>1176.858848619687</v>
      </c>
      <c r="DO104" s="92">
        <f>IFERROR(VLOOKUP($DG104,flows!$A$2:$J$4985,DO$2,FALSE),0)</f>
        <v>1066.188038257957</v>
      </c>
      <c r="DP104" s="92">
        <f>IFERROR(VLOOKUP($DG104,flows!$A$2:$J$4985,DP$2,FALSE),0)</f>
        <v>25.48282558981742</v>
      </c>
      <c r="DQ104" s="93">
        <f>IFERROR(VLOOKUP($DG104,flows!$A$2:$J$4985,DQ$2,FALSE),0)</f>
        <v>0</v>
      </c>
    </row>
    <row r="105" spans="98:121" x14ac:dyDescent="0.35">
      <c r="CT105"/>
      <c r="CU105"/>
      <c r="CV105"/>
      <c r="CW105"/>
      <c r="CX105"/>
      <c r="CY105"/>
      <c r="CZ105"/>
      <c r="DA105"/>
      <c r="DB105"/>
      <c r="DC105"/>
      <c r="DD105"/>
      <c r="DG105" s="92"/>
      <c r="DH105" s="92" t="s">
        <v>1160</v>
      </c>
      <c r="DI105" s="92"/>
      <c r="DJ105" s="92">
        <f>SUM(DJ101:DJ102,DJ104)</f>
        <v>39359.320646678389</v>
      </c>
      <c r="DK105" s="92">
        <f t="shared" ref="DK105:DQ105" si="84">SUM(DK101:DK102,DK104)</f>
        <v>1260.4936855359999</v>
      </c>
      <c r="DL105" s="92">
        <f t="shared" si="84"/>
        <v>1328.7186894903452</v>
      </c>
      <c r="DM105" s="92">
        <f t="shared" si="84"/>
        <v>1723.3547184581817</v>
      </c>
      <c r="DN105" s="92">
        <f t="shared" si="84"/>
        <v>4753.7112219406908</v>
      </c>
      <c r="DO105" s="92">
        <f t="shared" si="84"/>
        <v>2351.4049190789474</v>
      </c>
      <c r="DP105" s="92">
        <f t="shared" si="84"/>
        <v>40235.66997360011</v>
      </c>
      <c r="DQ105" s="92">
        <f t="shared" si="84"/>
        <v>0</v>
      </c>
    </row>
    <row r="106" spans="98:121" x14ac:dyDescent="0.35">
      <c r="CT106"/>
      <c r="CU106"/>
      <c r="CV106"/>
      <c r="CW106"/>
      <c r="CX106"/>
      <c r="CY106"/>
      <c r="CZ106"/>
      <c r="DA106"/>
      <c r="DB106"/>
      <c r="DC106"/>
      <c r="DD106"/>
      <c r="DG106" s="839" t="s">
        <v>3916</v>
      </c>
      <c r="DJ106" s="92">
        <f>IFERROR(VLOOKUP($DG106,flows!$A$2:$J$4985,DJ$2,FALSE),0)</f>
        <v>7639.604042338914</v>
      </c>
      <c r="DK106" s="92">
        <f>IFERROR(VLOOKUP($DG106,flows!$A$2:$J$4985,DK$2,FALSE),0)</f>
        <v>15320.032728616459</v>
      </c>
      <c r="DL106" s="92">
        <f>IFERROR(VLOOKUP($DG106,flows!$A$2:$J$4985,DL$2,FALSE),0)</f>
        <v>16123.556781987831</v>
      </c>
      <c r="DM106" s="92">
        <f>IFERROR(VLOOKUP($DG106,flows!$A$2:$J$4985,DM$2,FALSE),0)</f>
        <v>16257.731144984131</v>
      </c>
      <c r="DN106" s="92">
        <f>IFERROR(VLOOKUP($DG106,flows!$A$2:$J$4985,DN$2,FALSE),0)</f>
        <v>15228.50050932315</v>
      </c>
      <c r="DO106" s="92">
        <f>IFERROR(VLOOKUP($DG106,flows!$A$2:$J$4985,DO$2,FALSE),0)</f>
        <v>10160.74050413015</v>
      </c>
      <c r="DP106" s="92">
        <f>IFERROR(VLOOKUP($DG106,flows!$A$2:$J$4985,DP$2,FALSE),0)</f>
        <v>7639.5960376612047</v>
      </c>
      <c r="DQ106" s="93">
        <f>IFERROR(VLOOKUP($DG106,flows!$A$2:$J$4985,DQ$2,FALSE),0)</f>
        <v>0</v>
      </c>
    </row>
    <row r="107" spans="98:121" x14ac:dyDescent="0.35">
      <c r="CT107"/>
      <c r="CU107"/>
      <c r="CV107"/>
      <c r="CW107"/>
      <c r="CX107"/>
      <c r="CY107"/>
      <c r="CZ107"/>
      <c r="DA107"/>
      <c r="DB107"/>
      <c r="DC107"/>
      <c r="DD107"/>
      <c r="DG107" s="839"/>
      <c r="DJ107" s="92"/>
      <c r="DK107" s="92"/>
      <c r="DL107" s="92"/>
      <c r="DM107" s="92"/>
      <c r="DN107" s="92"/>
      <c r="DO107" s="92"/>
      <c r="DP107" s="92"/>
      <c r="DQ107" s="93"/>
    </row>
    <row r="108" spans="98:121" x14ac:dyDescent="0.35">
      <c r="CT108"/>
      <c r="CU108"/>
      <c r="CV108"/>
      <c r="CW108"/>
      <c r="CX108"/>
      <c r="CY108"/>
      <c r="CZ108"/>
      <c r="DA108"/>
      <c r="DB108"/>
      <c r="DC108"/>
      <c r="DD108"/>
      <c r="DH108" s="365" t="s">
        <v>2857</v>
      </c>
      <c r="DJ108" s="92">
        <f>4.6*(DJ106*0.2154)</f>
        <v>7569.6252693110891</v>
      </c>
      <c r="DK108" s="92">
        <f t="shared" ref="DK108:DQ108" si="85">4.6*(DK106*0.2154)</f>
        <v>15179.701228822332</v>
      </c>
      <c r="DL108" s="92">
        <f t="shared" si="85"/>
        <v>15975.865001864822</v>
      </c>
      <c r="DM108" s="92">
        <f t="shared" si="85"/>
        <v>16108.810327696076</v>
      </c>
      <c r="DN108" s="92">
        <f t="shared" si="85"/>
        <v>15089.007444657749</v>
      </c>
      <c r="DO108" s="92">
        <f t="shared" si="85"/>
        <v>10067.668121112316</v>
      </c>
      <c r="DP108" s="92">
        <f t="shared" si="85"/>
        <v>7569.6173379562279</v>
      </c>
      <c r="DQ108" s="92">
        <f t="shared" si="85"/>
        <v>0</v>
      </c>
    </row>
    <row r="109" spans="98:121" x14ac:dyDescent="0.35">
      <c r="CT109"/>
      <c r="CU109"/>
      <c r="CV109"/>
      <c r="CW109"/>
      <c r="CX109"/>
      <c r="CY109"/>
      <c r="CZ109"/>
      <c r="DA109"/>
      <c r="DB109"/>
      <c r="DC109"/>
      <c r="DD109"/>
    </row>
    <row r="110" spans="98:121" x14ac:dyDescent="0.35">
      <c r="CT110"/>
      <c r="CU110"/>
      <c r="CV110"/>
      <c r="CW110"/>
      <c r="CX110"/>
      <c r="CY110"/>
      <c r="CZ110"/>
      <c r="DA110"/>
      <c r="DB110"/>
      <c r="DC110"/>
      <c r="DD110"/>
    </row>
    <row r="111" spans="98:121" x14ac:dyDescent="0.35">
      <c r="CT111"/>
      <c r="CU111"/>
      <c r="CV111"/>
      <c r="CW111"/>
      <c r="CX111"/>
      <c r="CY111"/>
      <c r="CZ111"/>
      <c r="DA111"/>
      <c r="DB111"/>
      <c r="DC111"/>
      <c r="DD111"/>
    </row>
    <row r="112" spans="98:121" x14ac:dyDescent="0.35">
      <c r="CT112"/>
      <c r="CU112"/>
      <c r="CV112"/>
      <c r="CW112"/>
      <c r="CX112"/>
      <c r="CY112"/>
      <c r="CZ112"/>
      <c r="DA112"/>
      <c r="DB112"/>
      <c r="DC112"/>
      <c r="DD112"/>
    </row>
    <row r="113" spans="98:108" x14ac:dyDescent="0.35">
      <c r="CT113"/>
      <c r="CU113"/>
      <c r="CV113"/>
      <c r="CW113"/>
      <c r="CX113"/>
      <c r="CY113"/>
      <c r="CZ113"/>
      <c r="DA113"/>
      <c r="DB113"/>
      <c r="DC113"/>
      <c r="DD113"/>
    </row>
    <row r="114" spans="98:108" x14ac:dyDescent="0.35">
      <c r="CT114"/>
      <c r="CU114"/>
      <c r="CV114"/>
      <c r="CW114"/>
      <c r="CX114"/>
      <c r="CY114"/>
      <c r="CZ114"/>
      <c r="DA114"/>
      <c r="DB114"/>
      <c r="DC114"/>
      <c r="DD114"/>
    </row>
    <row r="115" spans="98:108" x14ac:dyDescent="0.35">
      <c r="CT115"/>
      <c r="CU115"/>
      <c r="CV115"/>
      <c r="CW115"/>
      <c r="CX115"/>
      <c r="CY115"/>
      <c r="CZ115"/>
      <c r="DA115"/>
      <c r="DB115"/>
      <c r="DC115"/>
      <c r="DD115"/>
    </row>
    <row r="116" spans="98:108" x14ac:dyDescent="0.35">
      <c r="CT116"/>
      <c r="CU116"/>
      <c r="CV116"/>
      <c r="CW116"/>
      <c r="CX116"/>
      <c r="CY116"/>
      <c r="CZ116"/>
      <c r="DA116"/>
      <c r="DB116"/>
      <c r="DC116"/>
      <c r="DD116"/>
    </row>
    <row r="117" spans="98:108" x14ac:dyDescent="0.35">
      <c r="CT117"/>
      <c r="CU117"/>
      <c r="CV117"/>
      <c r="CW117"/>
      <c r="CX117"/>
      <c r="CY117"/>
      <c r="CZ117"/>
      <c r="DA117"/>
      <c r="DB117"/>
      <c r="DC117"/>
      <c r="DD117"/>
    </row>
    <row r="118" spans="98:108" x14ac:dyDescent="0.35">
      <c r="CT118"/>
      <c r="CU118"/>
      <c r="CV118"/>
      <c r="CW118"/>
      <c r="CX118"/>
      <c r="CY118"/>
      <c r="CZ118"/>
      <c r="DA118"/>
      <c r="DB118"/>
      <c r="DC118"/>
      <c r="DD118"/>
    </row>
    <row r="119" spans="98:108" x14ac:dyDescent="0.35">
      <c r="CT119"/>
      <c r="CU119"/>
      <c r="CV119"/>
      <c r="CW119"/>
      <c r="CX119"/>
      <c r="CY119"/>
      <c r="CZ119"/>
      <c r="DA119"/>
      <c r="DB119"/>
      <c r="DC119"/>
      <c r="DD119"/>
    </row>
    <row r="120" spans="98:108" x14ac:dyDescent="0.35">
      <c r="CT120"/>
      <c r="CU120"/>
      <c r="CV120"/>
      <c r="CW120"/>
      <c r="CX120"/>
      <c r="CY120"/>
      <c r="CZ120"/>
      <c r="DA120"/>
      <c r="DB120"/>
      <c r="DC120"/>
      <c r="DD120"/>
    </row>
    <row r="121" spans="98:108" x14ac:dyDescent="0.35">
      <c r="CT121"/>
      <c r="CU121"/>
      <c r="CV121"/>
      <c r="CW121"/>
      <c r="CX121"/>
      <c r="CY121"/>
      <c r="CZ121"/>
      <c r="DA121"/>
      <c r="DB121"/>
      <c r="DC121"/>
      <c r="DD121"/>
    </row>
    <row r="122" spans="98:108" x14ac:dyDescent="0.35">
      <c r="CT122"/>
      <c r="CU122"/>
      <c r="CV122"/>
      <c r="CW122"/>
      <c r="CX122"/>
      <c r="CY122"/>
      <c r="CZ122"/>
      <c r="DA122"/>
      <c r="DB122"/>
      <c r="DC122"/>
      <c r="DD122"/>
    </row>
    <row r="123" spans="98:108" x14ac:dyDescent="0.35">
      <c r="CT123"/>
      <c r="CU123"/>
      <c r="CV123"/>
      <c r="CW123"/>
      <c r="CX123"/>
      <c r="CY123"/>
      <c r="CZ123"/>
      <c r="DA123"/>
      <c r="DB123"/>
      <c r="DC123"/>
      <c r="DD123"/>
    </row>
    <row r="124" spans="98:108" x14ac:dyDescent="0.35">
      <c r="CT124"/>
      <c r="CU124"/>
      <c r="CV124"/>
      <c r="CW124"/>
      <c r="CX124"/>
      <c r="CY124"/>
      <c r="CZ124"/>
      <c r="DA124"/>
      <c r="DB124"/>
      <c r="DC124"/>
      <c r="DD124"/>
    </row>
    <row r="125" spans="98:108" x14ac:dyDescent="0.35">
      <c r="CT125"/>
      <c r="CU125"/>
      <c r="CV125"/>
      <c r="CW125"/>
      <c r="CX125"/>
      <c r="CY125"/>
      <c r="CZ125"/>
      <c r="DA125"/>
      <c r="DB125"/>
      <c r="DC125"/>
      <c r="DD125"/>
    </row>
    <row r="126" spans="98:108" x14ac:dyDescent="0.35">
      <c r="CT126"/>
      <c r="CU126"/>
      <c r="CV126"/>
      <c r="CW126"/>
      <c r="CX126"/>
      <c r="CY126"/>
      <c r="CZ126"/>
      <c r="DA126"/>
      <c r="DB126"/>
      <c r="DC126"/>
      <c r="DD126"/>
    </row>
    <row r="127" spans="98:108" x14ac:dyDescent="0.35">
      <c r="CT127"/>
      <c r="CU127"/>
      <c r="CV127"/>
      <c r="CW127"/>
      <c r="CX127"/>
      <c r="CY127"/>
      <c r="CZ127"/>
      <c r="DA127"/>
      <c r="DB127"/>
      <c r="DC127"/>
      <c r="DD127"/>
    </row>
    <row r="128" spans="98:108" x14ac:dyDescent="0.35">
      <c r="CT128"/>
      <c r="CU128"/>
      <c r="CV128"/>
      <c r="CW128"/>
      <c r="CX128"/>
      <c r="CY128"/>
      <c r="CZ128"/>
      <c r="DA128"/>
      <c r="DB128"/>
      <c r="DC128"/>
      <c r="DD128"/>
    </row>
    <row r="129" spans="98:108" x14ac:dyDescent="0.35">
      <c r="CT129"/>
      <c r="CU129"/>
      <c r="CV129"/>
      <c r="CW129"/>
      <c r="CX129"/>
      <c r="CY129"/>
      <c r="CZ129"/>
      <c r="DA129"/>
      <c r="DB129"/>
      <c r="DC129"/>
      <c r="DD129"/>
    </row>
    <row r="130" spans="98:108" x14ac:dyDescent="0.35">
      <c r="CT130"/>
      <c r="CU130"/>
      <c r="CV130"/>
      <c r="CW130"/>
      <c r="CX130"/>
      <c r="CY130"/>
      <c r="CZ130"/>
      <c r="DA130"/>
      <c r="DB130"/>
      <c r="DC130"/>
      <c r="DD130"/>
    </row>
    <row r="131" spans="98:108" x14ac:dyDescent="0.35">
      <c r="CT131"/>
      <c r="CU131"/>
      <c r="CV131"/>
      <c r="CW131"/>
      <c r="CX131"/>
      <c r="CY131"/>
      <c r="CZ131"/>
      <c r="DA131"/>
      <c r="DB131"/>
      <c r="DC131"/>
      <c r="DD131"/>
    </row>
    <row r="132" spans="98:108" x14ac:dyDescent="0.35">
      <c r="CT132"/>
      <c r="CU132"/>
      <c r="CV132"/>
      <c r="CW132"/>
      <c r="CX132"/>
      <c r="CY132"/>
      <c r="CZ132"/>
      <c r="DA132"/>
      <c r="DB132"/>
      <c r="DC132"/>
      <c r="DD132"/>
    </row>
    <row r="133" spans="98:108" x14ac:dyDescent="0.35">
      <c r="CT133"/>
      <c r="CU133"/>
      <c r="CV133"/>
      <c r="CW133"/>
      <c r="CX133"/>
      <c r="CY133"/>
      <c r="CZ133"/>
      <c r="DA133"/>
      <c r="DB133"/>
      <c r="DC133"/>
      <c r="DD133"/>
    </row>
    <row r="134" spans="98:108" x14ac:dyDescent="0.35">
      <c r="CT134"/>
      <c r="CU134"/>
      <c r="CV134"/>
      <c r="CW134"/>
      <c r="CX134"/>
      <c r="CY134"/>
      <c r="CZ134"/>
      <c r="DA134"/>
      <c r="DB134"/>
      <c r="DC134"/>
      <c r="DD134"/>
    </row>
    <row r="135" spans="98:108" x14ac:dyDescent="0.35">
      <c r="CT135"/>
      <c r="CU135"/>
      <c r="CV135"/>
      <c r="CW135"/>
      <c r="CX135"/>
      <c r="CY135"/>
      <c r="CZ135"/>
      <c r="DA135"/>
      <c r="DB135"/>
      <c r="DC135"/>
      <c r="DD135"/>
    </row>
    <row r="136" spans="98:108" x14ac:dyDescent="0.35">
      <c r="CT136"/>
      <c r="CU136"/>
      <c r="CV136"/>
      <c r="CW136"/>
      <c r="CX136"/>
      <c r="CY136"/>
      <c r="CZ136"/>
      <c r="DA136"/>
      <c r="DB136"/>
      <c r="DC136"/>
      <c r="DD136"/>
    </row>
    <row r="137" spans="98:108" x14ac:dyDescent="0.35">
      <c r="CT137"/>
      <c r="CU137"/>
      <c r="CV137"/>
      <c r="CW137"/>
      <c r="CX137"/>
      <c r="CY137"/>
      <c r="CZ137"/>
      <c r="DA137"/>
      <c r="DB137"/>
      <c r="DC137"/>
      <c r="DD137"/>
    </row>
    <row r="138" spans="98:108" x14ac:dyDescent="0.35">
      <c r="CT138"/>
      <c r="CU138"/>
      <c r="CV138"/>
      <c r="CW138"/>
      <c r="CX138"/>
      <c r="CY138"/>
      <c r="CZ138"/>
      <c r="DA138"/>
      <c r="DB138"/>
      <c r="DC138"/>
      <c r="DD138"/>
    </row>
    <row r="139" spans="98:108" x14ac:dyDescent="0.35">
      <c r="CT139"/>
      <c r="CU139"/>
      <c r="CV139"/>
      <c r="CW139"/>
      <c r="CX139"/>
      <c r="CY139"/>
      <c r="CZ139"/>
      <c r="DA139"/>
      <c r="DB139"/>
      <c r="DC139"/>
      <c r="DD139"/>
    </row>
    <row r="140" spans="98:108" x14ac:dyDescent="0.35">
      <c r="CT140"/>
      <c r="CU140"/>
      <c r="CV140"/>
      <c r="CW140"/>
      <c r="CX140"/>
      <c r="CY140"/>
      <c r="CZ140"/>
      <c r="DA140"/>
      <c r="DB140"/>
      <c r="DC140"/>
      <c r="DD140"/>
    </row>
    <row r="141" spans="98:108" x14ac:dyDescent="0.35">
      <c r="CT141"/>
      <c r="CU141"/>
      <c r="CV141"/>
      <c r="CW141"/>
      <c r="CX141"/>
      <c r="CY141"/>
      <c r="CZ141"/>
      <c r="DA141"/>
      <c r="DB141"/>
      <c r="DC141"/>
      <c r="DD141"/>
    </row>
    <row r="142" spans="98:108" x14ac:dyDescent="0.35">
      <c r="CT142"/>
      <c r="CU142"/>
      <c r="CV142"/>
      <c r="CW142"/>
      <c r="CX142"/>
      <c r="CY142"/>
      <c r="CZ142"/>
      <c r="DA142"/>
      <c r="DB142"/>
      <c r="DC142"/>
      <c r="DD142"/>
    </row>
    <row r="143" spans="98:108" x14ac:dyDescent="0.35">
      <c r="CT143"/>
      <c r="CU143"/>
      <c r="CV143"/>
      <c r="CW143"/>
      <c r="CX143"/>
      <c r="CY143"/>
      <c r="CZ143"/>
      <c r="DA143"/>
      <c r="DB143"/>
      <c r="DC143"/>
      <c r="DD143"/>
    </row>
    <row r="144" spans="98:108" x14ac:dyDescent="0.35">
      <c r="CT144"/>
      <c r="CU144"/>
      <c r="CV144"/>
      <c r="CW144"/>
      <c r="CX144"/>
      <c r="CY144"/>
      <c r="CZ144"/>
      <c r="DA144"/>
      <c r="DB144"/>
      <c r="DC144"/>
      <c r="DD144"/>
    </row>
    <row r="145" spans="98:108" x14ac:dyDescent="0.35">
      <c r="CT145"/>
      <c r="CU145"/>
      <c r="CV145"/>
      <c r="CW145"/>
      <c r="CX145"/>
      <c r="CY145"/>
      <c r="CZ145"/>
      <c r="DA145"/>
      <c r="DB145"/>
      <c r="DC145"/>
      <c r="DD145"/>
    </row>
    <row r="146" spans="98:108" x14ac:dyDescent="0.35">
      <c r="CT146"/>
      <c r="CU146"/>
      <c r="CV146"/>
      <c r="CW146"/>
      <c r="CX146"/>
      <c r="CY146"/>
      <c r="CZ146"/>
      <c r="DA146"/>
      <c r="DB146"/>
      <c r="DC146"/>
      <c r="DD146"/>
    </row>
    <row r="147" spans="98:108" x14ac:dyDescent="0.35">
      <c r="CT147"/>
      <c r="CU147"/>
      <c r="CV147"/>
      <c r="CW147"/>
      <c r="CX147"/>
      <c r="CY147"/>
      <c r="CZ147"/>
      <c r="DA147"/>
      <c r="DB147"/>
      <c r="DC147"/>
      <c r="DD147"/>
    </row>
    <row r="148" spans="98:108" x14ac:dyDescent="0.35">
      <c r="CT148"/>
      <c r="CU148"/>
      <c r="CV148"/>
      <c r="CW148"/>
      <c r="CX148"/>
      <c r="CY148"/>
      <c r="CZ148"/>
      <c r="DA148"/>
      <c r="DB148"/>
      <c r="DC148"/>
      <c r="DD148"/>
    </row>
    <row r="149" spans="98:108" x14ac:dyDescent="0.35">
      <c r="CT149"/>
      <c r="CU149"/>
      <c r="CV149"/>
      <c r="CW149"/>
      <c r="CX149"/>
      <c r="CY149"/>
      <c r="CZ149"/>
      <c r="DA149"/>
      <c r="DB149"/>
      <c r="DC149"/>
      <c r="DD149"/>
    </row>
    <row r="150" spans="98:108" x14ac:dyDescent="0.35">
      <c r="CT150"/>
      <c r="CU150"/>
      <c r="CV150"/>
      <c r="CW150"/>
      <c r="CX150"/>
      <c r="CY150"/>
      <c r="CZ150"/>
      <c r="DA150"/>
      <c r="DB150"/>
      <c r="DC150"/>
      <c r="DD150"/>
    </row>
    <row r="151" spans="98:108" x14ac:dyDescent="0.35">
      <c r="CT151"/>
      <c r="CU151"/>
      <c r="CV151"/>
      <c r="CW151"/>
      <c r="CX151"/>
      <c r="CY151"/>
      <c r="CZ151"/>
      <c r="DA151"/>
      <c r="DB151"/>
      <c r="DC151"/>
      <c r="DD151"/>
    </row>
    <row r="152" spans="98:108" x14ac:dyDescent="0.35">
      <c r="CT152"/>
      <c r="CU152"/>
      <c r="CV152"/>
      <c r="CW152"/>
      <c r="CX152"/>
      <c r="CY152"/>
      <c r="CZ152"/>
      <c r="DA152"/>
      <c r="DB152"/>
      <c r="DC152"/>
      <c r="DD152"/>
    </row>
    <row r="153" spans="98:108" x14ac:dyDescent="0.35">
      <c r="CT153"/>
      <c r="CU153"/>
      <c r="CV153"/>
      <c r="CW153"/>
      <c r="CX153"/>
      <c r="CY153"/>
      <c r="CZ153"/>
      <c r="DA153"/>
      <c r="DB153"/>
      <c r="DC153"/>
      <c r="DD153"/>
    </row>
    <row r="154" spans="98:108" x14ac:dyDescent="0.35">
      <c r="CT154"/>
      <c r="CU154"/>
      <c r="CV154"/>
      <c r="CW154"/>
      <c r="CX154"/>
      <c r="CY154"/>
      <c r="CZ154"/>
      <c r="DA154"/>
      <c r="DB154"/>
      <c r="DC154"/>
      <c r="DD154"/>
    </row>
    <row r="155" spans="98:108" x14ac:dyDescent="0.35">
      <c r="CT155"/>
      <c r="CU155"/>
      <c r="CV155"/>
      <c r="CW155"/>
      <c r="CX155"/>
      <c r="CY155"/>
      <c r="CZ155"/>
      <c r="DA155"/>
      <c r="DB155"/>
      <c r="DC155"/>
      <c r="DD155"/>
    </row>
    <row r="156" spans="98:108" x14ac:dyDescent="0.35">
      <c r="CT156"/>
      <c r="CU156"/>
      <c r="CV156"/>
      <c r="CW156"/>
      <c r="CX156"/>
      <c r="CY156"/>
      <c r="CZ156"/>
      <c r="DA156"/>
      <c r="DB156"/>
      <c r="DC156"/>
      <c r="DD156"/>
    </row>
    <row r="157" spans="98:108" x14ac:dyDescent="0.35">
      <c r="CT157"/>
      <c r="CU157"/>
      <c r="CV157"/>
      <c r="CW157"/>
      <c r="CX157"/>
      <c r="CY157"/>
      <c r="CZ157"/>
      <c r="DA157"/>
      <c r="DB157"/>
      <c r="DC157"/>
      <c r="DD157"/>
    </row>
    <row r="158" spans="98:108" x14ac:dyDescent="0.35">
      <c r="CT158"/>
      <c r="CU158"/>
      <c r="CV158"/>
      <c r="CW158"/>
      <c r="CX158"/>
      <c r="CY158"/>
      <c r="CZ158"/>
      <c r="DA158"/>
      <c r="DB158"/>
      <c r="DC158"/>
      <c r="DD158"/>
    </row>
    <row r="159" spans="98:108" x14ac:dyDescent="0.35">
      <c r="CT159"/>
      <c r="CU159"/>
      <c r="CV159"/>
      <c r="CW159"/>
      <c r="CX159"/>
      <c r="CY159"/>
      <c r="CZ159"/>
      <c r="DA159"/>
      <c r="DB159"/>
      <c r="DC159"/>
      <c r="DD159"/>
    </row>
    <row r="160" spans="98:108" x14ac:dyDescent="0.35">
      <c r="CT160"/>
      <c r="CU160"/>
      <c r="CV160"/>
      <c r="CW160"/>
      <c r="CX160"/>
      <c r="CY160"/>
      <c r="CZ160"/>
      <c r="DA160"/>
      <c r="DB160"/>
      <c r="DC160"/>
      <c r="DD160"/>
    </row>
    <row r="161" spans="98:108" x14ac:dyDescent="0.35">
      <c r="CT161"/>
      <c r="CU161"/>
      <c r="CV161"/>
      <c r="CW161"/>
      <c r="CX161"/>
      <c r="CY161"/>
      <c r="CZ161"/>
      <c r="DA161"/>
      <c r="DB161"/>
      <c r="DC161"/>
      <c r="DD161"/>
    </row>
    <row r="162" spans="98:108" x14ac:dyDescent="0.35">
      <c r="CT162"/>
      <c r="CU162"/>
      <c r="CV162"/>
      <c r="CW162"/>
      <c r="CX162"/>
      <c r="CY162"/>
      <c r="CZ162"/>
      <c r="DA162"/>
      <c r="DB162"/>
      <c r="DC162"/>
      <c r="DD162"/>
    </row>
    <row r="163" spans="98:108" x14ac:dyDescent="0.35">
      <c r="CT163"/>
      <c r="CU163"/>
      <c r="CV163"/>
      <c r="CW163"/>
      <c r="CX163"/>
      <c r="CY163"/>
      <c r="CZ163"/>
      <c r="DA163"/>
      <c r="DB163"/>
      <c r="DC163"/>
      <c r="DD163"/>
    </row>
    <row r="164" spans="98:108" x14ac:dyDescent="0.35">
      <c r="CT164"/>
      <c r="CU164"/>
      <c r="CV164"/>
      <c r="CW164"/>
      <c r="CX164"/>
      <c r="CY164"/>
      <c r="CZ164"/>
      <c r="DA164"/>
      <c r="DB164"/>
      <c r="DC164"/>
      <c r="DD164"/>
    </row>
    <row r="165" spans="98:108" x14ac:dyDescent="0.35">
      <c r="CT165"/>
      <c r="CU165"/>
      <c r="CV165"/>
      <c r="CW165"/>
      <c r="CX165"/>
      <c r="CY165"/>
      <c r="CZ165"/>
      <c r="DA165"/>
      <c r="DB165"/>
      <c r="DC165"/>
      <c r="DD165"/>
    </row>
    <row r="166" spans="98:108" x14ac:dyDescent="0.35">
      <c r="CT166"/>
      <c r="CU166"/>
      <c r="CV166"/>
      <c r="CW166"/>
      <c r="CX166"/>
      <c r="CY166"/>
      <c r="CZ166"/>
      <c r="DA166"/>
      <c r="DB166"/>
      <c r="DC166"/>
      <c r="DD166"/>
    </row>
    <row r="167" spans="98:108" x14ac:dyDescent="0.35">
      <c r="CT167"/>
      <c r="CU167"/>
      <c r="CV167"/>
      <c r="CW167"/>
      <c r="CX167"/>
      <c r="CY167"/>
      <c r="CZ167"/>
      <c r="DA167"/>
      <c r="DB167"/>
      <c r="DC167"/>
      <c r="DD167"/>
    </row>
    <row r="168" spans="98:108" x14ac:dyDescent="0.35">
      <c r="CT168"/>
      <c r="CU168"/>
      <c r="CV168"/>
      <c r="CW168"/>
      <c r="CX168"/>
      <c r="CY168"/>
      <c r="CZ168"/>
      <c r="DA168"/>
      <c r="DB168"/>
      <c r="DC168"/>
      <c r="DD168"/>
    </row>
    <row r="169" spans="98:108" x14ac:dyDescent="0.35">
      <c r="CT169"/>
      <c r="CU169"/>
      <c r="CV169"/>
      <c r="CW169"/>
      <c r="CX169"/>
      <c r="CY169"/>
      <c r="CZ169"/>
      <c r="DA169"/>
      <c r="DB169"/>
      <c r="DC169"/>
      <c r="DD169"/>
    </row>
    <row r="170" spans="98:108" x14ac:dyDescent="0.35">
      <c r="CT170"/>
      <c r="CU170"/>
      <c r="CV170"/>
      <c r="CW170"/>
      <c r="CX170"/>
      <c r="CY170"/>
      <c r="CZ170"/>
      <c r="DA170"/>
      <c r="DB170"/>
      <c r="DC170"/>
      <c r="DD170"/>
    </row>
    <row r="171" spans="98:108" x14ac:dyDescent="0.35">
      <c r="CT171"/>
      <c r="CU171"/>
      <c r="CV171"/>
      <c r="CW171"/>
      <c r="CX171"/>
      <c r="CY171"/>
      <c r="CZ171"/>
      <c r="DA171"/>
      <c r="DB171"/>
      <c r="DC171"/>
      <c r="DD171"/>
    </row>
    <row r="172" spans="98:108" x14ac:dyDescent="0.35">
      <c r="CT172"/>
      <c r="CU172"/>
      <c r="CV172"/>
      <c r="CW172"/>
      <c r="CX172"/>
      <c r="CY172"/>
      <c r="CZ172"/>
      <c r="DA172"/>
      <c r="DB172"/>
      <c r="DC172"/>
      <c r="DD172"/>
    </row>
    <row r="173" spans="98:108" x14ac:dyDescent="0.35">
      <c r="CT173"/>
      <c r="CU173"/>
      <c r="CV173"/>
      <c r="CW173"/>
      <c r="CX173"/>
      <c r="CY173"/>
      <c r="CZ173"/>
      <c r="DA173"/>
      <c r="DB173"/>
      <c r="DC173"/>
      <c r="DD173"/>
    </row>
    <row r="174" spans="98:108" x14ac:dyDescent="0.35">
      <c r="CT174"/>
      <c r="CU174"/>
      <c r="CV174"/>
      <c r="CW174"/>
      <c r="CX174"/>
      <c r="CY174"/>
      <c r="CZ174"/>
      <c r="DA174"/>
      <c r="DB174"/>
      <c r="DC174"/>
      <c r="DD174"/>
    </row>
    <row r="175" spans="98:108" x14ac:dyDescent="0.35">
      <c r="CT175"/>
      <c r="CU175"/>
      <c r="CV175"/>
      <c r="CW175"/>
      <c r="CX175"/>
      <c r="CY175"/>
      <c r="CZ175"/>
      <c r="DA175"/>
      <c r="DB175"/>
      <c r="DC175"/>
      <c r="DD175"/>
    </row>
    <row r="176" spans="98:108" x14ac:dyDescent="0.35">
      <c r="CT176"/>
      <c r="CU176"/>
      <c r="CV176"/>
      <c r="CW176"/>
      <c r="CX176"/>
      <c r="CY176"/>
      <c r="CZ176"/>
      <c r="DA176"/>
      <c r="DB176"/>
      <c r="DC176"/>
      <c r="DD176"/>
    </row>
  </sheetData>
  <mergeCells count="4">
    <mergeCell ref="CT28:CT31"/>
    <mergeCell ref="CT41:CT43"/>
    <mergeCell ref="CT32:CT35"/>
    <mergeCell ref="CT37:CT39"/>
  </mergeCells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50"/>
  </sheetPr>
  <dimension ref="A1:U152"/>
  <sheetViews>
    <sheetView zoomScale="85" zoomScaleNormal="85" workbookViewId="0">
      <selection activeCell="L49" sqref="L49"/>
    </sheetView>
  </sheetViews>
  <sheetFormatPr baseColWidth="10" defaultRowHeight="14.5" x14ac:dyDescent="0.35"/>
  <cols>
    <col min="1" max="1" width="53.81640625" bestFit="1" customWidth="1"/>
    <col min="2" max="2" width="29.81640625" bestFit="1" customWidth="1"/>
    <col min="3" max="3" width="30.1796875" bestFit="1" customWidth="1"/>
    <col min="12" max="12" width="19.54296875" bestFit="1" customWidth="1"/>
    <col min="13" max="13" width="13.1796875" bestFit="1" customWidth="1"/>
    <col min="14" max="14" width="28" bestFit="1" customWidth="1"/>
    <col min="15" max="15" width="18" bestFit="1" customWidth="1"/>
    <col min="16" max="16" width="17.81640625" bestFit="1" customWidth="1"/>
    <col min="17" max="17" width="18.1796875" bestFit="1" customWidth="1"/>
  </cols>
  <sheetData>
    <row r="1" spans="1:11" x14ac:dyDescent="0.35">
      <c r="A1" s="102" t="s">
        <v>2574</v>
      </c>
      <c r="B1" s="102"/>
      <c r="C1" s="102"/>
      <c r="D1" s="92">
        <v>2</v>
      </c>
      <c r="E1" s="92">
        <v>3</v>
      </c>
      <c r="F1" s="92">
        <v>4</v>
      </c>
      <c r="G1" s="92">
        <v>5</v>
      </c>
      <c r="H1" s="92">
        <v>6</v>
      </c>
      <c r="I1" s="92">
        <v>7</v>
      </c>
      <c r="J1" s="92">
        <v>8</v>
      </c>
      <c r="K1" s="92">
        <v>9</v>
      </c>
    </row>
    <row r="2" spans="1:11" x14ac:dyDescent="0.35">
      <c r="A2" s="92"/>
      <c r="B2" s="92"/>
      <c r="C2" s="92"/>
      <c r="D2" s="92" t="s">
        <v>23</v>
      </c>
      <c r="E2" s="92" t="s">
        <v>1798</v>
      </c>
      <c r="F2" s="92" t="s">
        <v>1799</v>
      </c>
      <c r="G2" s="92" t="s">
        <v>1800</v>
      </c>
      <c r="H2" s="92" t="s">
        <v>1801</v>
      </c>
      <c r="I2" s="92" t="s">
        <v>1802</v>
      </c>
      <c r="J2" s="92" t="s">
        <v>1803</v>
      </c>
      <c r="K2" s="92" t="s">
        <v>1804</v>
      </c>
    </row>
    <row r="3" spans="1:11" x14ac:dyDescent="0.35">
      <c r="A3" s="315" t="s">
        <v>2910</v>
      </c>
      <c r="B3" s="457"/>
      <c r="C3" s="315" t="s">
        <v>2911</v>
      </c>
      <c r="D3" s="346">
        <f>IFERROR(VLOOKUP($A3,flows!$A$2:$J$4985,D$1,FALSE),0)</f>
        <v>0</v>
      </c>
      <c r="E3" s="346">
        <f>IFERROR(VLOOKUP($A3,flows!$A$2:$J$4985,E$1,FALSE),0)</f>
        <v>0</v>
      </c>
      <c r="F3" s="346">
        <f>IFERROR(VLOOKUP($A3,flows!$A$2:$J$4985,F$1,FALSE),0)</f>
        <v>0</v>
      </c>
      <c r="G3" s="346">
        <f>IFERROR(VLOOKUP($A3,flows!$A$2:$J$4985,G$1,FALSE),0)</f>
        <v>0</v>
      </c>
      <c r="H3" s="346">
        <f>IFERROR(VLOOKUP($A3,flows!$A$2:$J$4985,H$1,FALSE),0)</f>
        <v>0</v>
      </c>
      <c r="I3" s="346">
        <f>IFERROR(VLOOKUP($A3,flows!$A$2:$J$4985,I$1,FALSE),0)</f>
        <v>0</v>
      </c>
      <c r="J3" s="346">
        <f>IFERROR(VLOOKUP($A3,flows!$A$2:$J$4985,J$1,FALSE),0)</f>
        <v>0</v>
      </c>
      <c r="K3" s="346">
        <f>IFERROR(VLOOKUP($A3,flows!$A$2:$J$4985,K$1,FALSE),0)</f>
        <v>0</v>
      </c>
    </row>
    <row r="4" spans="1:11" x14ac:dyDescent="0.35">
      <c r="A4" s="315"/>
      <c r="B4" s="315"/>
      <c r="C4" s="315"/>
      <c r="D4" s="346">
        <f>IFERROR(VLOOKUP($A4,flows!$A$2:$J$4985,D$1,FALSE),0)</f>
        <v>0</v>
      </c>
      <c r="E4" s="346">
        <f>IFERROR(VLOOKUP($A4,flows!$A$2:$J$4985,E$1,FALSE),0)</f>
        <v>0</v>
      </c>
      <c r="F4" s="346">
        <f>IFERROR(VLOOKUP($A4,flows!$A$2:$J$4985,F$1,FALSE),0)</f>
        <v>0</v>
      </c>
      <c r="G4" s="346">
        <f>IFERROR(VLOOKUP($A4,flows!$A$2:$J$4985,G$1,FALSE),0)</f>
        <v>0</v>
      </c>
      <c r="H4" s="346">
        <f>IFERROR(VLOOKUP($A4,flows!$A$2:$J$4985,H$1,FALSE),0)</f>
        <v>0</v>
      </c>
      <c r="I4" s="346">
        <f>IFERROR(VLOOKUP($A4,flows!$A$2:$J$4985,I$1,FALSE),0)</f>
        <v>0</v>
      </c>
      <c r="J4" s="346">
        <f>IFERROR(VLOOKUP($A4,flows!$A$2:$J$4985,J$1,FALSE),0)</f>
        <v>0</v>
      </c>
      <c r="K4" s="346">
        <f>IFERROR(VLOOKUP($A4,flows!$A$2:$J$4985,K$1,FALSE),0)</f>
        <v>0</v>
      </c>
    </row>
    <row r="5" spans="1:11" x14ac:dyDescent="0.35">
      <c r="A5" s="315" t="s">
        <v>2894</v>
      </c>
      <c r="B5" s="315"/>
      <c r="C5" s="315" t="s">
        <v>2912</v>
      </c>
      <c r="D5" s="346">
        <f>IFERROR(VLOOKUP($A5,flows!$A$2:$J$4985,D$1,FALSE),0)</f>
        <v>809.76052887968478</v>
      </c>
      <c r="E5" s="346">
        <f>IFERROR(VLOOKUP($A5,flows!$A$2:$J$4985,E$1,FALSE),0)</f>
        <v>812.9084028736421</v>
      </c>
      <c r="F5" s="346">
        <f>IFERROR(VLOOKUP($A5,flows!$A$2:$J$4985,F$1,FALSE),0)</f>
        <v>812.22550660252978</v>
      </c>
      <c r="G5" s="346">
        <f>IFERROR(VLOOKUP($A5,flows!$A$2:$J$4985,G$1,FALSE),0)</f>
        <v>795.48814557142441</v>
      </c>
      <c r="H5" s="346">
        <f>IFERROR(VLOOKUP($A5,flows!$A$2:$J$4985,H$1,FALSE),0)</f>
        <v>789.47475092855416</v>
      </c>
      <c r="I5" s="346">
        <f>IFERROR(VLOOKUP($A5,flows!$A$2:$J$4985,I$1,FALSE),0)</f>
        <v>812.92795382241627</v>
      </c>
      <c r="J5" s="346">
        <f>IFERROR(VLOOKUP($A5,flows!$A$2:$J$4985,J$1,FALSE),0)</f>
        <v>810.14398491760085</v>
      </c>
      <c r="K5" s="346">
        <f>IFERROR(VLOOKUP($A5,flows!$A$2:$J$4985,K$1,FALSE),0)</f>
        <v>0</v>
      </c>
    </row>
    <row r="6" spans="1:11" x14ac:dyDescent="0.35">
      <c r="A6" s="315" t="s">
        <v>2891</v>
      </c>
      <c r="B6" s="315"/>
      <c r="C6" s="315" t="s">
        <v>2913</v>
      </c>
      <c r="D6" s="346">
        <f>IFERROR(VLOOKUP($A6,flows!$A$2:$J$4985,D$1,FALSE),0)</f>
        <v>4357.107697575083</v>
      </c>
      <c r="E6" s="346">
        <f>IFERROR(VLOOKUP($A6,flows!$A$2:$J$4985,E$1,FALSE),0)</f>
        <v>1584.6691246475641</v>
      </c>
      <c r="F6" s="346">
        <f>IFERROR(VLOOKUP($A6,flows!$A$2:$J$4985,F$1,FALSE),0)</f>
        <v>1797.5136331578601</v>
      </c>
      <c r="G6" s="346">
        <f>IFERROR(VLOOKUP($A6,flows!$A$2:$J$4985,G$1,FALSE),0)</f>
        <v>3910.5297539078178</v>
      </c>
      <c r="H6" s="346">
        <f>IFERROR(VLOOKUP($A6,flows!$A$2:$J$4985,H$1,FALSE),0)</f>
        <v>3695.3682129866588</v>
      </c>
      <c r="I6" s="346">
        <f>IFERROR(VLOOKUP($A6,flows!$A$2:$J$4985,I$1,FALSE),0)</f>
        <v>4665.4401877734272</v>
      </c>
      <c r="J6" s="346">
        <f>IFERROR(VLOOKUP($A6,flows!$A$2:$J$4985,J$1,FALSE),0)</f>
        <v>3921.5351840030812</v>
      </c>
      <c r="K6" s="346">
        <f>IFERROR(VLOOKUP($A6,flows!$A$2:$J$4985,K$1,FALSE),0)</f>
        <v>0</v>
      </c>
    </row>
    <row r="7" spans="1:11" x14ac:dyDescent="0.35">
      <c r="A7" s="315" t="s">
        <v>2909</v>
      </c>
      <c r="B7" s="315"/>
      <c r="C7" s="468" t="s">
        <v>2914</v>
      </c>
      <c r="D7" s="346">
        <f>IFERROR(VLOOKUP($A7,flows!$A$2:$J$4985,D$1,FALSE),0)</f>
        <v>19302.213521265639</v>
      </c>
      <c r="E7" s="346">
        <f>IFERROR(VLOOKUP($A7,flows!$A$2:$J$4985,E$1,FALSE),0)</f>
        <v>17350.044682696342</v>
      </c>
      <c r="F7" s="346">
        <f>IFERROR(VLOOKUP($A7,flows!$A$2:$J$4985,F$1,FALSE),0)</f>
        <v>18280.567562032629</v>
      </c>
      <c r="G7" s="346">
        <f>IFERROR(VLOOKUP($A7,flows!$A$2:$J$4985,G$1,FALSE),0)</f>
        <v>18537.527375552621</v>
      </c>
      <c r="H7" s="346">
        <f>IFERROR(VLOOKUP($A7,flows!$A$2:$J$4985,H$1,FALSE),0)</f>
        <v>18792.429699454889</v>
      </c>
      <c r="I7" s="346">
        <f>IFERROR(VLOOKUP($A7,flows!$A$2:$J$4985,I$1,FALSE),0)</f>
        <v>19047.331822665859</v>
      </c>
      <c r="J7" s="346">
        <f>IFERROR(VLOOKUP($A7,flows!$A$2:$J$4985,J$1,FALSE),0)</f>
        <v>19302.231934733019</v>
      </c>
      <c r="K7" s="346">
        <f>IFERROR(VLOOKUP($A7,flows!$A$2:$J$4985,K$1,FALSE),0)</f>
        <v>0</v>
      </c>
    </row>
    <row r="8" spans="1:11" x14ac:dyDescent="0.35">
      <c r="A8" s="315" t="s">
        <v>2927</v>
      </c>
      <c r="B8" s="315"/>
      <c r="C8" s="315"/>
      <c r="D8" s="346">
        <f>IFERROR(VLOOKUP($A8,flows!$A$2:$J$4985,D$1,FALSE),0)</f>
        <v>0</v>
      </c>
      <c r="E8" s="346">
        <f>IFERROR(VLOOKUP($A8,flows!$A$2:$J$4985,E$1,FALSE),0)</f>
        <v>0</v>
      </c>
      <c r="F8" s="346">
        <f>IFERROR(VLOOKUP($A8,flows!$A$2:$J$4985,F$1,FALSE),0)</f>
        <v>0</v>
      </c>
      <c r="G8" s="346">
        <f>IFERROR(VLOOKUP($A8,flows!$A$2:$J$4985,G$1,FALSE),0)</f>
        <v>0</v>
      </c>
      <c r="H8" s="346">
        <f>IFERROR(VLOOKUP($A8,flows!$A$2:$J$4985,H$1,FALSE),0)</f>
        <v>0</v>
      </c>
      <c r="I8" s="346">
        <f>IFERROR(VLOOKUP($A8,flows!$A$2:$J$4985,I$1,FALSE),0)</f>
        <v>0</v>
      </c>
      <c r="J8" s="346">
        <f>IFERROR(VLOOKUP($A8,flows!$A$2:$J$4985,J$1,FALSE),0)</f>
        <v>0</v>
      </c>
      <c r="K8" s="346">
        <f>IFERROR(VLOOKUP($A8,flows!$A$2:$J$4985,K$1,FALSE),0)</f>
        <v>0</v>
      </c>
    </row>
    <row r="9" spans="1:11" x14ac:dyDescent="0.35">
      <c r="A9" s="315"/>
      <c r="B9" s="315"/>
      <c r="C9" s="315"/>
      <c r="D9" s="346">
        <f>IFERROR(VLOOKUP($A9,flows!$A$2:$J$4985,D$1,FALSE),0)</f>
        <v>0</v>
      </c>
      <c r="E9" s="346">
        <f>IFERROR(VLOOKUP($A9,flows!$A$2:$J$4985,E$1,FALSE),0)</f>
        <v>0</v>
      </c>
      <c r="F9" s="346">
        <f>IFERROR(VLOOKUP($A9,flows!$A$2:$J$4985,F$1,FALSE),0)</f>
        <v>0</v>
      </c>
      <c r="G9" s="346">
        <f>IFERROR(VLOOKUP($A9,flows!$A$2:$J$4985,G$1,FALSE),0)</f>
        <v>0</v>
      </c>
      <c r="H9" s="346">
        <f>IFERROR(VLOOKUP($A9,flows!$A$2:$J$4985,H$1,FALSE),0)</f>
        <v>0</v>
      </c>
      <c r="I9" s="346">
        <f>IFERROR(VLOOKUP($A9,flows!$A$2:$J$4985,I$1,FALSE),0)</f>
        <v>0</v>
      </c>
      <c r="J9" s="346">
        <f>IFERROR(VLOOKUP($A9,flows!$A$2:$J$4985,J$1,FALSE),0)</f>
        <v>0</v>
      </c>
      <c r="K9" s="346">
        <f>IFERROR(VLOOKUP($A9,flows!$A$2:$J$4985,K$1,FALSE),0)</f>
        <v>0</v>
      </c>
    </row>
    <row r="10" spans="1:11" x14ac:dyDescent="0.35">
      <c r="A10" s="315"/>
      <c r="B10" s="92"/>
      <c r="C10" s="92"/>
      <c r="D10" s="346"/>
      <c r="E10" s="346"/>
      <c r="F10" s="346"/>
      <c r="G10" s="346"/>
      <c r="H10" s="346"/>
      <c r="I10" s="346"/>
      <c r="J10" s="346"/>
      <c r="K10" s="346"/>
    </row>
    <row r="11" spans="1:11" x14ac:dyDescent="0.35">
      <c r="A11" s="315" t="s">
        <v>2892</v>
      </c>
      <c r="B11" s="315"/>
      <c r="C11" s="315" t="s">
        <v>2915</v>
      </c>
      <c r="D11" s="346">
        <f>IFERROR(VLOOKUP($A11,flows!$A$2:$J$4985,D$1,FALSE),0)</f>
        <v>8534.0500251272497</v>
      </c>
      <c r="E11" s="346">
        <f>IFERROR(VLOOKUP($A11,flows!$A$2:$J$4985,E$1,FALSE),0)</f>
        <v>7742.9639982938761</v>
      </c>
      <c r="F11" s="346">
        <f>IFERROR(VLOOKUP($A11,flows!$A$2:$J$4985,F$1,FALSE),0)</f>
        <v>7907.2016425586826</v>
      </c>
      <c r="G11" s="346">
        <f>IFERROR(VLOOKUP($A11,flows!$A$2:$J$4985,G$1,FALSE),0)</f>
        <v>8071.4000026916801</v>
      </c>
      <c r="H11" s="346">
        <f>IFERROR(VLOOKUP($A11,flows!$A$2:$J$4985,H$1,FALSE),0)</f>
        <v>8205.7000015627964</v>
      </c>
      <c r="I11" s="346">
        <f>IFERROR(VLOOKUP($A11,flows!$A$2:$J$4985,I$1,FALSE),0)</f>
        <v>8340.0000000782347</v>
      </c>
      <c r="J11" s="346">
        <f>IFERROR(VLOOKUP($A11,flows!$A$2:$J$4985,J$1,FALSE),0)</f>
        <v>8534.0500000813463</v>
      </c>
      <c r="K11" s="346">
        <f>IFERROR(VLOOKUP($A11,flows!$A$2:$J$4985,K$1,FALSE),0)</f>
        <v>0</v>
      </c>
    </row>
    <row r="12" spans="1:11" x14ac:dyDescent="0.35">
      <c r="A12" s="315" t="s">
        <v>2895</v>
      </c>
      <c r="B12" s="92"/>
      <c r="C12" s="315" t="s">
        <v>2916</v>
      </c>
      <c r="D12" s="346">
        <f>IFERROR(VLOOKUP($A12,flows!$A$2:$J$4985,D$1,FALSE),0)</f>
        <v>13295.500025444901</v>
      </c>
      <c r="E12" s="346">
        <f>IFERROR(VLOOKUP($A12,flows!$A$2:$J$4985,E$1,FALSE),0)</f>
        <v>12021.000067020341</v>
      </c>
      <c r="F12" s="346">
        <f>IFERROR(VLOOKUP($A12,flows!$A$2:$J$4985,F$1,FALSE),0)</f>
        <v>12275.90165431684</v>
      </c>
      <c r="G12" s="346">
        <f>IFERROR(VLOOKUP($A12,flows!$A$2:$J$4985,G$1,FALSE),0)</f>
        <v>12530.80000270494</v>
      </c>
      <c r="H12" s="346">
        <f>IFERROR(VLOOKUP($A12,flows!$A$2:$J$4985,H$1,FALSE),0)</f>
        <v>12785.70000157239</v>
      </c>
      <c r="I12" s="346">
        <f>IFERROR(VLOOKUP($A12,flows!$A$2:$J$4985,I$1,FALSE),0)</f>
        <v>13040.600000079139</v>
      </c>
      <c r="J12" s="346">
        <f>IFERROR(VLOOKUP($A12,flows!$A$2:$J$4985,J$1,FALSE),0)</f>
        <v>13295.50000008084</v>
      </c>
      <c r="K12" s="346">
        <f>IFERROR(VLOOKUP($A12,flows!$A$2:$J$4985,K$1,FALSE),0)</f>
        <v>0</v>
      </c>
    </row>
    <row r="13" spans="1:11" x14ac:dyDescent="0.35">
      <c r="A13" s="315" t="s">
        <v>2905</v>
      </c>
      <c r="B13" s="92"/>
      <c r="C13" s="315" t="s">
        <v>2917</v>
      </c>
      <c r="D13" s="346">
        <f>IFERROR(VLOOKUP($A13,flows!$A$2:$J$4985,D$1,FALSE),0)</f>
        <v>1665.8000249864331</v>
      </c>
      <c r="E13" s="346">
        <f>IFERROR(VLOOKUP($A13,flows!$A$2:$J$4985,E$1,FALSE),0)</f>
        <v>1505.843999317776</v>
      </c>
      <c r="F13" s="346">
        <f>IFERROR(VLOOKUP($A13,flows!$A$2:$J$4985,F$1,FALSE),0)</f>
        <v>1537.951615367557</v>
      </c>
      <c r="G13" s="346">
        <f>IFERROR(VLOOKUP($A13,flows!$A$2:$J$4985,G$1,FALSE),0)</f>
        <v>1569.90000267861</v>
      </c>
      <c r="H13" s="346">
        <f>IFERROR(VLOOKUP($A13,flows!$A$2:$J$4985,H$1,FALSE),0)</f>
        <v>1601.9500015480151</v>
      </c>
      <c r="I13" s="346">
        <f>IFERROR(VLOOKUP($A13,flows!$A$2:$J$4985,I$1,FALSE),0)</f>
        <v>1634.000000078116</v>
      </c>
      <c r="J13" s="346">
        <f>IFERROR(VLOOKUP($A13,flows!$A$2:$J$4985,J$1,FALSE),0)</f>
        <v>1665.8000000801539</v>
      </c>
      <c r="K13" s="346">
        <f>IFERROR(VLOOKUP($A13,flows!$A$2:$J$4985,K$1,FALSE),0)</f>
        <v>0</v>
      </c>
    </row>
    <row r="14" spans="1:11" x14ac:dyDescent="0.35">
      <c r="A14" s="315" t="s">
        <v>2907</v>
      </c>
      <c r="B14" s="315"/>
      <c r="C14" s="315" t="s">
        <v>2918</v>
      </c>
      <c r="D14" s="346">
        <f>IFERROR(VLOOKUP($A14,flows!$A$2:$J$4985,D$1,FALSE),0)</f>
        <v>1540.6500252321589</v>
      </c>
      <c r="E14" s="346">
        <f>IFERROR(VLOOKUP($A14,flows!$A$2:$J$4985,E$1,FALSE),0)</f>
        <v>1392.8399993222799</v>
      </c>
      <c r="F14" s="346">
        <f>IFERROR(VLOOKUP($A14,flows!$A$2:$J$4985,F$1,FALSE),0)</f>
        <v>1422.551623750513</v>
      </c>
      <c r="G14" s="346">
        <f>IFERROR(VLOOKUP($A14,flows!$A$2:$J$4985,G$1,FALSE),0)</f>
        <v>1452.100002690305</v>
      </c>
      <c r="H14" s="346">
        <f>IFERROR(VLOOKUP($A14,flows!$A$2:$J$4985,H$1,FALSE),0)</f>
        <v>1481.6000015615029</v>
      </c>
      <c r="I14" s="346">
        <f>IFERROR(VLOOKUP($A14,flows!$A$2:$J$4985,I$1,FALSE),0)</f>
        <v>1511.1000000781321</v>
      </c>
      <c r="J14" s="346">
        <f>IFERROR(VLOOKUP($A14,flows!$A$2:$J$4985,J$1,FALSE),0)</f>
        <v>1540.650000080248</v>
      </c>
      <c r="K14" s="346">
        <f>IFERROR(VLOOKUP($A14,flows!$A$2:$J$4985,K$1,FALSE),0)</f>
        <v>0</v>
      </c>
    </row>
    <row r="15" spans="1:11" x14ac:dyDescent="0.35">
      <c r="A15" s="315"/>
      <c r="B15" s="315"/>
      <c r="C15" s="315"/>
      <c r="D15" s="346"/>
      <c r="E15" s="346"/>
      <c r="F15" s="346"/>
      <c r="G15" s="346"/>
      <c r="H15" s="346"/>
      <c r="I15" s="346"/>
      <c r="J15" s="346"/>
      <c r="K15" s="346"/>
    </row>
    <row r="16" spans="1:11" x14ac:dyDescent="0.35">
      <c r="A16" s="315" t="s">
        <v>2980</v>
      </c>
      <c r="B16" s="315"/>
      <c r="C16" s="315"/>
      <c r="D16" s="346">
        <f>IFERROR(VLOOKUP($A16,flows!$A$2:$J$4985,D$1,FALSE),0)</f>
        <v>0</v>
      </c>
      <c r="E16" s="346">
        <f>IFERROR(VLOOKUP($A16,flows!$A$2:$J$4985,E$1,FALSE),0)</f>
        <v>285.40555535467257</v>
      </c>
      <c r="F16" s="346">
        <f>IFERROR(VLOOKUP($A16,flows!$A$2:$J$4985,F$1,FALSE),0)</f>
        <v>57.564718769918557</v>
      </c>
      <c r="G16" s="346">
        <f>IFERROR(VLOOKUP($A16,flows!$A$2:$J$4985,G$1,FALSE),0)</f>
        <v>4.7947463887406999E-4</v>
      </c>
      <c r="H16" s="346">
        <f>IFERROR(VLOOKUP($A16,flows!$A$2:$J$4985,H$1,FALSE),0)</f>
        <v>1.2367042674656171E-4</v>
      </c>
      <c r="I16" s="346">
        <f>IFERROR(VLOOKUP($A16,flows!$A$2:$J$4985,I$1,FALSE),0)</f>
        <v>0</v>
      </c>
      <c r="J16" s="346">
        <f>IFERROR(VLOOKUP($A16,flows!$A$2:$J$4985,J$1,FALSE),0)</f>
        <v>0</v>
      </c>
      <c r="K16" s="346">
        <f>IFERROR(VLOOKUP($A16,flows!$A$2:$J$4985,K$1,FALSE),0)</f>
        <v>0</v>
      </c>
    </row>
    <row r="17" spans="1:11" x14ac:dyDescent="0.35">
      <c r="A17" s="315" t="s">
        <v>2981</v>
      </c>
      <c r="B17" s="315"/>
      <c r="C17" s="315"/>
      <c r="D17" s="346">
        <f>IFERROR(VLOOKUP($A17,flows!$A$2:$J$4985,D$1,FALSE),0)</f>
        <v>0</v>
      </c>
      <c r="E17" s="346">
        <f>IFERROR(VLOOKUP($A17,flows!$A$2:$J$4985,E$1,FALSE),0)</f>
        <v>243.68418897877609</v>
      </c>
      <c r="F17" s="346">
        <f>IFERROR(VLOOKUP($A17,flows!$A$2:$J$4985,F$1,FALSE),0)</f>
        <v>180.59658116255201</v>
      </c>
      <c r="G17" s="346">
        <f>IFERROR(VLOOKUP($A17,flows!$A$2:$J$4985,G$1,FALSE),0)</f>
        <v>9.4690444465099749E-4</v>
      </c>
      <c r="H17" s="346">
        <f>IFERROR(VLOOKUP($A17,flows!$A$2:$J$4985,H$1,FALSE),0)</f>
        <v>1.9466381656045559E-4</v>
      </c>
      <c r="I17" s="346">
        <f>IFERROR(VLOOKUP($A17,flows!$A$2:$J$4985,I$1,FALSE),0)</f>
        <v>0</v>
      </c>
      <c r="J17" s="346">
        <f>IFERROR(VLOOKUP($A17,flows!$A$2:$J$4985,J$1,FALSE),0)</f>
        <v>0</v>
      </c>
      <c r="K17" s="346">
        <f>IFERROR(VLOOKUP($A17,flows!$A$2:$J$4985,K$1,FALSE),0)</f>
        <v>0</v>
      </c>
    </row>
    <row r="18" spans="1:11" x14ac:dyDescent="0.35">
      <c r="A18" s="315" t="s">
        <v>2982</v>
      </c>
      <c r="B18" s="92"/>
      <c r="C18" s="92"/>
      <c r="D18" s="346">
        <f>IFERROR(VLOOKUP($A18,flows!$A$2:$J$4985,D$1,FALSE),0)</f>
        <v>8.2527302248755973E-4</v>
      </c>
      <c r="E18" s="346">
        <f>IFERROR(VLOOKUP($A18,flows!$A$2:$J$4985,E$1,FALSE),0)</f>
        <v>4.867605876625896E-2</v>
      </c>
      <c r="F18" s="346">
        <f>IFERROR(VLOOKUP($A18,flows!$A$2:$J$4985,F$1,FALSE),0)</f>
        <v>2.2150057233342459</v>
      </c>
      <c r="G18" s="346">
        <f>IFERROR(VLOOKUP($A18,flows!$A$2:$J$4985,G$1,FALSE),0)</f>
        <v>1.2265096974175571E-3</v>
      </c>
      <c r="H18" s="346">
        <f>IFERROR(VLOOKUP($A18,flows!$A$2:$J$4985,H$1,FALSE),0)</f>
        <v>4.1102178389562931E-4</v>
      </c>
      <c r="I18" s="346">
        <f>IFERROR(VLOOKUP($A18,flows!$A$2:$J$4985,I$1,FALSE),0)</f>
        <v>5.149745511461836E-5</v>
      </c>
      <c r="J18" s="346">
        <f>IFERROR(VLOOKUP($A18,flows!$A$2:$J$4985,J$1,FALSE),0)</f>
        <v>5.3810458106527022E-6</v>
      </c>
      <c r="K18" s="346">
        <f>IFERROR(VLOOKUP($A18,flows!$A$2:$J$4985,K$1,FALSE),0)</f>
        <v>0</v>
      </c>
    </row>
    <row r="19" spans="1:11" x14ac:dyDescent="0.35">
      <c r="A19" s="315" t="s">
        <v>2983</v>
      </c>
      <c r="B19" s="92"/>
      <c r="C19" s="315"/>
      <c r="D19" s="346">
        <f>IFERROR(VLOOKUP($A19,flows!$A$2:$J$4985,D$1,FALSE),0)</f>
        <v>1.100667258682143E-2</v>
      </c>
      <c r="E19" s="346">
        <f>IFERROR(VLOOKUP($A19,flows!$A$2:$J$4985,E$1,FALSE),0)</f>
        <v>3900.4148302993199</v>
      </c>
      <c r="F19" s="346">
        <f>IFERROR(VLOOKUP($A19,flows!$A$2:$J$4985,F$1,FALSE),0)</f>
        <v>4418.1995291857493</v>
      </c>
      <c r="G19" s="346">
        <f>IFERROR(VLOOKUP($A19,flows!$A$2:$J$4985,G$1,FALSE),0)</f>
        <v>1732.571550627925</v>
      </c>
      <c r="H19" s="346">
        <f>IFERROR(VLOOKUP($A19,flows!$A$2:$J$4985,H$1,FALSE),0)</f>
        <v>161.83026023378861</v>
      </c>
      <c r="I19" s="346">
        <f>IFERROR(VLOOKUP($A19,flows!$A$2:$J$4985,I$1,FALSE),0)</f>
        <v>772.9089533871221</v>
      </c>
      <c r="J19" s="346">
        <f>IFERROR(VLOOKUP($A19,flows!$A$2:$J$4985,J$1,FALSE),0)</f>
        <v>6.0673570491517389E-5</v>
      </c>
      <c r="K19" s="346">
        <f>IFERROR(VLOOKUP($A19,flows!$A$2:$J$4985,K$1,FALSE),0)</f>
        <v>0</v>
      </c>
    </row>
    <row r="20" spans="1:11" x14ac:dyDescent="0.35">
      <c r="A20" s="315" t="s">
        <v>2974</v>
      </c>
      <c r="B20" s="92"/>
      <c r="C20" s="315"/>
      <c r="D20" s="346">
        <f>IFERROR(VLOOKUP($A20,flows!$A$2:$J$4985,D$1,FALSE),0)</f>
        <v>9.6909527551522448E-2</v>
      </c>
      <c r="E20" s="346">
        <f>IFERROR(VLOOKUP($A20,flows!$A$2:$J$4985,E$1,FALSE),0)</f>
        <v>1975.740322066481</v>
      </c>
      <c r="F20" s="346">
        <f>IFERROR(VLOOKUP($A20,flows!$A$2:$J$4985,F$1,FALSE),0)</f>
        <v>2100.716409119801</v>
      </c>
      <c r="G20" s="346">
        <f>IFERROR(VLOOKUP($A20,flows!$A$2:$J$4985,G$1,FALSE),0)</f>
        <v>10636.55775061804</v>
      </c>
      <c r="H20" s="346">
        <f>IFERROR(VLOOKUP($A20,flows!$A$2:$J$4985,H$1,FALSE),0)</f>
        <v>8745.8649971783179</v>
      </c>
      <c r="I20" s="346">
        <f>IFERROR(VLOOKUP($A20,flows!$A$2:$J$4985,I$1,FALSE),0)</f>
        <v>6884.397098890483</v>
      </c>
      <c r="J20" s="346">
        <f>IFERROR(VLOOKUP($A20,flows!$A$2:$J$4985,J$1,FALSE),0)</f>
        <v>1746.3350937976541</v>
      </c>
      <c r="K20" s="346">
        <f>IFERROR(VLOOKUP($A20,flows!$A$2:$J$4985,K$1,FALSE),0)</f>
        <v>0</v>
      </c>
    </row>
    <row r="21" spans="1:11" x14ac:dyDescent="0.35">
      <c r="A21" s="315" t="s">
        <v>2975</v>
      </c>
      <c r="B21" s="92"/>
      <c r="C21" s="92"/>
      <c r="D21" s="346">
        <f>IFERROR(VLOOKUP($A21,flows!$A$2:$J$4985,D$1,FALSE),0)</f>
        <v>1598.3467365849281</v>
      </c>
      <c r="E21" s="346">
        <f>IFERROR(VLOOKUP($A21,flows!$A$2:$J$4985,E$1,FALSE),0)</f>
        <v>0</v>
      </c>
      <c r="F21" s="346">
        <f>IFERROR(VLOOKUP($A21,flows!$A$2:$J$4985,F$1,FALSE),0)</f>
        <v>1.328965869315758</v>
      </c>
      <c r="G21" s="346">
        <f>IFERROR(VLOOKUP($A21,flows!$A$2:$J$4985,G$1,FALSE),0)</f>
        <v>47.322065761582643</v>
      </c>
      <c r="H21" s="346">
        <f>IFERROR(VLOOKUP($A21,flows!$A$2:$J$4985,H$1,FALSE),0)</f>
        <v>459.96232807884229</v>
      </c>
      <c r="I21" s="346">
        <f>IFERROR(VLOOKUP($A21,flows!$A$2:$J$4985,I$1,FALSE),0)</f>
        <v>1630.3446634165509</v>
      </c>
      <c r="J21" s="346">
        <f>IFERROR(VLOOKUP($A21,flows!$A$2:$J$4985,J$1,FALSE),0)</f>
        <v>2166.6631819025679</v>
      </c>
      <c r="K21" s="346">
        <f>IFERROR(VLOOKUP($A21,flows!$A$2:$J$4985,K$1,FALSE),0)</f>
        <v>0</v>
      </c>
    </row>
    <row r="22" spans="1:11" x14ac:dyDescent="0.35">
      <c r="A22" s="315" t="s">
        <v>2919</v>
      </c>
      <c r="B22" s="92"/>
      <c r="C22" s="92" t="s">
        <v>2922</v>
      </c>
      <c r="D22" s="346">
        <f>IFERROR(VLOOKUP($A22,flows!$A$2:$J$4985,D$1,FALSE),0)</f>
        <v>16962.440116572521</v>
      </c>
      <c r="E22" s="346">
        <f>IFERROR(VLOOKUP($A22,flows!$A$2:$J$4985,E$1,FALSE),0)</f>
        <v>8914.2583358706434</v>
      </c>
      <c r="F22" s="346">
        <f>IFERROR(VLOOKUP($A22,flows!$A$2:$J$4985,F$1,FALSE),0)</f>
        <v>9201.1003304431615</v>
      </c>
      <c r="G22" s="346">
        <f>IFERROR(VLOOKUP($A22,flows!$A$2:$J$4985,G$1,FALSE),0)</f>
        <v>5189.8356660075406</v>
      </c>
      <c r="H22" s="346">
        <f>IFERROR(VLOOKUP($A22,flows!$A$2:$J$4985,H$1,FALSE),0)</f>
        <v>8269.3169607167292</v>
      </c>
      <c r="I22" s="346">
        <f>IFERROR(VLOOKUP($A22,flows!$A$2:$J$4985,I$1,FALSE),0)</f>
        <v>9286.4567816581311</v>
      </c>
      <c r="J22" s="346">
        <f>IFERROR(VLOOKUP($A22,flows!$A$2:$J$4985,J$1,FALSE),0)</f>
        <v>14343.316454349169</v>
      </c>
      <c r="K22" s="346">
        <f>IFERROR(VLOOKUP($A22,flows!$A$2:$J$4985,K$1,FALSE),0)</f>
        <v>0</v>
      </c>
    </row>
    <row r="23" spans="1:11" x14ac:dyDescent="0.35">
      <c r="A23" s="92"/>
      <c r="B23" s="92"/>
      <c r="C23" s="92" t="s">
        <v>2920</v>
      </c>
      <c r="D23" s="92">
        <f>SUM(D16:D22)</f>
        <v>18560.895594630609</v>
      </c>
      <c r="E23" s="92">
        <f t="shared" ref="E23:K23" si="0">SUM(E16:E22)</f>
        <v>15319.551908628659</v>
      </c>
      <c r="F23" s="92">
        <f t="shared" si="0"/>
        <v>15961.721540273833</v>
      </c>
      <c r="G23" s="92">
        <f t="shared" si="0"/>
        <v>17606.289685903866</v>
      </c>
      <c r="H23" s="92">
        <f t="shared" si="0"/>
        <v>17636.975275563706</v>
      </c>
      <c r="I23" s="92">
        <f t="shared" si="0"/>
        <v>18574.107548849744</v>
      </c>
      <c r="J23" s="92">
        <f t="shared" si="0"/>
        <v>18256.314796104009</v>
      </c>
      <c r="K23" s="92">
        <f t="shared" si="0"/>
        <v>0</v>
      </c>
    </row>
    <row r="24" spans="1:11" x14ac:dyDescent="0.35">
      <c r="A24" s="315" t="s">
        <v>2985</v>
      </c>
      <c r="B24" s="92"/>
      <c r="C24" s="92"/>
      <c r="D24" s="346">
        <f>IFERROR(VLOOKUP($A24,flows!$A$2:$J$4985,D$1,FALSE),0)</f>
        <v>0</v>
      </c>
      <c r="E24" s="346">
        <f>IFERROR(VLOOKUP($A24,flows!$A$2:$J$4985,E$1,FALSE),0)</f>
        <v>1383.669376038197</v>
      </c>
      <c r="F24" s="346">
        <f>IFERROR(VLOOKUP($A24,flows!$A$2:$J$4985,F$1,FALSE),0)</f>
        <v>279.07844471774922</v>
      </c>
      <c r="G24" s="346">
        <f>IFERROR(VLOOKUP($A24,flows!$A$2:$J$4985,G$1,FALSE),0)</f>
        <v>2.324532098096607E-3</v>
      </c>
      <c r="H24" s="346">
        <f>IFERROR(VLOOKUP($A24,flows!$A$2:$J$4985,H$1,FALSE),0)</f>
        <v>5.9956430069535113E-4</v>
      </c>
      <c r="I24" s="346">
        <f>IFERROR(VLOOKUP($A24,flows!$A$2:$J$4985,I$1,FALSE),0)</f>
        <v>0</v>
      </c>
      <c r="J24" s="346">
        <f>IFERROR(VLOOKUP($A24,flows!$A$2:$J$4985,J$1,FALSE),0)</f>
        <v>0</v>
      </c>
      <c r="K24" s="346">
        <f>IFERROR(VLOOKUP($A24,flows!$A$2:$J$4985,K$1,FALSE),0)</f>
        <v>0</v>
      </c>
    </row>
    <row r="25" spans="1:11" x14ac:dyDescent="0.35">
      <c r="A25" s="315" t="s">
        <v>2986</v>
      </c>
      <c r="B25" s="92"/>
      <c r="C25" s="92"/>
      <c r="D25" s="346">
        <f>IFERROR(VLOOKUP($A25,flows!$A$2:$J$4985,D$1,FALSE),0)</f>
        <v>0</v>
      </c>
      <c r="E25" s="346">
        <f>IFERROR(VLOOKUP($A25,flows!$A$2:$J$4985,E$1,FALSE),0)</f>
        <v>1181.400794023182</v>
      </c>
      <c r="F25" s="346">
        <f>IFERROR(VLOOKUP($A25,flows!$A$2:$J$4985,F$1,FALSE),0)</f>
        <v>875.54693342001508</v>
      </c>
      <c r="G25" s="346">
        <f>IFERROR(VLOOKUP($A25,flows!$A$2:$J$4985,G$1,FALSE),0)</f>
        <v>4.5906698643964957E-3</v>
      </c>
      <c r="H25" s="346">
        <f>IFERROR(VLOOKUP($A25,flows!$A$2:$J$4985,H$1,FALSE),0)</f>
        <v>9.4374603627704026E-4</v>
      </c>
      <c r="I25" s="346">
        <f>IFERROR(VLOOKUP($A25,flows!$A$2:$J$4985,I$1,FALSE),0)</f>
        <v>0</v>
      </c>
      <c r="J25" s="346">
        <f>IFERROR(VLOOKUP($A25,flows!$A$2:$J$4985,J$1,FALSE),0)</f>
        <v>0</v>
      </c>
      <c r="K25" s="346">
        <f>IFERROR(VLOOKUP($A25,flows!$A$2:$J$4985,K$1,FALSE),0)</f>
        <v>0</v>
      </c>
    </row>
    <row r="26" spans="1:11" x14ac:dyDescent="0.35">
      <c r="A26" s="315" t="s">
        <v>2987</v>
      </c>
      <c r="B26" s="92"/>
      <c r="C26" s="92"/>
      <c r="D26" s="346">
        <f>IFERROR(VLOOKUP($A26,flows!$A$2:$J$4985,D$1,FALSE),0)</f>
        <v>3.9676587619594224E-3</v>
      </c>
      <c r="E26" s="346">
        <f>IFERROR(VLOOKUP($A26,flows!$A$2:$J$4985,E$1,FALSE),0)</f>
        <v>0.2340380494983951</v>
      </c>
      <c r="F26" s="346">
        <f>IFERROR(VLOOKUP($A26,flows!$A$2:$J$4985,F$1,FALSE),0)</f>
        <v>10.649557818081689</v>
      </c>
      <c r="G26" s="346">
        <f>IFERROR(VLOOKUP($A26,flows!$A$2:$J$4985,G$1,FALSE),0)</f>
        <v>5.89691213475225E-3</v>
      </c>
      <c r="H26" s="346">
        <f>IFERROR(VLOOKUP($A26,flows!$A$2:$J$4985,H$1,FALSE),0)</f>
        <v>1.976141171019523E-3</v>
      </c>
      <c r="I26" s="346">
        <f>IFERROR(VLOOKUP($A26,flows!$A$2:$J$4985,I$1,FALSE),0)</f>
        <v>2.4759357771958718E-4</v>
      </c>
      <c r="J26" s="346">
        <f>IFERROR(VLOOKUP($A26,flows!$A$2:$J$4985,J$1,FALSE),0)</f>
        <v>2.587137068882958E-5</v>
      </c>
      <c r="K26" s="346">
        <f>IFERROR(VLOOKUP($A26,flows!$A$2:$J$4985,K$1,FALSE),0)</f>
        <v>0</v>
      </c>
    </row>
    <row r="27" spans="1:11" x14ac:dyDescent="0.35">
      <c r="A27" s="315" t="s">
        <v>2988</v>
      </c>
      <c r="B27" s="92"/>
      <c r="C27" s="92"/>
      <c r="D27" s="346">
        <f>IFERROR(VLOOKUP($A27,flows!$A$2:$J$4985,D$1,FALSE),0)</f>
        <v>3.2639758840048792E-2</v>
      </c>
      <c r="E27" s="346">
        <f>IFERROR(VLOOKUP($A27,flows!$A$2:$J$4985,E$1,FALSE),0)</f>
        <v>11566.492819051369</v>
      </c>
      <c r="F27" s="346">
        <f>IFERROR(VLOOKUP($A27,flows!$A$2:$J$4985,F$1,FALSE),0)</f>
        <v>13101.958471309939</v>
      </c>
      <c r="G27" s="346">
        <f>IFERROR(VLOOKUP($A27,flows!$A$2:$J$4985,G$1,FALSE),0)</f>
        <v>5137.8577076358624</v>
      </c>
      <c r="H27" s="346">
        <f>IFERROR(VLOOKUP($A27,flows!$A$2:$J$4985,H$1,FALSE),0)</f>
        <v>479.89986305012729</v>
      </c>
      <c r="I27" s="346">
        <f>IFERROR(VLOOKUP($A27,flows!$A$2:$J$4985,I$1,FALSE),0)</f>
        <v>2292.024373839899</v>
      </c>
      <c r="J27" s="346">
        <f>IFERROR(VLOOKUP($A27,flows!$A$2:$J$4985,J$1,FALSE),0)</f>
        <v>1.7992455877891529E-4</v>
      </c>
      <c r="K27" s="346">
        <f>IFERROR(VLOOKUP($A27,flows!$A$2:$J$4985,K$1,FALSE),0)</f>
        <v>0</v>
      </c>
    </row>
    <row r="28" spans="1:11" x14ac:dyDescent="0.35">
      <c r="A28" s="315" t="s">
        <v>2989</v>
      </c>
      <c r="B28" s="92"/>
      <c r="C28" s="92"/>
      <c r="D28" s="346">
        <f>IFERROR(VLOOKUP($A28,flows!$A$2:$J$4985,D$1,FALSE),0)</f>
        <v>0.33693980054293621</v>
      </c>
      <c r="E28" s="346">
        <f>IFERROR(VLOOKUP($A28,flows!$A$2:$J$4985,E$1,FALSE),0)</f>
        <v>6869.3508972870668</v>
      </c>
      <c r="F28" s="346">
        <f>IFERROR(VLOOKUP($A28,flows!$A$2:$J$4985,F$1,FALSE),0)</f>
        <v>7303.8738890743789</v>
      </c>
      <c r="G28" s="346">
        <f>IFERROR(VLOOKUP($A28,flows!$A$2:$J$4985,G$1,FALSE),0)</f>
        <v>36981.705901427238</v>
      </c>
      <c r="H28" s="346">
        <f>IFERROR(VLOOKUP($A28,flows!$A$2:$J$4985,H$1,FALSE),0)</f>
        <v>30408.052563851488</v>
      </c>
      <c r="I28" s="346">
        <f>IFERROR(VLOOKUP($A28,flows!$A$2:$J$4985,I$1,FALSE),0)</f>
        <v>23936.009636671541</v>
      </c>
      <c r="J28" s="346">
        <f>IFERROR(VLOOKUP($A28,flows!$A$2:$J$4985,J$1,FALSE),0)</f>
        <v>6071.7435431978556</v>
      </c>
      <c r="K28" s="346">
        <f>IFERROR(VLOOKUP($A28,flows!$A$2:$J$4985,K$1,FALSE),0)</f>
        <v>0</v>
      </c>
    </row>
    <row r="29" spans="1:11" x14ac:dyDescent="0.35">
      <c r="A29" s="315" t="s">
        <v>2990</v>
      </c>
      <c r="B29" s="92"/>
      <c r="C29" s="92"/>
      <c r="D29" s="346">
        <f>IFERROR(VLOOKUP($A29,flows!$A$2:$J$4985,D$1,FALSE),0)</f>
        <v>1278.6773892679421</v>
      </c>
      <c r="E29" s="346">
        <f>IFERROR(VLOOKUP($A29,flows!$A$2:$J$4985,E$1,FALSE),0)</f>
        <v>0</v>
      </c>
      <c r="F29" s="346">
        <f>IFERROR(VLOOKUP($A29,flows!$A$2:$J$4985,F$1,FALSE),0)</f>
        <v>1.0631726954526071</v>
      </c>
      <c r="G29" s="346">
        <f>IFERROR(VLOOKUP($A29,flows!$A$2:$J$4985,G$1,FALSE),0)</f>
        <v>38.06026363752293</v>
      </c>
      <c r="H29" s="346">
        <f>IFERROR(VLOOKUP($A29,flows!$A$2:$J$4985,H$1,FALSE),0)</f>
        <v>370.09227397062631</v>
      </c>
      <c r="I29" s="346">
        <f>IFERROR(VLOOKUP($A29,flows!$A$2:$J$4985,I$1,FALSE),0)</f>
        <v>1313.172877602462</v>
      </c>
      <c r="J29" s="346">
        <f>IFERROR(VLOOKUP($A29,flows!$A$2:$J$4985,J$1,FALSE),0)</f>
        <v>1744.3069062356451</v>
      </c>
      <c r="K29" s="346">
        <f>IFERROR(VLOOKUP($A29,flows!$A$2:$J$4985,K$1,FALSE),0)</f>
        <v>0</v>
      </c>
    </row>
    <row r="30" spans="1:11" s="471" customFormat="1" x14ac:dyDescent="0.35">
      <c r="A30" s="315" t="s">
        <v>2992</v>
      </c>
      <c r="B30" s="92"/>
      <c r="C30" s="92"/>
      <c r="D30" s="346">
        <f>IFERROR(VLOOKUP($A30,flows!$A$2:$J$4985,D$1,FALSE),0)</f>
        <v>45217.852008022681</v>
      </c>
      <c r="E30" s="346">
        <f>IFERROR(VLOOKUP($A30,flows!$A$2:$J$4985,E$1,FALSE),0)</f>
        <v>611.05853258009085</v>
      </c>
      <c r="F30" s="346">
        <f>IFERROR(VLOOKUP($A30,flows!$A$2:$J$4985,F$1,FALSE),0)</f>
        <v>1828.8892213809779</v>
      </c>
      <c r="G30" s="346">
        <f>IFERROR(VLOOKUP($A30,flows!$A$2:$J$4985,G$1,FALSE),0)</f>
        <v>3398.4969615877899</v>
      </c>
      <c r="H30" s="346">
        <f>IFERROR(VLOOKUP($A30,flows!$A$2:$J$4985,H$1,FALSE),0)</f>
        <v>7302.0775044888514</v>
      </c>
      <c r="I30" s="346">
        <f>IFERROR(VLOOKUP($A30,flows!$A$2:$J$4985,I$1,FALSE),0)</f>
        <v>15789.508529896329</v>
      </c>
      <c r="J30" s="346">
        <f>IFERROR(VLOOKUP($A30,flows!$A$2:$J$4985,J$1,FALSE),0)</f>
        <v>35959.444984871487</v>
      </c>
      <c r="K30" s="346">
        <f>IFERROR(VLOOKUP($A30,flows!$A$2:$J$4985,K$1,FALSE),0)</f>
        <v>0</v>
      </c>
    </row>
    <row r="31" spans="1:11" s="471" customFormat="1" x14ac:dyDescent="0.35">
      <c r="A31" s="315" t="s">
        <v>2993</v>
      </c>
      <c r="B31" s="92"/>
      <c r="C31" s="92"/>
      <c r="D31" s="346">
        <f>IFERROR(VLOOKUP($A31,flows!$A$2:$J$4985,D$1,FALSE),0)</f>
        <v>4.6685166169357528E-2</v>
      </c>
      <c r="E31" s="346">
        <f>IFERROR(VLOOKUP($A31,flows!$A$2:$J$4985,E$1,FALSE),0)</f>
        <v>4703.3472358413928</v>
      </c>
      <c r="F31" s="346">
        <f>IFERROR(VLOOKUP($A31,flows!$A$2:$J$4985,F$1,FALSE),0)</f>
        <v>4153.3223994086466</v>
      </c>
      <c r="G31" s="346">
        <f>IFERROR(VLOOKUP($A31,flows!$A$2:$J$4985,G$1,FALSE),0)</f>
        <v>944.7814688496934</v>
      </c>
      <c r="H31" s="346">
        <f>IFERROR(VLOOKUP($A31,flows!$A$2:$J$4985,H$1,FALSE),0)</f>
        <v>23.008419815824869</v>
      </c>
      <c r="I31" s="346">
        <f>IFERROR(VLOOKUP($A31,flows!$A$2:$J$4985,I$1,FALSE),0)</f>
        <v>10.096198253065729</v>
      </c>
      <c r="J31" s="346">
        <f>IFERROR(VLOOKUP($A31,flows!$A$2:$J$4985,J$1,FALSE),0)</f>
        <v>2.6083694669160642E-4</v>
      </c>
      <c r="K31" s="346">
        <f>IFERROR(VLOOKUP($A31,flows!$A$2:$J$4985,K$1,FALSE),0)</f>
        <v>0</v>
      </c>
    </row>
    <row r="32" spans="1:11" s="467" customFormat="1" x14ac:dyDescent="0.35">
      <c r="A32" s="315" t="s">
        <v>2991</v>
      </c>
      <c r="B32" s="92"/>
      <c r="D32" s="346">
        <f>IFERROR(VLOOKUP($A32,flows!$A$2:$J$4985,D$1,FALSE),0)</f>
        <v>912.27621183585291</v>
      </c>
      <c r="E32" s="346">
        <f>IFERROR(VLOOKUP($A32,flows!$A$2:$J$4985,E$1,FALSE),0)</f>
        <v>915.82260667744504</v>
      </c>
      <c r="F32" s="346">
        <f>IFERROR(VLOOKUP($A32,flows!$A$2:$J$4985,F$1,FALSE),0)</f>
        <v>915.05325573840992</v>
      </c>
      <c r="G32" s="346">
        <f>IFERROR(VLOOKUP($A32,flows!$A$2:$J$4985,G$1,FALSE),0)</f>
        <v>896.19694480076669</v>
      </c>
      <c r="H32" s="346">
        <f>IFERROR(VLOOKUP($A32,flows!$A$2:$J$4985,H$1,FALSE),0)</f>
        <v>889.422254396109</v>
      </c>
      <c r="I32" s="346">
        <f>IFERROR(VLOOKUP($A32,flows!$A$2:$J$4985,I$1,FALSE),0)</f>
        <v>915.84463277633415</v>
      </c>
      <c r="J32" s="346">
        <f>IFERROR(VLOOKUP($A32,flows!$A$2:$J$4985,J$1,FALSE),0)</f>
        <v>912.70821340816894</v>
      </c>
      <c r="K32" s="346">
        <f>IFERROR(VLOOKUP($A32,flows!$A$2:$J$4985,K$1,FALSE),0)</f>
        <v>0</v>
      </c>
    </row>
    <row r="33" spans="1:11" s="473" customFormat="1" x14ac:dyDescent="0.35">
      <c r="A33" s="468" t="s">
        <v>2999</v>
      </c>
      <c r="B33" s="92"/>
      <c r="C33" s="473" t="s">
        <v>2923</v>
      </c>
      <c r="D33" s="346">
        <f>IFERROR(VLOOKUP($A33,flows!$A$2:$J$4985,D$1,FALSE),0)</f>
        <v>5611.666866504861</v>
      </c>
      <c r="E33" s="346">
        <f>IFERROR(VLOOKUP($A33,flows!$A$2:$J$4985,E$1,FALSE),0)</f>
        <v>6966.9450982945946</v>
      </c>
      <c r="F33" s="346">
        <f>IFERROR(VLOOKUP($A33,flows!$A$2:$J$4985,F$1,FALSE),0)</f>
        <v>7681.248078055829</v>
      </c>
      <c r="G33" s="346">
        <f>IFERROR(VLOOKUP($A33,flows!$A$2:$J$4985,G$1,FALSE),0)</f>
        <v>1609.6046241139411</v>
      </c>
      <c r="H33" s="346">
        <f>IFERROR(VLOOKUP($A33,flows!$A$2:$J$4985,H$1,FALSE),0)</f>
        <v>8737.8983172903372</v>
      </c>
      <c r="I33" s="346">
        <f>IFERROR(VLOOKUP($A33,flows!$A$2:$J$4985,I$1,FALSE),0)</f>
        <v>10085.008691862629</v>
      </c>
      <c r="J33" s="346">
        <f>IFERROR(VLOOKUP($A33,flows!$A$2:$J$4985,J$1,FALSE),0)</f>
        <v>5780.6744494661634</v>
      </c>
      <c r="K33" s="346">
        <f>IFERROR(VLOOKUP($A33,flows!$A$2:$J$4985,K$1,FALSE),0)</f>
        <v>0</v>
      </c>
    </row>
    <row r="34" spans="1:11" x14ac:dyDescent="0.35">
      <c r="A34" s="92"/>
      <c r="B34" s="92"/>
      <c r="C34" s="92" t="s">
        <v>2921</v>
      </c>
      <c r="D34" s="92">
        <f>SUM(D24:D33)</f>
        <v>53020.89270801565</v>
      </c>
      <c r="E34" s="92">
        <f t="shared" ref="E34:K34" si="1">SUM(E24:E33)</f>
        <v>34198.321397842832</v>
      </c>
      <c r="F34" s="92">
        <f t="shared" si="1"/>
        <v>36150.683423619485</v>
      </c>
      <c r="G34" s="92">
        <f t="shared" si="1"/>
        <v>49006.716684166917</v>
      </c>
      <c r="H34" s="92">
        <f t="shared" si="1"/>
        <v>48210.454716314867</v>
      </c>
      <c r="I34" s="92">
        <f t="shared" si="1"/>
        <v>54341.665188495841</v>
      </c>
      <c r="J34" s="92">
        <f t="shared" si="1"/>
        <v>50468.878563812199</v>
      </c>
      <c r="K34" s="92">
        <f t="shared" si="1"/>
        <v>0</v>
      </c>
    </row>
    <row r="36" spans="1:11" x14ac:dyDescent="0.35">
      <c r="A36" s="468" t="s">
        <v>2984</v>
      </c>
      <c r="C36" t="s">
        <v>1342</v>
      </c>
      <c r="D36" s="346">
        <f>IFERROR(VLOOKUP($A36,flows!$A$2:$J$4985,D$1,FALSE),0)</f>
        <v>0</v>
      </c>
      <c r="E36" s="346">
        <f>IFERROR(VLOOKUP($A36,flows!$A$2:$J$4985,E$1,FALSE),0)</f>
        <v>2234.969110060083</v>
      </c>
      <c r="F36" s="346">
        <f>IFERROR(VLOOKUP($A36,flows!$A$2:$J$4985,F$1,FALSE),0)</f>
        <v>450.78088308471848</v>
      </c>
      <c r="G36" s="346">
        <f>IFERROR(VLOOKUP($A36,flows!$A$2:$J$4985,G$1,FALSE),0)</f>
        <v>3.754695684213548E-3</v>
      </c>
      <c r="H36" s="346">
        <f>IFERROR(VLOOKUP($A36,flows!$A$2:$J$4985,H$1,FALSE),0)</f>
        <v>9.684450019307885E-4</v>
      </c>
      <c r="I36" s="346">
        <f>IFERROR(VLOOKUP($A36,flows!$A$2:$J$4985,I$1,FALSE),0)</f>
        <v>0</v>
      </c>
      <c r="J36" s="346">
        <f>IFERROR(VLOOKUP($A36,flows!$A$2:$J$4985,J$1,FALSE),0)</f>
        <v>0</v>
      </c>
      <c r="K36" s="346">
        <f>IFERROR(VLOOKUP($A36,flows!$A$2:$J$4985,K$1,FALSE),0)</f>
        <v>0</v>
      </c>
    </row>
    <row r="37" spans="1:11" x14ac:dyDescent="0.35">
      <c r="A37" s="468" t="s">
        <v>2976</v>
      </c>
      <c r="C37" t="s">
        <v>1343</v>
      </c>
      <c r="D37" s="346">
        <f>IFERROR(VLOOKUP($A37,flows!$A$2:$J$4985,D$1,FALSE),0)</f>
        <v>0</v>
      </c>
      <c r="E37" s="346">
        <f>IFERROR(VLOOKUP($A37,flows!$A$2:$J$4985,E$1,FALSE),0)</f>
        <v>1908.2551995205649</v>
      </c>
      <c r="F37" s="346">
        <f>IFERROR(VLOOKUP($A37,flows!$A$2:$J$4985,F$1,FALSE),0)</f>
        <v>1414.225381069318</v>
      </c>
      <c r="G37" s="346">
        <f>IFERROR(VLOOKUP($A37,flows!$A$2:$J$4985,G$1,FALSE),0)</f>
        <v>7.4150700442521334E-3</v>
      </c>
      <c r="H37" s="346">
        <f>IFERROR(VLOOKUP($A37,flows!$A$2:$J$4985,H$1,FALSE),0)</f>
        <v>1.524383841507091E-3</v>
      </c>
      <c r="I37" s="346">
        <f>IFERROR(VLOOKUP($A37,flows!$A$2:$J$4985,I$1,FALSE),0)</f>
        <v>0</v>
      </c>
      <c r="J37" s="346">
        <f>IFERROR(VLOOKUP($A37,flows!$A$2:$J$4985,J$1,FALSE),0)</f>
        <v>0</v>
      </c>
      <c r="K37" s="346">
        <f>IFERROR(VLOOKUP($A37,flows!$A$2:$J$4985,K$1,FALSE),0)</f>
        <v>0</v>
      </c>
    </row>
    <row r="38" spans="1:11" x14ac:dyDescent="0.35">
      <c r="A38" s="468" t="s">
        <v>2977</v>
      </c>
      <c r="C38" t="s">
        <v>1949</v>
      </c>
      <c r="D38" s="346">
        <f>IFERROR(VLOOKUP($A38,flows!$A$2:$J$4985,D$1,FALSE),0)</f>
        <v>6.2854000189456194E-3</v>
      </c>
      <c r="E38" s="346">
        <f>IFERROR(VLOOKUP($A38,flows!$A$2:$J$4985,E$1,FALSE),0)</f>
        <v>0.37072398146427238</v>
      </c>
      <c r="F38" s="346">
        <f>IFERROR(VLOOKUP($A38,flows!$A$2:$J$4985,F$1,FALSE),0)</f>
        <v>16.869807489217411</v>
      </c>
      <c r="G38" s="346">
        <f>IFERROR(VLOOKUP($A38,flows!$A$2:$J$4985,G$1,FALSE),0)</f>
        <v>9.3412772080545114E-3</v>
      </c>
      <c r="H38" s="346">
        <f>IFERROR(VLOOKUP($A38,flows!$A$2:$J$4985,H$1,FALSE),0)</f>
        <v>3.130402009867703E-3</v>
      </c>
      <c r="I38" s="346">
        <f>IFERROR(VLOOKUP($A38,flows!$A$2:$J$4985,I$1,FALSE),0)</f>
        <v>3.9221214862618711E-4</v>
      </c>
      <c r="J38" s="346">
        <f>IFERROR(VLOOKUP($A38,flows!$A$2:$J$4985,J$1,FALSE),0)</f>
        <v>4.0982831764300849E-5</v>
      </c>
      <c r="K38" s="346">
        <f>IFERROR(VLOOKUP($A38,flows!$A$2:$J$4985,K$1,FALSE),0)</f>
        <v>0</v>
      </c>
    </row>
    <row r="39" spans="1:11" x14ac:dyDescent="0.35">
      <c r="A39" s="468" t="s">
        <v>2978</v>
      </c>
      <c r="C39" t="s">
        <v>1340</v>
      </c>
      <c r="D39" s="346">
        <f>IFERROR(VLOOKUP($A39,flows!$A$2:$J$4985,D$1,FALSE),0)</f>
        <v>5.2090263070617267E-2</v>
      </c>
      <c r="E39" s="346">
        <f>IFERROR(VLOOKUP($A39,flows!$A$2:$J$4985,E$1,FALSE),0)</f>
        <v>18459.13312967023</v>
      </c>
      <c r="F39" s="346">
        <f>IFERROR(VLOOKUP($A39,flows!$A$2:$J$4985,F$1,FALSE),0)</f>
        <v>20909.604965384518</v>
      </c>
      <c r="G39" s="346">
        <f>IFERROR(VLOOKUP($A39,flows!$A$2:$J$4985,G$1,FALSE),0)</f>
        <v>8199.5814038235894</v>
      </c>
      <c r="H39" s="346">
        <f>IFERROR(VLOOKUP($A39,flows!$A$2:$J$4985,H$1,FALSE),0)</f>
        <v>765.87913030661878</v>
      </c>
      <c r="I39" s="346">
        <f>IFERROR(VLOOKUP($A39,flows!$A$2:$J$4985,I$1,FALSE),0)</f>
        <v>3657.874838557133</v>
      </c>
      <c r="J39" s="346">
        <f>IFERROR(VLOOKUP($A39,flows!$A$2:$J$4985,J$1,FALSE),0)</f>
        <v>2.8714420488176712E-4</v>
      </c>
      <c r="K39" s="346">
        <f>IFERROR(VLOOKUP($A39,flows!$A$2:$J$4985,K$1,FALSE),0)</f>
        <v>0</v>
      </c>
    </row>
    <row r="40" spans="1:11" x14ac:dyDescent="0.35">
      <c r="A40" s="468" t="s">
        <v>2924</v>
      </c>
      <c r="C40" t="s">
        <v>1209</v>
      </c>
      <c r="D40" s="346">
        <f>IFERROR(VLOOKUP($A40,flows!$A$2:$J$4985,D$1,FALSE),0)</f>
        <v>39467.883649726493</v>
      </c>
      <c r="E40" s="346">
        <f>IFERROR(VLOOKUP($A40,flows!$A$2:$J$4985,E$1,FALSE),0)</f>
        <v>1790.7451745005619</v>
      </c>
      <c r="F40" s="346">
        <f>IFERROR(VLOOKUP($A40,flows!$A$2:$J$4985,F$1,FALSE),0)</f>
        <v>3893.6169759580421</v>
      </c>
      <c r="G40" s="346">
        <f>IFERROR(VLOOKUP($A40,flows!$A$2:$J$4985,G$1,FALSE),0)</f>
        <v>56972.211901903422</v>
      </c>
      <c r="H40" s="346">
        <f>IFERROR(VLOOKUP($A40,flows!$A$2:$J$4985,H$1,FALSE),0)</f>
        <v>49971.13991329931</v>
      </c>
      <c r="I40" s="346">
        <f>IFERROR(VLOOKUP($A40,flows!$A$2:$J$4985,I$1,FALSE),0)</f>
        <v>48220.860633155178</v>
      </c>
      <c r="J40" s="346">
        <f>IFERROR(VLOOKUP($A40,flows!$A$2:$J$4985,J$1,FALSE),0)</f>
        <v>39787.165662838001</v>
      </c>
      <c r="K40" s="346">
        <f>IFERROR(VLOOKUP($A40,flows!$A$2:$J$4985,K$1,FALSE),0)</f>
        <v>0</v>
      </c>
    </row>
    <row r="41" spans="1:11" s="476" customFormat="1" x14ac:dyDescent="0.35">
      <c r="A41" s="468" t="s">
        <v>3024</v>
      </c>
      <c r="C41" s="476" t="s">
        <v>1209</v>
      </c>
      <c r="D41" s="346">
        <f>IFERROR(VLOOKUP($A41,flows!$A$2:$J$4985,D$1,FALSE),0)</f>
        <v>0.5827391915305018</v>
      </c>
      <c r="E41" s="346">
        <f>IFERROR(VLOOKUP($A41,flows!$A$2:$J$4985,E$1,FALSE),0)</f>
        <v>11880.57920665352</v>
      </c>
      <c r="F41" s="346">
        <f>IFERROR(VLOOKUP($A41,flows!$A$2:$J$4985,F$1,FALSE),0)</f>
        <v>12632.089050630189</v>
      </c>
      <c r="G41" s="346">
        <f>IFERROR(VLOOKUP($A41,flows!$A$2:$J$4985,G$1,FALSE),0)</f>
        <v>63960.058632700173</v>
      </c>
      <c r="H41" s="346">
        <f>IFERROR(VLOOKUP($A41,flows!$A$2:$J$4985,H$1,FALSE),0)</f>
        <v>52590.889940939967</v>
      </c>
      <c r="I41" s="346">
        <f>IFERROR(VLOOKUP($A41,flows!$A$2:$J$4985,I$1,FALSE),0)</f>
        <v>41397.456998740126</v>
      </c>
      <c r="J41" s="346">
        <f>IFERROR(VLOOKUP($A41,flows!$A$2:$J$4985,J$1,FALSE),0)</f>
        <v>10501.113011411029</v>
      </c>
      <c r="K41" s="346">
        <f>IFERROR(VLOOKUP($A41,flows!$A$2:$J$4985,K$1,FALSE),0)</f>
        <v>0</v>
      </c>
    </row>
    <row r="42" spans="1:11" s="476" customFormat="1" x14ac:dyDescent="0.35">
      <c r="A42" s="468" t="s">
        <v>2994</v>
      </c>
      <c r="C42" s="476" t="s">
        <v>1209</v>
      </c>
      <c r="D42" s="346">
        <f>IFERROR(VLOOKUP($A42,flows!$A$2:$J$4985,D$1,FALSE),0)</f>
        <v>50242.057786691868</v>
      </c>
      <c r="E42" s="346">
        <f>IFERROR(VLOOKUP($A42,flows!$A$2:$J$4985,E$1,FALSE),0)</f>
        <v>684.77144913652887</v>
      </c>
      <c r="F42" s="346">
        <f>IFERROR(VLOOKUP($A42,flows!$A$2:$J$4985,F$1,FALSE),0)</f>
        <v>2032.621455480139</v>
      </c>
      <c r="G42" s="346">
        <f>IFERROR(VLOOKUP($A42,flows!$A$2:$J$4985,G$1,FALSE),0)</f>
        <v>3786.9476744088761</v>
      </c>
      <c r="H42" s="346">
        <f>IFERROR(VLOOKUP($A42,flows!$A$2:$J$4985,H$1,FALSE),0)</f>
        <v>8155.0474609471084</v>
      </c>
      <c r="I42" s="346">
        <f>IFERROR(VLOOKUP($A42,flows!$A$2:$J$4985,I$1,FALSE),0)</f>
        <v>17598.203441294711</v>
      </c>
      <c r="J42" s="346">
        <f>IFERROR(VLOOKUP($A42,flows!$A$2:$J$4985,J$1,FALSE),0)</f>
        <v>40060.852501794077</v>
      </c>
      <c r="K42" s="346">
        <f>IFERROR(VLOOKUP($A42,flows!$A$2:$J$4985,K$1,FALSE),0)</f>
        <v>0</v>
      </c>
    </row>
    <row r="43" spans="1:11" x14ac:dyDescent="0.35">
      <c r="A43" s="315" t="s">
        <v>2890</v>
      </c>
      <c r="C43" t="s">
        <v>2925</v>
      </c>
      <c r="D43" s="346">
        <f>IFERROR(VLOOKUP($A43,flows!$A$2:$J$4985,D$1,FALSE),0)</f>
        <v>0</v>
      </c>
      <c r="E43" s="346">
        <f>IFERROR(VLOOKUP($A43,flows!$A$2:$J$4985,E$1,FALSE),0)</f>
        <v>0</v>
      </c>
      <c r="F43" s="346">
        <f>IFERROR(VLOOKUP($A43,flows!$A$2:$J$4985,F$1,FALSE),0)</f>
        <v>0</v>
      </c>
      <c r="G43" s="346">
        <f>IFERROR(VLOOKUP($A43,flows!$A$2:$J$4985,G$1,FALSE),0)</f>
        <v>0</v>
      </c>
      <c r="H43" s="346">
        <f>IFERROR(VLOOKUP($A43,flows!$A$2:$J$4985,H$1,FALSE),0)</f>
        <v>0</v>
      </c>
      <c r="I43" s="346">
        <f>IFERROR(VLOOKUP($A43,flows!$A$2:$J$4985,I$1,FALSE),0)</f>
        <v>0</v>
      </c>
      <c r="J43" s="346">
        <f>IFERROR(VLOOKUP($A43,flows!$A$2:$J$4985,J$1,FALSE),0)</f>
        <v>0</v>
      </c>
      <c r="K43" s="346">
        <f>IFERROR(VLOOKUP($A43,flows!$A$2:$J$4985,K$1,FALSE),0)</f>
        <v>0</v>
      </c>
    </row>
    <row r="44" spans="1:11" x14ac:dyDescent="0.35">
      <c r="A44" s="468" t="s">
        <v>2979</v>
      </c>
      <c r="C44" t="s">
        <v>1816</v>
      </c>
      <c r="D44" s="346">
        <f>IFERROR(VLOOKUP($A44,flows!$A$2:$J$4985,D$1,FALSE),0)</f>
        <v>3995.8668414623198</v>
      </c>
      <c r="E44" s="346">
        <f>IFERROR(VLOOKUP($A44,flows!$A$2:$J$4985,E$1,FALSE),0)</f>
        <v>0</v>
      </c>
      <c r="F44" s="346">
        <f>IFERROR(VLOOKUP($A44,flows!$A$2:$J$4985,F$1,FALSE),0)</f>
        <v>3.322414673289396</v>
      </c>
      <c r="G44" s="346">
        <f>IFERROR(VLOOKUP($A44,flows!$A$2:$J$4985,G$1,FALSE),0)</f>
        <v>118.58656860986881</v>
      </c>
      <c r="H44" s="346">
        <f>IFERROR(VLOOKUP($A44,flows!$A$2:$J$4985,H$1,FALSE),0)</f>
        <v>1152.8536139575949</v>
      </c>
      <c r="I44" s="346">
        <f>IFERROR(VLOOKUP($A44,flows!$A$2:$J$4985,I$1,FALSE),0)</f>
        <v>4088.2188069708509</v>
      </c>
      <c r="J44" s="346">
        <f>IFERROR(VLOOKUP($A44,flows!$A$2:$J$4985,J$1,FALSE),0)</f>
        <v>5431.9029001919635</v>
      </c>
      <c r="K44" s="346">
        <f>IFERROR(VLOOKUP($A44,flows!$A$2:$J$4985,K$1,FALSE),0)</f>
        <v>0</v>
      </c>
    </row>
    <row r="45" spans="1:11" s="471" customFormat="1" x14ac:dyDescent="0.35">
      <c r="A45" s="468" t="s">
        <v>2995</v>
      </c>
      <c r="C45" s="471" t="s">
        <v>1340</v>
      </c>
      <c r="D45" s="346">
        <f>IFERROR(VLOOKUP($A45,flows!$A$2:$J$4985,D$1,FALSE),0)</f>
        <v>5.1872406854841693E-2</v>
      </c>
      <c r="E45" s="346">
        <f>IFERROR(VLOOKUP($A45,flows!$A$2:$J$4985,E$1,FALSE),0)</f>
        <v>5225.941373157103</v>
      </c>
      <c r="F45" s="346">
        <f>IFERROR(VLOOKUP($A45,flows!$A$2:$J$4985,F$1,FALSE),0)</f>
        <v>4614.8026660096066</v>
      </c>
      <c r="G45" s="346">
        <f>IFERROR(VLOOKUP($A45,flows!$A$2:$J$4985,G$1,FALSE),0)</f>
        <v>1049.75718761077</v>
      </c>
      <c r="H45" s="346">
        <f>IFERROR(VLOOKUP($A45,flows!$A$2:$J$4985,H$1,FALSE),0)</f>
        <v>25.564910906472079</v>
      </c>
      <c r="I45" s="346">
        <f>IFERROR(VLOOKUP($A45,flows!$A$2:$J$4985,I$1,FALSE),0)</f>
        <v>11.217998058961919</v>
      </c>
      <c r="J45" s="346">
        <f>IFERROR(VLOOKUP($A45,flows!$A$2:$J$4985,J$1,FALSE),0)</f>
        <v>2.898188296573404E-4</v>
      </c>
      <c r="K45" s="346">
        <f>IFERROR(VLOOKUP($A45,flows!$A$2:$J$4985,K$1,FALSE),0)</f>
        <v>0</v>
      </c>
    </row>
    <row r="46" spans="1:11" x14ac:dyDescent="0.35">
      <c r="C46" t="s">
        <v>2996</v>
      </c>
      <c r="D46" s="473">
        <f>SUM(D36:D40)+D22+D33+SUM(D43:D45)</f>
        <v>66037.967722336136</v>
      </c>
      <c r="E46" s="476">
        <f t="shared" ref="E46:K46" si="2">SUM(E36:E40)+E22+E33+SUM(E43:E45)</f>
        <v>45500.618145055239</v>
      </c>
      <c r="F46" s="476">
        <f t="shared" si="2"/>
        <v>48185.571502167695</v>
      </c>
      <c r="G46" s="476">
        <f t="shared" si="2"/>
        <v>73139.597863112067</v>
      </c>
      <c r="H46" s="476">
        <f t="shared" si="2"/>
        <v>68922.658469707923</v>
      </c>
      <c r="I46" s="476">
        <f t="shared" si="2"/>
        <v>75349.638142475029</v>
      </c>
      <c r="J46" s="476">
        <f t="shared" si="2"/>
        <v>65343.060084791163</v>
      </c>
      <c r="K46" s="476">
        <f t="shared" si="2"/>
        <v>0</v>
      </c>
    </row>
    <row r="47" spans="1:11" x14ac:dyDescent="0.35">
      <c r="D47" s="346"/>
    </row>
    <row r="48" spans="1:11" s="475" customFormat="1" x14ac:dyDescent="0.35">
      <c r="B48" s="475" t="s">
        <v>2264</v>
      </c>
      <c r="C48" s="475" t="s">
        <v>1342</v>
      </c>
      <c r="D48" s="346">
        <f>D36</f>
        <v>0</v>
      </c>
      <c r="E48" s="346">
        <f t="shared" ref="E48:K48" si="3">E36</f>
        <v>2234.969110060083</v>
      </c>
      <c r="F48" s="346">
        <f t="shared" si="3"/>
        <v>450.78088308471848</v>
      </c>
      <c r="G48" s="346">
        <f t="shared" si="3"/>
        <v>3.754695684213548E-3</v>
      </c>
      <c r="H48" s="346">
        <f t="shared" si="3"/>
        <v>9.684450019307885E-4</v>
      </c>
      <c r="I48" s="346">
        <f t="shared" si="3"/>
        <v>0</v>
      </c>
      <c r="J48" s="346">
        <f t="shared" si="3"/>
        <v>0</v>
      </c>
      <c r="K48" s="346">
        <f t="shared" si="3"/>
        <v>0</v>
      </c>
    </row>
    <row r="49" spans="1:11" s="475" customFormat="1" x14ac:dyDescent="0.35">
      <c r="B49" s="475" t="s">
        <v>1310</v>
      </c>
      <c r="C49" s="475" t="s">
        <v>1343</v>
      </c>
      <c r="D49" s="346">
        <f>D37</f>
        <v>0</v>
      </c>
      <c r="E49" s="346">
        <f t="shared" ref="E49:K49" si="4">E37</f>
        <v>1908.2551995205649</v>
      </c>
      <c r="F49" s="346">
        <f t="shared" si="4"/>
        <v>1414.225381069318</v>
      </c>
      <c r="G49" s="346">
        <f t="shared" si="4"/>
        <v>7.4150700442521334E-3</v>
      </c>
      <c r="H49" s="346">
        <f t="shared" si="4"/>
        <v>1.524383841507091E-3</v>
      </c>
      <c r="I49" s="346">
        <f t="shared" si="4"/>
        <v>0</v>
      </c>
      <c r="J49" s="346">
        <f t="shared" si="4"/>
        <v>0</v>
      </c>
      <c r="K49" s="346">
        <f t="shared" si="4"/>
        <v>0</v>
      </c>
    </row>
    <row r="50" spans="1:11" s="475" customFormat="1" x14ac:dyDescent="0.35">
      <c r="B50" s="475" t="s">
        <v>2267</v>
      </c>
      <c r="C50" s="475" t="s">
        <v>1949</v>
      </c>
      <c r="D50" s="346">
        <f>D38</f>
        <v>6.2854000189456194E-3</v>
      </c>
      <c r="E50" s="346">
        <f t="shared" ref="E50:K50" si="5">E38</f>
        <v>0.37072398146427238</v>
      </c>
      <c r="F50" s="346">
        <f t="shared" si="5"/>
        <v>16.869807489217411</v>
      </c>
      <c r="G50" s="346">
        <f t="shared" si="5"/>
        <v>9.3412772080545114E-3</v>
      </c>
      <c r="H50" s="346">
        <f t="shared" si="5"/>
        <v>3.130402009867703E-3</v>
      </c>
      <c r="I50" s="346">
        <f t="shared" si="5"/>
        <v>3.9221214862618711E-4</v>
      </c>
      <c r="J50" s="346">
        <f t="shared" si="5"/>
        <v>4.0982831764300849E-5</v>
      </c>
      <c r="K50" s="346">
        <f t="shared" si="5"/>
        <v>0</v>
      </c>
    </row>
    <row r="51" spans="1:11" s="475" customFormat="1" x14ac:dyDescent="0.35">
      <c r="B51" s="475" t="s">
        <v>1167</v>
      </c>
      <c r="C51" s="475" t="s">
        <v>1340</v>
      </c>
      <c r="D51" s="346" t="e">
        <f>(D39+D45)*(1-Erdgas!F16)</f>
        <v>#N/A</v>
      </c>
      <c r="E51" s="346" t="e">
        <f>(E39+E45)*(1-Erdgas!G16)</f>
        <v>#N/A</v>
      </c>
      <c r="F51" s="346" t="e">
        <f>(F39+F45)*(1-Erdgas!H16)</f>
        <v>#N/A</v>
      </c>
      <c r="G51" s="346" t="e">
        <f>(G39+G45)*(1-Erdgas!I16)</f>
        <v>#N/A</v>
      </c>
      <c r="H51" s="346" t="e">
        <f>(H39+H45)*(1-Erdgas!J16)</f>
        <v>#N/A</v>
      </c>
      <c r="I51" s="346" t="e">
        <f>(I39+I45)*(1-Erdgas!K16)</f>
        <v>#N/A</v>
      </c>
      <c r="J51" s="346" t="e">
        <f>(J39+J45)*(1-Erdgas!L16)</f>
        <v>#N/A</v>
      </c>
      <c r="K51" s="346" t="e">
        <f>(K39+K45)*(1-Erdgas!M16)</f>
        <v>#N/A</v>
      </c>
    </row>
    <row r="52" spans="1:11" s="475" customFormat="1" x14ac:dyDescent="0.35">
      <c r="B52" s="475" t="s">
        <v>1209</v>
      </c>
      <c r="C52" s="475" t="s">
        <v>1209</v>
      </c>
      <c r="D52" s="346" t="e">
        <f>D40+(D39+D45)*(Erdgas!F16)</f>
        <v>#N/A</v>
      </c>
      <c r="E52" s="346" t="e">
        <f>E40+(E39+E45)*(Erdgas!G16)</f>
        <v>#N/A</v>
      </c>
      <c r="F52" s="346" t="e">
        <f>F40+(F39+F45)*(Erdgas!H16)</f>
        <v>#N/A</v>
      </c>
      <c r="G52" s="346" t="e">
        <f>G40+(G39+G45)*(Erdgas!I16)</f>
        <v>#N/A</v>
      </c>
      <c r="H52" s="346" t="e">
        <f>H40+(H39+H45)*(Erdgas!J16)</f>
        <v>#N/A</v>
      </c>
      <c r="I52" s="346" t="e">
        <f>I40+(I39+I45)*(Erdgas!K16)</f>
        <v>#N/A</v>
      </c>
      <c r="J52" s="346" t="e">
        <f>J40+(J39+J45)*(Erdgas!L16)</f>
        <v>#N/A</v>
      </c>
      <c r="K52" s="346" t="e">
        <f>K40+(K39+K45)*(Erdgas!M16)</f>
        <v>#N/A</v>
      </c>
    </row>
    <row r="53" spans="1:11" s="475" customFormat="1" x14ac:dyDescent="0.35">
      <c r="B53" s="475" t="s">
        <v>3014</v>
      </c>
      <c r="C53" s="475" t="s">
        <v>3015</v>
      </c>
      <c r="D53" s="346">
        <f>D43</f>
        <v>0</v>
      </c>
      <c r="E53" s="346">
        <f t="shared" ref="E53:K53" si="6">E43</f>
        <v>0</v>
      </c>
      <c r="F53" s="346">
        <f t="shared" si="6"/>
        <v>0</v>
      </c>
      <c r="G53" s="346">
        <f t="shared" si="6"/>
        <v>0</v>
      </c>
      <c r="H53" s="346">
        <f t="shared" si="6"/>
        <v>0</v>
      </c>
      <c r="I53" s="346">
        <f t="shared" si="6"/>
        <v>0</v>
      </c>
      <c r="J53" s="346">
        <f t="shared" si="6"/>
        <v>0</v>
      </c>
      <c r="K53" s="346">
        <f t="shared" si="6"/>
        <v>0</v>
      </c>
    </row>
    <row r="54" spans="1:11" s="475" customFormat="1" x14ac:dyDescent="0.35">
      <c r="B54" s="475" t="s">
        <v>1162</v>
      </c>
      <c r="C54" s="475" t="s">
        <v>1816</v>
      </c>
      <c r="D54" s="346">
        <f>D44</f>
        <v>3995.8668414623198</v>
      </c>
      <c r="E54" s="346">
        <f t="shared" ref="E54:K54" si="7">E44</f>
        <v>0</v>
      </c>
      <c r="F54" s="346">
        <f t="shared" si="7"/>
        <v>3.322414673289396</v>
      </c>
      <c r="G54" s="346">
        <f t="shared" si="7"/>
        <v>118.58656860986881</v>
      </c>
      <c r="H54" s="346">
        <f t="shared" si="7"/>
        <v>1152.8536139575949</v>
      </c>
      <c r="I54" s="346">
        <f t="shared" si="7"/>
        <v>4088.2188069708509</v>
      </c>
      <c r="J54" s="346">
        <f t="shared" si="7"/>
        <v>5431.9029001919635</v>
      </c>
      <c r="K54" s="346">
        <f t="shared" si="7"/>
        <v>0</v>
      </c>
    </row>
    <row r="55" spans="1:11" s="475" customFormat="1" x14ac:dyDescent="0.35">
      <c r="B55" s="475" t="s">
        <v>1160</v>
      </c>
      <c r="C55" s="475" t="s">
        <v>1344</v>
      </c>
      <c r="D55" s="346">
        <f>D22</f>
        <v>16962.440116572521</v>
      </c>
      <c r="E55" s="346">
        <f t="shared" ref="E55:K55" si="8">E22</f>
        <v>8914.2583358706434</v>
      </c>
      <c r="F55" s="346">
        <f t="shared" si="8"/>
        <v>9201.1003304431615</v>
      </c>
      <c r="G55" s="346">
        <f t="shared" si="8"/>
        <v>5189.8356660075406</v>
      </c>
      <c r="H55" s="346">
        <f t="shared" si="8"/>
        <v>8269.3169607167292</v>
      </c>
      <c r="I55" s="346">
        <f t="shared" si="8"/>
        <v>9286.4567816581311</v>
      </c>
      <c r="J55" s="346">
        <f t="shared" si="8"/>
        <v>14343.316454349169</v>
      </c>
      <c r="K55" s="346">
        <f t="shared" si="8"/>
        <v>0</v>
      </c>
    </row>
    <row r="56" spans="1:11" s="475" customFormat="1" x14ac:dyDescent="0.35">
      <c r="B56" s="475" t="s">
        <v>3013</v>
      </c>
      <c r="D56" s="346">
        <f>D33</f>
        <v>5611.666866504861</v>
      </c>
      <c r="E56" s="346">
        <f t="shared" ref="E56:K56" si="9">E33</f>
        <v>6966.9450982945946</v>
      </c>
      <c r="F56" s="346">
        <f t="shared" si="9"/>
        <v>7681.248078055829</v>
      </c>
      <c r="G56" s="346">
        <f t="shared" si="9"/>
        <v>1609.6046241139411</v>
      </c>
      <c r="H56" s="346">
        <f t="shared" si="9"/>
        <v>8737.8983172903372</v>
      </c>
      <c r="I56" s="346">
        <f t="shared" si="9"/>
        <v>10085.008691862629</v>
      </c>
      <c r="J56" s="346">
        <f t="shared" si="9"/>
        <v>5780.6744494661634</v>
      </c>
      <c r="K56" s="346">
        <f t="shared" si="9"/>
        <v>0</v>
      </c>
    </row>
    <row r="57" spans="1:11" s="475" customFormat="1" x14ac:dyDescent="0.35">
      <c r="D57" s="168" t="e">
        <f>SUM(D48:D56)</f>
        <v>#N/A</v>
      </c>
      <c r="E57" s="168" t="e">
        <f t="shared" ref="E57:K57" si="10">SUM(E48:E56)</f>
        <v>#N/A</v>
      </c>
      <c r="F57" s="168" t="e">
        <f t="shared" si="10"/>
        <v>#N/A</v>
      </c>
      <c r="G57" s="168" t="e">
        <f t="shared" si="10"/>
        <v>#N/A</v>
      </c>
      <c r="H57" s="168" t="e">
        <f t="shared" si="10"/>
        <v>#N/A</v>
      </c>
      <c r="I57" s="168" t="e">
        <f t="shared" si="10"/>
        <v>#N/A</v>
      </c>
      <c r="J57" s="168" t="e">
        <f t="shared" si="10"/>
        <v>#N/A</v>
      </c>
      <c r="K57" s="168" t="e">
        <f t="shared" si="10"/>
        <v>#N/A</v>
      </c>
    </row>
    <row r="58" spans="1:11" s="475" customFormat="1" x14ac:dyDescent="0.35">
      <c r="A58" s="475" t="s">
        <v>3025</v>
      </c>
      <c r="D58" s="346">
        <f>(D41/SUM(D41:D42))*D43</f>
        <v>0</v>
      </c>
      <c r="E58" s="346">
        <f t="shared" ref="E58:K58" si="11">(E41/SUM(E41:E42))*E43</f>
        <v>0</v>
      </c>
      <c r="F58" s="346">
        <f t="shared" si="11"/>
        <v>0</v>
      </c>
      <c r="G58" s="346">
        <f t="shared" si="11"/>
        <v>0</v>
      </c>
      <c r="H58" s="346">
        <f t="shared" si="11"/>
        <v>0</v>
      </c>
      <c r="I58" s="346">
        <f t="shared" si="11"/>
        <v>0</v>
      </c>
      <c r="J58" s="346">
        <f t="shared" si="11"/>
        <v>0</v>
      </c>
      <c r="K58" s="346" t="e">
        <f t="shared" si="11"/>
        <v>#DIV/0!</v>
      </c>
    </row>
    <row r="59" spans="1:11" s="475" customFormat="1" x14ac:dyDescent="0.35">
      <c r="A59" s="476" t="s">
        <v>3026</v>
      </c>
      <c r="D59" s="346">
        <f>(D42/SUM(D41:D42))*D43</f>
        <v>0</v>
      </c>
      <c r="E59" s="346">
        <f t="shared" ref="E59:K59" si="12">(E42/SUM(E41:E42))*E43</f>
        <v>0</v>
      </c>
      <c r="F59" s="346">
        <f t="shared" si="12"/>
        <v>0</v>
      </c>
      <c r="G59" s="346">
        <f t="shared" si="12"/>
        <v>0</v>
      </c>
      <c r="H59" s="346">
        <f t="shared" si="12"/>
        <v>0</v>
      </c>
      <c r="I59" s="346">
        <f t="shared" si="12"/>
        <v>0</v>
      </c>
      <c r="J59" s="346">
        <f t="shared" si="12"/>
        <v>0</v>
      </c>
      <c r="K59" s="346" t="e">
        <f t="shared" si="12"/>
        <v>#DIV/0!</v>
      </c>
    </row>
    <row r="60" spans="1:11" s="475" customFormat="1" x14ac:dyDescent="0.35">
      <c r="D60" s="346"/>
    </row>
    <row r="61" spans="1:11" s="475" customFormat="1" x14ac:dyDescent="0.35">
      <c r="D61" s="346"/>
    </row>
    <row r="62" spans="1:11" s="475" customFormat="1" x14ac:dyDescent="0.35">
      <c r="D62" s="346"/>
    </row>
    <row r="63" spans="1:11" s="475" customFormat="1" x14ac:dyDescent="0.35">
      <c r="D63" s="346"/>
    </row>
    <row r="64" spans="1:11" s="475" customFormat="1" x14ac:dyDescent="0.35">
      <c r="D64" s="346"/>
    </row>
    <row r="66" spans="1:11" x14ac:dyDescent="0.35">
      <c r="A66" t="s">
        <v>2897</v>
      </c>
      <c r="B66" s="315"/>
      <c r="D66" s="346">
        <f>IFERROR(VLOOKUP($A66,flows!$A$2:$J$4985,D$1,FALSE),0)</f>
        <v>3907.7415065057671</v>
      </c>
      <c r="E66" s="346">
        <f>IFERROR(VLOOKUP($A66,flows!$A$2:$J$4985,E$1,FALSE),0)</f>
        <v>3545.5032148187652</v>
      </c>
      <c r="F66" s="346">
        <f>IFERROR(VLOOKUP($A66,flows!$A$2:$J$4985,F$1,FALSE),0)</f>
        <v>3620.7076321276199</v>
      </c>
      <c r="G66" s="346">
        <f>IFERROR(VLOOKUP($A66,flows!$A$2:$J$4985,G$1,FALSE),0)</f>
        <v>3695.89406123252</v>
      </c>
      <c r="H66" s="346">
        <f>IFERROR(VLOOKUP($A66,flows!$A$2:$J$4985,H$1,FALSE),0)</f>
        <v>3757.3900307156041</v>
      </c>
      <c r="I66" s="346">
        <f>IFERROR(VLOOKUP($A66,flows!$A$2:$J$4985,I$1,FALSE),0)</f>
        <v>3818.8860000358231</v>
      </c>
      <c r="J66" s="346">
        <f>IFERROR(VLOOKUP($A66,flows!$A$2:$J$4985,J$1,FALSE),0)</f>
        <v>3907.7414950372481</v>
      </c>
      <c r="K66" s="346">
        <f>IFERROR(VLOOKUP($A66,flows!$A$2:$J$4985,K$1,FALSE),0)</f>
        <v>0</v>
      </c>
    </row>
    <row r="67" spans="1:11" x14ac:dyDescent="0.35">
      <c r="A67" s="469" t="s">
        <v>2898</v>
      </c>
      <c r="B67" s="315"/>
      <c r="D67" s="346">
        <f>IFERROR(VLOOKUP($A67,flows!$A$2:$J$4985,D$1,FALSE),0)</f>
        <v>1913.222453661522</v>
      </c>
      <c r="E67" s="346">
        <f>IFERROR(VLOOKUP($A67,flows!$A$2:$J$4985,E$1,FALSE),0)</f>
        <v>1729.821909644226</v>
      </c>
      <c r="F67" s="346">
        <f>IFERROR(VLOOKUP($A67,flows!$A$2:$J$4985,F$1,FALSE),0)</f>
        <v>1766.502248056194</v>
      </c>
      <c r="G67" s="346">
        <f>IFERROR(VLOOKUP($A67,flows!$A$2:$J$4985,G$1,FALSE),0)</f>
        <v>1803.1821203892409</v>
      </c>
      <c r="H67" s="346">
        <f>IFERROR(VLOOKUP($A67,flows!$A$2:$J$4985,H$1,FALSE),0)</f>
        <v>1839.862230226267</v>
      </c>
      <c r="I67" s="346">
        <f>IFERROR(VLOOKUP($A67,flows!$A$2:$J$4985,I$1,FALSE),0)</f>
        <v>1876.542340011388</v>
      </c>
      <c r="J67" s="346">
        <f>IFERROR(VLOOKUP($A67,flows!$A$2:$J$4985,J$1,FALSE),0)</f>
        <v>1913.2224500116331</v>
      </c>
      <c r="K67" s="346">
        <f>IFERROR(VLOOKUP($A67,flows!$A$2:$J$4985,K$1,FALSE),0)</f>
        <v>0</v>
      </c>
    </row>
    <row r="68" spans="1:11" x14ac:dyDescent="0.35">
      <c r="A68" s="469" t="s">
        <v>2899</v>
      </c>
      <c r="B68" s="315"/>
      <c r="D68" s="346">
        <f>IFERROR(VLOOKUP($A68,flows!$A$2:$J$4985,D$1,FALSE),0)</f>
        <v>1617.1586642568291</v>
      </c>
      <c r="E68" s="346">
        <f>IFERROR(VLOOKUP($A68,flows!$A$2:$J$4985,E$1,FALSE),0)</f>
        <v>1461.873354537697</v>
      </c>
      <c r="F68" s="346">
        <f>IFERROR(VLOOKUP($A68,flows!$A$2:$J$4985,F$1,FALSE),0)</f>
        <v>1493.0434281988239</v>
      </c>
      <c r="G68" s="346">
        <f>IFERROR(VLOOKUP($A68,flows!$A$2:$J$4985,G$1,FALSE),0)</f>
        <v>1524.058922600394</v>
      </c>
      <c r="H68" s="346">
        <f>IFERROR(VLOOKUP($A68,flows!$A$2:$J$4985,H$1,FALSE),0)</f>
        <v>1555.173061502813</v>
      </c>
      <c r="I68" s="346">
        <f>IFERROR(VLOOKUP($A68,flows!$A$2:$J$4985,I$1,FALSE),0)</f>
        <v>1586.2872000758359</v>
      </c>
      <c r="J68" s="346">
        <f>IFERROR(VLOOKUP($A68,flows!$A$2:$J$4985,J$1,FALSE),0)</f>
        <v>1617.158640077814</v>
      </c>
      <c r="K68" s="346">
        <f>IFERROR(VLOOKUP($A68,flows!$A$2:$J$4985,K$1,FALSE),0)</f>
        <v>0</v>
      </c>
    </row>
    <row r="69" spans="1:11" x14ac:dyDescent="0.35">
      <c r="A69" s="469" t="s">
        <v>2900</v>
      </c>
      <c r="B69" s="315"/>
      <c r="D69" s="346">
        <f>IFERROR(VLOOKUP($A69,flows!$A$2:$J$4985,D$1,FALSE),0)</f>
        <v>355.27389581853578</v>
      </c>
      <c r="E69" s="346">
        <f>IFERROR(VLOOKUP($A69,flows!$A$2:$J$4985,E$1,FALSE),0)</f>
        <v>321.18890384371792</v>
      </c>
      <c r="F69" s="346">
        <f>IFERROR(VLOOKUP($A69,flows!$A$2:$J$4985,F$1,FALSE),0)</f>
        <v>328.04040443686841</v>
      </c>
      <c r="G69" s="346">
        <f>IFERROR(VLOOKUP($A69,flows!$A$2:$J$4985,G$1,FALSE),0)</f>
        <v>334.85426062038442</v>
      </c>
      <c r="H69" s="346">
        <f>IFERROR(VLOOKUP($A69,flows!$A$2:$J$4985,H$1,FALSE),0)</f>
        <v>341.65696036008268</v>
      </c>
      <c r="I69" s="346">
        <f>IFERROR(VLOOKUP($A69,flows!$A$2:$J$4985,I$1,FALSE),0)</f>
        <v>348.45966001801742</v>
      </c>
      <c r="J69" s="346">
        <f>IFERROR(VLOOKUP($A69,flows!$A$2:$J$4985,J$1,FALSE),0)</f>
        <v>355.2738900185052</v>
      </c>
      <c r="K69" s="346">
        <f>IFERROR(VLOOKUP($A69,flows!$A$2:$J$4985,K$1,FALSE),0)</f>
        <v>0</v>
      </c>
    </row>
    <row r="70" spans="1:11" x14ac:dyDescent="0.35">
      <c r="D70" s="346"/>
      <c r="E70" s="346"/>
      <c r="F70" s="346"/>
      <c r="G70" s="346"/>
      <c r="H70" s="346"/>
      <c r="I70" s="346"/>
      <c r="J70" s="346"/>
      <c r="K70" s="346"/>
    </row>
    <row r="71" spans="1:11" x14ac:dyDescent="0.35">
      <c r="A71" t="s">
        <v>2965</v>
      </c>
      <c r="D71" s="346">
        <f>IFERROR(VLOOKUP($A71,flows!$A$2:$J$4985,D$1,FALSE),0)</f>
        <v>8693.6367605971282</v>
      </c>
      <c r="E71" s="346">
        <f>IFERROR(VLOOKUP($A71,flows!$A$2:$J$4985,E$1,FALSE),0)</f>
        <v>7887.7574250619691</v>
      </c>
      <c r="F71" s="346">
        <f>IFERROR(VLOOKUP($A71,flows!$A$2:$J$4985,F$1,FALSE),0)</f>
        <v>8055.0663132745294</v>
      </c>
      <c r="G71" s="346">
        <f>IFERROR(VLOOKUP($A71,flows!$A$2:$J$4985,G$1,FALSE),0)</f>
        <v>8222.335182742012</v>
      </c>
      <c r="H71" s="346">
        <f>IFERROR(VLOOKUP($A71,flows!$A$2:$J$4985,H$1,FALSE),0)</f>
        <v>8359.1465915920198</v>
      </c>
      <c r="I71" s="346">
        <f>IFERROR(VLOOKUP($A71,flows!$A$2:$J$4985,I$1,FALSE),0)</f>
        <v>8495.9580000796959</v>
      </c>
      <c r="J71" s="346">
        <f>IFERROR(VLOOKUP($A71,flows!$A$2:$J$4985,J$1,FALSE),0)</f>
        <v>8693.6367350828659</v>
      </c>
      <c r="K71" s="346">
        <f>IFERROR(VLOOKUP($A71,flows!$A$2:$J$4985,K$1,FALSE),0)</f>
        <v>0</v>
      </c>
    </row>
    <row r="72" spans="1:11" x14ac:dyDescent="0.35">
      <c r="A72" s="469" t="s">
        <v>2966</v>
      </c>
      <c r="D72" s="346">
        <f>IFERROR(VLOOKUP($A72,flows!$A$2:$J$4985,D$1,FALSE),0)</f>
        <v>13544.125875920719</v>
      </c>
      <c r="E72" s="346">
        <f>IFERROR(VLOOKUP($A72,flows!$A$2:$J$4985,E$1,FALSE),0)</f>
        <v>12245.792768273621</v>
      </c>
      <c r="F72" s="346">
        <f>IFERROR(VLOOKUP($A72,flows!$A$2:$J$4985,F$1,FALSE),0)</f>
        <v>12505.46101525256</v>
      </c>
      <c r="G72" s="346">
        <f>IFERROR(VLOOKUP($A72,flows!$A$2:$J$4985,G$1,FALSE),0)</f>
        <v>12765.125962755519</v>
      </c>
      <c r="H72" s="346">
        <f>IFERROR(VLOOKUP($A72,flows!$A$2:$J$4985,H$1,FALSE),0)</f>
        <v>13024.792591601799</v>
      </c>
      <c r="I72" s="346">
        <f>IFERROR(VLOOKUP($A72,flows!$A$2:$J$4985,I$1,FALSE),0)</f>
        <v>13284.459220080609</v>
      </c>
      <c r="J72" s="346">
        <f>IFERROR(VLOOKUP($A72,flows!$A$2:$J$4985,J$1,FALSE),0)</f>
        <v>13544.12585008235</v>
      </c>
      <c r="K72" s="346">
        <f>IFERROR(VLOOKUP($A72,flows!$A$2:$J$4985,K$1,FALSE),0)</f>
        <v>0</v>
      </c>
    </row>
    <row r="73" spans="1:11" x14ac:dyDescent="0.35">
      <c r="A73" s="469" t="s">
        <v>2967</v>
      </c>
      <c r="D73" s="346">
        <f>IFERROR(VLOOKUP($A73,flows!$A$2:$J$4985,D$1,FALSE),0)</f>
        <v>1696.950485453679</v>
      </c>
      <c r="E73" s="346">
        <f>IFERROR(VLOOKUP($A73,flows!$A$2:$J$4985,E$1,FALSE),0)</f>
        <v>1534.0032821050179</v>
      </c>
      <c r="F73" s="346">
        <f>IFERROR(VLOOKUP($A73,flows!$A$2:$J$4985,F$1,FALSE),0)</f>
        <v>1566.7113105749299</v>
      </c>
      <c r="G73" s="346">
        <f>IFERROR(VLOOKUP($A73,flows!$A$2:$J$4985,G$1,FALSE),0)</f>
        <v>1599.2571327286989</v>
      </c>
      <c r="H73" s="346">
        <f>IFERROR(VLOOKUP($A73,flows!$A$2:$J$4985,H$1,FALSE),0)</f>
        <v>1631.9064665769631</v>
      </c>
      <c r="I73" s="346">
        <f>IFERROR(VLOOKUP($A73,flows!$A$2:$J$4985,I$1,FALSE),0)</f>
        <v>1664.555800079577</v>
      </c>
      <c r="J73" s="346">
        <f>IFERROR(VLOOKUP($A73,flows!$A$2:$J$4985,J$1,FALSE),0)</f>
        <v>1696.9504600816531</v>
      </c>
      <c r="K73" s="346">
        <f>IFERROR(VLOOKUP($A73,flows!$A$2:$J$4985,K$1,FALSE),0)</f>
        <v>0</v>
      </c>
    </row>
    <row r="74" spans="1:11" x14ac:dyDescent="0.35">
      <c r="A74" s="469" t="s">
        <v>2968</v>
      </c>
      <c r="D74" s="346">
        <f>IFERROR(VLOOKUP($A74,flows!$A$2:$J$4985,D$1,FALSE),0)</f>
        <v>1569.4601807040001</v>
      </c>
      <c r="E74" s="346">
        <f>IFERROR(VLOOKUP($A74,flows!$A$2:$J$4985,E$1,FALSE),0)</f>
        <v>1418.886107309607</v>
      </c>
      <c r="F74" s="346">
        <f>IFERROR(VLOOKUP($A74,flows!$A$2:$J$4985,F$1,FALSE),0)</f>
        <v>1449.1533391146479</v>
      </c>
      <c r="G74" s="346">
        <f>IFERROR(VLOOKUP($A74,flows!$A$2:$J$4985,G$1,FALSE),0)</f>
        <v>1479.2542727406139</v>
      </c>
      <c r="H74" s="346">
        <f>IFERROR(VLOOKUP($A74,flows!$A$2:$J$4985,H$1,FALSE),0)</f>
        <v>1509.305921590704</v>
      </c>
      <c r="I74" s="346">
        <f>IFERROR(VLOOKUP($A74,flows!$A$2:$J$4985,I$1,FALSE),0)</f>
        <v>1539.357570079593</v>
      </c>
      <c r="J74" s="346">
        <f>IFERROR(VLOOKUP($A74,flows!$A$2:$J$4985,J$1,FALSE),0)</f>
        <v>1569.460155081749</v>
      </c>
      <c r="K74" s="346">
        <f>IFERROR(VLOOKUP($A74,flows!$A$2:$J$4985,K$1,FALSE),0)</f>
        <v>0</v>
      </c>
    </row>
    <row r="76" spans="1:11" x14ac:dyDescent="0.35">
      <c r="A76" t="s">
        <v>2893</v>
      </c>
      <c r="D76" s="346">
        <f>IFERROR(VLOOKUP($A76,flows!$A$2:$J$4985,D$1,FALSE),0)</f>
        <v>8534.0500251272497</v>
      </c>
      <c r="E76" s="346">
        <f>IFERROR(VLOOKUP($A76,flows!$A$2:$J$4985,E$1,FALSE),0)</f>
        <v>7742.9639982938761</v>
      </c>
      <c r="F76" s="346">
        <f>IFERROR(VLOOKUP($A76,flows!$A$2:$J$4985,F$1,FALSE),0)</f>
        <v>7907.2016425586826</v>
      </c>
      <c r="G76" s="346">
        <f>IFERROR(VLOOKUP($A76,flows!$A$2:$J$4985,G$1,FALSE),0)</f>
        <v>8071.4000026916801</v>
      </c>
      <c r="H76" s="346">
        <f>IFERROR(VLOOKUP($A76,flows!$A$2:$J$4985,H$1,FALSE),0)</f>
        <v>8205.7000015627964</v>
      </c>
      <c r="I76" s="346">
        <f>IFERROR(VLOOKUP($A76,flows!$A$2:$J$4985,I$1,FALSE),0)</f>
        <v>8340.0000000782347</v>
      </c>
      <c r="J76" s="346">
        <f>IFERROR(VLOOKUP($A76,flows!$A$2:$J$4985,J$1,FALSE),0)</f>
        <v>8534.0500000813463</v>
      </c>
      <c r="K76" s="346">
        <f>IFERROR(VLOOKUP($A76,flows!$A$2:$J$4985,K$1,FALSE),0)</f>
        <v>0</v>
      </c>
    </row>
    <row r="77" spans="1:11" x14ac:dyDescent="0.35">
      <c r="A77" s="469" t="s">
        <v>2906</v>
      </c>
      <c r="D77" s="346">
        <f>IFERROR(VLOOKUP($A77,flows!$A$2:$J$4985,D$1,FALSE),0)</f>
        <v>1665.8000249864331</v>
      </c>
      <c r="E77" s="346">
        <f>IFERROR(VLOOKUP($A77,flows!$A$2:$J$4985,E$1,FALSE),0)</f>
        <v>1505.843999317776</v>
      </c>
      <c r="F77" s="346">
        <f>IFERROR(VLOOKUP($A77,flows!$A$2:$J$4985,F$1,FALSE),0)</f>
        <v>1537.951615367557</v>
      </c>
      <c r="G77" s="346">
        <f>IFERROR(VLOOKUP($A77,flows!$A$2:$J$4985,G$1,FALSE),0)</f>
        <v>1569.90000267861</v>
      </c>
      <c r="H77" s="346">
        <f>IFERROR(VLOOKUP($A77,flows!$A$2:$J$4985,H$1,FALSE),0)</f>
        <v>1601.9500015480151</v>
      </c>
      <c r="I77" s="346">
        <f>IFERROR(VLOOKUP($A77,flows!$A$2:$J$4985,I$1,FALSE),0)</f>
        <v>1634.000000078116</v>
      </c>
      <c r="J77" s="346">
        <f>IFERROR(VLOOKUP($A77,flows!$A$2:$J$4985,J$1,FALSE),0)</f>
        <v>1665.8000000801539</v>
      </c>
      <c r="K77" s="346">
        <f>IFERROR(VLOOKUP($A77,flows!$A$2:$J$4985,K$1,FALSE),0)</f>
        <v>0</v>
      </c>
    </row>
    <row r="78" spans="1:11" x14ac:dyDescent="0.35">
      <c r="A78" s="469" t="s">
        <v>2908</v>
      </c>
      <c r="D78" s="346">
        <f>IFERROR(VLOOKUP($A78,flows!$A$2:$J$4985,D$1,FALSE),0)</f>
        <v>1540.6500252321589</v>
      </c>
      <c r="E78" s="346">
        <f>IFERROR(VLOOKUP($A78,flows!$A$2:$J$4985,E$1,FALSE),0)</f>
        <v>1392.8399993222799</v>
      </c>
      <c r="F78" s="346">
        <f>IFERROR(VLOOKUP($A78,flows!$A$2:$J$4985,F$1,FALSE),0)</f>
        <v>1422.551623750513</v>
      </c>
      <c r="G78" s="346">
        <f>IFERROR(VLOOKUP($A78,flows!$A$2:$J$4985,G$1,FALSE),0)</f>
        <v>1452.100002690305</v>
      </c>
      <c r="H78" s="346">
        <f>IFERROR(VLOOKUP($A78,flows!$A$2:$J$4985,H$1,FALSE),0)</f>
        <v>1481.6000015615029</v>
      </c>
      <c r="I78" s="346">
        <f>IFERROR(VLOOKUP($A78,flows!$A$2:$J$4985,I$1,FALSE),0)</f>
        <v>1511.1000000781321</v>
      </c>
      <c r="J78" s="346">
        <f>IFERROR(VLOOKUP($A78,flows!$A$2:$J$4985,J$1,FALSE),0)</f>
        <v>1540.650000080248</v>
      </c>
      <c r="K78" s="346">
        <f>IFERROR(VLOOKUP($A78,flows!$A$2:$J$4985,K$1,FALSE),0)</f>
        <v>0</v>
      </c>
    </row>
    <row r="79" spans="1:11" x14ac:dyDescent="0.35">
      <c r="A79" s="469" t="s">
        <v>2896</v>
      </c>
      <c r="D79" s="346">
        <f>IFERROR(VLOOKUP($A79,flows!$A$2:$J$4985,D$1,FALSE),0)</f>
        <v>13295.500025444901</v>
      </c>
      <c r="E79" s="346">
        <f>IFERROR(VLOOKUP($A79,flows!$A$2:$J$4985,E$1,FALSE),0)</f>
        <v>12021.000067020341</v>
      </c>
      <c r="F79" s="346">
        <f>IFERROR(VLOOKUP($A79,flows!$A$2:$J$4985,F$1,FALSE),0)</f>
        <v>12275.90165431684</v>
      </c>
      <c r="G79" s="346">
        <f>IFERROR(VLOOKUP($A79,flows!$A$2:$J$4985,G$1,FALSE),0)</f>
        <v>12530.80000270494</v>
      </c>
      <c r="H79" s="346">
        <f>IFERROR(VLOOKUP($A79,flows!$A$2:$J$4985,H$1,FALSE),0)</f>
        <v>12785.70000157239</v>
      </c>
      <c r="I79" s="346">
        <f>IFERROR(VLOOKUP($A79,flows!$A$2:$J$4985,I$1,FALSE),0)</f>
        <v>13040.600000079139</v>
      </c>
      <c r="J79" s="346">
        <f>IFERROR(VLOOKUP($A79,flows!$A$2:$J$4985,J$1,FALSE),0)</f>
        <v>13295.50000008084</v>
      </c>
      <c r="K79" s="346">
        <f>IFERROR(VLOOKUP($A79,flows!$A$2:$J$4985,K$1,FALSE),0)</f>
        <v>0</v>
      </c>
    </row>
    <row r="81" spans="1:11" s="469" customFormat="1" x14ac:dyDescent="0.35">
      <c r="A81" s="469" t="s">
        <v>2901</v>
      </c>
      <c r="D81" s="346">
        <f>IFERROR(VLOOKUP($A81,flows!$A$2:$J$4985,D$1,FALSE),0)</f>
        <v>4083.0986702429732</v>
      </c>
      <c r="E81" s="346">
        <f>IFERROR(VLOOKUP($A81,flows!$A$2:$J$4985,E$1,FALSE),0)</f>
        <v>3793.9559988592391</v>
      </c>
      <c r="F81" s="346">
        <f>IFERROR(VLOOKUP($A81,flows!$A$2:$J$4985,F$1,FALSE),0)</f>
        <v>3456.839259613826</v>
      </c>
      <c r="G81" s="346">
        <f>IFERROR(VLOOKUP($A81,flows!$A$2:$J$4985,G$1,FALSE),0)</f>
        <v>3620.445155601999</v>
      </c>
      <c r="H81" s="346">
        <f>IFERROR(VLOOKUP($A81,flows!$A$2:$J$4985,H$1,FALSE),0)</f>
        <v>3754.7445758209328</v>
      </c>
      <c r="I81" s="346">
        <f>IFERROR(VLOOKUP($A81,flows!$A$2:$J$4985,I$1,FALSE),0)</f>
        <v>3889.0440443676571</v>
      </c>
      <c r="J81" s="346">
        <f>IFERROR(VLOOKUP($A81,flows!$A$2:$J$4985,J$1,FALSE),0)</f>
        <v>4083.0940134015241</v>
      </c>
      <c r="K81" s="346">
        <f>IFERROR(VLOOKUP($A81,flows!$A$2:$J$4985,K$1,FALSE),0)</f>
        <v>0</v>
      </c>
    </row>
    <row r="82" spans="1:11" s="469" customFormat="1" x14ac:dyDescent="0.35">
      <c r="A82" s="469" t="s">
        <v>2929</v>
      </c>
      <c r="D82" s="346">
        <f>IFERROR(VLOOKUP($A82,flows!$A$2:$J$4985,D$1,FALSE),0)</f>
        <v>4450.9513802426618</v>
      </c>
      <c r="E82" s="346">
        <f>IFERROR(VLOOKUP($A82,flows!$A$2:$J$4985,E$1,FALSE),0)</f>
        <v>3949.0079988604871</v>
      </c>
      <c r="F82" s="346">
        <f>IFERROR(VLOOKUP($A82,flows!$A$2:$J$4985,F$1,FALSE),0)</f>
        <v>4450.3640425444</v>
      </c>
      <c r="G82" s="346">
        <f>IFERROR(VLOOKUP($A82,flows!$A$2:$J$4985,G$1,FALSE),0)</f>
        <v>4450.9548497889746</v>
      </c>
      <c r="H82" s="346">
        <f>IFERROR(VLOOKUP($A82,flows!$A$2:$J$4985,H$1,FALSE),0)</f>
        <v>4450.9554273116746</v>
      </c>
      <c r="I82" s="346">
        <f>IFERROR(VLOOKUP($A82,flows!$A$2:$J$4985,I$1,FALSE),0)</f>
        <v>4450.9559557889079</v>
      </c>
      <c r="J82" s="346">
        <f>IFERROR(VLOOKUP($A82,flows!$A$2:$J$4985,J$1,FALSE),0)</f>
        <v>4450.9559867587104</v>
      </c>
      <c r="K82" s="346">
        <f>IFERROR(VLOOKUP($A82,flows!$A$2:$J$4985,K$1,FALSE),0)</f>
        <v>0</v>
      </c>
    </row>
    <row r="83" spans="1:11" s="469" customFormat="1" x14ac:dyDescent="0.35">
      <c r="C83" s="469" t="s">
        <v>2932</v>
      </c>
      <c r="D83" s="469">
        <f>D82/SUM(D81:D82)</f>
        <v>0.52155205956278372</v>
      </c>
      <c r="E83" s="469">
        <f>E82/SUM(E81:E82)</f>
        <v>0.51001244484973141</v>
      </c>
      <c r="F83" s="469">
        <f t="shared" ref="F83:K83" si="13">F82/SUM(F81:F82)</f>
        <v>0.5628240317698292</v>
      </c>
      <c r="G83" s="469">
        <f t="shared" si="13"/>
        <v>0.55144768526106192</v>
      </c>
      <c r="H83" s="469">
        <f t="shared" si="13"/>
        <v>0.54242239243604784</v>
      </c>
      <c r="I83" s="469">
        <f t="shared" si="13"/>
        <v>0.53368776447306376</v>
      </c>
      <c r="J83" s="469">
        <f t="shared" si="13"/>
        <v>0.52155260241914914</v>
      </c>
      <c r="K83" s="469" t="e">
        <f t="shared" si="13"/>
        <v>#DIV/0!</v>
      </c>
    </row>
    <row r="84" spans="1:11" s="469" customFormat="1" x14ac:dyDescent="0.35"/>
    <row r="85" spans="1:11" s="469" customFormat="1" x14ac:dyDescent="0.35">
      <c r="A85" s="469" t="s">
        <v>2903</v>
      </c>
      <c r="D85" s="346">
        <f>IFERROR(VLOOKUP($A85,flows!$A$2:$J$4985,D$1,FALSE),0)</f>
        <v>816.96082486463808</v>
      </c>
      <c r="E85" s="346">
        <f>IFERROR(VLOOKUP($A85,flows!$A$2:$J$4985,E$1,FALSE),0)</f>
        <v>752.70962910749881</v>
      </c>
      <c r="F85" s="346">
        <f>IFERROR(VLOOKUP($A85,flows!$A$2:$J$4985,F$1,FALSE),0)</f>
        <v>689.71420296481597</v>
      </c>
      <c r="G85" s="346">
        <f>IFERROR(VLOOKUP($A85,flows!$A$2:$J$4985,G$1,FALSE),0)</f>
        <v>721.05720916504163</v>
      </c>
      <c r="H85" s="346">
        <f>IFERROR(VLOOKUP($A85,flows!$A$2:$J$4985,H$1,FALSE),0)</f>
        <v>753.10659955371716</v>
      </c>
      <c r="I85" s="346">
        <f>IFERROR(VLOOKUP($A85,flows!$A$2:$J$4985,I$1,FALSE),0)</f>
        <v>785.15604596829507</v>
      </c>
      <c r="J85" s="346">
        <f>IFERROR(VLOOKUP($A85,flows!$A$2:$J$4985,J$1,FALSE),0)</f>
        <v>816.95601377381763</v>
      </c>
      <c r="K85" s="346">
        <f>IFERROR(VLOOKUP($A85,flows!$A$2:$J$4985,K$1,FALSE),0)</f>
        <v>0</v>
      </c>
    </row>
    <row r="86" spans="1:11" x14ac:dyDescent="0.35">
      <c r="A86" t="s">
        <v>2928</v>
      </c>
      <c r="D86" s="346">
        <f>IFERROR(VLOOKUP($A86,flows!$A$2:$J$4985,D$1,FALSE),0)</f>
        <v>848.83922539670061</v>
      </c>
      <c r="E86" s="346">
        <f>IFERROR(VLOOKUP($A86,flows!$A$2:$J$4985,E$1,FALSE),0)</f>
        <v>753.13443724010199</v>
      </c>
      <c r="F86" s="346">
        <f>IFERROR(VLOOKUP($A86,flows!$A$2:$J$4985,F$1,FALSE),0)</f>
        <v>848.23907550800652</v>
      </c>
      <c r="G86" s="346">
        <f>IFERROR(VLOOKUP($A86,flows!$A$2:$J$4985,G$1,FALSE),0)</f>
        <v>848.84279622053668</v>
      </c>
      <c r="H86" s="346">
        <f>IFERROR(VLOOKUP($A86,flows!$A$2:$J$4985,H$1,FALSE),0)</f>
        <v>848.84340357527219</v>
      </c>
      <c r="I86" s="346">
        <f>IFERROR(VLOOKUP($A86,flows!$A$2:$J$4985,I$1,FALSE),0)</f>
        <v>848.8439541881927</v>
      </c>
      <c r="J86" s="346">
        <f>IFERROR(VLOOKUP($A86,flows!$A$2:$J$4985,J$1,FALSE),0)</f>
        <v>848.84398638669711</v>
      </c>
      <c r="K86" s="346">
        <f>IFERROR(VLOOKUP($A86,flows!$A$2:$J$4985,K$1,FALSE),0)</f>
        <v>0</v>
      </c>
    </row>
    <row r="87" spans="1:11" x14ac:dyDescent="0.35">
      <c r="C87" s="469" t="s">
        <v>2932</v>
      </c>
      <c r="D87" s="469">
        <f>D86/SUM(D85:D86)</f>
        <v>0.50956849548871774</v>
      </c>
      <c r="E87" s="469">
        <f t="shared" ref="E87:K87" si="14">E86/SUM(E85:E86)</f>
        <v>0.50014105316151147</v>
      </c>
      <c r="F87" s="469">
        <f t="shared" si="14"/>
        <v>0.55153761000483859</v>
      </c>
      <c r="G87" s="469">
        <f t="shared" si="14"/>
        <v>0.54069863896334913</v>
      </c>
      <c r="H87" s="469">
        <f t="shared" si="14"/>
        <v>0.52988133332331167</v>
      </c>
      <c r="I87" s="469">
        <f t="shared" si="14"/>
        <v>0.51948834400667021</v>
      </c>
      <c r="J87" s="469">
        <f t="shared" si="14"/>
        <v>0.5095713688947674</v>
      </c>
      <c r="K87" s="469" t="e">
        <f t="shared" si="14"/>
        <v>#DIV/0!</v>
      </c>
    </row>
    <row r="89" spans="1:11" x14ac:dyDescent="0.35">
      <c r="A89" s="469" t="s">
        <v>2904</v>
      </c>
      <c r="B89" s="469"/>
      <c r="C89" s="469"/>
      <c r="D89" s="346">
        <f>IFERROR(VLOOKUP($A89,flows!$A$2:$J$4985,D$1,FALSE),0)</f>
        <v>833.72291354836341</v>
      </c>
      <c r="E89" s="346">
        <f>IFERROR(VLOOKUP($A89,flows!$A$2:$J$4985,E$1,FALSE),0)</f>
        <v>765.93802105892939</v>
      </c>
      <c r="F89" s="346">
        <f>IFERROR(VLOOKUP($A89,flows!$A$2:$J$4985,F$1,FALSE),0)</f>
        <v>716.23620824918919</v>
      </c>
      <c r="G89" s="346">
        <f>IFERROR(VLOOKUP($A89,flows!$A$2:$J$4985,G$1,FALSE),0)</f>
        <v>745.16923967610603</v>
      </c>
      <c r="H89" s="346">
        <f>IFERROR(VLOOKUP($A89,flows!$A$2:$J$4985,H$1,FALSE),0)</f>
        <v>774.66861323254761</v>
      </c>
      <c r="I89" s="346">
        <f>IFERROR(VLOOKUP($A89,flows!$A$2:$J$4985,I$1,FALSE),0)</f>
        <v>804.1680468626414</v>
      </c>
      <c r="J89" s="346">
        <f>IFERROR(VLOOKUP($A89,flows!$A$2:$J$4985,J$1,FALSE),0)</f>
        <v>833.71801398017362</v>
      </c>
      <c r="K89" s="346">
        <f>IFERROR(VLOOKUP($A89,flows!$A$2:$J$4985,K$1,FALSE),0)</f>
        <v>0</v>
      </c>
    </row>
    <row r="90" spans="1:11" x14ac:dyDescent="0.35">
      <c r="A90" s="469" t="s">
        <v>2930</v>
      </c>
      <c r="B90" s="469"/>
      <c r="C90" s="469"/>
      <c r="D90" s="346">
        <f>IFERROR(VLOOKUP($A90,flows!$A$2:$J$4985,D$1,FALSE),0)</f>
        <v>706.92713675028654</v>
      </c>
      <c r="E90" s="346">
        <f>IFERROR(VLOOKUP($A90,flows!$A$2:$J$4985,E$1,FALSE),0)</f>
        <v>626.90204528606</v>
      </c>
      <c r="F90" s="346">
        <f>IFERROR(VLOOKUP($A90,flows!$A$2:$J$4985,F$1,FALSE),0)</f>
        <v>706.31705762316335</v>
      </c>
      <c r="G90" s="346">
        <f>IFERROR(VLOOKUP($A90,flows!$A$2:$J$4985,G$1,FALSE),0)</f>
        <v>706.93076570423909</v>
      </c>
      <c r="H90" s="346">
        <f>IFERROR(VLOOKUP($A90,flows!$A$2:$J$4985,H$1,FALSE),0)</f>
        <v>706.93138988780652</v>
      </c>
      <c r="I90" s="346">
        <f>IFERROR(VLOOKUP($A90,flows!$A$2:$J$4985,I$1,FALSE),0)</f>
        <v>706.93195329389687</v>
      </c>
      <c r="J90" s="346">
        <f>IFERROR(VLOOKUP($A90,flows!$A$2:$J$4985,J$1,FALSE),0)</f>
        <v>706.93198618040321</v>
      </c>
      <c r="K90" s="346">
        <f>IFERROR(VLOOKUP($A90,flows!$A$2:$J$4985,K$1,FALSE),0)</f>
        <v>0</v>
      </c>
    </row>
    <row r="91" spans="1:11" x14ac:dyDescent="0.35">
      <c r="A91" s="469"/>
      <c r="B91" s="469"/>
      <c r="C91" s="469" t="s">
        <v>2932</v>
      </c>
      <c r="D91" s="469">
        <f>D90/SUM(D89:D90)</f>
        <v>0.45884990988917373</v>
      </c>
      <c r="E91" s="469">
        <f t="shared" ref="E91:K91" si="15">E90/SUM(E89:E90)</f>
        <v>0.45008903781116827</v>
      </c>
      <c r="F91" s="469">
        <f t="shared" si="15"/>
        <v>0.49651361011781053</v>
      </c>
      <c r="G91" s="469">
        <f t="shared" si="15"/>
        <v>0.48683338825487743</v>
      </c>
      <c r="H91" s="469">
        <f t="shared" si="15"/>
        <v>0.4771405159280232</v>
      </c>
      <c r="I91" s="469">
        <f t="shared" si="15"/>
        <v>0.46782605599938071</v>
      </c>
      <c r="J91" s="469">
        <f t="shared" si="15"/>
        <v>0.45885307247377538</v>
      </c>
      <c r="K91" s="469" t="e">
        <f t="shared" si="15"/>
        <v>#DIV/0!</v>
      </c>
    </row>
    <row r="93" spans="1:11" x14ac:dyDescent="0.35">
      <c r="A93" s="469" t="s">
        <v>2902</v>
      </c>
      <c r="B93" s="469"/>
      <c r="C93" s="469"/>
      <c r="D93" s="346">
        <f>IFERROR(VLOOKUP($A93,flows!$A$2:$J$4985,D$1,FALSE),0)</f>
        <v>4.2965623233605383E-3</v>
      </c>
      <c r="E93" s="346">
        <f>IFERROR(VLOOKUP($A93,flows!$A$2:$J$4985,E$1,FALSE),0)</f>
        <v>0</v>
      </c>
      <c r="F93" s="346">
        <f>IFERROR(VLOOKUP($A93,flows!$A$2:$J$4985,F$1,FALSE),0)</f>
        <v>0.25749951079614469</v>
      </c>
      <c r="G93" s="346">
        <f>IFERROR(VLOOKUP($A93,flows!$A$2:$J$4985,G$1,FALSE),0)</f>
        <v>1.044257084005424E-3</v>
      </c>
      <c r="H93" s="346">
        <f>IFERROR(VLOOKUP($A93,flows!$A$2:$J$4985,H$1,FALSE),0)</f>
        <v>5.2599562085333675E-4</v>
      </c>
      <c r="I93" s="346">
        <f>IFERROR(VLOOKUP($A93,flows!$A$2:$J$4985,I$1,FALSE),0)</f>
        <v>4.0841110608664098E-5</v>
      </c>
      <c r="J93" s="346">
        <f>IFERROR(VLOOKUP($A93,flows!$A$2:$J$4985,J$1,FALSE),0)</f>
        <v>2.4835591552703701E-5</v>
      </c>
      <c r="K93" s="346">
        <f>IFERROR(VLOOKUP($A93,flows!$A$2:$J$4985,K$1,FALSE),0)</f>
        <v>0</v>
      </c>
    </row>
    <row r="94" spans="1:11" x14ac:dyDescent="0.35">
      <c r="A94" s="469" t="s">
        <v>2931</v>
      </c>
      <c r="B94" s="469"/>
      <c r="C94" s="469"/>
      <c r="D94" s="346">
        <f>IFERROR(VLOOKUP($A94,flows!$A$2:$J$4985,D$1,FALSE),0)</f>
        <v>13295.49575425988</v>
      </c>
      <c r="E94" s="346">
        <f>IFERROR(VLOOKUP($A94,flows!$A$2:$J$4985,E$1,FALSE),0)</f>
        <v>12021.00013415781</v>
      </c>
      <c r="F94" s="346">
        <f>IFERROR(VLOOKUP($A94,flows!$A$2:$J$4985,F$1,FALSE),0)</f>
        <v>12275.645835061719</v>
      </c>
      <c r="G94" s="346">
        <f>IFERROR(VLOOKUP($A94,flows!$A$2:$J$4985,G$1,FALSE),0)</f>
        <v>12530.798961176681</v>
      </c>
      <c r="H94" s="346">
        <f>IFERROR(VLOOKUP($A94,flows!$A$2:$J$4985,H$1,FALSE),0)</f>
        <v>12785.69947717696</v>
      </c>
      <c r="I94" s="346">
        <f>IFERROR(VLOOKUP($A94,flows!$A$2:$J$4985,I$1,FALSE),0)</f>
        <v>13040.59995931618</v>
      </c>
      <c r="J94" s="346">
        <f>IFERROR(VLOOKUP($A94,flows!$A$2:$J$4985,J$1,FALSE),0)</f>
        <v>13295.4999753253</v>
      </c>
      <c r="K94" s="346">
        <f>IFERROR(VLOOKUP($A94,flows!$A$2:$J$4985,K$1,FALSE),0)</f>
        <v>0</v>
      </c>
    </row>
    <row r="95" spans="1:11" x14ac:dyDescent="0.35">
      <c r="A95" s="469"/>
      <c r="B95" s="469"/>
      <c r="C95" s="469" t="s">
        <v>2932</v>
      </c>
      <c r="D95" s="469">
        <f>D94/SUM(D93:D94)</f>
        <v>0.99999967684086288</v>
      </c>
      <c r="E95" s="469">
        <f t="shared" ref="E95:K95" si="16">E94/SUM(E93:E94)</f>
        <v>1</v>
      </c>
      <c r="F95" s="469">
        <f t="shared" si="16"/>
        <v>0.99997902398676686</v>
      </c>
      <c r="G95" s="469">
        <f t="shared" si="16"/>
        <v>0.99999991666477128</v>
      </c>
      <c r="H95" s="469">
        <f t="shared" si="16"/>
        <v>0.99999995886063164</v>
      </c>
      <c r="I95" s="469">
        <f t="shared" si="16"/>
        <v>0.9999999968681571</v>
      </c>
      <c r="J95" s="469">
        <f t="shared" si="16"/>
        <v>0.99999999813203022</v>
      </c>
      <c r="K95" s="469" t="e">
        <f t="shared" si="16"/>
        <v>#DIV/0!</v>
      </c>
    </row>
    <row r="99" spans="2:20" x14ac:dyDescent="0.35">
      <c r="M99">
        <v>2017</v>
      </c>
      <c r="N99">
        <v>2017</v>
      </c>
      <c r="O99">
        <v>2017</v>
      </c>
    </row>
    <row r="100" spans="2:20" x14ac:dyDescent="0.35">
      <c r="B100" s="469"/>
      <c r="C100" s="469" t="s">
        <v>2935</v>
      </c>
      <c r="D100" s="469" t="s">
        <v>2936</v>
      </c>
      <c r="E100" t="s">
        <v>2947</v>
      </c>
      <c r="F100" t="s">
        <v>2945</v>
      </c>
      <c r="G100" t="s">
        <v>2946</v>
      </c>
      <c r="M100" t="s">
        <v>2951</v>
      </c>
      <c r="N100" t="s">
        <v>2952</v>
      </c>
      <c r="O100" t="s">
        <v>2953</v>
      </c>
      <c r="P100" t="s">
        <v>2997</v>
      </c>
      <c r="Q100" t="s">
        <v>2954</v>
      </c>
      <c r="S100" s="470" t="s">
        <v>2954</v>
      </c>
      <c r="T100" s="470"/>
    </row>
    <row r="101" spans="2:20" x14ac:dyDescent="0.35">
      <c r="B101" s="469" t="s">
        <v>2933</v>
      </c>
      <c r="C101" s="469">
        <v>2.5</v>
      </c>
      <c r="D101" s="469">
        <v>-0.69440000000000002</v>
      </c>
      <c r="E101">
        <v>813</v>
      </c>
      <c r="F101">
        <f>C101*$E101</f>
        <v>2032.5</v>
      </c>
      <c r="G101" s="469">
        <f>D101*$E101</f>
        <v>-564.54719999999998</v>
      </c>
      <c r="M101" t="s">
        <v>2210</v>
      </c>
      <c r="N101" t="s">
        <v>2210</v>
      </c>
      <c r="O101" t="s">
        <v>2210</v>
      </c>
      <c r="Q101" t="s">
        <v>1530</v>
      </c>
      <c r="R101" t="s">
        <v>1344</v>
      </c>
      <c r="S101" s="470" t="s">
        <v>1530</v>
      </c>
      <c r="T101" s="470" t="s">
        <v>1344</v>
      </c>
    </row>
    <row r="102" spans="2:20" x14ac:dyDescent="0.35">
      <c r="B102" t="s">
        <v>2934</v>
      </c>
      <c r="C102">
        <v>0.63900000000000001</v>
      </c>
      <c r="D102" s="469">
        <v>3.6110000000000002</v>
      </c>
      <c r="E102">
        <v>1585</v>
      </c>
      <c r="F102" s="469">
        <f t="shared" ref="F102:F110" si="17">C102*$E102</f>
        <v>1012.8150000000001</v>
      </c>
      <c r="G102" s="469">
        <f t="shared" ref="G102:G110" si="18">D102*$E102</f>
        <v>5723.4350000000004</v>
      </c>
      <c r="L102" t="s">
        <v>2949</v>
      </c>
      <c r="M102">
        <f>15.7/3.6</f>
        <v>4.3611111111111107</v>
      </c>
      <c r="N102">
        <v>4.5</v>
      </c>
      <c r="O102">
        <f>N102-M102</f>
        <v>0.13888888888888928</v>
      </c>
      <c r="Q102">
        <v>2.7</v>
      </c>
      <c r="R102">
        <v>0.55700000000000005</v>
      </c>
      <c r="S102">
        <f t="shared" ref="S102:T105" si="19">Q102/$M102</f>
        <v>0.61910828025477715</v>
      </c>
      <c r="T102" s="471">
        <f t="shared" si="19"/>
        <v>0.12771974522292995</v>
      </c>
    </row>
    <row r="103" spans="2:20" x14ac:dyDescent="0.35">
      <c r="B103" t="s">
        <v>2937</v>
      </c>
      <c r="C103">
        <v>0.36</v>
      </c>
      <c r="D103">
        <v>0.1875</v>
      </c>
      <c r="E103">
        <f>0.51*E107</f>
        <v>3948.9300000000003</v>
      </c>
      <c r="F103" s="469">
        <f t="shared" si="17"/>
        <v>1421.6148000000001</v>
      </c>
      <c r="G103" s="469">
        <f t="shared" si="18"/>
        <v>740.42437500000005</v>
      </c>
      <c r="L103" t="s">
        <v>1205</v>
      </c>
      <c r="M103">
        <f>66.46/3.6</f>
        <v>18.461111111111109</v>
      </c>
      <c r="N103">
        <v>26.465</v>
      </c>
      <c r="O103" s="470">
        <f>N103-M103</f>
        <v>8.0038888888888913</v>
      </c>
      <c r="Q103">
        <v>11.568</v>
      </c>
      <c r="R103">
        <v>3.9</v>
      </c>
      <c r="S103" s="471">
        <f t="shared" si="19"/>
        <v>0.62661450496539284</v>
      </c>
      <c r="T103" s="471">
        <f t="shared" si="19"/>
        <v>0.21125489015949445</v>
      </c>
    </row>
    <row r="104" spans="2:20" x14ac:dyDescent="0.35">
      <c r="B104" s="469" t="s">
        <v>2938</v>
      </c>
      <c r="C104">
        <v>0.2</v>
      </c>
      <c r="D104">
        <v>0</v>
      </c>
      <c r="E104">
        <f>1*E108</f>
        <v>12021</v>
      </c>
      <c r="F104" s="469">
        <f>C104*$E104</f>
        <v>2404.2000000000003</v>
      </c>
      <c r="G104" s="469">
        <f>D104*$E104</f>
        <v>0</v>
      </c>
      <c r="L104" t="s">
        <v>1949</v>
      </c>
      <c r="M104">
        <f>0.576/3.6</f>
        <v>0.15999999999999998</v>
      </c>
      <c r="N104">
        <v>0.32700000000000001</v>
      </c>
      <c r="O104" s="470">
        <f>N104-M104</f>
        <v>0.16700000000000004</v>
      </c>
      <c r="Q104">
        <v>0.10100000000000001</v>
      </c>
      <c r="R104">
        <v>2.1000000000000001E-2</v>
      </c>
      <c r="S104" s="471">
        <f t="shared" si="19"/>
        <v>0.63125000000000009</v>
      </c>
      <c r="T104" s="471">
        <f t="shared" si="19"/>
        <v>0.13125000000000003</v>
      </c>
    </row>
    <row r="105" spans="2:20" x14ac:dyDescent="0.35">
      <c r="B105" s="469" t="s">
        <v>2939</v>
      </c>
      <c r="C105">
        <v>0.45</v>
      </c>
      <c r="D105">
        <v>0.24</v>
      </c>
      <c r="E105">
        <f>0.5*E109</f>
        <v>753</v>
      </c>
      <c r="F105" s="469">
        <f>C105*$E105</f>
        <v>338.85</v>
      </c>
      <c r="G105" s="469">
        <f>D105*$E105</f>
        <v>180.72</v>
      </c>
      <c r="L105" t="s">
        <v>2950</v>
      </c>
      <c r="M105">
        <f>45.452/3.6</f>
        <v>12.625555555555554</v>
      </c>
      <c r="N105">
        <v>16.16</v>
      </c>
      <c r="O105" s="470">
        <f>N105-M105</f>
        <v>3.5344444444444463</v>
      </c>
      <c r="Q105">
        <v>7.3</v>
      </c>
      <c r="R105">
        <v>2.1</v>
      </c>
      <c r="S105" s="471">
        <f t="shared" si="19"/>
        <v>0.57819237877321139</v>
      </c>
      <c r="T105" s="471">
        <f t="shared" si="19"/>
        <v>0.16632931444160876</v>
      </c>
    </row>
    <row r="106" spans="2:20" x14ac:dyDescent="0.35">
      <c r="B106" s="469" t="s">
        <v>2940</v>
      </c>
      <c r="C106">
        <v>0.5</v>
      </c>
      <c r="D106">
        <v>0.26500000000000001</v>
      </c>
      <c r="E106">
        <f>0.55*E110</f>
        <v>766.15000000000009</v>
      </c>
      <c r="F106" s="469">
        <f t="shared" si="17"/>
        <v>383.07500000000005</v>
      </c>
      <c r="G106" s="469">
        <f>D106*$E106</f>
        <v>203.02975000000004</v>
      </c>
      <c r="M106">
        <f>SUM(M102:M105)</f>
        <v>35.60777777777777</v>
      </c>
      <c r="N106">
        <f>SUM(N102:N105)</f>
        <v>47.451999999999998</v>
      </c>
      <c r="O106" s="470">
        <f>SUM(O102:O105)</f>
        <v>11.844222222222227</v>
      </c>
    </row>
    <row r="107" spans="2:20" x14ac:dyDescent="0.35">
      <c r="B107" t="s">
        <v>2941</v>
      </c>
      <c r="C107">
        <v>0.41699999999999998</v>
      </c>
      <c r="D107">
        <v>0.62790000000000001</v>
      </c>
      <c r="E107">
        <v>7743</v>
      </c>
      <c r="F107" s="469">
        <f t="shared" si="17"/>
        <v>3228.8309999999997</v>
      </c>
      <c r="G107" s="469">
        <f t="shared" si="18"/>
        <v>4861.8297000000002</v>
      </c>
    </row>
    <row r="108" spans="2:20" x14ac:dyDescent="0.35">
      <c r="B108" t="s">
        <v>2942</v>
      </c>
      <c r="C108">
        <v>0.13100000000000001</v>
      </c>
      <c r="D108">
        <v>0.62790000000000001</v>
      </c>
      <c r="E108">
        <v>12021</v>
      </c>
      <c r="F108" s="469">
        <f t="shared" si="17"/>
        <v>1574.751</v>
      </c>
      <c r="G108" s="469">
        <f t="shared" si="18"/>
        <v>7547.9859000000006</v>
      </c>
    </row>
    <row r="109" spans="2:20" x14ac:dyDescent="0.35">
      <c r="B109" t="s">
        <v>2943</v>
      </c>
      <c r="C109">
        <v>0.88400000000000001</v>
      </c>
      <c r="D109">
        <v>0.62790000000000001</v>
      </c>
      <c r="E109">
        <v>1506</v>
      </c>
      <c r="F109" s="469">
        <f t="shared" si="17"/>
        <v>1331.3040000000001</v>
      </c>
      <c r="G109" s="469">
        <f t="shared" si="18"/>
        <v>945.61739999999998</v>
      </c>
    </row>
    <row r="110" spans="2:20" x14ac:dyDescent="0.35">
      <c r="B110" t="s">
        <v>2944</v>
      </c>
      <c r="C110">
        <v>0.21</v>
      </c>
      <c r="D110">
        <v>0.62790000000000001</v>
      </c>
      <c r="E110">
        <v>1393</v>
      </c>
      <c r="F110" s="469">
        <f t="shared" si="17"/>
        <v>292.52999999999997</v>
      </c>
      <c r="G110" s="469">
        <f t="shared" si="18"/>
        <v>874.66470000000004</v>
      </c>
    </row>
    <row r="111" spans="2:20" x14ac:dyDescent="0.35">
      <c r="F111">
        <f>SUM(F101:F110)</f>
        <v>14020.470800000001</v>
      </c>
      <c r="G111" s="469">
        <f>SUM(G101:G110)</f>
        <v>20513.159625</v>
      </c>
    </row>
    <row r="112" spans="2:20" x14ac:dyDescent="0.35">
      <c r="F112" t="s">
        <v>2948</v>
      </c>
      <c r="G112">
        <f>SUM(F111:G111)/SUM(E107:E110)*1000</f>
        <v>1523.7890140316817</v>
      </c>
      <c r="Q112" s="471"/>
      <c r="R112" s="471"/>
    </row>
    <row r="113" spans="2:21" x14ac:dyDescent="0.35">
      <c r="G113">
        <f>2650/G112</f>
        <v>1.7390859072993046</v>
      </c>
    </row>
    <row r="114" spans="2:21" s="473" customFormat="1" x14ac:dyDescent="0.35">
      <c r="F114" s="92">
        <f>M126*1000</f>
        <v>15396.999999999998</v>
      </c>
      <c r="G114" s="92">
        <f>T130*1000</f>
        <v>33281.145333945176</v>
      </c>
    </row>
    <row r="115" spans="2:21" ht="44" thickBot="1" x14ac:dyDescent="0.4">
      <c r="E115" s="472" t="s">
        <v>3012</v>
      </c>
      <c r="F115">
        <f>F114-F111</f>
        <v>1376.5291999999972</v>
      </c>
      <c r="G115" s="473">
        <f>G114-G111</f>
        <v>12767.985708945176</v>
      </c>
    </row>
    <row r="116" spans="2:21" ht="72.5" x14ac:dyDescent="0.35">
      <c r="F116">
        <f>F115/F111</f>
        <v>9.8179955554701992E-2</v>
      </c>
      <c r="G116" s="473">
        <f>G115/G111</f>
        <v>0.62242901348968449</v>
      </c>
      <c r="L116" s="87"/>
      <c r="M116" s="90" t="s">
        <v>3000</v>
      </c>
      <c r="N116" s="472" t="s">
        <v>3008</v>
      </c>
      <c r="O116" s="472" t="s">
        <v>3005</v>
      </c>
      <c r="P116" s="472" t="s">
        <v>3002</v>
      </c>
      <c r="Q116" s="472" t="s">
        <v>3003</v>
      </c>
      <c r="R116" s="474" t="s">
        <v>3004</v>
      </c>
      <c r="S116" s="474" t="s">
        <v>3006</v>
      </c>
      <c r="T116" s="474" t="s">
        <v>3007</v>
      </c>
      <c r="U116" s="474" t="s">
        <v>3009</v>
      </c>
    </row>
    <row r="117" spans="2:21" x14ac:dyDescent="0.35">
      <c r="B117" s="469"/>
      <c r="C117" s="469" t="s">
        <v>2935</v>
      </c>
      <c r="D117" s="469" t="s">
        <v>2936</v>
      </c>
      <c r="E117" s="469" t="s">
        <v>2947</v>
      </c>
      <c r="F117" s="469" t="s">
        <v>2945</v>
      </c>
      <c r="G117" s="469" t="s">
        <v>2946</v>
      </c>
      <c r="L117" s="40">
        <v>17.29</v>
      </c>
      <c r="M117" s="93">
        <v>1.893</v>
      </c>
      <c r="N117">
        <v>6.41</v>
      </c>
      <c r="O117">
        <v>47.47</v>
      </c>
    </row>
    <row r="118" spans="2:21" ht="15" thickBot="1" x14ac:dyDescent="0.4">
      <c r="B118" s="469" t="s">
        <v>2933</v>
      </c>
      <c r="C118" s="469">
        <f t="shared" ref="C118:C127" si="20">C101*(1+F$116)</f>
        <v>2.7454498888867551</v>
      </c>
      <c r="D118" s="473">
        <f t="shared" ref="D118:D127" si="21">D101*(1+G$116)</f>
        <v>-1.1266147069672368</v>
      </c>
      <c r="E118" s="469">
        <v>813</v>
      </c>
      <c r="F118" s="469">
        <f t="shared" ref="F118:F127" si="22">C118*$E118</f>
        <v>2232.0507596649318</v>
      </c>
      <c r="G118" s="469">
        <f t="shared" ref="G118:G127" si="23">D118*$E118</f>
        <v>-915.93775676436348</v>
      </c>
      <c r="L118" s="41"/>
      <c r="M118" s="94">
        <f>L117-M117</f>
        <v>15.396999999999998</v>
      </c>
      <c r="O118" t="s">
        <v>2949</v>
      </c>
      <c r="P118">
        <v>4.3600000000000003</v>
      </c>
      <c r="R118">
        <v>2.7</v>
      </c>
    </row>
    <row r="119" spans="2:21" x14ac:dyDescent="0.35">
      <c r="B119" s="469" t="s">
        <v>2934</v>
      </c>
      <c r="C119" s="473">
        <f t="shared" si="20"/>
        <v>0.70173699159945457</v>
      </c>
      <c r="D119" s="473">
        <f t="shared" si="21"/>
        <v>5.8585911677112508</v>
      </c>
      <c r="E119" s="469">
        <v>1585</v>
      </c>
      <c r="F119" s="469">
        <f t="shared" si="22"/>
        <v>1112.2531316851355</v>
      </c>
      <c r="G119" s="469">
        <f t="shared" si="23"/>
        <v>9285.8670008223326</v>
      </c>
      <c r="O119" t="s">
        <v>1949</v>
      </c>
      <c r="P119">
        <v>0.16</v>
      </c>
      <c r="R119">
        <v>0.10100000000000001</v>
      </c>
    </row>
    <row r="120" spans="2:21" x14ac:dyDescent="0.35">
      <c r="B120" s="469" t="s">
        <v>2937</v>
      </c>
      <c r="C120" s="473">
        <f t="shared" si="20"/>
        <v>0.39534478399969269</v>
      </c>
      <c r="D120" s="473">
        <f t="shared" si="21"/>
        <v>0.30420544002931582</v>
      </c>
      <c r="E120" s="469">
        <f>0.51*E124</f>
        <v>3948.9300000000003</v>
      </c>
      <c r="F120" s="469">
        <f t="shared" si="22"/>
        <v>1561.1888778799066</v>
      </c>
      <c r="G120" s="469">
        <f t="shared" si="23"/>
        <v>1201.2859882949663</v>
      </c>
      <c r="O120" t="s">
        <v>1209</v>
      </c>
      <c r="P120">
        <v>12.63</v>
      </c>
      <c r="Q120">
        <f>(16.159-P120)/16.159</f>
        <v>0.21839222724178467</v>
      </c>
      <c r="R120">
        <v>7.3</v>
      </c>
      <c r="S120">
        <f>0.8*O105</f>
        <v>2.8275555555555574</v>
      </c>
    </row>
    <row r="121" spans="2:21" x14ac:dyDescent="0.35">
      <c r="B121" s="469" t="s">
        <v>2938</v>
      </c>
      <c r="C121" s="473">
        <f t="shared" si="20"/>
        <v>0.21963599111094043</v>
      </c>
      <c r="D121" s="473">
        <f t="shared" si="21"/>
        <v>0</v>
      </c>
      <c r="E121" s="469">
        <f>1*E125</f>
        <v>12021</v>
      </c>
      <c r="F121" s="469">
        <f t="shared" si="22"/>
        <v>2640.244249144615</v>
      </c>
      <c r="G121" s="469">
        <f t="shared" si="23"/>
        <v>0</v>
      </c>
      <c r="O121" t="s">
        <v>1205</v>
      </c>
      <c r="P121">
        <v>18.46</v>
      </c>
      <c r="Q121">
        <f>(N103-M103)/N103</f>
        <v>0.30243298276549752</v>
      </c>
      <c r="R121">
        <v>11.568</v>
      </c>
      <c r="S121">
        <f>0.9*O103</f>
        <v>7.2035000000000027</v>
      </c>
    </row>
    <row r="122" spans="2:21" x14ac:dyDescent="0.35">
      <c r="B122" s="469" t="s">
        <v>2939</v>
      </c>
      <c r="C122" s="473">
        <f t="shared" si="20"/>
        <v>0.49418097999961591</v>
      </c>
      <c r="D122" s="473">
        <f t="shared" si="21"/>
        <v>0.38938296323752425</v>
      </c>
      <c r="E122" s="469">
        <f>0.5*E126</f>
        <v>753</v>
      </c>
      <c r="F122" s="469">
        <f t="shared" si="22"/>
        <v>372.11827793971077</v>
      </c>
      <c r="G122" s="469">
        <f t="shared" si="23"/>
        <v>293.20537131785574</v>
      </c>
      <c r="R122">
        <f>SUM(R118:R121)</f>
        <v>21.668999999999997</v>
      </c>
      <c r="S122">
        <f>SUM(S118:S121)</f>
        <v>10.031055555555561</v>
      </c>
      <c r="T122">
        <f>N117+R122+S122</f>
        <v>38.110055555555562</v>
      </c>
      <c r="U122">
        <f>T122+M118</f>
        <v>53.50705555555556</v>
      </c>
    </row>
    <row r="123" spans="2:21" ht="15" thickBot="1" x14ac:dyDescent="0.4">
      <c r="B123" s="469" t="s">
        <v>2940</v>
      </c>
      <c r="C123" s="473">
        <f t="shared" si="20"/>
        <v>0.54908997777735102</v>
      </c>
      <c r="D123" s="473">
        <f t="shared" si="21"/>
        <v>0.42994368857476639</v>
      </c>
      <c r="E123" s="469">
        <f>0.55*E127</f>
        <v>766.15000000000009</v>
      </c>
      <c r="F123" s="469">
        <f t="shared" si="22"/>
        <v>420.68528647411756</v>
      </c>
      <c r="G123" s="469">
        <f t="shared" si="23"/>
        <v>329.4013570015573</v>
      </c>
    </row>
    <row r="124" spans="2:21" ht="72.5" x14ac:dyDescent="0.35">
      <c r="B124" s="469" t="s">
        <v>2941</v>
      </c>
      <c r="C124" s="473">
        <f t="shared" si="20"/>
        <v>0.45794104146631076</v>
      </c>
      <c r="D124" s="473">
        <f t="shared" si="21"/>
        <v>1.0187231775701728</v>
      </c>
      <c r="E124" s="469">
        <v>7743</v>
      </c>
      <c r="F124" s="469">
        <f t="shared" si="22"/>
        <v>3545.8374840736442</v>
      </c>
      <c r="G124" s="469">
        <f t="shared" si="23"/>
        <v>7887.9735639258479</v>
      </c>
      <c r="L124" s="87"/>
      <c r="M124" s="90" t="s">
        <v>3000</v>
      </c>
      <c r="N124" s="472" t="s">
        <v>3008</v>
      </c>
      <c r="O124" s="472" t="s">
        <v>3001</v>
      </c>
      <c r="P124" s="472" t="s">
        <v>3011</v>
      </c>
      <c r="Q124" s="472" t="s">
        <v>3010</v>
      </c>
      <c r="R124" s="474" t="s">
        <v>3004</v>
      </c>
      <c r="S124" s="474" t="s">
        <v>3006</v>
      </c>
      <c r="T124" s="474" t="s">
        <v>3007</v>
      </c>
      <c r="U124" s="474" t="s">
        <v>3009</v>
      </c>
    </row>
    <row r="125" spans="2:21" x14ac:dyDescent="0.35">
      <c r="B125" s="469" t="s">
        <v>2942</v>
      </c>
      <c r="C125" s="473">
        <f t="shared" si="20"/>
        <v>0.14386157417766599</v>
      </c>
      <c r="D125" s="473">
        <f t="shared" si="21"/>
        <v>1.0187231775701728</v>
      </c>
      <c r="E125" s="469">
        <v>12021</v>
      </c>
      <c r="F125" s="469">
        <f t="shared" si="22"/>
        <v>1729.3599831897227</v>
      </c>
      <c r="G125" s="469">
        <f t="shared" si="23"/>
        <v>12246.071317571048</v>
      </c>
      <c r="L125" s="40">
        <v>17.29</v>
      </c>
      <c r="M125" s="93">
        <v>1.893</v>
      </c>
      <c r="N125" s="473">
        <v>6.97</v>
      </c>
      <c r="O125" s="473">
        <v>47.47</v>
      </c>
      <c r="P125" s="473"/>
      <c r="Q125" s="473"/>
      <c r="R125" s="473"/>
      <c r="S125" s="473"/>
      <c r="T125" s="473"/>
      <c r="U125" s="473"/>
    </row>
    <row r="126" spans="2:21" ht="15" thickBot="1" x14ac:dyDescent="0.4">
      <c r="B126" s="469" t="s">
        <v>2943</v>
      </c>
      <c r="C126" s="473">
        <f t="shared" si="20"/>
        <v>0.97079108071035658</v>
      </c>
      <c r="D126" s="473">
        <f t="shared" si="21"/>
        <v>1.0187231775701728</v>
      </c>
      <c r="E126" s="469">
        <v>1506</v>
      </c>
      <c r="F126" s="469">
        <f t="shared" si="22"/>
        <v>1462.0113675497971</v>
      </c>
      <c r="G126" s="469">
        <f t="shared" si="23"/>
        <v>1534.1971054206804</v>
      </c>
      <c r="L126" s="41"/>
      <c r="M126" s="94">
        <f>L125-M125</f>
        <v>15.396999999999998</v>
      </c>
      <c r="N126" s="473" t="s">
        <v>2949</v>
      </c>
      <c r="O126">
        <v>4.1529999999999996</v>
      </c>
      <c r="P126" s="473">
        <f>O126*(1-Q126)</f>
        <v>4.1529999999999996</v>
      </c>
      <c r="Q126" s="473">
        <v>0</v>
      </c>
      <c r="R126" s="473">
        <f>P126*S102</f>
        <v>2.5711566878980894</v>
      </c>
      <c r="S126" s="473"/>
      <c r="T126" s="473"/>
      <c r="U126" s="473"/>
    </row>
    <row r="127" spans="2:21" x14ac:dyDescent="0.35">
      <c r="B127" s="469" t="s">
        <v>2944</v>
      </c>
      <c r="C127" s="473">
        <f t="shared" si="20"/>
        <v>0.23061779066648741</v>
      </c>
      <c r="D127" s="473">
        <f t="shared" si="21"/>
        <v>1.0187231775701728</v>
      </c>
      <c r="E127" s="469">
        <v>1393</v>
      </c>
      <c r="F127" s="469">
        <f t="shared" si="22"/>
        <v>321.25058239841695</v>
      </c>
      <c r="G127" s="469">
        <f t="shared" si="23"/>
        <v>1419.0813863552507</v>
      </c>
      <c r="N127" s="473" t="s">
        <v>1949</v>
      </c>
      <c r="O127">
        <v>0.24</v>
      </c>
      <c r="P127" s="473">
        <f>O127*(1-Q127)</f>
        <v>0.24</v>
      </c>
      <c r="Q127" s="473">
        <v>0</v>
      </c>
      <c r="R127" s="473">
        <f>P127*S104</f>
        <v>0.15150000000000002</v>
      </c>
      <c r="S127" s="473"/>
      <c r="T127" s="473"/>
      <c r="U127" s="473"/>
    </row>
    <row r="128" spans="2:21" x14ac:dyDescent="0.35">
      <c r="B128" s="469"/>
      <c r="C128" s="469"/>
      <c r="D128" s="469"/>
      <c r="E128" s="469"/>
      <c r="F128">
        <f>SUM(F118:F127)</f>
        <v>15396.999999999998</v>
      </c>
      <c r="G128" s="473">
        <f>SUM(G118:G127)</f>
        <v>33281.145333945176</v>
      </c>
      <c r="N128" s="473" t="s">
        <v>1209</v>
      </c>
      <c r="O128">
        <v>13.8</v>
      </c>
      <c r="P128" s="473">
        <f>O128*(1-Q128)</f>
        <v>10.786187264063372</v>
      </c>
      <c r="Q128" s="473">
        <v>0.21839222724178467</v>
      </c>
      <c r="R128" s="473">
        <f>P128*S105</f>
        <v>6.2364912721021177</v>
      </c>
      <c r="S128" s="473">
        <f>(P128*Q128)*0.8</f>
        <v>1.8844955680366173</v>
      </c>
      <c r="T128" s="473"/>
      <c r="U128" s="473"/>
    </row>
    <row r="129" spans="2:21" x14ac:dyDescent="0.35">
      <c r="B129" s="469"/>
      <c r="C129" s="470"/>
      <c r="D129" s="469"/>
      <c r="E129" s="469"/>
      <c r="F129" s="469" t="s">
        <v>2948</v>
      </c>
      <c r="G129" s="469">
        <f>SUM(F114:G114)/SUM(E124:E127)*1000</f>
        <v>2147.9126917859585</v>
      </c>
      <c r="N129" s="473" t="s">
        <v>1205</v>
      </c>
      <c r="O129">
        <v>24.67</v>
      </c>
      <c r="P129" s="473">
        <f>O129*(1-Q129)</f>
        <v>17.20897831517518</v>
      </c>
      <c r="Q129" s="473">
        <v>0.30243298276549752</v>
      </c>
      <c r="R129" s="473">
        <f>P129*S103</f>
        <v>10.783395427923676</v>
      </c>
      <c r="S129" s="473">
        <f>(P129*Q129)*0.9</f>
        <v>4.6841063779846763</v>
      </c>
      <c r="T129" s="473"/>
      <c r="U129" s="473"/>
    </row>
    <row r="130" spans="2:21" x14ac:dyDescent="0.35">
      <c r="B130" s="469"/>
      <c r="C130" s="470">
        <f>C118*0.75</f>
        <v>2.0590874166650663</v>
      </c>
      <c r="D130" s="470">
        <f>D118*1.25</f>
        <v>-1.4082683837090459</v>
      </c>
      <c r="E130" s="469"/>
      <c r="F130" s="469"/>
      <c r="G130" s="469">
        <f>2650/G129</f>
        <v>1.2337559204031534</v>
      </c>
      <c r="N130" s="473"/>
      <c r="O130" s="473"/>
      <c r="P130" s="473"/>
      <c r="Q130" s="473"/>
      <c r="R130" s="473">
        <f>SUM(R126:R129)</f>
        <v>19.742543387923881</v>
      </c>
      <c r="S130" s="473">
        <f>SUM(S126:S129)</f>
        <v>6.5686019460212934</v>
      </c>
      <c r="T130" s="473">
        <f>N125+R130+S130</f>
        <v>33.281145333945176</v>
      </c>
      <c r="U130" s="473">
        <f>T130+M126</f>
        <v>48.678145333945174</v>
      </c>
    </row>
    <row r="131" spans="2:21" x14ac:dyDescent="0.35">
      <c r="C131" s="470">
        <f t="shared" ref="C131:C139" si="24">C119*0.75</f>
        <v>0.52630274369959096</v>
      </c>
      <c r="D131" s="470">
        <f t="shared" ref="D131:D139" si="25">D119*1.25</f>
        <v>7.3232389596390632</v>
      </c>
      <c r="F131" s="470">
        <f>F114/SUM($F$114:$G$114)</f>
        <v>0.31630210835627437</v>
      </c>
      <c r="G131" s="470">
        <f>G114/SUM($F$114:$G$114)</f>
        <v>0.68369789164372563</v>
      </c>
    </row>
    <row r="132" spans="2:21" x14ac:dyDescent="0.35">
      <c r="C132" s="470">
        <f t="shared" si="24"/>
        <v>0.29650858799976954</v>
      </c>
      <c r="D132" s="470">
        <f t="shared" si="25"/>
        <v>0.38025680003664475</v>
      </c>
      <c r="F132">
        <f>11.947+7.235-1.892</f>
        <v>17.29</v>
      </c>
      <c r="G132">
        <f>59.923-F132</f>
        <v>42.633000000000003</v>
      </c>
    </row>
    <row r="133" spans="2:21" x14ac:dyDescent="0.35">
      <c r="C133" s="470">
        <f t="shared" si="24"/>
        <v>0.16472699333320531</v>
      </c>
      <c r="D133" s="470">
        <f t="shared" si="25"/>
        <v>0</v>
      </c>
      <c r="F133">
        <f>F132/SUM($F$132:$G$132)</f>
        <v>0.28853695575989186</v>
      </c>
      <c r="G133" s="470">
        <f>G132/SUM($F$132:$G$132)</f>
        <v>0.7114630442401082</v>
      </c>
    </row>
    <row r="134" spans="2:21" x14ac:dyDescent="0.35">
      <c r="C134" s="470">
        <f t="shared" si="24"/>
        <v>0.37063573499971192</v>
      </c>
      <c r="D134" s="470">
        <f t="shared" si="25"/>
        <v>0.48672870404690532</v>
      </c>
    </row>
    <row r="135" spans="2:21" x14ac:dyDescent="0.35">
      <c r="C135" s="470">
        <f t="shared" si="24"/>
        <v>0.41181748333301327</v>
      </c>
      <c r="D135" s="470">
        <f t="shared" si="25"/>
        <v>0.53742961071845796</v>
      </c>
    </row>
    <row r="136" spans="2:21" x14ac:dyDescent="0.35">
      <c r="C136" s="470">
        <f t="shared" si="24"/>
        <v>0.34345578109973307</v>
      </c>
      <c r="D136" s="470">
        <f t="shared" si="25"/>
        <v>1.2734039719627162</v>
      </c>
      <c r="F136" s="470">
        <v>-7000</v>
      </c>
      <c r="G136" s="470">
        <v>7000</v>
      </c>
    </row>
    <row r="137" spans="2:21" x14ac:dyDescent="0.35">
      <c r="C137" s="470">
        <f t="shared" si="24"/>
        <v>0.10789618063324949</v>
      </c>
      <c r="D137" s="470">
        <f t="shared" si="25"/>
        <v>1.2734039719627162</v>
      </c>
      <c r="F137">
        <f>F$136*D137</f>
        <v>-8913.8278037390137</v>
      </c>
      <c r="G137" s="470">
        <f>G$136*E137</f>
        <v>0</v>
      </c>
    </row>
    <row r="138" spans="2:21" x14ac:dyDescent="0.35">
      <c r="C138" s="470">
        <f t="shared" si="24"/>
        <v>0.72809331053276738</v>
      </c>
      <c r="D138" s="470">
        <f t="shared" si="25"/>
        <v>1.2734039719627162</v>
      </c>
      <c r="E138" s="470"/>
      <c r="F138" s="470">
        <f t="shared" ref="F138:F146" si="26">F$136*D138</f>
        <v>-8913.8278037390137</v>
      </c>
      <c r="G138" s="470">
        <f t="shared" ref="G138:G146" si="27">G$136*E138</f>
        <v>0</v>
      </c>
    </row>
    <row r="139" spans="2:21" x14ac:dyDescent="0.35">
      <c r="C139" s="470">
        <f t="shared" si="24"/>
        <v>0.17296334299986554</v>
      </c>
      <c r="D139" s="470">
        <f t="shared" si="25"/>
        <v>1.2734039719627162</v>
      </c>
      <c r="E139" s="470"/>
      <c r="F139" s="470">
        <f t="shared" si="26"/>
        <v>-8913.8278037390137</v>
      </c>
      <c r="G139" s="470">
        <f t="shared" si="27"/>
        <v>0</v>
      </c>
    </row>
    <row r="140" spans="2:21" x14ac:dyDescent="0.35">
      <c r="C140" s="470"/>
      <c r="D140" s="470"/>
      <c r="E140" s="470"/>
      <c r="F140" s="470">
        <f t="shared" si="26"/>
        <v>0</v>
      </c>
      <c r="G140" s="470">
        <f t="shared" si="27"/>
        <v>0</v>
      </c>
    </row>
    <row r="141" spans="2:21" x14ac:dyDescent="0.35">
      <c r="D141" s="470"/>
      <c r="E141" s="470"/>
      <c r="F141" s="470">
        <f t="shared" si="26"/>
        <v>0</v>
      </c>
      <c r="G141" s="470">
        <f t="shared" si="27"/>
        <v>0</v>
      </c>
    </row>
    <row r="142" spans="2:21" x14ac:dyDescent="0.35">
      <c r="C142" s="470"/>
      <c r="D142" s="470"/>
      <c r="E142" s="470"/>
      <c r="F142" s="470">
        <f t="shared" si="26"/>
        <v>0</v>
      </c>
      <c r="G142" s="470">
        <f t="shared" si="27"/>
        <v>0</v>
      </c>
    </row>
    <row r="143" spans="2:21" x14ac:dyDescent="0.35">
      <c r="C143" s="470"/>
      <c r="D143" s="470"/>
      <c r="E143" s="470"/>
      <c r="F143" s="470">
        <f t="shared" si="26"/>
        <v>0</v>
      </c>
      <c r="G143" s="470">
        <f t="shared" si="27"/>
        <v>0</v>
      </c>
    </row>
    <row r="144" spans="2:21" x14ac:dyDescent="0.35">
      <c r="C144" s="470"/>
      <c r="D144" s="470"/>
      <c r="E144" s="470"/>
      <c r="F144" s="470">
        <f t="shared" si="26"/>
        <v>0</v>
      </c>
      <c r="G144" s="470">
        <f t="shared" si="27"/>
        <v>0</v>
      </c>
    </row>
    <row r="145" spans="3:7" x14ac:dyDescent="0.35">
      <c r="C145" s="470"/>
      <c r="D145" s="470"/>
      <c r="E145" s="470"/>
      <c r="F145" s="470">
        <f t="shared" si="26"/>
        <v>0</v>
      </c>
      <c r="G145" s="470">
        <f t="shared" si="27"/>
        <v>0</v>
      </c>
    </row>
    <row r="146" spans="3:7" x14ac:dyDescent="0.35">
      <c r="C146" s="470"/>
      <c r="D146" s="470"/>
      <c r="E146" s="470"/>
      <c r="F146" s="470">
        <f t="shared" si="26"/>
        <v>0</v>
      </c>
      <c r="G146" s="470">
        <f t="shared" si="27"/>
        <v>0</v>
      </c>
    </row>
    <row r="147" spans="3:7" x14ac:dyDescent="0.35">
      <c r="C147" s="470"/>
      <c r="E147" s="470"/>
    </row>
    <row r="148" spans="3:7" x14ac:dyDescent="0.35">
      <c r="C148" s="470"/>
      <c r="E148" s="470"/>
    </row>
    <row r="149" spans="3:7" x14ac:dyDescent="0.35">
      <c r="C149" s="470"/>
    </row>
    <row r="150" spans="3:7" x14ac:dyDescent="0.35">
      <c r="C150" s="470"/>
    </row>
    <row r="151" spans="3:7" x14ac:dyDescent="0.35">
      <c r="C151" s="470"/>
    </row>
    <row r="152" spans="3:7" x14ac:dyDescent="0.35">
      <c r="C152" s="470"/>
    </row>
  </sheetData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6"/>
  </sheetPr>
  <dimension ref="B1:Z721"/>
  <sheetViews>
    <sheetView topLeftCell="C15" zoomScale="55" zoomScaleNormal="55" workbookViewId="0">
      <selection activeCell="N11" sqref="N11"/>
    </sheetView>
  </sheetViews>
  <sheetFormatPr baseColWidth="10" defaultColWidth="11.453125" defaultRowHeight="14.5" x14ac:dyDescent="0.35"/>
  <cols>
    <col min="1" max="1" width="11.453125" style="491"/>
    <col min="2" max="2" width="83.453125" style="491" bestFit="1" customWidth="1"/>
    <col min="3" max="3" width="37.81640625" style="491" bestFit="1" customWidth="1"/>
    <col min="4" max="4" width="56.1796875" style="491" bestFit="1" customWidth="1"/>
    <col min="5" max="5" width="13.453125" style="491" bestFit="1" customWidth="1"/>
    <col min="6" max="6" width="15.81640625" style="491" bestFit="1" customWidth="1"/>
    <col min="7" max="12" width="13.453125" style="491" bestFit="1" customWidth="1"/>
    <col min="13" max="13" width="19" style="491" customWidth="1"/>
    <col min="14" max="14" width="79.81640625" style="491" bestFit="1" customWidth="1"/>
    <col min="15" max="15" width="74" style="491" bestFit="1" customWidth="1"/>
    <col min="16" max="16" width="31.1796875" style="491" bestFit="1" customWidth="1"/>
    <col min="17" max="17" width="38.1796875" style="491" bestFit="1" customWidth="1"/>
    <col min="18" max="25" width="13.453125" style="491" bestFit="1" customWidth="1"/>
    <col min="26" max="26" width="19" style="491" customWidth="1"/>
    <col min="27" max="16384" width="11.453125" style="491"/>
  </cols>
  <sheetData>
    <row r="1" spans="2:26" ht="16" thickBot="1" x14ac:dyDescent="0.4">
      <c r="M1" s="492"/>
    </row>
    <row r="2" spans="2:26" ht="23.5" thickTop="1" thickBot="1" x14ac:dyDescent="0.5">
      <c r="B2" s="493" t="s">
        <v>3153</v>
      </c>
      <c r="C2" s="494"/>
      <c r="D2" s="494"/>
      <c r="E2" s="495">
        <v>2</v>
      </c>
      <c r="F2" s="495">
        <v>3</v>
      </c>
      <c r="G2" s="495">
        <v>4</v>
      </c>
      <c r="H2" s="495">
        <v>5</v>
      </c>
      <c r="I2" s="495">
        <v>6</v>
      </c>
      <c r="J2" s="495">
        <v>7</v>
      </c>
      <c r="K2" s="495">
        <v>8</v>
      </c>
      <c r="L2" s="496">
        <v>9</v>
      </c>
      <c r="M2" s="497"/>
      <c r="O2" s="493" t="s">
        <v>3154</v>
      </c>
      <c r="P2" s="494"/>
      <c r="Q2" s="494"/>
      <c r="R2" s="495">
        <v>2</v>
      </c>
      <c r="S2" s="495">
        <v>3</v>
      </c>
      <c r="T2" s="495">
        <v>4</v>
      </c>
      <c r="U2" s="495">
        <v>5</v>
      </c>
      <c r="V2" s="495">
        <v>6</v>
      </c>
      <c r="W2" s="495">
        <v>7</v>
      </c>
      <c r="X2" s="495">
        <v>8</v>
      </c>
      <c r="Y2" s="496">
        <v>9</v>
      </c>
      <c r="Z2" s="497"/>
    </row>
    <row r="3" spans="2:26" ht="19" customHeight="1" thickTop="1" x14ac:dyDescent="0.35">
      <c r="B3" s="498" t="s">
        <v>3155</v>
      </c>
      <c r="C3" s="499" t="s">
        <v>3156</v>
      </c>
      <c r="D3" s="499" t="s">
        <v>3157</v>
      </c>
      <c r="E3" s="500" t="s">
        <v>23</v>
      </c>
      <c r="F3" s="500" t="s">
        <v>1798</v>
      </c>
      <c r="G3" s="500" t="s">
        <v>1799</v>
      </c>
      <c r="H3" s="500" t="s">
        <v>1800</v>
      </c>
      <c r="I3" s="500" t="s">
        <v>1801</v>
      </c>
      <c r="J3" s="500" t="s">
        <v>1802</v>
      </c>
      <c r="K3" s="500" t="s">
        <v>1803</v>
      </c>
      <c r="L3" s="501" t="s">
        <v>1804</v>
      </c>
      <c r="M3" s="502" t="s">
        <v>3158</v>
      </c>
      <c r="O3" s="503" t="s">
        <v>3159</v>
      </c>
      <c r="P3" s="499" t="s">
        <v>3156</v>
      </c>
      <c r="Q3" s="499" t="s">
        <v>3157</v>
      </c>
      <c r="R3" s="500" t="s">
        <v>23</v>
      </c>
      <c r="S3" s="500" t="s">
        <v>1798</v>
      </c>
      <c r="T3" s="500" t="s">
        <v>1799</v>
      </c>
      <c r="U3" s="500" t="s">
        <v>1800</v>
      </c>
      <c r="V3" s="500" t="s">
        <v>1801</v>
      </c>
      <c r="W3" s="500" t="s">
        <v>1802</v>
      </c>
      <c r="X3" s="500" t="s">
        <v>1803</v>
      </c>
      <c r="Y3" s="501" t="s">
        <v>1804</v>
      </c>
      <c r="Z3" s="502" t="s">
        <v>3158</v>
      </c>
    </row>
    <row r="4" spans="2:26" ht="21.65" customHeight="1" x14ac:dyDescent="0.35">
      <c r="B4" s="504" t="s">
        <v>3160</v>
      </c>
      <c r="C4" s="505"/>
      <c r="D4" s="505"/>
      <c r="E4" s="505"/>
      <c r="F4" s="505"/>
      <c r="G4" s="505"/>
      <c r="H4" s="505"/>
      <c r="I4" s="505"/>
      <c r="J4" s="505"/>
      <c r="K4" s="505"/>
      <c r="L4" s="506"/>
      <c r="M4" s="507"/>
      <c r="O4" s="504" t="s">
        <v>3161</v>
      </c>
      <c r="P4" s="505"/>
      <c r="Q4" s="505"/>
      <c r="R4" s="505"/>
      <c r="S4" s="505"/>
      <c r="T4" s="505"/>
      <c r="U4" s="505"/>
      <c r="V4" s="505"/>
      <c r="W4" s="505"/>
      <c r="X4" s="505"/>
      <c r="Y4" s="506"/>
      <c r="Z4" s="507"/>
    </row>
    <row r="5" spans="2:26" ht="20.149999999999999" customHeight="1" x14ac:dyDescent="0.35">
      <c r="B5" s="781" t="s">
        <v>3162</v>
      </c>
      <c r="C5" s="782" t="s">
        <v>3163</v>
      </c>
      <c r="D5" s="782" t="s">
        <v>3164</v>
      </c>
      <c r="E5" s="783">
        <f>IFERROR(VLOOKUP($B5,flows!$A$2:$J$2954,E$2,FALSE),0)</f>
        <v>1.9782103774775541E-2</v>
      </c>
      <c r="F5" s="783">
        <f>IFERROR(VLOOKUP($B5,flows!$A$2:$J$2954,F$2,FALSE),0)</f>
        <v>174.63758200163011</v>
      </c>
      <c r="G5" s="783">
        <f>IFERROR(VLOOKUP($B5,flows!$A$2:$J$2954,G$2,FALSE),0)</f>
        <v>5.2822577159152777</v>
      </c>
      <c r="H5" s="783">
        <f>IFERROR(VLOOKUP($B5,flows!$A$2:$J$2954,H$2,FALSE),0)</f>
        <v>2.2308892958832871</v>
      </c>
      <c r="I5" s="783">
        <f>IFERROR(VLOOKUP($B5,flows!$A$2:$J$2954,I$2,FALSE),0)</f>
        <v>1.5857663397695562E-2</v>
      </c>
      <c r="J5" s="783">
        <f>IFERROR(VLOOKUP($B5,flows!$A$2:$J$2954,J$2,FALSE),0)</f>
        <v>3.6738802928294181E-4</v>
      </c>
      <c r="K5" s="783">
        <f>IFERROR(VLOOKUP($B5,flows!$A$2:$J$2954,K$2,FALSE),0)</f>
        <v>5.628076622388068E-5</v>
      </c>
      <c r="L5" s="784">
        <f>IFERROR(VLOOKUP($B5,flows!$A$2:$J$2954,L$2,FALSE),0)</f>
        <v>0</v>
      </c>
      <c r="M5" s="785" t="s">
        <v>3165</v>
      </c>
      <c r="O5" s="508" t="s">
        <v>3166</v>
      </c>
      <c r="P5" s="509" t="s">
        <v>3167</v>
      </c>
      <c r="Q5" s="510" t="s">
        <v>3167</v>
      </c>
      <c r="R5" s="511">
        <f>IFERROR(VLOOKUP($O5,flows!$A$2:$J$2954,R$2,FALSE),0)/1000</f>
        <v>0</v>
      </c>
      <c r="S5" s="511">
        <f>IFERROR(VLOOKUP($O5,flows!$A$2:$J$2954,S$2,FALSE),0)/1000</f>
        <v>0</v>
      </c>
      <c r="T5" s="511">
        <f>IFERROR(VLOOKUP($O5,flows!$A$2:$J$2954,T$2,FALSE),0)/1000</f>
        <v>0</v>
      </c>
      <c r="U5" s="511">
        <f>IFERROR(VLOOKUP($O5,flows!$A$2:$J$2954,U$2,FALSE),0)/1000</f>
        <v>0</v>
      </c>
      <c r="V5" s="511">
        <f>IFERROR(VLOOKUP($O5,flows!$A$2:$J$2954,V$2,FALSE),0)/1000</f>
        <v>0</v>
      </c>
      <c r="W5" s="511">
        <f>IFERROR(VLOOKUP($O5,flows!$A$2:$J$2954,W$2,FALSE),0)/1000</f>
        <v>0</v>
      </c>
      <c r="X5" s="511">
        <f>IFERROR(VLOOKUP($O5,flows!$A$2:$J$2954,X$2,FALSE),0)/1000</f>
        <v>0</v>
      </c>
      <c r="Y5" s="511">
        <f>IFERROR(VLOOKUP($O5,flows!$A$2:$J$2954,Y$2,FALSE),0)/1000</f>
        <v>0</v>
      </c>
      <c r="Z5" s="512" t="s">
        <v>3165</v>
      </c>
    </row>
    <row r="6" spans="2:26" ht="20.149999999999999" customHeight="1" x14ac:dyDescent="0.35">
      <c r="B6" s="781" t="s">
        <v>3168</v>
      </c>
      <c r="C6" s="782" t="s">
        <v>3169</v>
      </c>
      <c r="D6" s="782" t="s">
        <v>2266</v>
      </c>
      <c r="E6" s="783">
        <f>IFERROR(VLOOKUP($B6,flows!$A$2:$J$2954,E$2,FALSE),0)</f>
        <v>1.111581965676132E-2</v>
      </c>
      <c r="F6" s="783">
        <f>IFERROR(VLOOKUP($B6,flows!$A$2:$J$2954,F$2,FALSE),0)</f>
        <v>905.72152540420529</v>
      </c>
      <c r="G6" s="783">
        <f>IFERROR(VLOOKUP($B6,flows!$A$2:$J$2954,G$2,FALSE),0)</f>
        <v>916.79168599575655</v>
      </c>
      <c r="H6" s="783">
        <f>IFERROR(VLOOKUP($B6,flows!$A$2:$J$2954,H$2,FALSE),0)</f>
        <v>564.95939684750408</v>
      </c>
      <c r="I6" s="783">
        <f>IFERROR(VLOOKUP($B6,flows!$A$2:$J$2954,I$2,FALSE),0)</f>
        <v>112.9973478338149</v>
      </c>
      <c r="J6" s="783">
        <f>IFERROR(VLOOKUP($B6,flows!$A$2:$J$2954,J$2,FALSE),0)</f>
        <v>77.081745239632141</v>
      </c>
      <c r="K6" s="783">
        <f>IFERROR(VLOOKUP($B6,flows!$A$2:$J$2954,K$2,FALSE),0)</f>
        <v>3.2626789843041641E-5</v>
      </c>
      <c r="L6" s="784">
        <f>IFERROR(VLOOKUP($B6,flows!$A$2:$J$2954,L$2,FALSE),0)</f>
        <v>0</v>
      </c>
      <c r="M6" s="785" t="s">
        <v>3165</v>
      </c>
      <c r="O6" s="508" t="s">
        <v>3170</v>
      </c>
      <c r="P6" s="509" t="s">
        <v>3171</v>
      </c>
      <c r="Q6" s="510" t="s">
        <v>3172</v>
      </c>
      <c r="R6" s="511">
        <f>IFERROR(VLOOKUP($O6,flows!$A$2:$J$2954,R$2,FALSE),0)/1000</f>
        <v>274.98057580186531</v>
      </c>
      <c r="S6" s="511">
        <f>IFERROR(VLOOKUP($O6,flows!$A$2:$J$2954,S$2,FALSE),0)/1000</f>
        <v>164.9942286057186</v>
      </c>
      <c r="T6" s="511">
        <f>IFERROR(VLOOKUP($O6,flows!$A$2:$J$2954,T$2,FALSE),0)/1000</f>
        <v>186.9924331566358</v>
      </c>
      <c r="U6" s="511">
        <f>IFERROR(VLOOKUP($O6,flows!$A$2:$J$2954,U$2,FALSE),0)/1000</f>
        <v>263.35047936031253</v>
      </c>
      <c r="V6" s="511">
        <f>IFERROR(VLOOKUP($O6,flows!$A$2:$J$2954,V$2,FALSE),0)/1000</f>
        <v>263.61635667319047</v>
      </c>
      <c r="W6" s="511">
        <f>IFERROR(VLOOKUP($O6,flows!$A$2:$J$2954,W$2,FALSE),0)/1000</f>
        <v>268.20301233863609</v>
      </c>
      <c r="X6" s="511">
        <f>IFERROR(VLOOKUP($O6,flows!$A$2:$J$2954,X$2,FALSE),0)/1000</f>
        <v>274.99990083769569</v>
      </c>
      <c r="Y6" s="511">
        <f>IFERROR(VLOOKUP($O6,flows!$A$2:$J$2954,Y$2,FALSE),0)/1000</f>
        <v>0</v>
      </c>
      <c r="Z6" s="512" t="s">
        <v>3165</v>
      </c>
    </row>
    <row r="7" spans="2:26" ht="20.149999999999999" customHeight="1" x14ac:dyDescent="0.35">
      <c r="B7" s="781" t="s">
        <v>3173</v>
      </c>
      <c r="C7" s="782" t="s">
        <v>3174</v>
      </c>
      <c r="D7" s="782" t="s">
        <v>3175</v>
      </c>
      <c r="E7" s="783">
        <f>IFERROR(VLOOKUP($B7,flows!$A$2:$J$2954,E$2,FALSE),0)</f>
        <v>1.1454101003975479E-2</v>
      </c>
      <c r="F7" s="783">
        <f>IFERROR(VLOOKUP($B7,flows!$A$2:$J$2954,F$2,FALSE),0)</f>
        <v>2717.2834650057639</v>
      </c>
      <c r="G7" s="783">
        <f>IFERROR(VLOOKUP($B7,flows!$A$2:$J$2954,G$2,FALSE),0)</f>
        <v>1607.109925732339</v>
      </c>
      <c r="H7" s="783">
        <f>IFERROR(VLOOKUP($B7,flows!$A$2:$J$2954,H$2,FALSE),0)</f>
        <v>373.29113890400129</v>
      </c>
      <c r="I7" s="783">
        <f>IFERROR(VLOOKUP($B7,flows!$A$2:$J$2954,I$2,FALSE),0)</f>
        <v>5.0229409736971329</v>
      </c>
      <c r="J7" s="783">
        <f>IFERROR(VLOOKUP($B7,flows!$A$2:$J$2954,J$2,FALSE),0)</f>
        <v>3.7246703928169917E-4</v>
      </c>
      <c r="K7" s="783">
        <f>IFERROR(VLOOKUP($B7,flows!$A$2:$J$2954,K$2,FALSE),0)</f>
        <v>3.3703336978990297E-5</v>
      </c>
      <c r="L7" s="784">
        <f>IFERROR(VLOOKUP($B7,flows!$A$2:$J$2954,L$2,FALSE),0)</f>
        <v>0</v>
      </c>
      <c r="M7" s="785" t="s">
        <v>3165</v>
      </c>
      <c r="O7" s="513" t="s">
        <v>3176</v>
      </c>
      <c r="P7" s="509" t="s">
        <v>3177</v>
      </c>
      <c r="Q7" s="510" t="s">
        <v>3178</v>
      </c>
      <c r="R7" s="511">
        <f>IFERROR(VLOOKUP($O7,flows!$A$2:$J$2954,R$2,FALSE),0)/1000</f>
        <v>2.2923419388887417E-3</v>
      </c>
      <c r="S7" s="511">
        <f>IFERROR(VLOOKUP($O7,flows!$A$2:$J$2954,S$2,FALSE),0)/1000</f>
        <v>54.017608438098925</v>
      </c>
      <c r="T7" s="511">
        <f>IFERROR(VLOOKUP($O7,flows!$A$2:$J$2954,T$2,FALSE),0)/1000</f>
        <v>26.1982577662158</v>
      </c>
      <c r="U7" s="511">
        <f>IFERROR(VLOOKUP($O7,flows!$A$2:$J$2954,U$2,FALSE),0)/1000</f>
        <v>1.041578492417397</v>
      </c>
      <c r="V7" s="511">
        <f>IFERROR(VLOOKUP($O7,flows!$A$2:$J$2954,V$2,FALSE),0)/1000</f>
        <v>1.1962296222989039</v>
      </c>
      <c r="W7" s="511">
        <f>IFERROR(VLOOKUP($O7,flows!$A$2:$J$2954,W$2,FALSE),0)/1000</f>
        <v>0.18676919426526029</v>
      </c>
      <c r="X7" s="511">
        <f>IFERROR(VLOOKUP($O7,flows!$A$2:$J$2954,X$2,FALSE),0)/1000</f>
        <v>3.5976951513289204E-5</v>
      </c>
      <c r="Y7" s="511">
        <f>IFERROR(VLOOKUP($O7,flows!$A$2:$J$2954,Y$2,FALSE),0)/1000</f>
        <v>0</v>
      </c>
      <c r="Z7" s="512" t="s">
        <v>3165</v>
      </c>
    </row>
    <row r="8" spans="2:26" ht="20.149999999999999" customHeight="1" x14ac:dyDescent="0.35">
      <c r="B8" s="781" t="s">
        <v>3179</v>
      </c>
      <c r="C8" s="782" t="s">
        <v>3180</v>
      </c>
      <c r="D8" s="782" t="s">
        <v>3181</v>
      </c>
      <c r="E8" s="783">
        <f>IFERROR(VLOOKUP($B8,flows!$A$2:$J$2954,E$2,FALSE),0)</f>
        <v>2.9836579218879681E-3</v>
      </c>
      <c r="F8" s="783">
        <f>IFERROR(VLOOKUP($B8,flows!$A$2:$J$2954,F$2,FALSE),0)</f>
        <v>100.63708066336331</v>
      </c>
      <c r="G8" s="783">
        <f>IFERROR(VLOOKUP($B8,flows!$A$2:$J$2954,G$2,FALSE),0)</f>
        <v>29.893253836942499</v>
      </c>
      <c r="H8" s="783">
        <f>IFERROR(VLOOKUP($B8,flows!$A$2:$J$2954,H$2,FALSE),0)</f>
        <v>9.3854777868325814E-3</v>
      </c>
      <c r="I8" s="783">
        <f>IFERROR(VLOOKUP($B8,flows!$A$2:$J$2954,I$2,FALSE),0)</f>
        <v>0.356767759234215</v>
      </c>
      <c r="J8" s="783">
        <f>IFERROR(VLOOKUP($B8,flows!$A$2:$J$2954,J$2,FALSE),0)</f>
        <v>1.5908617267529359E-4</v>
      </c>
      <c r="K8" s="783">
        <f>IFERROR(VLOOKUP($B8,flows!$A$2:$J$2954,K$2,FALSE),0)</f>
        <v>1.000844640631628E-5</v>
      </c>
      <c r="L8" s="784">
        <f>IFERROR(VLOOKUP($B8,flows!$A$2:$J$2954,L$2,FALSE),0)</f>
        <v>0</v>
      </c>
      <c r="M8" s="785" t="s">
        <v>3165</v>
      </c>
      <c r="O8" s="514" t="s">
        <v>3182</v>
      </c>
      <c r="P8" s="509" t="s">
        <v>3183</v>
      </c>
      <c r="Q8" s="510" t="s">
        <v>3184</v>
      </c>
      <c r="R8" s="511">
        <f>IFERROR(VLOOKUP($O8,flows!$A$2:$J$2954,R$2,FALSE),0)/1000</f>
        <v>7.083857942493779E-3</v>
      </c>
      <c r="S8" s="511">
        <f>IFERROR(VLOOKUP($O8,flows!$A$2:$J$2954,S$2,FALSE),0)/1000</f>
        <v>44.963001318412793</v>
      </c>
      <c r="T8" s="511">
        <f>IFERROR(VLOOKUP($O8,flows!$A$2:$J$2954,T$2,FALSE),0)/1000</f>
        <v>46.926573609620363</v>
      </c>
      <c r="U8" s="511">
        <f>IFERROR(VLOOKUP($O8,flows!$A$2:$J$2954,U$2,FALSE),0)/1000</f>
        <v>0.30287980723346902</v>
      </c>
      <c r="V8" s="511">
        <f>IFERROR(VLOOKUP($O8,flows!$A$2:$J$2954,V$2,FALSE),0)/1000</f>
        <v>0.95237166609535029</v>
      </c>
      <c r="W8" s="511">
        <f>IFERROR(VLOOKUP($O8,flows!$A$2:$J$2954,W$2,FALSE),0)/1000</f>
        <v>3.7712801567738502E-5</v>
      </c>
      <c r="X8" s="511">
        <f>IFERROR(VLOOKUP($O8,flows!$A$2:$J$2954,X$2,FALSE),0)/1000</f>
        <v>2.757486784138839E-5</v>
      </c>
      <c r="Y8" s="511">
        <f>IFERROR(VLOOKUP($O8,flows!$A$2:$J$2954,Y$2,FALSE),0)/1000</f>
        <v>0</v>
      </c>
      <c r="Z8" s="512" t="s">
        <v>3165</v>
      </c>
    </row>
    <row r="9" spans="2:26" ht="20.149999999999999" customHeight="1" x14ac:dyDescent="0.35">
      <c r="B9" s="781" t="s">
        <v>3185</v>
      </c>
      <c r="C9" s="782" t="s">
        <v>3186</v>
      </c>
      <c r="D9" s="782" t="s">
        <v>3187</v>
      </c>
      <c r="E9" s="783">
        <f>IFERROR(VLOOKUP($B9,flows!$A$2:$J$2954,E$2,FALSE),0)</f>
        <v>3.248813182437524E-3</v>
      </c>
      <c r="F9" s="783">
        <f>IFERROR(VLOOKUP($B9,flows!$A$2:$J$2954,F$2,FALSE),0)</f>
        <v>302.10780600177048</v>
      </c>
      <c r="G9" s="783">
        <f>IFERROR(VLOOKUP($B9,flows!$A$2:$J$2954,G$2,FALSE),0)</f>
        <v>26.36284132422837</v>
      </c>
      <c r="H9" s="783">
        <f>IFERROR(VLOOKUP($B9,flows!$A$2:$J$2954,H$2,FALSE),0)</f>
        <v>9.1088842676277943E-3</v>
      </c>
      <c r="I9" s="783">
        <f>IFERROR(VLOOKUP($B9,flows!$A$2:$J$2954,I$2,FALSE),0)</f>
        <v>0.29486126344761843</v>
      </c>
      <c r="J9" s="783">
        <f>IFERROR(VLOOKUP($B9,flows!$A$2:$J$2954,J$2,FALSE),0)</f>
        <v>1.5876492729351919E-4</v>
      </c>
      <c r="K9" s="783">
        <f>IFERROR(VLOOKUP($B9,flows!$A$2:$J$2954,K$2,FALSE),0)</f>
        <v>1.0868842292727549E-5</v>
      </c>
      <c r="L9" s="784">
        <f>IFERROR(VLOOKUP($B9,flows!$A$2:$J$2954,L$2,FALSE),0)</f>
        <v>0</v>
      </c>
      <c r="M9" s="785" t="s">
        <v>3165</v>
      </c>
      <c r="O9" s="514" t="s">
        <v>3188</v>
      </c>
      <c r="P9" s="509" t="s">
        <v>3183</v>
      </c>
      <c r="Q9" s="510" t="s">
        <v>3189</v>
      </c>
      <c r="R9" s="511">
        <f>IFERROR(VLOOKUP($O9,flows!$A$2:$J$2954,R$2,FALSE),0)/1000</f>
        <v>1.0833359779429629E-2</v>
      </c>
      <c r="S9" s="511">
        <f>IFERROR(VLOOKUP($O9,flows!$A$2:$J$2954,S$2,FALSE),0)/1000</f>
        <v>0</v>
      </c>
      <c r="T9" s="511">
        <f>IFERROR(VLOOKUP($O9,flows!$A$2:$J$2954,T$2,FALSE),0)/1000</f>
        <v>3.5681226345749661</v>
      </c>
      <c r="U9" s="511">
        <f>IFERROR(VLOOKUP($O9,flows!$A$2:$J$2954,U$2,FALSE),0)/1000</f>
        <v>1.307594944016974E-3</v>
      </c>
      <c r="V9" s="511">
        <f>IFERROR(VLOOKUP($O9,flows!$A$2:$J$2954,V$2,FALSE),0)/1000</f>
        <v>0.1500017272240024</v>
      </c>
      <c r="W9" s="511">
        <f>IFERROR(VLOOKUP($O9,flows!$A$2:$J$2954,W$2,FALSE),0)/1000</f>
        <v>3.3824617931151987E-5</v>
      </c>
      <c r="X9" s="511">
        <f>IFERROR(VLOOKUP($O9,flows!$A$2:$J$2954,X$2,FALSE),0)/1000</f>
        <v>3.8079365322521026E-5</v>
      </c>
      <c r="Y9" s="511">
        <f>IFERROR(VLOOKUP($O9,flows!$A$2:$J$2954,Y$2,FALSE),0)/1000</f>
        <v>0</v>
      </c>
      <c r="Z9" s="512" t="s">
        <v>3165</v>
      </c>
    </row>
    <row r="10" spans="2:26" ht="20.149999999999999" customHeight="1" x14ac:dyDescent="0.35">
      <c r="B10" s="781" t="s">
        <v>3190</v>
      </c>
      <c r="C10" s="782" t="s">
        <v>3191</v>
      </c>
      <c r="D10" s="782" t="s">
        <v>3192</v>
      </c>
      <c r="E10" s="783">
        <f>IFERROR(VLOOKUP($B10,flows!$A$2:$J$2954,E$2,FALSE),0)</f>
        <v>1.24257572984604E-2</v>
      </c>
      <c r="F10" s="783">
        <f>IFERROR(VLOOKUP($B10,flows!$A$2:$J$2954,F$2,FALSE),0)</f>
        <v>175.11695955776389</v>
      </c>
      <c r="G10" s="783">
        <f>IFERROR(VLOOKUP($B10,flows!$A$2:$J$2954,G$2,FALSE),0)</f>
        <v>66.577274759620337</v>
      </c>
      <c r="H10" s="783">
        <f>IFERROR(VLOOKUP($B10,flows!$A$2:$J$2954,H$2,FALSE),0)</f>
        <v>2.4396608089465772</v>
      </c>
      <c r="I10" s="783">
        <f>IFERROR(VLOOKUP($B10,flows!$A$2:$J$2954,I$2,FALSE),0)</f>
        <v>0.80610960907355034</v>
      </c>
      <c r="J10" s="783">
        <f>IFERROR(VLOOKUP($B10,flows!$A$2:$J$2954,J$2,FALSE),0)</f>
        <v>4.7029447620199099E-4</v>
      </c>
      <c r="K10" s="783">
        <f>IFERROR(VLOOKUP($B10,flows!$A$2:$J$2954,K$2,FALSE),0)</f>
        <v>3.6523905135789659E-5</v>
      </c>
      <c r="L10" s="784">
        <f>IFERROR(VLOOKUP($B10,flows!$A$2:$J$2954,L$2,FALSE),0)</f>
        <v>0</v>
      </c>
      <c r="M10" s="785" t="s">
        <v>3165</v>
      </c>
      <c r="O10" s="514" t="s">
        <v>3193</v>
      </c>
      <c r="P10" s="509" t="s">
        <v>3194</v>
      </c>
      <c r="Q10" s="510" t="s">
        <v>3195</v>
      </c>
      <c r="R10" s="511">
        <f>IFERROR(VLOOKUP($O10,flows!$A$2:$J$2954,R$2,FALSE),0)/1000</f>
        <v>2.480495621699688E-4</v>
      </c>
      <c r="S10" s="511">
        <f>IFERROR(VLOOKUP($O10,flows!$A$2:$J$2954,S$2,FALSE),0)/1000</f>
        <v>11.027115148864389</v>
      </c>
      <c r="T10" s="511">
        <f>IFERROR(VLOOKUP($O10,flows!$A$2:$J$2954,T$2,FALSE),0)/1000</f>
        <v>11.357755880443991</v>
      </c>
      <c r="U10" s="511">
        <f>IFERROR(VLOOKUP($O10,flows!$A$2:$J$2954,U$2,FALSE),0)/1000</f>
        <v>10.30386039140082</v>
      </c>
      <c r="V10" s="511">
        <f>IFERROR(VLOOKUP($O10,flows!$A$2:$J$2954,V$2,FALSE),0)/1000</f>
        <v>9.0851017082421706</v>
      </c>
      <c r="W10" s="511">
        <f>IFERROR(VLOOKUP($O10,flows!$A$2:$J$2954,W$2,FALSE),0)/1000</f>
        <v>6.6101504215808253</v>
      </c>
      <c r="X10" s="511">
        <f>IFERROR(VLOOKUP($O10,flows!$A$2:$J$2954,X$2,FALSE),0)/1000</f>
        <v>1.032004008463024E-6</v>
      </c>
      <c r="Y10" s="511">
        <f>IFERROR(VLOOKUP($O10,flows!$A$2:$J$2954,Y$2,FALSE),0)/1000</f>
        <v>0</v>
      </c>
      <c r="Z10" s="512" t="s">
        <v>3165</v>
      </c>
    </row>
    <row r="11" spans="2:26" ht="20.149999999999999" customHeight="1" x14ac:dyDescent="0.35">
      <c r="B11" s="781" t="s">
        <v>3196</v>
      </c>
      <c r="C11" s="782" t="s">
        <v>3197</v>
      </c>
      <c r="D11" s="782" t="s">
        <v>3198</v>
      </c>
      <c r="E11" s="783">
        <f>IFERROR(VLOOKUP($B11,flows!$A$2:$J$2954,E$2,FALSE),0)</f>
        <v>1.163640525708862E-2</v>
      </c>
      <c r="F11" s="783">
        <f>IFERROR(VLOOKUP($B11,flows!$A$2:$J$2954,F$2,FALSE),0)</f>
        <v>0</v>
      </c>
      <c r="G11" s="783">
        <f>IFERROR(VLOOKUP($B11,flows!$A$2:$J$2954,G$2,FALSE),0)</f>
        <v>7.9592529080201233</v>
      </c>
      <c r="H11" s="783">
        <f>IFERROR(VLOOKUP($B11,flows!$A$2:$J$2954,H$2,FALSE),0)</f>
        <v>7.7612151823239278E-3</v>
      </c>
      <c r="I11" s="783">
        <f>IFERROR(VLOOKUP($B11,flows!$A$2:$J$2954,I$2,FALSE),0)</f>
        <v>2.9727282861527859E-3</v>
      </c>
      <c r="J11" s="783">
        <f>IFERROR(VLOOKUP($B11,flows!$A$2:$J$2954,J$2,FALSE),0)</f>
        <v>3.5872091794846538E-4</v>
      </c>
      <c r="K11" s="783">
        <f>IFERROR(VLOOKUP($B11,flows!$A$2:$J$2954,K$2,FALSE),0)</f>
        <v>3.4321616938606618E-5</v>
      </c>
      <c r="L11" s="784">
        <f>IFERROR(VLOOKUP($B11,flows!$A$2:$J$2954,L$2,FALSE),0)</f>
        <v>0</v>
      </c>
      <c r="M11" s="785" t="s">
        <v>3165</v>
      </c>
      <c r="O11" s="515" t="s">
        <v>3199</v>
      </c>
      <c r="P11" s="516" t="s">
        <v>3200</v>
      </c>
      <c r="Q11" s="517" t="s">
        <v>3199</v>
      </c>
      <c r="R11" s="518">
        <f t="shared" ref="R11:Y11" si="0">SUM(R6:R10)</f>
        <v>275.00103341108832</v>
      </c>
      <c r="S11" s="518">
        <f t="shared" si="0"/>
        <v>275.00195351109471</v>
      </c>
      <c r="T11" s="518">
        <f t="shared" si="0"/>
        <v>275.04314304749096</v>
      </c>
      <c r="U11" s="518">
        <f t="shared" si="0"/>
        <v>275.00010564630821</v>
      </c>
      <c r="V11" s="518">
        <f t="shared" si="0"/>
        <v>275.0000613970509</v>
      </c>
      <c r="W11" s="518">
        <f t="shared" si="0"/>
        <v>275.00000349190168</v>
      </c>
      <c r="X11" s="518">
        <f t="shared" si="0"/>
        <v>275.00000350088436</v>
      </c>
      <c r="Y11" s="518">
        <f t="shared" si="0"/>
        <v>0</v>
      </c>
      <c r="Z11" s="519" t="s">
        <v>3165</v>
      </c>
    </row>
    <row r="12" spans="2:26" ht="20.149999999999999" customHeight="1" x14ac:dyDescent="0.35">
      <c r="B12" s="781" t="s">
        <v>3201</v>
      </c>
      <c r="C12" s="782" t="s">
        <v>3202</v>
      </c>
      <c r="D12" s="782" t="s">
        <v>3203</v>
      </c>
      <c r="E12" s="783">
        <f>IFERROR(VLOOKUP($B12,flows!$A$2:$J$2954,E$2,FALSE),0)</f>
        <v>1.226208884145929E-2</v>
      </c>
      <c r="F12" s="783">
        <f>IFERROR(VLOOKUP($B12,flows!$A$2:$J$2954,F$2,FALSE),0)</f>
        <v>0</v>
      </c>
      <c r="G12" s="783">
        <f>IFERROR(VLOOKUP($B12,flows!$A$2:$J$2954,G$2,FALSE),0)</f>
        <v>0.94102244942559343</v>
      </c>
      <c r="H12" s="783">
        <f>IFERROR(VLOOKUP($B12,flows!$A$2:$J$2954,H$2,FALSE),0)</f>
        <v>2.0044253841493588E-3</v>
      </c>
      <c r="I12" s="783">
        <f>IFERROR(VLOOKUP($B12,flows!$A$2:$J$2954,I$2,FALSE),0)</f>
        <v>1.6589727194258031E-3</v>
      </c>
      <c r="J12" s="783">
        <f>IFERROR(VLOOKUP($B12,flows!$A$2:$J$2954,J$2,FALSE),0)</f>
        <v>1.5338783279009909E-4</v>
      </c>
      <c r="K12" s="783">
        <f>IFERROR(VLOOKUP($B12,flows!$A$2:$J$2954,K$2,FALSE),0)</f>
        <v>3.5385401003791222E-5</v>
      </c>
      <c r="L12" s="784">
        <f>IFERROR(VLOOKUP($B12,flows!$A$2:$J$2954,L$2,FALSE),0)</f>
        <v>0</v>
      </c>
      <c r="M12" s="785" t="s">
        <v>3165</v>
      </c>
      <c r="O12" s="520" t="s">
        <v>3159</v>
      </c>
      <c r="P12" s="521" t="s">
        <v>3156</v>
      </c>
      <c r="Q12" s="521" t="s">
        <v>3157</v>
      </c>
      <c r="R12" s="522" t="s">
        <v>23</v>
      </c>
      <c r="S12" s="522" t="s">
        <v>1798</v>
      </c>
      <c r="T12" s="522" t="s">
        <v>1799</v>
      </c>
      <c r="U12" s="522" t="s">
        <v>1800</v>
      </c>
      <c r="V12" s="522" t="s">
        <v>1801</v>
      </c>
      <c r="W12" s="522" t="s">
        <v>1802</v>
      </c>
      <c r="X12" s="522" t="s">
        <v>1803</v>
      </c>
      <c r="Y12" s="522" t="s">
        <v>1804</v>
      </c>
      <c r="Z12" s="523" t="s">
        <v>3158</v>
      </c>
    </row>
    <row r="13" spans="2:26" ht="20.149999999999999" customHeight="1" x14ac:dyDescent="0.35">
      <c r="B13" s="781" t="s">
        <v>3204</v>
      </c>
      <c r="C13" s="782" t="s">
        <v>3205</v>
      </c>
      <c r="D13" s="782" t="s">
        <v>3206</v>
      </c>
      <c r="E13" s="783">
        <f>IFERROR(VLOOKUP($B13,flows!$A$2:$J$2954,E$2,FALSE),0)</f>
        <v>0</v>
      </c>
      <c r="F13" s="783">
        <f>IFERROR(VLOOKUP($B13,flows!$A$2:$J$2954,F$2,FALSE),0)</f>
        <v>0</v>
      </c>
      <c r="G13" s="783">
        <f>IFERROR(VLOOKUP($B13,flows!$A$2:$J$2954,G$2,FALSE),0)</f>
        <v>0</v>
      </c>
      <c r="H13" s="783">
        <f>IFERROR(VLOOKUP($B13,flows!$A$2:$J$2954,H$2,FALSE),0)</f>
        <v>0</v>
      </c>
      <c r="I13" s="783">
        <f>IFERROR(VLOOKUP($B13,flows!$A$2:$J$2954,I$2,FALSE),0)</f>
        <v>0</v>
      </c>
      <c r="J13" s="783">
        <f>IFERROR(VLOOKUP($B13,flows!$A$2:$J$2954,J$2,FALSE),0)</f>
        <v>0</v>
      </c>
      <c r="K13" s="783">
        <f>IFERROR(VLOOKUP($B13,flows!$A$2:$J$2954,K$2,FALSE),0)</f>
        <v>0</v>
      </c>
      <c r="L13" s="784">
        <f>IFERROR(VLOOKUP($B13,flows!$A$2:$J$2954,L$2,FALSE),0)</f>
        <v>0</v>
      </c>
      <c r="M13" s="785" t="s">
        <v>3165</v>
      </c>
      <c r="O13" s="513" t="s">
        <v>3207</v>
      </c>
      <c r="P13" s="509" t="s">
        <v>3208</v>
      </c>
      <c r="Q13" s="510" t="s">
        <v>3209</v>
      </c>
      <c r="R13" s="511">
        <f>IFERROR(VLOOKUP($O13,flows!$A$2:$J$2954,R$2,FALSE),0)</f>
        <v>1096.8975168736411</v>
      </c>
      <c r="S13" s="511">
        <f>IFERROR(VLOOKUP($O13,flows!$A$2:$J$2954,S$2,FALSE),0)</f>
        <v>658.16197790821172</v>
      </c>
      <c r="T13" s="511">
        <f>IFERROR(VLOOKUP($O13,flows!$A$2:$J$2954,T$2,FALSE),0)</f>
        <v>745.91281586182026</v>
      </c>
      <c r="U13" s="511">
        <f>IFERROR(VLOOKUP($O13,flows!$A$2:$J$2954,U$2,FALSE),0)</f>
        <v>1050.5050621682869</v>
      </c>
      <c r="V13" s="511">
        <f>IFERROR(VLOOKUP($O13,flows!$A$2:$J$2954,V$2,FALSE),0)</f>
        <v>1051.565646769357</v>
      </c>
      <c r="W13" s="511">
        <f>IFERROR(VLOOKUP($O13,flows!$A$2:$J$2954,W$2,FALSE),0)</f>
        <v>1069.8618162188191</v>
      </c>
      <c r="X13" s="511">
        <f>IFERROR(VLOOKUP($O13,flows!$A$2:$J$2954,X$2,FALSE),0)</f>
        <v>1096.9746044415681</v>
      </c>
      <c r="Y13" s="511">
        <f>IFERROR(VLOOKUP($O13,flows!$A$2:$J$2954,Y$2,FALSE),0)</f>
        <v>0</v>
      </c>
      <c r="Z13" s="512" t="s">
        <v>3210</v>
      </c>
    </row>
    <row r="14" spans="2:26" ht="20.149999999999999" customHeight="1" x14ac:dyDescent="0.35">
      <c r="B14" s="786" t="s">
        <v>2031</v>
      </c>
      <c r="C14" s="787" t="s">
        <v>3211</v>
      </c>
      <c r="D14" s="787" t="s">
        <v>3212</v>
      </c>
      <c r="E14" s="788">
        <f t="shared" ref="E14:L14" si="1">SUM(E5:E13)</f>
        <v>8.4908746936846149E-2</v>
      </c>
      <c r="F14" s="788">
        <f t="shared" si="1"/>
        <v>4375.5044186344967</v>
      </c>
      <c r="G14" s="788">
        <f t="shared" si="1"/>
        <v>2660.9175147222472</v>
      </c>
      <c r="H14" s="788">
        <f t="shared" si="1"/>
        <v>942.94934585895612</v>
      </c>
      <c r="I14" s="788">
        <f t="shared" si="1"/>
        <v>119.49851680367068</v>
      </c>
      <c r="J14" s="788">
        <f t="shared" si="1"/>
        <v>77.083785349027622</v>
      </c>
      <c r="K14" s="788">
        <f t="shared" si="1"/>
        <v>2.4971910482314395E-4</v>
      </c>
      <c r="L14" s="788">
        <f t="shared" si="1"/>
        <v>0</v>
      </c>
      <c r="M14" s="785" t="s">
        <v>3165</v>
      </c>
      <c r="O14" s="513" t="s">
        <v>3213</v>
      </c>
      <c r="P14" s="509" t="s">
        <v>3214</v>
      </c>
      <c r="Q14" s="510" t="s">
        <v>3215</v>
      </c>
      <c r="R14" s="511">
        <f>IFERROR(VLOOKUP($O14,flows!$A$2:$J$2954,R$2,FALSE),0)</f>
        <v>9.2393473469426741</v>
      </c>
      <c r="S14" s="511">
        <f>IFERROR(VLOOKUP($O14,flows!$A$2:$J$2954,S$2,FALSE),0)</f>
        <v>5.5438060811521446</v>
      </c>
      <c r="T14" s="511">
        <f>IFERROR(VLOOKUP($O14,flows!$A$2:$J$2954,T$2,FALSE),0)</f>
        <v>6.2829457540629612</v>
      </c>
      <c r="U14" s="511">
        <f>IFERROR(VLOOKUP($O14,flows!$A$2:$J$2954,U$2,FALSE),0)</f>
        <v>8.8485761065064992</v>
      </c>
      <c r="V14" s="511">
        <f>IFERROR(VLOOKUP($O14,flows!$A$2:$J$2954,V$2,FALSE),0)</f>
        <v>8.8575095842191995</v>
      </c>
      <c r="W14" s="511">
        <f>IFERROR(VLOOKUP($O14,flows!$A$2:$J$2954,W$2,FALSE),0)</f>
        <v>9.0116212145781702</v>
      </c>
      <c r="X14" s="511">
        <f>IFERROR(VLOOKUP($O14,flows!$A$2:$J$2954,X$2,FALSE),0)</f>
        <v>9.2399966681465742</v>
      </c>
      <c r="Y14" s="511">
        <f>IFERROR(VLOOKUP($O14,flows!$A$2:$J$2954,Y$2,FALSE),0)</f>
        <v>0</v>
      </c>
      <c r="Z14" s="512" t="s">
        <v>3210</v>
      </c>
    </row>
    <row r="15" spans="2:26" ht="20.149999999999999" customHeight="1" x14ac:dyDescent="0.35">
      <c r="B15" s="781" t="s">
        <v>3216</v>
      </c>
      <c r="C15" s="782" t="s">
        <v>3163</v>
      </c>
      <c r="D15" s="782" t="s">
        <v>3164</v>
      </c>
      <c r="E15" s="783">
        <f>IFERROR(VLOOKUP($B15,flows!$A$2:$J$2954,E$2,FALSE),0)</f>
        <v>4957.5945567132594</v>
      </c>
      <c r="F15" s="783">
        <f>IFERROR(VLOOKUP($B15,flows!$A$2:$J$2954,F$2,FALSE),0)</f>
        <v>0</v>
      </c>
      <c r="G15" s="783">
        <f>IFERROR(VLOOKUP($B15,flows!$A$2:$J$2954,G$2,FALSE),0)</f>
        <v>13.170063894648059</v>
      </c>
      <c r="H15" s="783">
        <f>IFERROR(VLOOKUP($B15,flows!$A$2:$J$2954,H$2,FALSE),0)</f>
        <v>167.90885011091891</v>
      </c>
      <c r="I15" s="783">
        <f>IFERROR(VLOOKUP($B15,flows!$A$2:$J$2954,I$2,FALSE),0)</f>
        <v>677.03264783707709</v>
      </c>
      <c r="J15" s="783">
        <f>IFERROR(VLOOKUP($B15,flows!$A$2:$J$2954,J$2,FALSE),0)</f>
        <v>1985.888855745249</v>
      </c>
      <c r="K15" s="783">
        <f>IFERROR(VLOOKUP($B15,flows!$A$2:$J$2954,K$2,FALSE),0)</f>
        <v>4957.2836945879908</v>
      </c>
      <c r="L15" s="784">
        <f>IFERROR(VLOOKUP($B15,flows!$A$2:$J$2954,L$2,FALSE),0)</f>
        <v>0</v>
      </c>
      <c r="M15" s="785" t="s">
        <v>3165</v>
      </c>
      <c r="O15" s="513" t="s">
        <v>3217</v>
      </c>
      <c r="P15" s="509" t="s">
        <v>2825</v>
      </c>
      <c r="Q15" s="510" t="s">
        <v>3218</v>
      </c>
      <c r="R15" s="511">
        <f t="shared" ref="R15:Y15" si="2">SUM(R13:R14)</f>
        <v>1106.1368642205837</v>
      </c>
      <c r="S15" s="511">
        <f t="shared" si="2"/>
        <v>663.70578398936391</v>
      </c>
      <c r="T15" s="511">
        <f t="shared" si="2"/>
        <v>752.19576161588327</v>
      </c>
      <c r="U15" s="511">
        <f t="shared" si="2"/>
        <v>1059.3536382747934</v>
      </c>
      <c r="V15" s="511">
        <f t="shared" si="2"/>
        <v>1060.4231563535761</v>
      </c>
      <c r="W15" s="511">
        <f t="shared" si="2"/>
        <v>1078.8734374333972</v>
      </c>
      <c r="X15" s="511">
        <f t="shared" si="2"/>
        <v>1106.2146011097147</v>
      </c>
      <c r="Y15" s="511">
        <f t="shared" si="2"/>
        <v>0</v>
      </c>
      <c r="Z15" s="512" t="s">
        <v>3210</v>
      </c>
    </row>
    <row r="16" spans="2:26" ht="20.149999999999999" customHeight="1" x14ac:dyDescent="0.35">
      <c r="B16" s="781" t="s">
        <v>3219</v>
      </c>
      <c r="C16" s="782" t="s">
        <v>3169</v>
      </c>
      <c r="D16" s="782" t="s">
        <v>2266</v>
      </c>
      <c r="E16" s="783">
        <f>IFERROR(VLOOKUP($B16,flows!$A$2:$J$2954,E$2,FALSE),0)</f>
        <v>3.3147056432207993E-2</v>
      </c>
      <c r="F16" s="783">
        <f>IFERROR(VLOOKUP($B16,flows!$A$2:$J$2954,F$2,FALSE),0)</f>
        <v>0</v>
      </c>
      <c r="G16" s="783">
        <f>IFERROR(VLOOKUP($B16,flows!$A$2:$J$2954,G$2,FALSE),0)</f>
        <v>518.31085473158555</v>
      </c>
      <c r="H16" s="783">
        <f>IFERROR(VLOOKUP($B16,flows!$A$2:$J$2954,H$2,FALSE),0)</f>
        <v>1590.8008006713731</v>
      </c>
      <c r="I16" s="783">
        <f>IFERROR(VLOOKUP($B16,flows!$A$2:$J$2954,I$2,FALSE),0)</f>
        <v>1424.758367104065</v>
      </c>
      <c r="J16" s="783">
        <f>IFERROR(VLOOKUP($B16,flows!$A$2:$J$2954,J$2,FALSE),0)</f>
        <v>1277.213586161859</v>
      </c>
      <c r="K16" s="783">
        <f>IFERROR(VLOOKUP($B16,flows!$A$2:$J$2954,K$2,FALSE),0)</f>
        <v>1.8725352897707351E-4</v>
      </c>
      <c r="L16" s="784">
        <f>IFERROR(VLOOKUP($B16,flows!$A$2:$J$2954,L$2,FALSE),0)</f>
        <v>0</v>
      </c>
      <c r="M16" s="785" t="s">
        <v>3165</v>
      </c>
      <c r="O16" s="525" t="s">
        <v>3220</v>
      </c>
      <c r="P16" s="516" t="s">
        <v>3221</v>
      </c>
      <c r="Q16" s="517" t="s">
        <v>3220</v>
      </c>
      <c r="R16" s="518">
        <f t="shared" ref="R16:Y16" si="3">R15/R6</f>
        <v>4.0226000000000006</v>
      </c>
      <c r="S16" s="518">
        <f t="shared" si="3"/>
        <v>4.0226000000000015</v>
      </c>
      <c r="T16" s="518">
        <f t="shared" si="3"/>
        <v>4.0226000000000006</v>
      </c>
      <c r="U16" s="518">
        <f t="shared" si="3"/>
        <v>4.0226000000000006</v>
      </c>
      <c r="V16" s="518">
        <f t="shared" si="3"/>
        <v>4.0226000000000006</v>
      </c>
      <c r="W16" s="518">
        <f t="shared" si="3"/>
        <v>4.0225999999999988</v>
      </c>
      <c r="X16" s="518">
        <f t="shared" si="3"/>
        <v>4.0226000000000006</v>
      </c>
      <c r="Y16" s="518" t="e">
        <f t="shared" si="3"/>
        <v>#DIV/0!</v>
      </c>
      <c r="Z16" s="519" t="s">
        <v>3210</v>
      </c>
    </row>
    <row r="17" spans="2:26" ht="20.149999999999999" customHeight="1" x14ac:dyDescent="0.35">
      <c r="B17" s="781" t="s">
        <v>3222</v>
      </c>
      <c r="C17" s="782" t="s">
        <v>3174</v>
      </c>
      <c r="D17" s="782" t="s">
        <v>3175</v>
      </c>
      <c r="E17" s="783">
        <f>IFERROR(VLOOKUP($B17,flows!$A$2:$J$2954,E$2,FALSE),0)</f>
        <v>3.5819989778187768E-2</v>
      </c>
      <c r="F17" s="783">
        <f>IFERROR(VLOOKUP($B17,flows!$A$2:$J$2954,F$2,FALSE),0)</f>
        <v>0</v>
      </c>
      <c r="G17" s="783">
        <f>IFERROR(VLOOKUP($B17,flows!$A$2:$J$2954,G$2,FALSE),0)</f>
        <v>517.89540672977034</v>
      </c>
      <c r="H17" s="783">
        <f>IFERROR(VLOOKUP($B17,flows!$A$2:$J$2954,H$2,FALSE),0)</f>
        <v>922.76197506076574</v>
      </c>
      <c r="I17" s="783">
        <f>IFERROR(VLOOKUP($B17,flows!$A$2:$J$2954,I$2,FALSE),0)</f>
        <v>1000.3617207113811</v>
      </c>
      <c r="J17" s="783">
        <f>IFERROR(VLOOKUP($B17,flows!$A$2:$J$2954,J$2,FALSE),0)</f>
        <v>479.17388800410259</v>
      </c>
      <c r="K17" s="783">
        <f>IFERROR(VLOOKUP($B17,flows!$A$2:$J$2954,K$2,FALSE),0)</f>
        <v>2.1302477828642511E-4</v>
      </c>
      <c r="L17" s="784">
        <f>IFERROR(VLOOKUP($B17,flows!$A$2:$J$2954,L$2,FALSE),0)</f>
        <v>0</v>
      </c>
      <c r="M17" s="785" t="s">
        <v>3165</v>
      </c>
      <c r="O17" s="513" t="s">
        <v>3223</v>
      </c>
      <c r="P17" s="509" t="s">
        <v>3224</v>
      </c>
      <c r="Q17" s="510" t="s">
        <v>3225</v>
      </c>
      <c r="R17" s="511">
        <f>IFERROR(VLOOKUP($O17,flows!$A$2:$J$2954,R$2,FALSE),0)</f>
        <v>9.1040692816494115E-3</v>
      </c>
      <c r="S17" s="511">
        <f>IFERROR(VLOOKUP($O17,flows!$A$2:$J$2954,S$2,FALSE),0)</f>
        <v>57.785783175886067</v>
      </c>
      <c r="T17" s="511">
        <f>IFERROR(VLOOKUP($O17,flows!$A$2:$J$2954,T$2,FALSE),0)</f>
        <v>60.309337194586163</v>
      </c>
      <c r="U17" s="511">
        <f>IFERROR(VLOOKUP($O17,flows!$A$2:$J$2954,U$2,FALSE),0)</f>
        <v>0.38925664114819891</v>
      </c>
      <c r="V17" s="511">
        <f>IFERROR(VLOOKUP($O17,flows!$A$2:$J$2954,V$2,FALSE),0)</f>
        <v>1.223973956055876</v>
      </c>
      <c r="W17" s="511">
        <f>IFERROR(VLOOKUP($O17,flows!$A$2:$J$2954,W$2,FALSE),0)</f>
        <v>4.8467933866686139E-5</v>
      </c>
      <c r="X17" s="511">
        <f>IFERROR(VLOOKUP($O17,flows!$A$2:$J$2954,X$2,FALSE),0)</f>
        <v>3.5438811633191748E-5</v>
      </c>
      <c r="Y17" s="511">
        <f>IFERROR(VLOOKUP($O17,flows!$A$2:$J$2954,Y$2,FALSE),0)</f>
        <v>0</v>
      </c>
      <c r="Z17" s="512" t="s">
        <v>3210</v>
      </c>
    </row>
    <row r="18" spans="2:26" ht="20.149999999999999" customHeight="1" x14ac:dyDescent="0.35">
      <c r="B18" s="781" t="s">
        <v>3226</v>
      </c>
      <c r="C18" s="782" t="s">
        <v>3180</v>
      </c>
      <c r="D18" s="782" t="s">
        <v>3181</v>
      </c>
      <c r="E18" s="783">
        <f>IFERROR(VLOOKUP($B18,flows!$A$2:$J$2954,E$2,FALSE),0)</f>
        <v>3.9402669402699552E-3</v>
      </c>
      <c r="F18" s="783">
        <f>IFERROR(VLOOKUP($B18,flows!$A$2:$J$2954,F$2,FALSE),0)</f>
        <v>0</v>
      </c>
      <c r="G18" s="783">
        <f>IFERROR(VLOOKUP($B18,flows!$A$2:$J$2954,G$2,FALSE),0)</f>
        <v>18.33222911058424</v>
      </c>
      <c r="H18" s="783">
        <f>IFERROR(VLOOKUP($B18,flows!$A$2:$J$2954,H$2,FALSE),0)</f>
        <v>6.2193950099036967E-3</v>
      </c>
      <c r="I18" s="783">
        <f>IFERROR(VLOOKUP($B18,flows!$A$2:$J$2954,I$2,FALSE),0)</f>
        <v>2.5233713457612451E-3</v>
      </c>
      <c r="J18" s="783">
        <f>IFERROR(VLOOKUP($B18,flows!$A$2:$J$2954,J$2,FALSE),0)</f>
        <v>2.6495568956673887E-4</v>
      </c>
      <c r="K18" s="783">
        <f>IFERROR(VLOOKUP($B18,flows!$A$2:$J$2954,K$2,FALSE),0)</f>
        <v>1.313843527207661E-5</v>
      </c>
      <c r="L18" s="784">
        <f>IFERROR(VLOOKUP($B18,flows!$A$2:$J$2954,L$2,FALSE),0)</f>
        <v>0</v>
      </c>
      <c r="M18" s="785" t="s">
        <v>3165</v>
      </c>
      <c r="O18" s="513" t="s">
        <v>3227</v>
      </c>
      <c r="P18" s="509" t="s">
        <v>3208</v>
      </c>
      <c r="Q18" s="510" t="s">
        <v>3209</v>
      </c>
      <c r="R18" s="511">
        <f>IFERROR(VLOOKUP($O18,flows!$A$2:$J$2954,R$2,FALSE),0)</f>
        <v>1.0494604359250041E-3</v>
      </c>
      <c r="S18" s="511">
        <f>IFERROR(VLOOKUP($O18,flows!$A$2:$J$2954,S$2,FALSE),0)</f>
        <v>6.6611853805055992</v>
      </c>
      <c r="T18" s="511">
        <f>IFERROR(VLOOKUP($O18,flows!$A$2:$J$2954,T$2,FALSE),0)</f>
        <v>6.9520849792030166</v>
      </c>
      <c r="U18" s="511">
        <f>IFERROR(VLOOKUP($O18,flows!$A$2:$J$2954,U$2,FALSE),0)</f>
        <v>4.4871082553106512E-2</v>
      </c>
      <c r="V18" s="511">
        <f>IFERROR(VLOOKUP($O18,flows!$A$2:$J$2954,V$2,FALSE),0)</f>
        <v>0.14109209868079259</v>
      </c>
      <c r="W18" s="511">
        <f>IFERROR(VLOOKUP($O18,flows!$A$2:$J$2954,W$2,FALSE),0)</f>
        <v>5.5870817137390374E-6</v>
      </c>
      <c r="X18" s="511">
        <f>IFERROR(VLOOKUP($O18,flows!$A$2:$J$2954,X$2,FALSE),0)</f>
        <v>4.0851656061316139E-6</v>
      </c>
      <c r="Y18" s="511">
        <f>IFERROR(VLOOKUP($O18,flows!$A$2:$J$2954,Y$2,FALSE),0)</f>
        <v>0</v>
      </c>
      <c r="Z18" s="512" t="s">
        <v>3210</v>
      </c>
    </row>
    <row r="19" spans="2:26" ht="20.149999999999999" customHeight="1" x14ac:dyDescent="0.35">
      <c r="B19" s="781" t="s">
        <v>3228</v>
      </c>
      <c r="C19" s="782" t="s">
        <v>3186</v>
      </c>
      <c r="D19" s="782" t="s">
        <v>3187</v>
      </c>
      <c r="E19" s="783">
        <f>IFERROR(VLOOKUP($B19,flows!$A$2:$J$2954,E$2,FALSE),0)</f>
        <v>4.3691557452337692E-3</v>
      </c>
      <c r="F19" s="783">
        <f>IFERROR(VLOOKUP($B19,flows!$A$2:$J$2954,F$2,FALSE),0)</f>
        <v>0</v>
      </c>
      <c r="G19" s="783">
        <f>IFERROR(VLOOKUP($B19,flows!$A$2:$J$2954,G$2,FALSE),0)</f>
        <v>10.248514530511599</v>
      </c>
      <c r="H19" s="783">
        <f>IFERROR(VLOOKUP($B19,flows!$A$2:$J$2954,H$2,FALSE),0)</f>
        <v>6.0614834580150134E-3</v>
      </c>
      <c r="I19" s="783">
        <f>IFERROR(VLOOKUP($B19,flows!$A$2:$J$2954,I$2,FALSE),0)</f>
        <v>2.6264392549405812E-3</v>
      </c>
      <c r="J19" s="783">
        <f>IFERROR(VLOOKUP($B19,flows!$A$2:$J$2954,J$2,FALSE),0)</f>
        <v>2.6576807836864132E-4</v>
      </c>
      <c r="K19" s="783">
        <f>IFERROR(VLOOKUP($B19,flows!$A$2:$J$2954,K$2,FALSE),0)</f>
        <v>1.4513985984035179E-5</v>
      </c>
      <c r="L19" s="784">
        <f>IFERROR(VLOOKUP($B19,flows!$A$2:$J$2954,L$2,FALSE),0)</f>
        <v>0</v>
      </c>
      <c r="M19" s="785" t="s">
        <v>3165</v>
      </c>
      <c r="O19" s="513" t="s">
        <v>3229</v>
      </c>
      <c r="P19" s="509" t="s">
        <v>3214</v>
      </c>
      <c r="Q19" s="510" t="s">
        <v>3215</v>
      </c>
      <c r="R19" s="511">
        <f>IFERROR(VLOOKUP($O19,flows!$A$2:$J$2954,R$2,FALSE),0)</f>
        <v>1.757846230174382E-2</v>
      </c>
      <c r="S19" s="511">
        <f>IFERROR(VLOOKUP($O19,flows!$A$2:$J$2954,S$2,FALSE),0)</f>
        <v>111.57485512346879</v>
      </c>
      <c r="T19" s="511">
        <f>IFERROR(VLOOKUP($O19,flows!$A$2:$J$2954,T$2,FALSE),0)</f>
        <v>116.4474234016505</v>
      </c>
      <c r="U19" s="511">
        <f>IFERROR(VLOOKUP($O19,flows!$A$2:$J$2954,U$2,FALSE),0)</f>
        <v>0.75159063276453397</v>
      </c>
      <c r="V19" s="511">
        <f>IFERROR(VLOOKUP($O19,flows!$A$2:$J$2954,V$2,FALSE),0)</f>
        <v>2.3632926529032772</v>
      </c>
      <c r="W19" s="511">
        <f>IFERROR(VLOOKUP($O19,flows!$A$2:$J$2954,W$2,FALSE),0)</f>
        <v>9.3583618705128866E-5</v>
      </c>
      <c r="X19" s="511">
        <f>IFERROR(VLOOKUP($O19,flows!$A$2:$J$2954,X$2,FALSE),0)</f>
        <v>6.8426523902704515E-5</v>
      </c>
      <c r="Y19" s="511">
        <f>IFERROR(VLOOKUP($O19,flows!$A$2:$J$2954,Y$2,FALSE),0)</f>
        <v>0</v>
      </c>
      <c r="Z19" s="512" t="s">
        <v>3210</v>
      </c>
    </row>
    <row r="20" spans="2:26" ht="20.149999999999999" customHeight="1" x14ac:dyDescent="0.35">
      <c r="B20" s="781" t="s">
        <v>3230</v>
      </c>
      <c r="C20" s="782" t="s">
        <v>3191</v>
      </c>
      <c r="D20" s="782" t="s">
        <v>3192</v>
      </c>
      <c r="E20" s="783">
        <f>IFERROR(VLOOKUP($B20,flows!$A$2:$J$2954,E$2,FALSE),0)</f>
        <v>0</v>
      </c>
      <c r="F20" s="783">
        <f>IFERROR(VLOOKUP($B20,flows!$A$2:$J$2954,F$2,FALSE),0)</f>
        <v>0</v>
      </c>
      <c r="G20" s="783">
        <f>IFERROR(VLOOKUP($B20,flows!$A$2:$J$2954,G$2,FALSE),0)</f>
        <v>0</v>
      </c>
      <c r="H20" s="783">
        <f>IFERROR(VLOOKUP($B20,flows!$A$2:$J$2954,H$2,FALSE),0)</f>
        <v>0</v>
      </c>
      <c r="I20" s="783">
        <f>IFERROR(VLOOKUP($B20,flows!$A$2:$J$2954,I$2,FALSE),0)</f>
        <v>0</v>
      </c>
      <c r="J20" s="783">
        <f>IFERROR(VLOOKUP($B20,flows!$A$2:$J$2954,J$2,FALSE),0)</f>
        <v>0</v>
      </c>
      <c r="K20" s="783">
        <f>IFERROR(VLOOKUP($B20,flows!$A$2:$J$2954,K$2,FALSE),0)</f>
        <v>0</v>
      </c>
      <c r="L20" s="784">
        <f>IFERROR(VLOOKUP($B20,flows!$A$2:$J$2954,L$2,FALSE),0)</f>
        <v>0</v>
      </c>
      <c r="M20" s="785" t="s">
        <v>3165</v>
      </c>
      <c r="O20" s="513" t="s">
        <v>3217</v>
      </c>
      <c r="P20" s="509" t="s">
        <v>2825</v>
      </c>
      <c r="Q20" s="510" t="s">
        <v>3218</v>
      </c>
      <c r="R20" s="511">
        <f t="shared" ref="R20:Y20" si="4">SUM(R17:R19)</f>
        <v>2.7731992019318238E-2</v>
      </c>
      <c r="S20" s="511">
        <f t="shared" si="4"/>
        <v>176.02182367986046</v>
      </c>
      <c r="T20" s="511">
        <f t="shared" si="4"/>
        <v>183.70884557543968</v>
      </c>
      <c r="U20" s="511">
        <f t="shared" si="4"/>
        <v>1.1857183564658393</v>
      </c>
      <c r="V20" s="511">
        <f t="shared" si="4"/>
        <v>3.7283587076399458</v>
      </c>
      <c r="W20" s="511">
        <f t="shared" si="4"/>
        <v>1.4763863428555405E-4</v>
      </c>
      <c r="X20" s="511">
        <f t="shared" si="4"/>
        <v>1.0795050114202788E-4</v>
      </c>
      <c r="Y20" s="511">
        <f t="shared" si="4"/>
        <v>0</v>
      </c>
      <c r="Z20" s="512" t="s">
        <v>3210</v>
      </c>
    </row>
    <row r="21" spans="2:26" ht="20.149999999999999" customHeight="1" x14ac:dyDescent="0.35">
      <c r="B21" s="781" t="s">
        <v>3231</v>
      </c>
      <c r="C21" s="782" t="s">
        <v>3197</v>
      </c>
      <c r="D21" s="782" t="s">
        <v>3198</v>
      </c>
      <c r="E21" s="783">
        <f>IFERROR(VLOOKUP($B21,flows!$A$2:$J$2954,E$2,FALSE),0)</f>
        <v>3.7366385727630048E-2</v>
      </c>
      <c r="F21" s="783">
        <f>IFERROR(VLOOKUP($B21,flows!$A$2:$J$2954,F$2,FALSE),0)</f>
        <v>0</v>
      </c>
      <c r="G21" s="783">
        <f>IFERROR(VLOOKUP($B21,flows!$A$2:$J$2954,G$2,FALSE),0)</f>
        <v>224.68838501494821</v>
      </c>
      <c r="H21" s="783">
        <f>IFERROR(VLOOKUP($B21,flows!$A$2:$J$2954,H$2,FALSE),0)</f>
        <v>229.5706991814105</v>
      </c>
      <c r="I21" s="783">
        <f>IFERROR(VLOOKUP($B21,flows!$A$2:$J$2954,I$2,FALSE),0)</f>
        <v>229.51914892051121</v>
      </c>
      <c r="J21" s="783">
        <f>IFERROR(VLOOKUP($B21,flows!$A$2:$J$2954,J$2,FALSE),0)</f>
        <v>1.7781477346790751E-3</v>
      </c>
      <c r="K21" s="783">
        <f>IFERROR(VLOOKUP($B21,flows!$A$2:$J$2954,K$2,FALSE),0)</f>
        <v>8.6301248130788824E-5</v>
      </c>
      <c r="L21" s="784">
        <f>IFERROR(VLOOKUP($B21,flows!$A$2:$J$2954,L$2,FALSE),0)</f>
        <v>0</v>
      </c>
      <c r="M21" s="785" t="s">
        <v>3165</v>
      </c>
      <c r="O21" s="525" t="s">
        <v>3220</v>
      </c>
      <c r="P21" s="516" t="s">
        <v>3221</v>
      </c>
      <c r="Q21" s="517" t="s">
        <v>3220</v>
      </c>
      <c r="R21" s="518">
        <f t="shared" ref="R21:Y21" si="5">R20/R8</f>
        <v>3.914814814814815</v>
      </c>
      <c r="S21" s="518">
        <f t="shared" si="5"/>
        <v>3.914814814814815</v>
      </c>
      <c r="T21" s="518">
        <f t="shared" si="5"/>
        <v>3.9148148148148141</v>
      </c>
      <c r="U21" s="518">
        <f t="shared" si="5"/>
        <v>3.9148148148148132</v>
      </c>
      <c r="V21" s="518">
        <f t="shared" si="5"/>
        <v>3.9148148148148154</v>
      </c>
      <c r="W21" s="518">
        <f t="shared" si="5"/>
        <v>3.9148148148148145</v>
      </c>
      <c r="X21" s="518">
        <f t="shared" si="5"/>
        <v>3.914814814814815</v>
      </c>
      <c r="Y21" s="518" t="e">
        <f t="shared" si="5"/>
        <v>#DIV/0!</v>
      </c>
      <c r="Z21" s="519" t="s">
        <v>3210</v>
      </c>
    </row>
    <row r="22" spans="2:26" ht="20.149999999999999" customHeight="1" x14ac:dyDescent="0.35">
      <c r="B22" s="781" t="s">
        <v>3232</v>
      </c>
      <c r="C22" s="782" t="s">
        <v>3202</v>
      </c>
      <c r="D22" s="782" t="s">
        <v>3203</v>
      </c>
      <c r="E22" s="783">
        <f>IFERROR(VLOOKUP($B22,flows!$A$2:$J$2954,E$2,FALSE),0)</f>
        <v>4.767006581010607E-2</v>
      </c>
      <c r="F22" s="783">
        <f>IFERROR(VLOOKUP($B22,flows!$A$2:$J$2954,F$2,FALSE),0)</f>
        <v>0</v>
      </c>
      <c r="G22" s="783">
        <f>IFERROR(VLOOKUP($B22,flows!$A$2:$J$2954,G$2,FALSE),0)</f>
        <v>1.184939360802598</v>
      </c>
      <c r="H22" s="783">
        <f>IFERROR(VLOOKUP($B22,flows!$A$2:$J$2954,H$2,FALSE),0)</f>
        <v>2.853287100980581E-3</v>
      </c>
      <c r="I22" s="783">
        <f>IFERROR(VLOOKUP($B22,flows!$A$2:$J$2954,I$2,FALSE),0)</f>
        <v>3.6936771719895622E-3</v>
      </c>
      <c r="J22" s="783">
        <f>IFERROR(VLOOKUP($B22,flows!$A$2:$J$2954,J$2,FALSE),0)</f>
        <v>2.5217289321458622E-4</v>
      </c>
      <c r="K22" s="783">
        <f>IFERROR(VLOOKUP($B22,flows!$A$2:$J$2954,K$2,FALSE),0)</f>
        <v>1.130420615900036E-4</v>
      </c>
      <c r="L22" s="784">
        <f>IFERROR(VLOOKUP($B22,flows!$A$2:$J$2954,L$2,FALSE),0)</f>
        <v>0</v>
      </c>
      <c r="M22" s="785" t="s">
        <v>3165</v>
      </c>
      <c r="O22" s="513" t="s">
        <v>3233</v>
      </c>
      <c r="P22" s="509" t="s">
        <v>3224</v>
      </c>
      <c r="Q22" s="510" t="s">
        <v>3225</v>
      </c>
      <c r="R22" s="511">
        <f>IFERROR(VLOOKUP($O22,flows!$A$2:$J$2954,R$2,FALSE),0)</f>
        <v>1.3922873494303999E-2</v>
      </c>
      <c r="S22" s="511">
        <f>IFERROR(VLOOKUP($O22,flows!$A$2:$J$2954,S$2,FALSE),0)</f>
        <v>0</v>
      </c>
      <c r="T22" s="511">
        <f>IFERROR(VLOOKUP($O22,flows!$A$2:$J$2954,T$2,FALSE),0)</f>
        <v>4.5856983488796779</v>
      </c>
      <c r="U22" s="511">
        <f>IFERROR(VLOOKUP($O22,flows!$A$2:$J$2954,U$2,FALSE),0)</f>
        <v>1.680501650273667E-3</v>
      </c>
      <c r="V22" s="511">
        <f>IFERROR(VLOOKUP($O22,flows!$A$2:$J$2954,V$2,FALSE),0)</f>
        <v>0.19277999758047709</v>
      </c>
      <c r="W22" s="511">
        <f>IFERROR(VLOOKUP($O22,flows!$A$2:$J$2954,W$2,FALSE),0)</f>
        <v>4.3470897859665701E-5</v>
      </c>
      <c r="X22" s="511">
        <f>IFERROR(VLOOKUP($O22,flows!$A$2:$J$2954,X$2,FALSE),0)</f>
        <v>4.8939036173758488E-5</v>
      </c>
      <c r="Y22" s="511">
        <f>IFERROR(VLOOKUP($O22,flows!$A$2:$J$2954,Y$2,FALSE),0)</f>
        <v>0</v>
      </c>
      <c r="Z22" s="512" t="s">
        <v>3210</v>
      </c>
    </row>
    <row r="23" spans="2:26" ht="20.149999999999999" customHeight="1" x14ac:dyDescent="0.35">
      <c r="B23" s="781" t="s">
        <v>3234</v>
      </c>
      <c r="C23" s="782" t="s">
        <v>3205</v>
      </c>
      <c r="D23" s="782" t="s">
        <v>3206</v>
      </c>
      <c r="E23" s="783">
        <f>IFERROR(VLOOKUP($B23,flows!$A$2:$J$2954,E$2,FALSE),0)</f>
        <v>0</v>
      </c>
      <c r="F23" s="783">
        <f>IFERROR(VLOOKUP($B23,flows!$A$2:$J$2954,F$2,FALSE),0)</f>
        <v>0</v>
      </c>
      <c r="G23" s="783">
        <f>IFERROR(VLOOKUP($B23,flows!$A$2:$J$2954,G$2,FALSE),0)</f>
        <v>0</v>
      </c>
      <c r="H23" s="783">
        <f>IFERROR(VLOOKUP($B23,flows!$A$2:$J$2954,H$2,FALSE),0)</f>
        <v>0</v>
      </c>
      <c r="I23" s="783">
        <f>IFERROR(VLOOKUP($B23,flows!$A$2:$J$2954,I$2,FALSE),0)</f>
        <v>0</v>
      </c>
      <c r="J23" s="783">
        <f>IFERROR(VLOOKUP($B23,flows!$A$2:$J$2954,J$2,FALSE),0)</f>
        <v>0</v>
      </c>
      <c r="K23" s="783">
        <f>IFERROR(VLOOKUP($B23,flows!$A$2:$J$2954,K$2,FALSE),0)</f>
        <v>0</v>
      </c>
      <c r="L23" s="784">
        <f>IFERROR(VLOOKUP($B23,flows!$A$2:$J$2954,L$2,FALSE),0)</f>
        <v>0</v>
      </c>
      <c r="M23" s="785" t="s">
        <v>3165</v>
      </c>
      <c r="O23" s="513" t="s">
        <v>3235</v>
      </c>
      <c r="P23" s="509" t="s">
        <v>3208</v>
      </c>
      <c r="Q23" s="510" t="s">
        <v>3209</v>
      </c>
      <c r="R23" s="511">
        <f>IFERROR(VLOOKUP($O23,flows!$A$2:$J$2954,R$2,FALSE),0)</f>
        <v>1.8055599632382721E-2</v>
      </c>
      <c r="S23" s="511">
        <f>IFERROR(VLOOKUP($O23,flows!$A$2:$J$2954,S$2,FALSE),0)</f>
        <v>0</v>
      </c>
      <c r="T23" s="511">
        <f>IFERROR(VLOOKUP($O23,flows!$A$2:$J$2954,T$2,FALSE),0)</f>
        <v>5.9468710576249437</v>
      </c>
      <c r="U23" s="511">
        <f>IFERROR(VLOOKUP($O23,flows!$A$2:$J$2954,U$2,FALSE),0)</f>
        <v>2.1793249066949568E-3</v>
      </c>
      <c r="V23" s="511">
        <f>IFERROR(VLOOKUP($O23,flows!$A$2:$J$2954,V$2,FALSE),0)</f>
        <v>0.25000287870667071</v>
      </c>
      <c r="W23" s="511">
        <f>IFERROR(VLOOKUP($O23,flows!$A$2:$J$2954,W$2,FALSE),0)</f>
        <v>5.6374363218586663E-5</v>
      </c>
      <c r="X23" s="511">
        <f>IFERROR(VLOOKUP($O23,flows!$A$2:$J$2954,X$2,FALSE),0)</f>
        <v>6.3465608870868373E-5</v>
      </c>
      <c r="Y23" s="511">
        <f>IFERROR(VLOOKUP($O23,flows!$A$2:$J$2954,Y$2,FALSE),0)</f>
        <v>0</v>
      </c>
      <c r="Z23" s="512" t="s">
        <v>3210</v>
      </c>
    </row>
    <row r="24" spans="2:26" ht="20.149999999999999" customHeight="1" x14ac:dyDescent="0.35">
      <c r="B24" s="786" t="s">
        <v>2031</v>
      </c>
      <c r="C24" s="787" t="s">
        <v>1229</v>
      </c>
      <c r="D24" s="787" t="s">
        <v>3212</v>
      </c>
      <c r="E24" s="788">
        <f t="shared" ref="E24:L24" si="6">SUM(E15:E23)</f>
        <v>4957.7568696336921</v>
      </c>
      <c r="F24" s="788">
        <f t="shared" si="6"/>
        <v>0</v>
      </c>
      <c r="G24" s="788">
        <f t="shared" si="6"/>
        <v>1303.8303933728505</v>
      </c>
      <c r="H24" s="788">
        <f t="shared" si="6"/>
        <v>2911.0574591900368</v>
      </c>
      <c r="I24" s="788">
        <f t="shared" si="6"/>
        <v>3331.6807280608073</v>
      </c>
      <c r="J24" s="788">
        <f t="shared" si="6"/>
        <v>3742.2788909556066</v>
      </c>
      <c r="K24" s="788">
        <f t="shared" si="6"/>
        <v>4957.2843218620283</v>
      </c>
      <c r="L24" s="788">
        <f t="shared" si="6"/>
        <v>0</v>
      </c>
      <c r="M24" s="785" t="s">
        <v>3165</v>
      </c>
      <c r="O24" s="513" t="s">
        <v>3236</v>
      </c>
      <c r="P24" s="509" t="s">
        <v>3214</v>
      </c>
      <c r="Q24" s="510" t="s">
        <v>3215</v>
      </c>
      <c r="R24" s="511">
        <f>IFERROR(VLOOKUP($O24,flows!$A$2:$J$2954,R$2,FALSE),0)</f>
        <v>6.1830397852226139E-3</v>
      </c>
      <c r="S24" s="511">
        <f>IFERROR(VLOOKUP($O24,flows!$A$2:$J$2954,S$2,FALSE),0)</f>
        <v>0</v>
      </c>
      <c r="T24" s="511">
        <f>IFERROR(VLOOKUP($O24,flows!$A$2:$J$2954,T$2,FALSE),0)</f>
        <v>2.036472955511119</v>
      </c>
      <c r="U24" s="511">
        <f>IFERROR(VLOOKUP($O24,flows!$A$2:$J$2954,U$2,FALSE),0)</f>
        <v>7.4629770693709517E-4</v>
      </c>
      <c r="V24" s="511">
        <f>IFERROR(VLOOKUP($O24,flows!$A$2:$J$2954,V$2,FALSE),0)</f>
        <v>8.5612096908217653E-2</v>
      </c>
      <c r="W24" s="511">
        <f>IFERROR(VLOOKUP($O24,flows!$A$2:$J$2954,W$2,FALSE),0)</f>
        <v>1.930508749329823E-5</v>
      </c>
      <c r="X24" s="511">
        <f>IFERROR(VLOOKUP($O24,flows!$A$2:$J$2954,X$2,FALSE),0)</f>
        <v>2.1733445171112921E-5</v>
      </c>
      <c r="Y24" s="511">
        <f>IFERROR(VLOOKUP($O24,flows!$A$2:$J$2954,Y$2,FALSE),0)</f>
        <v>0</v>
      </c>
      <c r="Z24" s="512" t="s">
        <v>3210</v>
      </c>
    </row>
    <row r="25" spans="2:26" ht="20.149999999999999" customHeight="1" x14ac:dyDescent="0.35">
      <c r="B25" s="526" t="s">
        <v>3217</v>
      </c>
      <c r="C25" s="527" t="s">
        <v>3237</v>
      </c>
      <c r="D25" s="527" t="s">
        <v>3238</v>
      </c>
      <c r="E25" s="528">
        <f t="shared" ref="E25:L25" si="7">SUM(E14+E24)</f>
        <v>4957.841778380629</v>
      </c>
      <c r="F25" s="528">
        <f t="shared" si="7"/>
        <v>4375.5044186344967</v>
      </c>
      <c r="G25" s="528">
        <f t="shared" si="7"/>
        <v>3964.747908095098</v>
      </c>
      <c r="H25" s="528">
        <f t="shared" si="7"/>
        <v>3854.0068050489926</v>
      </c>
      <c r="I25" s="528">
        <f t="shared" si="7"/>
        <v>3451.1792448644778</v>
      </c>
      <c r="J25" s="528">
        <f t="shared" si="7"/>
        <v>3819.3626763046341</v>
      </c>
      <c r="K25" s="528">
        <f t="shared" si="7"/>
        <v>4957.2845715811327</v>
      </c>
      <c r="L25" s="528">
        <f t="shared" si="7"/>
        <v>0</v>
      </c>
      <c r="M25" s="529" t="s">
        <v>3165</v>
      </c>
      <c r="O25" s="513" t="s">
        <v>3217</v>
      </c>
      <c r="P25" s="509" t="s">
        <v>2825</v>
      </c>
      <c r="Q25" s="510" t="s">
        <v>3218</v>
      </c>
      <c r="R25" s="511">
        <f t="shared" ref="R25:Y25" si="8">SUM(R22:R24)</f>
        <v>3.8161512911909334E-2</v>
      </c>
      <c r="S25" s="511">
        <f t="shared" si="8"/>
        <v>0</v>
      </c>
      <c r="T25" s="511">
        <f t="shared" si="8"/>
        <v>12.56904236201574</v>
      </c>
      <c r="U25" s="511">
        <f t="shared" si="8"/>
        <v>4.606124263905719E-3</v>
      </c>
      <c r="V25" s="511">
        <f t="shared" si="8"/>
        <v>0.52839497319536544</v>
      </c>
      <c r="W25" s="511">
        <f t="shared" si="8"/>
        <v>1.1915034857155059E-4</v>
      </c>
      <c r="X25" s="511">
        <f t="shared" si="8"/>
        <v>1.3413809021573978E-4</v>
      </c>
      <c r="Y25" s="511">
        <f t="shared" si="8"/>
        <v>0</v>
      </c>
      <c r="Z25" s="512" t="s">
        <v>3210</v>
      </c>
    </row>
    <row r="26" spans="2:26" ht="20.149999999999999" customHeight="1" x14ac:dyDescent="0.35">
      <c r="B26" s="504" t="s">
        <v>3239</v>
      </c>
      <c r="C26" s="530"/>
      <c r="D26" s="530"/>
      <c r="E26" s="531" t="s">
        <v>23</v>
      </c>
      <c r="F26" s="531" t="s">
        <v>1798</v>
      </c>
      <c r="G26" s="531" t="s">
        <v>1799</v>
      </c>
      <c r="H26" s="531" t="s">
        <v>1800</v>
      </c>
      <c r="I26" s="531" t="s">
        <v>1801</v>
      </c>
      <c r="J26" s="531" t="s">
        <v>1802</v>
      </c>
      <c r="K26" s="531" t="s">
        <v>1803</v>
      </c>
      <c r="L26" s="532" t="s">
        <v>1804</v>
      </c>
      <c r="M26" s="533"/>
      <c r="O26" s="525" t="s">
        <v>3220</v>
      </c>
      <c r="P26" s="516" t="s">
        <v>3221</v>
      </c>
      <c r="Q26" s="517" t="s">
        <v>3220</v>
      </c>
      <c r="R26" s="518">
        <f t="shared" ref="R26:Y26" si="9">R25/R9</f>
        <v>3.5225925925925927</v>
      </c>
      <c r="S26" s="518" t="e">
        <f t="shared" si="9"/>
        <v>#DIV/0!</v>
      </c>
      <c r="T26" s="518">
        <f t="shared" si="9"/>
        <v>3.5225925925925918</v>
      </c>
      <c r="U26" s="518">
        <f t="shared" si="9"/>
        <v>3.5225925925925932</v>
      </c>
      <c r="V26" s="518">
        <f t="shared" si="9"/>
        <v>3.5225925925925923</v>
      </c>
      <c r="W26" s="518">
        <f t="shared" si="9"/>
        <v>3.5225925925925932</v>
      </c>
      <c r="X26" s="518">
        <f t="shared" si="9"/>
        <v>3.5225925925925918</v>
      </c>
      <c r="Y26" s="518" t="e">
        <f t="shared" si="9"/>
        <v>#DIV/0!</v>
      </c>
      <c r="Z26" s="519" t="s">
        <v>3210</v>
      </c>
    </row>
    <row r="27" spans="2:26" ht="20.149999999999999" customHeight="1" x14ac:dyDescent="0.35">
      <c r="B27" s="781" t="s">
        <v>3240</v>
      </c>
      <c r="C27" s="782" t="s">
        <v>3163</v>
      </c>
      <c r="D27" s="782" t="s">
        <v>3164</v>
      </c>
      <c r="E27" s="783">
        <f>IFERROR(VLOOKUP($B27,flows!$A$2:$J$2954,E$2,FALSE),0)</f>
        <v>2022.590822414674</v>
      </c>
      <c r="F27" s="783">
        <f>IFERROR(VLOOKUP($B27,flows!$A$2:$J$2954,F$2,FALSE),0)</f>
        <v>0</v>
      </c>
      <c r="G27" s="783">
        <f>IFERROR(VLOOKUP($B27,flows!$A$2:$J$2954,G$2,FALSE),0)</f>
        <v>6.4380158964001284</v>
      </c>
      <c r="H27" s="783">
        <f>IFERROR(VLOOKUP($B27,flows!$A$2:$J$2954,H$2,FALSE),0)</f>
        <v>129.3768913381017</v>
      </c>
      <c r="I27" s="783">
        <f>IFERROR(VLOOKUP($B27,flows!$A$2:$J$2954,I$2,FALSE),0)</f>
        <v>335.16682017055979</v>
      </c>
      <c r="J27" s="783">
        <f>IFERROR(VLOOKUP($B27,flows!$A$2:$J$2954,J$2,FALSE),0)</f>
        <v>810.29869553704157</v>
      </c>
      <c r="K27" s="783">
        <f>IFERROR(VLOOKUP($B27,flows!$A$2:$J$2954,K$2,FALSE),0)</f>
        <v>2022.6838086872431</v>
      </c>
      <c r="L27" s="784">
        <f>IFERROR(VLOOKUP($B27,flows!$A$2:$J$2954,L$2,FALSE),0)</f>
        <v>0</v>
      </c>
      <c r="M27" s="785" t="s">
        <v>3165</v>
      </c>
      <c r="O27" s="514" t="s">
        <v>3241</v>
      </c>
      <c r="P27" s="509" t="s">
        <v>3224</v>
      </c>
      <c r="Q27" s="510" t="s">
        <v>3225</v>
      </c>
      <c r="R27" s="511">
        <f>IFERROR(VLOOKUP($O27,flows!$A$2:$J$2954,R$2,FALSE),0)</f>
        <v>5.6683364307067081E-4</v>
      </c>
      <c r="S27" s="511">
        <f>IFERROR(VLOOKUP($O27,flows!$A$2:$J$2954,S$2,FALSE),0)</f>
        <v>13.357081359239009</v>
      </c>
      <c r="T27" s="511">
        <f>IFERROR(VLOOKUP($O27,flows!$A$2:$J$2954,T$2,FALSE),0)</f>
        <v>6.4781146476460876</v>
      </c>
      <c r="U27" s="511">
        <f>IFERROR(VLOOKUP($O27,flows!$A$2:$J$2954,U$2,FALSE),0)</f>
        <v>0.25755395448866542</v>
      </c>
      <c r="V27" s="511">
        <f>IFERROR(VLOOKUP($O27,flows!$A$2:$J$2954,V$2,FALSE),0)</f>
        <v>0.29579496115027448</v>
      </c>
      <c r="W27" s="511">
        <f>IFERROR(VLOOKUP($O27,flows!$A$2:$J$2954,W$2,FALSE),0)</f>
        <v>4.6182928036500717E-2</v>
      </c>
      <c r="X27" s="511">
        <f>IFERROR(VLOOKUP($O27,flows!$A$2:$J$2954,X$2,FALSE),0)</f>
        <v>8.896118919649692E-6</v>
      </c>
      <c r="Y27" s="511">
        <f>IFERROR(VLOOKUP($O27,flows!$A$2:$J$2954,Y$2,FALSE),0)</f>
        <v>0</v>
      </c>
      <c r="Z27" s="512" t="s">
        <v>3210</v>
      </c>
    </row>
    <row r="28" spans="2:26" ht="20.149999999999999" customHeight="1" x14ac:dyDescent="0.35">
      <c r="B28" s="781" t="s">
        <v>3242</v>
      </c>
      <c r="C28" s="782" t="s">
        <v>3169</v>
      </c>
      <c r="D28" s="782" t="s">
        <v>2266</v>
      </c>
      <c r="E28" s="783">
        <f>IFERROR(VLOOKUP($B28,flows!$A$2:$J$2954,E$2,FALSE),0)</f>
        <v>1.5944705565791171E-2</v>
      </c>
      <c r="F28" s="783">
        <f>IFERROR(VLOOKUP($B28,flows!$A$2:$J$2954,F$2,FALSE),0)</f>
        <v>696.33745385340058</v>
      </c>
      <c r="G28" s="783">
        <f>IFERROR(VLOOKUP($B28,flows!$A$2:$J$2954,G$2,FALSE),0)</f>
        <v>747.40941300050952</v>
      </c>
      <c r="H28" s="783">
        <f>IFERROR(VLOOKUP($B28,flows!$A$2:$J$2954,H$2,FALSE),0)</f>
        <v>702.94782985577694</v>
      </c>
      <c r="I28" s="783">
        <f>IFERROR(VLOOKUP($B28,flows!$A$2:$J$2954,I$2,FALSE),0)</f>
        <v>247.91299499270411</v>
      </c>
      <c r="J28" s="783">
        <f>IFERROR(VLOOKUP($B28,flows!$A$2:$J$2954,J$2,FALSE),0)</f>
        <v>284.69653867601011</v>
      </c>
      <c r="K28" s="783">
        <f>IFERROR(VLOOKUP($B28,flows!$A$2:$J$2954,K$2,FALSE),0)</f>
        <v>9.9621070477017018E-5</v>
      </c>
      <c r="L28" s="784">
        <f>IFERROR(VLOOKUP($B28,flows!$A$2:$J$2954,L$2,FALSE),0)</f>
        <v>0</v>
      </c>
      <c r="M28" s="785" t="s">
        <v>3165</v>
      </c>
      <c r="O28" s="513" t="s">
        <v>3243</v>
      </c>
      <c r="P28" s="509" t="s">
        <v>3244</v>
      </c>
      <c r="Q28" s="510" t="s">
        <v>3245</v>
      </c>
      <c r="R28" s="511">
        <f>IFERROR(VLOOKUP($O28,flows!$A$2:$J$2954,R$2,FALSE),0)</f>
        <v>1.667157773737267E-3</v>
      </c>
      <c r="S28" s="511">
        <f>IFERROR(VLOOKUP($O28,flows!$A$2:$J$2954,S$2,FALSE),0)</f>
        <v>39.285533409526487</v>
      </c>
      <c r="T28" s="511">
        <f>IFERROR(VLOOKUP($O28,flows!$A$2:$J$2954,T$2,FALSE),0)</f>
        <v>19.05327837542967</v>
      </c>
      <c r="U28" s="511">
        <f>IFERROR(VLOOKUP($O28,flows!$A$2:$J$2954,U$2,FALSE),0)</f>
        <v>0.75751163084901585</v>
      </c>
      <c r="V28" s="511">
        <f>IFERROR(VLOOKUP($O28,flows!$A$2:$J$2954,V$2,FALSE),0)</f>
        <v>0.86998517985374846</v>
      </c>
      <c r="W28" s="511">
        <f>IFERROR(VLOOKUP($O28,flows!$A$2:$J$2954,W$2,FALSE),0)</f>
        <v>0.13583214128382559</v>
      </c>
      <c r="X28" s="511">
        <f>IFERROR(VLOOKUP($O28,flows!$A$2:$J$2954,X$2,FALSE),0)</f>
        <v>2.616505564602851E-5</v>
      </c>
      <c r="Y28" s="511">
        <f>IFERROR(VLOOKUP($O28,flows!$A$2:$J$2954,Y$2,FALSE),0)</f>
        <v>0</v>
      </c>
      <c r="Z28" s="512" t="s">
        <v>3210</v>
      </c>
    </row>
    <row r="29" spans="2:26" ht="20.149999999999999" customHeight="1" x14ac:dyDescent="0.35">
      <c r="B29" s="781" t="s">
        <v>3246</v>
      </c>
      <c r="C29" s="782" t="s">
        <v>3174</v>
      </c>
      <c r="D29" s="782" t="s">
        <v>3175</v>
      </c>
      <c r="E29" s="783">
        <f>IFERROR(VLOOKUP($B29,flows!$A$2:$J$2954,E$2,FALSE),0)</f>
        <v>1.746389482736168E-2</v>
      </c>
      <c r="F29" s="783">
        <f>IFERROR(VLOOKUP($B29,flows!$A$2:$J$2954,F$2,FALSE),0)</f>
        <v>1220.1748570078689</v>
      </c>
      <c r="G29" s="783">
        <f>IFERROR(VLOOKUP($B29,flows!$A$2:$J$2954,G$2,FALSE),0)</f>
        <v>1303.1146272626131</v>
      </c>
      <c r="H29" s="783">
        <f>IFERROR(VLOOKUP($B29,flows!$A$2:$J$2954,H$2,FALSE),0)</f>
        <v>930.78655823060171</v>
      </c>
      <c r="I29" s="783">
        <f>IFERROR(VLOOKUP($B29,flows!$A$2:$J$2954,I$2,FALSE),0)</f>
        <v>752.46400018200416</v>
      </c>
      <c r="J29" s="783">
        <f>IFERROR(VLOOKUP($B29,flows!$A$2:$J$2954,J$2,FALSE),0)</f>
        <v>153.29977567240269</v>
      </c>
      <c r="K29" s="783">
        <f>IFERROR(VLOOKUP($B29,flows!$A$2:$J$2954,K$2,FALSE),0)</f>
        <v>1.131841392166068E-4</v>
      </c>
      <c r="L29" s="784">
        <f>IFERROR(VLOOKUP($B29,flows!$A$2:$J$2954,L$2,FALSE),0)</f>
        <v>0</v>
      </c>
      <c r="M29" s="785" t="s">
        <v>3165</v>
      </c>
      <c r="O29" s="513" t="s">
        <v>3247</v>
      </c>
      <c r="P29" s="509" t="s">
        <v>3208</v>
      </c>
      <c r="Q29" s="510" t="s">
        <v>3209</v>
      </c>
      <c r="R29" s="511">
        <f>IFERROR(VLOOKUP($O29,flows!$A$2:$J$2954,R$2,FALSE),0)</f>
        <v>4.5324462675337171E-2</v>
      </c>
      <c r="S29" s="511">
        <f>IFERROR(VLOOKUP($O29,flows!$A$2:$J$2954,S$2,FALSE),0)</f>
        <v>1068.0427016269939</v>
      </c>
      <c r="T29" s="511">
        <f>IFERROR(VLOOKUP($O29,flows!$A$2:$J$2954,T$2,FALSE),0)</f>
        <v>517.99512810001465</v>
      </c>
      <c r="U29" s="511">
        <f>IFERROR(VLOOKUP($O29,flows!$A$2:$J$2954,U$2,FALSE),0)</f>
        <v>20.59421620401525</v>
      </c>
      <c r="V29" s="511">
        <f>IFERROR(VLOOKUP($O29,flows!$A$2:$J$2954,V$2,FALSE),0)</f>
        <v>23.651997089623912</v>
      </c>
      <c r="W29" s="511">
        <f>IFERROR(VLOOKUP($O29,flows!$A$2:$J$2954,W$2,FALSE),0)</f>
        <v>3.6928231477029398</v>
      </c>
      <c r="X29" s="511">
        <f>IFERROR(VLOOKUP($O29,flows!$A$2:$J$2954,X$2,FALSE),0)</f>
        <v>7.1134064616336173E-4</v>
      </c>
      <c r="Y29" s="511">
        <f>IFERROR(VLOOKUP($O29,flows!$A$2:$J$2954,Y$2,FALSE),0)</f>
        <v>0</v>
      </c>
      <c r="Z29" s="512" t="s">
        <v>3210</v>
      </c>
    </row>
    <row r="30" spans="2:26" ht="20.149999999999999" customHeight="1" thickBot="1" x14ac:dyDescent="0.4">
      <c r="B30" s="781" t="s">
        <v>3248</v>
      </c>
      <c r="C30" s="782" t="s">
        <v>3180</v>
      </c>
      <c r="D30" s="782" t="s">
        <v>3181</v>
      </c>
      <c r="E30" s="783">
        <f>IFERROR(VLOOKUP($B30,flows!$A$2:$J$2954,E$2,FALSE),0)</f>
        <v>2.34447462334133E-3</v>
      </c>
      <c r="F30" s="783">
        <f>IFERROR(VLOOKUP($B30,flows!$A$2:$J$2954,F$2,FALSE),0)</f>
        <v>76.781765255169844</v>
      </c>
      <c r="G30" s="783">
        <f>IFERROR(VLOOKUP($B30,flows!$A$2:$J$2954,G$2,FALSE),0)</f>
        <v>17.0472685184975</v>
      </c>
      <c r="H30" s="783">
        <f>IFERROR(VLOOKUP($B30,flows!$A$2:$J$2954,H$2,FALSE),0)</f>
        <v>1.576117631638573</v>
      </c>
      <c r="I30" s="783">
        <f>IFERROR(VLOOKUP($B30,flows!$A$2:$J$2954,I$2,FALSE),0)</f>
        <v>0.32849452067497359</v>
      </c>
      <c r="J30" s="783">
        <f>IFERROR(VLOOKUP($B30,flows!$A$2:$J$2954,J$2,FALSE),0)</f>
        <v>1.2596086790174439E-4</v>
      </c>
      <c r="K30" s="783">
        <f>IFERROR(VLOOKUP($B30,flows!$A$2:$J$2954,K$2,FALSE),0)</f>
        <v>8.078810693425503E-6</v>
      </c>
      <c r="L30" s="784">
        <f>IFERROR(VLOOKUP($B30,flows!$A$2:$J$2954,L$2,FALSE),0)</f>
        <v>0</v>
      </c>
      <c r="M30" s="785" t="s">
        <v>3165</v>
      </c>
      <c r="O30" s="513"/>
      <c r="P30" s="509"/>
      <c r="Q30" s="825"/>
      <c r="R30" s="826"/>
      <c r="S30" s="826"/>
      <c r="T30" s="826"/>
      <c r="U30" s="826"/>
      <c r="V30" s="826"/>
      <c r="W30" s="826"/>
      <c r="X30" s="826"/>
      <c r="Y30" s="826"/>
      <c r="Z30" s="512"/>
    </row>
    <row r="31" spans="2:26" ht="20.149999999999999" customHeight="1" x14ac:dyDescent="0.35">
      <c r="B31" s="781" t="s">
        <v>3249</v>
      </c>
      <c r="C31" s="782" t="s">
        <v>3186</v>
      </c>
      <c r="D31" s="782" t="s">
        <v>3187</v>
      </c>
      <c r="E31" s="783">
        <f>IFERROR(VLOOKUP($B31,flows!$A$2:$J$2954,E$2,FALSE),0)</f>
        <v>2.6299342743122552E-3</v>
      </c>
      <c r="F31" s="783">
        <f>IFERROR(VLOOKUP($B31,flows!$A$2:$J$2954,F$2,FALSE),0)</f>
        <v>136.31013065485581</v>
      </c>
      <c r="G31" s="783">
        <f>IFERROR(VLOOKUP($B31,flows!$A$2:$J$2954,G$2,FALSE),0)</f>
        <v>18.41886746762825</v>
      </c>
      <c r="H31" s="783">
        <f>IFERROR(VLOOKUP($B31,flows!$A$2:$J$2954,H$2,FALSE),0)</f>
        <v>2.1808100781633359</v>
      </c>
      <c r="I31" s="783">
        <f>IFERROR(VLOOKUP($B31,flows!$A$2:$J$2954,I$2,FALSE),0)</f>
        <v>0.29970000845309119</v>
      </c>
      <c r="J31" s="783">
        <f>IFERROR(VLOOKUP($B31,flows!$A$2:$J$2954,J$2,FALSE),0)</f>
        <v>1.400957560966961E-4</v>
      </c>
      <c r="K31" s="783">
        <f>IFERROR(VLOOKUP($B31,flows!$A$2:$J$2954,K$2,FALSE),0)</f>
        <v>9.0605321323422182E-6</v>
      </c>
      <c r="L31" s="784">
        <f>IFERROR(VLOOKUP($B31,flows!$A$2:$J$2954,L$2,FALSE),0)</f>
        <v>0</v>
      </c>
      <c r="M31" s="785" t="s">
        <v>3165</v>
      </c>
      <c r="O31" s="513"/>
      <c r="P31" s="509"/>
      <c r="Q31" s="829" t="s">
        <v>3908</v>
      </c>
      <c r="R31" s="830">
        <f>R13+R18+R23+R29</f>
        <v>1096.9619463963847</v>
      </c>
      <c r="S31" s="830">
        <f t="shared" ref="S31:Y31" si="10">S13+S18+S23+S29</f>
        <v>1732.8658649157112</v>
      </c>
      <c r="T31" s="830">
        <f t="shared" si="10"/>
        <v>1276.8068999986629</v>
      </c>
      <c r="U31" s="830">
        <f t="shared" si="10"/>
        <v>1071.1463287797619</v>
      </c>
      <c r="V31" s="830">
        <f t="shared" si="10"/>
        <v>1075.6087388363683</v>
      </c>
      <c r="W31" s="830">
        <f t="shared" si="10"/>
        <v>1073.5547013279668</v>
      </c>
      <c r="X31" s="830">
        <f t="shared" si="10"/>
        <v>1096.9753833329887</v>
      </c>
      <c r="Y31" s="830">
        <f t="shared" si="10"/>
        <v>0</v>
      </c>
      <c r="Z31" s="512"/>
    </row>
    <row r="32" spans="2:26" ht="20.149999999999999" customHeight="1" x14ac:dyDescent="0.35">
      <c r="B32" s="781" t="s">
        <v>3250</v>
      </c>
      <c r="C32" s="782" t="s">
        <v>3191</v>
      </c>
      <c r="D32" s="782" t="s">
        <v>3192</v>
      </c>
      <c r="E32" s="783">
        <f>IFERROR(VLOOKUP($B32,flows!$A$2:$J$2954,E$2,FALSE),0)</f>
        <v>2.1828459100121451E-2</v>
      </c>
      <c r="F32" s="783">
        <f>IFERROR(VLOOKUP($B32,flows!$A$2:$J$2954,F$2,FALSE),0)</f>
        <v>0</v>
      </c>
      <c r="G32" s="783">
        <f>IFERROR(VLOOKUP($B32,flows!$A$2:$J$2954,G$2,FALSE),0)</f>
        <v>40.806417560779458</v>
      </c>
      <c r="H32" s="783">
        <f>IFERROR(VLOOKUP($B32,flows!$A$2:$J$2954,H$2,FALSE),0)</f>
        <v>110.5457161501505</v>
      </c>
      <c r="I32" s="783">
        <f>IFERROR(VLOOKUP($B32,flows!$A$2:$J$2954,I$2,FALSE),0)</f>
        <v>352.99223758596128</v>
      </c>
      <c r="J32" s="783">
        <f>IFERROR(VLOOKUP($B32,flows!$A$2:$J$2954,J$2,FALSE),0)</f>
        <v>413.47095809611591</v>
      </c>
      <c r="K32" s="783">
        <f>IFERROR(VLOOKUP($B32,flows!$A$2:$J$2954,K$2,FALSE),0)</f>
        <v>1.4287044927209771E-4</v>
      </c>
      <c r="L32" s="784">
        <f>IFERROR(VLOOKUP($B32,flows!$A$2:$J$2954,L$2,FALSE),0)</f>
        <v>0</v>
      </c>
      <c r="M32" s="785" t="s">
        <v>3165</v>
      </c>
      <c r="O32" s="513"/>
      <c r="P32" s="509"/>
      <c r="Q32" s="510" t="s">
        <v>3909</v>
      </c>
      <c r="R32" s="511">
        <f>R14+R19+R24</f>
        <v>9.2631088490296403</v>
      </c>
      <c r="S32" s="511">
        <f t="shared" ref="S32:Y32" si="11">S14+S19+S24</f>
        <v>117.11866120462093</v>
      </c>
      <c r="T32" s="511">
        <f t="shared" si="11"/>
        <v>124.76684211122458</v>
      </c>
      <c r="U32" s="511">
        <f t="shared" si="11"/>
        <v>9.6009130369779712</v>
      </c>
      <c r="V32" s="511">
        <f t="shared" si="11"/>
        <v>11.306414334030695</v>
      </c>
      <c r="W32" s="511">
        <f t="shared" si="11"/>
        <v>9.0117341032843683</v>
      </c>
      <c r="X32" s="511">
        <f t="shared" si="11"/>
        <v>9.2400868281156487</v>
      </c>
      <c r="Y32" s="511">
        <f t="shared" si="11"/>
        <v>0</v>
      </c>
      <c r="Z32" s="512"/>
    </row>
    <row r="33" spans="2:26" ht="20.149999999999999" customHeight="1" x14ac:dyDescent="0.35">
      <c r="B33" s="781" t="s">
        <v>3253</v>
      </c>
      <c r="C33" s="782" t="s">
        <v>3197</v>
      </c>
      <c r="D33" s="782" t="s">
        <v>3198</v>
      </c>
      <c r="E33" s="783">
        <f>IFERROR(VLOOKUP($B33,flows!$A$2:$J$2954,E$2,FALSE),0)</f>
        <v>1.9241701895489061E-2</v>
      </c>
      <c r="F33" s="783">
        <f>IFERROR(VLOOKUP($B33,flows!$A$2:$J$2954,F$2,FALSE),0)</f>
        <v>0</v>
      </c>
      <c r="G33" s="783">
        <f>IFERROR(VLOOKUP($B33,flows!$A$2:$J$2954,G$2,FALSE),0)</f>
        <v>13.940445686206051</v>
      </c>
      <c r="H33" s="783">
        <f>IFERROR(VLOOKUP($B33,flows!$A$2:$J$2954,H$2,FALSE),0)</f>
        <v>5.8677448716194777E-2</v>
      </c>
      <c r="I33" s="783">
        <f>IFERROR(VLOOKUP($B33,flows!$A$2:$J$2954,I$2,FALSE),0)</f>
        <v>42.806889692570408</v>
      </c>
      <c r="J33" s="783">
        <f>IFERROR(VLOOKUP($B33,flows!$A$2:$J$2954,J$2,FALSE),0)</f>
        <v>5.9425214543539981E-4</v>
      </c>
      <c r="K33" s="783">
        <f>IFERROR(VLOOKUP($B33,flows!$A$2:$J$2954,K$2,FALSE),0)</f>
        <v>5.4921196506714632E-5</v>
      </c>
      <c r="L33" s="784">
        <f>IFERROR(VLOOKUP($B33,flows!$A$2:$J$2954,L$2,FALSE),0)</f>
        <v>0</v>
      </c>
      <c r="M33" s="785" t="s">
        <v>3165</v>
      </c>
      <c r="O33" s="513"/>
      <c r="P33" s="509"/>
      <c r="Q33" s="510" t="s">
        <v>3910</v>
      </c>
      <c r="R33" s="511" t="e">
        <f>(R17+R22+R27)*(1-Erdgas!F16)</f>
        <v>#N/A</v>
      </c>
      <c r="S33" s="511" t="e">
        <f>(S17+S22+S27)*(1-Erdgas!G16)</f>
        <v>#N/A</v>
      </c>
      <c r="T33" s="511" t="e">
        <f>(T17+T22+T27)*(1-Erdgas!H16)</f>
        <v>#N/A</v>
      </c>
      <c r="U33" s="511" t="e">
        <f>(U17+U22+U27)*(1-Erdgas!I16)</f>
        <v>#N/A</v>
      </c>
      <c r="V33" s="511" t="e">
        <f>(V17+V22+V27)*(1-Erdgas!J16)</f>
        <v>#N/A</v>
      </c>
      <c r="W33" s="511" t="e">
        <f>(W17+W22+W27)*(1-Erdgas!K16)</f>
        <v>#N/A</v>
      </c>
      <c r="X33" s="511" t="e">
        <f>(X17+X22+X27)*(1-Erdgas!L16)</f>
        <v>#N/A</v>
      </c>
      <c r="Y33" s="511" t="e">
        <f>(Y17+Y22+Y27)*(1-Erdgas!M16)</f>
        <v>#N/A</v>
      </c>
      <c r="Z33" s="512"/>
    </row>
    <row r="34" spans="2:26" ht="20.149999999999999" customHeight="1" x14ac:dyDescent="0.35">
      <c r="B34" s="781" t="s">
        <v>3254</v>
      </c>
      <c r="C34" s="782" t="s">
        <v>3202</v>
      </c>
      <c r="D34" s="782" t="s">
        <v>3203</v>
      </c>
      <c r="E34" s="783">
        <f>IFERROR(VLOOKUP($B34,flows!$A$2:$J$2954,E$2,FALSE),0)</f>
        <v>1.9459702336643771E-2</v>
      </c>
      <c r="F34" s="783">
        <f>IFERROR(VLOOKUP($B34,flows!$A$2:$J$2954,F$2,FALSE),0)</f>
        <v>0</v>
      </c>
      <c r="G34" s="783">
        <f>IFERROR(VLOOKUP($B34,flows!$A$2:$J$2954,G$2,FALSE),0)</f>
        <v>0.67484196207673419</v>
      </c>
      <c r="H34" s="783">
        <f>IFERROR(VLOOKUP($B34,flows!$A$2:$J$2954,H$2,FALSE),0)</f>
        <v>1.7457973276892331E-3</v>
      </c>
      <c r="I34" s="783">
        <f>IFERROR(VLOOKUP($B34,flows!$A$2:$J$2954,I$2,FALSE),0)</f>
        <v>2.2320339324659339E-3</v>
      </c>
      <c r="J34" s="783">
        <f>IFERROR(VLOOKUP($B34,flows!$A$2:$J$2954,J$2,FALSE),0)</f>
        <v>1.253348295809506E-4</v>
      </c>
      <c r="K34" s="783">
        <f>IFERROR(VLOOKUP($B34,flows!$A$2:$J$2954,K$2,FALSE),0)</f>
        <v>5.9789586780876621E-5</v>
      </c>
      <c r="L34" s="784">
        <f>IFERROR(VLOOKUP($B34,flows!$A$2:$J$2954,L$2,FALSE),0)</f>
        <v>0</v>
      </c>
      <c r="M34" s="785" t="s">
        <v>3165</v>
      </c>
      <c r="O34" s="513"/>
      <c r="P34" s="509"/>
      <c r="Q34" s="825" t="s">
        <v>4073</v>
      </c>
      <c r="R34" s="826" t="e">
        <f>(R17+R22+R27)*Erdgas!F16</f>
        <v>#N/A</v>
      </c>
      <c r="S34" s="826" t="e">
        <f>(S17+S22+S27)*Erdgas!G16</f>
        <v>#N/A</v>
      </c>
      <c r="T34" s="826" t="e">
        <f>(T17+T22+T27)*Erdgas!H16</f>
        <v>#N/A</v>
      </c>
      <c r="U34" s="826" t="e">
        <f>(U17+U22+U27)*Erdgas!I16</f>
        <v>#N/A</v>
      </c>
      <c r="V34" s="826" t="e">
        <f>(V17+V22+V27)*Erdgas!J16</f>
        <v>#N/A</v>
      </c>
      <c r="W34" s="826" t="e">
        <f>(W17+W22+W27)*Erdgas!K16</f>
        <v>#N/A</v>
      </c>
      <c r="X34" s="826" t="e">
        <f>(X17+X22+X27)*Erdgas!L16</f>
        <v>#N/A</v>
      </c>
      <c r="Y34" s="826" t="e">
        <f>(Y17+Y22+Y27)*Erdgas!M16</f>
        <v>#N/A</v>
      </c>
      <c r="Z34" s="512"/>
    </row>
    <row r="35" spans="2:26" ht="20.149999999999999" customHeight="1" thickBot="1" x14ac:dyDescent="0.4">
      <c r="B35" s="781" t="s">
        <v>3255</v>
      </c>
      <c r="C35" s="782" t="s">
        <v>3205</v>
      </c>
      <c r="D35" s="782" t="s">
        <v>3206</v>
      </c>
      <c r="E35" s="783">
        <f>IFERROR(VLOOKUP($B35,flows!$A$2:$J$2954,E$2,FALSE),0)</f>
        <v>7.7107406006548876E-2</v>
      </c>
      <c r="F35" s="783">
        <f>IFERROR(VLOOKUP($B35,flows!$A$2:$J$2954,F$2,FALSE),0)</f>
        <v>0</v>
      </c>
      <c r="G35" s="783">
        <f>IFERROR(VLOOKUP($B35,flows!$A$2:$J$2954,G$2,FALSE),0)</f>
        <v>2.9092045221746412</v>
      </c>
      <c r="H35" s="783">
        <f>IFERROR(VLOOKUP($B35,flows!$A$2:$J$2954,H$2,FALSE),0)</f>
        <v>3.1490104859644139E-2</v>
      </c>
      <c r="I35" s="783">
        <f>IFERROR(VLOOKUP($B35,flows!$A$2:$J$2954,I$2,FALSE),0)</f>
        <v>192.42151505736251</v>
      </c>
      <c r="J35" s="783">
        <f>IFERROR(VLOOKUP($B35,flows!$A$2:$J$2954,J$2,FALSE),0)</f>
        <v>309.52027151355628</v>
      </c>
      <c r="K35" s="783">
        <f>IFERROR(VLOOKUP($B35,flows!$A$2:$J$2954,K$2,FALSE),0)</f>
        <v>6.0510573381991027E-2</v>
      </c>
      <c r="L35" s="784">
        <f>IFERROR(VLOOKUP($B35,flows!$A$2:$J$2954,L$2,FALSE),0)</f>
        <v>0</v>
      </c>
      <c r="M35" s="785" t="s">
        <v>3165</v>
      </c>
      <c r="O35" s="513"/>
      <c r="P35" s="509"/>
      <c r="Q35" s="831" t="s">
        <v>3911</v>
      </c>
      <c r="R35" s="832">
        <f t="shared" ref="R35:Y35" si="12">R28</f>
        <v>1.667157773737267E-3</v>
      </c>
      <c r="S35" s="832">
        <f t="shared" si="12"/>
        <v>39.285533409526487</v>
      </c>
      <c r="T35" s="832">
        <f t="shared" si="12"/>
        <v>19.05327837542967</v>
      </c>
      <c r="U35" s="832">
        <f t="shared" si="12"/>
        <v>0.75751163084901585</v>
      </c>
      <c r="V35" s="832">
        <f t="shared" si="12"/>
        <v>0.86998517985374846</v>
      </c>
      <c r="W35" s="832">
        <f t="shared" si="12"/>
        <v>0.13583214128382559</v>
      </c>
      <c r="X35" s="832">
        <f t="shared" si="12"/>
        <v>2.616505564602851E-5</v>
      </c>
      <c r="Y35" s="832">
        <f t="shared" si="12"/>
        <v>0</v>
      </c>
      <c r="Z35" s="512"/>
    </row>
    <row r="36" spans="2:26" ht="20.149999999999999" customHeight="1" x14ac:dyDescent="0.35">
      <c r="B36" s="781" t="s">
        <v>2031</v>
      </c>
      <c r="C36" s="787" t="s">
        <v>1229</v>
      </c>
      <c r="D36" s="787" t="s">
        <v>3212</v>
      </c>
      <c r="E36" s="788">
        <f t="shared" ref="E36:L36" si="13">SUM(E27:E35)</f>
        <v>2022.7668426933037</v>
      </c>
      <c r="F36" s="788">
        <f t="shared" si="13"/>
        <v>2129.6042067712951</v>
      </c>
      <c r="G36" s="788">
        <f t="shared" si="13"/>
        <v>2150.7591018768858</v>
      </c>
      <c r="H36" s="788">
        <f t="shared" si="13"/>
        <v>1877.5058366353367</v>
      </c>
      <c r="I36" s="788">
        <f t="shared" si="13"/>
        <v>1924.3948842442226</v>
      </c>
      <c r="J36" s="788">
        <f t="shared" si="13"/>
        <v>1971.2872251387257</v>
      </c>
      <c r="K36" s="788">
        <f t="shared" si="13"/>
        <v>2022.7448067864104</v>
      </c>
      <c r="L36" s="788">
        <f t="shared" si="13"/>
        <v>0</v>
      </c>
      <c r="M36" s="785" t="s">
        <v>3165</v>
      </c>
      <c r="O36" s="513" t="s">
        <v>3217</v>
      </c>
      <c r="P36" s="509" t="s">
        <v>2825</v>
      </c>
      <c r="Q36" s="827" t="s">
        <v>3218</v>
      </c>
      <c r="R36" s="828">
        <f t="shared" ref="R36:Y36" si="14">SUM(R27:R29)</f>
        <v>4.7558454092145111E-2</v>
      </c>
      <c r="S36" s="828">
        <f t="shared" si="14"/>
        <v>1120.6853163957594</v>
      </c>
      <c r="T36" s="828">
        <f t="shared" si="14"/>
        <v>543.52652112309045</v>
      </c>
      <c r="U36" s="828">
        <f t="shared" si="14"/>
        <v>21.609281789352931</v>
      </c>
      <c r="V36" s="828">
        <f t="shared" si="14"/>
        <v>24.817777230627936</v>
      </c>
      <c r="W36" s="828">
        <f t="shared" si="14"/>
        <v>3.874838217023266</v>
      </c>
      <c r="X36" s="828">
        <f t="shared" si="14"/>
        <v>7.464018207290399E-4</v>
      </c>
      <c r="Y36" s="828">
        <f t="shared" si="14"/>
        <v>0</v>
      </c>
      <c r="Z36" s="512" t="s">
        <v>3210</v>
      </c>
    </row>
    <row r="37" spans="2:26" ht="20.149999999999999" customHeight="1" x14ac:dyDescent="0.35">
      <c r="B37" s="781" t="s">
        <v>3259</v>
      </c>
      <c r="C37" s="782" t="s">
        <v>3163</v>
      </c>
      <c r="D37" s="782" t="s">
        <v>3164</v>
      </c>
      <c r="E37" s="783">
        <f>IFERROR(VLOOKUP($B37,flows!$A$2:$J$2954,E$2,FALSE),0)</f>
        <v>390.2616708777436</v>
      </c>
      <c r="F37" s="783">
        <f>IFERROR(VLOOKUP($B37,flows!$A$2:$J$2954,F$2,FALSE),0)</f>
        <v>0</v>
      </c>
      <c r="G37" s="783">
        <f>IFERROR(VLOOKUP($B37,flows!$A$2:$J$2954,G$2,FALSE),0)</f>
        <v>2.0711367379993941</v>
      </c>
      <c r="H37" s="783">
        <f>IFERROR(VLOOKUP($B37,flows!$A$2:$J$2954,H$2,FALSE),0)</f>
        <v>25.381442273125291</v>
      </c>
      <c r="I37" s="783">
        <f>IFERROR(VLOOKUP($B37,flows!$A$2:$J$2954,I$2,FALSE),0)</f>
        <v>204.9204290723419</v>
      </c>
      <c r="J37" s="783">
        <f>IFERROR(VLOOKUP($B37,flows!$A$2:$J$2954,J$2,FALSE),0)</f>
        <v>224.1570577427515</v>
      </c>
      <c r="K37" s="783">
        <f>IFERROR(VLOOKUP($B37,flows!$A$2:$J$2954,K$2,FALSE),0)</f>
        <v>390.45460135316091</v>
      </c>
      <c r="L37" s="784">
        <f>IFERROR(VLOOKUP($B37,flows!$A$2:$J$2954,L$2,FALSE),0)</f>
        <v>0</v>
      </c>
      <c r="M37" s="785" t="s">
        <v>3165</v>
      </c>
      <c r="O37" s="525" t="s">
        <v>3220</v>
      </c>
      <c r="P37" s="516" t="s">
        <v>3221</v>
      </c>
      <c r="Q37" s="517" t="s">
        <v>3220</v>
      </c>
      <c r="R37" s="535">
        <f t="shared" ref="R37:Y37" si="15">R36/R7</f>
        <v>20.746666666666673</v>
      </c>
      <c r="S37" s="535">
        <f t="shared" si="15"/>
        <v>20.746666666666673</v>
      </c>
      <c r="T37" s="535">
        <f t="shared" si="15"/>
        <v>20.746666666666666</v>
      </c>
      <c r="U37" s="535">
        <f t="shared" si="15"/>
        <v>20.74666666666667</v>
      </c>
      <c r="V37" s="535">
        <f t="shared" si="15"/>
        <v>20.746666666666673</v>
      </c>
      <c r="W37" s="535">
        <f t="shared" si="15"/>
        <v>20.746666666666663</v>
      </c>
      <c r="X37" s="535">
        <f t="shared" si="15"/>
        <v>20.746666666666663</v>
      </c>
      <c r="Y37" s="535" t="e">
        <f t="shared" si="15"/>
        <v>#DIV/0!</v>
      </c>
      <c r="Z37" s="519" t="s">
        <v>3210</v>
      </c>
    </row>
    <row r="38" spans="2:26" ht="20.149999999999999" customHeight="1" x14ac:dyDescent="0.35">
      <c r="B38" s="781" t="s">
        <v>3261</v>
      </c>
      <c r="C38" s="782" t="s">
        <v>3169</v>
      </c>
      <c r="D38" s="782" t="s">
        <v>2266</v>
      </c>
      <c r="E38" s="783">
        <f>IFERROR(VLOOKUP($B38,flows!$A$2:$J$2954,E$2,FALSE),0)</f>
        <v>1.6319972375647241E-2</v>
      </c>
      <c r="F38" s="783">
        <f>IFERROR(VLOOKUP($B38,flows!$A$2:$J$2954,F$2,FALSE),0)</f>
        <v>0</v>
      </c>
      <c r="G38" s="783">
        <f>IFERROR(VLOOKUP($B38,flows!$A$2:$J$2954,G$2,FALSE),0)</f>
        <v>9.7562854914191046</v>
      </c>
      <c r="H38" s="783">
        <f>IFERROR(VLOOKUP($B38,flows!$A$2:$J$2954,H$2,FALSE),0)</f>
        <v>117.7740536643639</v>
      </c>
      <c r="I38" s="783">
        <f>IFERROR(VLOOKUP($B38,flows!$A$2:$J$2954,I$2,FALSE),0)</f>
        <v>30.894616805503361</v>
      </c>
      <c r="J38" s="783">
        <f>IFERROR(VLOOKUP($B38,flows!$A$2:$J$2954,J$2,FALSE),0)</f>
        <v>41.109666959495797</v>
      </c>
      <c r="K38" s="783">
        <f>IFERROR(VLOOKUP($B38,flows!$A$2:$J$2954,K$2,FALSE),0)</f>
        <v>3.8201573539991618E-5</v>
      </c>
      <c r="L38" s="784">
        <f>IFERROR(VLOOKUP($B38,flows!$A$2:$J$2954,L$2,FALSE),0)</f>
        <v>0</v>
      </c>
      <c r="M38" s="785" t="s">
        <v>3165</v>
      </c>
      <c r="O38" s="513" t="s">
        <v>3251</v>
      </c>
      <c r="P38" s="536" t="s">
        <v>3252</v>
      </c>
      <c r="Q38" s="537" t="s">
        <v>3218</v>
      </c>
      <c r="R38" s="538">
        <f t="shared" ref="R38:Y38" si="16">SUM(R15+R20+R25+R36)</f>
        <v>1106.2503161796071</v>
      </c>
      <c r="S38" s="538">
        <f t="shared" si="16"/>
        <v>1960.4129240649838</v>
      </c>
      <c r="T38" s="538">
        <f t="shared" si="16"/>
        <v>1492.0001706764292</v>
      </c>
      <c r="U38" s="538">
        <f t="shared" si="16"/>
        <v>1082.1532445448763</v>
      </c>
      <c r="V38" s="538">
        <f t="shared" si="16"/>
        <v>1089.4976872650393</v>
      </c>
      <c r="W38" s="538">
        <f t="shared" si="16"/>
        <v>1082.7485424394033</v>
      </c>
      <c r="X38" s="538">
        <f t="shared" si="16"/>
        <v>1106.215589600127</v>
      </c>
      <c r="Y38" s="538">
        <f t="shared" si="16"/>
        <v>0</v>
      </c>
      <c r="Z38" s="512" t="s">
        <v>3210</v>
      </c>
    </row>
    <row r="39" spans="2:26" ht="20.149999999999999" customHeight="1" x14ac:dyDescent="0.35">
      <c r="B39" s="781" t="s">
        <v>3263</v>
      </c>
      <c r="C39" s="782" t="s">
        <v>3174</v>
      </c>
      <c r="D39" s="782" t="s">
        <v>3175</v>
      </c>
      <c r="E39" s="783">
        <f>IFERROR(VLOOKUP($B39,flows!$A$2:$J$2954,E$2,FALSE),0)</f>
        <v>1.793410883098074E-2</v>
      </c>
      <c r="F39" s="783">
        <f>IFERROR(VLOOKUP($B39,flows!$A$2:$J$2954,F$2,FALSE),0)</f>
        <v>0</v>
      </c>
      <c r="G39" s="783">
        <f>IFERROR(VLOOKUP($B39,flows!$A$2:$J$2954,G$2,FALSE),0)</f>
        <v>6.1584119076822512</v>
      </c>
      <c r="H39" s="783">
        <f>IFERROR(VLOOKUP($B39,flows!$A$2:$J$2954,H$2,FALSE),0)</f>
        <v>56.225828611113243</v>
      </c>
      <c r="I39" s="783">
        <f>IFERROR(VLOOKUP($B39,flows!$A$2:$J$2954,I$2,FALSE),0)</f>
        <v>3.4068163621914899E-3</v>
      </c>
      <c r="J39" s="783">
        <f>IFERROR(VLOOKUP($B39,flows!$A$2:$J$2954,J$2,FALSE),0)</f>
        <v>1.9040265613754439E-4</v>
      </c>
      <c r="K39" s="783">
        <f>IFERROR(VLOOKUP($B39,flows!$A$2:$J$2954,K$2,FALSE),0)</f>
        <v>4.1542003443958778E-5</v>
      </c>
      <c r="L39" s="784">
        <f>IFERROR(VLOOKUP($B39,flows!$A$2:$J$2954,L$2,FALSE),0)</f>
        <v>0</v>
      </c>
      <c r="M39" s="785" t="s">
        <v>3165</v>
      </c>
      <c r="O39" s="525" t="s">
        <v>3220</v>
      </c>
      <c r="P39" s="516" t="s">
        <v>3221</v>
      </c>
      <c r="Q39" s="517" t="s">
        <v>3220</v>
      </c>
      <c r="R39" s="535">
        <f t="shared" ref="R39:Y39" si="17">R38/R11</f>
        <v>4.0227133056838982</v>
      </c>
      <c r="S39" s="535">
        <f t="shared" si="17"/>
        <v>7.1287236291792109</v>
      </c>
      <c r="T39" s="535">
        <f t="shared" si="17"/>
        <v>5.424604133537005</v>
      </c>
      <c r="U39" s="535">
        <f t="shared" si="17"/>
        <v>3.9351011956944091</v>
      </c>
      <c r="V39" s="535">
        <f t="shared" si="17"/>
        <v>3.9618088873514816</v>
      </c>
      <c r="W39" s="535">
        <f t="shared" si="17"/>
        <v>3.9372673770576463</v>
      </c>
      <c r="X39" s="535">
        <f t="shared" si="17"/>
        <v>4.0226020927907715</v>
      </c>
      <c r="Y39" s="535" t="e">
        <f t="shared" si="17"/>
        <v>#DIV/0!</v>
      </c>
      <c r="Z39" s="519" t="s">
        <v>3210</v>
      </c>
    </row>
    <row r="40" spans="2:26" ht="20.149999999999999" customHeight="1" x14ac:dyDescent="0.35">
      <c r="B40" s="781" t="s">
        <v>3265</v>
      </c>
      <c r="C40" s="782" t="s">
        <v>3180</v>
      </c>
      <c r="D40" s="782" t="s">
        <v>3181</v>
      </c>
      <c r="E40" s="783">
        <f>IFERROR(VLOOKUP($B40,flows!$A$2:$J$2954,E$2,FALSE),0)</f>
        <v>2.502007259229457E-3</v>
      </c>
      <c r="F40" s="783">
        <f>IFERROR(VLOOKUP($B40,flows!$A$2:$J$2954,F$2,FALSE),0)</f>
        <v>0</v>
      </c>
      <c r="G40" s="783">
        <f>IFERROR(VLOOKUP($B40,flows!$A$2:$J$2954,G$2,FALSE),0)</f>
        <v>2.7696136200164281</v>
      </c>
      <c r="H40" s="783">
        <f>IFERROR(VLOOKUP($B40,flows!$A$2:$J$2954,H$2,FALSE),0)</f>
        <v>4.715947899025786E-3</v>
      </c>
      <c r="I40" s="783">
        <f>IFERROR(VLOOKUP($B40,flows!$A$2:$J$2954,I$2,FALSE),0)</f>
        <v>1.2293527280205609E-3</v>
      </c>
      <c r="J40" s="783">
        <f>IFERROR(VLOOKUP($B40,flows!$A$2:$J$2954,J$2,FALSE),0)</f>
        <v>1.077808410944347E-4</v>
      </c>
      <c r="K40" s="783">
        <f>IFERROR(VLOOKUP($B40,flows!$A$2:$J$2954,K$2,FALSE),0)</f>
        <v>8.2931667681084899E-6</v>
      </c>
      <c r="L40" s="784">
        <f>IFERROR(VLOOKUP($B40,flows!$A$2:$J$2954,L$2,FALSE),0)</f>
        <v>0</v>
      </c>
      <c r="M40" s="785" t="s">
        <v>3165</v>
      </c>
      <c r="O40" s="520" t="s">
        <v>3159</v>
      </c>
      <c r="P40" s="521" t="s">
        <v>3156</v>
      </c>
      <c r="Q40" s="521" t="s">
        <v>3157</v>
      </c>
      <c r="R40" s="539" t="s">
        <v>23</v>
      </c>
      <c r="S40" s="539" t="s">
        <v>1798</v>
      </c>
      <c r="T40" s="539" t="s">
        <v>1799</v>
      </c>
      <c r="U40" s="539" t="s">
        <v>1800</v>
      </c>
      <c r="V40" s="539" t="s">
        <v>1801</v>
      </c>
      <c r="W40" s="539" t="s">
        <v>1802</v>
      </c>
      <c r="X40" s="539" t="s">
        <v>1803</v>
      </c>
      <c r="Y40" s="539" t="s">
        <v>1804</v>
      </c>
      <c r="Z40" s="523" t="s">
        <v>3158</v>
      </c>
    </row>
    <row r="41" spans="2:26" ht="20.149999999999999" customHeight="1" x14ac:dyDescent="0.35">
      <c r="B41" s="781" t="s">
        <v>3269</v>
      </c>
      <c r="C41" s="782" t="s">
        <v>3186</v>
      </c>
      <c r="D41" s="782" t="s">
        <v>3187</v>
      </c>
      <c r="E41" s="783">
        <f>IFERROR(VLOOKUP($B41,flows!$A$2:$J$2954,E$2,FALSE),0)</f>
        <v>2.751395688420118E-3</v>
      </c>
      <c r="F41" s="783">
        <f>IFERROR(VLOOKUP($B41,flows!$A$2:$J$2954,F$2,FALSE),0)</f>
        <v>0</v>
      </c>
      <c r="G41" s="783">
        <f>IFERROR(VLOOKUP($B41,flows!$A$2:$J$2954,G$2,FALSE),0)</f>
        <v>1.909000683842595</v>
      </c>
      <c r="H41" s="783">
        <f>IFERROR(VLOOKUP($B41,flows!$A$2:$J$2954,H$2,FALSE),0)</f>
        <v>3.630418899491639E-3</v>
      </c>
      <c r="I41" s="783">
        <f>IFERROR(VLOOKUP($B41,flows!$A$2:$J$2954,I$2,FALSE),0)</f>
        <v>1.140923220601793E-3</v>
      </c>
      <c r="J41" s="783">
        <f>IFERROR(VLOOKUP($B41,flows!$A$2:$J$2954,J$2,FALSE),0)</f>
        <v>8.6409375414420558E-5</v>
      </c>
      <c r="K41" s="783">
        <f>IFERROR(VLOOKUP($B41,flows!$A$2:$J$2954,K$2,FALSE),0)</f>
        <v>9.0653480445317296E-6</v>
      </c>
      <c r="L41" s="784">
        <f>IFERROR(VLOOKUP($B41,flows!$A$2:$J$2954,L$2,FALSE),0)</f>
        <v>0</v>
      </c>
      <c r="M41" s="785" t="s">
        <v>3165</v>
      </c>
      <c r="O41" s="513" t="s">
        <v>3256</v>
      </c>
      <c r="P41" s="509" t="s">
        <v>1717</v>
      </c>
      <c r="Q41" s="510" t="s">
        <v>3150</v>
      </c>
      <c r="R41" s="540">
        <f>IFERROR(VLOOKUP($O41,'CO2'!$A$2:$J$2983,R$2,FALSE),0)</f>
        <v>0</v>
      </c>
      <c r="S41" s="540">
        <f>IFERROR(VLOOKUP($O41,'CO2'!$A$2:$J$2983,S$2,FALSE),0)</f>
        <v>0</v>
      </c>
      <c r="T41" s="540">
        <f>IFERROR(VLOOKUP($O41,'CO2'!$A$2:$J$2983,T$2,FALSE),0)</f>
        <v>0</v>
      </c>
      <c r="U41" s="540">
        <f>IFERROR(VLOOKUP($O41,'CO2'!$A$2:$J$2983,U$2,FALSE),0)</f>
        <v>0</v>
      </c>
      <c r="V41" s="540">
        <f>IFERROR(VLOOKUP($O41,'CO2'!$A$2:$J$2983,V$2,FALSE),0)</f>
        <v>0</v>
      </c>
      <c r="W41" s="540">
        <f>IFERROR(VLOOKUP($O41,'CO2'!$A$2:$J$2983,W$2,FALSE),0)</f>
        <v>0</v>
      </c>
      <c r="X41" s="540">
        <f>IFERROR(VLOOKUP($O41,'CO2'!$A$2:$J$2983,X$2,FALSE),0)</f>
        <v>0</v>
      </c>
      <c r="Y41" s="540">
        <f>IFERROR(VLOOKUP($O41,'CO2'!$A$2:$J$2983,Y$2,FALSE),0)</f>
        <v>0</v>
      </c>
      <c r="Z41" s="512" t="s">
        <v>3257</v>
      </c>
    </row>
    <row r="42" spans="2:26" ht="20.149999999999999" customHeight="1" x14ac:dyDescent="0.35">
      <c r="B42" s="781" t="s">
        <v>3270</v>
      </c>
      <c r="C42" s="782" t="s">
        <v>3191</v>
      </c>
      <c r="D42" s="782" t="s">
        <v>3192</v>
      </c>
      <c r="E42" s="783">
        <f>IFERROR(VLOOKUP($B42,flows!$A$2:$J$2954,E$2,FALSE),0)</f>
        <v>2.2659905898865861E-2</v>
      </c>
      <c r="F42" s="783">
        <f>IFERROR(VLOOKUP($B42,flows!$A$2:$J$2954,F$2,FALSE),0)</f>
        <v>0</v>
      </c>
      <c r="G42" s="783">
        <f>IFERROR(VLOOKUP($B42,flows!$A$2:$J$2954,G$2,FALSE),0)</f>
        <v>4.5616019739640628</v>
      </c>
      <c r="H42" s="783">
        <f>IFERROR(VLOOKUP($B42,flows!$A$2:$J$2954,H$2,FALSE),0)</f>
        <v>161.58958163516749</v>
      </c>
      <c r="I42" s="783">
        <f>IFERROR(VLOOKUP($B42,flows!$A$2:$J$2954,I$2,FALSE),0)</f>
        <v>46.291567737671429</v>
      </c>
      <c r="J42" s="783">
        <f>IFERROR(VLOOKUP($B42,flows!$A$2:$J$2954,J$2,FALSE),0)</f>
        <v>63.377877492702119</v>
      </c>
      <c r="K42" s="783">
        <f>IFERROR(VLOOKUP($B42,flows!$A$2:$J$2954,K$2,FALSE),0)</f>
        <v>1.107067155127378E-4</v>
      </c>
      <c r="L42" s="784">
        <f>IFERROR(VLOOKUP($B42,flows!$A$2:$J$2954,L$2,FALSE),0)</f>
        <v>0</v>
      </c>
      <c r="M42" s="785" t="s">
        <v>3165</v>
      </c>
      <c r="O42" s="513" t="s">
        <v>3258</v>
      </c>
      <c r="P42" s="509" t="s">
        <v>1717</v>
      </c>
      <c r="Q42" s="510" t="s">
        <v>3150</v>
      </c>
      <c r="R42" s="540">
        <f>IFERROR(VLOOKUP($O42,'CO2'!$A$2:$J$2983,R$2,FALSE),0)</f>
        <v>0</v>
      </c>
      <c r="S42" s="540">
        <f>IFERROR(VLOOKUP($O42,'CO2'!$A$2:$J$2983,S$2,FALSE),0)</f>
        <v>0</v>
      </c>
      <c r="T42" s="540">
        <f>IFERROR(VLOOKUP($O42,'CO2'!$A$2:$J$2983,T$2,FALSE),0)</f>
        <v>0</v>
      </c>
      <c r="U42" s="540">
        <f>IFERROR(VLOOKUP($O42,'CO2'!$A$2:$J$2983,U$2,FALSE),0)</f>
        <v>0</v>
      </c>
      <c r="V42" s="540">
        <f>IFERROR(VLOOKUP($O42,'CO2'!$A$2:$J$2983,V$2,FALSE),0)</f>
        <v>0</v>
      </c>
      <c r="W42" s="540">
        <f>IFERROR(VLOOKUP($O42,'CO2'!$A$2:$J$2983,W$2,FALSE),0)</f>
        <v>0</v>
      </c>
      <c r="X42" s="540">
        <f>IFERROR(VLOOKUP($O42,'CO2'!$A$2:$J$2983,X$2,FALSE),0)</f>
        <v>0</v>
      </c>
      <c r="Y42" s="540">
        <f>IFERROR(VLOOKUP($O42,'CO2'!$A$2:$J$2983,Y$2,FALSE),0)</f>
        <v>0</v>
      </c>
      <c r="Z42" s="512" t="s">
        <v>3257</v>
      </c>
    </row>
    <row r="43" spans="2:26" ht="20.149999999999999" customHeight="1" x14ac:dyDescent="0.35">
      <c r="B43" s="781" t="s">
        <v>3271</v>
      </c>
      <c r="C43" s="782" t="s">
        <v>3197</v>
      </c>
      <c r="D43" s="782" t="s">
        <v>3198</v>
      </c>
      <c r="E43" s="783">
        <f>IFERROR(VLOOKUP($B43,flows!$A$2:$J$2954,E$2,FALSE),0)</f>
        <v>1.964392606963216E-2</v>
      </c>
      <c r="F43" s="783">
        <f>IFERROR(VLOOKUP($B43,flows!$A$2:$J$2954,F$2,FALSE),0)</f>
        <v>0</v>
      </c>
      <c r="G43" s="783">
        <f>IFERROR(VLOOKUP($B43,flows!$A$2:$J$2954,G$2,FALSE),0)</f>
        <v>3.697546614258973</v>
      </c>
      <c r="H43" s="783">
        <f>IFERROR(VLOOKUP($B43,flows!$A$2:$J$2954,H$2,FALSE),0)</f>
        <v>7.7692436829988526E-2</v>
      </c>
      <c r="I43" s="783">
        <f>IFERROR(VLOOKUP($B43,flows!$A$2:$J$2954,I$2,FALSE),0)</f>
        <v>3.9400633041791642E-3</v>
      </c>
      <c r="J43" s="783">
        <f>IFERROR(VLOOKUP($B43,flows!$A$2:$J$2954,J$2,FALSE),0)</f>
        <v>2.0200979814758639E-4</v>
      </c>
      <c r="K43" s="783">
        <f>IFERROR(VLOOKUP($B43,flows!$A$2:$J$2954,K$2,FALSE),0)</f>
        <v>4.4491631027556432E-5</v>
      </c>
      <c r="L43" s="784">
        <f>IFERROR(VLOOKUP($B43,flows!$A$2:$J$2954,L$2,FALSE),0)</f>
        <v>0</v>
      </c>
      <c r="M43" s="785" t="s">
        <v>3165</v>
      </c>
      <c r="O43" s="513" t="s">
        <v>3260</v>
      </c>
      <c r="P43" s="509" t="s">
        <v>1717</v>
      </c>
      <c r="Q43" s="510" t="s">
        <v>3150</v>
      </c>
      <c r="R43" s="540">
        <f>IFERROR(VLOOKUP($O43,'CO2'!$A$2:$J$2983,R$2,FALSE),0)</f>
        <v>0</v>
      </c>
      <c r="S43" s="540">
        <f>IFERROR(VLOOKUP($O43,'CO2'!$A$2:$J$2983,S$2,FALSE),0)</f>
        <v>0</v>
      </c>
      <c r="T43" s="540">
        <f>IFERROR(VLOOKUP($O43,'CO2'!$A$2:$J$2983,T$2,FALSE),0)</f>
        <v>0</v>
      </c>
      <c r="U43" s="540">
        <f>IFERROR(VLOOKUP($O43,'CO2'!$A$2:$J$2983,U$2,FALSE),0)</f>
        <v>0</v>
      </c>
      <c r="V43" s="540">
        <f>IFERROR(VLOOKUP($O43,'CO2'!$A$2:$J$2983,V$2,FALSE),0)</f>
        <v>0</v>
      </c>
      <c r="W43" s="540">
        <f>IFERROR(VLOOKUP($O43,'CO2'!$A$2:$J$2983,W$2,FALSE),0)</f>
        <v>0</v>
      </c>
      <c r="X43" s="540">
        <f>IFERROR(VLOOKUP($O43,'CO2'!$A$2:$J$2983,X$2,FALSE),0)</f>
        <v>0</v>
      </c>
      <c r="Y43" s="540">
        <f>IFERROR(VLOOKUP($O43,'CO2'!$A$2:$J$2983,Y$2,FALSE),0)</f>
        <v>0</v>
      </c>
      <c r="Z43" s="512" t="s">
        <v>3257</v>
      </c>
    </row>
    <row r="44" spans="2:26" ht="20.149999999999999" customHeight="1" x14ac:dyDescent="0.35">
      <c r="B44" s="781" t="s">
        <v>3272</v>
      </c>
      <c r="C44" s="782" t="s">
        <v>3202</v>
      </c>
      <c r="D44" s="782" t="s">
        <v>3203</v>
      </c>
      <c r="E44" s="783">
        <f>IFERROR(VLOOKUP($B44,flows!$A$2:$J$2954,E$2,FALSE),0)</f>
        <v>1.976997678528487E-2</v>
      </c>
      <c r="F44" s="783">
        <f>IFERROR(VLOOKUP($B44,flows!$A$2:$J$2954,F$2,FALSE),0)</f>
        <v>0</v>
      </c>
      <c r="G44" s="783">
        <f>IFERROR(VLOOKUP($B44,flows!$A$2:$J$2954,G$2,FALSE),0)</f>
        <v>0.61884093540315632</v>
      </c>
      <c r="H44" s="783">
        <f>IFERROR(VLOOKUP($B44,flows!$A$2:$J$2954,H$2,FALSE),0)</f>
        <v>1.8449744566373331E-3</v>
      </c>
      <c r="I44" s="783">
        <f>IFERROR(VLOOKUP($B44,flows!$A$2:$J$2954,I$2,FALSE),0)</f>
        <v>1.359627237955156E-3</v>
      </c>
      <c r="J44" s="783">
        <f>IFERROR(VLOOKUP($B44,flows!$A$2:$J$2954,J$2,FALSE),0)</f>
        <v>8.6830505617881053E-5</v>
      </c>
      <c r="K44" s="783">
        <f>IFERROR(VLOOKUP($B44,flows!$A$2:$J$2954,K$2,FALSE),0)</f>
        <v>4.4621562827983118E-5</v>
      </c>
      <c r="L44" s="784">
        <f>IFERROR(VLOOKUP($B44,flows!$A$2:$J$2954,L$2,FALSE),0)</f>
        <v>0</v>
      </c>
      <c r="M44" s="785" t="s">
        <v>3165</v>
      </c>
      <c r="O44" s="513" t="s">
        <v>3262</v>
      </c>
      <c r="P44" s="509" t="s">
        <v>1717</v>
      </c>
      <c r="Q44" s="510" t="s">
        <v>3150</v>
      </c>
      <c r="R44" s="540">
        <f>IFERROR(VLOOKUP($O44,'CO2'!$A$2:$J$2983,R$2,FALSE),0)</f>
        <v>0</v>
      </c>
      <c r="S44" s="540">
        <f>IFERROR(VLOOKUP($O44,'CO2'!$A$2:$J$2983,S$2,FALSE),0)</f>
        <v>0</v>
      </c>
      <c r="T44" s="540">
        <f>IFERROR(VLOOKUP($O44,'CO2'!$A$2:$J$2983,T$2,FALSE),0)</f>
        <v>0</v>
      </c>
      <c r="U44" s="540">
        <f>IFERROR(VLOOKUP($O44,'CO2'!$A$2:$J$2983,U$2,FALSE),0)</f>
        <v>0</v>
      </c>
      <c r="V44" s="540">
        <f>IFERROR(VLOOKUP($O44,'CO2'!$A$2:$J$2983,V$2,FALSE),0)</f>
        <v>0</v>
      </c>
      <c r="W44" s="540">
        <f>IFERROR(VLOOKUP($O44,'CO2'!$A$2:$J$2983,W$2,FALSE),0)</f>
        <v>0</v>
      </c>
      <c r="X44" s="540">
        <f>IFERROR(VLOOKUP($O44,'CO2'!$A$2:$J$2983,X$2,FALSE),0)</f>
        <v>0</v>
      </c>
      <c r="Y44" s="540">
        <f>IFERROR(VLOOKUP($O44,'CO2'!$A$2:$J$2983,Y$2,FALSE),0)</f>
        <v>0</v>
      </c>
      <c r="Z44" s="512" t="s">
        <v>3257</v>
      </c>
    </row>
    <row r="45" spans="2:26" ht="20.149999999999999" customHeight="1" x14ac:dyDescent="0.35">
      <c r="B45" s="781" t="s">
        <v>3274</v>
      </c>
      <c r="C45" s="782" t="s">
        <v>3205</v>
      </c>
      <c r="D45" s="782" t="s">
        <v>3206</v>
      </c>
      <c r="E45" s="783">
        <f>IFERROR(VLOOKUP($B45,flows!$A$2:$J$2954,E$2,FALSE),0)</f>
        <v>7.1230374113179895E-2</v>
      </c>
      <c r="F45" s="783">
        <f>IFERROR(VLOOKUP($B45,flows!$A$2:$J$2954,F$2,FALSE),0)</f>
        <v>0</v>
      </c>
      <c r="G45" s="783">
        <f>IFERROR(VLOOKUP($B45,flows!$A$2:$J$2954,G$2,FALSE),0)</f>
        <v>1.909215156516316</v>
      </c>
      <c r="H45" s="783">
        <f>IFERROR(VLOOKUP($B45,flows!$A$2:$J$2954,H$2,FALSE),0)</f>
        <v>3.5544073684819107E-2</v>
      </c>
      <c r="I45" s="783">
        <f>IFERROR(VLOOKUP($B45,flows!$A$2:$J$2954,I$2,FALSE),0)</f>
        <v>89.287512265700329</v>
      </c>
      <c r="J45" s="783">
        <f>IFERROR(VLOOKUP($B45,flows!$A$2:$J$2954,J$2,FALSE),0)</f>
        <v>53.067504504058327</v>
      </c>
      <c r="K45" s="783">
        <f>IFERROR(VLOOKUP($B45,flows!$A$2:$J$2954,K$2,FALSE),0)</f>
        <v>2.9901955693023162E-4</v>
      </c>
      <c r="L45" s="784">
        <f>IFERROR(VLOOKUP($B45,flows!$A$2:$J$2954,L$2,FALSE),0)</f>
        <v>0</v>
      </c>
      <c r="M45" s="785" t="s">
        <v>3165</v>
      </c>
      <c r="O45" s="525" t="s">
        <v>3264</v>
      </c>
      <c r="P45" s="516" t="s">
        <v>1717</v>
      </c>
      <c r="Q45" s="517" t="s">
        <v>3150</v>
      </c>
      <c r="R45" s="542">
        <f>SUM(R41:R44)</f>
        <v>0</v>
      </c>
      <c r="S45" s="542">
        <f t="shared" ref="S45:Y45" si="18">SUM(S41:S44)</f>
        <v>0</v>
      </c>
      <c r="T45" s="542">
        <f t="shared" si="18"/>
        <v>0</v>
      </c>
      <c r="U45" s="542">
        <f t="shared" si="18"/>
        <v>0</v>
      </c>
      <c r="V45" s="542">
        <f t="shared" si="18"/>
        <v>0</v>
      </c>
      <c r="W45" s="542">
        <f t="shared" si="18"/>
        <v>0</v>
      </c>
      <c r="X45" s="542">
        <f t="shared" si="18"/>
        <v>0</v>
      </c>
      <c r="Y45" s="542">
        <f t="shared" si="18"/>
        <v>0</v>
      </c>
      <c r="Z45" s="519" t="s">
        <v>3257</v>
      </c>
    </row>
    <row r="46" spans="2:26" ht="20.149999999999999" customHeight="1" x14ac:dyDescent="0.35">
      <c r="B46" s="789"/>
      <c r="C46" s="787"/>
      <c r="D46" s="787"/>
      <c r="E46" s="790"/>
      <c r="F46" s="790"/>
      <c r="G46" s="790"/>
      <c r="H46" s="790"/>
      <c r="I46" s="790"/>
      <c r="J46" s="790"/>
      <c r="K46" s="790"/>
      <c r="L46" s="791"/>
      <c r="M46" s="785"/>
      <c r="O46" s="513" t="s">
        <v>3256</v>
      </c>
      <c r="P46" s="543" t="s">
        <v>3266</v>
      </c>
      <c r="Q46" s="510" t="s">
        <v>3267</v>
      </c>
      <c r="R46" s="544">
        <f t="shared" ref="R46:Y49" si="19">R41/R6</f>
        <v>0</v>
      </c>
      <c r="S46" s="544">
        <f t="shared" si="19"/>
        <v>0</v>
      </c>
      <c r="T46" s="544">
        <f t="shared" si="19"/>
        <v>0</v>
      </c>
      <c r="U46" s="544">
        <f t="shared" si="19"/>
        <v>0</v>
      </c>
      <c r="V46" s="544">
        <f t="shared" si="19"/>
        <v>0</v>
      </c>
      <c r="W46" s="544">
        <f t="shared" si="19"/>
        <v>0</v>
      </c>
      <c r="X46" s="544">
        <f t="shared" si="19"/>
        <v>0</v>
      </c>
      <c r="Y46" s="544" t="e">
        <f t="shared" si="19"/>
        <v>#DIV/0!</v>
      </c>
      <c r="Z46" s="512" t="s">
        <v>3268</v>
      </c>
    </row>
    <row r="47" spans="2:26" ht="20.149999999999999" customHeight="1" x14ac:dyDescent="0.35">
      <c r="B47" s="786" t="s">
        <v>2031</v>
      </c>
      <c r="C47" s="787" t="s">
        <v>1229</v>
      </c>
      <c r="D47" s="787" t="s">
        <v>3212</v>
      </c>
      <c r="E47" s="788">
        <f t="shared" ref="E47:L47" si="20">SUM(E37:E45)</f>
        <v>390.43448254476482</v>
      </c>
      <c r="F47" s="788">
        <f t="shared" si="20"/>
        <v>0</v>
      </c>
      <c r="G47" s="788">
        <f t="shared" si="20"/>
        <v>33.451653121102282</v>
      </c>
      <c r="H47" s="788">
        <f t="shared" si="20"/>
        <v>361.09433403553987</v>
      </c>
      <c r="I47" s="788">
        <f t="shared" si="20"/>
        <v>371.40520266406998</v>
      </c>
      <c r="J47" s="788">
        <f t="shared" si="20"/>
        <v>381.71278013218415</v>
      </c>
      <c r="K47" s="788">
        <f t="shared" si="20"/>
        <v>390.45519729471897</v>
      </c>
      <c r="L47" s="788">
        <f t="shared" si="20"/>
        <v>0</v>
      </c>
      <c r="M47" s="785" t="s">
        <v>3165</v>
      </c>
      <c r="O47" s="513" t="s">
        <v>3258</v>
      </c>
      <c r="P47" s="543" t="s">
        <v>3266</v>
      </c>
      <c r="Q47" s="510" t="s">
        <v>3267</v>
      </c>
      <c r="R47" s="544">
        <f t="shared" si="19"/>
        <v>0</v>
      </c>
      <c r="S47" s="544">
        <f t="shared" si="19"/>
        <v>0</v>
      </c>
      <c r="T47" s="544">
        <f t="shared" si="19"/>
        <v>0</v>
      </c>
      <c r="U47" s="544">
        <f t="shared" si="19"/>
        <v>0</v>
      </c>
      <c r="V47" s="544">
        <f t="shared" si="19"/>
        <v>0</v>
      </c>
      <c r="W47" s="544">
        <f t="shared" si="19"/>
        <v>0</v>
      </c>
      <c r="X47" s="544">
        <f t="shared" si="19"/>
        <v>0</v>
      </c>
      <c r="Y47" s="544" t="e">
        <f t="shared" si="19"/>
        <v>#DIV/0!</v>
      </c>
      <c r="Z47" s="512" t="s">
        <v>3268</v>
      </c>
    </row>
    <row r="48" spans="2:26" ht="20.149999999999999" customHeight="1" x14ac:dyDescent="0.35">
      <c r="B48" s="526" t="s">
        <v>3217</v>
      </c>
      <c r="C48" s="527" t="s">
        <v>3237</v>
      </c>
      <c r="D48" s="527" t="s">
        <v>3238</v>
      </c>
      <c r="E48" s="528">
        <f t="shared" ref="E48:L48" si="21">SUM(E36+E47)</f>
        <v>2413.2013252380684</v>
      </c>
      <c r="F48" s="528">
        <f t="shared" si="21"/>
        <v>2129.6042067712951</v>
      </c>
      <c r="G48" s="528">
        <f t="shared" si="21"/>
        <v>2184.2107549979883</v>
      </c>
      <c r="H48" s="528">
        <f t="shared" si="21"/>
        <v>2238.6001706708767</v>
      </c>
      <c r="I48" s="528">
        <f t="shared" si="21"/>
        <v>2295.8000869082925</v>
      </c>
      <c r="J48" s="528">
        <f t="shared" si="21"/>
        <v>2353.0000052709097</v>
      </c>
      <c r="K48" s="528">
        <f t="shared" si="21"/>
        <v>2413.2000040811295</v>
      </c>
      <c r="L48" s="528">
        <f t="shared" si="21"/>
        <v>0</v>
      </c>
      <c r="M48" s="529" t="s">
        <v>3165</v>
      </c>
      <c r="O48" s="513" t="s">
        <v>3260</v>
      </c>
      <c r="P48" s="543" t="s">
        <v>3266</v>
      </c>
      <c r="Q48" s="510" t="s">
        <v>3267</v>
      </c>
      <c r="R48" s="544">
        <f t="shared" si="19"/>
        <v>0</v>
      </c>
      <c r="S48" s="544">
        <f t="shared" si="19"/>
        <v>0</v>
      </c>
      <c r="T48" s="544">
        <f t="shared" si="19"/>
        <v>0</v>
      </c>
      <c r="U48" s="544">
        <f t="shared" si="19"/>
        <v>0</v>
      </c>
      <c r="V48" s="544">
        <f t="shared" si="19"/>
        <v>0</v>
      </c>
      <c r="W48" s="544">
        <f t="shared" si="19"/>
        <v>0</v>
      </c>
      <c r="X48" s="544">
        <f t="shared" si="19"/>
        <v>0</v>
      </c>
      <c r="Y48" s="544" t="e">
        <f t="shared" si="19"/>
        <v>#DIV/0!</v>
      </c>
      <c r="Z48" s="512" t="s">
        <v>3268</v>
      </c>
    </row>
    <row r="49" spans="2:26" ht="20.149999999999999" customHeight="1" x14ac:dyDescent="0.35">
      <c r="B49" s="504" t="s">
        <v>3278</v>
      </c>
      <c r="C49" s="530"/>
      <c r="D49" s="530"/>
      <c r="E49" s="531" t="s">
        <v>23</v>
      </c>
      <c r="F49" s="531" t="s">
        <v>1798</v>
      </c>
      <c r="G49" s="531" t="s">
        <v>1799</v>
      </c>
      <c r="H49" s="531" t="s">
        <v>1800</v>
      </c>
      <c r="I49" s="531" t="s">
        <v>1801</v>
      </c>
      <c r="J49" s="531" t="s">
        <v>1802</v>
      </c>
      <c r="K49" s="531" t="s">
        <v>1803</v>
      </c>
      <c r="L49" s="532" t="s">
        <v>1804</v>
      </c>
      <c r="M49" s="533"/>
      <c r="O49" s="513" t="s">
        <v>3262</v>
      </c>
      <c r="P49" s="543" t="s">
        <v>3266</v>
      </c>
      <c r="Q49" s="510" t="s">
        <v>3267</v>
      </c>
      <c r="R49" s="544">
        <f t="shared" si="19"/>
        <v>0</v>
      </c>
      <c r="S49" s="544" t="e">
        <f t="shared" si="19"/>
        <v>#DIV/0!</v>
      </c>
      <c r="T49" s="544">
        <f t="shared" si="19"/>
        <v>0</v>
      </c>
      <c r="U49" s="544">
        <f t="shared" si="19"/>
        <v>0</v>
      </c>
      <c r="V49" s="544">
        <f t="shared" si="19"/>
        <v>0</v>
      </c>
      <c r="W49" s="544">
        <f t="shared" si="19"/>
        <v>0</v>
      </c>
      <c r="X49" s="544">
        <f t="shared" si="19"/>
        <v>0</v>
      </c>
      <c r="Y49" s="544" t="e">
        <f t="shared" si="19"/>
        <v>#DIV/0!</v>
      </c>
      <c r="Z49" s="512" t="s">
        <v>3268</v>
      </c>
    </row>
    <row r="50" spans="2:26" ht="20.149999999999999" customHeight="1" x14ac:dyDescent="0.35">
      <c r="B50" s="781" t="s">
        <v>3279</v>
      </c>
      <c r="C50" s="782" t="s">
        <v>3163</v>
      </c>
      <c r="D50" s="782" t="s">
        <v>3164</v>
      </c>
      <c r="E50" s="783">
        <f>IFERROR(VLOOKUP($B50,flows!$A$2:$J$2954,E$2,FALSE),0)</f>
        <v>1.6805669193556791E-2</v>
      </c>
      <c r="F50" s="783">
        <f>IFERROR(VLOOKUP($B50,flows!$A$2:$J$2954,F$2,FALSE),0)</f>
        <v>100.7399305384159</v>
      </c>
      <c r="G50" s="783">
        <f>IFERROR(VLOOKUP($B50,flows!$A$2:$J$2954,G$2,FALSE),0)</f>
        <v>8.7374122264901644</v>
      </c>
      <c r="H50" s="783">
        <f>IFERROR(VLOOKUP($B50,flows!$A$2:$J$2954,H$2,FALSE),0)</f>
        <v>41.423954957230507</v>
      </c>
      <c r="I50" s="783">
        <f>IFERROR(VLOOKUP($B50,flows!$A$2:$J$2954,I$2,FALSE),0)</f>
        <v>102.16822561492469</v>
      </c>
      <c r="J50" s="783">
        <f>IFERROR(VLOOKUP($B50,flows!$A$2:$J$2954,J$2,FALSE),0)</f>
        <v>67.940119614313545</v>
      </c>
      <c r="K50" s="783">
        <f>IFERROR(VLOOKUP($B50,flows!$A$2:$J$2954,K$2,FALSE),0)</f>
        <v>4.2105681649179633E-2</v>
      </c>
      <c r="L50" s="784">
        <f>IFERROR(VLOOKUP($B50,flows!$A$2:$J$2954,L$2,FALSE),0)</f>
        <v>0</v>
      </c>
      <c r="M50" s="785" t="s">
        <v>3165</v>
      </c>
      <c r="O50" s="525" t="s">
        <v>3273</v>
      </c>
      <c r="P50" s="545" t="s">
        <v>3266</v>
      </c>
      <c r="Q50" s="517" t="s">
        <v>3267</v>
      </c>
      <c r="R50" s="542">
        <f t="shared" ref="R50:Y50" si="22">R45/R11</f>
        <v>0</v>
      </c>
      <c r="S50" s="542">
        <f t="shared" si="22"/>
        <v>0</v>
      </c>
      <c r="T50" s="542">
        <f t="shared" si="22"/>
        <v>0</v>
      </c>
      <c r="U50" s="542">
        <f t="shared" si="22"/>
        <v>0</v>
      </c>
      <c r="V50" s="542">
        <f t="shared" si="22"/>
        <v>0</v>
      </c>
      <c r="W50" s="542">
        <f t="shared" si="22"/>
        <v>0</v>
      </c>
      <c r="X50" s="542">
        <f t="shared" si="22"/>
        <v>0</v>
      </c>
      <c r="Y50" s="542" t="e">
        <f t="shared" si="22"/>
        <v>#DIV/0!</v>
      </c>
      <c r="Z50" s="519" t="s">
        <v>3268</v>
      </c>
    </row>
    <row r="51" spans="2:26" ht="20.149999999999999" customHeight="1" x14ac:dyDescent="0.35">
      <c r="B51" s="781" t="s">
        <v>3281</v>
      </c>
      <c r="C51" s="782" t="s">
        <v>3169</v>
      </c>
      <c r="D51" s="782" t="s">
        <v>2266</v>
      </c>
      <c r="E51" s="783">
        <f>IFERROR(VLOOKUP($B51,flows!$A$2:$J$2954,E$2,FALSE),0)</f>
        <v>7.7067472186326032E-3</v>
      </c>
      <c r="F51" s="783">
        <f>IFERROR(VLOOKUP($B51,flows!$A$2:$J$2954,F$2,FALSE),0)</f>
        <v>135.77993057958619</v>
      </c>
      <c r="G51" s="783">
        <f>IFERROR(VLOOKUP($B51,flows!$A$2:$J$2954,G$2,FALSE),0)</f>
        <v>133.01944751603921</v>
      </c>
      <c r="H51" s="783">
        <f>IFERROR(VLOOKUP($B51,flows!$A$2:$J$2954,H$2,FALSE),0)</f>
        <v>23.051283741744381</v>
      </c>
      <c r="I51" s="783">
        <f>IFERROR(VLOOKUP($B51,flows!$A$2:$J$2954,I$2,FALSE),0)</f>
        <v>2.9644790502978768</v>
      </c>
      <c r="J51" s="783">
        <f>IFERROR(VLOOKUP($B51,flows!$A$2:$J$2954,J$2,FALSE),0)</f>
        <v>0.34336818086213539</v>
      </c>
      <c r="K51" s="783">
        <f>IFERROR(VLOOKUP($B51,flows!$A$2:$J$2954,K$2,FALSE),0)</f>
        <v>3.1265421883517812E-5</v>
      </c>
      <c r="L51" s="784">
        <f>IFERROR(VLOOKUP($B51,flows!$A$2:$J$2954,L$2,FALSE),0)</f>
        <v>0</v>
      </c>
      <c r="M51" s="785" t="s">
        <v>3165</v>
      </c>
      <c r="O51" s="520" t="s">
        <v>3159</v>
      </c>
      <c r="P51" s="521" t="s">
        <v>3156</v>
      </c>
      <c r="Q51" s="521" t="s">
        <v>3157</v>
      </c>
      <c r="R51" s="539" t="s">
        <v>23</v>
      </c>
      <c r="S51" s="539" t="s">
        <v>1798</v>
      </c>
      <c r="T51" s="539" t="s">
        <v>1799</v>
      </c>
      <c r="U51" s="539" t="s">
        <v>1800</v>
      </c>
      <c r="V51" s="539" t="s">
        <v>1801</v>
      </c>
      <c r="W51" s="539" t="s">
        <v>1802</v>
      </c>
      <c r="X51" s="539" t="s">
        <v>1803</v>
      </c>
      <c r="Y51" s="539" t="s">
        <v>1804</v>
      </c>
      <c r="Z51" s="523" t="s">
        <v>3158</v>
      </c>
    </row>
    <row r="52" spans="2:26" ht="20.149999999999999" customHeight="1" x14ac:dyDescent="0.35">
      <c r="B52" s="781" t="s">
        <v>3284</v>
      </c>
      <c r="C52" s="782" t="s">
        <v>3174</v>
      </c>
      <c r="D52" s="782" t="s">
        <v>3175</v>
      </c>
      <c r="E52" s="783">
        <f>IFERROR(VLOOKUP($B52,flows!$A$2:$J$2954,E$2,FALSE),0)</f>
        <v>8.032697073637976E-3</v>
      </c>
      <c r="F52" s="783">
        <f>IFERROR(VLOOKUP($B52,flows!$A$2:$J$2954,F$2,FALSE),0)</f>
        <v>0</v>
      </c>
      <c r="G52" s="783">
        <f>IFERROR(VLOOKUP($B52,flows!$A$2:$J$2954,G$2,FALSE),0)</f>
        <v>17.610134079780831</v>
      </c>
      <c r="H52" s="783">
        <f>IFERROR(VLOOKUP($B52,flows!$A$2:$J$2954,H$2,FALSE),0)</f>
        <v>3.8741717682995769</v>
      </c>
      <c r="I52" s="783">
        <f>IFERROR(VLOOKUP($B52,flows!$A$2:$J$2954,I$2,FALSE),0)</f>
        <v>1.6947047622451869E-3</v>
      </c>
      <c r="J52" s="783">
        <f>IFERROR(VLOOKUP($B52,flows!$A$2:$J$2954,J$2,FALSE),0)</f>
        <v>1.3015419051641029E-4</v>
      </c>
      <c r="K52" s="783">
        <f>IFERROR(VLOOKUP($B52,flows!$A$2:$J$2954,K$2,FALSE),0)</f>
        <v>3.3201658670847251E-5</v>
      </c>
      <c r="L52" s="784">
        <f>IFERROR(VLOOKUP($B52,flows!$A$2:$J$2954,L$2,FALSE),0)</f>
        <v>0</v>
      </c>
      <c r="M52" s="785" t="s">
        <v>3165</v>
      </c>
      <c r="O52" s="513" t="s">
        <v>3256</v>
      </c>
      <c r="P52" s="509" t="s">
        <v>3275</v>
      </c>
      <c r="Q52" s="510" t="s">
        <v>3276</v>
      </c>
      <c r="R52" s="540">
        <f>IFERROR(VLOOKUP($O52,costs!$A$2:$J$2972,R$2,FALSE),0)</f>
        <v>0</v>
      </c>
      <c r="S52" s="540">
        <f>IFERROR(VLOOKUP($O52,costs!$A$2:$J$2972,S$2,FALSE),0)</f>
        <v>0</v>
      </c>
      <c r="T52" s="540">
        <f>IFERROR(VLOOKUP($O52,costs!$A$2:$J$2972,T$2,FALSE),0)</f>
        <v>0</v>
      </c>
      <c r="U52" s="540">
        <f>IFERROR(VLOOKUP($O52,costs!$A$2:$J$2972,U$2,FALSE),0)</f>
        <v>0</v>
      </c>
      <c r="V52" s="540">
        <f>IFERROR(VLOOKUP($O52,costs!$A$2:$J$2972,V$2,FALSE),0)</f>
        <v>0</v>
      </c>
      <c r="W52" s="540">
        <f>IFERROR(VLOOKUP($O52,costs!$A$2:$J$2972,W$2,FALSE),0)</f>
        <v>0</v>
      </c>
      <c r="X52" s="540">
        <f>IFERROR(VLOOKUP($O52,costs!$A$2:$J$2972,X$2,FALSE),0)</f>
        <v>0</v>
      </c>
      <c r="Y52" s="540">
        <f>IFERROR(VLOOKUP($O52,costs!$A$2:$J$2972,Y$2,FALSE),0)</f>
        <v>0</v>
      </c>
      <c r="Z52" s="512" t="s">
        <v>3277</v>
      </c>
    </row>
    <row r="53" spans="2:26" ht="20.149999999999999" customHeight="1" x14ac:dyDescent="0.35">
      <c r="B53" s="781" t="s">
        <v>3285</v>
      </c>
      <c r="C53" s="782" t="s">
        <v>3191</v>
      </c>
      <c r="D53" s="782" t="s">
        <v>3192</v>
      </c>
      <c r="E53" s="783">
        <f>IFERROR(VLOOKUP($B53,flows!$A$2:$J$2954,E$2,FALSE),0)</f>
        <v>8.1369783749473696E-3</v>
      </c>
      <c r="F53" s="783">
        <f>IFERROR(VLOOKUP($B53,flows!$A$2:$J$2954,F$2,FALSE),0)</f>
        <v>135.77993055619521</v>
      </c>
      <c r="G53" s="783">
        <f>IFERROR(VLOOKUP($B53,flows!$A$2:$J$2954,G$2,FALSE),0)</f>
        <v>33.956776239187413</v>
      </c>
      <c r="H53" s="783">
        <f>IFERROR(VLOOKUP($B53,flows!$A$2:$J$2954,H$2,FALSE),0)</f>
        <v>1.298264740867731</v>
      </c>
      <c r="I53" s="783">
        <f>IFERROR(VLOOKUP($B53,flows!$A$2:$J$2954,I$2,FALSE),0)</f>
        <v>0.14599182752768669</v>
      </c>
      <c r="J53" s="783">
        <f>IFERROR(VLOOKUP($B53,flows!$A$2:$J$2954,J$2,FALSE),0)</f>
        <v>1.2263753023629439E-4</v>
      </c>
      <c r="K53" s="783">
        <f>IFERROR(VLOOKUP($B53,flows!$A$2:$J$2954,K$2,FALSE),0)</f>
        <v>3.4101686383821211E-5</v>
      </c>
      <c r="L53" s="784">
        <f>IFERROR(VLOOKUP($B53,flows!$A$2:$J$2954,L$2,FALSE),0)</f>
        <v>0</v>
      </c>
      <c r="M53" s="785" t="s">
        <v>3165</v>
      </c>
      <c r="O53" s="513" t="s">
        <v>3258</v>
      </c>
      <c r="P53" s="509" t="s">
        <v>3275</v>
      </c>
      <c r="Q53" s="510" t="s">
        <v>3276</v>
      </c>
      <c r="R53" s="540">
        <f>IFERROR(VLOOKUP($O53,costs!$A$2:$J$2972,R$2,FALSE),0)</f>
        <v>0</v>
      </c>
      <c r="S53" s="540">
        <f>IFERROR(VLOOKUP($O53,costs!$A$2:$J$2972,S$2,FALSE),0)</f>
        <v>0</v>
      </c>
      <c r="T53" s="540">
        <f>IFERROR(VLOOKUP($O53,costs!$A$2:$J$2972,T$2,FALSE),0)</f>
        <v>0</v>
      </c>
      <c r="U53" s="540">
        <f>IFERROR(VLOOKUP($O53,costs!$A$2:$J$2972,U$2,FALSE),0)</f>
        <v>0</v>
      </c>
      <c r="V53" s="540">
        <f>IFERROR(VLOOKUP($O53,costs!$A$2:$J$2972,V$2,FALSE),0)</f>
        <v>0</v>
      </c>
      <c r="W53" s="540">
        <f>IFERROR(VLOOKUP($O53,costs!$A$2:$J$2972,W$2,FALSE),0)</f>
        <v>0</v>
      </c>
      <c r="X53" s="540">
        <f>IFERROR(VLOOKUP($O53,costs!$A$2:$J$2972,X$2,FALSE),0)</f>
        <v>0</v>
      </c>
      <c r="Y53" s="540">
        <f>IFERROR(VLOOKUP($O53,costs!$A$2:$J$2972,Y$2,FALSE),0)</f>
        <v>0</v>
      </c>
      <c r="Z53" s="512" t="s">
        <v>3277</v>
      </c>
    </row>
    <row r="54" spans="2:26" ht="20.149999999999999" customHeight="1" x14ac:dyDescent="0.35">
      <c r="B54" s="781" t="s">
        <v>3286</v>
      </c>
      <c r="C54" s="782" t="s">
        <v>3197</v>
      </c>
      <c r="D54" s="782" t="s">
        <v>3198</v>
      </c>
      <c r="E54" s="783">
        <f>IFERROR(VLOOKUP($B54,flows!$A$2:$J$2954,E$2,FALSE),0)</f>
        <v>7.5468640319944248E-3</v>
      </c>
      <c r="F54" s="783">
        <f>IFERROR(VLOOKUP($B54,flows!$A$2:$J$2954,F$2,FALSE),0)</f>
        <v>0</v>
      </c>
      <c r="G54" s="783">
        <f>IFERROR(VLOOKUP($B54,flows!$A$2:$J$2954,G$2,FALSE),0)</f>
        <v>4.3816637008973913</v>
      </c>
      <c r="H54" s="783">
        <f>IFERROR(VLOOKUP($B54,flows!$A$2:$J$2954,H$2,FALSE),0)</f>
        <v>4.9311793743336847E-3</v>
      </c>
      <c r="I54" s="783">
        <f>IFERROR(VLOOKUP($B54,flows!$A$2:$J$2954,I$2,FALSE),0)</f>
        <v>1.4038170150860131E-3</v>
      </c>
      <c r="J54" s="783">
        <f>IFERROR(VLOOKUP($B54,flows!$A$2:$J$2954,J$2,FALSE),0)</f>
        <v>1.11182737925484E-4</v>
      </c>
      <c r="K54" s="783">
        <f>IFERROR(VLOOKUP($B54,flows!$A$2:$J$2954,K$2,FALSE),0)</f>
        <v>3.0880831464007422E-5</v>
      </c>
      <c r="L54" s="784">
        <f>IFERROR(VLOOKUP($B54,flows!$A$2:$J$2954,L$2,FALSE),0)</f>
        <v>0</v>
      </c>
      <c r="M54" s="785" t="s">
        <v>3165</v>
      </c>
      <c r="O54" s="513" t="s">
        <v>3260</v>
      </c>
      <c r="P54" s="509" t="s">
        <v>3275</v>
      </c>
      <c r="Q54" s="510" t="s">
        <v>3276</v>
      </c>
      <c r="R54" s="540">
        <f>IFERROR(VLOOKUP($O54,costs!$A$2:$J$2972,R$2,FALSE),0)</f>
        <v>0</v>
      </c>
      <c r="S54" s="540">
        <f>IFERROR(VLOOKUP($O54,costs!$A$2:$J$2972,S$2,FALSE),0)</f>
        <v>0</v>
      </c>
      <c r="T54" s="540">
        <f>IFERROR(VLOOKUP($O54,costs!$A$2:$J$2972,T$2,FALSE),0)</f>
        <v>0</v>
      </c>
      <c r="U54" s="540">
        <f>IFERROR(VLOOKUP($O54,costs!$A$2:$J$2972,U$2,FALSE),0)</f>
        <v>0</v>
      </c>
      <c r="V54" s="540">
        <f>IFERROR(VLOOKUP($O54,costs!$A$2:$J$2972,V$2,FALSE),0)</f>
        <v>0</v>
      </c>
      <c r="W54" s="540">
        <f>IFERROR(VLOOKUP($O54,costs!$A$2:$J$2972,W$2,FALSE),0)</f>
        <v>0</v>
      </c>
      <c r="X54" s="540">
        <f>IFERROR(VLOOKUP($O54,costs!$A$2:$J$2972,X$2,FALSE),0)</f>
        <v>0</v>
      </c>
      <c r="Y54" s="540">
        <f>IFERROR(VLOOKUP($O54,costs!$A$2:$J$2972,Y$2,FALSE),0)</f>
        <v>0</v>
      </c>
      <c r="Z54" s="512" t="s">
        <v>3277</v>
      </c>
    </row>
    <row r="55" spans="2:26" ht="20.149999999999999" customHeight="1" x14ac:dyDescent="0.35">
      <c r="B55" s="781" t="s">
        <v>3287</v>
      </c>
      <c r="C55" s="782" t="s">
        <v>3202</v>
      </c>
      <c r="D55" s="782" t="s">
        <v>3203</v>
      </c>
      <c r="E55" s="783">
        <f>IFERROR(VLOOKUP($B55,flows!$A$2:$J$2954,E$2,FALSE),0)</f>
        <v>6.4610973037098184E-3</v>
      </c>
      <c r="F55" s="783">
        <f>IFERROR(VLOOKUP($B55,flows!$A$2:$J$2954,F$2,FALSE),0)</f>
        <v>0</v>
      </c>
      <c r="G55" s="783">
        <f>IFERROR(VLOOKUP($B55,flows!$A$2:$J$2954,G$2,FALSE),0)</f>
        <v>0.54125825750428935</v>
      </c>
      <c r="H55" s="783">
        <f>IFERROR(VLOOKUP($B55,flows!$A$2:$J$2954,H$2,FALSE),0)</f>
        <v>1.183775115640062E-3</v>
      </c>
      <c r="I55" s="783">
        <f>IFERROR(VLOOKUP($B55,flows!$A$2:$J$2954,I$2,FALSE),0)</f>
        <v>7.9937912645642597E-4</v>
      </c>
      <c r="J55" s="783">
        <f>IFERROR(VLOOKUP($B55,flows!$A$2:$J$2954,J$2,FALSE),0)</f>
        <v>6.5009762844448336E-5</v>
      </c>
      <c r="K55" s="783">
        <f>IFERROR(VLOOKUP($B55,flows!$A$2:$J$2954,K$2,FALSE),0)</f>
        <v>2.6929573792904781E-5</v>
      </c>
      <c r="L55" s="784">
        <f>IFERROR(VLOOKUP($B55,flows!$A$2:$J$2954,L$2,FALSE),0)</f>
        <v>0</v>
      </c>
      <c r="M55" s="785" t="s">
        <v>3165</v>
      </c>
      <c r="O55" s="513" t="s">
        <v>3262</v>
      </c>
      <c r="P55" s="509" t="s">
        <v>3275</v>
      </c>
      <c r="Q55" s="510" t="s">
        <v>3276</v>
      </c>
      <c r="R55" s="540">
        <f>IFERROR(VLOOKUP($O55,costs!$A$2:$J$2972,R$2,FALSE),0)</f>
        <v>0</v>
      </c>
      <c r="S55" s="540">
        <f>IFERROR(VLOOKUP($O55,costs!$A$2:$J$2972,S$2,FALSE),0)</f>
        <v>0</v>
      </c>
      <c r="T55" s="540">
        <f>IFERROR(VLOOKUP($O55,costs!$A$2:$J$2972,T$2,FALSE),0)</f>
        <v>0</v>
      </c>
      <c r="U55" s="540">
        <f>IFERROR(VLOOKUP($O55,costs!$A$2:$J$2972,U$2,FALSE),0)</f>
        <v>0</v>
      </c>
      <c r="V55" s="540">
        <f>IFERROR(VLOOKUP($O55,costs!$A$2:$J$2972,V$2,FALSE),0)</f>
        <v>0</v>
      </c>
      <c r="W55" s="540">
        <f>IFERROR(VLOOKUP($O55,costs!$A$2:$J$2972,W$2,FALSE),0)</f>
        <v>0</v>
      </c>
      <c r="X55" s="540">
        <f>IFERROR(VLOOKUP($O55,costs!$A$2:$J$2972,X$2,FALSE),0)</f>
        <v>0</v>
      </c>
      <c r="Y55" s="540">
        <f>IFERROR(VLOOKUP($O55,costs!$A$2:$J$2972,Y$2,FALSE),0)</f>
        <v>0</v>
      </c>
      <c r="Z55" s="512" t="s">
        <v>3277</v>
      </c>
    </row>
    <row r="56" spans="2:26" ht="20.149999999999999" customHeight="1" x14ac:dyDescent="0.35">
      <c r="B56" s="781" t="s">
        <v>3289</v>
      </c>
      <c r="C56" s="782" t="s">
        <v>3205</v>
      </c>
      <c r="D56" s="782" t="s">
        <v>3206</v>
      </c>
      <c r="E56" s="783">
        <f>IFERROR(VLOOKUP($B56,flows!$A$2:$J$2954,E$2,FALSE),0)</f>
        <v>1.2887933847392711E-2</v>
      </c>
      <c r="F56" s="783">
        <f>IFERROR(VLOOKUP($B56,flows!$A$2:$J$2954,F$2,FALSE),0)</f>
        <v>0</v>
      </c>
      <c r="G56" s="783">
        <f>IFERROR(VLOOKUP($B56,flows!$A$2:$J$2954,G$2,FALSE),0)</f>
        <v>2.9842114542238991</v>
      </c>
      <c r="H56" s="783">
        <f>IFERROR(VLOOKUP($B56,flows!$A$2:$J$2954,H$2,FALSE),0)</f>
        <v>2.5168313322265171E-2</v>
      </c>
      <c r="I56" s="783">
        <f>IFERROR(VLOOKUP($B56,flows!$A$2:$J$2954,I$2,FALSE),0)</f>
        <v>10.314290288935331</v>
      </c>
      <c r="J56" s="783">
        <f>IFERROR(VLOOKUP($B56,flows!$A$2:$J$2954,J$2,FALSE),0)</f>
        <v>3.4250799711596763E-4</v>
      </c>
      <c r="K56" s="783">
        <f>IFERROR(VLOOKUP($B56,flows!$A$2:$J$2954,K$2,FALSE),0)</f>
        <v>7.0934361684574091E-5</v>
      </c>
      <c r="L56" s="784">
        <f>IFERROR(VLOOKUP($B56,flows!$A$2:$J$2954,L$2,FALSE),0)</f>
        <v>0</v>
      </c>
      <c r="M56" s="785" t="s">
        <v>3165</v>
      </c>
      <c r="O56" s="525" t="s">
        <v>3280</v>
      </c>
      <c r="P56" s="516" t="s">
        <v>3275</v>
      </c>
      <c r="Q56" s="517" t="s">
        <v>3276</v>
      </c>
      <c r="R56" s="542">
        <f t="shared" ref="R56:Y56" si="23">SUM(R52:R55)</f>
        <v>0</v>
      </c>
      <c r="S56" s="542">
        <f t="shared" si="23"/>
        <v>0</v>
      </c>
      <c r="T56" s="542">
        <f t="shared" si="23"/>
        <v>0</v>
      </c>
      <c r="U56" s="542">
        <f t="shared" si="23"/>
        <v>0</v>
      </c>
      <c r="V56" s="542">
        <f t="shared" si="23"/>
        <v>0</v>
      </c>
      <c r="W56" s="542">
        <f t="shared" si="23"/>
        <v>0</v>
      </c>
      <c r="X56" s="542">
        <f t="shared" si="23"/>
        <v>0</v>
      </c>
      <c r="Y56" s="542">
        <f t="shared" si="23"/>
        <v>0</v>
      </c>
      <c r="Z56" s="519" t="s">
        <v>3277</v>
      </c>
    </row>
    <row r="57" spans="2:26" ht="20.149999999999999" customHeight="1" x14ac:dyDescent="0.35">
      <c r="B57" s="792" t="s">
        <v>2031</v>
      </c>
      <c r="C57" s="782" t="s">
        <v>1229</v>
      </c>
      <c r="D57" s="782" t="s">
        <v>3212</v>
      </c>
      <c r="E57" s="793">
        <f t="shared" ref="E57:L57" si="24">SUM(E50:E56)</f>
        <v>6.7577987043871704E-2</v>
      </c>
      <c r="F57" s="793">
        <f t="shared" si="24"/>
        <v>372.29979167419731</v>
      </c>
      <c r="G57" s="793">
        <f t="shared" si="24"/>
        <v>201.23090347412318</v>
      </c>
      <c r="H57" s="793">
        <f t="shared" si="24"/>
        <v>69.678958475954445</v>
      </c>
      <c r="I57" s="793">
        <f t="shared" si="24"/>
        <v>115.59688468258938</v>
      </c>
      <c r="J57" s="793">
        <f t="shared" si="24"/>
        <v>68.28425928739432</v>
      </c>
      <c r="K57" s="793">
        <f t="shared" si="24"/>
        <v>4.2332995183059302E-2</v>
      </c>
      <c r="L57" s="793">
        <f t="shared" si="24"/>
        <v>0</v>
      </c>
      <c r="M57" s="785" t="s">
        <v>3165</v>
      </c>
      <c r="O57" s="514" t="s">
        <v>3282</v>
      </c>
      <c r="P57" s="543" t="s">
        <v>3283</v>
      </c>
      <c r="Q57" s="547" t="s">
        <v>3282</v>
      </c>
      <c r="R57" s="544">
        <f t="shared" ref="R57:Y60" si="25">R52/R6</f>
        <v>0</v>
      </c>
      <c r="S57" s="544">
        <f t="shared" si="25"/>
        <v>0</v>
      </c>
      <c r="T57" s="544">
        <f t="shared" si="25"/>
        <v>0</v>
      </c>
      <c r="U57" s="544">
        <f t="shared" si="25"/>
        <v>0</v>
      </c>
      <c r="V57" s="544">
        <f t="shared" si="25"/>
        <v>0</v>
      </c>
      <c r="W57" s="544">
        <f t="shared" si="25"/>
        <v>0</v>
      </c>
      <c r="X57" s="544">
        <f t="shared" si="25"/>
        <v>0</v>
      </c>
      <c r="Y57" s="544" t="e">
        <f t="shared" si="25"/>
        <v>#DIV/0!</v>
      </c>
      <c r="Z57" s="512" t="s">
        <v>3277</v>
      </c>
    </row>
    <row r="58" spans="2:26" ht="20.149999999999999" customHeight="1" x14ac:dyDescent="0.35">
      <c r="B58" s="781" t="s">
        <v>3290</v>
      </c>
      <c r="C58" s="782" t="s">
        <v>3163</v>
      </c>
      <c r="D58" s="782" t="s">
        <v>3164</v>
      </c>
      <c r="E58" s="783">
        <f>IFERROR(VLOOKUP($B58,flows!$A$2:$J$2954,E$2,FALSE),0)</f>
        <v>216.33621617055539</v>
      </c>
      <c r="F58" s="783">
        <f>IFERROR(VLOOKUP($B58,flows!$A$2:$J$2954,F$2,FALSE),0)</f>
        <v>0</v>
      </c>
      <c r="G58" s="783">
        <f>IFERROR(VLOOKUP($B58,flows!$A$2:$J$2954,G$2,FALSE),0)</f>
        <v>6.894790469985927</v>
      </c>
      <c r="H58" s="783">
        <f>IFERROR(VLOOKUP($B58,flows!$A$2:$J$2954,H$2,FALSE),0)</f>
        <v>20.38925826273822</v>
      </c>
      <c r="I58" s="783">
        <f>IFERROR(VLOOKUP($B58,flows!$A$2:$J$2954,I$2,FALSE),0)</f>
        <v>43.231058941267747</v>
      </c>
      <c r="J58" s="783">
        <f>IFERROR(VLOOKUP($B58,flows!$A$2:$J$2954,J$2,FALSE),0)</f>
        <v>86.23562614096474</v>
      </c>
      <c r="K58" s="783">
        <f>IFERROR(VLOOKUP($B58,flows!$A$2:$J$2954,K$2,FALSE),0)</f>
        <v>216.37194224837799</v>
      </c>
      <c r="L58" s="784">
        <f>IFERROR(VLOOKUP($B58,flows!$A$2:$J$2954,L$2,FALSE),0)</f>
        <v>0</v>
      </c>
      <c r="M58" s="785" t="s">
        <v>3165</v>
      </c>
      <c r="O58" s="514" t="s">
        <v>3282</v>
      </c>
      <c r="P58" s="543" t="s">
        <v>3283</v>
      </c>
      <c r="Q58" s="547" t="s">
        <v>3282</v>
      </c>
      <c r="R58" s="544">
        <f t="shared" si="25"/>
        <v>0</v>
      </c>
      <c r="S58" s="544">
        <f t="shared" si="25"/>
        <v>0</v>
      </c>
      <c r="T58" s="544">
        <f t="shared" si="25"/>
        <v>0</v>
      </c>
      <c r="U58" s="544">
        <f t="shared" si="25"/>
        <v>0</v>
      </c>
      <c r="V58" s="544">
        <f t="shared" si="25"/>
        <v>0</v>
      </c>
      <c r="W58" s="544">
        <f t="shared" si="25"/>
        <v>0</v>
      </c>
      <c r="X58" s="544">
        <f t="shared" si="25"/>
        <v>0</v>
      </c>
      <c r="Y58" s="544" t="e">
        <f t="shared" si="25"/>
        <v>#DIV/0!</v>
      </c>
      <c r="Z58" s="512" t="s">
        <v>3277</v>
      </c>
    </row>
    <row r="59" spans="2:26" ht="20.149999999999999" customHeight="1" x14ac:dyDescent="0.35">
      <c r="B59" s="781" t="s">
        <v>3292</v>
      </c>
      <c r="C59" s="782" t="s">
        <v>3169</v>
      </c>
      <c r="D59" s="782" t="s">
        <v>2266</v>
      </c>
      <c r="E59" s="783">
        <f>IFERROR(VLOOKUP($B59,flows!$A$2:$J$2954,E$2,FALSE),0)</f>
        <v>2.333246448617796E-2</v>
      </c>
      <c r="F59" s="783">
        <f>IFERROR(VLOOKUP($B59,flows!$A$2:$J$2954,F$2,FALSE),0)</f>
        <v>0</v>
      </c>
      <c r="G59" s="783">
        <f>IFERROR(VLOOKUP($B59,flows!$A$2:$J$2954,G$2,FALSE),0)</f>
        <v>42.516704911620323</v>
      </c>
      <c r="H59" s="783">
        <f>IFERROR(VLOOKUP($B59,flows!$A$2:$J$2954,H$2,FALSE),0)</f>
        <v>91.974835314372243</v>
      </c>
      <c r="I59" s="783">
        <f>IFERROR(VLOOKUP($B59,flows!$A$2:$J$2954,I$2,FALSE),0)</f>
        <v>31.9271366262595</v>
      </c>
      <c r="J59" s="783">
        <f>IFERROR(VLOOKUP($B59,flows!$A$2:$J$2954,J$2,FALSE),0)</f>
        <v>39.192339503663902</v>
      </c>
      <c r="K59" s="783">
        <f>IFERROR(VLOOKUP($B59,flows!$A$2:$J$2954,K$2,FALSE),0)</f>
        <v>6.7339687829217959E-4</v>
      </c>
      <c r="L59" s="784">
        <f>IFERROR(VLOOKUP($B59,flows!$A$2:$J$2954,L$2,FALSE),0)</f>
        <v>0</v>
      </c>
      <c r="M59" s="785" t="s">
        <v>3165</v>
      </c>
      <c r="O59" s="514" t="s">
        <v>3282</v>
      </c>
      <c r="P59" s="543" t="s">
        <v>3283</v>
      </c>
      <c r="Q59" s="547" t="s">
        <v>3282</v>
      </c>
      <c r="R59" s="544">
        <f t="shared" si="25"/>
        <v>0</v>
      </c>
      <c r="S59" s="544">
        <f t="shared" si="25"/>
        <v>0</v>
      </c>
      <c r="T59" s="544">
        <f t="shared" si="25"/>
        <v>0</v>
      </c>
      <c r="U59" s="544">
        <f t="shared" si="25"/>
        <v>0</v>
      </c>
      <c r="V59" s="544">
        <f t="shared" si="25"/>
        <v>0</v>
      </c>
      <c r="W59" s="544">
        <f t="shared" si="25"/>
        <v>0</v>
      </c>
      <c r="X59" s="544">
        <f t="shared" si="25"/>
        <v>0</v>
      </c>
      <c r="Y59" s="544" t="e">
        <f t="shared" si="25"/>
        <v>#DIV/0!</v>
      </c>
      <c r="Z59" s="512" t="s">
        <v>3277</v>
      </c>
    </row>
    <row r="60" spans="2:26" ht="20.149999999999999" customHeight="1" x14ac:dyDescent="0.35">
      <c r="B60" s="781" t="s">
        <v>3294</v>
      </c>
      <c r="C60" s="782" t="s">
        <v>3174</v>
      </c>
      <c r="D60" s="782" t="s">
        <v>3175</v>
      </c>
      <c r="E60" s="783">
        <f>IFERROR(VLOOKUP($B60,flows!$A$2:$J$2954,E$2,FALSE),0)</f>
        <v>2.5102410334580289E-2</v>
      </c>
      <c r="F60" s="783">
        <f>IFERROR(VLOOKUP($B60,flows!$A$2:$J$2954,F$2,FALSE),0)</f>
        <v>0</v>
      </c>
      <c r="G60" s="783">
        <f>IFERROR(VLOOKUP($B60,flows!$A$2:$J$2954,G$2,FALSE),0)</f>
        <v>42.37850442685076</v>
      </c>
      <c r="H60" s="783">
        <f>IFERROR(VLOOKUP($B60,flows!$A$2:$J$2954,H$2,FALSE),0)</f>
        <v>91.975126026590743</v>
      </c>
      <c r="I60" s="783">
        <f>IFERROR(VLOOKUP($B60,flows!$A$2:$J$2954,I$2,FALSE),0)</f>
        <v>108.2055378001951</v>
      </c>
      <c r="J60" s="783">
        <f>IFERROR(VLOOKUP($B60,flows!$A$2:$J$2954,J$2,FALSE),0)</f>
        <v>109.4969008500311</v>
      </c>
      <c r="K60" s="783">
        <f>IFERROR(VLOOKUP($B60,flows!$A$2:$J$2954,K$2,FALSE),0)</f>
        <v>0.1247253495988165</v>
      </c>
      <c r="L60" s="784">
        <f>IFERROR(VLOOKUP($B60,flows!$A$2:$J$2954,L$2,FALSE),0)</f>
        <v>0</v>
      </c>
      <c r="M60" s="785" t="s">
        <v>3165</v>
      </c>
      <c r="O60" s="514" t="s">
        <v>3282</v>
      </c>
      <c r="P60" s="543" t="s">
        <v>3283</v>
      </c>
      <c r="Q60" s="547" t="s">
        <v>3282</v>
      </c>
      <c r="R60" s="544">
        <f t="shared" si="25"/>
        <v>0</v>
      </c>
      <c r="S60" s="544" t="e">
        <f t="shared" si="25"/>
        <v>#DIV/0!</v>
      </c>
      <c r="T60" s="544">
        <f t="shared" si="25"/>
        <v>0</v>
      </c>
      <c r="U60" s="544">
        <f t="shared" si="25"/>
        <v>0</v>
      </c>
      <c r="V60" s="544">
        <f t="shared" si="25"/>
        <v>0</v>
      </c>
      <c r="W60" s="544">
        <f t="shared" si="25"/>
        <v>0</v>
      </c>
      <c r="X60" s="544">
        <f t="shared" si="25"/>
        <v>0</v>
      </c>
      <c r="Y60" s="544" t="e">
        <f t="shared" si="25"/>
        <v>#DIV/0!</v>
      </c>
      <c r="Z60" s="512" t="s">
        <v>3277</v>
      </c>
    </row>
    <row r="61" spans="2:26" ht="20.149999999999999" customHeight="1" x14ac:dyDescent="0.35">
      <c r="B61" s="781" t="s">
        <v>3298</v>
      </c>
      <c r="C61" s="782" t="s">
        <v>3191</v>
      </c>
      <c r="D61" s="782" t="s">
        <v>3192</v>
      </c>
      <c r="E61" s="783">
        <f>IFERROR(VLOOKUP($B61,flows!$A$2:$J$2954,E$2,FALSE),0)</f>
        <v>2.236897750036887E-2</v>
      </c>
      <c r="F61" s="783">
        <f>IFERROR(VLOOKUP($B61,flows!$A$2:$J$2954,F$2,FALSE),0)</f>
        <v>0</v>
      </c>
      <c r="G61" s="783">
        <f>IFERROR(VLOOKUP($B61,flows!$A$2:$J$2954,G$2,FALSE),0)</f>
        <v>41.131708712984363</v>
      </c>
      <c r="H61" s="783">
        <f>IFERROR(VLOOKUP($B61,flows!$A$2:$J$2954,H$2,FALSE),0)</f>
        <v>66.160463606206008</v>
      </c>
      <c r="I61" s="783">
        <f>IFERROR(VLOOKUP($B61,flows!$A$2:$J$2954,I$2,FALSE),0)</f>
        <v>10.984378874373821</v>
      </c>
      <c r="J61" s="783">
        <f>IFERROR(VLOOKUP($B61,flows!$A$2:$J$2954,J$2,FALSE),0)</f>
        <v>2.5844660488938398E-4</v>
      </c>
      <c r="K61" s="783">
        <f>IFERROR(VLOOKUP($B61,flows!$A$2:$J$2954,K$2,FALSE),0)</f>
        <v>1.609129203924709E-4</v>
      </c>
      <c r="L61" s="784">
        <f>IFERROR(VLOOKUP($B61,flows!$A$2:$J$2954,L$2,FALSE),0)</f>
        <v>0</v>
      </c>
      <c r="M61" s="785" t="s">
        <v>3165</v>
      </c>
      <c r="O61" s="515" t="s">
        <v>3288</v>
      </c>
      <c r="P61" s="545" t="s">
        <v>3283</v>
      </c>
      <c r="Q61" s="548" t="s">
        <v>3282</v>
      </c>
      <c r="R61" s="549">
        <f t="shared" ref="R61:Y61" si="26">R56/R11</f>
        <v>0</v>
      </c>
      <c r="S61" s="549">
        <f t="shared" si="26"/>
        <v>0</v>
      </c>
      <c r="T61" s="549">
        <f t="shared" si="26"/>
        <v>0</v>
      </c>
      <c r="U61" s="549">
        <f t="shared" si="26"/>
        <v>0</v>
      </c>
      <c r="V61" s="549">
        <f t="shared" si="26"/>
        <v>0</v>
      </c>
      <c r="W61" s="549">
        <f t="shared" si="26"/>
        <v>0</v>
      </c>
      <c r="X61" s="549">
        <f t="shared" si="26"/>
        <v>0</v>
      </c>
      <c r="Y61" s="549" t="e">
        <f t="shared" si="26"/>
        <v>#DIV/0!</v>
      </c>
      <c r="Z61" s="519" t="s">
        <v>3277</v>
      </c>
    </row>
    <row r="62" spans="2:26" ht="20.149999999999999" customHeight="1" thickBot="1" x14ac:dyDescent="0.4">
      <c r="B62" s="781" t="s">
        <v>3302</v>
      </c>
      <c r="C62" s="782" t="s">
        <v>3197</v>
      </c>
      <c r="D62" s="782" t="s">
        <v>3198</v>
      </c>
      <c r="E62" s="783">
        <f>IFERROR(VLOOKUP($B62,flows!$A$2:$J$2954,E$2,FALSE),0)</f>
        <v>2.1981260858648169E-2</v>
      </c>
      <c r="F62" s="783">
        <f>IFERROR(VLOOKUP($B62,flows!$A$2:$J$2954,F$2,FALSE),0)</f>
        <v>0</v>
      </c>
      <c r="G62" s="783">
        <f>IFERROR(VLOOKUP($B62,flows!$A$2:$J$2954,G$2,FALSE),0)</f>
        <v>37.240990974467358</v>
      </c>
      <c r="H62" s="783">
        <f>IFERROR(VLOOKUP($B62,flows!$A$2:$J$2954,H$2,FALSE),0)</f>
        <v>7.8774170049629966</v>
      </c>
      <c r="I62" s="783">
        <f>IFERROR(VLOOKUP($B62,flows!$A$2:$J$2954,I$2,FALSE),0)</f>
        <v>5.1714750884636999E-3</v>
      </c>
      <c r="J62" s="783">
        <f>IFERROR(VLOOKUP($B62,flows!$A$2:$J$2954,J$2,FALSE),0)</f>
        <v>2.049114682694996E-4</v>
      </c>
      <c r="K62" s="783">
        <f>IFERROR(VLOOKUP($B62,flows!$A$2:$J$2954,K$2,FALSE),0)</f>
        <v>1.468434214818873E-4</v>
      </c>
      <c r="L62" s="784">
        <f>IFERROR(VLOOKUP($B62,flows!$A$2:$J$2954,L$2,FALSE),0)</f>
        <v>0</v>
      </c>
      <c r="M62" s="785" t="s">
        <v>3165</v>
      </c>
      <c r="O62" s="550"/>
      <c r="P62" s="551"/>
      <c r="Q62" s="551"/>
      <c r="R62" s="552"/>
      <c r="S62" s="552"/>
      <c r="T62" s="552"/>
      <c r="U62" s="552"/>
      <c r="V62" s="552"/>
      <c r="W62" s="552"/>
      <c r="X62" s="552"/>
      <c r="Y62" s="552"/>
      <c r="Z62" s="553"/>
    </row>
    <row r="63" spans="2:26" ht="20.149999999999999" customHeight="1" thickTop="1" x14ac:dyDescent="0.35">
      <c r="B63" s="781" t="s">
        <v>3305</v>
      </c>
      <c r="C63" s="782" t="s">
        <v>3202</v>
      </c>
      <c r="D63" s="782" t="s">
        <v>3203</v>
      </c>
      <c r="E63" s="783">
        <f>IFERROR(VLOOKUP($B63,flows!$A$2:$J$2954,E$2,FALSE),0)</f>
        <v>1.6649255179219179E-2</v>
      </c>
      <c r="F63" s="783">
        <f>IFERROR(VLOOKUP($B63,flows!$A$2:$J$2954,F$2,FALSE),0)</f>
        <v>0</v>
      </c>
      <c r="G63" s="783">
        <f>IFERROR(VLOOKUP($B63,flows!$A$2:$J$2954,G$2,FALSE),0)</f>
        <v>0.67213848197071668</v>
      </c>
      <c r="H63" s="783">
        <f>IFERROR(VLOOKUP($B63,flows!$A$2:$J$2954,H$2,FALSE),0)</f>
        <v>1.6379061210700951E-3</v>
      </c>
      <c r="I63" s="783">
        <f>IFERROR(VLOOKUP($B63,flows!$A$2:$J$2954,I$2,FALSE),0)</f>
        <v>1.410360958282615E-3</v>
      </c>
      <c r="J63" s="783">
        <f>IFERROR(VLOOKUP($B63,flows!$A$2:$J$2954,J$2,FALSE),0)</f>
        <v>8.8740030287581275E-5</v>
      </c>
      <c r="K63" s="783">
        <f>IFERROR(VLOOKUP($B63,flows!$A$2:$J$2954,K$2,FALSE),0)</f>
        <v>9.8615988970932359E-5</v>
      </c>
      <c r="L63" s="784">
        <f>IFERROR(VLOOKUP($B63,flows!$A$2:$J$2954,L$2,FALSE),0)</f>
        <v>0</v>
      </c>
      <c r="M63" s="785" t="s">
        <v>3165</v>
      </c>
      <c r="O63" s="503" t="s">
        <v>3159</v>
      </c>
      <c r="P63" s="499" t="s">
        <v>3156</v>
      </c>
      <c r="Q63" s="499" t="s">
        <v>3157</v>
      </c>
      <c r="R63" s="500" t="s">
        <v>23</v>
      </c>
      <c r="S63" s="500" t="s">
        <v>1798</v>
      </c>
      <c r="T63" s="500" t="s">
        <v>1799</v>
      </c>
      <c r="U63" s="500" t="s">
        <v>1800</v>
      </c>
      <c r="V63" s="500" t="s">
        <v>1801</v>
      </c>
      <c r="W63" s="500" t="s">
        <v>1802</v>
      </c>
      <c r="X63" s="500" t="s">
        <v>1803</v>
      </c>
      <c r="Y63" s="501" t="s">
        <v>1804</v>
      </c>
      <c r="Z63" s="502" t="s">
        <v>3158</v>
      </c>
    </row>
    <row r="64" spans="2:26" ht="20.149999999999999" customHeight="1" thickBot="1" x14ac:dyDescent="0.4">
      <c r="B64" s="781" t="s">
        <v>3306</v>
      </c>
      <c r="C64" s="782" t="s">
        <v>3205</v>
      </c>
      <c r="D64" s="782" t="s">
        <v>3206</v>
      </c>
      <c r="E64" s="783">
        <f>IFERROR(VLOOKUP($B64,flows!$A$2:$J$2954,E$2,FALSE),0)</f>
        <v>205.8879773147786</v>
      </c>
      <c r="F64" s="783">
        <f>IFERROR(VLOOKUP($B64,flows!$A$2:$J$2954,F$2,FALSE),0)</f>
        <v>0</v>
      </c>
      <c r="G64" s="783">
        <f>IFERROR(VLOOKUP($B64,flows!$A$2:$J$2954,G$2,FALSE),0)</f>
        <v>10.31668741481135</v>
      </c>
      <c r="H64" s="783">
        <f>IFERROR(VLOOKUP($B64,flows!$A$2:$J$2954,H$2,FALSE),0)</f>
        <v>43.742433219651979</v>
      </c>
      <c r="I64" s="783">
        <f>IFERROR(VLOOKUP($B64,flows!$A$2:$J$2954,I$2,FALSE),0)</f>
        <v>91.898494630355813</v>
      </c>
      <c r="J64" s="783">
        <f>IFERROR(VLOOKUP($B64,flows!$A$2:$J$2954,J$2,FALSE),0)</f>
        <v>108.690326140233</v>
      </c>
      <c r="K64" s="783">
        <f>IFERROR(VLOOKUP($B64,flows!$A$2:$J$2954,K$2,FALSE),0)</f>
        <v>205.85992333261709</v>
      </c>
      <c r="L64" s="784">
        <f>IFERROR(VLOOKUP($B64,flows!$A$2:$J$2954,L$2,FALSE),0)</f>
        <v>0</v>
      </c>
      <c r="M64" s="785" t="s">
        <v>3165</v>
      </c>
      <c r="O64" s="555" t="s">
        <v>3291</v>
      </c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7"/>
    </row>
    <row r="65" spans="2:26" ht="20.149999999999999" customHeight="1" x14ac:dyDescent="0.35">
      <c r="B65" s="792" t="s">
        <v>2031</v>
      </c>
      <c r="C65" s="782" t="s">
        <v>1229</v>
      </c>
      <c r="D65" s="782" t="s">
        <v>3212</v>
      </c>
      <c r="E65" s="793">
        <f t="shared" ref="E65:L65" si="27">SUM(E58:E64)</f>
        <v>422.33362785369297</v>
      </c>
      <c r="F65" s="793">
        <f t="shared" si="27"/>
        <v>0</v>
      </c>
      <c r="G65" s="793">
        <f t="shared" si="27"/>
        <v>181.15152539269079</v>
      </c>
      <c r="H65" s="793">
        <f t="shared" si="27"/>
        <v>322.12117134064323</v>
      </c>
      <c r="I65" s="793">
        <f t="shared" si="27"/>
        <v>286.25318870849873</v>
      </c>
      <c r="J65" s="793">
        <f t="shared" si="27"/>
        <v>343.61574473299618</v>
      </c>
      <c r="K65" s="793">
        <f t="shared" si="27"/>
        <v>422.35767069980301</v>
      </c>
      <c r="L65" s="793">
        <f t="shared" si="27"/>
        <v>0</v>
      </c>
      <c r="M65" s="785" t="s">
        <v>3165</v>
      </c>
      <c r="O65" s="558" t="s">
        <v>3293</v>
      </c>
      <c r="P65" s="559" t="s">
        <v>3167</v>
      </c>
      <c r="Q65" s="559" t="s">
        <v>3167</v>
      </c>
      <c r="R65" s="560">
        <f>IFERROR(VLOOKUP($O65,flows!$A$2:$J$2954,R$2,FALSE),0)/1000</f>
        <v>0</v>
      </c>
      <c r="S65" s="560">
        <f>IFERROR(VLOOKUP($O65,flows!$A$2:$J$2954,S$2,FALSE),0)/1000</f>
        <v>0</v>
      </c>
      <c r="T65" s="560">
        <f>IFERROR(VLOOKUP($O65,flows!$A$2:$J$2954,T$2,FALSE),0)/1000</f>
        <v>0</v>
      </c>
      <c r="U65" s="560">
        <f>IFERROR(VLOOKUP($O65,flows!$A$2:$J$2954,U$2,FALSE),0)/1000</f>
        <v>0</v>
      </c>
      <c r="V65" s="560">
        <f>IFERROR(VLOOKUP($O65,flows!$A$2:$J$2954,V$2,FALSE),0)/1000</f>
        <v>0</v>
      </c>
      <c r="W65" s="560">
        <f>IFERROR(VLOOKUP($O65,flows!$A$2:$J$2954,W$2,FALSE),0)/1000</f>
        <v>0</v>
      </c>
      <c r="X65" s="560">
        <f>IFERROR(VLOOKUP($O65,flows!$A$2:$J$2954,X$2,FALSE),0)/1000</f>
        <v>0</v>
      </c>
      <c r="Y65" s="560">
        <f>IFERROR(VLOOKUP($O65,flows!$A$2:$J$2954,Y$2,FALSE),0)/1000</f>
        <v>0</v>
      </c>
      <c r="Z65" s="561" t="s">
        <v>3165</v>
      </c>
    </row>
    <row r="66" spans="2:26" ht="20.149999999999999" customHeight="1" x14ac:dyDescent="0.35">
      <c r="B66" s="526" t="s">
        <v>3217</v>
      </c>
      <c r="C66" s="527" t="s">
        <v>3237</v>
      </c>
      <c r="D66" s="527" t="s">
        <v>3238</v>
      </c>
      <c r="E66" s="528">
        <f t="shared" ref="E66:L66" si="28">SUM(E57+E65)</f>
        <v>422.40120584073685</v>
      </c>
      <c r="F66" s="528">
        <f t="shared" si="28"/>
        <v>372.29979167419731</v>
      </c>
      <c r="G66" s="528">
        <f t="shared" si="28"/>
        <v>382.38242886681394</v>
      </c>
      <c r="H66" s="528">
        <f t="shared" si="28"/>
        <v>391.80012981659769</v>
      </c>
      <c r="I66" s="528">
        <f t="shared" si="28"/>
        <v>401.85007339108813</v>
      </c>
      <c r="J66" s="528">
        <f t="shared" si="28"/>
        <v>411.9000040203905</v>
      </c>
      <c r="K66" s="528">
        <f t="shared" si="28"/>
        <v>422.40000369498608</v>
      </c>
      <c r="L66" s="528">
        <f t="shared" si="28"/>
        <v>0</v>
      </c>
      <c r="M66" s="529" t="s">
        <v>3165</v>
      </c>
      <c r="O66" s="514" t="s">
        <v>3295</v>
      </c>
      <c r="P66" s="543" t="s">
        <v>3296</v>
      </c>
      <c r="Q66" s="543" t="s">
        <v>3297</v>
      </c>
      <c r="R66" s="540">
        <f>IFERROR(VLOOKUP($O66,flows!$A$2:$J$2954,R$2,FALSE),0)/1000</f>
        <v>699.99572153098643</v>
      </c>
      <c r="S66" s="540">
        <f>IFERROR(VLOOKUP($O66,flows!$A$2:$J$2954,S$2,FALSE),0)/1000</f>
        <v>493.49978345298916</v>
      </c>
      <c r="T66" s="540">
        <f>IFERROR(VLOOKUP($O66,flows!$A$2:$J$2954,T$2,FALSE),0)/1000</f>
        <v>487.33435286551679</v>
      </c>
      <c r="U66" s="540">
        <f>IFERROR(VLOOKUP($O66,flows!$A$2:$J$2954,U$2,FALSE),0)/1000</f>
        <v>507.04385624948623</v>
      </c>
      <c r="V66" s="540">
        <f>IFERROR(VLOOKUP($O66,flows!$A$2:$J$2954,V$2,FALSE),0)/1000</f>
        <v>529.86703350509015</v>
      </c>
      <c r="W66" s="540">
        <f>IFERROR(VLOOKUP($O66,flows!$A$2:$J$2954,W$2,FALSE),0)/1000</f>
        <v>576.21441288738333</v>
      </c>
      <c r="X66" s="540">
        <f>IFERROR(VLOOKUP($O66,flows!$A$2:$J$2954,X$2,FALSE),0)/1000</f>
        <v>699.99998194333648</v>
      </c>
      <c r="Y66" s="540">
        <f>IFERROR(VLOOKUP($O66,flows!$A$2:$J$2954,Y$2,FALSE),0)/1000</f>
        <v>0</v>
      </c>
      <c r="Z66" s="512" t="s">
        <v>3165</v>
      </c>
    </row>
    <row r="67" spans="2:26" ht="20.149999999999999" customHeight="1" x14ac:dyDescent="0.35">
      <c r="B67" s="570" t="s">
        <v>3310</v>
      </c>
      <c r="C67" s="571"/>
      <c r="D67" s="571"/>
      <c r="E67" s="572" t="s">
        <v>23</v>
      </c>
      <c r="F67" s="572" t="s">
        <v>1798</v>
      </c>
      <c r="G67" s="572" t="s">
        <v>1799</v>
      </c>
      <c r="H67" s="572" t="s">
        <v>1800</v>
      </c>
      <c r="I67" s="572" t="s">
        <v>1801</v>
      </c>
      <c r="J67" s="572" t="s">
        <v>1802</v>
      </c>
      <c r="K67" s="572" t="s">
        <v>1803</v>
      </c>
      <c r="L67" s="573" t="s">
        <v>1804</v>
      </c>
      <c r="M67" s="533"/>
      <c r="O67" s="514" t="s">
        <v>3299</v>
      </c>
      <c r="P67" s="543" t="s">
        <v>3300</v>
      </c>
      <c r="Q67" s="543" t="s">
        <v>3301</v>
      </c>
      <c r="R67" s="540">
        <f>IFERROR(VLOOKUP($O67,flows!$A$2:$J$2954,R$2,FALSE),0)/1000</f>
        <v>4.6451228870780662E-3</v>
      </c>
      <c r="S67" s="540">
        <f>IFERROR(VLOOKUP($O67,flows!$A$2:$J$2954,S$2,FALSE),0)/1000</f>
        <v>206.50028368659912</v>
      </c>
      <c r="T67" s="540">
        <f>IFERROR(VLOOKUP($O67,flows!$A$2:$J$2954,T$2,FALSE),0)/1000</f>
        <v>212.69205768621703</v>
      </c>
      <c r="U67" s="540">
        <f>IFERROR(VLOOKUP($O67,flows!$A$2:$J$2954,U$2,FALSE),0)/1000</f>
        <v>192.95618710488418</v>
      </c>
      <c r="V67" s="540">
        <f>IFERROR(VLOOKUP($O67,flows!$A$2:$J$2954,V$2,FALSE),0)/1000</f>
        <v>170.13299079105192</v>
      </c>
      <c r="W67" s="540">
        <f>IFERROR(VLOOKUP($O67,flows!$A$2:$J$2954,W$2,FALSE),0)/1000</f>
        <v>123.78558841911659</v>
      </c>
      <c r="X67" s="540">
        <f>IFERROR(VLOOKUP($O67,flows!$A$2:$J$2954,X$2,FALSE),0)/1000</f>
        <v>1.9325917761479849E-5</v>
      </c>
      <c r="Y67" s="540">
        <f>IFERROR(VLOOKUP($O67,flows!$A$2:$J$2954,Y$2,FALSE),0)/1000</f>
        <v>0</v>
      </c>
      <c r="Z67" s="512" t="s">
        <v>3165</v>
      </c>
    </row>
    <row r="68" spans="2:26" ht="20.149999999999999" customHeight="1" x14ac:dyDescent="0.35">
      <c r="B68" s="781" t="s">
        <v>3311</v>
      </c>
      <c r="C68" s="782" t="s">
        <v>3163</v>
      </c>
      <c r="D68" s="782" t="s">
        <v>3164</v>
      </c>
      <c r="E68" s="783">
        <f>IFERROR(VLOOKUP($B68,flows!$A$2:$J$2954,E$2,FALSE),0)</f>
        <v>0</v>
      </c>
      <c r="F68" s="783">
        <f>IFERROR(VLOOKUP($B68,flows!$A$2:$J$2954,F$2,FALSE),0)</f>
        <v>0</v>
      </c>
      <c r="G68" s="783">
        <f>IFERROR(VLOOKUP($B68,flows!$A$2:$J$2954,G$2,FALSE),0)</f>
        <v>0</v>
      </c>
      <c r="H68" s="783">
        <f>IFERROR(VLOOKUP($B68,flows!$A$2:$J$2954,H$2,FALSE),0)</f>
        <v>0</v>
      </c>
      <c r="I68" s="783">
        <f>IFERROR(VLOOKUP($B68,flows!$A$2:$J$2954,I$2,FALSE),0)</f>
        <v>0</v>
      </c>
      <c r="J68" s="783">
        <f>IFERROR(VLOOKUP($B68,flows!$A$2:$J$2954,J$2,FALSE),0)</f>
        <v>0</v>
      </c>
      <c r="K68" s="783">
        <f>IFERROR(VLOOKUP($B68,flows!$A$2:$J$2954,K$2,FALSE),0)</f>
        <v>0</v>
      </c>
      <c r="L68" s="784">
        <f>IFERROR(VLOOKUP($B68,flows!$A$2:$J$2954,L$2,FALSE),0)</f>
        <v>0</v>
      </c>
      <c r="M68" s="785" t="s">
        <v>3165</v>
      </c>
      <c r="O68" s="562" t="s">
        <v>3303</v>
      </c>
      <c r="P68" s="563" t="s">
        <v>3304</v>
      </c>
      <c r="Q68" s="563" t="s">
        <v>3303</v>
      </c>
      <c r="R68" s="564">
        <f t="shared" ref="R68:Y68" si="29">R66+R67</f>
        <v>700.00036665387347</v>
      </c>
      <c r="S68" s="564">
        <f t="shared" si="29"/>
        <v>700.00006713958828</v>
      </c>
      <c r="T68" s="564">
        <f t="shared" si="29"/>
        <v>700.02641055173376</v>
      </c>
      <c r="U68" s="564">
        <f t="shared" si="29"/>
        <v>700.0000433543704</v>
      </c>
      <c r="V68" s="564">
        <f t="shared" si="29"/>
        <v>700.0000242961421</v>
      </c>
      <c r="W68" s="564">
        <f t="shared" si="29"/>
        <v>700.00000130649994</v>
      </c>
      <c r="X68" s="564">
        <f t="shared" si="29"/>
        <v>700.0000012692542</v>
      </c>
      <c r="Y68" s="564">
        <f t="shared" si="29"/>
        <v>0</v>
      </c>
      <c r="Z68" s="519" t="s">
        <v>3165</v>
      </c>
    </row>
    <row r="69" spans="2:26" ht="20.149999999999999" customHeight="1" x14ac:dyDescent="0.35">
      <c r="B69" s="781" t="s">
        <v>3312</v>
      </c>
      <c r="C69" s="782" t="s">
        <v>3169</v>
      </c>
      <c r="D69" s="782" t="s">
        <v>2266</v>
      </c>
      <c r="E69" s="783">
        <f>IFERROR(VLOOKUP($B69,flows!$A$2:$J$2954,E$2,FALSE),0)</f>
        <v>0</v>
      </c>
      <c r="F69" s="783">
        <f>IFERROR(VLOOKUP($B69,flows!$A$2:$J$2954,F$2,FALSE),0)</f>
        <v>0</v>
      </c>
      <c r="G69" s="783">
        <f>IFERROR(VLOOKUP($B69,flows!$A$2:$J$2954,G$2,FALSE),0)</f>
        <v>0</v>
      </c>
      <c r="H69" s="783">
        <f>IFERROR(VLOOKUP($B69,flows!$A$2:$J$2954,H$2,FALSE),0)</f>
        <v>0</v>
      </c>
      <c r="I69" s="783">
        <f>IFERROR(VLOOKUP($B69,flows!$A$2:$J$2954,I$2,FALSE),0)</f>
        <v>0</v>
      </c>
      <c r="J69" s="783">
        <f>IFERROR(VLOOKUP($B69,flows!$A$2:$J$2954,J$2,FALSE),0)</f>
        <v>0</v>
      </c>
      <c r="K69" s="783">
        <f>IFERROR(VLOOKUP($B69,flows!$A$2:$J$2954,K$2,FALSE),0)</f>
        <v>0</v>
      </c>
      <c r="L69" s="784">
        <f>IFERROR(VLOOKUP($B69,flows!$A$2:$J$2954,L$2,FALSE),0)</f>
        <v>0</v>
      </c>
      <c r="M69" s="785" t="s">
        <v>3165</v>
      </c>
      <c r="O69" s="520" t="s">
        <v>3159</v>
      </c>
      <c r="P69" s="521" t="s">
        <v>3156</v>
      </c>
      <c r="Q69" s="521" t="s">
        <v>3157</v>
      </c>
      <c r="R69" s="539" t="s">
        <v>23</v>
      </c>
      <c r="S69" s="539" t="s">
        <v>1798</v>
      </c>
      <c r="T69" s="539" t="s">
        <v>1799</v>
      </c>
      <c r="U69" s="539" t="s">
        <v>1800</v>
      </c>
      <c r="V69" s="539" t="s">
        <v>1801</v>
      </c>
      <c r="W69" s="539" t="s">
        <v>1802</v>
      </c>
      <c r="X69" s="539" t="s">
        <v>1803</v>
      </c>
      <c r="Y69" s="539" t="s">
        <v>1804</v>
      </c>
      <c r="Z69" s="523" t="s">
        <v>3158</v>
      </c>
    </row>
    <row r="70" spans="2:26" ht="20.149999999999999" customHeight="1" x14ac:dyDescent="0.35">
      <c r="B70" s="781" t="s">
        <v>3314</v>
      </c>
      <c r="C70" s="782" t="s">
        <v>3174</v>
      </c>
      <c r="D70" s="782" t="s">
        <v>3175</v>
      </c>
      <c r="E70" s="783">
        <f>IFERROR(VLOOKUP($B70,flows!$A$2:$J$2954,E$2,FALSE),0)</f>
        <v>0</v>
      </c>
      <c r="F70" s="783">
        <f>IFERROR(VLOOKUP($B70,flows!$A$2:$J$2954,F$2,FALSE),0)</f>
        <v>0</v>
      </c>
      <c r="G70" s="783">
        <f>IFERROR(VLOOKUP($B70,flows!$A$2:$J$2954,G$2,FALSE),0)</f>
        <v>0</v>
      </c>
      <c r="H70" s="783">
        <f>IFERROR(VLOOKUP($B70,flows!$A$2:$J$2954,H$2,FALSE),0)</f>
        <v>0</v>
      </c>
      <c r="I70" s="783">
        <f>IFERROR(VLOOKUP($B70,flows!$A$2:$J$2954,I$2,FALSE),0)</f>
        <v>0</v>
      </c>
      <c r="J70" s="783">
        <f>IFERROR(VLOOKUP($B70,flows!$A$2:$J$2954,J$2,FALSE),0)</f>
        <v>0</v>
      </c>
      <c r="K70" s="783">
        <f>IFERROR(VLOOKUP($B70,flows!$A$2:$J$2954,K$2,FALSE),0)</f>
        <v>0</v>
      </c>
      <c r="L70" s="784">
        <f>IFERROR(VLOOKUP($B70,flows!$A$2:$J$2954,L$2,FALSE),0)</f>
        <v>0</v>
      </c>
      <c r="M70" s="785" t="s">
        <v>3165</v>
      </c>
      <c r="O70" s="565" t="s">
        <v>3307</v>
      </c>
      <c r="P70" s="566" t="s">
        <v>3224</v>
      </c>
      <c r="Q70" s="566" t="s">
        <v>3225</v>
      </c>
      <c r="R70" s="567">
        <f>IFERROR(VLOOKUP($O70,flows!$A$2:$J$2954,R$2,FALSE),0)</f>
        <v>710.91565478686982</v>
      </c>
      <c r="S70" s="567">
        <f>IFERROR(VLOOKUP($O70,flows!$A$2:$J$2954,S$2,FALSE),0)</f>
        <v>501.19838007485578</v>
      </c>
      <c r="T70" s="567">
        <f>IFERROR(VLOOKUP($O70,flows!$A$2:$J$2954,T$2,FALSE),0)</f>
        <v>494.93676877021869</v>
      </c>
      <c r="U70" s="567">
        <f>IFERROR(VLOOKUP($O70,flows!$A$2:$J$2954,U$2,FALSE),0)</f>
        <v>514.95374040697811</v>
      </c>
      <c r="V70" s="567">
        <f>IFERROR(VLOOKUP($O70,flows!$A$2:$J$2954,V$2,FALSE),0)</f>
        <v>538.13295922776945</v>
      </c>
      <c r="W70" s="567">
        <f>IFERROR(VLOOKUP($O70,flows!$A$2:$J$2954,W$2,FALSE),0)</f>
        <v>585.20335772842645</v>
      </c>
      <c r="X70" s="567">
        <f>IFERROR(VLOOKUP($O70,flows!$A$2:$J$2954,X$2,FALSE),0)</f>
        <v>710.9199816616524</v>
      </c>
      <c r="Y70" s="567">
        <f>IFERROR(VLOOKUP($O70,flows!$A$2:$J$2954,Y$2,FALSE),0)</f>
        <v>0</v>
      </c>
      <c r="Z70" s="512" t="s">
        <v>3210</v>
      </c>
    </row>
    <row r="71" spans="2:26" ht="20.149999999999999" customHeight="1" x14ac:dyDescent="0.35">
      <c r="B71" s="781" t="s">
        <v>3316</v>
      </c>
      <c r="C71" s="782" t="s">
        <v>3191</v>
      </c>
      <c r="D71" s="782" t="s">
        <v>3192</v>
      </c>
      <c r="E71" s="783">
        <f>IFERROR(VLOOKUP($B71,flows!$A$2:$J$2954,E$2,FALSE),0)</f>
        <v>0</v>
      </c>
      <c r="F71" s="783">
        <f>IFERROR(VLOOKUP($B71,flows!$A$2:$J$2954,F$2,FALSE),0)</f>
        <v>0</v>
      </c>
      <c r="G71" s="783">
        <f>IFERROR(VLOOKUP($B71,flows!$A$2:$J$2954,G$2,FALSE),0)</f>
        <v>0</v>
      </c>
      <c r="H71" s="783">
        <f>IFERROR(VLOOKUP($B71,flows!$A$2:$J$2954,H$2,FALSE),0)</f>
        <v>0</v>
      </c>
      <c r="I71" s="783">
        <f>IFERROR(VLOOKUP($B71,flows!$A$2:$J$2954,I$2,FALSE),0)</f>
        <v>0</v>
      </c>
      <c r="J71" s="783">
        <f>IFERROR(VLOOKUP($B71,flows!$A$2:$J$2954,J$2,FALSE),0)</f>
        <v>0</v>
      </c>
      <c r="K71" s="783">
        <f>IFERROR(VLOOKUP($B71,flows!$A$2:$J$2954,K$2,FALSE),0)</f>
        <v>0</v>
      </c>
      <c r="L71" s="784">
        <f>IFERROR(VLOOKUP($B71,flows!$A$2:$J$2954,L$2,FALSE),0)</f>
        <v>0</v>
      </c>
      <c r="M71" s="785" t="s">
        <v>3165</v>
      </c>
      <c r="O71" s="568" t="s">
        <v>3308</v>
      </c>
      <c r="P71" s="566" t="s">
        <v>3208</v>
      </c>
      <c r="Q71" s="566" t="s">
        <v>3209</v>
      </c>
      <c r="R71" s="540">
        <f>IFERROR(VLOOKUP($O71,flows!$A$2:$J$2954,R$2,FALSE),0)</f>
        <v>70.76956744678273</v>
      </c>
      <c r="S71" s="540">
        <f>IFERROR(VLOOKUP($O71,flows!$A$2:$J$2954,S$2,FALSE),0)</f>
        <v>49.892828107097223</v>
      </c>
      <c r="T71" s="540">
        <f>IFERROR(VLOOKUP($O71,flows!$A$2:$J$2954,T$2,FALSE),0)</f>
        <v>49.269503074703749</v>
      </c>
      <c r="U71" s="540">
        <f>IFERROR(VLOOKUP($O71,flows!$A$2:$J$2954,U$2,FALSE),0)</f>
        <v>51.262133866823063</v>
      </c>
      <c r="V71" s="540">
        <f>IFERROR(VLOOKUP($O71,flows!$A$2:$J$2954,V$2,FALSE),0)</f>
        <v>53.569557087364608</v>
      </c>
      <c r="W71" s="540">
        <f>IFERROR(VLOOKUP($O71,flows!$A$2:$J$2954,W$2,FALSE),0)</f>
        <v>58.255277142914473</v>
      </c>
      <c r="X71" s="540">
        <f>IFERROR(VLOOKUP($O71,flows!$A$2:$J$2954,X$2,FALSE),0)</f>
        <v>70.769998174471311</v>
      </c>
      <c r="Y71" s="540">
        <f>IFERROR(VLOOKUP($O71,flows!$A$2:$J$2954,Y$2,FALSE),0)</f>
        <v>0</v>
      </c>
      <c r="Z71" s="569" t="s">
        <v>3210</v>
      </c>
    </row>
    <row r="72" spans="2:26" ht="20.149999999999999" customHeight="1" x14ac:dyDescent="0.35">
      <c r="B72" s="794" t="s">
        <v>3318</v>
      </c>
      <c r="C72" s="795" t="s">
        <v>3197</v>
      </c>
      <c r="D72" s="795" t="s">
        <v>3198</v>
      </c>
      <c r="E72" s="783">
        <f>IFERROR(VLOOKUP($B72,flows!$A$2:$J$2954,E$2,FALSE),0)</f>
        <v>0</v>
      </c>
      <c r="F72" s="783">
        <f>IFERROR(VLOOKUP($B72,flows!$A$2:$J$2954,F$2,FALSE),0)</f>
        <v>0</v>
      </c>
      <c r="G72" s="783">
        <f>IFERROR(VLOOKUP($B72,flows!$A$2:$J$2954,G$2,FALSE),0)</f>
        <v>0</v>
      </c>
      <c r="H72" s="783">
        <f>IFERROR(VLOOKUP($B72,flows!$A$2:$J$2954,H$2,FALSE),0)</f>
        <v>0</v>
      </c>
      <c r="I72" s="783">
        <f>IFERROR(VLOOKUP($B72,flows!$A$2:$J$2954,I$2,FALSE),0)</f>
        <v>0</v>
      </c>
      <c r="J72" s="783">
        <f>IFERROR(VLOOKUP($B72,flows!$A$2:$J$2954,J$2,FALSE),0)</f>
        <v>0</v>
      </c>
      <c r="K72" s="783">
        <f>IFERROR(VLOOKUP($B72,flows!$A$2:$J$2954,K$2,FALSE),0)</f>
        <v>0</v>
      </c>
      <c r="L72" s="784">
        <f>IFERROR(VLOOKUP($B72,flows!$A$2:$J$2954,L$2,FALSE),0)</f>
        <v>0</v>
      </c>
      <c r="M72" s="785" t="s">
        <v>3165</v>
      </c>
      <c r="O72" s="568" t="s">
        <v>3309</v>
      </c>
      <c r="P72" s="566" t="s">
        <v>3244</v>
      </c>
      <c r="Q72" s="566" t="s">
        <v>3245</v>
      </c>
      <c r="R72" s="540">
        <f>IFERROR(VLOOKUP($O72,flows!$A$2:$J$2954,R$2,FALSE),0)</f>
        <v>1004.913857829884</v>
      </c>
      <c r="S72" s="540">
        <f>IFERROR(VLOOKUP($O72,flows!$A$2:$J$2954,S$2,FALSE),0)</f>
        <v>708.46828912511137</v>
      </c>
      <c r="T72" s="540">
        <f>IFERROR(VLOOKUP($O72,flows!$A$2:$J$2954,T$2,FALSE),0)</f>
        <v>699.61719697373587</v>
      </c>
      <c r="U72" s="540">
        <f>IFERROR(VLOOKUP($O72,flows!$A$2:$J$2954,U$2,FALSE),0)</f>
        <v>727.91216003176237</v>
      </c>
      <c r="V72" s="540">
        <f>IFERROR(VLOOKUP($O72,flows!$A$2:$J$2954,V$2,FALSE),0)</f>
        <v>760.67711329990743</v>
      </c>
      <c r="W72" s="540">
        <f>IFERROR(VLOOKUP($O72,flows!$A$2:$J$2954,W$2,FALSE),0)</f>
        <v>827.21341114112761</v>
      </c>
      <c r="X72" s="540">
        <f>IFERROR(VLOOKUP($O72,flows!$A$2:$J$2954,X$2,FALSE),0)</f>
        <v>1004.919974077854</v>
      </c>
      <c r="Y72" s="540">
        <f>IFERROR(VLOOKUP($O72,flows!$A$2:$J$2954,Y$2,FALSE),0)</f>
        <v>0</v>
      </c>
      <c r="Z72" s="569" t="s">
        <v>3210</v>
      </c>
    </row>
    <row r="73" spans="2:26" ht="20.149999999999999" customHeight="1" x14ac:dyDescent="0.35">
      <c r="B73" s="794" t="s">
        <v>3320</v>
      </c>
      <c r="C73" s="795" t="s">
        <v>3202</v>
      </c>
      <c r="D73" s="795" t="s">
        <v>3203</v>
      </c>
      <c r="E73" s="783">
        <f>IFERROR(VLOOKUP($B73,flows!$A$2:$J$2954,E$2,FALSE),0)</f>
        <v>0</v>
      </c>
      <c r="F73" s="783">
        <f>IFERROR(VLOOKUP($B73,flows!$A$2:$J$2954,F$2,FALSE),0)</f>
        <v>0</v>
      </c>
      <c r="G73" s="783">
        <f>IFERROR(VLOOKUP($B73,flows!$A$2:$J$2954,G$2,FALSE),0)</f>
        <v>0</v>
      </c>
      <c r="H73" s="783">
        <f>IFERROR(VLOOKUP($B73,flows!$A$2:$J$2954,H$2,FALSE),0)</f>
        <v>0</v>
      </c>
      <c r="I73" s="783">
        <f>IFERROR(VLOOKUP($B73,flows!$A$2:$J$2954,I$2,FALSE),0)</f>
        <v>0</v>
      </c>
      <c r="J73" s="783">
        <f>IFERROR(VLOOKUP($B73,flows!$A$2:$J$2954,J$2,FALSE),0)</f>
        <v>0</v>
      </c>
      <c r="K73" s="783">
        <f>IFERROR(VLOOKUP($B73,flows!$A$2:$J$2954,K$2,FALSE),0)</f>
        <v>0</v>
      </c>
      <c r="L73" s="784">
        <f>IFERROR(VLOOKUP($B73,flows!$A$2:$J$2954,L$2,FALSE),0)</f>
        <v>0</v>
      </c>
      <c r="M73" s="785" t="s">
        <v>3165</v>
      </c>
      <c r="O73" s="568" t="s">
        <v>3217</v>
      </c>
      <c r="P73" s="566" t="s">
        <v>2825</v>
      </c>
      <c r="Q73" s="566" t="s">
        <v>3218</v>
      </c>
      <c r="R73" s="574">
        <f t="shared" ref="R73:Y73" si="30">SUM(R70:R72)</f>
        <v>1786.5990800635366</v>
      </c>
      <c r="S73" s="574">
        <f t="shared" si="30"/>
        <v>1259.5594973070642</v>
      </c>
      <c r="T73" s="574">
        <f t="shared" si="30"/>
        <v>1243.8234688186583</v>
      </c>
      <c r="U73" s="574">
        <f t="shared" si="30"/>
        <v>1294.1280343055637</v>
      </c>
      <c r="V73" s="574">
        <f t="shared" si="30"/>
        <v>1352.3796296150415</v>
      </c>
      <c r="W73" s="574">
        <f t="shared" si="30"/>
        <v>1470.6720460124684</v>
      </c>
      <c r="X73" s="574">
        <f t="shared" si="30"/>
        <v>1786.6099539139777</v>
      </c>
      <c r="Y73" s="574">
        <f t="shared" si="30"/>
        <v>0</v>
      </c>
      <c r="Z73" s="569" t="s">
        <v>3210</v>
      </c>
    </row>
    <row r="74" spans="2:26" ht="20.149999999999999" customHeight="1" x14ac:dyDescent="0.35">
      <c r="B74" s="794" t="s">
        <v>3321</v>
      </c>
      <c r="C74" s="795" t="s">
        <v>3205</v>
      </c>
      <c r="D74" s="795" t="s">
        <v>3206</v>
      </c>
      <c r="E74" s="783">
        <f>IFERROR(VLOOKUP($B74,flows!$A$2:$J$2954,E$2,FALSE),0)</f>
        <v>0</v>
      </c>
      <c r="F74" s="783">
        <f>IFERROR(VLOOKUP($B74,flows!$A$2:$J$2954,F$2,FALSE),0)</f>
        <v>0</v>
      </c>
      <c r="G74" s="783">
        <f>IFERROR(VLOOKUP($B74,flows!$A$2:$J$2954,G$2,FALSE),0)</f>
        <v>0</v>
      </c>
      <c r="H74" s="783">
        <f>IFERROR(VLOOKUP($B74,flows!$A$2:$J$2954,H$2,FALSE),0)</f>
        <v>0</v>
      </c>
      <c r="I74" s="783">
        <f>IFERROR(VLOOKUP($B74,flows!$A$2:$J$2954,I$2,FALSE),0)</f>
        <v>0</v>
      </c>
      <c r="J74" s="783">
        <f>IFERROR(VLOOKUP($B74,flows!$A$2:$J$2954,J$2,FALSE),0)</f>
        <v>0</v>
      </c>
      <c r="K74" s="783">
        <f>IFERROR(VLOOKUP($B74,flows!$A$2:$J$2954,K$2,FALSE),0)</f>
        <v>0</v>
      </c>
      <c r="L74" s="784">
        <f>IFERROR(VLOOKUP($B74,flows!$A$2:$J$2954,L$2,FALSE),0)</f>
        <v>0</v>
      </c>
      <c r="M74" s="785" t="s">
        <v>3165</v>
      </c>
      <c r="O74" s="525" t="s">
        <v>3220</v>
      </c>
      <c r="P74" s="516" t="s">
        <v>3221</v>
      </c>
      <c r="Q74" s="517" t="s">
        <v>3220</v>
      </c>
      <c r="R74" s="576">
        <f t="shared" ref="R74:Y74" si="31">R73/R66</f>
        <v>2.5522999999999998</v>
      </c>
      <c r="S74" s="576">
        <f t="shared" si="31"/>
        <v>2.5522999999999998</v>
      </c>
      <c r="T74" s="576">
        <f t="shared" si="31"/>
        <v>2.5522999999999993</v>
      </c>
      <c r="U74" s="576">
        <f t="shared" si="31"/>
        <v>2.5522999999999998</v>
      </c>
      <c r="V74" s="576">
        <f t="shared" si="31"/>
        <v>2.5522999999999998</v>
      </c>
      <c r="W74" s="576">
        <f t="shared" si="31"/>
        <v>2.5522999999999998</v>
      </c>
      <c r="X74" s="576">
        <f t="shared" si="31"/>
        <v>2.5523000000000002</v>
      </c>
      <c r="Y74" s="576" t="e">
        <f t="shared" si="31"/>
        <v>#DIV/0!</v>
      </c>
      <c r="Z74" s="519" t="s">
        <v>3210</v>
      </c>
    </row>
    <row r="75" spans="2:26" ht="20.149999999999999" customHeight="1" x14ac:dyDescent="0.35">
      <c r="B75" s="796" t="s">
        <v>2031</v>
      </c>
      <c r="C75" s="795" t="s">
        <v>1229</v>
      </c>
      <c r="D75" s="795" t="s">
        <v>3212</v>
      </c>
      <c r="E75" s="797">
        <f t="shared" ref="E75:L75" si="32">SUM(E68:E74)</f>
        <v>0</v>
      </c>
      <c r="F75" s="797">
        <f t="shared" si="32"/>
        <v>0</v>
      </c>
      <c r="G75" s="797">
        <f t="shared" si="32"/>
        <v>0</v>
      </c>
      <c r="H75" s="797">
        <f t="shared" si="32"/>
        <v>0</v>
      </c>
      <c r="I75" s="797">
        <f t="shared" si="32"/>
        <v>0</v>
      </c>
      <c r="J75" s="797">
        <f t="shared" si="32"/>
        <v>0</v>
      </c>
      <c r="K75" s="797">
        <f t="shared" si="32"/>
        <v>0</v>
      </c>
      <c r="L75" s="797">
        <f t="shared" si="32"/>
        <v>0</v>
      </c>
      <c r="M75" s="798" t="s">
        <v>3165</v>
      </c>
      <c r="O75" s="568" t="s">
        <v>3313</v>
      </c>
      <c r="P75" s="566" t="s">
        <v>3224</v>
      </c>
      <c r="Q75" s="566" t="s">
        <v>3225</v>
      </c>
      <c r="R75" s="540">
        <f>IFERROR(VLOOKUP($O75,flows!$A$2:$J$2954,R$2,FALSE),0)</f>
        <v>2.5845463743702358E-3</v>
      </c>
      <c r="S75" s="540">
        <f>IFERROR(VLOOKUP($O75,flows!$A$2:$J$2954,S$2,FALSE),0)</f>
        <v>114.8967578432237</v>
      </c>
      <c r="T75" s="540">
        <f>IFERROR(VLOOKUP($O75,flows!$A$2:$J$2954,T$2,FALSE),0)</f>
        <v>118.3418608966111</v>
      </c>
      <c r="U75" s="540">
        <f>IFERROR(VLOOKUP($O75,flows!$A$2:$J$2954,U$2,FALSE),0)</f>
        <v>107.3608225051576</v>
      </c>
      <c r="V75" s="540">
        <f>IFERROR(VLOOKUP($O75,flows!$A$2:$J$2954,V$2,FALSE),0)</f>
        <v>94.661996076141278</v>
      </c>
      <c r="W75" s="540">
        <f>IFERROR(VLOOKUP($O75,flows!$A$2:$J$2954,W$2,FALSE),0)</f>
        <v>68.874301396396461</v>
      </c>
      <c r="X75" s="540">
        <f>IFERROR(VLOOKUP($O75,flows!$A$2:$J$2954,X$2,FALSE),0)</f>
        <v>1.075294064248739E-5</v>
      </c>
      <c r="Y75" s="540">
        <f>IFERROR(VLOOKUP($O75,flows!$A$2:$J$2954,Y$2,FALSE),0)</f>
        <v>0</v>
      </c>
      <c r="Z75" s="569" t="s">
        <v>3210</v>
      </c>
    </row>
    <row r="76" spans="2:26" ht="20.149999999999999" customHeight="1" x14ac:dyDescent="0.35">
      <c r="B76" s="799" t="s">
        <v>3323</v>
      </c>
      <c r="C76" s="800" t="s">
        <v>3163</v>
      </c>
      <c r="D76" s="800" t="s">
        <v>3164</v>
      </c>
      <c r="E76" s="801">
        <f>IFERROR(VLOOKUP($B76,flows!$A$2:$J$2954,E$2,FALSE),0)</f>
        <v>0</v>
      </c>
      <c r="F76" s="801">
        <f>IFERROR(VLOOKUP($B76,flows!$A$2:$J$2954,F$2,FALSE),0)</f>
        <v>0</v>
      </c>
      <c r="G76" s="801">
        <f>IFERROR(VLOOKUP($B76,flows!$A$2:$J$2954,G$2,FALSE),0)</f>
        <v>0</v>
      </c>
      <c r="H76" s="801">
        <f>IFERROR(VLOOKUP($B76,flows!$A$2:$J$2954,H$2,FALSE),0)</f>
        <v>0</v>
      </c>
      <c r="I76" s="801">
        <f>IFERROR(VLOOKUP($B76,flows!$A$2:$J$2954,I$2,FALSE),0)</f>
        <v>0</v>
      </c>
      <c r="J76" s="801">
        <f>IFERROR(VLOOKUP($B76,flows!$A$2:$J$2954,J$2,FALSE),0)</f>
        <v>0</v>
      </c>
      <c r="K76" s="801">
        <f>IFERROR(VLOOKUP($B76,flows!$A$2:$J$2954,K$2,FALSE),0)</f>
        <v>0</v>
      </c>
      <c r="L76" s="802">
        <f>IFERROR(VLOOKUP($B76,flows!$A$2:$J$2954,L$2,FALSE),0)</f>
        <v>0</v>
      </c>
      <c r="M76" s="803" t="s">
        <v>3165</v>
      </c>
      <c r="O76" s="568" t="s">
        <v>3315</v>
      </c>
      <c r="P76" s="566" t="s">
        <v>3244</v>
      </c>
      <c r="Q76" s="566" t="s">
        <v>3245</v>
      </c>
      <c r="R76" s="540">
        <f>IFERROR(VLOOKUP($O76,flows!$A$2:$J$2954,R$2,FALSE),0)</f>
        <v>5.5555669729453669E-4</v>
      </c>
      <c r="S76" s="540">
        <f>IFERROR(VLOOKUP($O76,flows!$A$2:$J$2954,S$2,FALSE),0)</f>
        <v>24.697433928917249</v>
      </c>
      <c r="T76" s="540">
        <f>IFERROR(VLOOKUP($O76,flows!$A$2:$J$2954,T$2,FALSE),0)</f>
        <v>25.43797009927156</v>
      </c>
      <c r="U76" s="540">
        <f>IFERROR(VLOOKUP($O76,flows!$A$2:$J$2954,U$2,FALSE),0)</f>
        <v>23.077559977744151</v>
      </c>
      <c r="V76" s="540">
        <f>IFERROR(VLOOKUP($O76,flows!$A$2:$J$2954,V$2,FALSE),0)</f>
        <v>20.347905698609811</v>
      </c>
      <c r="W76" s="540">
        <f>IFERROR(VLOOKUP($O76,flows!$A$2:$J$2954,W$2,FALSE),0)</f>
        <v>14.804756374926351</v>
      </c>
      <c r="X76" s="540">
        <f>IFERROR(VLOOKUP($O76,flows!$A$2:$J$2954,X$2,FALSE),0)</f>
        <v>2.311379764272991E-6</v>
      </c>
      <c r="Y76" s="540">
        <f>IFERROR(VLOOKUP($O76,flows!$A$2:$J$2954,Y$2,FALSE),0)</f>
        <v>0</v>
      </c>
      <c r="Z76" s="569" t="s">
        <v>3210</v>
      </c>
    </row>
    <row r="77" spans="2:26" ht="20.149999999999999" customHeight="1" x14ac:dyDescent="0.35">
      <c r="B77" s="781" t="s">
        <v>3324</v>
      </c>
      <c r="C77" s="782" t="s">
        <v>3169</v>
      </c>
      <c r="D77" s="782" t="s">
        <v>2266</v>
      </c>
      <c r="E77" s="783">
        <f>IFERROR(VLOOKUP($B77,flows!$A$2:$J$2954,E$2,FALSE),0)</f>
        <v>0</v>
      </c>
      <c r="F77" s="783">
        <f>IFERROR(VLOOKUP($B77,flows!$A$2:$J$2954,F$2,FALSE),0)</f>
        <v>0</v>
      </c>
      <c r="G77" s="783">
        <f>IFERROR(VLOOKUP($B77,flows!$A$2:$J$2954,G$2,FALSE),0)</f>
        <v>0</v>
      </c>
      <c r="H77" s="783">
        <f>IFERROR(VLOOKUP($B77,flows!$A$2:$J$2954,H$2,FALSE),0)</f>
        <v>0</v>
      </c>
      <c r="I77" s="783">
        <f>IFERROR(VLOOKUP($B77,flows!$A$2:$J$2954,I$2,FALSE),0)</f>
        <v>0</v>
      </c>
      <c r="J77" s="783">
        <f>IFERROR(VLOOKUP($B77,flows!$A$2:$J$2954,J$2,FALSE),0)</f>
        <v>0</v>
      </c>
      <c r="K77" s="783">
        <f>IFERROR(VLOOKUP($B77,flows!$A$2:$J$2954,K$2,FALSE),0)</f>
        <v>0</v>
      </c>
      <c r="L77" s="784">
        <f>IFERROR(VLOOKUP($B77,flows!$A$2:$J$2954,L$2,FALSE),0)</f>
        <v>0</v>
      </c>
      <c r="M77" s="785" t="s">
        <v>3165</v>
      </c>
      <c r="O77" s="568" t="s">
        <v>3317</v>
      </c>
      <c r="P77" s="566" t="s">
        <v>3208</v>
      </c>
      <c r="Q77" s="566" t="s">
        <v>3209</v>
      </c>
      <c r="R77" s="540">
        <f>IFERROR(VLOOKUP($O77,flows!$A$2:$J$2954,R$2,FALSE),0)</f>
        <v>3.9850509248242722E-3</v>
      </c>
      <c r="S77" s="540">
        <f>IFERROR(VLOOKUP($O77,flows!$A$2:$J$2954,S$2,FALSE),0)</f>
        <v>177.15659337473329</v>
      </c>
      <c r="T77" s="540">
        <f>IFERROR(VLOOKUP($O77,flows!$A$2:$J$2954,T$2,FALSE),0)</f>
        <v>182.46851628900561</v>
      </c>
      <c r="U77" s="540">
        <f>IFERROR(VLOOKUP($O77,flows!$A$2:$J$2954,U$2,FALSE),0)</f>
        <v>165.53711291728021</v>
      </c>
      <c r="V77" s="540">
        <f>IFERROR(VLOOKUP($O77,flows!$A$2:$J$2954,V$2,FALSE),0)</f>
        <v>145.95709279964339</v>
      </c>
      <c r="W77" s="540">
        <f>IFERROR(VLOOKUP($O77,flows!$A$2:$J$2954,W$2,FALSE),0)</f>
        <v>106.19565630476011</v>
      </c>
      <c r="X77" s="540">
        <f>IFERROR(VLOOKUP($O77,flows!$A$2:$J$2954,X$2,FALSE),0)</f>
        <v>1.6579704847573569E-5</v>
      </c>
      <c r="Y77" s="540">
        <f>IFERROR(VLOOKUP($O77,flows!$A$2:$J$2954,Y$2,FALSE),0)</f>
        <v>0</v>
      </c>
      <c r="Z77" s="569" t="s">
        <v>3210</v>
      </c>
    </row>
    <row r="78" spans="2:26" ht="20.149999999999999" customHeight="1" x14ac:dyDescent="0.35">
      <c r="B78" s="781" t="s">
        <v>3325</v>
      </c>
      <c r="C78" s="782" t="s">
        <v>3174</v>
      </c>
      <c r="D78" s="782" t="s">
        <v>3175</v>
      </c>
      <c r="E78" s="783">
        <f>IFERROR(VLOOKUP($B78,flows!$A$2:$J$2954,E$2,FALSE),0)</f>
        <v>0</v>
      </c>
      <c r="F78" s="783">
        <f>IFERROR(VLOOKUP($B78,flows!$A$2:$J$2954,F$2,FALSE),0)</f>
        <v>0</v>
      </c>
      <c r="G78" s="783">
        <f>IFERROR(VLOOKUP($B78,flows!$A$2:$J$2954,G$2,FALSE),0)</f>
        <v>0</v>
      </c>
      <c r="H78" s="783">
        <f>IFERROR(VLOOKUP($B78,flows!$A$2:$J$2954,H$2,FALSE),0)</f>
        <v>0</v>
      </c>
      <c r="I78" s="783">
        <f>IFERROR(VLOOKUP($B78,flows!$A$2:$J$2954,I$2,FALSE),0)</f>
        <v>0</v>
      </c>
      <c r="J78" s="783">
        <f>IFERROR(VLOOKUP($B78,flows!$A$2:$J$2954,J$2,FALSE),0)</f>
        <v>0</v>
      </c>
      <c r="K78" s="783">
        <f>IFERROR(VLOOKUP($B78,flows!$A$2:$J$2954,K$2,FALSE),0)</f>
        <v>0</v>
      </c>
      <c r="L78" s="784">
        <f>IFERROR(VLOOKUP($B78,flows!$A$2:$J$2954,L$2,FALSE),0)</f>
        <v>0</v>
      </c>
      <c r="M78" s="785" t="s">
        <v>3165</v>
      </c>
      <c r="O78" s="568" t="s">
        <v>3319</v>
      </c>
      <c r="P78" s="566" t="s">
        <v>3214</v>
      </c>
      <c r="Q78" s="566" t="s">
        <v>3215</v>
      </c>
      <c r="R78" s="540">
        <f>IFERROR(VLOOKUP($O78,flows!$A$2:$J$2954,R$2,FALSE),0)</f>
        <v>5.5551024606566588E-3</v>
      </c>
      <c r="S78" s="540">
        <f>IFERROR(VLOOKUP($O78,flows!$A$2:$J$2954,S$2,FALSE),0)</f>
        <v>246.9536892608038</v>
      </c>
      <c r="T78" s="540">
        <f>IFERROR(VLOOKUP($O78,flows!$A$2:$J$2954,T$2,FALSE),0)</f>
        <v>254.35843178694691</v>
      </c>
      <c r="U78" s="540">
        <f>IFERROR(VLOOKUP($O78,flows!$A$2:$J$2954,U$2,FALSE),0)</f>
        <v>230.75630415873101</v>
      </c>
      <c r="V78" s="540">
        <f>IFERROR(VLOOKUP($O78,flows!$A$2:$J$2954,V$2,FALSE),0)</f>
        <v>203.46204368701899</v>
      </c>
      <c r="W78" s="540">
        <f>IFERROR(VLOOKUP($O78,flows!$A$2:$J$2954,W$2,FALSE),0)</f>
        <v>148.03518519042149</v>
      </c>
      <c r="X78" s="540">
        <f>IFERROR(VLOOKUP($O78,flows!$A$2:$J$2954,X$2,FALSE),0)</f>
        <v>2.311186505095375E-5</v>
      </c>
      <c r="Y78" s="540">
        <f>IFERROR(VLOOKUP($O78,flows!$A$2:$J$2954,Y$2,FALSE),0)</f>
        <v>0</v>
      </c>
      <c r="Z78" s="569" t="s">
        <v>3210</v>
      </c>
    </row>
    <row r="79" spans="2:26" ht="20.149999999999999" customHeight="1" thickBot="1" x14ac:dyDescent="0.4">
      <c r="B79" s="781" t="s">
        <v>3328</v>
      </c>
      <c r="C79" s="782" t="s">
        <v>3191</v>
      </c>
      <c r="D79" s="782" t="s">
        <v>3192</v>
      </c>
      <c r="E79" s="783">
        <f>IFERROR(VLOOKUP($B79,flows!$A$2:$J$2954,E$2,FALSE),0)</f>
        <v>0</v>
      </c>
      <c r="F79" s="783">
        <f>IFERROR(VLOOKUP($B79,flows!$A$2:$J$2954,F$2,FALSE),0)</f>
        <v>0</v>
      </c>
      <c r="G79" s="783">
        <f>IFERROR(VLOOKUP($B79,flows!$A$2:$J$2954,G$2,FALSE),0)</f>
        <v>0</v>
      </c>
      <c r="H79" s="783">
        <f>IFERROR(VLOOKUP($B79,flows!$A$2:$J$2954,H$2,FALSE),0)</f>
        <v>0</v>
      </c>
      <c r="I79" s="783">
        <f>IFERROR(VLOOKUP($B79,flows!$A$2:$J$2954,I$2,FALSE),0)</f>
        <v>0</v>
      </c>
      <c r="J79" s="783">
        <f>IFERROR(VLOOKUP($B79,flows!$A$2:$J$2954,J$2,FALSE),0)</f>
        <v>0</v>
      </c>
      <c r="K79" s="783">
        <f>IFERROR(VLOOKUP($B79,flows!$A$2:$J$2954,K$2,FALSE),0)</f>
        <v>0</v>
      </c>
      <c r="L79" s="784">
        <f>IFERROR(VLOOKUP($B79,flows!$A$2:$J$2954,L$2,FALSE),0)</f>
        <v>0</v>
      </c>
      <c r="M79" s="785" t="s">
        <v>3165</v>
      </c>
      <c r="O79" s="568"/>
      <c r="P79" s="566"/>
      <c r="Q79" s="833"/>
      <c r="R79" s="834"/>
      <c r="S79" s="834"/>
      <c r="T79" s="834"/>
      <c r="U79" s="834"/>
      <c r="V79" s="834"/>
      <c r="W79" s="834"/>
      <c r="X79" s="834"/>
      <c r="Y79" s="834"/>
      <c r="Z79" s="569"/>
    </row>
    <row r="80" spans="2:26" ht="20.149999999999999" customHeight="1" x14ac:dyDescent="0.35">
      <c r="B80" s="794" t="s">
        <v>3330</v>
      </c>
      <c r="C80" s="795" t="s">
        <v>3197</v>
      </c>
      <c r="D80" s="795" t="s">
        <v>3198</v>
      </c>
      <c r="E80" s="783">
        <f>IFERROR(VLOOKUP($B80,flows!$A$2:$J$2954,E$2,FALSE),0)</f>
        <v>0</v>
      </c>
      <c r="F80" s="783">
        <f>IFERROR(VLOOKUP($B80,flows!$A$2:$J$2954,F$2,FALSE),0)</f>
        <v>0</v>
      </c>
      <c r="G80" s="783">
        <f>IFERROR(VLOOKUP($B80,flows!$A$2:$J$2954,G$2,FALSE),0)</f>
        <v>0</v>
      </c>
      <c r="H80" s="783">
        <f>IFERROR(VLOOKUP($B80,flows!$A$2:$J$2954,H$2,FALSE),0)</f>
        <v>0</v>
      </c>
      <c r="I80" s="783">
        <f>IFERROR(VLOOKUP($B80,flows!$A$2:$J$2954,I$2,FALSE),0)</f>
        <v>0</v>
      </c>
      <c r="J80" s="783">
        <f>IFERROR(VLOOKUP($B80,flows!$A$2:$J$2954,J$2,FALSE),0)</f>
        <v>0</v>
      </c>
      <c r="K80" s="783">
        <f>IFERROR(VLOOKUP($B80,flows!$A$2:$J$2954,K$2,FALSE),0)</f>
        <v>0</v>
      </c>
      <c r="L80" s="784">
        <f>IFERROR(VLOOKUP($B80,flows!$A$2:$J$2954,L$2,FALSE),0)</f>
        <v>0</v>
      </c>
      <c r="M80" s="785" t="s">
        <v>3165</v>
      </c>
      <c r="O80" s="568"/>
      <c r="P80" s="566"/>
      <c r="Q80" s="829" t="s">
        <v>3908</v>
      </c>
      <c r="R80" s="560">
        <f>R71+R77</f>
        <v>70.773552497707556</v>
      </c>
      <c r="S80" s="560">
        <f t="shared" ref="S80:Y80" si="33">S71+S77</f>
        <v>227.04942148183051</v>
      </c>
      <c r="T80" s="560">
        <f t="shared" si="33"/>
        <v>231.73801936370936</v>
      </c>
      <c r="U80" s="560">
        <f t="shared" si="33"/>
        <v>216.79924678410327</v>
      </c>
      <c r="V80" s="560">
        <f t="shared" si="33"/>
        <v>199.52664988700801</v>
      </c>
      <c r="W80" s="560">
        <f t="shared" si="33"/>
        <v>164.45093344767457</v>
      </c>
      <c r="X80" s="560">
        <f t="shared" si="33"/>
        <v>70.770014754176159</v>
      </c>
      <c r="Y80" s="560">
        <f t="shared" si="33"/>
        <v>0</v>
      </c>
      <c r="Z80" s="569"/>
    </row>
    <row r="81" spans="2:26" ht="20.149999999999999" customHeight="1" x14ac:dyDescent="0.35">
      <c r="B81" s="794" t="s">
        <v>3332</v>
      </c>
      <c r="C81" s="795" t="s">
        <v>3202</v>
      </c>
      <c r="D81" s="795" t="s">
        <v>3203</v>
      </c>
      <c r="E81" s="783">
        <f>IFERROR(VLOOKUP($B81,flows!$A$2:$J$2954,E$2,FALSE),0)</f>
        <v>0</v>
      </c>
      <c r="F81" s="783">
        <f>IFERROR(VLOOKUP($B81,flows!$A$2:$J$2954,F$2,FALSE),0)</f>
        <v>0</v>
      </c>
      <c r="G81" s="783">
        <f>IFERROR(VLOOKUP($B81,flows!$A$2:$J$2954,G$2,FALSE),0)</f>
        <v>0</v>
      </c>
      <c r="H81" s="783">
        <f>IFERROR(VLOOKUP($B81,flows!$A$2:$J$2954,H$2,FALSE),0)</f>
        <v>0</v>
      </c>
      <c r="I81" s="783">
        <f>IFERROR(VLOOKUP($B81,flows!$A$2:$J$2954,I$2,FALSE),0)</f>
        <v>0</v>
      </c>
      <c r="J81" s="783">
        <f>IFERROR(VLOOKUP($B81,flows!$A$2:$J$2954,J$2,FALSE),0)</f>
        <v>0</v>
      </c>
      <c r="K81" s="783">
        <f>IFERROR(VLOOKUP($B81,flows!$A$2:$J$2954,K$2,FALSE),0)</f>
        <v>0</v>
      </c>
      <c r="L81" s="784">
        <f>IFERROR(VLOOKUP($B81,flows!$A$2:$J$2954,L$2,FALSE),0)</f>
        <v>0</v>
      </c>
      <c r="M81" s="785" t="s">
        <v>3165</v>
      </c>
      <c r="O81" s="568"/>
      <c r="P81" s="566"/>
      <c r="Q81" s="510" t="s">
        <v>3909</v>
      </c>
      <c r="R81" s="540">
        <f>R78</f>
        <v>5.5551024606566588E-3</v>
      </c>
      <c r="S81" s="540">
        <f t="shared" ref="S81:Y81" si="34">S78</f>
        <v>246.9536892608038</v>
      </c>
      <c r="T81" s="540">
        <f t="shared" si="34"/>
        <v>254.35843178694691</v>
      </c>
      <c r="U81" s="540">
        <f t="shared" si="34"/>
        <v>230.75630415873101</v>
      </c>
      <c r="V81" s="540">
        <f t="shared" si="34"/>
        <v>203.46204368701899</v>
      </c>
      <c r="W81" s="540">
        <f t="shared" si="34"/>
        <v>148.03518519042149</v>
      </c>
      <c r="X81" s="540">
        <f t="shared" si="34"/>
        <v>2.311186505095375E-5</v>
      </c>
      <c r="Y81" s="540">
        <f t="shared" si="34"/>
        <v>0</v>
      </c>
      <c r="Z81" s="569"/>
    </row>
    <row r="82" spans="2:26" ht="20.149999999999999" customHeight="1" x14ac:dyDescent="0.35">
      <c r="B82" s="794" t="s">
        <v>3334</v>
      </c>
      <c r="C82" s="795" t="s">
        <v>3205</v>
      </c>
      <c r="D82" s="795" t="s">
        <v>3206</v>
      </c>
      <c r="E82" s="783">
        <f>IFERROR(VLOOKUP($B82,flows!$A$2:$J$2954,E$2,FALSE),0)</f>
        <v>0</v>
      </c>
      <c r="F82" s="783">
        <f>IFERROR(VLOOKUP($B82,flows!$A$2:$J$2954,F$2,FALSE),0)</f>
        <v>0</v>
      </c>
      <c r="G82" s="783">
        <f>IFERROR(VLOOKUP($B82,flows!$A$2:$J$2954,G$2,FALSE),0)</f>
        <v>0</v>
      </c>
      <c r="H82" s="783">
        <f>IFERROR(VLOOKUP($B82,flows!$A$2:$J$2954,H$2,FALSE),0)</f>
        <v>0</v>
      </c>
      <c r="I82" s="783">
        <f>IFERROR(VLOOKUP($B82,flows!$A$2:$J$2954,I$2,FALSE),0)</f>
        <v>0</v>
      </c>
      <c r="J82" s="783">
        <f>IFERROR(VLOOKUP($B82,flows!$A$2:$J$2954,J$2,FALSE),0)</f>
        <v>0</v>
      </c>
      <c r="K82" s="783">
        <f>IFERROR(VLOOKUP($B82,flows!$A$2:$J$2954,K$2,FALSE),0)</f>
        <v>0</v>
      </c>
      <c r="L82" s="784">
        <f>IFERROR(VLOOKUP($B82,flows!$A$2:$J$2954,L$2,FALSE),0)</f>
        <v>0</v>
      </c>
      <c r="M82" s="785" t="s">
        <v>3165</v>
      </c>
      <c r="O82" s="568"/>
      <c r="P82" s="566"/>
      <c r="Q82" s="510" t="s">
        <v>3910</v>
      </c>
      <c r="R82" s="540" t="e">
        <f>(R70+R75)*(1-Erdgas!F16)</f>
        <v>#N/A</v>
      </c>
      <c r="S82" s="540" t="e">
        <f>(S70+S75)*(1-Erdgas!G16)</f>
        <v>#N/A</v>
      </c>
      <c r="T82" s="540" t="e">
        <f>(T70+T75)*(1-Erdgas!H16)</f>
        <v>#N/A</v>
      </c>
      <c r="U82" s="540" t="e">
        <f>(U70+U75)*(1-Erdgas!I16)</f>
        <v>#N/A</v>
      </c>
      <c r="V82" s="540" t="e">
        <f>(V70+V75)*(1-Erdgas!J16)</f>
        <v>#N/A</v>
      </c>
      <c r="W82" s="540" t="e">
        <f>(W70+W75)*(1-Erdgas!K16)</f>
        <v>#N/A</v>
      </c>
      <c r="X82" s="540" t="e">
        <f>(X70+X75)*(1-Erdgas!L16)</f>
        <v>#N/A</v>
      </c>
      <c r="Y82" s="540" t="e">
        <f>(Y70+Y75)*(1-Erdgas!M16)</f>
        <v>#N/A</v>
      </c>
      <c r="Z82" s="569"/>
    </row>
    <row r="83" spans="2:26" ht="20.149999999999999" customHeight="1" x14ac:dyDescent="0.35">
      <c r="B83" s="796" t="s">
        <v>2031</v>
      </c>
      <c r="C83" s="795" t="s">
        <v>1229</v>
      </c>
      <c r="D83" s="795" t="s">
        <v>3212</v>
      </c>
      <c r="E83" s="797">
        <f>SUM(E76:E82)</f>
        <v>0</v>
      </c>
      <c r="F83" s="797">
        <f t="shared" ref="F83:L83" si="35">SUM(F76:F82)</f>
        <v>0</v>
      </c>
      <c r="G83" s="797">
        <f t="shared" si="35"/>
        <v>0</v>
      </c>
      <c r="H83" s="797">
        <f t="shared" si="35"/>
        <v>0</v>
      </c>
      <c r="I83" s="797">
        <f t="shared" si="35"/>
        <v>0</v>
      </c>
      <c r="J83" s="797">
        <f t="shared" si="35"/>
        <v>0</v>
      </c>
      <c r="K83" s="797">
        <f t="shared" si="35"/>
        <v>0</v>
      </c>
      <c r="L83" s="797">
        <f t="shared" si="35"/>
        <v>0</v>
      </c>
      <c r="M83" s="798" t="s">
        <v>3165</v>
      </c>
      <c r="O83" s="568"/>
      <c r="P83" s="566"/>
      <c r="Q83" s="510" t="s">
        <v>4073</v>
      </c>
      <c r="R83" s="834" t="e">
        <f>(R70+R75)*Erdgas!F16</f>
        <v>#N/A</v>
      </c>
      <c r="S83" s="834" t="e">
        <f>(S70+S75)*Erdgas!G16</f>
        <v>#N/A</v>
      </c>
      <c r="T83" s="834" t="e">
        <f>(T70+T75)*Erdgas!H16</f>
        <v>#N/A</v>
      </c>
      <c r="U83" s="834" t="e">
        <f>(U70+U75)*Erdgas!I16</f>
        <v>#N/A</v>
      </c>
      <c r="V83" s="834" t="e">
        <f>(V70+V75)*Erdgas!J16</f>
        <v>#N/A</v>
      </c>
      <c r="W83" s="834" t="e">
        <f>(W70+W75)*Erdgas!K16</f>
        <v>#N/A</v>
      </c>
      <c r="X83" s="834" t="e">
        <f>(X70+X75)*Erdgas!L16</f>
        <v>#N/A</v>
      </c>
      <c r="Y83" s="834" t="e">
        <f>(Y70+Y75)*Erdgas!M16</f>
        <v>#N/A</v>
      </c>
      <c r="Z83" s="569"/>
    </row>
    <row r="84" spans="2:26" ht="20.149999999999999" customHeight="1" thickBot="1" x14ac:dyDescent="0.4">
      <c r="B84" s="583" t="s">
        <v>3217</v>
      </c>
      <c r="C84" s="584" t="s">
        <v>3237</v>
      </c>
      <c r="D84" s="584" t="s">
        <v>3238</v>
      </c>
      <c r="E84" s="585">
        <f t="shared" ref="E84:L84" si="36">SUM(E75+E83)</f>
        <v>0</v>
      </c>
      <c r="F84" s="585">
        <f t="shared" si="36"/>
        <v>0</v>
      </c>
      <c r="G84" s="585">
        <f t="shared" si="36"/>
        <v>0</v>
      </c>
      <c r="H84" s="585">
        <f t="shared" si="36"/>
        <v>0</v>
      </c>
      <c r="I84" s="585">
        <f t="shared" si="36"/>
        <v>0</v>
      </c>
      <c r="J84" s="585">
        <f t="shared" si="36"/>
        <v>0</v>
      </c>
      <c r="K84" s="585">
        <f t="shared" si="36"/>
        <v>0</v>
      </c>
      <c r="L84" s="585">
        <f t="shared" si="36"/>
        <v>0</v>
      </c>
      <c r="M84" s="586" t="s">
        <v>3165</v>
      </c>
      <c r="O84" s="568"/>
      <c r="P84" s="566"/>
      <c r="Q84" s="831" t="s">
        <v>3911</v>
      </c>
      <c r="R84" s="837">
        <f t="shared" ref="R84:Y84" si="37">R72+R76</f>
        <v>1004.9144133865814</v>
      </c>
      <c r="S84" s="837">
        <f t="shared" si="37"/>
        <v>733.1657230540286</v>
      </c>
      <c r="T84" s="837">
        <f t="shared" si="37"/>
        <v>725.0551670730074</v>
      </c>
      <c r="U84" s="837">
        <f t="shared" si="37"/>
        <v>750.98972000950653</v>
      </c>
      <c r="V84" s="837">
        <f t="shared" si="37"/>
        <v>781.02501899851723</v>
      </c>
      <c r="W84" s="837">
        <f t="shared" si="37"/>
        <v>842.01816751605395</v>
      </c>
      <c r="X84" s="837">
        <f t="shared" si="37"/>
        <v>1004.9199763892337</v>
      </c>
      <c r="Y84" s="837">
        <f t="shared" si="37"/>
        <v>0</v>
      </c>
      <c r="Z84" s="569"/>
    </row>
    <row r="85" spans="2:26" ht="20.149999999999999" customHeight="1" thickTop="1" thickBot="1" x14ac:dyDescent="0.4">
      <c r="B85" s="587"/>
      <c r="C85" s="588"/>
      <c r="D85" s="588"/>
      <c r="E85" s="589"/>
      <c r="F85" s="589"/>
      <c r="G85" s="589"/>
      <c r="H85" s="589"/>
      <c r="I85" s="589"/>
      <c r="J85" s="589"/>
      <c r="K85" s="589"/>
      <c r="L85" s="589"/>
      <c r="M85" s="590"/>
      <c r="O85" s="568"/>
      <c r="P85" s="566"/>
      <c r="Q85" s="835"/>
      <c r="R85" s="836"/>
      <c r="S85" s="836"/>
      <c r="T85" s="836"/>
      <c r="U85" s="836"/>
      <c r="V85" s="836"/>
      <c r="W85" s="836"/>
      <c r="X85" s="836"/>
      <c r="Y85" s="836"/>
      <c r="Z85" s="569"/>
    </row>
    <row r="86" spans="2:26" ht="20.149999999999999" customHeight="1" thickTop="1" x14ac:dyDescent="0.35">
      <c r="B86" s="591" t="s">
        <v>3335</v>
      </c>
      <c r="C86" s="592" t="s">
        <v>3156</v>
      </c>
      <c r="D86" s="592" t="s">
        <v>3157</v>
      </c>
      <c r="E86" s="593" t="s">
        <v>23</v>
      </c>
      <c r="F86" s="593" t="s">
        <v>1798</v>
      </c>
      <c r="G86" s="593" t="s">
        <v>1799</v>
      </c>
      <c r="H86" s="593" t="s">
        <v>1800</v>
      </c>
      <c r="I86" s="593" t="s">
        <v>1801</v>
      </c>
      <c r="J86" s="593" t="s">
        <v>1802</v>
      </c>
      <c r="K86" s="593" t="s">
        <v>1803</v>
      </c>
      <c r="L86" s="594" t="s">
        <v>1804</v>
      </c>
      <c r="M86" s="595" t="s">
        <v>3158</v>
      </c>
      <c r="O86" s="568" t="s">
        <v>3217</v>
      </c>
      <c r="P86" s="566" t="s">
        <v>2825</v>
      </c>
      <c r="Q86" s="566" t="s">
        <v>3218</v>
      </c>
      <c r="R86" s="574">
        <f t="shared" ref="R86:Y86" si="38">SUM(R75:R78)</f>
        <v>1.2680256457145704E-2</v>
      </c>
      <c r="S86" s="574">
        <f t="shared" si="38"/>
        <v>563.70447440767805</v>
      </c>
      <c r="T86" s="574">
        <f t="shared" si="38"/>
        <v>580.60677907183515</v>
      </c>
      <c r="U86" s="574">
        <f t="shared" si="38"/>
        <v>526.73179955891294</v>
      </c>
      <c r="V86" s="574">
        <f t="shared" si="38"/>
        <v>464.42903826141344</v>
      </c>
      <c r="W86" s="574">
        <f t="shared" si="38"/>
        <v>337.9098992665044</v>
      </c>
      <c r="X86" s="574">
        <f t="shared" si="38"/>
        <v>5.2755890305287696E-5</v>
      </c>
      <c r="Y86" s="574">
        <f t="shared" si="38"/>
        <v>0</v>
      </c>
      <c r="Z86" s="569" t="s">
        <v>3210</v>
      </c>
    </row>
    <row r="87" spans="2:26" ht="20.149999999999999" customHeight="1" x14ac:dyDescent="0.35">
      <c r="B87" s="555" t="s">
        <v>3160</v>
      </c>
      <c r="C87" s="556"/>
      <c r="D87" s="556"/>
      <c r="E87" s="597"/>
      <c r="F87" s="597"/>
      <c r="G87" s="597"/>
      <c r="H87" s="597"/>
      <c r="I87" s="597"/>
      <c r="J87" s="597"/>
      <c r="K87" s="597"/>
      <c r="L87" s="598"/>
      <c r="M87" s="599"/>
      <c r="O87" s="525" t="s">
        <v>3220</v>
      </c>
      <c r="P87" s="516" t="s">
        <v>3221</v>
      </c>
      <c r="Q87" s="517" t="s">
        <v>3220</v>
      </c>
      <c r="R87" s="576">
        <f t="shared" ref="R87:Y87" si="39">R86/R67</f>
        <v>2.7298</v>
      </c>
      <c r="S87" s="576">
        <f t="shared" si="39"/>
        <v>2.7297999999999991</v>
      </c>
      <c r="T87" s="576">
        <f t="shared" si="39"/>
        <v>2.7297999999999996</v>
      </c>
      <c r="U87" s="576">
        <f t="shared" si="39"/>
        <v>2.7298000000000004</v>
      </c>
      <c r="V87" s="576">
        <f t="shared" si="39"/>
        <v>2.7297999999999996</v>
      </c>
      <c r="W87" s="576">
        <f t="shared" si="39"/>
        <v>2.7297999999999996</v>
      </c>
      <c r="X87" s="576">
        <f t="shared" si="39"/>
        <v>2.7298000000000004</v>
      </c>
      <c r="Y87" s="576" t="e">
        <f t="shared" si="39"/>
        <v>#DIV/0!</v>
      </c>
      <c r="Z87" s="519" t="s">
        <v>3210</v>
      </c>
    </row>
    <row r="88" spans="2:26" ht="20.149999999999999" customHeight="1" x14ac:dyDescent="0.35">
      <c r="B88" s="804" t="s">
        <v>3336</v>
      </c>
      <c r="C88" s="805" t="s">
        <v>3337</v>
      </c>
      <c r="D88" s="805" t="s">
        <v>3338</v>
      </c>
      <c r="E88" s="806">
        <f>IFERROR(VLOOKUP($B88,flows!$A$2:$J$2954,E$2,FALSE),0)</f>
        <v>1.7584347479622418E-2</v>
      </c>
      <c r="F88" s="806">
        <f>IFERROR(VLOOKUP($B88,flows!$A$2:$J$2954,F$2,FALSE),0)</f>
        <v>1432.779814198743</v>
      </c>
      <c r="G88" s="806">
        <f>IFERROR(VLOOKUP($B88,flows!$A$2:$J$2954,G$2,FALSE),0)</f>
        <v>1450.291932648654</v>
      </c>
      <c r="H88" s="806">
        <f>IFERROR(VLOOKUP($B88,flows!$A$2:$J$2954,H$2,FALSE),0)</f>
        <v>893.72107975876361</v>
      </c>
      <c r="I88" s="806">
        <f>IFERROR(VLOOKUP($B88,flows!$A$2:$J$2954,I$2,FALSE),0)</f>
        <v>178.7528666297637</v>
      </c>
      <c r="J88" s="806">
        <f>IFERROR(VLOOKUP($B88,flows!$A$2:$J$2954,J$2,FALSE),0)</f>
        <v>121.9372241078926</v>
      </c>
      <c r="K88" s="806">
        <f>IFERROR(VLOOKUP($B88,flows!$A$2:$J$2954,K$2,FALSE),0)</f>
        <v>5.1613000881647791E-5</v>
      </c>
      <c r="L88" s="807">
        <f>IFERROR(VLOOKUP($B88,flows!$A$2:$J$2954,L$2,FALSE),0)</f>
        <v>0</v>
      </c>
      <c r="M88" s="808" t="s">
        <v>3339</v>
      </c>
      <c r="O88" s="513" t="s">
        <v>3322</v>
      </c>
      <c r="P88" s="536" t="s">
        <v>3252</v>
      </c>
      <c r="Q88" s="537" t="s">
        <v>3218</v>
      </c>
      <c r="R88" s="538">
        <f t="shared" ref="R88:Y88" si="40">R73+R86</f>
        <v>1786.6117603199937</v>
      </c>
      <c r="S88" s="538">
        <f t="shared" si="40"/>
        <v>1823.2639717147422</v>
      </c>
      <c r="T88" s="538">
        <f t="shared" si="40"/>
        <v>1824.4302478904933</v>
      </c>
      <c r="U88" s="538">
        <f t="shared" si="40"/>
        <v>1820.8598338644765</v>
      </c>
      <c r="V88" s="538">
        <f t="shared" si="40"/>
        <v>1816.8086678764548</v>
      </c>
      <c r="W88" s="538">
        <f t="shared" si="40"/>
        <v>1808.5819452789729</v>
      </c>
      <c r="X88" s="538">
        <f t="shared" si="40"/>
        <v>1786.610006669868</v>
      </c>
      <c r="Y88" s="538">
        <f t="shared" si="40"/>
        <v>0</v>
      </c>
      <c r="Z88" s="512" t="s">
        <v>3210</v>
      </c>
    </row>
    <row r="89" spans="2:26" ht="20.149999999999999" customHeight="1" x14ac:dyDescent="0.35">
      <c r="B89" s="804" t="s">
        <v>3340</v>
      </c>
      <c r="C89" s="805" t="s">
        <v>3337</v>
      </c>
      <c r="D89" s="805" t="s">
        <v>3338</v>
      </c>
      <c r="E89" s="806">
        <f>IFERROR(VLOOKUP($B89,flows!$A$2:$J$2954,E$2,FALSE),0)</f>
        <v>1.6307533632778641E-2</v>
      </c>
      <c r="F89" s="806">
        <f>IFERROR(VLOOKUP($B89,flows!$A$2:$J$2954,F$2,FALSE),0)</f>
        <v>3868.6747637370208</v>
      </c>
      <c r="G89" s="806">
        <f>IFERROR(VLOOKUP($B89,flows!$A$2:$J$2954,G$2,FALSE),0)</f>
        <v>2288.0887078223141</v>
      </c>
      <c r="H89" s="806">
        <f>IFERROR(VLOOKUP($B89,flows!$A$2:$J$2954,H$2,FALSE),0)</f>
        <v>531.46535030400196</v>
      </c>
      <c r="I89" s="806">
        <f>IFERROR(VLOOKUP($B89,flows!$A$2:$J$2954,I$2,FALSE),0)</f>
        <v>7.1513057930603257</v>
      </c>
      <c r="J89" s="806">
        <f>IFERROR(VLOOKUP($B89,flows!$A$2:$J$2954,J$2,FALSE),0)</f>
        <v>5.3029205592648699E-4</v>
      </c>
      <c r="K89" s="806">
        <f>IFERROR(VLOOKUP($B89,flows!$A$2:$J$2954,K$2,FALSE),0)</f>
        <v>4.7984411970087899E-5</v>
      </c>
      <c r="L89" s="807">
        <f>IFERROR(VLOOKUP($B89,flows!$A$2:$J$2954,L$2,FALSE),0)</f>
        <v>0</v>
      </c>
      <c r="M89" s="808" t="s">
        <v>3339</v>
      </c>
      <c r="O89" s="525" t="s">
        <v>3220</v>
      </c>
      <c r="P89" s="516" t="s">
        <v>3221</v>
      </c>
      <c r="Q89" s="517" t="s">
        <v>3220</v>
      </c>
      <c r="R89" s="576">
        <f t="shared" ref="R89:Y89" si="41">R88/R68</f>
        <v>2.5523011778698295</v>
      </c>
      <c r="S89" s="576">
        <f t="shared" si="41"/>
        <v>2.6046625669125283</v>
      </c>
      <c r="T89" s="576">
        <f t="shared" si="41"/>
        <v>2.6062305941465094</v>
      </c>
      <c r="U89" s="576">
        <f t="shared" si="41"/>
        <v>2.601228172985524</v>
      </c>
      <c r="V89" s="576">
        <f t="shared" si="41"/>
        <v>2.5954408640246496</v>
      </c>
      <c r="W89" s="576">
        <f t="shared" si="41"/>
        <v>2.5836884884334057</v>
      </c>
      <c r="X89" s="576">
        <f t="shared" si="41"/>
        <v>2.5523000049005007</v>
      </c>
      <c r="Y89" s="576" t="e">
        <f t="shared" si="41"/>
        <v>#DIV/0!</v>
      </c>
      <c r="Z89" s="519" t="s">
        <v>3210</v>
      </c>
    </row>
    <row r="90" spans="2:26" ht="20.149999999999999" customHeight="1" x14ac:dyDescent="0.35">
      <c r="B90" s="804" t="s">
        <v>3341</v>
      </c>
      <c r="C90" s="805" t="s">
        <v>3337</v>
      </c>
      <c r="D90" s="805" t="s">
        <v>3338</v>
      </c>
      <c r="E90" s="806">
        <f>IFERROR(VLOOKUP($B90,flows!$A$2:$J$2954,E$2,FALSE),0)</f>
        <v>1.503727239169615E-2</v>
      </c>
      <c r="F90" s="806">
        <f>IFERROR(VLOOKUP($B90,flows!$A$2:$J$2954,F$2,FALSE),0)</f>
        <v>211.92120190549741</v>
      </c>
      <c r="G90" s="806">
        <f>IFERROR(VLOOKUP($B90,flows!$A$2:$J$2954,G$2,FALSE),0)</f>
        <v>80.569786742998176</v>
      </c>
      <c r="H90" s="806">
        <f>IFERROR(VLOOKUP($B90,flows!$A$2:$J$2954,H$2,FALSE),0)</f>
        <v>2.9524030806573829</v>
      </c>
      <c r="I90" s="806">
        <f>IFERROR(VLOOKUP($B90,flows!$A$2:$J$2954,I$2,FALSE),0)</f>
        <v>0.97552925572629656</v>
      </c>
      <c r="J90" s="806">
        <f>IFERROR(VLOOKUP($B90,flows!$A$2:$J$2954,J$2,FALSE),0)</f>
        <v>5.6913602713257888E-4</v>
      </c>
      <c r="K90" s="806">
        <f>IFERROR(VLOOKUP($B90,flows!$A$2:$J$2954,K$2,FALSE),0)</f>
        <v>4.4200115706701392E-5</v>
      </c>
      <c r="L90" s="807">
        <f>IFERROR(VLOOKUP($B90,flows!$A$2:$J$2954,L$2,FALSE),0)</f>
        <v>0</v>
      </c>
      <c r="M90" s="808" t="s">
        <v>3339</v>
      </c>
      <c r="O90" s="520" t="s">
        <v>3159</v>
      </c>
      <c r="P90" s="521" t="s">
        <v>3156</v>
      </c>
      <c r="Q90" s="521" t="s">
        <v>3157</v>
      </c>
      <c r="R90" s="539" t="s">
        <v>23</v>
      </c>
      <c r="S90" s="539" t="s">
        <v>1798</v>
      </c>
      <c r="T90" s="539" t="s">
        <v>1799</v>
      </c>
      <c r="U90" s="539" t="s">
        <v>1800</v>
      </c>
      <c r="V90" s="539" t="s">
        <v>1801</v>
      </c>
      <c r="W90" s="539" t="s">
        <v>1802</v>
      </c>
      <c r="X90" s="539" t="s">
        <v>1803</v>
      </c>
      <c r="Y90" s="539" t="s">
        <v>1804</v>
      </c>
      <c r="Z90" s="523" t="s">
        <v>3158</v>
      </c>
    </row>
    <row r="91" spans="2:26" ht="20.149999999999999" customHeight="1" x14ac:dyDescent="0.35">
      <c r="B91" s="804" t="s">
        <v>3342</v>
      </c>
      <c r="C91" s="805" t="s">
        <v>3337</v>
      </c>
      <c r="D91" s="805" t="s">
        <v>3338</v>
      </c>
      <c r="E91" s="806">
        <f>IFERROR(VLOOKUP($B91,flows!$A$2:$J$2954,E$2,FALSE),0)</f>
        <v>1.475259513949541E-2</v>
      </c>
      <c r="F91" s="806">
        <f>IFERROR(VLOOKUP($B91,flows!$A$2:$J$2954,F$2,FALSE),0)</f>
        <v>0</v>
      </c>
      <c r="G91" s="806">
        <f>IFERROR(VLOOKUP($B91,flows!$A$2:$J$2954,G$2,FALSE),0)</f>
        <v>10.090713856269581</v>
      </c>
      <c r="H91" s="806">
        <f>IFERROR(VLOOKUP($B91,flows!$A$2:$J$2954,H$2,FALSE),0)</f>
        <v>9.8396422989462679E-3</v>
      </c>
      <c r="I91" s="806">
        <f>IFERROR(VLOOKUP($B91,flows!$A$2:$J$2954,I$2,FALSE),0)</f>
        <v>3.768814844139465E-3</v>
      </c>
      <c r="J91" s="806">
        <f>IFERROR(VLOOKUP($B91,flows!$A$2:$J$2954,J$2,FALSE),0)</f>
        <v>4.5478516377195279E-4</v>
      </c>
      <c r="K91" s="806">
        <f>IFERROR(VLOOKUP($B91,flows!$A$2:$J$2954,K$2,FALSE),0)</f>
        <v>4.3512829610301273E-5</v>
      </c>
      <c r="L91" s="807">
        <f>IFERROR(VLOOKUP($B91,flows!$A$2:$J$2954,L$2,FALSE),0)</f>
        <v>0</v>
      </c>
      <c r="M91" s="808" t="s">
        <v>3339</v>
      </c>
      <c r="O91" s="568" t="s">
        <v>3326</v>
      </c>
      <c r="P91" s="566" t="s">
        <v>1717</v>
      </c>
      <c r="Q91" s="566" t="s">
        <v>3150</v>
      </c>
      <c r="R91" s="580">
        <f>IFERROR(VLOOKUP($O91,'CO2'!$A$2:$J$2983,R$2,FALSE),0)</f>
        <v>0</v>
      </c>
      <c r="S91" s="567">
        <f>IFERROR(VLOOKUP($O91,'CO2'!$A$2:$J$2983,S$2,FALSE),0)</f>
        <v>0</v>
      </c>
      <c r="T91" s="567">
        <f>IFERROR(VLOOKUP($O91,'CO2'!$A$2:$J$2983,T$2,FALSE),0)</f>
        <v>0</v>
      </c>
      <c r="U91" s="567">
        <f>IFERROR(VLOOKUP($O91,'CO2'!$A$2:$J$2983,U$2,FALSE),0)</f>
        <v>0</v>
      </c>
      <c r="V91" s="567">
        <f>IFERROR(VLOOKUP($O91,'CO2'!$A$2:$J$2983,V$2,FALSE),0)</f>
        <v>0</v>
      </c>
      <c r="W91" s="567">
        <f>IFERROR(VLOOKUP($O91,'CO2'!$A$2:$J$2983,W$2,FALSE),0)</f>
        <v>0</v>
      </c>
      <c r="X91" s="567">
        <f>IFERROR(VLOOKUP($O91,'CO2'!$A$2:$J$2983,X$2,FALSE),0)</f>
        <v>0</v>
      </c>
      <c r="Y91" s="567">
        <f>IFERROR(VLOOKUP($O91,'CO2'!$A$2:$J$2983,Y$2,FALSE),0)</f>
        <v>0</v>
      </c>
      <c r="Z91" s="569" t="s">
        <v>3327</v>
      </c>
    </row>
    <row r="92" spans="2:26" ht="20.149999999999999" customHeight="1" x14ac:dyDescent="0.35">
      <c r="B92" s="804" t="s">
        <v>3343</v>
      </c>
      <c r="C92" s="805" t="s">
        <v>3337</v>
      </c>
      <c r="D92" s="805" t="s">
        <v>3338</v>
      </c>
      <c r="E92" s="806">
        <f>IFERROR(VLOOKUP($B92,flows!$A$2:$J$2954,E$2,FALSE),0)</f>
        <v>0</v>
      </c>
      <c r="F92" s="806">
        <f>IFERROR(VLOOKUP($B92,flows!$A$2:$J$2954,F$2,FALSE),0)</f>
        <v>0</v>
      </c>
      <c r="G92" s="806">
        <f>IFERROR(VLOOKUP($B92,flows!$A$2:$J$2954,G$2,FALSE),0)</f>
        <v>0</v>
      </c>
      <c r="H92" s="806">
        <f>IFERROR(VLOOKUP($B92,flows!$A$2:$J$2954,H$2,FALSE),0)</f>
        <v>0</v>
      </c>
      <c r="I92" s="806">
        <f>IFERROR(VLOOKUP($B92,flows!$A$2:$J$2954,I$2,FALSE),0)</f>
        <v>0</v>
      </c>
      <c r="J92" s="806">
        <f>IFERROR(VLOOKUP($B92,flows!$A$2:$J$2954,J$2,FALSE),0)</f>
        <v>0</v>
      </c>
      <c r="K92" s="806">
        <f>IFERROR(VLOOKUP($B92,flows!$A$2:$J$2954,K$2,FALSE),0)</f>
        <v>0</v>
      </c>
      <c r="L92" s="807">
        <f>IFERROR(VLOOKUP($B92,flows!$A$2:$J$2954,L$2,FALSE),0)</f>
        <v>0</v>
      </c>
      <c r="M92" s="808" t="s">
        <v>3339</v>
      </c>
      <c r="O92" s="568" t="s">
        <v>3329</v>
      </c>
      <c r="P92" s="566" t="s">
        <v>1717</v>
      </c>
      <c r="Q92" s="566" t="s">
        <v>3150</v>
      </c>
      <c r="R92" s="540">
        <f>IFERROR(VLOOKUP($O92,'CO2'!$A$2:$J$2983,R$2,FALSE),0)</f>
        <v>0</v>
      </c>
      <c r="S92" s="574">
        <f>IFERROR(VLOOKUP($O92,'CO2'!$A$2:$J$2983,S$2,FALSE),0)</f>
        <v>0</v>
      </c>
      <c r="T92" s="574">
        <f>IFERROR(VLOOKUP($O92,'CO2'!$A$2:$J$2983,T$2,FALSE),0)</f>
        <v>0</v>
      </c>
      <c r="U92" s="574">
        <f>IFERROR(VLOOKUP($O92,'CO2'!$A$2:$J$2983,U$2,FALSE),0)</f>
        <v>0</v>
      </c>
      <c r="V92" s="574">
        <f>IFERROR(VLOOKUP($O92,'CO2'!$A$2:$J$2983,V$2,FALSE),0)</f>
        <v>0</v>
      </c>
      <c r="W92" s="574">
        <f>IFERROR(VLOOKUP($O92,'CO2'!$A$2:$J$2983,W$2,FALSE),0)</f>
        <v>0</v>
      </c>
      <c r="X92" s="574">
        <f>IFERROR(VLOOKUP($O92,'CO2'!$A$2:$J$2983,X$2,FALSE),0)</f>
        <v>0</v>
      </c>
      <c r="Y92" s="574">
        <f>IFERROR(VLOOKUP($O92,'CO2'!$A$2:$J$2983,Y$2,FALSE),0)</f>
        <v>0</v>
      </c>
      <c r="Z92" s="569" t="s">
        <v>3327</v>
      </c>
    </row>
    <row r="93" spans="2:26" ht="20.149999999999999" customHeight="1" x14ac:dyDescent="0.35">
      <c r="B93" s="804" t="s">
        <v>3344</v>
      </c>
      <c r="C93" s="805" t="s">
        <v>3337</v>
      </c>
      <c r="D93" s="805" t="s">
        <v>3338</v>
      </c>
      <c r="E93" s="806">
        <f>IFERROR(VLOOKUP($B93,flows!$A$2:$J$2954,E$2,FALSE),0)</f>
        <v>4.7716779541958167E-2</v>
      </c>
      <c r="F93" s="806">
        <f>IFERROR(VLOOKUP($B93,flows!$A$2:$J$2954,F$2,FALSE),0)</f>
        <v>0</v>
      </c>
      <c r="G93" s="806">
        <f>IFERROR(VLOOKUP($B93,flows!$A$2:$J$2954,G$2,FALSE),0)</f>
        <v>746.13336602038419</v>
      </c>
      <c r="H93" s="806">
        <f>IFERROR(VLOOKUP($B93,flows!$A$2:$J$2954,H$2,FALSE),0)</f>
        <v>2290.0341469551749</v>
      </c>
      <c r="I93" s="806">
        <f>IFERROR(VLOOKUP($B93,flows!$A$2:$J$2954,I$2,FALSE),0)</f>
        <v>2051.008090045852</v>
      </c>
      <c r="J93" s="806">
        <f>IFERROR(VLOOKUP($B93,flows!$A$2:$J$2954,J$2,FALSE),0)</f>
        <v>1838.610292395716</v>
      </c>
      <c r="K93" s="806">
        <f>IFERROR(VLOOKUP($B93,flows!$A$2:$J$2954,K$2,FALSE),0)</f>
        <v>2.695604473636063E-4</v>
      </c>
      <c r="L93" s="807">
        <f>IFERROR(VLOOKUP($B93,flows!$A$2:$J$2954,L$2,FALSE),0)</f>
        <v>0</v>
      </c>
      <c r="M93" s="808" t="s">
        <v>3339</v>
      </c>
      <c r="O93" s="568" t="s">
        <v>3217</v>
      </c>
      <c r="P93" s="566" t="s">
        <v>2825</v>
      </c>
      <c r="Q93" s="566" t="s">
        <v>3331</v>
      </c>
      <c r="R93" s="567">
        <f t="shared" ref="R93:Y93" si="42">SUM(R91:R92)</f>
        <v>0</v>
      </c>
      <c r="S93" s="567">
        <f t="shared" si="42"/>
        <v>0</v>
      </c>
      <c r="T93" s="567">
        <f t="shared" si="42"/>
        <v>0</v>
      </c>
      <c r="U93" s="567">
        <f t="shared" si="42"/>
        <v>0</v>
      </c>
      <c r="V93" s="567">
        <f t="shared" si="42"/>
        <v>0</v>
      </c>
      <c r="W93" s="567">
        <f t="shared" si="42"/>
        <v>0</v>
      </c>
      <c r="X93" s="567">
        <f t="shared" si="42"/>
        <v>0</v>
      </c>
      <c r="Y93" s="567">
        <f t="shared" si="42"/>
        <v>0</v>
      </c>
      <c r="Z93" s="569" t="s">
        <v>3327</v>
      </c>
    </row>
    <row r="94" spans="2:26" ht="20.149999999999999" customHeight="1" x14ac:dyDescent="0.35">
      <c r="B94" s="804" t="s">
        <v>3345</v>
      </c>
      <c r="C94" s="805" t="s">
        <v>3337</v>
      </c>
      <c r="D94" s="805" t="s">
        <v>3338</v>
      </c>
      <c r="E94" s="806">
        <f>IFERROR(VLOOKUP($B94,flows!$A$2:$J$2954,E$2,FALSE),0)</f>
        <v>4.6424325735120203E-2</v>
      </c>
      <c r="F94" s="806">
        <f>IFERROR(VLOOKUP($B94,flows!$A$2:$J$2954,F$2,FALSE),0)</f>
        <v>0</v>
      </c>
      <c r="G94" s="806">
        <f>IFERROR(VLOOKUP($B94,flows!$A$2:$J$2954,G$2,FALSE),0)</f>
        <v>671.21585482378146</v>
      </c>
      <c r="H94" s="806">
        <f>IFERROR(VLOOKUP($B94,flows!$A$2:$J$2954,H$2,FALSE),0)</f>
        <v>1195.941226434687</v>
      </c>
      <c r="I94" s="806">
        <f>IFERROR(VLOOKUP($B94,flows!$A$2:$J$2954,I$2,FALSE),0)</f>
        <v>1296.5140041310219</v>
      </c>
      <c r="J94" s="806">
        <f>IFERROR(VLOOKUP($B94,flows!$A$2:$J$2954,J$2,FALSE),0)</f>
        <v>621.03101643017612</v>
      </c>
      <c r="K94" s="806">
        <f>IFERROR(VLOOKUP($B94,flows!$A$2:$J$2954,K$2,FALSE),0)</f>
        <v>2.7608974089777361E-4</v>
      </c>
      <c r="L94" s="807">
        <f>IFERROR(VLOOKUP($B94,flows!$A$2:$J$2954,L$2,FALSE),0)</f>
        <v>0</v>
      </c>
      <c r="M94" s="808" t="s">
        <v>3339</v>
      </c>
      <c r="O94" s="568" t="s">
        <v>3326</v>
      </c>
      <c r="P94" s="543" t="s">
        <v>3266</v>
      </c>
      <c r="Q94" s="510" t="s">
        <v>3267</v>
      </c>
      <c r="R94" s="544">
        <f t="shared" ref="R94:Y96" si="43">R91/R66</f>
        <v>0</v>
      </c>
      <c r="S94" s="544">
        <f t="shared" si="43"/>
        <v>0</v>
      </c>
      <c r="T94" s="544">
        <f t="shared" si="43"/>
        <v>0</v>
      </c>
      <c r="U94" s="544">
        <f t="shared" si="43"/>
        <v>0</v>
      </c>
      <c r="V94" s="544">
        <f t="shared" si="43"/>
        <v>0</v>
      </c>
      <c r="W94" s="544">
        <f t="shared" si="43"/>
        <v>0</v>
      </c>
      <c r="X94" s="544">
        <f t="shared" si="43"/>
        <v>0</v>
      </c>
      <c r="Y94" s="544" t="e">
        <f t="shared" si="43"/>
        <v>#DIV/0!</v>
      </c>
      <c r="Z94" s="569" t="s">
        <v>3333</v>
      </c>
    </row>
    <row r="95" spans="2:26" ht="20.149999999999999" customHeight="1" x14ac:dyDescent="0.35">
      <c r="B95" s="804" t="s">
        <v>3346</v>
      </c>
      <c r="C95" s="805" t="s">
        <v>3337</v>
      </c>
      <c r="D95" s="805" t="s">
        <v>3338</v>
      </c>
      <c r="E95" s="806">
        <f>IFERROR(VLOOKUP($B95,flows!$A$2:$J$2954,E$2,FALSE),0)</f>
        <v>0</v>
      </c>
      <c r="F95" s="806">
        <f>IFERROR(VLOOKUP($B95,flows!$A$2:$J$2954,F$2,FALSE),0)</f>
        <v>0</v>
      </c>
      <c r="G95" s="806">
        <f>IFERROR(VLOOKUP($B95,flows!$A$2:$J$2954,G$2,FALSE),0)</f>
        <v>0</v>
      </c>
      <c r="H95" s="806">
        <f>IFERROR(VLOOKUP($B95,flows!$A$2:$J$2954,H$2,FALSE),0)</f>
        <v>0</v>
      </c>
      <c r="I95" s="806">
        <f>IFERROR(VLOOKUP($B95,flows!$A$2:$J$2954,I$2,FALSE),0)</f>
        <v>0</v>
      </c>
      <c r="J95" s="806">
        <f>IFERROR(VLOOKUP($B95,flows!$A$2:$J$2954,J$2,FALSE),0)</f>
        <v>0</v>
      </c>
      <c r="K95" s="806">
        <f>IFERROR(VLOOKUP($B95,flows!$A$2:$J$2954,K$2,FALSE),0)</f>
        <v>0</v>
      </c>
      <c r="L95" s="807">
        <f>IFERROR(VLOOKUP($B95,flows!$A$2:$J$2954,L$2,FALSE),0)</f>
        <v>0</v>
      </c>
      <c r="M95" s="808" t="s">
        <v>3339</v>
      </c>
      <c r="O95" s="568" t="s">
        <v>3329</v>
      </c>
      <c r="P95" s="566" t="s">
        <v>3266</v>
      </c>
      <c r="Q95" s="566" t="s">
        <v>3267</v>
      </c>
      <c r="R95" s="544">
        <f t="shared" si="43"/>
        <v>0</v>
      </c>
      <c r="S95" s="544">
        <f t="shared" si="43"/>
        <v>0</v>
      </c>
      <c r="T95" s="544">
        <f t="shared" si="43"/>
        <v>0</v>
      </c>
      <c r="U95" s="544">
        <f t="shared" si="43"/>
        <v>0</v>
      </c>
      <c r="V95" s="544">
        <f t="shared" si="43"/>
        <v>0</v>
      </c>
      <c r="W95" s="544">
        <f t="shared" si="43"/>
        <v>0</v>
      </c>
      <c r="X95" s="544">
        <f t="shared" si="43"/>
        <v>0</v>
      </c>
      <c r="Y95" s="544" t="e">
        <f t="shared" si="43"/>
        <v>#DIV/0!</v>
      </c>
      <c r="Z95" s="569" t="s">
        <v>3333</v>
      </c>
    </row>
    <row r="96" spans="2:26" ht="20.149999999999999" customHeight="1" x14ac:dyDescent="0.35">
      <c r="B96" s="804" t="s">
        <v>3347</v>
      </c>
      <c r="C96" s="805" t="s">
        <v>3337</v>
      </c>
      <c r="D96" s="805" t="s">
        <v>3338</v>
      </c>
      <c r="E96" s="806">
        <f>IFERROR(VLOOKUP($B96,flows!$A$2:$J$2954,E$2,FALSE),0)</f>
        <v>4.3108564777299747E-2</v>
      </c>
      <c r="F96" s="806">
        <f>IFERROR(VLOOKUP($B96,flows!$A$2:$J$2954,F$2,FALSE),0)</f>
        <v>0</v>
      </c>
      <c r="G96" s="806">
        <f>IFERROR(VLOOKUP($B96,flows!$A$2:$J$2954,G$2,FALSE),0)</f>
        <v>259.21676960481591</v>
      </c>
      <c r="H96" s="806">
        <f>IFERROR(VLOOKUP($B96,flows!$A$2:$J$2954,H$2,FALSE),0)</f>
        <v>264.84936029855368</v>
      </c>
      <c r="I96" s="806">
        <f>IFERROR(VLOOKUP($B96,flows!$A$2:$J$2954,I$2,FALSE),0)</f>
        <v>264.78988818965189</v>
      </c>
      <c r="J96" s="806">
        <f>IFERROR(VLOOKUP($B96,flows!$A$2:$J$2954,J$2,FALSE),0)</f>
        <v>2.051399815940492E-3</v>
      </c>
      <c r="K96" s="806">
        <f>IFERROR(VLOOKUP($B96,flows!$A$2:$J$2954,K$2,FALSE),0)</f>
        <v>9.9563360837893089E-5</v>
      </c>
      <c r="L96" s="807">
        <f>IFERROR(VLOOKUP($B96,flows!$A$2:$J$2954,L$2,FALSE),0)</f>
        <v>0</v>
      </c>
      <c r="M96" s="808" t="s">
        <v>3339</v>
      </c>
      <c r="O96" s="525" t="s">
        <v>3273</v>
      </c>
      <c r="P96" s="545" t="s">
        <v>3266</v>
      </c>
      <c r="Q96" s="517" t="s">
        <v>3267</v>
      </c>
      <c r="R96" s="549">
        <f t="shared" si="43"/>
        <v>0</v>
      </c>
      <c r="S96" s="549">
        <f t="shared" si="43"/>
        <v>0</v>
      </c>
      <c r="T96" s="549">
        <f t="shared" si="43"/>
        <v>0</v>
      </c>
      <c r="U96" s="549">
        <f t="shared" si="43"/>
        <v>0</v>
      </c>
      <c r="V96" s="549">
        <f t="shared" si="43"/>
        <v>0</v>
      </c>
      <c r="W96" s="549">
        <f t="shared" si="43"/>
        <v>0</v>
      </c>
      <c r="X96" s="549">
        <f t="shared" si="43"/>
        <v>0</v>
      </c>
      <c r="Y96" s="549" t="e">
        <f t="shared" si="43"/>
        <v>#DIV/0!</v>
      </c>
      <c r="Z96" s="582" t="s">
        <v>3333</v>
      </c>
    </row>
    <row r="97" spans="2:26" ht="20.149999999999999" customHeight="1" x14ac:dyDescent="0.35">
      <c r="B97" s="804" t="s">
        <v>3348</v>
      </c>
      <c r="C97" s="805" t="s">
        <v>3337</v>
      </c>
      <c r="D97" s="805" t="s">
        <v>3338</v>
      </c>
      <c r="E97" s="806">
        <f>IFERROR(VLOOKUP($B97,flows!$A$2:$J$2954,E$2,FALSE),0)</f>
        <v>0</v>
      </c>
      <c r="F97" s="806">
        <f>IFERROR(VLOOKUP($B97,flows!$A$2:$J$2954,F$2,FALSE),0)</f>
        <v>0</v>
      </c>
      <c r="G97" s="806">
        <f>IFERROR(VLOOKUP($B97,flows!$A$2:$J$2954,G$2,FALSE),0)</f>
        <v>0</v>
      </c>
      <c r="H97" s="806">
        <f>IFERROR(VLOOKUP($B97,flows!$A$2:$J$2954,H$2,FALSE),0)</f>
        <v>0</v>
      </c>
      <c r="I97" s="806">
        <f>IFERROR(VLOOKUP($B97,flows!$A$2:$J$2954,I$2,FALSE),0)</f>
        <v>0</v>
      </c>
      <c r="J97" s="806">
        <f>IFERROR(VLOOKUP($B97,flows!$A$2:$J$2954,J$2,FALSE),0)</f>
        <v>0</v>
      </c>
      <c r="K97" s="806">
        <f>IFERROR(VLOOKUP($B97,flows!$A$2:$J$2954,K$2,FALSE),0)</f>
        <v>0</v>
      </c>
      <c r="L97" s="807">
        <f>IFERROR(VLOOKUP($B97,flows!$A$2:$J$2954,L$2,FALSE),0)</f>
        <v>0</v>
      </c>
      <c r="M97" s="808" t="s">
        <v>3339</v>
      </c>
      <c r="O97" s="520" t="s">
        <v>3159</v>
      </c>
      <c r="P97" s="521" t="s">
        <v>3156</v>
      </c>
      <c r="Q97" s="521" t="s">
        <v>3157</v>
      </c>
      <c r="R97" s="539" t="s">
        <v>23</v>
      </c>
      <c r="S97" s="539" t="s">
        <v>1798</v>
      </c>
      <c r="T97" s="539" t="s">
        <v>1799</v>
      </c>
      <c r="U97" s="539" t="s">
        <v>1800</v>
      </c>
      <c r="V97" s="539" t="s">
        <v>1801</v>
      </c>
      <c r="W97" s="539" t="s">
        <v>1802</v>
      </c>
      <c r="X97" s="539" t="s">
        <v>1803</v>
      </c>
      <c r="Y97" s="539" t="s">
        <v>1804</v>
      </c>
      <c r="Z97" s="523" t="s">
        <v>3158</v>
      </c>
    </row>
    <row r="98" spans="2:26" ht="20.149999999999999" customHeight="1" x14ac:dyDescent="0.35">
      <c r="B98" s="616" t="s">
        <v>3239</v>
      </c>
      <c r="C98" s="617"/>
      <c r="D98" s="617"/>
      <c r="E98" s="572" t="s">
        <v>23</v>
      </c>
      <c r="F98" s="572" t="s">
        <v>1798</v>
      </c>
      <c r="G98" s="572" t="s">
        <v>1799</v>
      </c>
      <c r="H98" s="572" t="s">
        <v>1800</v>
      </c>
      <c r="I98" s="572" t="s">
        <v>1801</v>
      </c>
      <c r="J98" s="572" t="s">
        <v>1802</v>
      </c>
      <c r="K98" s="572" t="s">
        <v>1803</v>
      </c>
      <c r="L98" s="573" t="s">
        <v>1804</v>
      </c>
      <c r="M98" s="618"/>
      <c r="O98" s="568" t="s">
        <v>3326</v>
      </c>
      <c r="P98" s="566" t="s">
        <v>3275</v>
      </c>
      <c r="Q98" s="566" t="s">
        <v>3276</v>
      </c>
      <c r="R98" s="540">
        <f>IFERROR(VLOOKUP($O98,costs!$A$2:$J$2972,R$2,FALSE),0)</f>
        <v>0</v>
      </c>
      <c r="S98" s="540">
        <f>IFERROR(VLOOKUP($O98,costs!$A$2:$J$2972,S$2,FALSE),0)</f>
        <v>0</v>
      </c>
      <c r="T98" s="540">
        <f>IFERROR(VLOOKUP($O98,costs!$A$2:$J$2972,T$2,FALSE),0)</f>
        <v>0</v>
      </c>
      <c r="U98" s="540">
        <f>IFERROR(VLOOKUP($O98,costs!$A$2:$J$2972,U$2,FALSE),0)</f>
        <v>0</v>
      </c>
      <c r="V98" s="540">
        <f>IFERROR(VLOOKUP($O98,costs!$A$2:$J$2972,V$2,FALSE),0)</f>
        <v>0</v>
      </c>
      <c r="W98" s="540">
        <f>IFERROR(VLOOKUP($O98,costs!$A$2:$J$2972,W$2,FALSE),0)</f>
        <v>0</v>
      </c>
      <c r="X98" s="540">
        <f>IFERROR(VLOOKUP($O98,costs!$A$2:$J$2972,X$2,FALSE),0)</f>
        <v>0</v>
      </c>
      <c r="Y98" s="540">
        <f>IFERROR(VLOOKUP($O98,costs!$A$2:$J$2972,Y$2,FALSE),0)</f>
        <v>0</v>
      </c>
      <c r="Z98" s="569" t="s">
        <v>3277</v>
      </c>
    </row>
    <row r="99" spans="2:26" ht="20.149999999999999" customHeight="1" x14ac:dyDescent="0.35">
      <c r="B99" s="804" t="s">
        <v>3349</v>
      </c>
      <c r="C99" s="805" t="s">
        <v>3337</v>
      </c>
      <c r="D99" s="805" t="s">
        <v>3338</v>
      </c>
      <c r="E99" s="806">
        <f>IFERROR(VLOOKUP($B99,flows!$A$2:$J$2954,E$2,FALSE),0)</f>
        <v>3.6945049481711241E-2</v>
      </c>
      <c r="F99" s="806">
        <f>IFERROR(VLOOKUP($B99,flows!$A$2:$J$2954,F$2,FALSE),0)</f>
        <v>1613.4648320993431</v>
      </c>
      <c r="G99" s="806">
        <f>IFERROR(VLOOKUP($B99,flows!$A$2:$J$2954,G$2,FALSE),0)</f>
        <v>1731.8022984158149</v>
      </c>
      <c r="H99" s="806">
        <f>IFERROR(VLOOKUP($B99,flows!$A$2:$J$2954,H$2,FALSE),0)</f>
        <v>1628.7815569828981</v>
      </c>
      <c r="I99" s="806">
        <f>IFERROR(VLOOKUP($B99,flows!$A$2:$J$2954,I$2,FALSE),0)</f>
        <v>574.43254937333859</v>
      </c>
      <c r="J99" s="806">
        <f>IFERROR(VLOOKUP($B99,flows!$A$2:$J$2954,J$2,FALSE),0)</f>
        <v>659.66271156636469</v>
      </c>
      <c r="K99" s="806">
        <f>IFERROR(VLOOKUP($B99,flows!$A$2:$J$2954,K$2,FALSE),0)</f>
        <v>2.308293096418687E-4</v>
      </c>
      <c r="L99" s="807">
        <f>IFERROR(VLOOKUP($B99,flows!$A$2:$J$2954,L$2,FALSE),0)</f>
        <v>0</v>
      </c>
      <c r="M99" s="808" t="s">
        <v>3339</v>
      </c>
      <c r="O99" s="568" t="s">
        <v>3329</v>
      </c>
      <c r="P99" s="566" t="s">
        <v>3275</v>
      </c>
      <c r="Q99" s="566" t="s">
        <v>3276</v>
      </c>
      <c r="R99" s="596">
        <f>IFERROR(VLOOKUP($O99,costs!$A$2:$J$2972,R$2,FALSE),0)</f>
        <v>0</v>
      </c>
      <c r="S99" s="596">
        <f>IFERROR(VLOOKUP($O99,costs!$A$2:$J$2972,S$2,FALSE),0)</f>
        <v>0</v>
      </c>
      <c r="T99" s="596">
        <f>IFERROR(VLOOKUP($O99,costs!$A$2:$J$2972,T$2,FALSE),0)</f>
        <v>0</v>
      </c>
      <c r="U99" s="596">
        <f>IFERROR(VLOOKUP($O99,costs!$A$2:$J$2972,U$2,FALSE),0)</f>
        <v>0</v>
      </c>
      <c r="V99" s="596">
        <f>IFERROR(VLOOKUP($O99,costs!$A$2:$J$2972,V$2,FALSE),0)</f>
        <v>0</v>
      </c>
      <c r="W99" s="596">
        <f>IFERROR(VLOOKUP($O99,costs!$A$2:$J$2972,W$2,FALSE),0)</f>
        <v>0</v>
      </c>
      <c r="X99" s="596">
        <f>IFERROR(VLOOKUP($O99,costs!$A$2:$J$2972,X$2,FALSE),0)</f>
        <v>0</v>
      </c>
      <c r="Y99" s="596">
        <f>IFERROR(VLOOKUP($O99,costs!$A$2:$J$2972,Y$2,FALSE),0)</f>
        <v>0</v>
      </c>
      <c r="Z99" s="569" t="s">
        <v>3277</v>
      </c>
    </row>
    <row r="100" spans="2:26" ht="20.149999999999999" customHeight="1" x14ac:dyDescent="0.35">
      <c r="B100" s="804" t="s">
        <v>3350</v>
      </c>
      <c r="C100" s="805" t="s">
        <v>3337</v>
      </c>
      <c r="D100" s="805" t="s">
        <v>3338</v>
      </c>
      <c r="E100" s="806">
        <f>IFERROR(VLOOKUP($B100,flows!$A$2:$J$2954,E$2,FALSE),0)</f>
        <v>3.6205635617701043E-2</v>
      </c>
      <c r="F100" s="806">
        <f>IFERROR(VLOOKUP($B100,flows!$A$2:$J$2954,F$2,FALSE),0)</f>
        <v>2529.6308011138749</v>
      </c>
      <c r="G100" s="806">
        <f>IFERROR(VLOOKUP($B100,flows!$A$2:$J$2954,G$2,FALSE),0)</f>
        <v>2701.5791053005391</v>
      </c>
      <c r="H100" s="806">
        <f>IFERROR(VLOOKUP($B100,flows!$A$2:$J$2954,H$2,FALSE),0)</f>
        <v>1929.679449990271</v>
      </c>
      <c r="I100" s="806">
        <f>IFERROR(VLOOKUP($B100,flows!$A$2:$J$2954,I$2,FALSE),0)</f>
        <v>1559.9863418407399</v>
      </c>
      <c r="J100" s="806">
        <f>IFERROR(VLOOKUP($B100,flows!$A$2:$J$2954,J$2,FALSE),0)</f>
        <v>317.81660810132257</v>
      </c>
      <c r="K100" s="806">
        <f>IFERROR(VLOOKUP($B100,flows!$A$2:$J$2954,K$2,FALSE),0)</f>
        <v>2.3465004471735559E-4</v>
      </c>
      <c r="L100" s="807">
        <f>IFERROR(VLOOKUP($B100,flows!$A$2:$J$2954,L$2,FALSE),0)</f>
        <v>0</v>
      </c>
      <c r="M100" s="808" t="s">
        <v>3339</v>
      </c>
      <c r="O100" s="562" t="s">
        <v>3280</v>
      </c>
      <c r="P100" s="563" t="s">
        <v>3275</v>
      </c>
      <c r="Q100" s="563" t="s">
        <v>3276</v>
      </c>
      <c r="R100" s="564">
        <f t="shared" ref="R100:Y100" si="44">SUM(R98:R99)</f>
        <v>0</v>
      </c>
      <c r="S100" s="564">
        <f t="shared" si="44"/>
        <v>0</v>
      </c>
      <c r="T100" s="564">
        <f t="shared" si="44"/>
        <v>0</v>
      </c>
      <c r="U100" s="564">
        <f t="shared" si="44"/>
        <v>0</v>
      </c>
      <c r="V100" s="564">
        <f t="shared" si="44"/>
        <v>0</v>
      </c>
      <c r="W100" s="564">
        <f t="shared" si="44"/>
        <v>0</v>
      </c>
      <c r="X100" s="564">
        <f t="shared" si="44"/>
        <v>0</v>
      </c>
      <c r="Y100" s="564">
        <f t="shared" si="44"/>
        <v>0</v>
      </c>
      <c r="Z100" s="582" t="s">
        <v>3277</v>
      </c>
    </row>
    <row r="101" spans="2:26" ht="20.149999999999999" customHeight="1" x14ac:dyDescent="0.35">
      <c r="B101" s="804" t="s">
        <v>3351</v>
      </c>
      <c r="C101" s="805" t="s">
        <v>3337</v>
      </c>
      <c r="D101" s="805" t="s">
        <v>3338</v>
      </c>
      <c r="E101" s="806">
        <f>IFERROR(VLOOKUP($B101,flows!$A$2:$J$2954,E$2,FALSE),0)</f>
        <v>3.7001900181913183E-2</v>
      </c>
      <c r="F101" s="806">
        <f>IFERROR(VLOOKUP($B101,flows!$A$2:$J$2954,F$2,FALSE),0)</f>
        <v>0</v>
      </c>
      <c r="G101" s="806">
        <f>IFERROR(VLOOKUP($B101,flows!$A$2:$J$2954,G$2,FALSE),0)</f>
        <v>69.171854157906637</v>
      </c>
      <c r="H101" s="806">
        <f>IFERROR(VLOOKUP($B101,flows!$A$2:$J$2954,H$2,FALSE),0)</f>
        <v>187.38847005940141</v>
      </c>
      <c r="I101" s="806">
        <f>IFERROR(VLOOKUP($B101,flows!$A$2:$J$2954,I$2,FALSE),0)</f>
        <v>598.3648905420564</v>
      </c>
      <c r="J101" s="806">
        <f>IFERROR(VLOOKUP($B101,flows!$A$2:$J$2954,J$2,FALSE),0)</f>
        <v>700.88369726048904</v>
      </c>
      <c r="K101" s="806">
        <f>IFERROR(VLOOKUP($B101,flows!$A$2:$J$2954,K$2,FALSE),0)</f>
        <v>2.421828347417265E-4</v>
      </c>
      <c r="L101" s="807">
        <f>IFERROR(VLOOKUP($B101,flows!$A$2:$J$2954,L$2,FALSE),0)</f>
        <v>0</v>
      </c>
      <c r="M101" s="808" t="s">
        <v>3339</v>
      </c>
      <c r="O101" s="568" t="s">
        <v>3326</v>
      </c>
      <c r="P101" s="566" t="s">
        <v>3282</v>
      </c>
      <c r="Q101" s="566" t="s">
        <v>3282</v>
      </c>
      <c r="R101" s="574">
        <f t="shared" ref="R101:Y103" si="45">R98/R66</f>
        <v>0</v>
      </c>
      <c r="S101" s="574">
        <f t="shared" si="45"/>
        <v>0</v>
      </c>
      <c r="T101" s="574">
        <f t="shared" si="45"/>
        <v>0</v>
      </c>
      <c r="U101" s="574">
        <f t="shared" si="45"/>
        <v>0</v>
      </c>
      <c r="V101" s="574">
        <f t="shared" si="45"/>
        <v>0</v>
      </c>
      <c r="W101" s="574">
        <f t="shared" si="45"/>
        <v>0</v>
      </c>
      <c r="X101" s="574">
        <f t="shared" si="45"/>
        <v>0</v>
      </c>
      <c r="Y101" s="574" t="e">
        <f t="shared" si="45"/>
        <v>#DIV/0!</v>
      </c>
      <c r="Z101" s="569" t="s">
        <v>3277</v>
      </c>
    </row>
    <row r="102" spans="2:26" ht="20.149999999999999" customHeight="1" x14ac:dyDescent="0.35">
      <c r="B102" s="804" t="s">
        <v>3352</v>
      </c>
      <c r="C102" s="805" t="s">
        <v>3337</v>
      </c>
      <c r="D102" s="805" t="s">
        <v>3338</v>
      </c>
      <c r="E102" s="806">
        <f>IFERROR(VLOOKUP($B102,flows!$A$2:$J$2954,E$2,FALSE),0)</f>
        <v>3.4283081060133558E-2</v>
      </c>
      <c r="F102" s="806">
        <f>IFERROR(VLOOKUP($B102,flows!$A$2:$J$2954,F$2,FALSE),0)</f>
        <v>0</v>
      </c>
      <c r="G102" s="806">
        <f>IFERROR(VLOOKUP($B102,flows!$A$2:$J$2954,G$2,FALSE),0)</f>
        <v>24.83779408237444</v>
      </c>
      <c r="H102" s="806">
        <f>IFERROR(VLOOKUP($B102,flows!$A$2:$J$2954,H$2,FALSE),0)</f>
        <v>0.10454603972482999</v>
      </c>
      <c r="I102" s="806">
        <f>IFERROR(VLOOKUP($B102,flows!$A$2:$J$2954,I$2,FALSE),0)</f>
        <v>76.269348586396802</v>
      </c>
      <c r="J102" s="806">
        <f>IFERROR(VLOOKUP($B102,flows!$A$2:$J$2954,J$2,FALSE),0)</f>
        <v>1.058783395708682E-3</v>
      </c>
      <c r="K102" s="806">
        <f>IFERROR(VLOOKUP($B102,flows!$A$2:$J$2954,K$2,FALSE),0)</f>
        <v>9.7853497678426939E-5</v>
      </c>
      <c r="L102" s="807">
        <f>IFERROR(VLOOKUP($B102,flows!$A$2:$J$2954,L$2,FALSE),0)</f>
        <v>0</v>
      </c>
      <c r="M102" s="808" t="s">
        <v>3339</v>
      </c>
      <c r="O102" s="568" t="s">
        <v>3329</v>
      </c>
      <c r="P102" s="566" t="s">
        <v>3282</v>
      </c>
      <c r="Q102" s="566" t="s">
        <v>3282</v>
      </c>
      <c r="R102" s="574">
        <f t="shared" si="45"/>
        <v>0</v>
      </c>
      <c r="S102" s="574">
        <f t="shared" si="45"/>
        <v>0</v>
      </c>
      <c r="T102" s="574">
        <f t="shared" si="45"/>
        <v>0</v>
      </c>
      <c r="U102" s="574">
        <f t="shared" si="45"/>
        <v>0</v>
      </c>
      <c r="V102" s="574">
        <f t="shared" si="45"/>
        <v>0</v>
      </c>
      <c r="W102" s="574">
        <f t="shared" si="45"/>
        <v>0</v>
      </c>
      <c r="X102" s="574">
        <f t="shared" si="45"/>
        <v>0</v>
      </c>
      <c r="Y102" s="574" t="e">
        <f t="shared" si="45"/>
        <v>#DIV/0!</v>
      </c>
      <c r="Z102" s="569" t="s">
        <v>3277</v>
      </c>
    </row>
    <row r="103" spans="2:26" ht="20.149999999999999" customHeight="1" thickBot="1" x14ac:dyDescent="0.4">
      <c r="B103" s="804" t="s">
        <v>3353</v>
      </c>
      <c r="C103" s="805" t="s">
        <v>3337</v>
      </c>
      <c r="D103" s="805" t="s">
        <v>3338</v>
      </c>
      <c r="E103" s="806">
        <f>IFERROR(VLOOKUP($B103,flows!$A$2:$J$2954,E$2,FALSE),0)</f>
        <v>3.5732700344498262E-2</v>
      </c>
      <c r="F103" s="806">
        <f>IFERROR(VLOOKUP($B103,flows!$A$2:$J$2954,F$2,FALSE),0)</f>
        <v>0</v>
      </c>
      <c r="G103" s="806">
        <f>IFERROR(VLOOKUP($B103,flows!$A$2:$J$2954,G$2,FALSE),0)</f>
        <v>1.348167949300443</v>
      </c>
      <c r="H103" s="806">
        <f>IFERROR(VLOOKUP($B103,flows!$A$2:$J$2954,H$2,FALSE),0)</f>
        <v>1.459297542276192E-2</v>
      </c>
      <c r="I103" s="806">
        <f>IFERROR(VLOOKUP($B103,flows!$A$2:$J$2954,I$2,FALSE),0)</f>
        <v>89.17094600219238</v>
      </c>
      <c r="J103" s="806">
        <f>IFERROR(VLOOKUP($B103,flows!$A$2:$J$2954,J$2,FALSE),0)</f>
        <v>143.4362233843309</v>
      </c>
      <c r="K103" s="806">
        <f>IFERROR(VLOOKUP($B103,flows!$A$2:$J$2954,K$2,FALSE),0)</f>
        <v>2.804148522580072E-2</v>
      </c>
      <c r="L103" s="807">
        <f>IFERROR(VLOOKUP($B103,flows!$A$2:$J$2954,L$2,FALSE),0)</f>
        <v>0</v>
      </c>
      <c r="M103" s="808" t="s">
        <v>3339</v>
      </c>
      <c r="O103" s="600" t="s">
        <v>3288</v>
      </c>
      <c r="P103" s="601" t="s">
        <v>3283</v>
      </c>
      <c r="Q103" s="602" t="s">
        <v>3282</v>
      </c>
      <c r="R103" s="603">
        <f t="shared" si="45"/>
        <v>0</v>
      </c>
      <c r="S103" s="603">
        <f t="shared" si="45"/>
        <v>0</v>
      </c>
      <c r="T103" s="603">
        <f t="shared" si="45"/>
        <v>0</v>
      </c>
      <c r="U103" s="603">
        <f t="shared" si="45"/>
        <v>0</v>
      </c>
      <c r="V103" s="603">
        <f t="shared" si="45"/>
        <v>0</v>
      </c>
      <c r="W103" s="603">
        <f t="shared" si="45"/>
        <v>0</v>
      </c>
      <c r="X103" s="603">
        <f t="shared" si="45"/>
        <v>0</v>
      </c>
      <c r="Y103" s="603" t="e">
        <f t="shared" si="45"/>
        <v>#DIV/0!</v>
      </c>
      <c r="Z103" s="604" t="s">
        <v>3277</v>
      </c>
    </row>
    <row r="104" spans="2:26" ht="20.149999999999999" customHeight="1" thickTop="1" x14ac:dyDescent="0.35">
      <c r="B104" s="804" t="s">
        <v>3354</v>
      </c>
      <c r="C104" s="805" t="s">
        <v>3337</v>
      </c>
      <c r="D104" s="805" t="s">
        <v>3338</v>
      </c>
      <c r="E104" s="806">
        <f>IFERROR(VLOOKUP($B104,flows!$A$2:$J$2954,E$2,FALSE),0)</f>
        <v>3.5545695930373142E-2</v>
      </c>
      <c r="F104" s="806">
        <f>IFERROR(VLOOKUP($B104,flows!$A$2:$J$2954,F$2,FALSE),0)</f>
        <v>0</v>
      </c>
      <c r="G104" s="806">
        <f>IFERROR(VLOOKUP($B104,flows!$A$2:$J$2954,G$2,FALSE),0)</f>
        <v>21.249665716676251</v>
      </c>
      <c r="H104" s="806">
        <f>IFERROR(VLOOKUP($B104,flows!$A$2:$J$2954,H$2,FALSE),0)</f>
        <v>256.51763395677318</v>
      </c>
      <c r="I104" s="806">
        <f>IFERROR(VLOOKUP($B104,flows!$A$2:$J$2954,I$2,FALSE),0)</f>
        <v>67.289982456864649</v>
      </c>
      <c r="J104" s="806">
        <f>IFERROR(VLOOKUP($B104,flows!$A$2:$J$2954,J$2,FALSE),0)</f>
        <v>89.538859987389628</v>
      </c>
      <c r="K104" s="806">
        <f>IFERROR(VLOOKUP($B104,flows!$A$2:$J$2954,K$2,FALSE),0)</f>
        <v>8.3204890661493964E-5</v>
      </c>
      <c r="L104" s="807">
        <f>IFERROR(VLOOKUP($B104,flows!$A$2:$J$2954,L$2,FALSE),0)</f>
        <v>0</v>
      </c>
      <c r="M104" s="808" t="s">
        <v>3339</v>
      </c>
    </row>
    <row r="105" spans="2:26" ht="20.149999999999999" customHeight="1" x14ac:dyDescent="0.35">
      <c r="B105" s="804" t="s">
        <v>3355</v>
      </c>
      <c r="C105" s="805" t="s">
        <v>3337</v>
      </c>
      <c r="D105" s="805" t="s">
        <v>3338</v>
      </c>
      <c r="E105" s="806">
        <f>IFERROR(VLOOKUP($B105,flows!$A$2:$J$2954,E$2,FALSE),0)</f>
        <v>3.4949641355984419E-2</v>
      </c>
      <c r="F105" s="806">
        <f>IFERROR(VLOOKUP($B105,flows!$A$2:$J$2954,F$2,FALSE),0)</f>
        <v>0</v>
      </c>
      <c r="G105" s="806">
        <f>IFERROR(VLOOKUP($B105,flows!$A$2:$J$2954,G$2,FALSE),0)</f>
        <v>12.001392961556389</v>
      </c>
      <c r="H105" s="806">
        <f>IFERROR(VLOOKUP($B105,flows!$A$2:$J$2954,H$2,FALSE),0)</f>
        <v>109.5717977079987</v>
      </c>
      <c r="I105" s="806">
        <f>IFERROR(VLOOKUP($B105,flows!$A$2:$J$2954,I$2,FALSE),0)</f>
        <v>6.6391372521731737E-3</v>
      </c>
      <c r="J105" s="806">
        <f>IFERROR(VLOOKUP($B105,flows!$A$2:$J$2954,J$2,FALSE),0)</f>
        <v>3.7105298110706822E-4</v>
      </c>
      <c r="K105" s="806">
        <f>IFERROR(VLOOKUP($B105,flows!$A$2:$J$2954,K$2,FALSE),0)</f>
        <v>8.0956245735909921E-5</v>
      </c>
      <c r="L105" s="807">
        <f>IFERROR(VLOOKUP($B105,flows!$A$2:$J$2954,L$2,FALSE),0)</f>
        <v>0</v>
      </c>
      <c r="M105" s="808" t="s">
        <v>3339</v>
      </c>
    </row>
    <row r="106" spans="2:26" ht="20.149999999999999" customHeight="1" x14ac:dyDescent="0.35">
      <c r="B106" s="804" t="s">
        <v>3356</v>
      </c>
      <c r="C106" s="805" t="s">
        <v>3337</v>
      </c>
      <c r="D106" s="805" t="s">
        <v>3338</v>
      </c>
      <c r="E106" s="806">
        <f>IFERROR(VLOOKUP($B106,flows!$A$2:$J$2954,E$2,FALSE),0)</f>
        <v>3.6117679280265463E-2</v>
      </c>
      <c r="F106" s="806">
        <f>IFERROR(VLOOKUP($B106,flows!$A$2:$J$2954,F$2,FALSE),0)</f>
        <v>0</v>
      </c>
      <c r="G106" s="806">
        <f>IFERROR(VLOOKUP($B106,flows!$A$2:$J$2954,G$2,FALSE),0)</f>
        <v>7.2707485121597921</v>
      </c>
      <c r="H106" s="806">
        <f>IFERROR(VLOOKUP($B106,flows!$A$2:$J$2954,H$2,FALSE),0)</f>
        <v>257.55802828922418</v>
      </c>
      <c r="I106" s="806">
        <f>IFERROR(VLOOKUP($B106,flows!$A$2:$J$2954,I$2,FALSE),0)</f>
        <v>73.784242723337258</v>
      </c>
      <c r="J106" s="806">
        <f>IFERROR(VLOOKUP($B106,flows!$A$2:$J$2954,J$2,FALSE),0)</f>
        <v>101.0181535158069</v>
      </c>
      <c r="K106" s="806">
        <f>IFERROR(VLOOKUP($B106,flows!$A$2:$J$2954,K$2,FALSE),0)</f>
        <v>1.7645570387213211E-4</v>
      </c>
      <c r="L106" s="807">
        <f>IFERROR(VLOOKUP($B106,flows!$A$2:$J$2954,L$2,FALSE),0)</f>
        <v>0</v>
      </c>
      <c r="M106" s="808" t="s">
        <v>3339</v>
      </c>
    </row>
    <row r="107" spans="2:26" ht="20.149999999999999" customHeight="1" x14ac:dyDescent="0.35">
      <c r="B107" s="804" t="s">
        <v>3357</v>
      </c>
      <c r="C107" s="805" t="s">
        <v>3337</v>
      </c>
      <c r="D107" s="805" t="s">
        <v>3338</v>
      </c>
      <c r="E107" s="806">
        <f>IFERROR(VLOOKUP($B107,flows!$A$2:$J$2954,E$2,FALSE),0)</f>
        <v>3.289159816293287E-2</v>
      </c>
      <c r="F107" s="806">
        <f>IFERROR(VLOOKUP($B107,flows!$A$2:$J$2954,F$2,FALSE),0)</f>
        <v>0</v>
      </c>
      <c r="G107" s="806">
        <f>IFERROR(VLOOKUP($B107,flows!$A$2:$J$2954,G$2,FALSE),0)</f>
        <v>6.1911359772897203</v>
      </c>
      <c r="H107" s="806">
        <f>IFERROR(VLOOKUP($B107,flows!$A$2:$J$2954,H$2,FALSE),0)</f>
        <v>0.1300874582531393</v>
      </c>
      <c r="I107" s="806">
        <f>IFERROR(VLOOKUP($B107,flows!$A$2:$J$2954,I$2,FALSE),0)</f>
        <v>6.5972035568756006E-3</v>
      </c>
      <c r="J107" s="806">
        <f>IFERROR(VLOOKUP($B107,flows!$A$2:$J$2954,J$2,FALSE),0)</f>
        <v>3.3824323519101972E-4</v>
      </c>
      <c r="K107" s="806">
        <f>IFERROR(VLOOKUP($B107,flows!$A$2:$J$2954,K$2,FALSE),0)</f>
        <v>7.4496352927847523E-5</v>
      </c>
      <c r="L107" s="807">
        <f>IFERROR(VLOOKUP($B107,flows!$A$2:$J$2954,L$2,FALSE),0)</f>
        <v>0</v>
      </c>
      <c r="M107" s="808" t="s">
        <v>3339</v>
      </c>
    </row>
    <row r="108" spans="2:26" ht="20.149999999999999" customHeight="1" x14ac:dyDescent="0.35">
      <c r="B108" s="804" t="s">
        <v>3358</v>
      </c>
      <c r="C108" s="805" t="s">
        <v>3337</v>
      </c>
      <c r="D108" s="805" t="s">
        <v>3338</v>
      </c>
      <c r="E108" s="806">
        <f>IFERROR(VLOOKUP($B108,flows!$A$2:$J$2954,E$2,FALSE),0)</f>
        <v>3.1011272632201499E-2</v>
      </c>
      <c r="F108" s="806">
        <f>IFERROR(VLOOKUP($B108,flows!$A$2:$J$2954,F$2,FALSE),0)</f>
        <v>0</v>
      </c>
      <c r="G108" s="806">
        <f>IFERROR(VLOOKUP($B108,flows!$A$2:$J$2954,G$2,FALSE),0)</f>
        <v>0.83120708643454233</v>
      </c>
      <c r="H108" s="806">
        <f>IFERROR(VLOOKUP($B108,flows!$A$2:$J$2954,H$2,FALSE),0)</f>
        <v>1.54746759822932E-2</v>
      </c>
      <c r="I108" s="806">
        <f>IFERROR(VLOOKUP($B108,flows!$A$2:$J$2954,I$2,FALSE),0)</f>
        <v>38.872733998603692</v>
      </c>
      <c r="J108" s="806">
        <f>IFERROR(VLOOKUP($B108,flows!$A$2:$J$2954,J$2,FALSE),0)</f>
        <v>23.10377939993759</v>
      </c>
      <c r="K108" s="806">
        <f>IFERROR(VLOOKUP($B108,flows!$A$2:$J$2954,K$2,FALSE),0)</f>
        <v>1.3018290466352769E-4</v>
      </c>
      <c r="L108" s="807">
        <f>IFERROR(VLOOKUP($B108,flows!$A$2:$J$2954,L$2,FALSE),0)</f>
        <v>0</v>
      </c>
      <c r="M108" s="808" t="s">
        <v>3339</v>
      </c>
      <c r="O108" s="607"/>
      <c r="P108" s="607"/>
      <c r="Q108" s="607"/>
      <c r="R108" s="608"/>
      <c r="S108" s="608"/>
      <c r="T108" s="608"/>
      <c r="U108" s="608"/>
      <c r="V108" s="608"/>
      <c r="W108" s="608"/>
      <c r="X108" s="608"/>
      <c r="Y108" s="608"/>
      <c r="Z108" s="607"/>
    </row>
    <row r="109" spans="2:26" ht="20.149999999999999" customHeight="1" x14ac:dyDescent="0.35">
      <c r="B109" s="616" t="s">
        <v>3278</v>
      </c>
      <c r="C109" s="617"/>
      <c r="D109" s="617"/>
      <c r="E109" s="572" t="s">
        <v>23</v>
      </c>
      <c r="F109" s="572" t="s">
        <v>1798</v>
      </c>
      <c r="G109" s="572" t="s">
        <v>1799</v>
      </c>
      <c r="H109" s="572" t="s">
        <v>1800</v>
      </c>
      <c r="I109" s="572" t="s">
        <v>1801</v>
      </c>
      <c r="J109" s="572" t="s">
        <v>1802</v>
      </c>
      <c r="K109" s="572" t="s">
        <v>1803</v>
      </c>
      <c r="L109" s="573" t="s">
        <v>1804</v>
      </c>
      <c r="M109" s="618"/>
      <c r="O109" s="609"/>
      <c r="P109" s="610"/>
      <c r="Q109" s="610"/>
      <c r="R109" s="611"/>
      <c r="S109" s="612"/>
      <c r="T109" s="612"/>
      <c r="U109" s="612"/>
      <c r="V109" s="612"/>
      <c r="W109" s="612"/>
      <c r="X109" s="612"/>
      <c r="Y109" s="612"/>
      <c r="Z109" s="613"/>
    </row>
    <row r="110" spans="2:26" ht="20.149999999999999" customHeight="1" x14ac:dyDescent="0.35">
      <c r="B110" s="804" t="s">
        <v>3359</v>
      </c>
      <c r="C110" s="805" t="s">
        <v>3337</v>
      </c>
      <c r="D110" s="805" t="s">
        <v>3338</v>
      </c>
      <c r="E110" s="806">
        <f>IFERROR(VLOOKUP($B110,flows!$A$2:$J$2954,E$2,FALSE),0)</f>
        <v>2.023021144891058E-2</v>
      </c>
      <c r="F110" s="806">
        <f>IFERROR(VLOOKUP($B110,flows!$A$2:$J$2954,F$2,FALSE),0)</f>
        <v>356.42231777141382</v>
      </c>
      <c r="G110" s="806">
        <f>IFERROR(VLOOKUP($B110,flows!$A$2:$J$2954,G$2,FALSE),0)</f>
        <v>349.17604972960282</v>
      </c>
      <c r="H110" s="806">
        <f>IFERROR(VLOOKUP($B110,flows!$A$2:$J$2954,H$2,FALSE),0)</f>
        <v>60.509619822078989</v>
      </c>
      <c r="I110" s="806">
        <f>IFERROR(VLOOKUP($B110,flows!$A$2:$J$2954,I$2,FALSE),0)</f>
        <v>7.7817575070319274</v>
      </c>
      <c r="J110" s="806">
        <f>IFERROR(VLOOKUP($B110,flows!$A$2:$J$2954,J$2,FALSE),0)</f>
        <v>0.90134147476310544</v>
      </c>
      <c r="K110" s="806">
        <f>IFERROR(VLOOKUP($B110,flows!$A$2:$J$2954,K$2,FALSE),0)</f>
        <v>8.2071732444234245E-5</v>
      </c>
      <c r="L110" s="807">
        <f>IFERROR(VLOOKUP($B110,flows!$A$2:$J$2954,L$2,FALSE),0)</f>
        <v>0</v>
      </c>
      <c r="M110" s="808" t="s">
        <v>3339</v>
      </c>
      <c r="O110" s="609"/>
      <c r="P110" s="610"/>
      <c r="Q110" s="610"/>
      <c r="R110" s="614"/>
      <c r="S110" s="615"/>
      <c r="T110" s="615"/>
      <c r="U110" s="615"/>
      <c r="V110" s="615"/>
      <c r="W110" s="615"/>
      <c r="X110" s="615"/>
      <c r="Y110" s="615"/>
      <c r="Z110" s="613"/>
    </row>
    <row r="111" spans="2:26" ht="20.149999999999999" customHeight="1" x14ac:dyDescent="0.35">
      <c r="B111" s="804" t="s">
        <v>3360</v>
      </c>
      <c r="C111" s="805" t="s">
        <v>3337</v>
      </c>
      <c r="D111" s="805" t="s">
        <v>3338</v>
      </c>
      <c r="E111" s="806">
        <f>IFERROR(VLOOKUP($B111,flows!$A$2:$J$2954,E$2,FALSE),0)</f>
        <v>1.897724683646972E-2</v>
      </c>
      <c r="F111" s="806">
        <f>IFERROR(VLOOKUP($B111,flows!$A$2:$J$2954,F$2,FALSE),0)</f>
        <v>0</v>
      </c>
      <c r="G111" s="806">
        <f>IFERROR(VLOOKUP($B111,flows!$A$2:$J$2954,G$2,FALSE),0)</f>
        <v>41.603941763482212</v>
      </c>
      <c r="H111" s="806">
        <f>IFERROR(VLOOKUP($B111,flows!$A$2:$J$2954,H$2,FALSE),0)</f>
        <v>9.152730802607751</v>
      </c>
      <c r="I111" s="806">
        <f>IFERROR(VLOOKUP($B111,flows!$A$2:$J$2954,I$2,FALSE),0)</f>
        <v>4.0037400008042547E-3</v>
      </c>
      <c r="J111" s="806">
        <f>IFERROR(VLOOKUP($B111,flows!$A$2:$J$2954,J$2,FALSE),0)</f>
        <v>3.0748927509501928E-4</v>
      </c>
      <c r="K111" s="806">
        <f>IFERROR(VLOOKUP($B111,flows!$A$2:$J$2954,K$2,FALSE),0)</f>
        <v>7.8438918609876625E-5</v>
      </c>
      <c r="L111" s="807">
        <f>IFERROR(VLOOKUP($B111,flows!$A$2:$J$2954,L$2,FALSE),0)</f>
        <v>0</v>
      </c>
      <c r="M111" s="808" t="s">
        <v>3339</v>
      </c>
      <c r="O111" s="609"/>
      <c r="P111" s="610"/>
      <c r="Q111" s="610"/>
      <c r="R111" s="612"/>
      <c r="S111" s="612"/>
      <c r="T111" s="612"/>
      <c r="U111" s="612"/>
      <c r="V111" s="612"/>
      <c r="W111" s="612"/>
      <c r="X111" s="612"/>
      <c r="Y111" s="612"/>
      <c r="Z111" s="613"/>
    </row>
    <row r="112" spans="2:26" ht="20.149999999999999" customHeight="1" x14ac:dyDescent="0.35">
      <c r="B112" s="804" t="s">
        <v>3361</v>
      </c>
      <c r="C112" s="805" t="s">
        <v>3337</v>
      </c>
      <c r="D112" s="805" t="s">
        <v>3338</v>
      </c>
      <c r="E112" s="806">
        <f>IFERROR(VLOOKUP($B112,flows!$A$2:$J$2954,E$2,FALSE),0)</f>
        <v>1.7138510702232899E-2</v>
      </c>
      <c r="F112" s="806">
        <f>IFERROR(VLOOKUP($B112,flows!$A$2:$J$2954,F$2,FALSE),0)</f>
        <v>285.98647873398602</v>
      </c>
      <c r="G112" s="806">
        <f>IFERROR(VLOOKUP($B112,flows!$A$2:$J$2954,G$2,FALSE),0)</f>
        <v>71.521459953788451</v>
      </c>
      <c r="H112" s="806">
        <f>IFERROR(VLOOKUP($B112,flows!$A$2:$J$2954,H$2,FALSE),0)</f>
        <v>2.734470110452659</v>
      </c>
      <c r="I112" s="806">
        <f>IFERROR(VLOOKUP($B112,flows!$A$2:$J$2954,I$2,FALSE),0)</f>
        <v>0.30749528673019022</v>
      </c>
      <c r="J112" s="806">
        <f>IFERROR(VLOOKUP($B112,flows!$A$2:$J$2954,J$2,FALSE),0)</f>
        <v>2.5830529806019498E-4</v>
      </c>
      <c r="K112" s="806">
        <f>IFERROR(VLOOKUP($B112,flows!$A$2:$J$2954,K$2,FALSE),0)</f>
        <v>7.1826676945923416E-5</v>
      </c>
      <c r="L112" s="807">
        <f>IFERROR(VLOOKUP($B112,flows!$A$2:$J$2954,L$2,FALSE),0)</f>
        <v>0</v>
      </c>
      <c r="M112" s="808" t="s">
        <v>3339</v>
      </c>
      <c r="O112" s="609"/>
      <c r="P112" s="610"/>
      <c r="Q112" s="610"/>
      <c r="R112" s="615"/>
      <c r="S112" s="615"/>
      <c r="T112" s="615"/>
      <c r="U112" s="615"/>
      <c r="V112" s="615"/>
      <c r="W112" s="615"/>
      <c r="X112" s="615"/>
      <c r="Y112" s="615"/>
      <c r="Z112" s="613"/>
    </row>
    <row r="113" spans="2:26" ht="20.149999999999999" customHeight="1" x14ac:dyDescent="0.35">
      <c r="B113" s="804" t="s">
        <v>3362</v>
      </c>
      <c r="C113" s="805" t="s">
        <v>3337</v>
      </c>
      <c r="D113" s="805" t="s">
        <v>3338</v>
      </c>
      <c r="E113" s="806">
        <f>IFERROR(VLOOKUP($B113,flows!$A$2:$J$2954,E$2,FALSE),0)</f>
        <v>1.688610827158752E-2</v>
      </c>
      <c r="F113" s="806">
        <f>IFERROR(VLOOKUP($B113,flows!$A$2:$J$2954,F$2,FALSE),0)</f>
        <v>0</v>
      </c>
      <c r="G113" s="806">
        <f>IFERROR(VLOOKUP($B113,flows!$A$2:$J$2954,G$2,FALSE),0)</f>
        <v>9.8039725307579122</v>
      </c>
      <c r="H113" s="806">
        <f>IFERROR(VLOOKUP($B113,flows!$A$2:$J$2954,H$2,FALSE),0)</f>
        <v>1.1033513850071621E-2</v>
      </c>
      <c r="I113" s="806">
        <f>IFERROR(VLOOKUP($B113,flows!$A$2:$J$2954,I$2,FALSE),0)</f>
        <v>3.141040571254953E-3</v>
      </c>
      <c r="J113" s="806">
        <f>IFERROR(VLOOKUP($B113,flows!$A$2:$J$2954,J$2,FALSE),0)</f>
        <v>2.4877137610827051E-4</v>
      </c>
      <c r="K113" s="806">
        <f>IFERROR(VLOOKUP($B113,flows!$A$2:$J$2954,K$2,FALSE),0)</f>
        <v>6.9095860400716604E-5</v>
      </c>
      <c r="L113" s="807">
        <f>IFERROR(VLOOKUP($B113,flows!$A$2:$J$2954,L$2,FALSE),0)</f>
        <v>0</v>
      </c>
      <c r="M113" s="808" t="s">
        <v>3339</v>
      </c>
      <c r="O113" s="609"/>
      <c r="P113" s="610"/>
      <c r="Q113" s="610"/>
      <c r="R113" s="615"/>
      <c r="S113" s="615"/>
      <c r="T113" s="615"/>
      <c r="U113" s="615"/>
      <c r="V113" s="615"/>
      <c r="W113" s="615"/>
      <c r="X113" s="615"/>
      <c r="Y113" s="615"/>
      <c r="Z113" s="613"/>
    </row>
    <row r="114" spans="2:26" ht="20.149999999999999" customHeight="1" x14ac:dyDescent="0.35">
      <c r="B114" s="804" t="s">
        <v>3363</v>
      </c>
      <c r="C114" s="805" t="s">
        <v>3337</v>
      </c>
      <c r="D114" s="805" t="s">
        <v>3338</v>
      </c>
      <c r="E114" s="806">
        <f>IFERROR(VLOOKUP($B114,flows!$A$2:$J$2954,E$2,FALSE),0)</f>
        <v>6.7661652698811714E-3</v>
      </c>
      <c r="F114" s="806">
        <f>IFERROR(VLOOKUP($B114,flows!$A$2:$J$2954,F$2,FALSE),0)</f>
        <v>0</v>
      </c>
      <c r="G114" s="806">
        <f>IFERROR(VLOOKUP($B114,flows!$A$2:$J$2954,G$2,FALSE),0)</f>
        <v>1.566711013467547</v>
      </c>
      <c r="H114" s="806">
        <f>IFERROR(VLOOKUP($B114,flows!$A$2:$J$2954,H$2,FALSE),0)</f>
        <v>1.321336449418921E-2</v>
      </c>
      <c r="I114" s="806">
        <f>IFERROR(VLOOKUP($B114,flows!$A$2:$J$2954,I$2,FALSE),0)</f>
        <v>5.4150024016910496</v>
      </c>
      <c r="J114" s="806">
        <f>IFERROR(VLOOKUP($B114,flows!$A$2:$J$2954,J$2,FALSE),0)</f>
        <v>1.79816698485883E-4</v>
      </c>
      <c r="K114" s="806">
        <f>IFERROR(VLOOKUP($B114,flows!$A$2:$J$2954,K$2,FALSE),0)</f>
        <v>3.7240539884401402E-5</v>
      </c>
      <c r="L114" s="807">
        <f>IFERROR(VLOOKUP($B114,flows!$A$2:$J$2954,L$2,FALSE),0)</f>
        <v>0</v>
      </c>
      <c r="M114" s="808" t="s">
        <v>3339</v>
      </c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</row>
    <row r="115" spans="2:26" ht="20.149999999999999" customHeight="1" x14ac:dyDescent="0.35">
      <c r="B115" s="804" t="s">
        <v>3364</v>
      </c>
      <c r="C115" s="805" t="s">
        <v>3337</v>
      </c>
      <c r="D115" s="805" t="s">
        <v>3338</v>
      </c>
      <c r="E115" s="806">
        <f>IFERROR(VLOOKUP($B115,flows!$A$2:$J$2954,E$2,FALSE),0)</f>
        <v>5.3897992963071087E-2</v>
      </c>
      <c r="F115" s="806">
        <f>IFERROR(VLOOKUP($B115,flows!$A$2:$J$2954,F$2,FALSE),0)</f>
        <v>0</v>
      </c>
      <c r="G115" s="806">
        <f>IFERROR(VLOOKUP($B115,flows!$A$2:$J$2954,G$2,FALSE),0)</f>
        <v>98.213588345842936</v>
      </c>
      <c r="H115" s="806">
        <f>IFERROR(VLOOKUP($B115,flows!$A$2:$J$2954,H$2,FALSE),0)</f>
        <v>212.46186957619989</v>
      </c>
      <c r="I115" s="806">
        <f>IFERROR(VLOOKUP($B115,flows!$A$2:$J$2954,I$2,FALSE),0)</f>
        <v>73.751685606659436</v>
      </c>
      <c r="J115" s="806">
        <f>IFERROR(VLOOKUP($B115,flows!$A$2:$J$2954,J$2,FALSE),0)</f>
        <v>90.534304253463574</v>
      </c>
      <c r="K115" s="806">
        <f>IFERROR(VLOOKUP($B115,flows!$A$2:$J$2954,K$2,FALSE),0)</f>
        <v>1.555546788854935E-3</v>
      </c>
      <c r="L115" s="807">
        <f>IFERROR(VLOOKUP($B115,flows!$A$2:$J$2954,L$2,FALSE),0)</f>
        <v>0</v>
      </c>
      <c r="M115" s="808" t="s">
        <v>3339</v>
      </c>
      <c r="O115" s="609"/>
      <c r="P115" s="610"/>
      <c r="Q115" s="610"/>
      <c r="R115" s="611"/>
      <c r="S115" s="611"/>
      <c r="T115" s="611"/>
      <c r="U115" s="611"/>
      <c r="V115" s="611"/>
      <c r="W115" s="611"/>
      <c r="X115" s="611"/>
      <c r="Y115" s="611"/>
      <c r="Z115" s="613"/>
    </row>
    <row r="116" spans="2:26" ht="20.149999999999999" customHeight="1" x14ac:dyDescent="0.35">
      <c r="B116" s="804" t="s">
        <v>3365</v>
      </c>
      <c r="C116" s="805" t="s">
        <v>3337</v>
      </c>
      <c r="D116" s="805" t="s">
        <v>3338</v>
      </c>
      <c r="E116" s="806">
        <f>IFERROR(VLOOKUP($B116,flows!$A$2:$J$2954,E$2,FALSE),0)</f>
        <v>5.2181635483008783E-2</v>
      </c>
      <c r="F116" s="806">
        <f>IFERROR(VLOOKUP($B116,flows!$A$2:$J$2954,F$2,FALSE),0)</f>
        <v>0</v>
      </c>
      <c r="G116" s="806">
        <f>IFERROR(VLOOKUP($B116,flows!$A$2:$J$2954,G$2,FALSE),0)</f>
        <v>88.094316077316009</v>
      </c>
      <c r="H116" s="806">
        <f>IFERROR(VLOOKUP($B116,flows!$A$2:$J$2954,H$2,FALSE),0)</f>
        <v>191.19329322777551</v>
      </c>
      <c r="I116" s="806">
        <f>IFERROR(VLOOKUP($B116,flows!$A$2:$J$2954,I$2,FALSE),0)</f>
        <v>224.9322617021555</v>
      </c>
      <c r="J116" s="806">
        <f>IFERROR(VLOOKUP($B116,flows!$A$2:$J$2954,J$2,FALSE),0)</f>
        <v>227.61668264200199</v>
      </c>
      <c r="K116" s="806">
        <f>IFERROR(VLOOKUP($B116,flows!$A$2:$J$2954,K$2,FALSE),0)</f>
        <v>0.25927282047853972</v>
      </c>
      <c r="L116" s="807">
        <f>IFERROR(VLOOKUP($B116,flows!$A$2:$J$2954,L$2,FALSE),0)</f>
        <v>0</v>
      </c>
      <c r="M116" s="808" t="s">
        <v>3339</v>
      </c>
      <c r="O116" s="609"/>
      <c r="P116" s="610"/>
      <c r="Q116" s="610"/>
      <c r="R116" s="611"/>
      <c r="S116" s="611"/>
      <c r="T116" s="611"/>
      <c r="U116" s="611"/>
      <c r="V116" s="611"/>
      <c r="W116" s="611"/>
      <c r="X116" s="611"/>
      <c r="Y116" s="611"/>
      <c r="Z116" s="613"/>
    </row>
    <row r="117" spans="2:26" ht="20.149999999999999" customHeight="1" x14ac:dyDescent="0.35">
      <c r="B117" s="804" t="s">
        <v>3366</v>
      </c>
      <c r="C117" s="805" t="s">
        <v>3337</v>
      </c>
      <c r="D117" s="805" t="s">
        <v>3338</v>
      </c>
      <c r="E117" s="806">
        <f>IFERROR(VLOOKUP($B117,flows!$A$2:$J$2954,E$2,FALSE),0)</f>
        <v>4.0208237056913038E-2</v>
      </c>
      <c r="F117" s="806">
        <f>IFERROR(VLOOKUP($B117,flows!$A$2:$J$2954,F$2,FALSE),0)</f>
        <v>0</v>
      </c>
      <c r="G117" s="806">
        <f>IFERROR(VLOOKUP($B117,flows!$A$2:$J$2954,G$2,FALSE),0)</f>
        <v>73.934246411589385</v>
      </c>
      <c r="H117" s="806">
        <f>IFERROR(VLOOKUP($B117,flows!$A$2:$J$2954,H$2,FALSE),0)</f>
        <v>118.9234333321553</v>
      </c>
      <c r="I117" s="806">
        <f>IFERROR(VLOOKUP($B117,flows!$A$2:$J$2954,I$2,FALSE),0)</f>
        <v>19.744421026686929</v>
      </c>
      <c r="J117" s="806">
        <f>IFERROR(VLOOKUP($B117,flows!$A$2:$J$2954,J$2,FALSE),0)</f>
        <v>4.6455777228866758E-4</v>
      </c>
      <c r="K117" s="806">
        <f>IFERROR(VLOOKUP($B117,flows!$A$2:$J$2954,K$2,FALSE),0)</f>
        <v>2.8924097440546638E-4</v>
      </c>
      <c r="L117" s="807">
        <f>IFERROR(VLOOKUP($B117,flows!$A$2:$J$2954,L$2,FALSE),0)</f>
        <v>0</v>
      </c>
      <c r="M117" s="808" t="s">
        <v>3339</v>
      </c>
      <c r="O117" s="609"/>
      <c r="P117" s="610"/>
      <c r="Q117" s="610"/>
      <c r="R117" s="611"/>
      <c r="S117" s="611"/>
      <c r="T117" s="611"/>
      <c r="U117" s="611"/>
      <c r="V117" s="611"/>
      <c r="W117" s="611"/>
      <c r="X117" s="611"/>
      <c r="Y117" s="611"/>
      <c r="Z117" s="613"/>
    </row>
    <row r="118" spans="2:26" ht="20.149999999999999" customHeight="1" x14ac:dyDescent="0.35">
      <c r="B118" s="804" t="s">
        <v>3367</v>
      </c>
      <c r="C118" s="805" t="s">
        <v>3337</v>
      </c>
      <c r="D118" s="805" t="s">
        <v>3338</v>
      </c>
      <c r="E118" s="806">
        <f>IFERROR(VLOOKUP($B118,flows!$A$2:$J$2954,E$2,FALSE),0)</f>
        <v>4.3275607315463593E-2</v>
      </c>
      <c r="F118" s="806">
        <f>IFERROR(VLOOKUP($B118,flows!$A$2:$J$2954,F$2,FALSE),0)</f>
        <v>0</v>
      </c>
      <c r="G118" s="806">
        <f>IFERROR(VLOOKUP($B118,flows!$A$2:$J$2954,G$2,FALSE),0)</f>
        <v>73.31820098098261</v>
      </c>
      <c r="H118" s="806">
        <f>IFERROR(VLOOKUP($B118,flows!$A$2:$J$2954,H$2,FALSE),0)</f>
        <v>15.5086647285209</v>
      </c>
      <c r="I118" s="806">
        <f>IFERROR(VLOOKUP($B118,flows!$A$2:$J$2954,I$2,FALSE),0)</f>
        <v>1.018134158041291E-2</v>
      </c>
      <c r="J118" s="806">
        <f>IFERROR(VLOOKUP($B118,flows!$A$2:$J$2954,J$2,FALSE),0)</f>
        <v>4.0341945315557732E-4</v>
      </c>
      <c r="K118" s="806">
        <f>IFERROR(VLOOKUP($B118,flows!$A$2:$J$2954,K$2,FALSE),0)</f>
        <v>2.8909798604246549E-4</v>
      </c>
      <c r="L118" s="807">
        <f>IFERROR(VLOOKUP($B118,flows!$A$2:$J$2954,L$2,FALSE),0)</f>
        <v>0</v>
      </c>
      <c r="M118" s="808" t="s">
        <v>3339</v>
      </c>
      <c r="O118" s="609"/>
      <c r="P118" s="610"/>
      <c r="Q118" s="610"/>
      <c r="R118" s="611"/>
      <c r="S118" s="611"/>
      <c r="T118" s="611"/>
      <c r="U118" s="611"/>
      <c r="V118" s="611"/>
      <c r="W118" s="611"/>
      <c r="X118" s="611"/>
      <c r="Y118" s="611"/>
      <c r="Z118" s="613"/>
    </row>
    <row r="119" spans="2:26" ht="20.149999999999999" customHeight="1" x14ac:dyDescent="0.35">
      <c r="B119" s="804" t="s">
        <v>3368</v>
      </c>
      <c r="C119" s="805" t="s">
        <v>3337</v>
      </c>
      <c r="D119" s="805" t="s">
        <v>3338</v>
      </c>
      <c r="E119" s="806">
        <f>IFERROR(VLOOKUP($B119,flows!$A$2:$J$2954,E$2,FALSE),0)</f>
        <v>95.223189508085113</v>
      </c>
      <c r="F119" s="806">
        <f>IFERROR(VLOOKUP($B119,flows!$A$2:$J$2954,F$2,FALSE),0)</f>
        <v>0</v>
      </c>
      <c r="G119" s="806">
        <f>IFERROR(VLOOKUP($B119,flows!$A$2:$J$2954,G$2,FALSE),0)</f>
        <v>4.7714679293502513</v>
      </c>
      <c r="H119" s="806">
        <f>IFERROR(VLOOKUP($B119,flows!$A$2:$J$2954,H$2,FALSE),0)</f>
        <v>20.230875364089041</v>
      </c>
      <c r="I119" s="806">
        <f>IFERROR(VLOOKUP($B119,flows!$A$2:$J$2954,I$2,FALSE),0)</f>
        <v>42.503053766539558</v>
      </c>
      <c r="J119" s="806">
        <f>IFERROR(VLOOKUP($B119,flows!$A$2:$J$2954,J$2,FALSE),0)</f>
        <v>50.269275839857748</v>
      </c>
      <c r="K119" s="806">
        <f>IFERROR(VLOOKUP($B119,flows!$A$2:$J$2954,K$2,FALSE),0)</f>
        <v>95.21021454133539</v>
      </c>
      <c r="L119" s="807">
        <f>IFERROR(VLOOKUP($B119,flows!$A$2:$J$2954,L$2,FALSE),0)</f>
        <v>0</v>
      </c>
      <c r="M119" s="808" t="s">
        <v>3339</v>
      </c>
      <c r="O119" s="609"/>
      <c r="P119" s="610"/>
      <c r="Q119" s="610"/>
      <c r="R119" s="615"/>
      <c r="S119" s="615"/>
      <c r="T119" s="615"/>
      <c r="U119" s="615"/>
      <c r="V119" s="615"/>
      <c r="W119" s="615"/>
      <c r="X119" s="615"/>
      <c r="Y119" s="615"/>
      <c r="Z119" s="613"/>
    </row>
    <row r="120" spans="2:26" ht="20.149999999999999" customHeight="1" x14ac:dyDescent="0.35">
      <c r="B120" s="616" t="s">
        <v>3310</v>
      </c>
      <c r="C120" s="617"/>
      <c r="D120" s="617"/>
      <c r="E120" s="572" t="s">
        <v>23</v>
      </c>
      <c r="F120" s="572" t="s">
        <v>1798</v>
      </c>
      <c r="G120" s="572" t="s">
        <v>1799</v>
      </c>
      <c r="H120" s="572" t="s">
        <v>1800</v>
      </c>
      <c r="I120" s="572" t="s">
        <v>1801</v>
      </c>
      <c r="J120" s="572" t="s">
        <v>1802</v>
      </c>
      <c r="K120" s="572" t="s">
        <v>1803</v>
      </c>
      <c r="L120" s="573" t="s">
        <v>1804</v>
      </c>
      <c r="M120" s="618"/>
      <c r="O120" s="607"/>
      <c r="P120" s="607"/>
      <c r="Q120" s="607"/>
      <c r="R120" s="608"/>
      <c r="S120" s="608"/>
      <c r="T120" s="608"/>
      <c r="U120" s="608"/>
      <c r="V120" s="608"/>
      <c r="W120" s="608"/>
      <c r="X120" s="608"/>
      <c r="Y120" s="608"/>
      <c r="Z120" s="607"/>
    </row>
    <row r="121" spans="2:26" ht="20.149999999999999" customHeight="1" x14ac:dyDescent="0.35">
      <c r="B121" s="804" t="s">
        <v>3369</v>
      </c>
      <c r="C121" s="805" t="s">
        <v>3337</v>
      </c>
      <c r="D121" s="805" t="s">
        <v>3338</v>
      </c>
      <c r="E121" s="806">
        <f>IFERROR(VLOOKUP($B121,flows!$A$2:$J$2954,E$2,FALSE),0)</f>
        <v>0</v>
      </c>
      <c r="F121" s="806">
        <f>IFERROR(VLOOKUP($B121,flows!$A$2:$J$2954,F$2,FALSE),0)</f>
        <v>0</v>
      </c>
      <c r="G121" s="806">
        <f>IFERROR(VLOOKUP($B121,flows!$A$2:$J$2954,G$2,FALSE),0)</f>
        <v>0</v>
      </c>
      <c r="H121" s="806">
        <f>IFERROR(VLOOKUP($B121,flows!$A$2:$J$2954,H$2,FALSE),0)</f>
        <v>0</v>
      </c>
      <c r="I121" s="806">
        <f>IFERROR(VLOOKUP($B121,flows!$A$2:$J$2954,I$2,FALSE),0)</f>
        <v>0</v>
      </c>
      <c r="J121" s="806">
        <f>IFERROR(VLOOKUP($B121,flows!$A$2:$J$2954,J$2,FALSE),0)</f>
        <v>0</v>
      </c>
      <c r="K121" s="806">
        <f>IFERROR(VLOOKUP($B121,flows!$A$2:$J$2954,K$2,FALSE),0)</f>
        <v>0</v>
      </c>
      <c r="L121" s="807">
        <f>IFERROR(VLOOKUP($B121,flows!$A$2:$J$2954,L$2,FALSE),0)</f>
        <v>0</v>
      </c>
      <c r="M121" s="808" t="s">
        <v>3339</v>
      </c>
      <c r="O121" s="609"/>
      <c r="P121" s="610"/>
      <c r="Q121" s="610"/>
      <c r="R121" s="611"/>
      <c r="S121" s="612"/>
      <c r="T121" s="612"/>
      <c r="U121" s="612"/>
      <c r="V121" s="612"/>
      <c r="W121" s="612"/>
      <c r="X121" s="612"/>
      <c r="Y121" s="612"/>
      <c r="Z121" s="613"/>
    </row>
    <row r="122" spans="2:26" ht="20.149999999999999" customHeight="1" x14ac:dyDescent="0.35">
      <c r="B122" s="804" t="s">
        <v>3370</v>
      </c>
      <c r="C122" s="805" t="s">
        <v>3337</v>
      </c>
      <c r="D122" s="805" t="s">
        <v>3338</v>
      </c>
      <c r="E122" s="806">
        <f>IFERROR(VLOOKUP($B122,flows!$A$2:$J$2954,E$2,FALSE),0)</f>
        <v>0</v>
      </c>
      <c r="F122" s="806">
        <f>IFERROR(VLOOKUP($B122,flows!$A$2:$J$2954,F$2,FALSE),0)</f>
        <v>0</v>
      </c>
      <c r="G122" s="806">
        <f>IFERROR(VLOOKUP($B122,flows!$A$2:$J$2954,G$2,FALSE),0)</f>
        <v>0</v>
      </c>
      <c r="H122" s="806">
        <f>IFERROR(VLOOKUP($B122,flows!$A$2:$J$2954,H$2,FALSE),0)</f>
        <v>0</v>
      </c>
      <c r="I122" s="806">
        <f>IFERROR(VLOOKUP($B122,flows!$A$2:$J$2954,I$2,FALSE),0)</f>
        <v>0</v>
      </c>
      <c r="J122" s="806">
        <f>IFERROR(VLOOKUP($B122,flows!$A$2:$J$2954,J$2,FALSE),0)</f>
        <v>0</v>
      </c>
      <c r="K122" s="806">
        <f>IFERROR(VLOOKUP($B122,flows!$A$2:$J$2954,K$2,FALSE),0)</f>
        <v>0</v>
      </c>
      <c r="L122" s="807">
        <f>IFERROR(VLOOKUP($B122,flows!$A$2:$J$2954,L$2,FALSE),0)</f>
        <v>0</v>
      </c>
      <c r="M122" s="808" t="s">
        <v>3339</v>
      </c>
      <c r="O122" s="609"/>
      <c r="P122" s="610"/>
      <c r="Q122" s="610"/>
      <c r="R122" s="611"/>
      <c r="S122" s="615"/>
      <c r="T122" s="615"/>
      <c r="U122" s="615"/>
      <c r="V122" s="615"/>
      <c r="W122" s="615"/>
      <c r="X122" s="615"/>
      <c r="Y122" s="615"/>
      <c r="Z122" s="613"/>
    </row>
    <row r="123" spans="2:26" ht="20.149999999999999" customHeight="1" x14ac:dyDescent="0.35">
      <c r="B123" s="804" t="s">
        <v>3371</v>
      </c>
      <c r="C123" s="805" t="s">
        <v>3337</v>
      </c>
      <c r="D123" s="805" t="s">
        <v>3338</v>
      </c>
      <c r="E123" s="806">
        <f>IFERROR(VLOOKUP($B123,flows!$A$2:$J$2954,E$2,FALSE),0)</f>
        <v>0</v>
      </c>
      <c r="F123" s="806">
        <f>IFERROR(VLOOKUP($B123,flows!$A$2:$J$2954,F$2,FALSE),0)</f>
        <v>0</v>
      </c>
      <c r="G123" s="806">
        <f>IFERROR(VLOOKUP($B123,flows!$A$2:$J$2954,G$2,FALSE),0)</f>
        <v>0</v>
      </c>
      <c r="H123" s="806">
        <f>IFERROR(VLOOKUP($B123,flows!$A$2:$J$2954,H$2,FALSE),0)</f>
        <v>0</v>
      </c>
      <c r="I123" s="806">
        <f>IFERROR(VLOOKUP($B123,flows!$A$2:$J$2954,I$2,FALSE),0)</f>
        <v>0</v>
      </c>
      <c r="J123" s="806">
        <f>IFERROR(VLOOKUP($B123,flows!$A$2:$J$2954,J$2,FALSE),0)</f>
        <v>0</v>
      </c>
      <c r="K123" s="806">
        <f>IFERROR(VLOOKUP($B123,flows!$A$2:$J$2954,K$2,FALSE),0)</f>
        <v>0</v>
      </c>
      <c r="L123" s="807">
        <f>IFERROR(VLOOKUP($B123,flows!$A$2:$J$2954,L$2,FALSE),0)</f>
        <v>0</v>
      </c>
      <c r="M123" s="808" t="s">
        <v>3339</v>
      </c>
      <c r="O123" s="609"/>
      <c r="P123" s="610"/>
      <c r="Q123" s="610"/>
      <c r="R123" s="612"/>
      <c r="S123" s="612"/>
      <c r="T123" s="612"/>
      <c r="U123" s="612"/>
      <c r="V123" s="612"/>
      <c r="W123" s="612"/>
      <c r="X123" s="612"/>
      <c r="Y123" s="612"/>
      <c r="Z123" s="613"/>
    </row>
    <row r="124" spans="2:26" ht="20.149999999999999" customHeight="1" x14ac:dyDescent="0.35">
      <c r="B124" s="804" t="s">
        <v>3372</v>
      </c>
      <c r="C124" s="805" t="s">
        <v>3337</v>
      </c>
      <c r="D124" s="805" t="s">
        <v>3338</v>
      </c>
      <c r="E124" s="806">
        <f>IFERROR(VLOOKUP($B124,flows!$A$2:$J$2954,E$2,FALSE),0)</f>
        <v>0</v>
      </c>
      <c r="F124" s="806">
        <f>IFERROR(VLOOKUP($B124,flows!$A$2:$J$2954,F$2,FALSE),0)</f>
        <v>0</v>
      </c>
      <c r="G124" s="806">
        <f>IFERROR(VLOOKUP($B124,flows!$A$2:$J$2954,G$2,FALSE),0)</f>
        <v>0</v>
      </c>
      <c r="H124" s="806">
        <f>IFERROR(VLOOKUP($B124,flows!$A$2:$J$2954,H$2,FALSE),0)</f>
        <v>0</v>
      </c>
      <c r="I124" s="806">
        <f>IFERROR(VLOOKUP($B124,flows!$A$2:$J$2954,I$2,FALSE),0)</f>
        <v>0</v>
      </c>
      <c r="J124" s="806">
        <f>IFERROR(VLOOKUP($B124,flows!$A$2:$J$2954,J$2,FALSE),0)</f>
        <v>0</v>
      </c>
      <c r="K124" s="806">
        <f>IFERROR(VLOOKUP($B124,flows!$A$2:$J$2954,K$2,FALSE),0)</f>
        <v>0</v>
      </c>
      <c r="L124" s="807">
        <f>IFERROR(VLOOKUP($B124,flows!$A$2:$J$2954,L$2,FALSE),0)</f>
        <v>0</v>
      </c>
      <c r="M124" s="808" t="s">
        <v>3339</v>
      </c>
      <c r="O124" s="609"/>
      <c r="P124" s="610"/>
      <c r="Q124" s="610"/>
      <c r="R124" s="611"/>
      <c r="S124" s="611"/>
      <c r="T124" s="611"/>
      <c r="U124" s="611"/>
      <c r="V124" s="611"/>
      <c r="W124" s="611"/>
      <c r="X124" s="611"/>
      <c r="Y124" s="611"/>
      <c r="Z124" s="613"/>
    </row>
    <row r="125" spans="2:26" ht="20.149999999999999" customHeight="1" x14ac:dyDescent="0.35">
      <c r="B125" s="804" t="s">
        <v>3373</v>
      </c>
      <c r="C125" s="805" t="s">
        <v>3337</v>
      </c>
      <c r="D125" s="805" t="s">
        <v>3338</v>
      </c>
      <c r="E125" s="806">
        <f>IFERROR(VLOOKUP($B125,flows!$A$2:$J$2954,E$2,FALSE),0)</f>
        <v>0</v>
      </c>
      <c r="F125" s="806">
        <f>IFERROR(VLOOKUP($B125,flows!$A$2:$J$2954,F$2,FALSE),0)</f>
        <v>0</v>
      </c>
      <c r="G125" s="806">
        <f>IFERROR(VLOOKUP($B125,flows!$A$2:$J$2954,G$2,FALSE),0)</f>
        <v>0</v>
      </c>
      <c r="H125" s="806">
        <f>IFERROR(VLOOKUP($B125,flows!$A$2:$J$2954,H$2,FALSE),0)</f>
        <v>0</v>
      </c>
      <c r="I125" s="806">
        <f>IFERROR(VLOOKUP($B125,flows!$A$2:$J$2954,I$2,FALSE),0)</f>
        <v>0</v>
      </c>
      <c r="J125" s="806">
        <f>IFERROR(VLOOKUP($B125,flows!$A$2:$J$2954,J$2,FALSE),0)</f>
        <v>0</v>
      </c>
      <c r="K125" s="806">
        <f>IFERROR(VLOOKUP($B125,flows!$A$2:$J$2954,K$2,FALSE),0)</f>
        <v>0</v>
      </c>
      <c r="L125" s="807">
        <f>IFERROR(VLOOKUP($B125,flows!$A$2:$J$2954,L$2,FALSE),0)</f>
        <v>0</v>
      </c>
      <c r="M125" s="808" t="s">
        <v>3339</v>
      </c>
      <c r="O125" s="609"/>
      <c r="P125" s="610"/>
      <c r="Q125" s="610"/>
      <c r="R125" s="611"/>
      <c r="S125" s="611"/>
      <c r="T125" s="611"/>
      <c r="U125" s="611"/>
      <c r="V125" s="611"/>
      <c r="W125" s="611"/>
      <c r="X125" s="611"/>
      <c r="Y125" s="611"/>
      <c r="Z125" s="613"/>
    </row>
    <row r="126" spans="2:26" ht="20.149999999999999" customHeight="1" x14ac:dyDescent="0.35">
      <c r="B126" s="804" t="s">
        <v>3374</v>
      </c>
      <c r="C126" s="805" t="s">
        <v>3337</v>
      </c>
      <c r="D126" s="805" t="s">
        <v>3338</v>
      </c>
      <c r="E126" s="806">
        <f>IFERROR(VLOOKUP($B126,flows!$A$2:$J$2954,E$2,FALSE),0)</f>
        <v>0</v>
      </c>
      <c r="F126" s="806">
        <f>IFERROR(VLOOKUP($B126,flows!$A$2:$J$2954,F$2,FALSE),0)</f>
        <v>0</v>
      </c>
      <c r="G126" s="806">
        <f>IFERROR(VLOOKUP($B126,flows!$A$2:$J$2954,G$2,FALSE),0)</f>
        <v>0</v>
      </c>
      <c r="H126" s="806">
        <f>IFERROR(VLOOKUP($B126,flows!$A$2:$J$2954,H$2,FALSE),0)</f>
        <v>0</v>
      </c>
      <c r="I126" s="806">
        <f>IFERROR(VLOOKUP($B126,flows!$A$2:$J$2954,I$2,FALSE),0)</f>
        <v>0</v>
      </c>
      <c r="J126" s="806">
        <f>IFERROR(VLOOKUP($B126,flows!$A$2:$J$2954,J$2,FALSE),0)</f>
        <v>0</v>
      </c>
      <c r="K126" s="806">
        <f>IFERROR(VLOOKUP($B126,flows!$A$2:$J$2954,K$2,FALSE),0)</f>
        <v>0</v>
      </c>
      <c r="L126" s="807">
        <f>IFERROR(VLOOKUP($B126,flows!$A$2:$J$2954,L$2,FALSE),0)</f>
        <v>0</v>
      </c>
      <c r="M126" s="808" t="s">
        <v>3339</v>
      </c>
      <c r="O126" s="609"/>
      <c r="P126" s="610"/>
      <c r="Q126" s="610"/>
      <c r="R126" s="611"/>
      <c r="S126" s="611"/>
      <c r="T126" s="611"/>
      <c r="U126" s="611"/>
      <c r="V126" s="611"/>
      <c r="W126" s="611"/>
      <c r="X126" s="611"/>
      <c r="Y126" s="611"/>
      <c r="Z126" s="613"/>
    </row>
    <row r="127" spans="2:26" ht="20.149999999999999" customHeight="1" x14ac:dyDescent="0.35">
      <c r="B127" s="804" t="s">
        <v>3375</v>
      </c>
      <c r="C127" s="805" t="s">
        <v>3337</v>
      </c>
      <c r="D127" s="805" t="s">
        <v>3338</v>
      </c>
      <c r="E127" s="806">
        <f>IFERROR(VLOOKUP($B127,flows!$A$2:$J$2954,E$2,FALSE),0)</f>
        <v>0</v>
      </c>
      <c r="F127" s="806">
        <f>IFERROR(VLOOKUP($B127,flows!$A$2:$J$2954,F$2,FALSE),0)</f>
        <v>0</v>
      </c>
      <c r="G127" s="806">
        <f>IFERROR(VLOOKUP($B127,flows!$A$2:$J$2954,G$2,FALSE),0)</f>
        <v>0</v>
      </c>
      <c r="H127" s="806">
        <f>IFERROR(VLOOKUP($B127,flows!$A$2:$J$2954,H$2,FALSE),0)</f>
        <v>0</v>
      </c>
      <c r="I127" s="806">
        <f>IFERROR(VLOOKUP($B127,flows!$A$2:$J$2954,I$2,FALSE),0)</f>
        <v>0</v>
      </c>
      <c r="J127" s="806">
        <f>IFERROR(VLOOKUP($B127,flows!$A$2:$J$2954,J$2,FALSE),0)</f>
        <v>0</v>
      </c>
      <c r="K127" s="806">
        <f>IFERROR(VLOOKUP($B127,flows!$A$2:$J$2954,K$2,FALSE),0)</f>
        <v>0</v>
      </c>
      <c r="L127" s="807">
        <f>IFERROR(VLOOKUP($B127,flows!$A$2:$J$2954,L$2,FALSE),0)</f>
        <v>0</v>
      </c>
      <c r="M127" s="808" t="s">
        <v>3339</v>
      </c>
      <c r="O127" s="609"/>
      <c r="P127" s="610"/>
      <c r="Q127" s="610"/>
      <c r="R127" s="611"/>
      <c r="S127" s="611"/>
      <c r="T127" s="611"/>
      <c r="U127" s="611"/>
      <c r="V127" s="611"/>
      <c r="W127" s="611"/>
      <c r="X127" s="611"/>
      <c r="Y127" s="611"/>
      <c r="Z127" s="613"/>
    </row>
    <row r="128" spans="2:26" ht="20.149999999999999" customHeight="1" x14ac:dyDescent="0.35">
      <c r="B128" s="804" t="s">
        <v>3376</v>
      </c>
      <c r="C128" s="805" t="s">
        <v>3337</v>
      </c>
      <c r="D128" s="805" t="s">
        <v>3338</v>
      </c>
      <c r="E128" s="806">
        <f>IFERROR(VLOOKUP($B128,flows!$A$2:$J$2954,E$2,FALSE),0)</f>
        <v>0</v>
      </c>
      <c r="F128" s="806">
        <f>IFERROR(VLOOKUP($B128,flows!$A$2:$J$2954,F$2,FALSE),0)</f>
        <v>0</v>
      </c>
      <c r="G128" s="806">
        <f>IFERROR(VLOOKUP($B128,flows!$A$2:$J$2954,G$2,FALSE),0)</f>
        <v>0</v>
      </c>
      <c r="H128" s="806">
        <f>IFERROR(VLOOKUP($B128,flows!$A$2:$J$2954,H$2,FALSE),0)</f>
        <v>0</v>
      </c>
      <c r="I128" s="806">
        <f>IFERROR(VLOOKUP($B128,flows!$A$2:$J$2954,I$2,FALSE),0)</f>
        <v>0</v>
      </c>
      <c r="J128" s="806">
        <f>IFERROR(VLOOKUP($B128,flows!$A$2:$J$2954,J$2,FALSE),0)</f>
        <v>0</v>
      </c>
      <c r="K128" s="806">
        <f>IFERROR(VLOOKUP($B128,flows!$A$2:$J$2954,K$2,FALSE),0)</f>
        <v>0</v>
      </c>
      <c r="L128" s="807">
        <f>IFERROR(VLOOKUP($B128,flows!$A$2:$J$2954,L$2,FALSE),0)</f>
        <v>0</v>
      </c>
      <c r="M128" s="808" t="s">
        <v>3339</v>
      </c>
      <c r="O128" s="609"/>
      <c r="P128" s="610"/>
      <c r="Q128" s="610"/>
      <c r="R128" s="615"/>
      <c r="S128" s="615"/>
      <c r="T128" s="615"/>
      <c r="U128" s="615"/>
      <c r="V128" s="615"/>
      <c r="W128" s="615"/>
      <c r="X128" s="615"/>
      <c r="Y128" s="615"/>
      <c r="Z128" s="613"/>
    </row>
    <row r="129" spans="2:26" ht="20.149999999999999" customHeight="1" x14ac:dyDescent="0.35">
      <c r="B129" s="804" t="s">
        <v>3377</v>
      </c>
      <c r="C129" s="805" t="s">
        <v>3337</v>
      </c>
      <c r="D129" s="805" t="s">
        <v>3338</v>
      </c>
      <c r="E129" s="806">
        <f>IFERROR(VLOOKUP($B129,flows!$A$2:$J$2954,E$2,FALSE),0)</f>
        <v>0</v>
      </c>
      <c r="F129" s="806">
        <f>IFERROR(VLOOKUP($B129,flows!$A$2:$J$2954,F$2,FALSE),0)</f>
        <v>0</v>
      </c>
      <c r="G129" s="806">
        <f>IFERROR(VLOOKUP($B129,flows!$A$2:$J$2954,G$2,FALSE),0)</f>
        <v>0</v>
      </c>
      <c r="H129" s="806">
        <f>IFERROR(VLOOKUP($B129,flows!$A$2:$J$2954,H$2,FALSE),0)</f>
        <v>0</v>
      </c>
      <c r="I129" s="806">
        <f>IFERROR(VLOOKUP($B129,flows!$A$2:$J$2954,I$2,FALSE),0)</f>
        <v>0</v>
      </c>
      <c r="J129" s="806">
        <f>IFERROR(VLOOKUP($B129,flows!$A$2:$J$2954,J$2,FALSE),0)</f>
        <v>0</v>
      </c>
      <c r="K129" s="806">
        <f>IFERROR(VLOOKUP($B129,flows!$A$2:$J$2954,K$2,FALSE),0)</f>
        <v>0</v>
      </c>
      <c r="L129" s="807">
        <f>IFERROR(VLOOKUP($B129,flows!$A$2:$J$2954,L$2,FALSE),0)</f>
        <v>0</v>
      </c>
      <c r="M129" s="808" t="s">
        <v>3339</v>
      </c>
      <c r="O129" s="607"/>
      <c r="P129" s="607"/>
      <c r="Q129" s="607"/>
      <c r="R129" s="608"/>
      <c r="S129" s="608"/>
      <c r="T129" s="608"/>
      <c r="U129" s="608"/>
      <c r="V129" s="608"/>
      <c r="W129" s="608"/>
      <c r="X129" s="608"/>
      <c r="Y129" s="608"/>
      <c r="Z129" s="607"/>
    </row>
    <row r="130" spans="2:26" ht="20.149999999999999" customHeight="1" x14ac:dyDescent="0.35">
      <c r="B130" s="804" t="s">
        <v>3378</v>
      </c>
      <c r="C130" s="805" t="s">
        <v>3337</v>
      </c>
      <c r="D130" s="805" t="s">
        <v>3338</v>
      </c>
      <c r="E130" s="806">
        <f>IFERROR(VLOOKUP($B130,flows!$A$2:$J$2954,E$2,FALSE),0)</f>
        <v>0</v>
      </c>
      <c r="F130" s="806">
        <f>IFERROR(VLOOKUP($B130,flows!$A$2:$J$2954,F$2,FALSE),0)</f>
        <v>0</v>
      </c>
      <c r="G130" s="806">
        <f>IFERROR(VLOOKUP($B130,flows!$A$2:$J$2954,G$2,FALSE),0)</f>
        <v>0</v>
      </c>
      <c r="H130" s="806">
        <f>IFERROR(VLOOKUP($B130,flows!$A$2:$J$2954,H$2,FALSE),0)</f>
        <v>0</v>
      </c>
      <c r="I130" s="806">
        <f>IFERROR(VLOOKUP($B130,flows!$A$2:$J$2954,I$2,FALSE),0)</f>
        <v>0</v>
      </c>
      <c r="J130" s="806">
        <f>IFERROR(VLOOKUP($B130,flows!$A$2:$J$2954,J$2,FALSE),0)</f>
        <v>0</v>
      </c>
      <c r="K130" s="806">
        <f>IFERROR(VLOOKUP($B130,flows!$A$2:$J$2954,K$2,FALSE),0)</f>
        <v>0</v>
      </c>
      <c r="L130" s="807">
        <f>IFERROR(VLOOKUP($B130,flows!$A$2:$J$2954,L$2,FALSE),0)</f>
        <v>0</v>
      </c>
      <c r="M130" s="808" t="s">
        <v>3339</v>
      </c>
      <c r="O130" s="609"/>
      <c r="P130" s="610"/>
      <c r="Q130" s="610"/>
      <c r="R130" s="611"/>
      <c r="S130" s="612"/>
      <c r="T130" s="612"/>
      <c r="U130" s="612"/>
      <c r="V130" s="612"/>
      <c r="W130" s="612"/>
      <c r="X130" s="612"/>
      <c r="Y130" s="612"/>
      <c r="Z130" s="613"/>
    </row>
    <row r="131" spans="2:26" ht="20.149999999999999" customHeight="1" x14ac:dyDescent="0.35">
      <c r="B131" s="616" t="s">
        <v>3160</v>
      </c>
      <c r="C131" s="628"/>
      <c r="D131" s="628"/>
      <c r="E131" s="572" t="s">
        <v>23</v>
      </c>
      <c r="F131" s="572" t="s">
        <v>1798</v>
      </c>
      <c r="G131" s="572" t="s">
        <v>1799</v>
      </c>
      <c r="H131" s="572" t="s">
        <v>1800</v>
      </c>
      <c r="I131" s="572" t="s">
        <v>1801</v>
      </c>
      <c r="J131" s="572" t="s">
        <v>1802</v>
      </c>
      <c r="K131" s="572" t="s">
        <v>1803</v>
      </c>
      <c r="L131" s="573" t="s">
        <v>1804</v>
      </c>
      <c r="M131" s="618"/>
      <c r="O131" s="609"/>
      <c r="P131" s="610"/>
      <c r="Q131" s="610"/>
      <c r="R131" s="611"/>
      <c r="S131" s="615"/>
      <c r="T131" s="615"/>
      <c r="U131" s="615"/>
      <c r="V131" s="615"/>
      <c r="W131" s="615"/>
      <c r="X131" s="615"/>
      <c r="Y131" s="615"/>
      <c r="Z131" s="613"/>
    </row>
    <row r="132" spans="2:26" ht="20.149999999999999" customHeight="1" x14ac:dyDescent="0.35">
      <c r="B132" s="809" t="s">
        <v>3379</v>
      </c>
      <c r="C132" s="810" t="s">
        <v>3380</v>
      </c>
      <c r="D132" s="810" t="s">
        <v>3381</v>
      </c>
      <c r="E132" s="811">
        <f>IFERROR(VLOOKUP($B132,flows!$A$2:$J$2954,E$2,FALSE),0)</f>
        <v>2.2352659632514739E-2</v>
      </c>
      <c r="F132" s="811">
        <f>IFERROR(VLOOKUP($B132,flows!$A$2:$J$2954,F$2,FALSE),0)</f>
        <v>197.33060113178539</v>
      </c>
      <c r="G132" s="811">
        <f>IFERROR(VLOOKUP($B132,flows!$A$2:$J$2954,G$2,FALSE),0)</f>
        <v>5.9686527863449461</v>
      </c>
      <c r="H132" s="811">
        <f>IFERROR(VLOOKUP($B132,flows!$A$2:$J$2954,H$2,FALSE),0)</f>
        <v>2.5207788654048442</v>
      </c>
      <c r="I132" s="811">
        <f>IFERROR(VLOOKUP($B132,flows!$A$2:$J$2954,I$2,FALSE),0)</f>
        <v>1.7918263726209669E-2</v>
      </c>
      <c r="J132" s="811">
        <f>IFERROR(VLOOKUP($B132,flows!$A$2:$J$2954,J$2,FALSE),0)</f>
        <v>4.1512771670388911E-4</v>
      </c>
      <c r="K132" s="811">
        <f>IFERROR(VLOOKUP($B132,flows!$A$2:$J$2954,K$2,FALSE),0)</f>
        <v>6.3594086128678735E-5</v>
      </c>
      <c r="L132" s="812">
        <f>IFERROR(VLOOKUP($B132,flows!$A$2:$J$2954,L$2,FALSE),0)</f>
        <v>0</v>
      </c>
      <c r="M132" s="813" t="s">
        <v>3339</v>
      </c>
      <c r="O132" s="609"/>
      <c r="P132" s="610"/>
      <c r="Q132" s="610"/>
      <c r="R132" s="612"/>
      <c r="S132" s="612"/>
      <c r="T132" s="612"/>
      <c r="U132" s="612"/>
      <c r="V132" s="612"/>
      <c r="W132" s="612"/>
      <c r="X132" s="612"/>
      <c r="Y132" s="612"/>
      <c r="Z132" s="613"/>
    </row>
    <row r="133" spans="2:26" ht="20.149999999999999" customHeight="1" x14ac:dyDescent="0.35">
      <c r="B133" s="809" t="s">
        <v>3382</v>
      </c>
      <c r="C133" s="810" t="s">
        <v>3380</v>
      </c>
      <c r="D133" s="810" t="s">
        <v>3381</v>
      </c>
      <c r="E133" s="811">
        <f>IFERROR(VLOOKUP($B133,flows!$A$2:$J$2954,E$2,FALSE),0)</f>
        <v>1.2942487010141779E-3</v>
      </c>
      <c r="F133" s="811">
        <f>IFERROR(VLOOKUP($B133,flows!$A$2:$J$2954,F$2,FALSE),0)</f>
        <v>307.03767966166828</v>
      </c>
      <c r="G133" s="811">
        <f>IFERROR(VLOOKUP($B133,flows!$A$2:$J$2954,G$2,FALSE),0)</f>
        <v>181.59434189065979</v>
      </c>
      <c r="H133" s="811">
        <f>IFERROR(VLOOKUP($B133,flows!$A$2:$J$2954,H$2,FALSE),0)</f>
        <v>42.17978970666681</v>
      </c>
      <c r="I133" s="811">
        <f>IFERROR(VLOOKUP($B133,flows!$A$2:$J$2954,I$2,FALSE),0)</f>
        <v>0.56756395183018449</v>
      </c>
      <c r="J133" s="811">
        <f>IFERROR(VLOOKUP($B133,flows!$A$2:$J$2954,J$2,FALSE),0)</f>
        <v>4.2086671105276741E-5</v>
      </c>
      <c r="K133" s="811">
        <f>IFERROR(VLOOKUP($B133,flows!$A$2:$J$2954,K$2,FALSE),0)</f>
        <v>3.8082866642926901E-6</v>
      </c>
      <c r="L133" s="812">
        <f>IFERROR(VLOOKUP($B133,flows!$A$2:$J$2954,L$2,FALSE),0)</f>
        <v>0</v>
      </c>
      <c r="M133" s="813" t="s">
        <v>3339</v>
      </c>
      <c r="O133" s="609"/>
      <c r="P133" s="610"/>
      <c r="Q133" s="610"/>
      <c r="R133" s="612"/>
      <c r="S133" s="612"/>
      <c r="T133" s="612"/>
      <c r="U133" s="612"/>
      <c r="V133" s="612"/>
      <c r="W133" s="612"/>
      <c r="X133" s="612"/>
      <c r="Y133" s="612"/>
      <c r="Z133" s="613"/>
    </row>
    <row r="134" spans="2:26" ht="20.149999999999999" customHeight="1" x14ac:dyDescent="0.35">
      <c r="B134" s="809" t="s">
        <v>3383</v>
      </c>
      <c r="C134" s="810" t="s">
        <v>3380</v>
      </c>
      <c r="D134" s="810" t="s">
        <v>3381</v>
      </c>
      <c r="E134" s="811">
        <f>IFERROR(VLOOKUP($B134,flows!$A$2:$J$2954,E$2,FALSE),0)</f>
        <v>3.6709753473870323E-4</v>
      </c>
      <c r="F134" s="811">
        <f>IFERROR(VLOOKUP($B134,flows!$A$2:$J$2954,F$2,FALSE),0)</f>
        <v>34.13647525443735</v>
      </c>
      <c r="G134" s="811">
        <f>IFERROR(VLOOKUP($B134,flows!$A$2:$J$2954,G$2,FALSE),0)</f>
        <v>2.978852127031455</v>
      </c>
      <c r="H134" s="811">
        <f>IFERROR(VLOOKUP($B134,flows!$A$2:$J$2954,H$2,FALSE),0)</f>
        <v>1.0292524596189599E-3</v>
      </c>
      <c r="I134" s="811">
        <f>IFERROR(VLOOKUP($B134,flows!$A$2:$J$2954,I$2,FALSE),0)</f>
        <v>3.3317656886736553E-2</v>
      </c>
      <c r="J134" s="811">
        <f>IFERROR(VLOOKUP($B134,flows!$A$2:$J$2954,J$2,FALSE),0)</f>
        <v>1.7939539807177309E-5</v>
      </c>
      <c r="K134" s="811">
        <f>IFERROR(VLOOKUP($B134,flows!$A$2:$J$2954,K$2,FALSE),0)</f>
        <v>1.228117773189554E-6</v>
      </c>
      <c r="L134" s="812">
        <f>IFERROR(VLOOKUP($B134,flows!$A$2:$J$2954,L$2,FALSE),0)</f>
        <v>0</v>
      </c>
      <c r="M134" s="813" t="s">
        <v>3339</v>
      </c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</row>
    <row r="135" spans="2:26" ht="20.149999999999999" customHeight="1" x14ac:dyDescent="0.35">
      <c r="B135" s="809" t="s">
        <v>3384</v>
      </c>
      <c r="C135" s="810" t="s">
        <v>3380</v>
      </c>
      <c r="D135" s="810" t="s">
        <v>3381</v>
      </c>
      <c r="E135" s="811">
        <f>IFERROR(VLOOKUP($B135,flows!$A$2:$J$2954,E$2,FALSE),0)</f>
        <v>3.594343354130918E-3</v>
      </c>
      <c r="F135" s="811">
        <f>IFERROR(VLOOKUP($B135,flows!$A$2:$J$2954,F$2,FALSE),0)</f>
        <v>50.65530129580516</v>
      </c>
      <c r="G135" s="811">
        <f>IFERROR(VLOOKUP($B135,flows!$A$2:$J$2954,G$2,FALSE),0)</f>
        <v>19.25851111690713</v>
      </c>
      <c r="H135" s="811">
        <f>IFERROR(VLOOKUP($B135,flows!$A$2:$J$2954,H$2,FALSE),0)</f>
        <v>0.70570979332239969</v>
      </c>
      <c r="I135" s="811">
        <f>IFERROR(VLOOKUP($B135,flows!$A$2:$J$2954,I$2,FALSE),0)</f>
        <v>0.23317972872636031</v>
      </c>
      <c r="J135" s="811">
        <f>IFERROR(VLOOKUP($B135,flows!$A$2:$J$2954,J$2,FALSE),0)</f>
        <v>1.360399840765081E-4</v>
      </c>
      <c r="K135" s="811">
        <f>IFERROR(VLOOKUP($B135,flows!$A$2:$J$2954,K$2,FALSE),0)</f>
        <v>1.056510702233012E-5</v>
      </c>
      <c r="L135" s="812">
        <f>IFERROR(VLOOKUP($B135,flows!$A$2:$J$2954,L$2,FALSE),0)</f>
        <v>0</v>
      </c>
      <c r="M135" s="813" t="s">
        <v>3339</v>
      </c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</row>
    <row r="136" spans="2:26" ht="20.149999999999999" customHeight="1" x14ac:dyDescent="0.35">
      <c r="B136" s="809" t="s">
        <v>3385</v>
      </c>
      <c r="C136" s="810" t="s">
        <v>3380</v>
      </c>
      <c r="D136" s="810" t="s">
        <v>3381</v>
      </c>
      <c r="E136" s="811">
        <f>IFERROR(VLOOKUP($B136,flows!$A$2:$J$2954,E$2,FALSE),0)</f>
        <v>1.314848051648432E-3</v>
      </c>
      <c r="F136" s="811">
        <f>IFERROR(VLOOKUP($B136,flows!$A$2:$J$2954,F$2,FALSE),0)</f>
        <v>0</v>
      </c>
      <c r="G136" s="811">
        <f>IFERROR(VLOOKUP($B136,flows!$A$2:$J$2954,G$2,FALSE),0)</f>
        <v>0.89935061107572012</v>
      </c>
      <c r="H136" s="811">
        <f>IFERROR(VLOOKUP($B136,flows!$A$2:$J$2954,H$2,FALSE),0)</f>
        <v>8.7697346692925738E-4</v>
      </c>
      <c r="I136" s="811">
        <f>IFERROR(VLOOKUP($B136,flows!$A$2:$J$2954,I$2,FALSE),0)</f>
        <v>3.3590150126020191E-4</v>
      </c>
      <c r="J136" s="811">
        <f>IFERROR(VLOOKUP($B136,flows!$A$2:$J$2954,J$2,FALSE),0)</f>
        <v>4.0533437056323783E-5</v>
      </c>
      <c r="K136" s="811">
        <f>IFERROR(VLOOKUP($B136,flows!$A$2:$J$2954,K$2,FALSE),0)</f>
        <v>3.8781488066222164E-6</v>
      </c>
      <c r="L136" s="812">
        <f>IFERROR(VLOOKUP($B136,flows!$A$2:$J$2954,L$2,FALSE),0)</f>
        <v>0</v>
      </c>
      <c r="M136" s="813" t="s">
        <v>3339</v>
      </c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</row>
    <row r="137" spans="2:26" ht="20.149999999999999" customHeight="1" x14ac:dyDescent="0.35">
      <c r="B137" s="809" t="s">
        <v>3386</v>
      </c>
      <c r="C137" s="810" t="s">
        <v>3380</v>
      </c>
      <c r="D137" s="810" t="s">
        <v>3381</v>
      </c>
      <c r="E137" s="811">
        <f>IFERROR(VLOOKUP($B137,flows!$A$2:$J$2954,E$2,FALSE),0)</f>
        <v>2.6741052501713472E-3</v>
      </c>
      <c r="F137" s="811">
        <f>IFERROR(VLOOKUP($B137,flows!$A$2:$J$2954,F$2,FALSE),0)</f>
        <v>0</v>
      </c>
      <c r="G137" s="811">
        <f>IFERROR(VLOOKUP($B137,flows!$A$2:$J$2954,G$2,FALSE),0)</f>
        <v>0.2052173251289712</v>
      </c>
      <c r="H137" s="811">
        <f>IFERROR(VLOOKUP($B137,flows!$A$2:$J$2954,H$2,FALSE),0)</f>
        <v>4.3712327586534037E-4</v>
      </c>
      <c r="I137" s="811">
        <f>IFERROR(VLOOKUP($B137,flows!$A$2:$J$2954,I$2,FALSE),0)</f>
        <v>3.6178727101602247E-4</v>
      </c>
      <c r="J137" s="811">
        <f>IFERROR(VLOOKUP($B137,flows!$A$2:$J$2954,J$2,FALSE),0)</f>
        <v>3.3450679919196743E-5</v>
      </c>
      <c r="K137" s="811">
        <f>IFERROR(VLOOKUP($B137,flows!$A$2:$J$2954,K$2,FALSE),0)</f>
        <v>7.7168162641036202E-6</v>
      </c>
      <c r="L137" s="812">
        <f>IFERROR(VLOOKUP($B137,flows!$A$2:$J$2954,L$2,FALSE),0)</f>
        <v>0</v>
      </c>
      <c r="M137" s="813" t="s">
        <v>3339</v>
      </c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</row>
    <row r="138" spans="2:26" ht="20.149999999999999" customHeight="1" x14ac:dyDescent="0.35">
      <c r="B138" s="809" t="s">
        <v>3387</v>
      </c>
      <c r="C138" s="810" t="s">
        <v>3380</v>
      </c>
      <c r="D138" s="810" t="s">
        <v>3381</v>
      </c>
      <c r="E138" s="811">
        <f>IFERROR(VLOOKUP($B138,flows!$A$2:$J$2954,E$2,FALSE),0)</f>
        <v>0</v>
      </c>
      <c r="F138" s="811">
        <f>IFERROR(VLOOKUP($B138,flows!$A$2:$J$2954,F$2,FALSE),0)</f>
        <v>0</v>
      </c>
      <c r="G138" s="811">
        <f>IFERROR(VLOOKUP($B138,flows!$A$2:$J$2954,G$2,FALSE),0)</f>
        <v>0</v>
      </c>
      <c r="H138" s="811">
        <f>IFERROR(VLOOKUP($B138,flows!$A$2:$J$2954,H$2,FALSE),0)</f>
        <v>0</v>
      </c>
      <c r="I138" s="811">
        <f>IFERROR(VLOOKUP($B138,flows!$A$2:$J$2954,I$2,FALSE),0)</f>
        <v>0</v>
      </c>
      <c r="J138" s="811">
        <f>IFERROR(VLOOKUP($B138,flows!$A$2:$J$2954,J$2,FALSE),0)</f>
        <v>0</v>
      </c>
      <c r="K138" s="811">
        <f>IFERROR(VLOOKUP($B138,flows!$A$2:$J$2954,K$2,FALSE),0)</f>
        <v>0</v>
      </c>
      <c r="L138" s="812">
        <f>IFERROR(VLOOKUP($B138,flows!$A$2:$J$2954,L$2,FALSE),0)</f>
        <v>0</v>
      </c>
      <c r="M138" s="813" t="s">
        <v>3339</v>
      </c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</row>
    <row r="139" spans="2:26" ht="20.149999999999999" customHeight="1" x14ac:dyDescent="0.35">
      <c r="B139" s="809" t="s">
        <v>3388</v>
      </c>
      <c r="C139" s="810" t="s">
        <v>3380</v>
      </c>
      <c r="D139" s="810" t="s">
        <v>3381</v>
      </c>
      <c r="E139" s="811">
        <f>IFERROR(VLOOKUP($B139,flows!$A$2:$J$2954,E$2,FALSE),0)</f>
        <v>5097.6396006882114</v>
      </c>
      <c r="F139" s="811">
        <f>IFERROR(VLOOKUP($B139,flows!$A$2:$J$2954,F$2,FALSE),0)</f>
        <v>0</v>
      </c>
      <c r="G139" s="811">
        <f>IFERROR(VLOOKUP($B139,flows!$A$2:$J$2954,G$2,FALSE),0)</f>
        <v>13.542099597886709</v>
      </c>
      <c r="H139" s="811">
        <f>IFERROR(VLOOKUP($B139,flows!$A$2:$J$2954,H$2,FALSE),0)</f>
        <v>172.65203796715949</v>
      </c>
      <c r="I139" s="811">
        <f>IFERROR(VLOOKUP($B139,flows!$A$2:$J$2954,I$2,FALSE),0)</f>
        <v>696.15786387767253</v>
      </c>
      <c r="J139" s="811">
        <f>IFERROR(VLOOKUP($B139,flows!$A$2:$J$2954,J$2,FALSE),0)</f>
        <v>2041.987410992291</v>
      </c>
      <c r="K139" s="811">
        <f>IFERROR(VLOOKUP($B139,flows!$A$2:$J$2954,K$2,FALSE),0)</f>
        <v>5097.319957146974</v>
      </c>
      <c r="L139" s="812">
        <f>IFERROR(VLOOKUP($B139,flows!$A$2:$J$2954,L$2,FALSE),0)</f>
        <v>0</v>
      </c>
      <c r="M139" s="813" t="s">
        <v>3339</v>
      </c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</row>
    <row r="140" spans="2:26" ht="20.149999999999999" customHeight="1" x14ac:dyDescent="0.35">
      <c r="B140" s="809" t="s">
        <v>3389</v>
      </c>
      <c r="C140" s="810" t="s">
        <v>3380</v>
      </c>
      <c r="D140" s="810" t="s">
        <v>3381</v>
      </c>
      <c r="E140" s="811">
        <f>IFERROR(VLOOKUP($B140,flows!$A$2:$J$2954,E$2,FALSE),0)</f>
        <v>3.6831853896215671E-3</v>
      </c>
      <c r="F140" s="811">
        <f>IFERROR(VLOOKUP($B140,flows!$A$2:$J$2954,F$2,FALSE),0)</f>
        <v>0</v>
      </c>
      <c r="G140" s="811">
        <f>IFERROR(VLOOKUP($B140,flows!$A$2:$J$2954,G$2,FALSE),0)</f>
        <v>53.252522047919882</v>
      </c>
      <c r="H140" s="811">
        <f>IFERROR(VLOOKUP($B140,flows!$A$2:$J$2954,H$2,FALSE),0)</f>
        <v>94.882869752010933</v>
      </c>
      <c r="I140" s="811">
        <f>IFERROR(VLOOKUP($B140,flows!$A$2:$J$2954,I$2,FALSE),0)</f>
        <v>102.86205263811939</v>
      </c>
      <c r="J140" s="811">
        <f>IFERROR(VLOOKUP($B140,flows!$A$2:$J$2954,J$2,FALSE),0)</f>
        <v>49.270987354094167</v>
      </c>
      <c r="K140" s="811">
        <f>IFERROR(VLOOKUP($B140,flows!$A$2:$J$2954,K$2,FALSE),0)</f>
        <v>2.1904242739056139E-5</v>
      </c>
      <c r="L140" s="812">
        <f>IFERROR(VLOOKUP($B140,flows!$A$2:$J$2954,L$2,FALSE),0)</f>
        <v>0</v>
      </c>
      <c r="M140" s="813" t="s">
        <v>3339</v>
      </c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</row>
    <row r="141" spans="2:26" ht="20.149999999999999" customHeight="1" x14ac:dyDescent="0.35">
      <c r="B141" s="809" t="s">
        <v>3390</v>
      </c>
      <c r="C141" s="810" t="s">
        <v>3380</v>
      </c>
      <c r="D141" s="810" t="s">
        <v>3381</v>
      </c>
      <c r="E141" s="811">
        <f>IFERROR(VLOOKUP($B141,flows!$A$2:$J$2954,E$2,FALSE),0)</f>
        <v>4.4925782239126891E-4</v>
      </c>
      <c r="F141" s="811">
        <f>IFERROR(VLOOKUP($B141,flows!$A$2:$J$2954,F$2,FALSE),0)</f>
        <v>0</v>
      </c>
      <c r="G141" s="811">
        <f>IFERROR(VLOOKUP($B141,flows!$A$2:$J$2954,G$2,FALSE),0)</f>
        <v>1.0538020590695549</v>
      </c>
      <c r="H141" s="811">
        <f>IFERROR(VLOOKUP($B141,flows!$A$2:$J$2954,H$2,FALSE),0)</f>
        <v>6.2327118042866236E-4</v>
      </c>
      <c r="I141" s="811">
        <f>IFERROR(VLOOKUP($B141,flows!$A$2:$J$2954,I$2,FALSE),0)</f>
        <v>2.700632454232687E-4</v>
      </c>
      <c r="J141" s="811">
        <f>IFERROR(VLOOKUP($B141,flows!$A$2:$J$2954,J$2,FALSE),0)</f>
        <v>2.7327565120391361E-5</v>
      </c>
      <c r="K141" s="811">
        <f>IFERROR(VLOOKUP($B141,flows!$A$2:$J$2954,K$2,FALSE),0)</f>
        <v>1.492398558810397E-6</v>
      </c>
      <c r="L141" s="812">
        <f>IFERROR(VLOOKUP($B141,flows!$A$2:$J$2954,L$2,FALSE),0)</f>
        <v>0</v>
      </c>
      <c r="M141" s="813" t="s">
        <v>3339</v>
      </c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</row>
    <row r="142" spans="2:26" ht="20.149999999999999" customHeight="1" x14ac:dyDescent="0.35">
      <c r="B142" s="809" t="s">
        <v>3391</v>
      </c>
      <c r="C142" s="810" t="s">
        <v>3380</v>
      </c>
      <c r="D142" s="810" t="s">
        <v>3381</v>
      </c>
      <c r="E142" s="811">
        <f>IFERROR(VLOOKUP($B142,flows!$A$2:$J$2954,E$2,FALSE),0)</f>
        <v>0</v>
      </c>
      <c r="F142" s="811">
        <f>IFERROR(VLOOKUP($B142,flows!$A$2:$J$2954,F$2,FALSE),0)</f>
        <v>0</v>
      </c>
      <c r="G142" s="811">
        <f>IFERROR(VLOOKUP($B142,flows!$A$2:$J$2954,G$2,FALSE),0)</f>
        <v>0</v>
      </c>
      <c r="H142" s="811">
        <f>IFERROR(VLOOKUP($B142,flows!$A$2:$J$2954,H$2,FALSE),0)</f>
        <v>0</v>
      </c>
      <c r="I142" s="811">
        <f>IFERROR(VLOOKUP($B142,flows!$A$2:$J$2954,I$2,FALSE),0)</f>
        <v>0</v>
      </c>
      <c r="J142" s="811">
        <f>IFERROR(VLOOKUP($B142,flows!$A$2:$J$2954,J$2,FALSE),0)</f>
        <v>0</v>
      </c>
      <c r="K142" s="811">
        <f>IFERROR(VLOOKUP($B142,flows!$A$2:$J$2954,K$2,FALSE),0)</f>
        <v>0</v>
      </c>
      <c r="L142" s="812">
        <f>IFERROR(VLOOKUP($B142,flows!$A$2:$J$2954,L$2,FALSE),0)</f>
        <v>0</v>
      </c>
      <c r="M142" s="813" t="s">
        <v>3339</v>
      </c>
      <c r="O142" s="607"/>
      <c r="P142" s="607"/>
      <c r="Q142" s="607"/>
      <c r="R142" s="608"/>
      <c r="S142" s="608"/>
      <c r="T142" s="608"/>
      <c r="U142" s="608"/>
      <c r="V142" s="608"/>
      <c r="W142" s="608"/>
      <c r="X142" s="608"/>
      <c r="Y142" s="608"/>
      <c r="Z142" s="607"/>
    </row>
    <row r="143" spans="2:26" ht="20.149999999999999" customHeight="1" x14ac:dyDescent="0.35">
      <c r="B143" s="809" t="s">
        <v>3392</v>
      </c>
      <c r="C143" s="810" t="s">
        <v>3380</v>
      </c>
      <c r="D143" s="810" t="s">
        <v>3381</v>
      </c>
      <c r="E143" s="811">
        <f>IFERROR(VLOOKUP($B143,flows!$A$2:$J$2954,E$2,FALSE),0)</f>
        <v>3.842193334705462E-3</v>
      </c>
      <c r="F143" s="811">
        <f>IFERROR(VLOOKUP($B143,flows!$A$2:$J$2954,F$2,FALSE),0)</f>
        <v>0</v>
      </c>
      <c r="G143" s="811">
        <f>IFERROR(VLOOKUP($B143,flows!$A$2:$J$2954,G$2,FALSE),0)</f>
        <v>23.103551453514442</v>
      </c>
      <c r="H143" s="811">
        <f>IFERROR(VLOOKUP($B143,flows!$A$2:$J$2954,H$2,FALSE),0)</f>
        <v>23.60557471808853</v>
      </c>
      <c r="I143" s="811">
        <f>IFERROR(VLOOKUP($B143,flows!$A$2:$J$2954,I$2,FALSE),0)</f>
        <v>23.600274069792679</v>
      </c>
      <c r="J143" s="811">
        <f>IFERROR(VLOOKUP($B143,flows!$A$2:$J$2954,J$2,FALSE),0)</f>
        <v>1.8283778966756591E-4</v>
      </c>
      <c r="K143" s="811">
        <f>IFERROR(VLOOKUP($B143,flows!$A$2:$J$2954,K$2,FALSE),0)</f>
        <v>8.8739136496065337E-6</v>
      </c>
      <c r="L143" s="812">
        <f>IFERROR(VLOOKUP($B143,flows!$A$2:$J$2954,L$2,FALSE),0)</f>
        <v>0</v>
      </c>
      <c r="M143" s="813" t="s">
        <v>3339</v>
      </c>
      <c r="O143" s="609"/>
      <c r="P143" s="610"/>
      <c r="Q143" s="610"/>
      <c r="R143" s="611"/>
      <c r="S143" s="612"/>
      <c r="T143" s="612"/>
      <c r="U143" s="612"/>
      <c r="V143" s="612"/>
      <c r="W143" s="612"/>
      <c r="X143" s="612"/>
      <c r="Y143" s="612"/>
      <c r="Z143" s="613"/>
    </row>
    <row r="144" spans="2:26" ht="20.149999999999999" customHeight="1" x14ac:dyDescent="0.35">
      <c r="B144" s="809" t="s">
        <v>3393</v>
      </c>
      <c r="C144" s="810" t="s">
        <v>3380</v>
      </c>
      <c r="D144" s="810" t="s">
        <v>3381</v>
      </c>
      <c r="E144" s="811">
        <f>IFERROR(VLOOKUP($B144,flows!$A$2:$J$2954,E$2,FALSE),0)</f>
        <v>9.426284199738488E-3</v>
      </c>
      <c r="F144" s="811">
        <f>IFERROR(VLOOKUP($B144,flows!$A$2:$J$2954,F$2,FALSE),0)</f>
        <v>0</v>
      </c>
      <c r="G144" s="811">
        <f>IFERROR(VLOOKUP($B144,flows!$A$2:$J$2954,G$2,FALSE),0)</f>
        <v>0.23431004309655901</v>
      </c>
      <c r="H144" s="811">
        <f>IFERROR(VLOOKUP($B144,flows!$A$2:$J$2954,H$2,FALSE),0)</f>
        <v>5.6420931375322206E-4</v>
      </c>
      <c r="I144" s="811">
        <f>IFERROR(VLOOKUP($B144,flows!$A$2:$J$2954,I$2,FALSE),0)</f>
        <v>7.3038814135386806E-4</v>
      </c>
      <c r="J144" s="811">
        <f>IFERROR(VLOOKUP($B144,flows!$A$2:$J$2954,J$2,FALSE),0)</f>
        <v>4.9864696398364501E-5</v>
      </c>
      <c r="K144" s="811">
        <f>IFERROR(VLOOKUP($B144,flows!$A$2:$J$2954,K$2,FALSE),0)</f>
        <v>2.235295003192161E-5</v>
      </c>
      <c r="L144" s="812">
        <f>IFERROR(VLOOKUP($B144,flows!$A$2:$J$2954,L$2,FALSE),0)</f>
        <v>0</v>
      </c>
      <c r="M144" s="813" t="s">
        <v>3339</v>
      </c>
      <c r="O144" s="609"/>
      <c r="P144" s="610"/>
      <c r="Q144" s="610"/>
      <c r="R144" s="614"/>
      <c r="S144" s="615"/>
      <c r="T144" s="615"/>
      <c r="U144" s="615"/>
      <c r="V144" s="615"/>
      <c r="W144" s="615"/>
      <c r="X144" s="615"/>
      <c r="Y144" s="615"/>
      <c r="Z144" s="613"/>
    </row>
    <row r="145" spans="2:26" ht="20.149999999999999" customHeight="1" x14ac:dyDescent="0.35">
      <c r="B145" s="809" t="s">
        <v>3394</v>
      </c>
      <c r="C145" s="810" t="s">
        <v>3380</v>
      </c>
      <c r="D145" s="810" t="s">
        <v>3381</v>
      </c>
      <c r="E145" s="811">
        <f>IFERROR(VLOOKUP($B145,flows!$A$2:$J$2954,E$2,FALSE),0)</f>
        <v>0</v>
      </c>
      <c r="F145" s="811">
        <f>IFERROR(VLOOKUP($B145,flows!$A$2:$J$2954,F$2,FALSE),0)</f>
        <v>0</v>
      </c>
      <c r="G145" s="811">
        <f>IFERROR(VLOOKUP($B145,flows!$A$2:$J$2954,G$2,FALSE),0)</f>
        <v>0</v>
      </c>
      <c r="H145" s="811">
        <f>IFERROR(VLOOKUP($B145,flows!$A$2:$J$2954,H$2,FALSE),0)</f>
        <v>0</v>
      </c>
      <c r="I145" s="811">
        <f>IFERROR(VLOOKUP($B145,flows!$A$2:$J$2954,I$2,FALSE),0)</f>
        <v>0</v>
      </c>
      <c r="J145" s="811">
        <f>IFERROR(VLOOKUP($B145,flows!$A$2:$J$2954,J$2,FALSE),0)</f>
        <v>0</v>
      </c>
      <c r="K145" s="811">
        <f>IFERROR(VLOOKUP($B145,flows!$A$2:$J$2954,K$2,FALSE),0)</f>
        <v>0</v>
      </c>
      <c r="L145" s="812">
        <f>IFERROR(VLOOKUP($B145,flows!$A$2:$J$2954,L$2,FALSE),0)</f>
        <v>0</v>
      </c>
      <c r="M145" s="813" t="s">
        <v>3339</v>
      </c>
      <c r="O145" s="609"/>
      <c r="P145" s="610"/>
      <c r="Q145" s="610"/>
      <c r="R145" s="612"/>
      <c r="S145" s="612"/>
      <c r="T145" s="612"/>
      <c r="U145" s="612"/>
      <c r="V145" s="612"/>
      <c r="W145" s="612"/>
      <c r="X145" s="612"/>
      <c r="Y145" s="612"/>
      <c r="Z145" s="613"/>
    </row>
    <row r="146" spans="2:26" ht="20.149999999999999" customHeight="1" x14ac:dyDescent="0.35">
      <c r="B146" s="616" t="s">
        <v>3239</v>
      </c>
      <c r="C146" s="617"/>
      <c r="D146" s="617"/>
      <c r="E146" s="572" t="s">
        <v>23</v>
      </c>
      <c r="F146" s="572" t="s">
        <v>1798</v>
      </c>
      <c r="G146" s="572" t="s">
        <v>1799</v>
      </c>
      <c r="H146" s="572" t="s">
        <v>1800</v>
      </c>
      <c r="I146" s="572" t="s">
        <v>1801</v>
      </c>
      <c r="J146" s="572" t="s">
        <v>1802</v>
      </c>
      <c r="K146" s="572" t="s">
        <v>1803</v>
      </c>
      <c r="L146" s="573" t="s">
        <v>1804</v>
      </c>
      <c r="M146" s="618"/>
      <c r="O146" s="609"/>
      <c r="P146" s="610"/>
      <c r="Q146" s="610"/>
      <c r="R146" s="615"/>
      <c r="S146" s="615"/>
      <c r="T146" s="615"/>
      <c r="U146" s="615"/>
      <c r="V146" s="615"/>
      <c r="W146" s="615"/>
      <c r="X146" s="615"/>
      <c r="Y146" s="615"/>
      <c r="Z146" s="613"/>
    </row>
    <row r="147" spans="2:26" ht="20.149999999999999" customHeight="1" x14ac:dyDescent="0.35">
      <c r="B147" s="809" t="s">
        <v>3395</v>
      </c>
      <c r="C147" s="810" t="s">
        <v>3380</v>
      </c>
      <c r="D147" s="810" t="s">
        <v>3381</v>
      </c>
      <c r="E147" s="811">
        <f>IFERROR(VLOOKUP($B147,flows!$A$2:$J$2954,E$2,FALSE),0)</f>
        <v>2713.2315910440748</v>
      </c>
      <c r="F147" s="811">
        <f>IFERROR(VLOOKUP($B147,flows!$A$2:$J$2954,F$2,FALSE),0)</f>
        <v>0</v>
      </c>
      <c r="G147" s="811">
        <f>IFERROR(VLOOKUP($B147,flows!$A$2:$J$2954,G$2,FALSE),0)</f>
        <v>8.636362787853832</v>
      </c>
      <c r="H147" s="811">
        <f>IFERROR(VLOOKUP($B147,flows!$A$2:$J$2954,H$2,FALSE),0)</f>
        <v>173.55436642916081</v>
      </c>
      <c r="I147" s="811">
        <f>IFERROR(VLOOKUP($B147,flows!$A$2:$J$2954,I$2,FALSE),0)</f>
        <v>449.61402705806807</v>
      </c>
      <c r="J147" s="811">
        <f>IFERROR(VLOOKUP($B147,flows!$A$2:$J$2954,J$2,FALSE),0)</f>
        <v>1086.9860549887139</v>
      </c>
      <c r="K147" s="811">
        <f>IFERROR(VLOOKUP($B147,flows!$A$2:$J$2954,K$2,FALSE),0)</f>
        <v>2713.3563287267898</v>
      </c>
      <c r="L147" s="812">
        <f>IFERROR(VLOOKUP($B147,flows!$A$2:$J$2954,L$2,FALSE),0)</f>
        <v>0</v>
      </c>
      <c r="M147" s="813" t="s">
        <v>3339</v>
      </c>
      <c r="O147" s="609"/>
      <c r="P147" s="610"/>
      <c r="Q147" s="610"/>
      <c r="R147" s="615"/>
      <c r="S147" s="615"/>
      <c r="T147" s="615"/>
      <c r="U147" s="615"/>
      <c r="V147" s="615"/>
      <c r="W147" s="615"/>
      <c r="X147" s="615"/>
      <c r="Y147" s="615"/>
      <c r="Z147" s="613"/>
    </row>
    <row r="148" spans="2:26" ht="20.149999999999999" customHeight="1" x14ac:dyDescent="0.35">
      <c r="B148" s="809" t="s">
        <v>3396</v>
      </c>
      <c r="C148" s="810" t="s">
        <v>3380</v>
      </c>
      <c r="D148" s="810" t="s">
        <v>3381</v>
      </c>
      <c r="E148" s="811">
        <f>IFERROR(VLOOKUP($B148,flows!$A$2:$J$2954,E$2,FALSE),0)</f>
        <v>2.34271759879242E-3</v>
      </c>
      <c r="F148" s="811">
        <f>IFERROR(VLOOKUP($B148,flows!$A$2:$J$2954,F$2,FALSE),0)</f>
        <v>163.6819930132508</v>
      </c>
      <c r="G148" s="811">
        <f>IFERROR(VLOOKUP($B148,flows!$A$2:$J$2954,G$2,FALSE),0)</f>
        <v>174.80805975474081</v>
      </c>
      <c r="H148" s="811">
        <f>IFERROR(VLOOKUP($B148,flows!$A$2:$J$2954,H$2,FALSE),0)</f>
        <v>124.8616114699588</v>
      </c>
      <c r="I148" s="811">
        <f>IFERROR(VLOOKUP($B148,flows!$A$2:$J$2954,I$2,FALSE),0)</f>
        <v>100.9402927073421</v>
      </c>
      <c r="J148" s="811">
        <f>IFERROR(VLOOKUP($B148,flows!$A$2:$J$2954,J$2,FALSE),0)</f>
        <v>20.564604053615</v>
      </c>
      <c r="K148" s="811">
        <f>IFERROR(VLOOKUP($B148,flows!$A$2:$J$2954,K$2,FALSE),0)</f>
        <v>1.5183238187593599E-5</v>
      </c>
      <c r="L148" s="812">
        <f>IFERROR(VLOOKUP($B148,flows!$A$2:$J$2954,L$2,FALSE),0)</f>
        <v>0</v>
      </c>
      <c r="M148" s="813" t="s">
        <v>3339</v>
      </c>
    </row>
    <row r="149" spans="2:26" ht="20.149999999999999" customHeight="1" x14ac:dyDescent="0.35">
      <c r="B149" s="809" t="s">
        <v>3397</v>
      </c>
      <c r="C149" s="810" t="s">
        <v>3380</v>
      </c>
      <c r="D149" s="810" t="s">
        <v>3381</v>
      </c>
      <c r="E149" s="811">
        <f>IFERROR(VLOOKUP($B149,flows!$A$2:$J$2954,E$2,FALSE),0)</f>
        <v>3.3034540274897838E-4</v>
      </c>
      <c r="F149" s="811">
        <f>IFERROR(VLOOKUP($B149,flows!$A$2:$J$2954,F$2,FALSE),0)</f>
        <v>18.285505331748951</v>
      </c>
      <c r="G149" s="811">
        <f>IFERROR(VLOOKUP($B149,flows!$A$2:$J$2954,G$2,FALSE),0)</f>
        <v>2.4373725982102861</v>
      </c>
      <c r="H149" s="811">
        <f>IFERROR(VLOOKUP($B149,flows!$A$2:$J$2954,H$2,FALSE),0)</f>
        <v>0.29251304642639991</v>
      </c>
      <c r="I149" s="811">
        <f>IFERROR(VLOOKUP($B149,flows!$A$2:$J$2954,I$2,FALSE),0)</f>
        <v>4.0189278190565787E-2</v>
      </c>
      <c r="J149" s="811">
        <f>IFERROR(VLOOKUP($B149,flows!$A$2:$J$2954,J$2,FALSE),0)</f>
        <v>1.759739375360938E-5</v>
      </c>
      <c r="K149" s="811">
        <f>IFERROR(VLOOKUP($B149,flows!$A$2:$J$2954,K$2,FALSE),0)</f>
        <v>1.13809123125762E-6</v>
      </c>
      <c r="L149" s="812">
        <f>IFERROR(VLOOKUP($B149,flows!$A$2:$J$2954,L$2,FALSE),0)</f>
        <v>0</v>
      </c>
      <c r="M149" s="813" t="s">
        <v>3339</v>
      </c>
    </row>
    <row r="150" spans="2:26" ht="20.149999999999999" customHeight="1" x14ac:dyDescent="0.35">
      <c r="B150" s="809" t="s">
        <v>3398</v>
      </c>
      <c r="C150" s="810" t="s">
        <v>3380</v>
      </c>
      <c r="D150" s="810" t="s">
        <v>3381</v>
      </c>
      <c r="E150" s="811">
        <f>IFERROR(VLOOKUP($B150,flows!$A$2:$J$2954,E$2,FALSE),0)</f>
        <v>8.305462486875477E-3</v>
      </c>
      <c r="F150" s="811">
        <f>IFERROR(VLOOKUP($B150,flows!$A$2:$J$2954,F$2,FALSE),0)</f>
        <v>0</v>
      </c>
      <c r="G150" s="811">
        <f>IFERROR(VLOOKUP($B150,flows!$A$2:$J$2954,G$2,FALSE),0)</f>
        <v>15.526344242638039</v>
      </c>
      <c r="H150" s="811">
        <f>IFERROR(VLOOKUP($B150,flows!$A$2:$J$2954,H$2,FALSE),0)</f>
        <v>42.061296876642622</v>
      </c>
      <c r="I150" s="811">
        <f>IFERROR(VLOOKUP($B150,flows!$A$2:$J$2954,I$2,FALSE),0)</f>
        <v>134.30924161807309</v>
      </c>
      <c r="J150" s="811">
        <f>IFERROR(VLOOKUP($B150,flows!$A$2:$J$2954,J$2,FALSE),0)</f>
        <v>157.3206572268148</v>
      </c>
      <c r="K150" s="811">
        <f>IFERROR(VLOOKUP($B150,flows!$A$2:$J$2954,K$2,FALSE),0)</f>
        <v>5.4360463625481052E-5</v>
      </c>
      <c r="L150" s="812">
        <f>IFERROR(VLOOKUP($B150,flows!$A$2:$J$2954,L$2,FALSE),0)</f>
        <v>0</v>
      </c>
      <c r="M150" s="813" t="s">
        <v>3339</v>
      </c>
    </row>
    <row r="151" spans="2:26" ht="20.149999999999999" customHeight="1" x14ac:dyDescent="0.35">
      <c r="B151" s="809" t="s">
        <v>3399</v>
      </c>
      <c r="C151" s="810" t="s">
        <v>3380</v>
      </c>
      <c r="D151" s="810" t="s">
        <v>3381</v>
      </c>
      <c r="E151" s="811">
        <f>IFERROR(VLOOKUP($B151,flows!$A$2:$J$2954,E$2,FALSE),0)</f>
        <v>2.5812039128095079E-3</v>
      </c>
      <c r="F151" s="811">
        <f>IFERROR(VLOOKUP($B151,flows!$A$2:$J$2954,F$2,FALSE),0)</f>
        <v>0</v>
      </c>
      <c r="G151" s="811">
        <f>IFERROR(VLOOKUP($B151,flows!$A$2:$J$2954,G$2,FALSE),0)</f>
        <v>1.8700597871739819</v>
      </c>
      <c r="H151" s="811">
        <f>IFERROR(VLOOKUP($B151,flows!$A$2:$J$2954,H$2,FALSE),0)</f>
        <v>7.8713650716846668E-3</v>
      </c>
      <c r="I151" s="811">
        <f>IFERROR(VLOOKUP($B151,flows!$A$2:$J$2954,I$2,FALSE),0)</f>
        <v>5.7423876416862747</v>
      </c>
      <c r="J151" s="811">
        <f>IFERROR(VLOOKUP($B151,flows!$A$2:$J$2954,J$2,FALSE),0)</f>
        <v>7.9716751216943882E-5</v>
      </c>
      <c r="K151" s="811">
        <f>IFERROR(VLOOKUP($B151,flows!$A$2:$J$2954,K$2,FALSE),0)</f>
        <v>7.3674775801690362E-6</v>
      </c>
      <c r="L151" s="812">
        <f>IFERROR(VLOOKUP($B151,flows!$A$2:$J$2954,L$2,FALSE),0)</f>
        <v>0</v>
      </c>
      <c r="M151" s="813" t="s">
        <v>3339</v>
      </c>
    </row>
    <row r="152" spans="2:26" ht="20.149999999999999" customHeight="1" x14ac:dyDescent="0.35">
      <c r="B152" s="809" t="s">
        <v>3400</v>
      </c>
      <c r="C152" s="810" t="s">
        <v>3380</v>
      </c>
      <c r="D152" s="810" t="s">
        <v>3381</v>
      </c>
      <c r="E152" s="811">
        <f>IFERROR(VLOOKUP($B152,flows!$A$2:$J$2954,E$2,FALSE),0)</f>
        <v>6.2176122100008162E-3</v>
      </c>
      <c r="F152" s="811">
        <f>IFERROR(VLOOKUP($B152,flows!$A$2:$J$2954,F$2,FALSE),0)</f>
        <v>0</v>
      </c>
      <c r="G152" s="811">
        <f>IFERROR(VLOOKUP($B152,flows!$A$2:$J$2954,G$2,FALSE),0)</f>
        <v>0.21562023666354191</v>
      </c>
      <c r="H152" s="811">
        <f>IFERROR(VLOOKUP($B152,flows!$A$2:$J$2954,H$2,FALSE),0)</f>
        <v>5.578035364080233E-4</v>
      </c>
      <c r="I152" s="811">
        <f>IFERROR(VLOOKUP($B152,flows!$A$2:$J$2954,I$2,FALSE),0)</f>
        <v>7.1316206134887188E-4</v>
      </c>
      <c r="J152" s="811">
        <f>IFERROR(VLOOKUP($B152,flows!$A$2:$J$2954,J$2,FALSE),0)</f>
        <v>4.0046006524645193E-5</v>
      </c>
      <c r="K152" s="811">
        <f>IFERROR(VLOOKUP($B152,flows!$A$2:$J$2954,K$2,FALSE),0)</f>
        <v>1.9103502117792291E-5</v>
      </c>
      <c r="L152" s="812">
        <f>IFERROR(VLOOKUP($B152,flows!$A$2:$J$2954,L$2,FALSE),0)</f>
        <v>0</v>
      </c>
      <c r="M152" s="813" t="s">
        <v>3339</v>
      </c>
    </row>
    <row r="153" spans="2:26" ht="20.149999999999999" customHeight="1" x14ac:dyDescent="0.35">
      <c r="B153" s="809" t="s">
        <v>3401</v>
      </c>
      <c r="C153" s="810" t="s">
        <v>3380</v>
      </c>
      <c r="D153" s="810" t="s">
        <v>3381</v>
      </c>
      <c r="E153" s="811">
        <f>IFERROR(VLOOKUP($B153,flows!$A$2:$J$2954,E$2,FALSE),0)</f>
        <v>8.6604781624428681E-2</v>
      </c>
      <c r="F153" s="811">
        <f>IFERROR(VLOOKUP($B153,flows!$A$2:$J$2954,F$2,FALSE),0)</f>
        <v>0</v>
      </c>
      <c r="G153" s="811">
        <f>IFERROR(VLOOKUP($B153,flows!$A$2:$J$2954,G$2,FALSE),0)</f>
        <v>3.267533371857128</v>
      </c>
      <c r="H153" s="811">
        <f>IFERROR(VLOOKUP($B153,flows!$A$2:$J$2954,H$2,FALSE),0)</f>
        <v>3.5368764116746651E-2</v>
      </c>
      <c r="I153" s="811">
        <f>IFERROR(VLOOKUP($B153,flows!$A$2:$J$2954,I$2,FALSE),0)</f>
        <v>216.1222138632084</v>
      </c>
      <c r="J153" s="811">
        <f>IFERROR(VLOOKUP($B153,flows!$A$2:$J$2954,J$2,FALSE),0)</f>
        <v>347.64410983412853</v>
      </c>
      <c r="K153" s="811">
        <f>IFERROR(VLOOKUP($B153,flows!$A$2:$J$2954,K$2,FALSE),0)</f>
        <v>6.7963704981480175E-2</v>
      </c>
      <c r="L153" s="812">
        <f>IFERROR(VLOOKUP($B153,flows!$A$2:$J$2954,L$2,FALSE),0)</f>
        <v>0</v>
      </c>
      <c r="M153" s="813" t="s">
        <v>3339</v>
      </c>
    </row>
    <row r="154" spans="2:26" ht="20.149999999999999" customHeight="1" x14ac:dyDescent="0.35">
      <c r="B154" s="809" t="s">
        <v>3402</v>
      </c>
      <c r="C154" s="810" t="s">
        <v>3380</v>
      </c>
      <c r="D154" s="810" t="s">
        <v>3381</v>
      </c>
      <c r="E154" s="811">
        <f>IFERROR(VLOOKUP($B154,flows!$A$2:$J$2954,E$2,FALSE),0)</f>
        <v>492.11044839949619</v>
      </c>
      <c r="F154" s="811">
        <f>IFERROR(VLOOKUP($B154,flows!$A$2:$J$2954,F$2,FALSE),0)</f>
        <v>0</v>
      </c>
      <c r="G154" s="811">
        <f>IFERROR(VLOOKUP($B154,flows!$A$2:$J$2954,G$2,FALSE),0)</f>
        <v>2.6116529110870408</v>
      </c>
      <c r="H154" s="811">
        <f>IFERROR(VLOOKUP($B154,flows!$A$2:$J$2954,H$2,FALSE),0)</f>
        <v>32.005379646843359</v>
      </c>
      <c r="I154" s="811">
        <f>IFERROR(VLOOKUP($B154,flows!$A$2:$J$2954,I$2,FALSE),0)</f>
        <v>258.39966300097751</v>
      </c>
      <c r="J154" s="811">
        <f>IFERROR(VLOOKUP($B154,flows!$A$2:$J$2954,J$2,FALSE),0)</f>
        <v>282.65658256829892</v>
      </c>
      <c r="K154" s="811">
        <f>IFERROR(VLOOKUP($B154,flows!$A$2:$J$2954,K$2,FALSE),0)</f>
        <v>492.35372902337599</v>
      </c>
      <c r="L154" s="812">
        <f>IFERROR(VLOOKUP($B154,flows!$A$2:$J$2954,L$2,FALSE),0)</f>
        <v>0</v>
      </c>
      <c r="M154" s="813" t="s">
        <v>3339</v>
      </c>
    </row>
    <row r="155" spans="2:26" ht="20.149999999999999" customHeight="1" x14ac:dyDescent="0.35">
      <c r="B155" s="809" t="s">
        <v>3403</v>
      </c>
      <c r="C155" s="810" t="s">
        <v>3380</v>
      </c>
      <c r="D155" s="810" t="s">
        <v>3381</v>
      </c>
      <c r="E155" s="811">
        <f>IFERROR(VLOOKUP($B155,flows!$A$2:$J$2954,E$2,FALSE),0)</f>
        <v>2.252699036086605E-3</v>
      </c>
      <c r="F155" s="811">
        <f>IFERROR(VLOOKUP($B155,flows!$A$2:$J$2954,F$2,FALSE),0)</f>
        <v>0</v>
      </c>
      <c r="G155" s="811">
        <f>IFERROR(VLOOKUP($B155,flows!$A$2:$J$2954,G$2,FALSE),0)</f>
        <v>0.77355661767228279</v>
      </c>
      <c r="H155" s="811">
        <f>IFERROR(VLOOKUP($B155,flows!$A$2:$J$2954,H$2,FALSE),0)</f>
        <v>7.0625126182251998</v>
      </c>
      <c r="I155" s="811">
        <f>IFERROR(VLOOKUP($B155,flows!$A$2:$J$2954,I$2,FALSE),0)</f>
        <v>4.2792937232405311E-4</v>
      </c>
      <c r="J155" s="811">
        <f>IFERROR(VLOOKUP($B155,flows!$A$2:$J$2954,J$2,FALSE),0)</f>
        <v>2.3916431197764719E-5</v>
      </c>
      <c r="K155" s="811">
        <f>IFERROR(VLOOKUP($B155,flows!$A$2:$J$2954,K$2,FALSE),0)</f>
        <v>5.2180809203996999E-6</v>
      </c>
      <c r="L155" s="812">
        <f>IFERROR(VLOOKUP($B155,flows!$A$2:$J$2954,L$2,FALSE),0)</f>
        <v>0</v>
      </c>
      <c r="M155" s="813" t="s">
        <v>3339</v>
      </c>
    </row>
    <row r="156" spans="2:26" ht="20.149999999999999" customHeight="1" x14ac:dyDescent="0.35">
      <c r="B156" s="809" t="s">
        <v>3404</v>
      </c>
      <c r="C156" s="810" t="s">
        <v>3380</v>
      </c>
      <c r="D156" s="810" t="s">
        <v>3381</v>
      </c>
      <c r="E156" s="811">
        <f>IFERROR(VLOOKUP($B156,flows!$A$2:$J$2954,E$2,FALSE),0)</f>
        <v>3.4560214135033202E-4</v>
      </c>
      <c r="F156" s="811">
        <f>IFERROR(VLOOKUP($B156,flows!$A$2:$J$2954,F$2,FALSE),0)</f>
        <v>0</v>
      </c>
      <c r="G156" s="811">
        <f>IFERROR(VLOOKUP($B156,flows!$A$2:$J$2954,G$2,FALSE),0)</f>
        <v>0.23978911028754549</v>
      </c>
      <c r="H156" s="811">
        <f>IFERROR(VLOOKUP($B156,flows!$A$2:$J$2954,H$2,FALSE),0)</f>
        <v>4.5601603249712051E-4</v>
      </c>
      <c r="I156" s="811">
        <f>IFERROR(VLOOKUP($B156,flows!$A$2:$J$2954,I$2,FALSE),0)</f>
        <v>1.4331108746583489E-4</v>
      </c>
      <c r="J156" s="811">
        <f>IFERROR(VLOOKUP($B156,flows!$A$2:$J$2954,J$2,FALSE),0)</f>
        <v>1.085386057034795E-5</v>
      </c>
      <c r="K156" s="811">
        <f>IFERROR(VLOOKUP($B156,flows!$A$2:$J$2954,K$2,FALSE),0)</f>
        <v>1.138696156813132E-6</v>
      </c>
      <c r="L156" s="812">
        <f>IFERROR(VLOOKUP($B156,flows!$A$2:$J$2954,L$2,FALSE),0)</f>
        <v>0</v>
      </c>
      <c r="M156" s="813" t="s">
        <v>3339</v>
      </c>
    </row>
    <row r="157" spans="2:26" ht="20.149999999999999" customHeight="1" x14ac:dyDescent="0.35">
      <c r="B157" s="809" t="s">
        <v>3405</v>
      </c>
      <c r="C157" s="810" t="s">
        <v>3380</v>
      </c>
      <c r="D157" s="810" t="s">
        <v>3381</v>
      </c>
      <c r="E157" s="811">
        <f>IFERROR(VLOOKUP($B157,flows!$A$2:$J$2954,E$2,FALSE),0)</f>
        <v>8.0967712541069499E-3</v>
      </c>
      <c r="F157" s="811">
        <f>IFERROR(VLOOKUP($B157,flows!$A$2:$J$2954,F$2,FALSE),0)</f>
        <v>0</v>
      </c>
      <c r="G157" s="811">
        <f>IFERROR(VLOOKUP($B157,flows!$A$2:$J$2954,G$2,FALSE),0)</f>
        <v>1.629938266306671</v>
      </c>
      <c r="H157" s="811">
        <f>IFERROR(VLOOKUP($B157,flows!$A$2:$J$2954,H$2,FALSE),0)</f>
        <v>57.738716364761068</v>
      </c>
      <c r="I157" s="811">
        <f>IFERROR(VLOOKUP($B157,flows!$A$2:$J$2954,I$2,FALSE),0)</f>
        <v>16.540767496509432</v>
      </c>
      <c r="J157" s="811">
        <f>IFERROR(VLOOKUP($B157,flows!$A$2:$J$2954,J$2,FALSE),0)</f>
        <v>22.64599768946551</v>
      </c>
      <c r="K157" s="811">
        <f>IFERROR(VLOOKUP($B157,flows!$A$2:$J$2954,K$2,FALSE),0)</f>
        <v>3.9557399567356321E-5</v>
      </c>
      <c r="L157" s="812">
        <f>IFERROR(VLOOKUP($B157,flows!$A$2:$J$2954,L$2,FALSE),0)</f>
        <v>0</v>
      </c>
      <c r="M157" s="813" t="s">
        <v>3339</v>
      </c>
    </row>
    <row r="158" spans="2:26" ht="20.149999999999999" customHeight="1" x14ac:dyDescent="0.35">
      <c r="B158" s="809" t="s">
        <v>3406</v>
      </c>
      <c r="C158" s="810" t="s">
        <v>3380</v>
      </c>
      <c r="D158" s="810" t="s">
        <v>3381</v>
      </c>
      <c r="E158" s="811">
        <f>IFERROR(VLOOKUP($B158,flows!$A$2:$J$2954,E$2,FALSE),0)</f>
        <v>2.467468762405015E-3</v>
      </c>
      <c r="F158" s="811">
        <f>IFERROR(VLOOKUP($B158,flows!$A$2:$J$2954,F$2,FALSE),0)</f>
        <v>0</v>
      </c>
      <c r="G158" s="811">
        <f>IFERROR(VLOOKUP($B158,flows!$A$2:$J$2954,G$2,FALSE),0)</f>
        <v>0.46444792837643212</v>
      </c>
      <c r="H158" s="811">
        <f>IFERROR(VLOOKUP($B158,flows!$A$2:$J$2954,H$2,FALSE),0)</f>
        <v>9.7589280408400224E-3</v>
      </c>
      <c r="I158" s="811">
        <f>IFERROR(VLOOKUP($B158,flows!$A$2:$J$2954,I$2,FALSE),0)</f>
        <v>4.9491039064689503E-4</v>
      </c>
      <c r="J158" s="811">
        <f>IFERROR(VLOOKUP($B158,flows!$A$2:$J$2954,J$2,FALSE),0)</f>
        <v>2.5374401474635859E-5</v>
      </c>
      <c r="K158" s="811">
        <f>IFERROR(VLOOKUP($B158,flows!$A$2:$J$2954,K$2,FALSE),0)</f>
        <v>5.5885829217540393E-6</v>
      </c>
      <c r="L158" s="812">
        <f>IFERROR(VLOOKUP($B158,flows!$A$2:$J$2954,L$2,FALSE),0)</f>
        <v>0</v>
      </c>
      <c r="M158" s="813" t="s">
        <v>3339</v>
      </c>
    </row>
    <row r="159" spans="2:26" ht="20.149999999999999" customHeight="1" x14ac:dyDescent="0.35">
      <c r="B159" s="809" t="s">
        <v>3407</v>
      </c>
      <c r="C159" s="810" t="s">
        <v>3380</v>
      </c>
      <c r="D159" s="810" t="s">
        <v>3381</v>
      </c>
      <c r="E159" s="811">
        <f>IFERROR(VLOOKUP($B159,flows!$A$2:$J$2954,E$2,FALSE),0)</f>
        <v>5.9309930355854633E-3</v>
      </c>
      <c r="F159" s="811">
        <f>IFERROR(VLOOKUP($B159,flows!$A$2:$J$2954,F$2,FALSE),0)</f>
        <v>0</v>
      </c>
      <c r="G159" s="811">
        <f>IFERROR(VLOOKUP($B159,flows!$A$2:$J$2954,G$2,FALSE),0)</f>
        <v>0.18565228062094691</v>
      </c>
      <c r="H159" s="811">
        <f>IFERROR(VLOOKUP($B159,flows!$A$2:$J$2954,H$2,FALSE),0)</f>
        <v>5.5349233699119997E-4</v>
      </c>
      <c r="I159" s="811">
        <f>IFERROR(VLOOKUP($B159,flows!$A$2:$J$2954,I$2,FALSE),0)</f>
        <v>4.078881713865468E-4</v>
      </c>
      <c r="J159" s="811">
        <f>IFERROR(VLOOKUP($B159,flows!$A$2:$J$2954,J$2,FALSE),0)</f>
        <v>2.6049151685364319E-5</v>
      </c>
      <c r="K159" s="811">
        <f>IFERROR(VLOOKUP($B159,flows!$A$2:$J$2954,K$2,FALSE),0)</f>
        <v>1.3386468848394939E-5</v>
      </c>
      <c r="L159" s="812">
        <f>IFERROR(VLOOKUP($B159,flows!$A$2:$J$2954,L$2,FALSE),0)</f>
        <v>0</v>
      </c>
      <c r="M159" s="813" t="s">
        <v>3339</v>
      </c>
    </row>
    <row r="160" spans="2:26" ht="20.149999999999999" customHeight="1" x14ac:dyDescent="0.35">
      <c r="B160" s="809" t="s">
        <v>3408</v>
      </c>
      <c r="C160" s="810" t="s">
        <v>3380</v>
      </c>
      <c r="D160" s="810" t="s">
        <v>3381</v>
      </c>
      <c r="E160" s="811">
        <f>IFERROR(VLOOKUP($B160,flows!$A$2:$J$2954,E$2,FALSE),0)</f>
        <v>7.5139358058415387E-2</v>
      </c>
      <c r="F160" s="811">
        <f>IFERROR(VLOOKUP($B160,flows!$A$2:$J$2954,F$2,FALSE),0)</f>
        <v>0</v>
      </c>
      <c r="G160" s="811">
        <f>IFERROR(VLOOKUP($B160,flows!$A$2:$J$2954,G$2,FALSE),0)</f>
        <v>2.013989159008065</v>
      </c>
      <c r="H160" s="811">
        <f>IFERROR(VLOOKUP($B160,flows!$A$2:$J$2954,H$2,FALSE),0)</f>
        <v>3.7494663094351871E-2</v>
      </c>
      <c r="I160" s="811">
        <f>IFERROR(VLOOKUP($B160,flows!$A$2:$J$2954,I$2,FALSE),0)</f>
        <v>94.187436719305836</v>
      </c>
      <c r="J160" s="811">
        <f>IFERROR(VLOOKUP($B160,flows!$A$2:$J$2954,J$2,FALSE),0)</f>
        <v>55.97974560489078</v>
      </c>
      <c r="K160" s="811">
        <f>IFERROR(VLOOKUP($B160,flows!$A$2:$J$2954,K$2,FALSE),0)</f>
        <v>3.1542916676176872E-4</v>
      </c>
      <c r="L160" s="812">
        <f>IFERROR(VLOOKUP($B160,flows!$A$2:$J$2954,L$2,FALSE),0)</f>
        <v>0</v>
      </c>
      <c r="M160" s="813" t="s">
        <v>3339</v>
      </c>
    </row>
    <row r="161" spans="2:13" ht="20.149999999999999" customHeight="1" x14ac:dyDescent="0.35">
      <c r="B161" s="616" t="s">
        <v>3278</v>
      </c>
      <c r="C161" s="617"/>
      <c r="D161" s="617"/>
      <c r="E161" s="572" t="s">
        <v>23</v>
      </c>
      <c r="F161" s="572" t="s">
        <v>1798</v>
      </c>
      <c r="G161" s="572" t="s">
        <v>1799</v>
      </c>
      <c r="H161" s="572" t="s">
        <v>1800</v>
      </c>
      <c r="I161" s="572" t="s">
        <v>1801</v>
      </c>
      <c r="J161" s="572" t="s">
        <v>1802</v>
      </c>
      <c r="K161" s="572" t="s">
        <v>1803</v>
      </c>
      <c r="L161" s="573" t="s">
        <v>1804</v>
      </c>
      <c r="M161" s="618"/>
    </row>
    <row r="162" spans="2:13" ht="20.149999999999999" customHeight="1" x14ac:dyDescent="0.35">
      <c r="B162" s="809" t="s">
        <v>3409</v>
      </c>
      <c r="C162" s="810" t="s">
        <v>3380</v>
      </c>
      <c r="D162" s="810" t="s">
        <v>3381</v>
      </c>
      <c r="E162" s="811">
        <f>IFERROR(VLOOKUP($B162,flows!$A$2:$J$2954,E$2,FALSE),0)</f>
        <v>2.1007086491945989E-2</v>
      </c>
      <c r="F162" s="811">
        <f>IFERROR(VLOOKUP($B162,flows!$A$2:$J$2954,F$2,FALSE),0)</f>
        <v>125.9249131730199</v>
      </c>
      <c r="G162" s="811">
        <f>IFERROR(VLOOKUP($B162,flows!$A$2:$J$2954,G$2,FALSE),0)</f>
        <v>10.921765283112711</v>
      </c>
      <c r="H162" s="811">
        <f>IFERROR(VLOOKUP($B162,flows!$A$2:$J$2954,H$2,FALSE),0)</f>
        <v>51.779943696538133</v>
      </c>
      <c r="I162" s="811">
        <f>IFERROR(VLOOKUP($B162,flows!$A$2:$J$2954,I$2,FALSE),0)</f>
        <v>127.7102820186558</v>
      </c>
      <c r="J162" s="811">
        <f>IFERROR(VLOOKUP($B162,flows!$A$2:$J$2954,J$2,FALSE),0)</f>
        <v>84.925149517891924</v>
      </c>
      <c r="K162" s="811">
        <f>IFERROR(VLOOKUP($B162,flows!$A$2:$J$2954,K$2,FALSE),0)</f>
        <v>5.2632102061474527E-2</v>
      </c>
      <c r="L162" s="812">
        <f>IFERROR(VLOOKUP($B162,flows!$A$2:$J$2954,L$2,FALSE),0)</f>
        <v>0</v>
      </c>
      <c r="M162" s="813" t="s">
        <v>3339</v>
      </c>
    </row>
    <row r="163" spans="2:13" ht="20.149999999999999" customHeight="1" x14ac:dyDescent="0.35">
      <c r="B163" s="809" t="s">
        <v>3410</v>
      </c>
      <c r="C163" s="810" t="s">
        <v>3380</v>
      </c>
      <c r="D163" s="810" t="s">
        <v>3381</v>
      </c>
      <c r="E163" s="811">
        <f>IFERROR(VLOOKUP($B163,flows!$A$2:$J$2954,E$2,FALSE),0)</f>
        <v>1.004087134204747E-3</v>
      </c>
      <c r="F163" s="811">
        <f>IFERROR(VLOOKUP($B163,flows!$A$2:$J$2954,F$2,FALSE),0)</f>
        <v>0</v>
      </c>
      <c r="G163" s="811">
        <f>IFERROR(VLOOKUP($B163,flows!$A$2:$J$2954,G$2,FALSE),0)</f>
        <v>2.2012667599726039</v>
      </c>
      <c r="H163" s="811">
        <f>IFERROR(VLOOKUP($B163,flows!$A$2:$J$2954,H$2,FALSE),0)</f>
        <v>0.48427147103744722</v>
      </c>
      <c r="I163" s="811">
        <f>IFERROR(VLOOKUP($B163,flows!$A$2:$J$2954,I$2,FALSE),0)</f>
        <v>2.1183809528064839E-4</v>
      </c>
      <c r="J163" s="811">
        <f>IFERROR(VLOOKUP($B163,flows!$A$2:$J$2954,J$2,FALSE),0)</f>
        <v>1.626927381455129E-5</v>
      </c>
      <c r="K163" s="811">
        <f>IFERROR(VLOOKUP($B163,flows!$A$2:$J$2954,K$2,FALSE),0)</f>
        <v>4.1502073338559064E-6</v>
      </c>
      <c r="L163" s="812">
        <f>IFERROR(VLOOKUP($B163,flows!$A$2:$J$2954,L$2,FALSE),0)</f>
        <v>0</v>
      </c>
      <c r="M163" s="813" t="s">
        <v>3339</v>
      </c>
    </row>
    <row r="164" spans="2:13" ht="20.149999999999999" customHeight="1" x14ac:dyDescent="0.35">
      <c r="B164" s="809" t="s">
        <v>3411</v>
      </c>
      <c r="C164" s="810" t="s">
        <v>3380</v>
      </c>
      <c r="D164" s="810" t="s">
        <v>3381</v>
      </c>
      <c r="E164" s="811">
        <f>IFERROR(VLOOKUP($B164,flows!$A$2:$J$2954,E$2,FALSE),0)</f>
        <v>0</v>
      </c>
      <c r="F164" s="811">
        <f>IFERROR(VLOOKUP($B164,flows!$A$2:$J$2954,F$2,FALSE),0)</f>
        <v>0</v>
      </c>
      <c r="G164" s="811">
        <f>IFERROR(VLOOKUP($B164,flows!$A$2:$J$2954,G$2,FALSE),0)</f>
        <v>0</v>
      </c>
      <c r="H164" s="811">
        <f>IFERROR(VLOOKUP($B164,flows!$A$2:$J$2954,H$2,FALSE),0)</f>
        <v>0</v>
      </c>
      <c r="I164" s="811">
        <f>IFERROR(VLOOKUP($B164,flows!$A$2:$J$2954,I$2,FALSE),0)</f>
        <v>0</v>
      </c>
      <c r="J164" s="811">
        <f>IFERROR(VLOOKUP($B164,flows!$A$2:$J$2954,J$2,FALSE),0)</f>
        <v>0</v>
      </c>
      <c r="K164" s="811">
        <f>IFERROR(VLOOKUP($B164,flows!$A$2:$J$2954,K$2,FALSE),0)</f>
        <v>0</v>
      </c>
      <c r="L164" s="812">
        <f>IFERROR(VLOOKUP($B164,flows!$A$2:$J$2954,L$2,FALSE),0)</f>
        <v>0</v>
      </c>
      <c r="M164" s="813" t="s">
        <v>3339</v>
      </c>
    </row>
    <row r="165" spans="2:13" ht="20.149999999999999" customHeight="1" x14ac:dyDescent="0.35">
      <c r="B165" s="809" t="s">
        <v>3412</v>
      </c>
      <c r="C165" s="810" t="s">
        <v>3380</v>
      </c>
      <c r="D165" s="810" t="s">
        <v>3381</v>
      </c>
      <c r="E165" s="811">
        <f>IFERROR(VLOOKUP($B165,flows!$A$2:$J$2954,E$2,FALSE),0)</f>
        <v>3.509071924196052E-3</v>
      </c>
      <c r="F165" s="811">
        <f>IFERROR(VLOOKUP($B165,flows!$A$2:$J$2954,F$2,FALSE),0)</f>
        <v>58.55509505235915</v>
      </c>
      <c r="G165" s="811">
        <f>IFERROR(VLOOKUP($B165,flows!$A$2:$J$2954,G$2,FALSE),0)</f>
        <v>14.64385975314956</v>
      </c>
      <c r="H165" s="811">
        <f>IFERROR(VLOOKUP($B165,flows!$A$2:$J$2954,H$2,FALSE),0)</f>
        <v>0.559876669499209</v>
      </c>
      <c r="I165" s="811">
        <f>IFERROR(VLOOKUP($B165,flows!$A$2:$J$2954,I$2,FALSE),0)</f>
        <v>6.2958975621314889E-2</v>
      </c>
      <c r="J165" s="811">
        <f>IFERROR(VLOOKUP($B165,flows!$A$2:$J$2954,J$2,FALSE),0)</f>
        <v>5.2887434914401947E-5</v>
      </c>
      <c r="K165" s="811">
        <f>IFERROR(VLOOKUP($B165,flows!$A$2:$J$2954,K$2,FALSE),0)</f>
        <v>1.4706352253022889E-5</v>
      </c>
      <c r="L165" s="812">
        <f>IFERROR(VLOOKUP($B165,flows!$A$2:$J$2954,L$2,FALSE),0)</f>
        <v>0</v>
      </c>
      <c r="M165" s="813" t="s">
        <v>3339</v>
      </c>
    </row>
    <row r="166" spans="2:13" ht="20.149999999999999" customHeight="1" x14ac:dyDescent="0.35">
      <c r="B166" s="809" t="s">
        <v>3413</v>
      </c>
      <c r="C166" s="810" t="s">
        <v>3380</v>
      </c>
      <c r="D166" s="810" t="s">
        <v>3381</v>
      </c>
      <c r="E166" s="811">
        <f>IFERROR(VLOOKUP($B166,flows!$A$2:$J$2954,E$2,FALSE),0)</f>
        <v>9.433580039993031E-4</v>
      </c>
      <c r="F166" s="811">
        <f>IFERROR(VLOOKUP($B166,flows!$A$2:$J$2954,F$2,FALSE),0)</f>
        <v>0</v>
      </c>
      <c r="G166" s="811">
        <f>IFERROR(VLOOKUP($B166,flows!$A$2:$J$2954,G$2,FALSE),0)</f>
        <v>0.54770796261217392</v>
      </c>
      <c r="H166" s="811">
        <f>IFERROR(VLOOKUP($B166,flows!$A$2:$J$2954,H$2,FALSE),0)</f>
        <v>6.1639742179171058E-4</v>
      </c>
      <c r="I166" s="811">
        <f>IFERROR(VLOOKUP($B166,flows!$A$2:$J$2954,I$2,FALSE),0)</f>
        <v>1.7547712688575161E-4</v>
      </c>
      <c r="J166" s="811">
        <f>IFERROR(VLOOKUP($B166,flows!$A$2:$J$2954,J$2,FALSE),0)</f>
        <v>1.38978422406855E-5</v>
      </c>
      <c r="K166" s="811">
        <f>IFERROR(VLOOKUP($B166,flows!$A$2:$J$2954,K$2,FALSE),0)</f>
        <v>3.8601039330009278E-6</v>
      </c>
      <c r="L166" s="812">
        <f>IFERROR(VLOOKUP($B166,flows!$A$2:$J$2954,L$2,FALSE),0)</f>
        <v>0</v>
      </c>
      <c r="M166" s="813" t="s">
        <v>3339</v>
      </c>
    </row>
    <row r="167" spans="2:13" ht="20.149999999999999" customHeight="1" x14ac:dyDescent="0.35">
      <c r="B167" s="809" t="s">
        <v>3414</v>
      </c>
      <c r="C167" s="810" t="s">
        <v>3380</v>
      </c>
      <c r="D167" s="810" t="s">
        <v>3381</v>
      </c>
      <c r="E167" s="811">
        <f>IFERROR(VLOOKUP($B167,flows!$A$2:$J$2954,E$2,FALSE),0)</f>
        <v>2.3340714009651722E-3</v>
      </c>
      <c r="F167" s="811">
        <f>IFERROR(VLOOKUP($B167,flows!$A$2:$J$2954,F$2,FALSE),0)</f>
        <v>0</v>
      </c>
      <c r="G167" s="811">
        <f>IFERROR(VLOOKUP($B167,flows!$A$2:$J$2954,G$2,FALSE),0)</f>
        <v>0.1955295455234245</v>
      </c>
      <c r="H167" s="811">
        <f>IFERROR(VLOOKUP($B167,flows!$A$2:$J$2954,H$2,FALSE),0)</f>
        <v>4.276387605249722E-4</v>
      </c>
      <c r="I167" s="811">
        <f>IFERROR(VLOOKUP($B167,flows!$A$2:$J$2954,I$2,FALSE),0)</f>
        <v>2.8877570943238378E-4</v>
      </c>
      <c r="J167" s="811">
        <f>IFERROR(VLOOKUP($B167,flows!$A$2:$J$2954,J$2,FALSE),0)</f>
        <v>2.348477682755696E-5</v>
      </c>
      <c r="K167" s="811">
        <f>IFERROR(VLOOKUP($B167,flows!$A$2:$J$2954,K$2,FALSE),0)</f>
        <v>9.7283085326868503E-6</v>
      </c>
      <c r="L167" s="812">
        <f>IFERROR(VLOOKUP($B167,flows!$A$2:$J$2954,L$2,FALSE),0)</f>
        <v>0</v>
      </c>
      <c r="M167" s="813" t="s">
        <v>3339</v>
      </c>
    </row>
    <row r="168" spans="2:13" ht="20.149999999999999" customHeight="1" x14ac:dyDescent="0.35">
      <c r="B168" s="809" t="s">
        <v>3415</v>
      </c>
      <c r="C168" s="810" t="s">
        <v>3380</v>
      </c>
      <c r="D168" s="810" t="s">
        <v>3381</v>
      </c>
      <c r="E168" s="811">
        <f>IFERROR(VLOOKUP($B168,flows!$A$2:$J$2954,E$2,FALSE),0)</f>
        <v>1.356455037438082E-2</v>
      </c>
      <c r="F168" s="811">
        <f>IFERROR(VLOOKUP($B168,flows!$A$2:$J$2954,F$2,FALSE),0)</f>
        <v>0</v>
      </c>
      <c r="G168" s="811">
        <f>IFERROR(VLOOKUP($B168,flows!$A$2:$J$2954,G$2,FALSE),0)</f>
        <v>3.140882555570653</v>
      </c>
      <c r="H168" s="811">
        <f>IFERROR(VLOOKUP($B168,flows!$A$2:$J$2954,H$2,FALSE),0)</f>
        <v>2.6489649771684089E-2</v>
      </c>
      <c r="I168" s="811">
        <f>IFERROR(VLOOKUP($B168,flows!$A$2:$J$2954,I$2,FALSE),0)</f>
        <v>10.855790529104439</v>
      </c>
      <c r="J168" s="811">
        <f>IFERROR(VLOOKUP($B168,flows!$A$2:$J$2954,J$2,FALSE),0)</f>
        <v>3.6048966696455587E-4</v>
      </c>
      <c r="K168" s="811">
        <f>IFERROR(VLOOKUP($B168,flows!$A$2:$J$2954,K$2,FALSE),0)</f>
        <v>7.4658415673014227E-5</v>
      </c>
      <c r="L168" s="812">
        <f>IFERROR(VLOOKUP($B168,flows!$A$2:$J$2954,L$2,FALSE),0)</f>
        <v>0</v>
      </c>
      <c r="M168" s="813" t="s">
        <v>3339</v>
      </c>
    </row>
    <row r="169" spans="2:13" ht="20.149999999999999" customHeight="1" x14ac:dyDescent="0.35">
      <c r="B169" s="809" t="s">
        <v>3416</v>
      </c>
      <c r="C169" s="810" t="s">
        <v>3380</v>
      </c>
      <c r="D169" s="810" t="s">
        <v>3381</v>
      </c>
      <c r="E169" s="811">
        <f>IFERROR(VLOOKUP($B169,flows!$A$2:$J$2954,E$2,FALSE),0)</f>
        <v>246.08244589400681</v>
      </c>
      <c r="F169" s="811">
        <f>IFERROR(VLOOKUP($B169,flows!$A$2:$J$2954,F$2,FALSE),0)</f>
        <v>0</v>
      </c>
      <c r="G169" s="811">
        <f>IFERROR(VLOOKUP($B169,flows!$A$2:$J$2954,G$2,FALSE),0)</f>
        <v>7.842824159608992</v>
      </c>
      <c r="H169" s="811">
        <f>IFERROR(VLOOKUP($B169,flows!$A$2:$J$2954,H$2,FALSE),0)</f>
        <v>23.192781273864721</v>
      </c>
      <c r="I169" s="811">
        <f>IFERROR(VLOOKUP($B169,flows!$A$2:$J$2954,I$2,FALSE),0)</f>
        <v>49.175329545692058</v>
      </c>
      <c r="J169" s="811">
        <f>IFERROR(VLOOKUP($B169,flows!$A$2:$J$2954,J$2,FALSE),0)</f>
        <v>98.093024735347385</v>
      </c>
      <c r="K169" s="811">
        <f>IFERROR(VLOOKUP($B169,flows!$A$2:$J$2954,K$2,FALSE),0)</f>
        <v>246.12308430753001</v>
      </c>
      <c r="L169" s="812">
        <f>IFERROR(VLOOKUP($B169,flows!$A$2:$J$2954,L$2,FALSE),0)</f>
        <v>0</v>
      </c>
      <c r="M169" s="813" t="s">
        <v>3339</v>
      </c>
    </row>
    <row r="170" spans="2:13" ht="20.149999999999999" customHeight="1" x14ac:dyDescent="0.35">
      <c r="B170" s="809" t="s">
        <v>3417</v>
      </c>
      <c r="C170" s="810" t="s">
        <v>3380</v>
      </c>
      <c r="D170" s="810" t="s">
        <v>3381</v>
      </c>
      <c r="E170" s="811">
        <f>IFERROR(VLOOKUP($B170,flows!$A$2:$J$2954,E$2,FALSE),0)</f>
        <v>2.7612651368038319E-3</v>
      </c>
      <c r="F170" s="811">
        <f>IFERROR(VLOOKUP($B170,flows!$A$2:$J$2954,F$2,FALSE),0)</f>
        <v>0</v>
      </c>
      <c r="G170" s="811">
        <f>IFERROR(VLOOKUP($B170,flows!$A$2:$J$2954,G$2,FALSE),0)</f>
        <v>4.6616354869535828</v>
      </c>
      <c r="H170" s="811">
        <f>IFERROR(VLOOKUP($B170,flows!$A$2:$J$2954,H$2,FALSE),0)</f>
        <v>10.117263862924981</v>
      </c>
      <c r="I170" s="811">
        <f>IFERROR(VLOOKUP($B170,flows!$A$2:$J$2954,I$2,FALSE),0)</f>
        <v>11.902609158021461</v>
      </c>
      <c r="J170" s="811">
        <f>IFERROR(VLOOKUP($B170,flows!$A$2:$J$2954,J$2,FALSE),0)</f>
        <v>12.044659093503411</v>
      </c>
      <c r="K170" s="811">
        <f>IFERROR(VLOOKUP($B170,flows!$A$2:$J$2954,K$2,FALSE),0)</f>
        <v>1.3719788455869811E-2</v>
      </c>
      <c r="L170" s="812">
        <f>IFERROR(VLOOKUP($B170,flows!$A$2:$J$2954,L$2,FALSE),0)</f>
        <v>0</v>
      </c>
      <c r="M170" s="813" t="s">
        <v>3339</v>
      </c>
    </row>
    <row r="171" spans="2:13" ht="20.149999999999999" customHeight="1" x14ac:dyDescent="0.35">
      <c r="B171" s="809" t="s">
        <v>3418</v>
      </c>
      <c r="C171" s="810" t="s">
        <v>3380</v>
      </c>
      <c r="D171" s="810" t="s">
        <v>3381</v>
      </c>
      <c r="E171" s="811">
        <f>IFERROR(VLOOKUP($B171,flows!$A$2:$J$2954,E$2,FALSE),0)</f>
        <v>0</v>
      </c>
      <c r="F171" s="811">
        <f>IFERROR(VLOOKUP($B171,flows!$A$2:$J$2954,F$2,FALSE),0)</f>
        <v>0</v>
      </c>
      <c r="G171" s="811">
        <f>IFERROR(VLOOKUP($B171,flows!$A$2:$J$2954,G$2,FALSE),0)</f>
        <v>0</v>
      </c>
      <c r="H171" s="811">
        <f>IFERROR(VLOOKUP($B171,flows!$A$2:$J$2954,H$2,FALSE),0)</f>
        <v>0</v>
      </c>
      <c r="I171" s="811">
        <f>IFERROR(VLOOKUP($B171,flows!$A$2:$J$2954,I$2,FALSE),0)</f>
        <v>0</v>
      </c>
      <c r="J171" s="811">
        <f>IFERROR(VLOOKUP($B171,flows!$A$2:$J$2954,J$2,FALSE),0)</f>
        <v>0</v>
      </c>
      <c r="K171" s="811">
        <f>IFERROR(VLOOKUP($B171,flows!$A$2:$J$2954,K$2,FALSE),0)</f>
        <v>0</v>
      </c>
      <c r="L171" s="812">
        <f>IFERROR(VLOOKUP($B171,flows!$A$2:$J$2954,L$2,FALSE),0)</f>
        <v>0</v>
      </c>
      <c r="M171" s="813" t="s">
        <v>3339</v>
      </c>
    </row>
    <row r="172" spans="2:13" ht="20.149999999999999" customHeight="1" x14ac:dyDescent="0.35">
      <c r="B172" s="809" t="s">
        <v>3419</v>
      </c>
      <c r="C172" s="810" t="s">
        <v>3380</v>
      </c>
      <c r="D172" s="810" t="s">
        <v>3381</v>
      </c>
      <c r="E172" s="811">
        <f>IFERROR(VLOOKUP($B172,flows!$A$2:$J$2954,E$2,FALSE),0)</f>
        <v>8.5002114501401705E-3</v>
      </c>
      <c r="F172" s="811">
        <f>IFERROR(VLOOKUP($B172,flows!$A$2:$J$2954,F$2,FALSE),0)</f>
        <v>0</v>
      </c>
      <c r="G172" s="811">
        <f>IFERROR(VLOOKUP($B172,flows!$A$2:$J$2954,G$2,FALSE),0)</f>
        <v>15.63004931093406</v>
      </c>
      <c r="H172" s="811">
        <f>IFERROR(VLOOKUP($B172,flows!$A$2:$J$2954,H$2,FALSE),0)</f>
        <v>25.140976170358279</v>
      </c>
      <c r="I172" s="811">
        <f>IFERROR(VLOOKUP($B172,flows!$A$2:$J$2954,I$2,FALSE),0)</f>
        <v>4.1740639722620489</v>
      </c>
      <c r="J172" s="811">
        <f>IFERROR(VLOOKUP($B172,flows!$A$2:$J$2954,J$2,FALSE),0)</f>
        <v>9.82097098579659E-5</v>
      </c>
      <c r="K172" s="811">
        <f>IFERROR(VLOOKUP($B172,flows!$A$2:$J$2954,K$2,FALSE),0)</f>
        <v>6.1146909749138951E-5</v>
      </c>
      <c r="L172" s="812">
        <f>IFERROR(VLOOKUP($B172,flows!$A$2:$J$2954,L$2,FALSE),0)</f>
        <v>0</v>
      </c>
      <c r="M172" s="813" t="s">
        <v>3339</v>
      </c>
    </row>
    <row r="173" spans="2:13" ht="20.149999999999999" customHeight="1" x14ac:dyDescent="0.35">
      <c r="B173" s="809" t="s">
        <v>3420</v>
      </c>
      <c r="C173" s="810" t="s">
        <v>3380</v>
      </c>
      <c r="D173" s="810" t="s">
        <v>3381</v>
      </c>
      <c r="E173" s="811">
        <f>IFERROR(VLOOKUP($B173,flows!$A$2:$J$2954,E$2,FALSE),0)</f>
        <v>2.4179386944512991E-3</v>
      </c>
      <c r="F173" s="811">
        <f>IFERROR(VLOOKUP($B173,flows!$A$2:$J$2954,F$2,FALSE),0)</f>
        <v>0</v>
      </c>
      <c r="G173" s="811">
        <f>IFERROR(VLOOKUP($B173,flows!$A$2:$J$2954,G$2,FALSE),0)</f>
        <v>4.0965090071914094</v>
      </c>
      <c r="H173" s="811">
        <f>IFERROR(VLOOKUP($B173,flows!$A$2:$J$2954,H$2,FALSE),0)</f>
        <v>0.8665158705459296</v>
      </c>
      <c r="I173" s="811">
        <f>IFERROR(VLOOKUP($B173,flows!$A$2:$J$2954,I$2,FALSE),0)</f>
        <v>5.6886225973100694E-4</v>
      </c>
      <c r="J173" s="811">
        <f>IFERROR(VLOOKUP($B173,flows!$A$2:$J$2954,J$2,FALSE),0)</f>
        <v>2.2540261509644961E-5</v>
      </c>
      <c r="K173" s="811">
        <f>IFERROR(VLOOKUP($B173,flows!$A$2:$J$2954,K$2,FALSE),0)</f>
        <v>1.6152776363007601E-5</v>
      </c>
      <c r="L173" s="812">
        <f>IFERROR(VLOOKUP($B173,flows!$A$2:$J$2954,L$2,FALSE),0)</f>
        <v>0</v>
      </c>
      <c r="M173" s="813" t="s">
        <v>3339</v>
      </c>
    </row>
    <row r="174" spans="2:13" ht="20.149999999999999" customHeight="1" x14ac:dyDescent="0.35">
      <c r="B174" s="809" t="s">
        <v>3421</v>
      </c>
      <c r="C174" s="810" t="s">
        <v>3380</v>
      </c>
      <c r="D174" s="810" t="s">
        <v>3381</v>
      </c>
      <c r="E174" s="811">
        <f>IFERROR(VLOOKUP($B174,flows!$A$2:$J$2954,E$2,FALSE),0)</f>
        <v>5.3069500883761124E-3</v>
      </c>
      <c r="F174" s="811">
        <f>IFERROR(VLOOKUP($B174,flows!$A$2:$J$2954,F$2,FALSE),0)</f>
        <v>0</v>
      </c>
      <c r="G174" s="811">
        <f>IFERROR(VLOOKUP($B174,flows!$A$2:$J$2954,G$2,FALSE),0)</f>
        <v>0.21424414112816589</v>
      </c>
      <c r="H174" s="811">
        <f>IFERROR(VLOOKUP($B174,flows!$A$2:$J$2954,H$2,FALSE),0)</f>
        <v>5.2208257609109268E-4</v>
      </c>
      <c r="I174" s="811">
        <f>IFERROR(VLOOKUP($B174,flows!$A$2:$J$2954,I$2,FALSE),0)</f>
        <v>4.4955255545258359E-4</v>
      </c>
      <c r="J174" s="811">
        <f>IFERROR(VLOOKUP($B174,flows!$A$2:$J$2954,J$2,FALSE),0)</f>
        <v>2.8285884654166529E-5</v>
      </c>
      <c r="K174" s="811">
        <f>IFERROR(VLOOKUP($B174,flows!$A$2:$J$2954,K$2,FALSE),0)</f>
        <v>3.1433846484484688E-5</v>
      </c>
      <c r="L174" s="812">
        <f>IFERROR(VLOOKUP($B174,flows!$A$2:$J$2954,L$2,FALSE),0)</f>
        <v>0</v>
      </c>
      <c r="M174" s="813" t="s">
        <v>3339</v>
      </c>
    </row>
    <row r="175" spans="2:13" ht="20.149999999999999" customHeight="1" x14ac:dyDescent="0.35">
      <c r="B175" s="809" t="s">
        <v>3422</v>
      </c>
      <c r="C175" s="810" t="s">
        <v>3380</v>
      </c>
      <c r="D175" s="810" t="s">
        <v>3381</v>
      </c>
      <c r="E175" s="811">
        <f>IFERROR(VLOOKUP($B175,flows!$A$2:$J$2954,E$2,FALSE),0)</f>
        <v>190.4463790161702</v>
      </c>
      <c r="F175" s="811">
        <f>IFERROR(VLOOKUP($B175,flows!$A$2:$J$2954,F$2,FALSE),0)</f>
        <v>0</v>
      </c>
      <c r="G175" s="811">
        <f>IFERROR(VLOOKUP($B175,flows!$A$2:$J$2954,G$2,FALSE),0)</f>
        <v>9.5429358587005026</v>
      </c>
      <c r="H175" s="811">
        <f>IFERROR(VLOOKUP($B175,flows!$A$2:$J$2954,H$2,FALSE),0)</f>
        <v>40.461750728178068</v>
      </c>
      <c r="I175" s="811">
        <f>IFERROR(VLOOKUP($B175,flows!$A$2:$J$2954,I$2,FALSE),0)</f>
        <v>85.006107533079117</v>
      </c>
      <c r="J175" s="811">
        <f>IFERROR(VLOOKUP($B175,flows!$A$2:$J$2954,J$2,FALSE),0)</f>
        <v>100.5385516797155</v>
      </c>
      <c r="K175" s="811">
        <f>IFERROR(VLOOKUP($B175,flows!$A$2:$J$2954,K$2,FALSE),0)</f>
        <v>190.42042908267081</v>
      </c>
      <c r="L175" s="812">
        <f>IFERROR(VLOOKUP($B175,flows!$A$2:$J$2954,L$2,FALSE),0)</f>
        <v>0</v>
      </c>
      <c r="M175" s="813" t="s">
        <v>3339</v>
      </c>
    </row>
    <row r="176" spans="2:13" ht="20.149999999999999" customHeight="1" x14ac:dyDescent="0.35">
      <c r="B176" s="616" t="s">
        <v>3310</v>
      </c>
      <c r="C176" s="617"/>
      <c r="D176" s="617"/>
      <c r="E176" s="572" t="s">
        <v>23</v>
      </c>
      <c r="F176" s="572" t="s">
        <v>1798</v>
      </c>
      <c r="G176" s="572" t="s">
        <v>1799</v>
      </c>
      <c r="H176" s="572" t="s">
        <v>1800</v>
      </c>
      <c r="I176" s="572" t="s">
        <v>1801</v>
      </c>
      <c r="J176" s="572" t="s">
        <v>1802</v>
      </c>
      <c r="K176" s="572" t="s">
        <v>1803</v>
      </c>
      <c r="L176" s="573" t="s">
        <v>1804</v>
      </c>
      <c r="M176" s="618"/>
    </row>
    <row r="177" spans="2:13" ht="20.149999999999999" customHeight="1" x14ac:dyDescent="0.35">
      <c r="B177" s="809" t="s">
        <v>3423</v>
      </c>
      <c r="C177" s="810" t="s">
        <v>3380</v>
      </c>
      <c r="D177" s="810" t="s">
        <v>3381</v>
      </c>
      <c r="E177" s="811">
        <f>IFERROR(VLOOKUP($B177,flows!$A$2:$J$2954,E$2,FALSE),0)</f>
        <v>0</v>
      </c>
      <c r="F177" s="811">
        <f>IFERROR(VLOOKUP($B177,flows!$A$2:$J$2954,F$2,FALSE),0)</f>
        <v>0</v>
      </c>
      <c r="G177" s="811">
        <f>IFERROR(VLOOKUP($B177,flows!$A$2:$J$2954,G$2,FALSE),0)</f>
        <v>0</v>
      </c>
      <c r="H177" s="811">
        <f>IFERROR(VLOOKUP($B177,flows!$A$2:$J$2954,H$2,FALSE),0)</f>
        <v>0</v>
      </c>
      <c r="I177" s="811">
        <f>IFERROR(VLOOKUP($B177,flows!$A$2:$J$2954,I$2,FALSE),0)</f>
        <v>0</v>
      </c>
      <c r="J177" s="811">
        <f>IFERROR(VLOOKUP($B177,flows!$A$2:$J$2954,J$2,FALSE),0)</f>
        <v>0</v>
      </c>
      <c r="K177" s="811">
        <f>IFERROR(VLOOKUP($B177,flows!$A$2:$J$2954,K$2,FALSE),0)</f>
        <v>0</v>
      </c>
      <c r="L177" s="812">
        <f>IFERROR(VLOOKUP($B177,flows!$A$2:$J$2954,L$2,FALSE),0)</f>
        <v>0</v>
      </c>
      <c r="M177" s="813" t="s">
        <v>3339</v>
      </c>
    </row>
    <row r="178" spans="2:13" ht="20.149999999999999" customHeight="1" x14ac:dyDescent="0.35">
      <c r="B178" s="809" t="s">
        <v>3424</v>
      </c>
      <c r="C178" s="810" t="s">
        <v>3380</v>
      </c>
      <c r="D178" s="810" t="s">
        <v>3381</v>
      </c>
      <c r="E178" s="811">
        <f>IFERROR(VLOOKUP($B178,flows!$A$2:$J$2954,E$2,FALSE),0)</f>
        <v>0</v>
      </c>
      <c r="F178" s="811">
        <f>IFERROR(VLOOKUP($B178,flows!$A$2:$J$2954,F$2,FALSE),0)</f>
        <v>0</v>
      </c>
      <c r="G178" s="811">
        <f>IFERROR(VLOOKUP($B178,flows!$A$2:$J$2954,G$2,FALSE),0)</f>
        <v>0</v>
      </c>
      <c r="H178" s="811">
        <f>IFERROR(VLOOKUP($B178,flows!$A$2:$J$2954,H$2,FALSE),0)</f>
        <v>0</v>
      </c>
      <c r="I178" s="811">
        <f>IFERROR(VLOOKUP($B178,flows!$A$2:$J$2954,I$2,FALSE),0)</f>
        <v>0</v>
      </c>
      <c r="J178" s="811">
        <f>IFERROR(VLOOKUP($B178,flows!$A$2:$J$2954,J$2,FALSE),0)</f>
        <v>0</v>
      </c>
      <c r="K178" s="811">
        <f>IFERROR(VLOOKUP($B178,flows!$A$2:$J$2954,K$2,FALSE),0)</f>
        <v>0</v>
      </c>
      <c r="L178" s="812">
        <f>IFERROR(VLOOKUP($B178,flows!$A$2:$J$2954,L$2,FALSE),0)</f>
        <v>0</v>
      </c>
      <c r="M178" s="813" t="s">
        <v>3339</v>
      </c>
    </row>
    <row r="179" spans="2:13" ht="20.149999999999999" customHeight="1" x14ac:dyDescent="0.35">
      <c r="B179" s="809" t="s">
        <v>3425</v>
      </c>
      <c r="C179" s="810" t="s">
        <v>3380</v>
      </c>
      <c r="D179" s="810" t="s">
        <v>3381</v>
      </c>
      <c r="E179" s="811">
        <f>IFERROR(VLOOKUP($B179,flows!$A$2:$J$2954,E$2,FALSE),0)</f>
        <v>0</v>
      </c>
      <c r="F179" s="811">
        <f>IFERROR(VLOOKUP($B179,flows!$A$2:$J$2954,F$2,FALSE),0)</f>
        <v>0</v>
      </c>
      <c r="G179" s="811">
        <f>IFERROR(VLOOKUP($B179,flows!$A$2:$J$2954,G$2,FALSE),0)</f>
        <v>0</v>
      </c>
      <c r="H179" s="811">
        <f>IFERROR(VLOOKUP($B179,flows!$A$2:$J$2954,H$2,FALSE),0)</f>
        <v>0</v>
      </c>
      <c r="I179" s="811">
        <f>IFERROR(VLOOKUP($B179,flows!$A$2:$J$2954,I$2,FALSE),0)</f>
        <v>0</v>
      </c>
      <c r="J179" s="811">
        <f>IFERROR(VLOOKUP($B179,flows!$A$2:$J$2954,J$2,FALSE),0)</f>
        <v>0</v>
      </c>
      <c r="K179" s="811">
        <f>IFERROR(VLOOKUP($B179,flows!$A$2:$J$2954,K$2,FALSE),0)</f>
        <v>0</v>
      </c>
      <c r="L179" s="812">
        <f>IFERROR(VLOOKUP($B179,flows!$A$2:$J$2954,L$2,FALSE),0)</f>
        <v>0</v>
      </c>
      <c r="M179" s="813" t="s">
        <v>3339</v>
      </c>
    </row>
    <row r="180" spans="2:13" ht="20.149999999999999" customHeight="1" x14ac:dyDescent="0.35">
      <c r="B180" s="809" t="s">
        <v>3426</v>
      </c>
      <c r="C180" s="810" t="s">
        <v>3380</v>
      </c>
      <c r="D180" s="810" t="s">
        <v>3381</v>
      </c>
      <c r="E180" s="811">
        <f>IFERROR(VLOOKUP($B180,flows!$A$2:$J$2954,E$2,FALSE),0)</f>
        <v>0</v>
      </c>
      <c r="F180" s="811">
        <f>IFERROR(VLOOKUP($B180,flows!$A$2:$J$2954,F$2,FALSE),0)</f>
        <v>0</v>
      </c>
      <c r="G180" s="811">
        <f>IFERROR(VLOOKUP($B180,flows!$A$2:$J$2954,G$2,FALSE),0)</f>
        <v>0</v>
      </c>
      <c r="H180" s="811">
        <f>IFERROR(VLOOKUP($B180,flows!$A$2:$J$2954,H$2,FALSE),0)</f>
        <v>0</v>
      </c>
      <c r="I180" s="811">
        <f>IFERROR(VLOOKUP($B180,flows!$A$2:$J$2954,I$2,FALSE),0)</f>
        <v>0</v>
      </c>
      <c r="J180" s="811">
        <f>IFERROR(VLOOKUP($B180,flows!$A$2:$J$2954,J$2,FALSE),0)</f>
        <v>0</v>
      </c>
      <c r="K180" s="811">
        <f>IFERROR(VLOOKUP($B180,flows!$A$2:$J$2954,K$2,FALSE),0)</f>
        <v>0</v>
      </c>
      <c r="L180" s="812">
        <f>IFERROR(VLOOKUP($B180,flows!$A$2:$J$2954,L$2,FALSE),0)</f>
        <v>0</v>
      </c>
      <c r="M180" s="813" t="s">
        <v>3339</v>
      </c>
    </row>
    <row r="181" spans="2:13" ht="20.149999999999999" customHeight="1" x14ac:dyDescent="0.35">
      <c r="B181" s="809" t="s">
        <v>3427</v>
      </c>
      <c r="C181" s="810" t="s">
        <v>3380</v>
      </c>
      <c r="D181" s="810" t="s">
        <v>3381</v>
      </c>
      <c r="E181" s="811">
        <f>IFERROR(VLOOKUP($B181,flows!$A$2:$J$2954,E$2,FALSE),0)</f>
        <v>0</v>
      </c>
      <c r="F181" s="811">
        <f>IFERROR(VLOOKUP($B181,flows!$A$2:$J$2954,F$2,FALSE),0)</f>
        <v>0</v>
      </c>
      <c r="G181" s="811">
        <f>IFERROR(VLOOKUP($B181,flows!$A$2:$J$2954,G$2,FALSE),0)</f>
        <v>0</v>
      </c>
      <c r="H181" s="811">
        <f>IFERROR(VLOOKUP($B181,flows!$A$2:$J$2954,H$2,FALSE),0)</f>
        <v>0</v>
      </c>
      <c r="I181" s="811">
        <f>IFERROR(VLOOKUP($B181,flows!$A$2:$J$2954,I$2,FALSE),0)</f>
        <v>0</v>
      </c>
      <c r="J181" s="811">
        <f>IFERROR(VLOOKUP($B181,flows!$A$2:$J$2954,J$2,FALSE),0)</f>
        <v>0</v>
      </c>
      <c r="K181" s="811">
        <f>IFERROR(VLOOKUP($B181,flows!$A$2:$J$2954,K$2,FALSE),0)</f>
        <v>0</v>
      </c>
      <c r="L181" s="812">
        <f>IFERROR(VLOOKUP($B181,flows!$A$2:$J$2954,L$2,FALSE),0)</f>
        <v>0</v>
      </c>
      <c r="M181" s="813" t="s">
        <v>3339</v>
      </c>
    </row>
    <row r="182" spans="2:13" ht="20.149999999999999" customHeight="1" x14ac:dyDescent="0.35">
      <c r="B182" s="809" t="s">
        <v>3428</v>
      </c>
      <c r="C182" s="810" t="s">
        <v>3380</v>
      </c>
      <c r="D182" s="810" t="s">
        <v>3381</v>
      </c>
      <c r="E182" s="811">
        <f>IFERROR(VLOOKUP($B182,flows!$A$2:$J$2954,E$2,FALSE),0)</f>
        <v>0</v>
      </c>
      <c r="F182" s="811">
        <f>IFERROR(VLOOKUP($B182,flows!$A$2:$J$2954,F$2,FALSE),0)</f>
        <v>0</v>
      </c>
      <c r="G182" s="811">
        <f>IFERROR(VLOOKUP($B182,flows!$A$2:$J$2954,G$2,FALSE),0)</f>
        <v>0</v>
      </c>
      <c r="H182" s="811">
        <f>IFERROR(VLOOKUP($B182,flows!$A$2:$J$2954,H$2,FALSE),0)</f>
        <v>0</v>
      </c>
      <c r="I182" s="811">
        <f>IFERROR(VLOOKUP($B182,flows!$A$2:$J$2954,I$2,FALSE),0)</f>
        <v>0</v>
      </c>
      <c r="J182" s="811">
        <f>IFERROR(VLOOKUP($B182,flows!$A$2:$J$2954,J$2,FALSE),0)</f>
        <v>0</v>
      </c>
      <c r="K182" s="811">
        <f>IFERROR(VLOOKUP($B182,flows!$A$2:$J$2954,K$2,FALSE),0)</f>
        <v>0</v>
      </c>
      <c r="L182" s="812">
        <f>IFERROR(VLOOKUP($B182,flows!$A$2:$J$2954,L$2,FALSE),0)</f>
        <v>0</v>
      </c>
      <c r="M182" s="813" t="s">
        <v>3339</v>
      </c>
    </row>
    <row r="183" spans="2:13" ht="20.149999999999999" customHeight="1" x14ac:dyDescent="0.35">
      <c r="B183" s="809" t="s">
        <v>3429</v>
      </c>
      <c r="C183" s="810" t="s">
        <v>3380</v>
      </c>
      <c r="D183" s="810" t="s">
        <v>3381</v>
      </c>
      <c r="E183" s="811">
        <f>IFERROR(VLOOKUP($B183,flows!$A$2:$J$2954,E$2,FALSE),0)</f>
        <v>0</v>
      </c>
      <c r="F183" s="811">
        <f>IFERROR(VLOOKUP($B183,flows!$A$2:$J$2954,F$2,FALSE),0)</f>
        <v>0</v>
      </c>
      <c r="G183" s="811">
        <f>IFERROR(VLOOKUP($B183,flows!$A$2:$J$2954,G$2,FALSE),0)</f>
        <v>0</v>
      </c>
      <c r="H183" s="811">
        <f>IFERROR(VLOOKUP($B183,flows!$A$2:$J$2954,H$2,FALSE),0)</f>
        <v>0</v>
      </c>
      <c r="I183" s="811">
        <f>IFERROR(VLOOKUP($B183,flows!$A$2:$J$2954,I$2,FALSE),0)</f>
        <v>0</v>
      </c>
      <c r="J183" s="811">
        <f>IFERROR(VLOOKUP($B183,flows!$A$2:$J$2954,J$2,FALSE),0)</f>
        <v>0</v>
      </c>
      <c r="K183" s="811">
        <f>IFERROR(VLOOKUP($B183,flows!$A$2:$J$2954,K$2,FALSE),0)</f>
        <v>0</v>
      </c>
      <c r="L183" s="812">
        <f>IFERROR(VLOOKUP($B183,flows!$A$2:$J$2954,L$2,FALSE),0)</f>
        <v>0</v>
      </c>
      <c r="M183" s="813" t="s">
        <v>3339</v>
      </c>
    </row>
    <row r="184" spans="2:13" ht="20.149999999999999" customHeight="1" x14ac:dyDescent="0.35">
      <c r="B184" s="809" t="s">
        <v>3430</v>
      </c>
      <c r="C184" s="810" t="s">
        <v>3380</v>
      </c>
      <c r="D184" s="810" t="s">
        <v>3381</v>
      </c>
      <c r="E184" s="811">
        <f>IFERROR(VLOOKUP($B184,flows!$A$2:$J$2954,E$2,FALSE),0)</f>
        <v>0</v>
      </c>
      <c r="F184" s="811">
        <f>IFERROR(VLOOKUP($B184,flows!$A$2:$J$2954,F$2,FALSE),0)</f>
        <v>0</v>
      </c>
      <c r="G184" s="811">
        <f>IFERROR(VLOOKUP($B184,flows!$A$2:$J$2954,G$2,FALSE),0)</f>
        <v>0</v>
      </c>
      <c r="H184" s="811">
        <f>IFERROR(VLOOKUP($B184,flows!$A$2:$J$2954,H$2,FALSE),0)</f>
        <v>0</v>
      </c>
      <c r="I184" s="811">
        <f>IFERROR(VLOOKUP($B184,flows!$A$2:$J$2954,I$2,FALSE),0)</f>
        <v>0</v>
      </c>
      <c r="J184" s="811">
        <f>IFERROR(VLOOKUP($B184,flows!$A$2:$J$2954,J$2,FALSE),0)</f>
        <v>0</v>
      </c>
      <c r="K184" s="811">
        <f>IFERROR(VLOOKUP($B184,flows!$A$2:$J$2954,K$2,FALSE),0)</f>
        <v>0</v>
      </c>
      <c r="L184" s="812">
        <f>IFERROR(VLOOKUP($B184,flows!$A$2:$J$2954,L$2,FALSE),0)</f>
        <v>0</v>
      </c>
      <c r="M184" s="813" t="s">
        <v>3339</v>
      </c>
    </row>
    <row r="185" spans="2:13" ht="20.149999999999999" customHeight="1" x14ac:dyDescent="0.35">
      <c r="B185" s="809" t="s">
        <v>3431</v>
      </c>
      <c r="C185" s="810" t="s">
        <v>3380</v>
      </c>
      <c r="D185" s="810" t="s">
        <v>3381</v>
      </c>
      <c r="E185" s="811">
        <f>IFERROR(VLOOKUP($B185,flows!$A$2:$J$2954,E$2,FALSE),0)</f>
        <v>0</v>
      </c>
      <c r="F185" s="811">
        <f>IFERROR(VLOOKUP($B185,flows!$A$2:$J$2954,F$2,FALSE),0)</f>
        <v>0</v>
      </c>
      <c r="G185" s="811">
        <f>IFERROR(VLOOKUP($B185,flows!$A$2:$J$2954,G$2,FALSE),0)</f>
        <v>0</v>
      </c>
      <c r="H185" s="811">
        <f>IFERROR(VLOOKUP($B185,flows!$A$2:$J$2954,H$2,FALSE),0)</f>
        <v>0</v>
      </c>
      <c r="I185" s="811">
        <f>IFERROR(VLOOKUP($B185,flows!$A$2:$J$2954,I$2,FALSE),0)</f>
        <v>0</v>
      </c>
      <c r="J185" s="811">
        <f>IFERROR(VLOOKUP($B185,flows!$A$2:$J$2954,J$2,FALSE),0)</f>
        <v>0</v>
      </c>
      <c r="K185" s="811">
        <f>IFERROR(VLOOKUP($B185,flows!$A$2:$J$2954,K$2,FALSE),0)</f>
        <v>0</v>
      </c>
      <c r="L185" s="812">
        <f>IFERROR(VLOOKUP($B185,flows!$A$2:$J$2954,L$2,FALSE),0)</f>
        <v>0</v>
      </c>
      <c r="M185" s="813" t="s">
        <v>3339</v>
      </c>
    </row>
    <row r="186" spans="2:13" ht="20.149999999999999" customHeight="1" x14ac:dyDescent="0.35">
      <c r="B186" s="809" t="s">
        <v>3432</v>
      </c>
      <c r="C186" s="810" t="s">
        <v>3380</v>
      </c>
      <c r="D186" s="810" t="s">
        <v>3381</v>
      </c>
      <c r="E186" s="811">
        <f>IFERROR(VLOOKUP($B186,flows!$A$2:$J$2954,E$2,FALSE),0)</f>
        <v>0</v>
      </c>
      <c r="F186" s="811">
        <f>IFERROR(VLOOKUP($B186,flows!$A$2:$J$2954,F$2,FALSE),0)</f>
        <v>0</v>
      </c>
      <c r="G186" s="811">
        <f>IFERROR(VLOOKUP($B186,flows!$A$2:$J$2954,G$2,FALSE),0)</f>
        <v>0</v>
      </c>
      <c r="H186" s="811">
        <f>IFERROR(VLOOKUP($B186,flows!$A$2:$J$2954,H$2,FALSE),0)</f>
        <v>0</v>
      </c>
      <c r="I186" s="811">
        <f>IFERROR(VLOOKUP($B186,flows!$A$2:$J$2954,I$2,FALSE),0)</f>
        <v>0</v>
      </c>
      <c r="J186" s="811">
        <f>IFERROR(VLOOKUP($B186,flows!$A$2:$J$2954,J$2,FALSE),0)</f>
        <v>0</v>
      </c>
      <c r="K186" s="811">
        <f>IFERROR(VLOOKUP($B186,flows!$A$2:$J$2954,K$2,FALSE),0)</f>
        <v>0</v>
      </c>
      <c r="L186" s="812">
        <f>IFERROR(VLOOKUP($B186,flows!$A$2:$J$2954,L$2,FALSE),0)</f>
        <v>0</v>
      </c>
      <c r="M186" s="813" t="s">
        <v>3339</v>
      </c>
    </row>
    <row r="187" spans="2:13" ht="20.149999999999999" customHeight="1" x14ac:dyDescent="0.35">
      <c r="B187" s="809" t="s">
        <v>3433</v>
      </c>
      <c r="C187" s="810" t="s">
        <v>3380</v>
      </c>
      <c r="D187" s="810" t="s">
        <v>3381</v>
      </c>
      <c r="E187" s="811">
        <f>IFERROR(VLOOKUP($B187,flows!$A$2:$J$2954,E$2,FALSE),0)</f>
        <v>0</v>
      </c>
      <c r="F187" s="811">
        <f>IFERROR(VLOOKUP($B187,flows!$A$2:$J$2954,F$2,FALSE),0)</f>
        <v>0</v>
      </c>
      <c r="G187" s="811">
        <f>IFERROR(VLOOKUP($B187,flows!$A$2:$J$2954,G$2,FALSE),0)</f>
        <v>0</v>
      </c>
      <c r="H187" s="811">
        <f>IFERROR(VLOOKUP($B187,flows!$A$2:$J$2954,H$2,FALSE),0)</f>
        <v>0</v>
      </c>
      <c r="I187" s="811">
        <f>IFERROR(VLOOKUP($B187,flows!$A$2:$J$2954,I$2,FALSE),0)</f>
        <v>0</v>
      </c>
      <c r="J187" s="811">
        <f>IFERROR(VLOOKUP($B187,flows!$A$2:$J$2954,J$2,FALSE),0)</f>
        <v>0</v>
      </c>
      <c r="K187" s="811">
        <f>IFERROR(VLOOKUP($B187,flows!$A$2:$J$2954,K$2,FALSE),0)</f>
        <v>0</v>
      </c>
      <c r="L187" s="812">
        <f>IFERROR(VLOOKUP($B187,flows!$A$2:$J$2954,L$2,FALSE),0)</f>
        <v>0</v>
      </c>
      <c r="M187" s="813" t="s">
        <v>3339</v>
      </c>
    </row>
    <row r="188" spans="2:13" ht="20.149999999999999" customHeight="1" x14ac:dyDescent="0.35">
      <c r="B188" s="809" t="s">
        <v>3434</v>
      </c>
      <c r="C188" s="810" t="s">
        <v>3380</v>
      </c>
      <c r="D188" s="810" t="s">
        <v>3381</v>
      </c>
      <c r="E188" s="811">
        <f>IFERROR(VLOOKUP($B188,flows!$A$2:$J$2954,E$2,FALSE),0)</f>
        <v>0</v>
      </c>
      <c r="F188" s="811">
        <f>IFERROR(VLOOKUP($B188,flows!$A$2:$J$2954,F$2,FALSE),0)</f>
        <v>0</v>
      </c>
      <c r="G188" s="811">
        <f>IFERROR(VLOOKUP($B188,flows!$A$2:$J$2954,G$2,FALSE),0)</f>
        <v>0</v>
      </c>
      <c r="H188" s="811">
        <f>IFERROR(VLOOKUP($B188,flows!$A$2:$J$2954,H$2,FALSE),0)</f>
        <v>0</v>
      </c>
      <c r="I188" s="811">
        <f>IFERROR(VLOOKUP($B188,flows!$A$2:$J$2954,I$2,FALSE),0)</f>
        <v>0</v>
      </c>
      <c r="J188" s="811">
        <f>IFERROR(VLOOKUP($B188,flows!$A$2:$J$2954,J$2,FALSE),0)</f>
        <v>0</v>
      </c>
      <c r="K188" s="811">
        <f>IFERROR(VLOOKUP($B188,flows!$A$2:$J$2954,K$2,FALSE),0)</f>
        <v>0</v>
      </c>
      <c r="L188" s="812">
        <f>IFERROR(VLOOKUP($B188,flows!$A$2:$J$2954,L$2,FALSE),0)</f>
        <v>0</v>
      </c>
      <c r="M188" s="813" t="s">
        <v>3339</v>
      </c>
    </row>
    <row r="189" spans="2:13" ht="20.149999999999999" customHeight="1" x14ac:dyDescent="0.35">
      <c r="B189" s="616" t="s">
        <v>3160</v>
      </c>
      <c r="C189" s="628"/>
      <c r="D189" s="628"/>
      <c r="E189" s="572" t="s">
        <v>23</v>
      </c>
      <c r="F189" s="572" t="s">
        <v>1798</v>
      </c>
      <c r="G189" s="572" t="s">
        <v>1799</v>
      </c>
      <c r="H189" s="572" t="s">
        <v>1800</v>
      </c>
      <c r="I189" s="572" t="s">
        <v>1801</v>
      </c>
      <c r="J189" s="572" t="s">
        <v>1802</v>
      </c>
      <c r="K189" s="572" t="s">
        <v>1803</v>
      </c>
      <c r="L189" s="573" t="s">
        <v>1804</v>
      </c>
      <c r="M189" s="618"/>
    </row>
    <row r="190" spans="2:13" ht="20.149999999999999" customHeight="1" x14ac:dyDescent="0.35">
      <c r="B190" s="814" t="s">
        <v>3435</v>
      </c>
      <c r="C190" s="815" t="s">
        <v>3436</v>
      </c>
      <c r="D190" s="815" t="s">
        <v>3437</v>
      </c>
      <c r="E190" s="816">
        <f>IFERROR(VLOOKUP($B190,flows!$A$2:$J$2954,E$2,FALSE),0)</f>
        <v>4.3827743485359977E-3</v>
      </c>
      <c r="F190" s="816">
        <f>IFERROR(VLOOKUP($B190,flows!$A$2:$J$2954,F$2,FALSE),0)</f>
        <v>147.82848007047721</v>
      </c>
      <c r="G190" s="816">
        <f>IFERROR(VLOOKUP($B190,flows!$A$2:$J$2954,G$2,FALSE),0)</f>
        <v>43.910994336751699</v>
      </c>
      <c r="H190" s="816">
        <f>IFERROR(VLOOKUP($B190,flows!$A$2:$J$2954,H$2,FALSE),0)</f>
        <v>1.378657753998006E-2</v>
      </c>
      <c r="I190" s="816">
        <f>IFERROR(VLOOKUP($B190,flows!$A$2:$J$2954,I$2,FALSE),0)</f>
        <v>0.52406563503331016</v>
      </c>
      <c r="J190" s="816">
        <f>IFERROR(VLOOKUP($B190,flows!$A$2:$J$2954,J$2,FALSE),0)</f>
        <v>2.3368590336483809E-4</v>
      </c>
      <c r="K190" s="816">
        <f>IFERROR(VLOOKUP($B190,flows!$A$2:$J$2954,K$2,FALSE),0)</f>
        <v>1.4701672687244249E-5</v>
      </c>
      <c r="L190" s="817">
        <f>IFERROR(VLOOKUP($B190,flows!$A$2:$J$2954,L$2,FALSE),0)</f>
        <v>0</v>
      </c>
      <c r="M190" s="818" t="s">
        <v>3339</v>
      </c>
    </row>
    <row r="191" spans="2:13" ht="20.149999999999999" customHeight="1" x14ac:dyDescent="0.35">
      <c r="B191" s="819" t="s">
        <v>3438</v>
      </c>
      <c r="C191" s="815" t="s">
        <v>3436</v>
      </c>
      <c r="D191" s="815" t="s">
        <v>3437</v>
      </c>
      <c r="E191" s="816">
        <f>IFERROR(VLOOKUP($B191,flows!$A$2:$J$2954,E$2,FALSE),0)</f>
        <v>4.2950411564428269E-3</v>
      </c>
      <c r="F191" s="816">
        <f>IFERROR(VLOOKUP($B191,flows!$A$2:$J$2954,F$2,FALSE),0)</f>
        <v>399.39676047691688</v>
      </c>
      <c r="G191" s="816">
        <f>IFERROR(VLOOKUP($B191,flows!$A$2:$J$2954,G$2,FALSE),0)</f>
        <v>34.852569886268007</v>
      </c>
      <c r="H191" s="816">
        <f>IFERROR(VLOOKUP($B191,flows!$A$2:$J$2954,H$2,FALSE),0)</f>
        <v>1.2042253777541831E-2</v>
      </c>
      <c r="I191" s="816">
        <f>IFERROR(VLOOKUP($B191,flows!$A$2:$J$2954,I$2,FALSE),0)</f>
        <v>0.38981658557481752</v>
      </c>
      <c r="J191" s="816">
        <f>IFERROR(VLOOKUP($B191,flows!$A$2:$J$2954,J$2,FALSE),0)</f>
        <v>2.0989261574397449E-4</v>
      </c>
      <c r="K191" s="816">
        <f>IFERROR(VLOOKUP($B191,flows!$A$2:$J$2954,K$2,FALSE),0)</f>
        <v>1.436897794631778E-5</v>
      </c>
      <c r="L191" s="817">
        <f>IFERROR(VLOOKUP($B191,flows!$A$2:$J$2954,L$2,FALSE),0)</f>
        <v>0</v>
      </c>
      <c r="M191" s="818" t="s">
        <v>3339</v>
      </c>
    </row>
    <row r="192" spans="2:13" ht="20.149999999999999" customHeight="1" x14ac:dyDescent="0.35">
      <c r="B192" s="819" t="s">
        <v>3439</v>
      </c>
      <c r="C192" s="815" t="s">
        <v>3436</v>
      </c>
      <c r="D192" s="815" t="s">
        <v>3437</v>
      </c>
      <c r="E192" s="816">
        <f>IFERROR(VLOOKUP($B192,flows!$A$2:$J$2954,E$2,FALSE),0)</f>
        <v>5.2670460907789348E-3</v>
      </c>
      <c r="F192" s="816">
        <f>IFERROR(VLOOKUP($B192,flows!$A$2:$J$2954,F$2,FALSE),0)</f>
        <v>0</v>
      </c>
      <c r="G192" s="816">
        <f>IFERROR(VLOOKUP($B192,flows!$A$2:$J$2954,G$2,FALSE),0)</f>
        <v>24.505115296973059</v>
      </c>
      <c r="H192" s="816">
        <f>IFERROR(VLOOKUP($B192,flows!$A$2:$J$2954,H$2,FALSE),0)</f>
        <v>8.3136093748204225E-3</v>
      </c>
      <c r="I192" s="816">
        <f>IFERROR(VLOOKUP($B192,flows!$A$2:$J$2954,I$2,FALSE),0)</f>
        <v>3.3730489288537318E-3</v>
      </c>
      <c r="J192" s="816">
        <f>IFERROR(VLOOKUP($B192,flows!$A$2:$J$2954,J$2,FALSE),0)</f>
        <v>3.5417240763553918E-4</v>
      </c>
      <c r="K192" s="816">
        <f>IFERROR(VLOOKUP($B192,flows!$A$2:$J$2954,K$2,FALSE),0)</f>
        <v>1.7562450764821051E-5</v>
      </c>
      <c r="L192" s="817">
        <f>IFERROR(VLOOKUP($B192,flows!$A$2:$J$2954,L$2,FALSE),0)</f>
        <v>0</v>
      </c>
      <c r="M192" s="818" t="s">
        <v>3339</v>
      </c>
    </row>
    <row r="193" spans="2:13" ht="20.149999999999999" customHeight="1" x14ac:dyDescent="0.35">
      <c r="B193" s="819" t="s">
        <v>3440</v>
      </c>
      <c r="C193" s="815" t="s">
        <v>3436</v>
      </c>
      <c r="D193" s="815" t="s">
        <v>3437</v>
      </c>
      <c r="E193" s="816">
        <f>IFERROR(VLOOKUP($B193,flows!$A$2:$J$2954,E$2,FALSE),0)</f>
        <v>5.2577975917219933E-3</v>
      </c>
      <c r="F193" s="816">
        <f>IFERROR(VLOOKUP($B193,flows!$A$2:$J$2954,F$2,FALSE),0)</f>
        <v>0</v>
      </c>
      <c r="G193" s="816">
        <f>IFERROR(VLOOKUP($B193,flows!$A$2:$J$2954,G$2,FALSE),0)</f>
        <v>12.332958163836</v>
      </c>
      <c r="H193" s="816">
        <f>IFERROR(VLOOKUP($B193,flows!$A$2:$J$2954,H$2,FALSE),0)</f>
        <v>7.2943275511706089E-3</v>
      </c>
      <c r="I193" s="816">
        <f>IFERROR(VLOOKUP($B193,flows!$A$2:$J$2954,I$2,FALSE),0)</f>
        <v>3.160630289843749E-3</v>
      </c>
      <c r="J193" s="816">
        <f>IFERROR(VLOOKUP($B193,flows!$A$2:$J$2954,J$2,FALSE),0)</f>
        <v>3.198226027826022E-4</v>
      </c>
      <c r="K193" s="816">
        <f>IFERROR(VLOOKUP($B193,flows!$A$2:$J$2954,K$2,FALSE),0)</f>
        <v>1.7465983133330469E-5</v>
      </c>
      <c r="L193" s="817">
        <f>IFERROR(VLOOKUP($B193,flows!$A$2:$J$2954,L$2,FALSE),0)</f>
        <v>0</v>
      </c>
      <c r="M193" s="818" t="s">
        <v>3339</v>
      </c>
    </row>
    <row r="194" spans="2:13" ht="20.149999999999999" customHeight="1" x14ac:dyDescent="0.35">
      <c r="B194" s="616" t="s">
        <v>3239</v>
      </c>
      <c r="C194" s="617"/>
      <c r="D194" s="617"/>
      <c r="E194" s="572" t="s">
        <v>23</v>
      </c>
      <c r="F194" s="572" t="s">
        <v>1798</v>
      </c>
      <c r="G194" s="572" t="s">
        <v>1799</v>
      </c>
      <c r="H194" s="572" t="s">
        <v>1800</v>
      </c>
      <c r="I194" s="572" t="s">
        <v>1801</v>
      </c>
      <c r="J194" s="572" t="s">
        <v>1802</v>
      </c>
      <c r="K194" s="572" t="s">
        <v>1803</v>
      </c>
      <c r="L194" s="573" t="s">
        <v>1804</v>
      </c>
      <c r="M194" s="618"/>
    </row>
    <row r="195" spans="2:13" ht="20.149999999999999" customHeight="1" x14ac:dyDescent="0.35">
      <c r="B195" s="819" t="s">
        <v>3441</v>
      </c>
      <c r="C195" s="815" t="s">
        <v>3436</v>
      </c>
      <c r="D195" s="815" t="s">
        <v>3437</v>
      </c>
      <c r="E195" s="816">
        <f>IFERROR(VLOOKUP($B195,flows!$A$2:$J$2954,E$2,FALSE),0)</f>
        <v>5.0606342479440902E-3</v>
      </c>
      <c r="F195" s="816">
        <f>IFERROR(VLOOKUP($B195,flows!$A$2:$J$2954,F$2,FALSE),0)</f>
        <v>165.73624939225689</v>
      </c>
      <c r="G195" s="816">
        <f>IFERROR(VLOOKUP($B195,flows!$A$2:$J$2954,G$2,FALSE),0)</f>
        <v>36.797152777732407</v>
      </c>
      <c r="H195" s="816">
        <f>IFERROR(VLOOKUP($B195,flows!$A$2:$J$2954,H$2,FALSE),0)</f>
        <v>3.402107570732043</v>
      </c>
      <c r="I195" s="816">
        <f>IFERROR(VLOOKUP($B195,flows!$A$2:$J$2954,I$2,FALSE),0)</f>
        <v>0.70906744096915042</v>
      </c>
      <c r="J195" s="816">
        <f>IFERROR(VLOOKUP($B195,flows!$A$2:$J$2954,J$2,FALSE),0)</f>
        <v>2.7189114169035071E-4</v>
      </c>
      <c r="K195" s="816">
        <f>IFERROR(VLOOKUP($B195,flows!$A$2:$J$2954,K$2,FALSE),0)</f>
        <v>1.7438408448003831E-5</v>
      </c>
      <c r="L195" s="817">
        <f>IFERROR(VLOOKUP($B195,flows!$A$2:$J$2954,L$2,FALSE),0)</f>
        <v>0</v>
      </c>
      <c r="M195" s="818" t="s">
        <v>3339</v>
      </c>
    </row>
    <row r="196" spans="2:13" ht="20.149999999999999" customHeight="1" x14ac:dyDescent="0.35">
      <c r="B196" s="819" t="s">
        <v>3442</v>
      </c>
      <c r="C196" s="815" t="s">
        <v>3436</v>
      </c>
      <c r="D196" s="815" t="s">
        <v>3437</v>
      </c>
      <c r="E196" s="816">
        <f>IFERROR(VLOOKUP($B196,flows!$A$2:$J$2954,E$2,FALSE),0)</f>
        <v>5.0674343334309296E-3</v>
      </c>
      <c r="F196" s="816">
        <f>IFERROR(VLOOKUP($B196,flows!$A$2:$J$2954,F$2,FALSE),0)</f>
        <v>262.64634931057577</v>
      </c>
      <c r="G196" s="816">
        <f>IFERROR(VLOOKUP($B196,flows!$A$2:$J$2954,G$2,FALSE),0)</f>
        <v>35.490012925430037</v>
      </c>
      <c r="H196" s="816">
        <f>IFERROR(VLOOKUP($B196,flows!$A$2:$J$2954,H$2,FALSE),0)</f>
        <v>4.2020486871927698</v>
      </c>
      <c r="I196" s="816">
        <f>IFERROR(VLOOKUP($B196,flows!$A$2:$J$2954,I$2,FALSE),0)</f>
        <v>0.57747074799498055</v>
      </c>
      <c r="J196" s="816">
        <f>IFERROR(VLOOKUP($B196,flows!$A$2:$J$2954,J$2,FALSE),0)</f>
        <v>2.6994060321070711E-4</v>
      </c>
      <c r="K196" s="816">
        <f>IFERROR(VLOOKUP($B196,flows!$A$2:$J$2954,K$2,FALSE),0)</f>
        <v>1.74580984989033E-5</v>
      </c>
      <c r="L196" s="817">
        <f>IFERROR(VLOOKUP($B196,flows!$A$2:$J$2954,L$2,FALSE),0)</f>
        <v>0</v>
      </c>
      <c r="M196" s="818" t="s">
        <v>3339</v>
      </c>
    </row>
    <row r="197" spans="2:13" ht="20.149999999999999" customHeight="1" x14ac:dyDescent="0.35">
      <c r="B197" s="819" t="s">
        <v>3443</v>
      </c>
      <c r="C197" s="815" t="s">
        <v>3436</v>
      </c>
      <c r="D197" s="815" t="s">
        <v>3437</v>
      </c>
      <c r="E197" s="816">
        <f>IFERROR(VLOOKUP($B197,flows!$A$2:$J$2954,E$2,FALSE),0)</f>
        <v>4.5310741218972479E-3</v>
      </c>
      <c r="F197" s="816">
        <f>IFERROR(VLOOKUP($B197,flows!$A$2:$J$2954,F$2,FALSE),0)</f>
        <v>0</v>
      </c>
      <c r="G197" s="816">
        <f>IFERROR(VLOOKUP($B197,flows!$A$2:$J$2954,G$2,FALSE),0)</f>
        <v>5.0157027142980439</v>
      </c>
      <c r="H197" s="816">
        <f>IFERROR(VLOOKUP($B197,flows!$A$2:$J$2954,H$2,FALSE),0)</f>
        <v>8.5404666220162111E-3</v>
      </c>
      <c r="I197" s="816">
        <f>IFERROR(VLOOKUP($B197,flows!$A$2:$J$2954,I$2,FALSE),0)</f>
        <v>2.226327806232358E-3</v>
      </c>
      <c r="J197" s="816">
        <f>IFERROR(VLOOKUP($B197,flows!$A$2:$J$2954,J$2,FALSE),0)</f>
        <v>1.9518847442101899E-4</v>
      </c>
      <c r="K197" s="816">
        <f>IFERROR(VLOOKUP($B197,flows!$A$2:$J$2954,K$2,FALSE),0)</f>
        <v>1.501872274468428E-5</v>
      </c>
      <c r="L197" s="817">
        <f>IFERROR(VLOOKUP($B197,flows!$A$2:$J$2954,L$2,FALSE),0)</f>
        <v>0</v>
      </c>
      <c r="M197" s="818" t="s">
        <v>3339</v>
      </c>
    </row>
    <row r="198" spans="2:13" ht="20.149999999999999" customHeight="1" x14ac:dyDescent="0.35">
      <c r="B198" s="819" t="s">
        <v>3444</v>
      </c>
      <c r="C198" s="815" t="s">
        <v>3436</v>
      </c>
      <c r="D198" s="815" t="s">
        <v>3437</v>
      </c>
      <c r="E198" s="816">
        <f>IFERROR(VLOOKUP($B198,flows!$A$2:$J$2954,E$2,FALSE),0)</f>
        <v>5.5833200311354598E-3</v>
      </c>
      <c r="F198" s="816">
        <f>IFERROR(VLOOKUP($B198,flows!$A$2:$J$2954,F$2,FALSE),0)</f>
        <v>0</v>
      </c>
      <c r="G198" s="816">
        <f>IFERROR(VLOOKUP($B198,flows!$A$2:$J$2954,G$2,FALSE),0)</f>
        <v>3.8738745584318042</v>
      </c>
      <c r="H198" s="816">
        <f>IFERROR(VLOOKUP($B198,flows!$A$2:$J$2954,H$2,FALSE),0)</f>
        <v>7.3670939618952266E-3</v>
      </c>
      <c r="I198" s="816">
        <f>IFERROR(VLOOKUP($B198,flows!$A$2:$J$2954,I$2,FALSE),0)</f>
        <v>2.315239315952906E-3</v>
      </c>
      <c r="J198" s="816">
        <f>IFERROR(VLOOKUP($B198,flows!$A$2:$J$2954,J$2,FALSE),0)</f>
        <v>1.7534780571901929E-4</v>
      </c>
      <c r="K198" s="816">
        <f>IFERROR(VLOOKUP($B198,flows!$A$2:$J$2954,K$2,FALSE),0)</f>
        <v>1.8396023348903409E-5</v>
      </c>
      <c r="L198" s="817">
        <f>IFERROR(VLOOKUP($B198,flows!$A$2:$J$2954,L$2,FALSE),0)</f>
        <v>0</v>
      </c>
      <c r="M198" s="818" t="s">
        <v>3339</v>
      </c>
    </row>
    <row r="199" spans="2:13" ht="20.149999999999999" customHeight="1" x14ac:dyDescent="0.35">
      <c r="B199" s="616" t="s">
        <v>3160</v>
      </c>
      <c r="C199" s="628"/>
      <c r="D199" s="628"/>
      <c r="E199" s="572" t="s">
        <v>23</v>
      </c>
      <c r="F199" s="572" t="s">
        <v>1798</v>
      </c>
      <c r="G199" s="572" t="s">
        <v>1799</v>
      </c>
      <c r="H199" s="572" t="s">
        <v>1800</v>
      </c>
      <c r="I199" s="572" t="s">
        <v>1801</v>
      </c>
      <c r="J199" s="572" t="s">
        <v>1802</v>
      </c>
      <c r="K199" s="572" t="s">
        <v>1803</v>
      </c>
      <c r="L199" s="573" t="s">
        <v>1804</v>
      </c>
      <c r="M199" s="618"/>
    </row>
    <row r="200" spans="2:13" ht="20.149999999999999" customHeight="1" x14ac:dyDescent="0.35">
      <c r="B200" s="820" t="s">
        <v>3445</v>
      </c>
      <c r="C200" s="821" t="s">
        <v>3446</v>
      </c>
      <c r="D200" s="821" t="s">
        <v>3447</v>
      </c>
      <c r="E200" s="822">
        <f>IFERROR(VLOOKUP($B200,flows!$A$2:$J$2954,E$2,FALSE),0)</f>
        <v>2.1337420130900901E-2</v>
      </c>
      <c r="F200" s="822">
        <f>IFERROR(VLOOKUP($B200,flows!$A$2:$J$2954,F$2,FALSE),0)</f>
        <v>0</v>
      </c>
      <c r="G200" s="822">
        <f>IFERROR(VLOOKUP($B200,flows!$A$2:$J$2954,G$2,FALSE),0)</f>
        <v>1.637485392220807</v>
      </c>
      <c r="H200" s="822">
        <f>IFERROR(VLOOKUP($B200,flows!$A$2:$J$2954,H$2,FALSE),0)</f>
        <v>3.487926657163856E-3</v>
      </c>
      <c r="I200" s="822">
        <f>IFERROR(VLOOKUP($B200,flows!$A$2:$J$2954,I$2,FALSE),0)</f>
        <v>2.8867999863454639E-3</v>
      </c>
      <c r="J200" s="822">
        <f>IFERROR(VLOOKUP($B200,flows!$A$2:$J$2954,J$2,FALSE),0)</f>
        <v>2.669121610132797E-4</v>
      </c>
      <c r="K200" s="822">
        <f>IFERROR(VLOOKUP($B200,flows!$A$2:$J$2954,K$2,FALSE),0)</f>
        <v>6.1574596096992625E-5</v>
      </c>
      <c r="L200" s="822">
        <f>IFERROR(VLOOKUP($B200,flows!$A$2:$J$2954,L$2,FALSE),0)</f>
        <v>0</v>
      </c>
      <c r="M200" s="823" t="s">
        <v>3339</v>
      </c>
    </row>
    <row r="201" spans="2:13" ht="20.149999999999999" customHeight="1" x14ac:dyDescent="0.35">
      <c r="B201" s="820" t="s">
        <v>3448</v>
      </c>
      <c r="C201" s="821" t="s">
        <v>3446</v>
      </c>
      <c r="D201" s="821" t="s">
        <v>3447</v>
      </c>
      <c r="E201" s="822">
        <f>IFERROR(VLOOKUP($B201,flows!$A$2:$J$2954,E$2,FALSE),0)</f>
        <v>2.024865999538585E-3</v>
      </c>
      <c r="F201" s="822">
        <f>IFERROR(VLOOKUP($B201,flows!$A$2:$J$2954,F$2,FALSE),0)</f>
        <v>0</v>
      </c>
      <c r="G201" s="822">
        <f>IFERROR(VLOOKUP($B201,flows!$A$2:$J$2954,G$2,FALSE),0)</f>
        <v>1.384999941056609</v>
      </c>
      <c r="H201" s="822">
        <f>IFERROR(VLOOKUP($B201,flows!$A$2:$J$2954,H$2,FALSE),0)</f>
        <v>1.3505391390710561E-3</v>
      </c>
      <c r="I201" s="822">
        <f>IFERROR(VLOOKUP($B201,flows!$A$2:$J$2954,I$2,FALSE),0)</f>
        <v>5.1728831194071086E-4</v>
      </c>
      <c r="J201" s="822">
        <f>IFERROR(VLOOKUP($B201,flows!$A$2:$J$2954,J$2,FALSE),0)</f>
        <v>6.242149306673862E-5</v>
      </c>
      <c r="K201" s="822">
        <f>IFERROR(VLOOKUP($B201,flows!$A$2:$J$2954,K$2,FALSE),0)</f>
        <v>5.972349162198214E-6</v>
      </c>
      <c r="L201" s="822">
        <f>IFERROR(VLOOKUP($B201,flows!$A$2:$J$2954,L$2,FALSE),0)</f>
        <v>0</v>
      </c>
      <c r="M201" s="823" t="s">
        <v>3339</v>
      </c>
    </row>
    <row r="202" spans="2:13" ht="20.149999999999999" customHeight="1" x14ac:dyDescent="0.35">
      <c r="B202" s="820" t="s">
        <v>3449</v>
      </c>
      <c r="C202" s="821" t="s">
        <v>3446</v>
      </c>
      <c r="D202" s="821" t="s">
        <v>3447</v>
      </c>
      <c r="E202" s="822">
        <f>IFERROR(VLOOKUP($B202,flows!$A$2:$J$2954,E$2,FALSE),0)</f>
        <v>0</v>
      </c>
      <c r="F202" s="822">
        <f>IFERROR(VLOOKUP($B202,flows!$A$2:$J$2954,F$2,FALSE),0)</f>
        <v>0</v>
      </c>
      <c r="G202" s="822">
        <f>IFERROR(VLOOKUP($B202,flows!$A$2:$J$2954,G$2,FALSE),0)</f>
        <v>0</v>
      </c>
      <c r="H202" s="822">
        <f>IFERROR(VLOOKUP($B202,flows!$A$2:$J$2954,H$2,FALSE),0)</f>
        <v>0</v>
      </c>
      <c r="I202" s="822">
        <f>IFERROR(VLOOKUP($B202,flows!$A$2:$J$2954,I$2,FALSE),0)</f>
        <v>0</v>
      </c>
      <c r="J202" s="822">
        <f>IFERROR(VLOOKUP($B202,flows!$A$2:$J$2954,J$2,FALSE),0)</f>
        <v>0</v>
      </c>
      <c r="K202" s="822">
        <f>IFERROR(VLOOKUP($B202,flows!$A$2:$J$2954,K$2,FALSE),0)</f>
        <v>0</v>
      </c>
      <c r="L202" s="822">
        <f>IFERROR(VLOOKUP($B202,flows!$A$2:$J$2954,L$2,FALSE),0)</f>
        <v>0</v>
      </c>
      <c r="M202" s="823" t="s">
        <v>3339</v>
      </c>
    </row>
    <row r="203" spans="2:13" ht="20.149999999999999" customHeight="1" x14ac:dyDescent="0.35">
      <c r="B203" s="820" t="s">
        <v>3450</v>
      </c>
      <c r="C203" s="821" t="s">
        <v>3446</v>
      </c>
      <c r="D203" s="821" t="s">
        <v>3447</v>
      </c>
      <c r="E203" s="822">
        <f>IFERROR(VLOOKUP($B203,flows!$A$2:$J$2954,E$2,FALSE),0)</f>
        <v>7.5464138079049267E-2</v>
      </c>
      <c r="F203" s="822">
        <f>IFERROR(VLOOKUP($B203,flows!$A$2:$J$2954,F$2,FALSE),0)</f>
        <v>0</v>
      </c>
      <c r="G203" s="822">
        <f>IFERROR(VLOOKUP($B203,flows!$A$2:$J$2954,G$2,FALSE),0)</f>
        <v>1.875819259304452</v>
      </c>
      <c r="H203" s="822">
        <f>IFERROR(VLOOKUP($B203,flows!$A$2:$J$2954,H$2,FALSE),0)</f>
        <v>4.5168985632472241E-3</v>
      </c>
      <c r="I203" s="822">
        <f>IFERROR(VLOOKUP($B203,flows!$A$2:$J$2954,I$2,FALSE),0)</f>
        <v>5.8472787773529667E-3</v>
      </c>
      <c r="J203" s="822">
        <f>IFERROR(VLOOKUP($B203,flows!$A$2:$J$2954,J$2,FALSE),0)</f>
        <v>3.9920251230919239E-4</v>
      </c>
      <c r="K203" s="822">
        <f>IFERROR(VLOOKUP($B203,flows!$A$2:$J$2954,K$2,FALSE),0)</f>
        <v>1.789513313984124E-4</v>
      </c>
      <c r="L203" s="822">
        <f>IFERROR(VLOOKUP($B203,flows!$A$2:$J$2954,L$2,FALSE),0)</f>
        <v>0</v>
      </c>
      <c r="M203" s="823" t="s">
        <v>3339</v>
      </c>
    </row>
    <row r="204" spans="2:13" ht="20.149999999999999" customHeight="1" x14ac:dyDescent="0.35">
      <c r="B204" s="820" t="s">
        <v>3451</v>
      </c>
      <c r="C204" s="821" t="s">
        <v>3446</v>
      </c>
      <c r="D204" s="821" t="s">
        <v>3447</v>
      </c>
      <c r="E204" s="822">
        <f>IFERROR(VLOOKUP($B204,flows!$A$2:$J$2954,E$2,FALSE),0)</f>
        <v>5.9110666687776352E-3</v>
      </c>
      <c r="F204" s="822">
        <f>IFERROR(VLOOKUP($B204,flows!$A$2:$J$2954,F$2,FALSE),0)</f>
        <v>0</v>
      </c>
      <c r="G204" s="822">
        <f>IFERROR(VLOOKUP($B204,flows!$A$2:$J$2954,G$2,FALSE),0)</f>
        <v>35.543925313099137</v>
      </c>
      <c r="H204" s="822">
        <f>IFERROR(VLOOKUP($B204,flows!$A$2:$J$2954,H$2,FALSE),0)</f>
        <v>36.316268797059287</v>
      </c>
      <c r="I204" s="822">
        <f>IFERROR(VLOOKUP($B204,flows!$A$2:$J$2954,I$2,FALSE),0)</f>
        <v>36.308113953527211</v>
      </c>
      <c r="J204" s="822">
        <f>IFERROR(VLOOKUP($B204,flows!$A$2:$J$2954,J$2,FALSE),0)</f>
        <v>2.8128890718087072E-4</v>
      </c>
      <c r="K204" s="822">
        <f>IFERROR(VLOOKUP($B204,flows!$A$2:$J$2954,K$2,FALSE),0)</f>
        <v>1.365217484554852E-5</v>
      </c>
      <c r="L204" s="822">
        <f>IFERROR(VLOOKUP($B204,flows!$A$2:$J$2954,L$2,FALSE),0)</f>
        <v>0</v>
      </c>
      <c r="M204" s="823" t="s">
        <v>3339</v>
      </c>
    </row>
    <row r="205" spans="2:13" ht="20.149999999999999" customHeight="1" x14ac:dyDescent="0.35">
      <c r="B205" s="820" t="s">
        <v>3452</v>
      </c>
      <c r="C205" s="821" t="s">
        <v>3446</v>
      </c>
      <c r="D205" s="821" t="s">
        <v>3447</v>
      </c>
      <c r="E205" s="822">
        <f>IFERROR(VLOOKUP($B205,flows!$A$2:$J$2954,E$2,FALSE),0)</f>
        <v>0</v>
      </c>
      <c r="F205" s="822">
        <f>IFERROR(VLOOKUP($B205,flows!$A$2:$J$2954,F$2,FALSE),0)</f>
        <v>0</v>
      </c>
      <c r="G205" s="822">
        <f>IFERROR(VLOOKUP($B205,flows!$A$2:$J$2954,G$2,FALSE),0)</f>
        <v>0</v>
      </c>
      <c r="H205" s="822">
        <f>IFERROR(VLOOKUP($B205,flows!$A$2:$J$2954,H$2,FALSE),0)</f>
        <v>0</v>
      </c>
      <c r="I205" s="822">
        <f>IFERROR(VLOOKUP($B205,flows!$A$2:$J$2954,I$2,FALSE),0)</f>
        <v>0</v>
      </c>
      <c r="J205" s="822">
        <f>IFERROR(VLOOKUP($B205,flows!$A$2:$J$2954,J$2,FALSE),0)</f>
        <v>0</v>
      </c>
      <c r="K205" s="822">
        <f>IFERROR(VLOOKUP($B205,flows!$A$2:$J$2954,K$2,FALSE),0)</f>
        <v>0</v>
      </c>
      <c r="L205" s="822">
        <f>IFERROR(VLOOKUP($B205,flows!$A$2:$J$2954,L$2,FALSE),0)</f>
        <v>0</v>
      </c>
      <c r="M205" s="823" t="s">
        <v>3339</v>
      </c>
    </row>
    <row r="206" spans="2:13" ht="20.149999999999999" customHeight="1" x14ac:dyDescent="0.35">
      <c r="B206" s="616" t="s">
        <v>3239</v>
      </c>
      <c r="C206" s="617"/>
      <c r="D206" s="617"/>
      <c r="E206" s="572" t="s">
        <v>23</v>
      </c>
      <c r="F206" s="572" t="s">
        <v>1798</v>
      </c>
      <c r="G206" s="572" t="s">
        <v>1799</v>
      </c>
      <c r="H206" s="572" t="s">
        <v>1800</v>
      </c>
      <c r="I206" s="572" t="s">
        <v>1801</v>
      </c>
      <c r="J206" s="572" t="s">
        <v>1802</v>
      </c>
      <c r="K206" s="572" t="s">
        <v>1803</v>
      </c>
      <c r="L206" s="573" t="s">
        <v>1804</v>
      </c>
      <c r="M206" s="630"/>
    </row>
    <row r="207" spans="2:13" ht="20.149999999999999" customHeight="1" x14ac:dyDescent="0.35">
      <c r="B207" s="820" t="s">
        <v>3453</v>
      </c>
      <c r="C207" s="821" t="s">
        <v>3446</v>
      </c>
      <c r="D207" s="821" t="s">
        <v>3447</v>
      </c>
      <c r="E207" s="822">
        <f>IFERROR(VLOOKUP($B207,flows!$A$2:$J$2954,E$2,FALSE),0)</f>
        <v>4.9598509614128643E-2</v>
      </c>
      <c r="F207" s="822">
        <f>IFERROR(VLOOKUP($B207,flows!$A$2:$J$2954,F$2,FALSE),0)</f>
        <v>0</v>
      </c>
      <c r="G207" s="822">
        <f>IFERROR(VLOOKUP($B207,flows!$A$2:$J$2954,G$2,FALSE),0)</f>
        <v>1.72002402529314</v>
      </c>
      <c r="H207" s="822">
        <f>IFERROR(VLOOKUP($B207,flows!$A$2:$J$2954,H$2,FALSE),0)</f>
        <v>4.4496541644762156E-3</v>
      </c>
      <c r="I207" s="822">
        <f>IFERROR(VLOOKUP($B207,flows!$A$2:$J$2954,I$2,FALSE),0)</f>
        <v>5.6889645351875648E-3</v>
      </c>
      <c r="J207" s="822">
        <f>IFERROR(VLOOKUP($B207,flows!$A$2:$J$2954,J$2,FALSE),0)</f>
        <v>3.1945096807827638E-4</v>
      </c>
      <c r="K207" s="822">
        <f>IFERROR(VLOOKUP($B207,flows!$A$2:$J$2954,K$2,FALSE),0)</f>
        <v>1.523905321610148E-4</v>
      </c>
      <c r="L207" s="822">
        <f>IFERROR(VLOOKUP($B207,flows!$A$2:$J$2954,L$2,FALSE),0)</f>
        <v>0</v>
      </c>
      <c r="M207" s="823" t="s">
        <v>3339</v>
      </c>
    </row>
    <row r="208" spans="2:13" ht="20.149999999999999" customHeight="1" x14ac:dyDescent="0.35">
      <c r="B208" s="820" t="s">
        <v>3454</v>
      </c>
      <c r="C208" s="821" t="s">
        <v>3446</v>
      </c>
      <c r="D208" s="821" t="s">
        <v>3447</v>
      </c>
      <c r="E208" s="822">
        <f>IFERROR(VLOOKUP($B208,flows!$A$2:$J$2954,E$2,FALSE),0)</f>
        <v>4.9042874343380657E-3</v>
      </c>
      <c r="F208" s="822">
        <f>IFERROR(VLOOKUP($B208,flows!$A$2:$J$2954,F$2,FALSE),0)</f>
        <v>0</v>
      </c>
      <c r="G208" s="822">
        <f>IFERROR(VLOOKUP($B208,flows!$A$2:$J$2954,G$2,FALSE),0)</f>
        <v>3.5531135956305659</v>
      </c>
      <c r="H208" s="822">
        <f>IFERROR(VLOOKUP($B208,flows!$A$2:$J$2954,H$2,FALSE),0)</f>
        <v>1.4955593636200869E-2</v>
      </c>
      <c r="I208" s="822">
        <f>IFERROR(VLOOKUP($B208,flows!$A$2:$J$2954,I$2,FALSE),0)</f>
        <v>10.910536519203919</v>
      </c>
      <c r="J208" s="822">
        <f>IFERROR(VLOOKUP($B208,flows!$A$2:$J$2954,J$2,FALSE),0)</f>
        <v>1.5146182731219339E-4</v>
      </c>
      <c r="K208" s="822">
        <f>IFERROR(VLOOKUP($B208,flows!$A$2:$J$2954,K$2,FALSE),0)</f>
        <v>1.399820740232117E-5</v>
      </c>
      <c r="L208" s="822">
        <f>IFERROR(VLOOKUP($B208,flows!$A$2:$J$2954,L$2,FALSE),0)</f>
        <v>0</v>
      </c>
      <c r="M208" s="823" t="s">
        <v>3339</v>
      </c>
    </row>
    <row r="209" spans="2:13" ht="20.149999999999999" customHeight="1" x14ac:dyDescent="0.35">
      <c r="B209" s="820" t="s">
        <v>3455</v>
      </c>
      <c r="C209" s="821" t="s">
        <v>3446</v>
      </c>
      <c r="D209" s="821" t="s">
        <v>3447</v>
      </c>
      <c r="E209" s="822">
        <f>IFERROR(VLOOKUP($B209,flows!$A$2:$J$2954,E$2,FALSE),0)</f>
        <v>0</v>
      </c>
      <c r="F209" s="822">
        <f>IFERROR(VLOOKUP($B209,flows!$A$2:$J$2954,F$2,FALSE),0)</f>
        <v>0</v>
      </c>
      <c r="G209" s="822">
        <f>IFERROR(VLOOKUP($B209,flows!$A$2:$J$2954,G$2,FALSE),0)</f>
        <v>0</v>
      </c>
      <c r="H209" s="822">
        <f>IFERROR(VLOOKUP($B209,flows!$A$2:$J$2954,H$2,FALSE),0)</f>
        <v>0</v>
      </c>
      <c r="I209" s="822">
        <f>IFERROR(VLOOKUP($B209,flows!$A$2:$J$2954,I$2,FALSE),0)</f>
        <v>0</v>
      </c>
      <c r="J209" s="822">
        <f>IFERROR(VLOOKUP($B209,flows!$A$2:$J$2954,J$2,FALSE),0)</f>
        <v>0</v>
      </c>
      <c r="K209" s="822">
        <f>IFERROR(VLOOKUP($B209,flows!$A$2:$J$2954,K$2,FALSE),0)</f>
        <v>0</v>
      </c>
      <c r="L209" s="822">
        <f>IFERROR(VLOOKUP($B209,flows!$A$2:$J$2954,L$2,FALSE),0)</f>
        <v>0</v>
      </c>
      <c r="M209" s="823" t="s">
        <v>3339</v>
      </c>
    </row>
    <row r="210" spans="2:13" ht="20.149999999999999" customHeight="1" x14ac:dyDescent="0.35">
      <c r="B210" s="820" t="s">
        <v>3456</v>
      </c>
      <c r="C210" s="821" t="s">
        <v>3446</v>
      </c>
      <c r="D210" s="821" t="s">
        <v>3447</v>
      </c>
      <c r="E210" s="822">
        <f>IFERROR(VLOOKUP($B210,flows!$A$2:$J$2954,E$2,FALSE),0)</f>
        <v>4.7375615101322897E-2</v>
      </c>
      <c r="F210" s="822">
        <f>IFERROR(VLOOKUP($B210,flows!$A$2:$J$2954,F$2,FALSE),0)</f>
        <v>0</v>
      </c>
      <c r="G210" s="822">
        <f>IFERROR(VLOOKUP($B210,flows!$A$2:$J$2954,G$2,FALSE),0)</f>
        <v>1.4829541927648811</v>
      </c>
      <c r="H210" s="822">
        <f>IFERROR(VLOOKUP($B210,flows!$A$2:$J$2954,H$2,FALSE),0)</f>
        <v>4.4211887893809256E-3</v>
      </c>
      <c r="I210" s="822">
        <f>IFERROR(VLOOKUP($B210,flows!$A$2:$J$2954,I$2,FALSE),0)</f>
        <v>3.258131125099855E-3</v>
      </c>
      <c r="J210" s="822">
        <f>IFERROR(VLOOKUP($B210,flows!$A$2:$J$2954,J$2,FALSE),0)</f>
        <v>2.080755409013857E-4</v>
      </c>
      <c r="K210" s="822">
        <f>IFERROR(VLOOKUP($B210,flows!$A$2:$J$2954,K$2,FALSE),0)</f>
        <v>1.069285011670571E-4</v>
      </c>
      <c r="L210" s="822">
        <f>IFERROR(VLOOKUP($B210,flows!$A$2:$J$2954,L$2,FALSE),0)</f>
        <v>0</v>
      </c>
      <c r="M210" s="823" t="s">
        <v>3339</v>
      </c>
    </row>
    <row r="211" spans="2:13" ht="20.149999999999999" customHeight="1" x14ac:dyDescent="0.35">
      <c r="B211" s="820" t="s">
        <v>3457</v>
      </c>
      <c r="C211" s="821" t="s">
        <v>3446</v>
      </c>
      <c r="D211" s="821" t="s">
        <v>3447</v>
      </c>
      <c r="E211" s="822">
        <f>IFERROR(VLOOKUP($B211,flows!$A$2:$J$2954,E$2,FALSE),0)</f>
        <v>4.6953774507901263E-3</v>
      </c>
      <c r="F211" s="822">
        <f>IFERROR(VLOOKUP($B211,flows!$A$2:$J$2954,F$2,FALSE),0)</f>
        <v>0</v>
      </c>
      <c r="G211" s="822">
        <f>IFERROR(VLOOKUP($B211,flows!$A$2:$J$2954,G$2,FALSE),0)</f>
        <v>0.88380382487165698</v>
      </c>
      <c r="H211" s="822">
        <f>IFERROR(VLOOKUP($B211,flows!$A$2:$J$2954,H$2,FALSE),0)</f>
        <v>1.8570387339850919E-2</v>
      </c>
      <c r="I211" s="822">
        <f>IFERROR(VLOOKUP($B211,flows!$A$2:$J$2954,I$2,FALSE),0)</f>
        <v>9.4177122880380023E-4</v>
      </c>
      <c r="J211" s="822">
        <f>IFERROR(VLOOKUP($B211,flows!$A$2:$J$2954,J$2,FALSE),0)</f>
        <v>4.8285268825520657E-5</v>
      </c>
      <c r="K211" s="822">
        <f>IFERROR(VLOOKUP($B211,flows!$A$2:$J$2954,K$2,FALSE),0)</f>
        <v>1.0634584977318361E-5</v>
      </c>
      <c r="L211" s="822">
        <f>IFERROR(VLOOKUP($B211,flows!$A$2:$J$2954,L$2,FALSE),0)</f>
        <v>0</v>
      </c>
      <c r="M211" s="823" t="s">
        <v>3339</v>
      </c>
    </row>
    <row r="212" spans="2:13" ht="20.149999999999999" customHeight="1" x14ac:dyDescent="0.35">
      <c r="B212" s="820" t="s">
        <v>3458</v>
      </c>
      <c r="C212" s="821" t="s">
        <v>3446</v>
      </c>
      <c r="D212" s="821" t="s">
        <v>3447</v>
      </c>
      <c r="E212" s="822">
        <f>IFERROR(VLOOKUP($B212,flows!$A$2:$J$2954,E$2,FALSE),0)</f>
        <v>0</v>
      </c>
      <c r="F212" s="822">
        <f>IFERROR(VLOOKUP($B212,flows!$A$2:$J$2954,F$2,FALSE),0)</f>
        <v>0</v>
      </c>
      <c r="G212" s="822">
        <f>IFERROR(VLOOKUP($B212,flows!$A$2:$J$2954,G$2,FALSE),0)</f>
        <v>0</v>
      </c>
      <c r="H212" s="822">
        <f>IFERROR(VLOOKUP($B212,flows!$A$2:$J$2954,H$2,FALSE),0)</f>
        <v>0</v>
      </c>
      <c r="I212" s="822">
        <f>IFERROR(VLOOKUP($B212,flows!$A$2:$J$2954,I$2,FALSE),0)</f>
        <v>0</v>
      </c>
      <c r="J212" s="822">
        <f>IFERROR(VLOOKUP($B212,flows!$A$2:$J$2954,J$2,FALSE),0)</f>
        <v>0</v>
      </c>
      <c r="K212" s="822">
        <f>IFERROR(VLOOKUP($B212,flows!$A$2:$J$2954,K$2,FALSE),0)</f>
        <v>0</v>
      </c>
      <c r="L212" s="822">
        <f>IFERROR(VLOOKUP($B212,flows!$A$2:$J$2954,L$2,FALSE),0)</f>
        <v>0</v>
      </c>
      <c r="M212" s="823" t="s">
        <v>3339</v>
      </c>
    </row>
    <row r="213" spans="2:13" ht="20.149999999999999" customHeight="1" x14ac:dyDescent="0.35">
      <c r="B213" s="616" t="s">
        <v>3278</v>
      </c>
      <c r="C213" s="617"/>
      <c r="D213" s="617"/>
      <c r="E213" s="572" t="s">
        <v>23</v>
      </c>
      <c r="F213" s="572" t="s">
        <v>1798</v>
      </c>
      <c r="G213" s="572" t="s">
        <v>1799</v>
      </c>
      <c r="H213" s="572" t="s">
        <v>1800</v>
      </c>
      <c r="I213" s="572" t="s">
        <v>1801</v>
      </c>
      <c r="J213" s="572" t="s">
        <v>1802</v>
      </c>
      <c r="K213" s="572" t="s">
        <v>1803</v>
      </c>
      <c r="L213" s="573" t="s">
        <v>1804</v>
      </c>
      <c r="M213" s="630"/>
    </row>
    <row r="214" spans="2:13" ht="20.149999999999999" customHeight="1" x14ac:dyDescent="0.35">
      <c r="B214" s="820" t="s">
        <v>3459</v>
      </c>
      <c r="C214" s="821" t="s">
        <v>3446</v>
      </c>
      <c r="D214" s="821" t="s">
        <v>3447</v>
      </c>
      <c r="E214" s="822">
        <f>IFERROR(VLOOKUP($B214,flows!$A$2:$J$2954,E$2,FALSE),0)</f>
        <v>1.8656418464462102E-2</v>
      </c>
      <c r="F214" s="822">
        <f>IFERROR(VLOOKUP($B214,flows!$A$2:$J$2954,F$2,FALSE),0)</f>
        <v>0</v>
      </c>
      <c r="G214" s="822">
        <f>IFERROR(VLOOKUP($B214,flows!$A$2:$J$2954,G$2,FALSE),0)</f>
        <v>1.5628832185436361</v>
      </c>
      <c r="H214" s="822">
        <f>IFERROR(VLOOKUP($B214,flows!$A$2:$J$2954,H$2,FALSE),0)</f>
        <v>3.418150646410678E-3</v>
      </c>
      <c r="I214" s="822">
        <f>IFERROR(VLOOKUP($B214,flows!$A$2:$J$2954,I$2,FALSE),0)</f>
        <v>2.3082072276429302E-3</v>
      </c>
      <c r="J214" s="822">
        <f>IFERROR(VLOOKUP($B214,flows!$A$2:$J$2954,J$2,FALSE),0)</f>
        <v>1.877156902133446E-4</v>
      </c>
      <c r="K214" s="822">
        <f>IFERROR(VLOOKUP($B214,flows!$A$2:$J$2954,K$2,FALSE),0)</f>
        <v>7.7759144327012552E-5</v>
      </c>
      <c r="L214" s="822">
        <f>IFERROR(VLOOKUP($B214,flows!$A$2:$J$2954,L$2,FALSE),0)</f>
        <v>0</v>
      </c>
      <c r="M214" s="823" t="s">
        <v>3339</v>
      </c>
    </row>
    <row r="215" spans="2:13" ht="20.149999999999999" customHeight="1" x14ac:dyDescent="0.35">
      <c r="B215" s="820" t="s">
        <v>3460</v>
      </c>
      <c r="C215" s="821" t="s">
        <v>3446</v>
      </c>
      <c r="D215" s="821" t="s">
        <v>3447</v>
      </c>
      <c r="E215" s="822">
        <f>IFERROR(VLOOKUP($B215,flows!$A$2:$J$2954,E$2,FALSE),0)</f>
        <v>2.1791569892383898E-3</v>
      </c>
      <c r="F215" s="822">
        <f>IFERROR(VLOOKUP($B215,flows!$A$2:$J$2954,F$2,FALSE),0)</f>
        <v>0</v>
      </c>
      <c r="G215" s="822">
        <f>IFERROR(VLOOKUP($B215,flows!$A$2:$J$2954,G$2,FALSE),0)</f>
        <v>1.2652053936341221</v>
      </c>
      <c r="H215" s="822">
        <f>IFERROR(VLOOKUP($B215,flows!$A$2:$J$2954,H$2,FALSE),0)</f>
        <v>1.423878044338852E-3</v>
      </c>
      <c r="I215" s="822">
        <f>IFERROR(VLOOKUP($B215,flows!$A$2:$J$2954,I$2,FALSE),0)</f>
        <v>4.0535216310608619E-4</v>
      </c>
      <c r="J215" s="822">
        <f>IFERROR(VLOOKUP($B215,flows!$A$2:$J$2954,J$2,FALSE),0)</f>
        <v>3.2104015575983513E-5</v>
      </c>
      <c r="K215" s="822">
        <f>IFERROR(VLOOKUP($B215,flows!$A$2:$J$2954,K$2,FALSE),0)</f>
        <v>8.9168400852321433E-6</v>
      </c>
      <c r="L215" s="822">
        <f>IFERROR(VLOOKUP($B215,flows!$A$2:$J$2954,L$2,FALSE),0)</f>
        <v>0</v>
      </c>
      <c r="M215" s="823" t="s">
        <v>3339</v>
      </c>
    </row>
    <row r="216" spans="2:13" ht="20.149999999999999" customHeight="1" x14ac:dyDescent="0.35">
      <c r="B216" s="820" t="s">
        <v>3461</v>
      </c>
      <c r="C216" s="821" t="s">
        <v>3446</v>
      </c>
      <c r="D216" s="821" t="s">
        <v>3447</v>
      </c>
      <c r="E216" s="822">
        <f>IFERROR(VLOOKUP($B216,flows!$A$2:$J$2954,E$2,FALSE),0)</f>
        <v>0</v>
      </c>
      <c r="F216" s="822">
        <f>IFERROR(VLOOKUP($B216,flows!$A$2:$J$2954,F$2,FALSE),0)</f>
        <v>0</v>
      </c>
      <c r="G216" s="822">
        <f>IFERROR(VLOOKUP($B216,flows!$A$2:$J$2954,G$2,FALSE),0)</f>
        <v>0</v>
      </c>
      <c r="H216" s="822">
        <f>IFERROR(VLOOKUP($B216,flows!$A$2:$J$2954,H$2,FALSE),0)</f>
        <v>0</v>
      </c>
      <c r="I216" s="822">
        <f>IFERROR(VLOOKUP($B216,flows!$A$2:$J$2954,I$2,FALSE),0)</f>
        <v>0</v>
      </c>
      <c r="J216" s="822">
        <f>IFERROR(VLOOKUP($B216,flows!$A$2:$J$2954,J$2,FALSE),0)</f>
        <v>0</v>
      </c>
      <c r="K216" s="822">
        <f>IFERROR(VLOOKUP($B216,flows!$A$2:$J$2954,K$2,FALSE),0)</f>
        <v>0</v>
      </c>
      <c r="L216" s="822">
        <f>IFERROR(VLOOKUP($B216,flows!$A$2:$J$2954,L$2,FALSE),0)</f>
        <v>0</v>
      </c>
      <c r="M216" s="823" t="s">
        <v>3339</v>
      </c>
    </row>
    <row r="217" spans="2:13" ht="20.149999999999999" customHeight="1" x14ac:dyDescent="0.35">
      <c r="B217" s="820" t="s">
        <v>3462</v>
      </c>
      <c r="C217" s="821" t="s">
        <v>3446</v>
      </c>
      <c r="D217" s="821" t="s">
        <v>3447</v>
      </c>
      <c r="E217" s="822">
        <f>IFERROR(VLOOKUP($B217,flows!$A$2:$J$2954,E$2,FALSE),0)</f>
        <v>4.3745917983398393E-2</v>
      </c>
      <c r="F217" s="822">
        <f>IFERROR(VLOOKUP($B217,flows!$A$2:$J$2954,F$2,FALSE),0)</f>
        <v>0</v>
      </c>
      <c r="G217" s="822">
        <f>IFERROR(VLOOKUP($B217,flows!$A$2:$J$2954,G$2,FALSE),0)</f>
        <v>1.766043861378058</v>
      </c>
      <c r="H217" s="822">
        <f>IFERROR(VLOOKUP($B217,flows!$A$2:$J$2954,H$2,FALSE),0)</f>
        <v>4.3035983331116733E-3</v>
      </c>
      <c r="I217" s="822">
        <f>IFERROR(VLOOKUP($B217,flows!$A$2:$J$2954,I$2,FALSE),0)</f>
        <v>3.7057234178875719E-3</v>
      </c>
      <c r="J217" s="822">
        <f>IFERROR(VLOOKUP($B217,flows!$A$2:$J$2954,J$2,FALSE),0)</f>
        <v>2.3316442958061981E-4</v>
      </c>
      <c r="K217" s="822">
        <f>IFERROR(VLOOKUP($B217,flows!$A$2:$J$2954,K$2,FALSE),0)</f>
        <v>2.5911351102112477E-4</v>
      </c>
      <c r="L217" s="822">
        <f>IFERROR(VLOOKUP($B217,flows!$A$2:$J$2954,L$2,FALSE),0)</f>
        <v>0</v>
      </c>
      <c r="M217" s="823" t="s">
        <v>3339</v>
      </c>
    </row>
    <row r="218" spans="2:13" ht="20.149999999999999" customHeight="1" x14ac:dyDescent="0.35">
      <c r="B218" s="820" t="s">
        <v>3463</v>
      </c>
      <c r="C218" s="821" t="s">
        <v>3446</v>
      </c>
      <c r="D218" s="821" t="s">
        <v>3447</v>
      </c>
      <c r="E218" s="822">
        <f>IFERROR(VLOOKUP($B218,flows!$A$2:$J$2954,E$2,FALSE),0)</f>
        <v>5.577744942881973E-3</v>
      </c>
      <c r="F218" s="822">
        <f>IFERROR(VLOOKUP($B218,flows!$A$2:$J$2954,F$2,FALSE),0)</f>
        <v>0</v>
      </c>
      <c r="G218" s="822">
        <f>IFERROR(VLOOKUP($B218,flows!$A$2:$J$2954,G$2,FALSE),0)</f>
        <v>9.4499014597710911</v>
      </c>
      <c r="H218" s="822">
        <f>IFERROR(VLOOKUP($B218,flows!$A$2:$J$2954,H$2,FALSE),0)</f>
        <v>1.9988945650093599</v>
      </c>
      <c r="I218" s="822">
        <f>IFERROR(VLOOKUP($B218,flows!$A$2:$J$2954,I$2,FALSE),0)</f>
        <v>1.3122618036976641E-3</v>
      </c>
      <c r="J218" s="822">
        <f>IFERROR(VLOOKUP($B218,flows!$A$2:$J$2954,J$2,FALSE),0)</f>
        <v>5.1996285073385533E-5</v>
      </c>
      <c r="K218" s="822">
        <f>IFERROR(VLOOKUP($B218,flows!$A$2:$J$2954,K$2,FALSE),0)</f>
        <v>3.7261518201028902E-5</v>
      </c>
      <c r="L218" s="822">
        <f>IFERROR(VLOOKUP($B218,flows!$A$2:$J$2954,L$2,FALSE),0)</f>
        <v>0</v>
      </c>
      <c r="M218" s="823" t="s">
        <v>3339</v>
      </c>
    </row>
    <row r="219" spans="2:13" ht="20.149999999999999" customHeight="1" x14ac:dyDescent="0.35">
      <c r="B219" s="820" t="s">
        <v>3464</v>
      </c>
      <c r="C219" s="821" t="s">
        <v>3446</v>
      </c>
      <c r="D219" s="821" t="s">
        <v>3447</v>
      </c>
      <c r="E219" s="822">
        <f>IFERROR(VLOOKUP($B219,flows!$A$2:$J$2954,E$2,FALSE),0)</f>
        <v>0</v>
      </c>
      <c r="F219" s="822">
        <f>IFERROR(VLOOKUP($B219,flows!$A$2:$J$2954,F$2,FALSE),0)</f>
        <v>0</v>
      </c>
      <c r="G219" s="822">
        <f>IFERROR(VLOOKUP($B219,flows!$A$2:$J$2954,G$2,FALSE),0)</f>
        <v>0</v>
      </c>
      <c r="H219" s="822">
        <f>IFERROR(VLOOKUP($B219,flows!$A$2:$J$2954,H$2,FALSE),0)</f>
        <v>0</v>
      </c>
      <c r="I219" s="822">
        <f>IFERROR(VLOOKUP($B219,flows!$A$2:$J$2954,I$2,FALSE),0)</f>
        <v>0</v>
      </c>
      <c r="J219" s="822">
        <f>IFERROR(VLOOKUP($B219,flows!$A$2:$J$2954,J$2,FALSE),0)</f>
        <v>0</v>
      </c>
      <c r="K219" s="822">
        <f>IFERROR(VLOOKUP($B219,flows!$A$2:$J$2954,K$2,FALSE),0)</f>
        <v>0</v>
      </c>
      <c r="L219" s="822">
        <f>IFERROR(VLOOKUP($B219,flows!$A$2:$J$2954,L$2,FALSE),0)</f>
        <v>0</v>
      </c>
      <c r="M219" s="823" t="s">
        <v>3339</v>
      </c>
    </row>
    <row r="220" spans="2:13" ht="20.149999999999999" customHeight="1" x14ac:dyDescent="0.35">
      <c r="B220" s="616" t="s">
        <v>3310</v>
      </c>
      <c r="C220" s="617"/>
      <c r="D220" s="617"/>
      <c r="E220" s="572" t="s">
        <v>23</v>
      </c>
      <c r="F220" s="572" t="s">
        <v>1798</v>
      </c>
      <c r="G220" s="572" t="s">
        <v>1799</v>
      </c>
      <c r="H220" s="572" t="s">
        <v>1800</v>
      </c>
      <c r="I220" s="572" t="s">
        <v>1801</v>
      </c>
      <c r="J220" s="572" t="s">
        <v>1802</v>
      </c>
      <c r="K220" s="572" t="s">
        <v>1803</v>
      </c>
      <c r="L220" s="573" t="s">
        <v>1804</v>
      </c>
      <c r="M220" s="630"/>
    </row>
    <row r="221" spans="2:13" ht="20.149999999999999" customHeight="1" x14ac:dyDescent="0.35">
      <c r="B221" s="820" t="s">
        <v>3465</v>
      </c>
      <c r="C221" s="821" t="s">
        <v>3446</v>
      </c>
      <c r="D221" s="821" t="s">
        <v>3447</v>
      </c>
      <c r="E221" s="822">
        <f>IFERROR(VLOOKUP($B221,flows!$A$2:$J$2954,E$2,FALSE),0)</f>
        <v>0</v>
      </c>
      <c r="F221" s="822">
        <f>IFERROR(VLOOKUP($B221,flows!$A$2:$J$2954,F$2,FALSE),0)</f>
        <v>0</v>
      </c>
      <c r="G221" s="822">
        <f>IFERROR(VLOOKUP($B221,flows!$A$2:$J$2954,G$2,FALSE),0)</f>
        <v>0</v>
      </c>
      <c r="H221" s="822">
        <f>IFERROR(VLOOKUP($B221,flows!$A$2:$J$2954,H$2,FALSE),0)</f>
        <v>0</v>
      </c>
      <c r="I221" s="822">
        <f>IFERROR(VLOOKUP($B221,flows!$A$2:$J$2954,I$2,FALSE),0)</f>
        <v>0</v>
      </c>
      <c r="J221" s="822">
        <f>IFERROR(VLOOKUP($B221,flows!$A$2:$J$2954,J$2,FALSE),0)</f>
        <v>0</v>
      </c>
      <c r="K221" s="822">
        <f>IFERROR(VLOOKUP($B221,flows!$A$2:$J$2954,K$2,FALSE),0)</f>
        <v>0</v>
      </c>
      <c r="L221" s="822">
        <f>IFERROR(VLOOKUP($B221,flows!$A$2:$J$2954,L$2,FALSE),0)</f>
        <v>0</v>
      </c>
      <c r="M221" s="823" t="s">
        <v>3339</v>
      </c>
    </row>
    <row r="222" spans="2:13" ht="20.149999999999999" customHeight="1" x14ac:dyDescent="0.35">
      <c r="B222" s="820" t="s">
        <v>3466</v>
      </c>
      <c r="C222" s="821" t="s">
        <v>3446</v>
      </c>
      <c r="D222" s="821" t="s">
        <v>3447</v>
      </c>
      <c r="E222" s="822">
        <f>IFERROR(VLOOKUP($B222,flows!$A$2:$J$2954,E$2,FALSE),0)</f>
        <v>0</v>
      </c>
      <c r="F222" s="822">
        <f>IFERROR(VLOOKUP($B222,flows!$A$2:$J$2954,F$2,FALSE),0)</f>
        <v>0</v>
      </c>
      <c r="G222" s="822">
        <f>IFERROR(VLOOKUP($B222,flows!$A$2:$J$2954,G$2,FALSE),0)</f>
        <v>0</v>
      </c>
      <c r="H222" s="822">
        <f>IFERROR(VLOOKUP($B222,flows!$A$2:$J$2954,H$2,FALSE),0)</f>
        <v>0</v>
      </c>
      <c r="I222" s="822">
        <f>IFERROR(VLOOKUP($B222,flows!$A$2:$J$2954,I$2,FALSE),0)</f>
        <v>0</v>
      </c>
      <c r="J222" s="822">
        <f>IFERROR(VLOOKUP($B222,flows!$A$2:$J$2954,J$2,FALSE),0)</f>
        <v>0</v>
      </c>
      <c r="K222" s="822">
        <f>IFERROR(VLOOKUP($B222,flows!$A$2:$J$2954,K$2,FALSE),0)</f>
        <v>0</v>
      </c>
      <c r="L222" s="822">
        <f>IFERROR(VLOOKUP($B222,flows!$A$2:$J$2954,L$2,FALSE),0)</f>
        <v>0</v>
      </c>
      <c r="M222" s="823" t="s">
        <v>3339</v>
      </c>
    </row>
    <row r="223" spans="2:13" ht="20.149999999999999" customHeight="1" x14ac:dyDescent="0.35">
      <c r="B223" s="820" t="s">
        <v>3467</v>
      </c>
      <c r="C223" s="821" t="s">
        <v>3446</v>
      </c>
      <c r="D223" s="821" t="s">
        <v>3447</v>
      </c>
      <c r="E223" s="822">
        <f>IFERROR(VLOOKUP($B223,flows!$A$2:$J$2954,E$2,FALSE),0)</f>
        <v>0</v>
      </c>
      <c r="F223" s="822">
        <f>IFERROR(VLOOKUP($B223,flows!$A$2:$J$2954,F$2,FALSE),0)</f>
        <v>0</v>
      </c>
      <c r="G223" s="822">
        <f>IFERROR(VLOOKUP($B223,flows!$A$2:$J$2954,G$2,FALSE),0)</f>
        <v>0</v>
      </c>
      <c r="H223" s="822">
        <f>IFERROR(VLOOKUP($B223,flows!$A$2:$J$2954,H$2,FALSE),0)</f>
        <v>0</v>
      </c>
      <c r="I223" s="822">
        <f>IFERROR(VLOOKUP($B223,flows!$A$2:$J$2954,I$2,FALSE),0)</f>
        <v>0</v>
      </c>
      <c r="J223" s="822">
        <f>IFERROR(VLOOKUP($B223,flows!$A$2:$J$2954,J$2,FALSE),0)</f>
        <v>0</v>
      </c>
      <c r="K223" s="822">
        <f>IFERROR(VLOOKUP($B223,flows!$A$2:$J$2954,K$2,FALSE),0)</f>
        <v>0</v>
      </c>
      <c r="L223" s="822">
        <f>IFERROR(VLOOKUP($B223,flows!$A$2:$J$2954,L$2,FALSE),0)</f>
        <v>0</v>
      </c>
      <c r="M223" s="823" t="s">
        <v>3339</v>
      </c>
    </row>
    <row r="224" spans="2:13" ht="20.149999999999999" customHeight="1" x14ac:dyDescent="0.35">
      <c r="B224" s="820" t="s">
        <v>3468</v>
      </c>
      <c r="C224" s="821" t="s">
        <v>3446</v>
      </c>
      <c r="D224" s="821" t="s">
        <v>3447</v>
      </c>
      <c r="E224" s="822">
        <f>IFERROR(VLOOKUP($B224,flows!$A$2:$J$2954,E$2,FALSE),0)</f>
        <v>0</v>
      </c>
      <c r="F224" s="822">
        <f>IFERROR(VLOOKUP($B224,flows!$A$2:$J$2954,F$2,FALSE),0)</f>
        <v>0</v>
      </c>
      <c r="G224" s="822">
        <f>IFERROR(VLOOKUP($B224,flows!$A$2:$J$2954,G$2,FALSE),0)</f>
        <v>0</v>
      </c>
      <c r="H224" s="822">
        <f>IFERROR(VLOOKUP($B224,flows!$A$2:$J$2954,H$2,FALSE),0)</f>
        <v>0</v>
      </c>
      <c r="I224" s="822">
        <f>IFERROR(VLOOKUP($B224,flows!$A$2:$J$2954,I$2,FALSE),0)</f>
        <v>0</v>
      </c>
      <c r="J224" s="822">
        <f>IFERROR(VLOOKUP($B224,flows!$A$2:$J$2954,J$2,FALSE),0)</f>
        <v>0</v>
      </c>
      <c r="K224" s="822">
        <f>IFERROR(VLOOKUP($B224,flows!$A$2:$J$2954,K$2,FALSE),0)</f>
        <v>0</v>
      </c>
      <c r="L224" s="822">
        <f>IFERROR(VLOOKUP($B224,flows!$A$2:$J$2954,L$2,FALSE),0)</f>
        <v>0</v>
      </c>
      <c r="M224" s="823" t="s">
        <v>3339</v>
      </c>
    </row>
    <row r="225" spans="2:13" ht="20.149999999999999" customHeight="1" x14ac:dyDescent="0.35">
      <c r="B225" s="820" t="s">
        <v>3469</v>
      </c>
      <c r="C225" s="821" t="s">
        <v>3446</v>
      </c>
      <c r="D225" s="821" t="s">
        <v>3447</v>
      </c>
      <c r="E225" s="822">
        <f>IFERROR(VLOOKUP($B225,flows!$A$2:$J$2954,E$2,FALSE),0)</f>
        <v>0</v>
      </c>
      <c r="F225" s="822">
        <f>IFERROR(VLOOKUP($B225,flows!$A$2:$J$2954,F$2,FALSE),0)</f>
        <v>0</v>
      </c>
      <c r="G225" s="822">
        <f>IFERROR(VLOOKUP($B225,flows!$A$2:$J$2954,G$2,FALSE),0)</f>
        <v>0</v>
      </c>
      <c r="H225" s="822">
        <f>IFERROR(VLOOKUP($B225,flows!$A$2:$J$2954,H$2,FALSE),0)</f>
        <v>0</v>
      </c>
      <c r="I225" s="822">
        <f>IFERROR(VLOOKUP($B225,flows!$A$2:$J$2954,I$2,FALSE),0)</f>
        <v>0</v>
      </c>
      <c r="J225" s="822">
        <f>IFERROR(VLOOKUP($B225,flows!$A$2:$J$2954,J$2,FALSE),0)</f>
        <v>0</v>
      </c>
      <c r="K225" s="822">
        <f>IFERROR(VLOOKUP($B225,flows!$A$2:$J$2954,K$2,FALSE),0)</f>
        <v>0</v>
      </c>
      <c r="L225" s="822">
        <f>IFERROR(VLOOKUP($B225,flows!$A$2:$J$2954,L$2,FALSE),0)</f>
        <v>0</v>
      </c>
      <c r="M225" s="823" t="s">
        <v>3339</v>
      </c>
    </row>
    <row r="226" spans="2:13" ht="20.149999999999999" customHeight="1" x14ac:dyDescent="0.35">
      <c r="B226" s="820" t="s">
        <v>3470</v>
      </c>
      <c r="C226" s="821" t="s">
        <v>3446</v>
      </c>
      <c r="D226" s="821" t="s">
        <v>3447</v>
      </c>
      <c r="E226" s="822">
        <f>IFERROR(VLOOKUP($B226,flows!$A$2:$J$2954,E$2,FALSE),0)</f>
        <v>0</v>
      </c>
      <c r="F226" s="822">
        <f>IFERROR(VLOOKUP($B226,flows!$A$2:$J$2954,F$2,FALSE),0)</f>
        <v>0</v>
      </c>
      <c r="G226" s="822">
        <f>IFERROR(VLOOKUP($B226,flows!$A$2:$J$2954,G$2,FALSE),0)</f>
        <v>0</v>
      </c>
      <c r="H226" s="822">
        <f>IFERROR(VLOOKUP($B226,flows!$A$2:$J$2954,H$2,FALSE),0)</f>
        <v>0</v>
      </c>
      <c r="I226" s="822">
        <f>IFERROR(VLOOKUP($B226,flows!$A$2:$J$2954,I$2,FALSE),0)</f>
        <v>0</v>
      </c>
      <c r="J226" s="822">
        <f>IFERROR(VLOOKUP($B226,flows!$A$2:$J$2954,J$2,FALSE),0)</f>
        <v>0</v>
      </c>
      <c r="K226" s="822">
        <f>IFERROR(VLOOKUP($B226,flows!$A$2:$J$2954,K$2,FALSE),0)</f>
        <v>0</v>
      </c>
      <c r="L226" s="822">
        <f>IFERROR(VLOOKUP($B226,flows!$A$2:$J$2954,L$2,FALSE),0)</f>
        <v>0</v>
      </c>
      <c r="M226" s="823" t="s">
        <v>3339</v>
      </c>
    </row>
    <row r="227" spans="2:13" ht="20.149999999999999" customHeight="1" thickBot="1" x14ac:dyDescent="0.4">
      <c r="B227" s="631"/>
      <c r="C227" s="632" t="s">
        <v>1229</v>
      </c>
      <c r="D227" s="632" t="s">
        <v>2031</v>
      </c>
      <c r="E227" s="633">
        <f t="array" ref="E227">SUM(E200:E205+E207:E212+E214:E219+E221:E226)</f>
        <v>0.28147051885882696</v>
      </c>
      <c r="F227" s="633">
        <f t="array" ref="F227">SUM(F200:F205+F207:F212+F214:F219+F221:F226)</f>
        <v>0</v>
      </c>
      <c r="G227" s="633">
        <f t="array" ref="G227">SUM(G200:G205+G207:G212+G214:G219+G221:G226)</f>
        <v>62.126159477568152</v>
      </c>
      <c r="H227" s="633">
        <f t="array" ref="H227">SUM(H200:H205+H207:H212+H214:H219+H221:H226)</f>
        <v>38.376061177381899</v>
      </c>
      <c r="I227" s="633">
        <f t="array" ref="I227">SUM(I200:I205+I207:I212+I214:I219+I221:I226)</f>
        <v>47.245522251308195</v>
      </c>
      <c r="J227" s="633">
        <f t="array" ref="J227">SUM(J200:J205+J207:J212+J214:J219+J221:J226)</f>
        <v>2.2420790991307914E-3</v>
      </c>
      <c r="K227" s="633">
        <f t="array" ref="K227">SUM(K200:K205+K207:K212+K214:K219+K221:K226)</f>
        <v>9.2715329084526162E-4</v>
      </c>
      <c r="L227" s="633">
        <f t="array" ref="L227">SUM(L200:L205+L207:L212+L214:L219+L221:L226)</f>
        <v>0</v>
      </c>
      <c r="M227" s="634" t="s">
        <v>3339</v>
      </c>
    </row>
    <row r="228" spans="2:13" ht="20.149999999999999" customHeight="1" thickBot="1" x14ac:dyDescent="0.4">
      <c r="B228" s="635"/>
      <c r="C228" s="636"/>
      <c r="D228" s="636"/>
      <c r="E228" s="637"/>
      <c r="F228" s="637"/>
      <c r="G228" s="637"/>
      <c r="H228" s="637"/>
      <c r="I228" s="637"/>
      <c r="J228" s="637"/>
      <c r="K228" s="637"/>
      <c r="L228" s="637"/>
      <c r="M228" s="638"/>
    </row>
    <row r="229" spans="2:13" ht="20.149999999999999" customHeight="1" thickTop="1" x14ac:dyDescent="0.35">
      <c r="B229" s="639"/>
      <c r="C229" s="640"/>
      <c r="D229" s="640"/>
      <c r="E229" s="641" t="s">
        <v>23</v>
      </c>
      <c r="F229" s="641" t="s">
        <v>1798</v>
      </c>
      <c r="G229" s="641" t="s">
        <v>1799</v>
      </c>
      <c r="H229" s="641" t="s">
        <v>1800</v>
      </c>
      <c r="I229" s="641" t="s">
        <v>1801</v>
      </c>
      <c r="J229" s="641" t="s">
        <v>1802</v>
      </c>
      <c r="K229" s="641" t="s">
        <v>1803</v>
      </c>
      <c r="L229" s="642" t="s">
        <v>1804</v>
      </c>
      <c r="M229" s="643"/>
    </row>
    <row r="230" spans="2:13" ht="20.149999999999999" customHeight="1" x14ac:dyDescent="0.35">
      <c r="B230" s="644" t="s">
        <v>3471</v>
      </c>
      <c r="C230" s="645" t="s">
        <v>3472</v>
      </c>
      <c r="D230" s="645" t="s">
        <v>3473</v>
      </c>
      <c r="E230" s="646">
        <f>IFERROR(VLOOKUP($B230,flows!$A$2:$J$2950,E$2,FALSE),0)</f>
        <v>8.9410638530058942E-3</v>
      </c>
      <c r="F230" s="646">
        <f>IFERROR(VLOOKUP($B230,flows!$A$2:$J$2950,F$2,FALSE),0)</f>
        <v>78.932240452714169</v>
      </c>
      <c r="G230" s="646">
        <f>IFERROR(VLOOKUP($B230,flows!$A$2:$J$2950,G$2,FALSE),0)</f>
        <v>2.3874611145379778</v>
      </c>
      <c r="H230" s="646">
        <f>IFERROR(VLOOKUP($B230,flows!$A$2:$J$2950,H$2,FALSE),0)</f>
        <v>1.0083115461619381</v>
      </c>
      <c r="I230" s="646">
        <f>IFERROR(VLOOKUP($B230,flows!$A$2:$J$2950,I$2,FALSE),0)</f>
        <v>7.1673054904838676E-3</v>
      </c>
      <c r="J230" s="646">
        <f>IFERROR(VLOOKUP($B230,flows!$A$2:$J$2950,J$2,FALSE),0)</f>
        <v>1.6605108668155561E-4</v>
      </c>
      <c r="K230" s="646">
        <f>IFERROR(VLOOKUP($B230,flows!$A$2:$J$2950,K$2,FALSE),0)</f>
        <v>2.543763445147149E-5</v>
      </c>
      <c r="L230" s="646">
        <f>IFERROR(VLOOKUP($B230,flows!$A$2:$J$2950,L$2,FALSE),0)</f>
        <v>0</v>
      </c>
      <c r="M230" s="647" t="s">
        <v>3165</v>
      </c>
    </row>
    <row r="231" spans="2:13" ht="20.149999999999999" customHeight="1" x14ac:dyDescent="0.35">
      <c r="B231" s="648" t="s">
        <v>3474</v>
      </c>
      <c r="C231" s="645" t="s">
        <v>3472</v>
      </c>
      <c r="D231" s="645" t="s">
        <v>3473</v>
      </c>
      <c r="E231" s="646">
        <f>IFERROR(VLOOKUP($B231,flows!$A$2:$J$2950,E$2,FALSE),0)</f>
        <v>5.0240992798921214E-3</v>
      </c>
      <c r="F231" s="646">
        <f>IFERROR(VLOOKUP($B231,flows!$A$2:$J$2950,F$2,FALSE),0)</f>
        <v>409.36566119964078</v>
      </c>
      <c r="G231" s="646">
        <f>IFERROR(VLOOKUP($B231,flows!$A$2:$J$2950,G$2,FALSE),0)</f>
        <v>414.36912361390131</v>
      </c>
      <c r="H231" s="646">
        <f>IFERROR(VLOOKUP($B231,flows!$A$2:$J$2950,H$2,FALSE),0)</f>
        <v>255.34887993107529</v>
      </c>
      <c r="I231" s="646">
        <f>IFERROR(VLOOKUP($B231,flows!$A$2:$J$2950,I$2,FALSE),0)</f>
        <v>51.072247608503922</v>
      </c>
      <c r="J231" s="646">
        <f>IFERROR(VLOOKUP($B231,flows!$A$2:$J$2950,J$2,FALSE),0)</f>
        <v>34.839206887969333</v>
      </c>
      <c r="K231" s="646">
        <f>IFERROR(VLOOKUP($B231,flows!$A$2:$J$2950,K$2,FALSE),0)</f>
        <v>1.4746571680470801E-5</v>
      </c>
      <c r="L231" s="646">
        <f>IFERROR(VLOOKUP($B231,flows!$A$2:$J$2950,L$2,FALSE),0)</f>
        <v>0</v>
      </c>
      <c r="M231" s="647" t="s">
        <v>3165</v>
      </c>
    </row>
    <row r="232" spans="2:13" ht="20.149999999999999" customHeight="1" x14ac:dyDescent="0.35">
      <c r="B232" s="648" t="s">
        <v>3475</v>
      </c>
      <c r="C232" s="645" t="s">
        <v>3472</v>
      </c>
      <c r="D232" s="645" t="s">
        <v>3473</v>
      </c>
      <c r="E232" s="646">
        <f>IFERROR(VLOOKUP($B232,flows!$A$2:$J$2950,E$2,FALSE),0)</f>
        <v>5.1769948040567126E-3</v>
      </c>
      <c r="F232" s="646">
        <f>IFERROR(VLOOKUP($B232,flows!$A$2:$J$2950,F$2,FALSE),0)</f>
        <v>1228.1507186466731</v>
      </c>
      <c r="G232" s="646">
        <f>IFERROR(VLOOKUP($B232,flows!$A$2:$J$2950,G$2,FALSE),0)</f>
        <v>726.37736756263928</v>
      </c>
      <c r="H232" s="646">
        <f>IFERROR(VLOOKUP($B232,flows!$A$2:$J$2950,H$2,FALSE),0)</f>
        <v>168.71915882666721</v>
      </c>
      <c r="I232" s="646">
        <f>IFERROR(VLOOKUP($B232,flows!$A$2:$J$2950,I$2,FALSE),0)</f>
        <v>2.270255807320738</v>
      </c>
      <c r="J232" s="646">
        <f>IFERROR(VLOOKUP($B232,flows!$A$2:$J$2950,J$2,FALSE),0)</f>
        <v>1.6834668442110699E-4</v>
      </c>
      <c r="K232" s="646">
        <f>IFERROR(VLOOKUP($B232,flows!$A$2:$J$2950,K$2,FALSE),0)</f>
        <v>1.523314665717076E-5</v>
      </c>
      <c r="L232" s="646">
        <f>IFERROR(VLOOKUP($B232,flows!$A$2:$J$2950,L$2,FALSE),0)</f>
        <v>0</v>
      </c>
      <c r="M232" s="647" t="s">
        <v>3165</v>
      </c>
    </row>
    <row r="233" spans="2:13" ht="20.149999999999999" customHeight="1" x14ac:dyDescent="0.35">
      <c r="B233" s="648" t="s">
        <v>3476</v>
      </c>
      <c r="C233" s="645" t="s">
        <v>3472</v>
      </c>
      <c r="D233" s="645" t="s">
        <v>3473</v>
      </c>
      <c r="E233" s="646">
        <f>IFERROR(VLOOKUP($B233,flows!$A$2:$J$2950,E$2,FALSE),0)</f>
        <v>1.3485459533956921E-3</v>
      </c>
      <c r="F233" s="646">
        <f>IFERROR(VLOOKUP($B233,flows!$A$2:$J$2950,F$2,FALSE),0)</f>
        <v>45.485686175531441</v>
      </c>
      <c r="G233" s="646">
        <f>IFERROR(VLOOKUP($B233,flows!$A$2:$J$2950,G$2,FALSE),0)</f>
        <v>13.511075180538979</v>
      </c>
      <c r="H233" s="646">
        <f>IFERROR(VLOOKUP($B233,flows!$A$2:$J$2950,H$2,FALSE),0)</f>
        <v>4.2420238584554041E-3</v>
      </c>
      <c r="I233" s="646">
        <f>IFERROR(VLOOKUP($B233,flows!$A$2:$J$2950,I$2,FALSE),0)</f>
        <v>0.1612509646256339</v>
      </c>
      <c r="J233" s="646">
        <f>IFERROR(VLOOKUP($B233,flows!$A$2:$J$2950,J$2,FALSE),0)</f>
        <v>7.1903354881488636E-5</v>
      </c>
      <c r="K233" s="646">
        <f>IFERROR(VLOOKUP($B233,flows!$A$2:$J$2950,K$2,FALSE),0)</f>
        <v>4.5235915960751536E-6</v>
      </c>
      <c r="L233" s="646">
        <f>IFERROR(VLOOKUP($B233,flows!$A$2:$J$2950,L$2,FALSE),0)</f>
        <v>0</v>
      </c>
      <c r="M233" s="647" t="s">
        <v>3165</v>
      </c>
    </row>
    <row r="234" spans="2:13" ht="20.149999999999999" customHeight="1" x14ac:dyDescent="0.35">
      <c r="B234" s="648" t="s">
        <v>3477</v>
      </c>
      <c r="C234" s="645" t="s">
        <v>3472</v>
      </c>
      <c r="D234" s="645" t="s">
        <v>3473</v>
      </c>
      <c r="E234" s="646">
        <f>IFERROR(VLOOKUP($B234,flows!$A$2:$J$2950,E$2,FALSE),0)</f>
        <v>1.4683901389548129E-3</v>
      </c>
      <c r="F234" s="646">
        <f>IFERROR(VLOOKUP($B234,flows!$A$2:$J$2950,F$2,FALSE),0)</f>
        <v>136.5459010177494</v>
      </c>
      <c r="G234" s="646">
        <f>IFERROR(VLOOKUP($B234,flows!$A$2:$J$2950,G$2,FALSE),0)</f>
        <v>11.91540850812582</v>
      </c>
      <c r="H234" s="646">
        <f>IFERROR(VLOOKUP($B234,flows!$A$2:$J$2950,H$2,FALSE),0)</f>
        <v>4.1170098384758396E-3</v>
      </c>
      <c r="I234" s="646">
        <f>IFERROR(VLOOKUP($B234,flows!$A$2:$J$2950,I$2,FALSE),0)</f>
        <v>0.13327062754694621</v>
      </c>
      <c r="J234" s="646">
        <f>IFERROR(VLOOKUP($B234,flows!$A$2:$J$2950,J$2,FALSE),0)</f>
        <v>7.1758159228709251E-5</v>
      </c>
      <c r="K234" s="646">
        <f>IFERROR(VLOOKUP($B234,flows!$A$2:$J$2950,K$2,FALSE),0)</f>
        <v>4.9124710927582153E-6</v>
      </c>
      <c r="L234" s="646">
        <f>IFERROR(VLOOKUP($B234,flows!$A$2:$J$2950,L$2,FALSE),0)</f>
        <v>0</v>
      </c>
      <c r="M234" s="647" t="s">
        <v>3165</v>
      </c>
    </row>
    <row r="235" spans="2:13" ht="20.149999999999999" customHeight="1" x14ac:dyDescent="0.35">
      <c r="B235" s="648" t="s">
        <v>3478</v>
      </c>
      <c r="C235" s="645" t="s">
        <v>3472</v>
      </c>
      <c r="D235" s="645" t="s">
        <v>3473</v>
      </c>
      <c r="E235" s="646">
        <f>IFERROR(VLOOKUP($B235,flows!$A$2:$J$2950,E$2,FALSE),0)</f>
        <v>0</v>
      </c>
      <c r="F235" s="646">
        <f>IFERROR(VLOOKUP($B235,flows!$A$2:$J$2950,F$2,FALSE),0)</f>
        <v>0</v>
      </c>
      <c r="G235" s="646">
        <f>IFERROR(VLOOKUP($B235,flows!$A$2:$J$2950,G$2,FALSE),0)</f>
        <v>0</v>
      </c>
      <c r="H235" s="646">
        <f>IFERROR(VLOOKUP($B235,flows!$A$2:$J$2950,H$2,FALSE),0)</f>
        <v>0</v>
      </c>
      <c r="I235" s="646">
        <f>IFERROR(VLOOKUP($B235,flows!$A$2:$J$2950,I$2,FALSE),0)</f>
        <v>0</v>
      </c>
      <c r="J235" s="646">
        <f>IFERROR(VLOOKUP($B235,flows!$A$2:$J$2950,J$2,FALSE),0)</f>
        <v>0</v>
      </c>
      <c r="K235" s="646">
        <f>IFERROR(VLOOKUP($B235,flows!$A$2:$J$2950,K$2,FALSE),0)</f>
        <v>0</v>
      </c>
      <c r="L235" s="646">
        <f>IFERROR(VLOOKUP($B235,flows!$A$2:$J$2950,L$2,FALSE),0)</f>
        <v>0</v>
      </c>
      <c r="M235" s="647" t="s">
        <v>3165</v>
      </c>
    </row>
    <row r="236" spans="2:13" ht="20.149999999999999" customHeight="1" x14ac:dyDescent="0.35">
      <c r="B236" s="648" t="s">
        <v>3479</v>
      </c>
      <c r="C236" s="645" t="s">
        <v>3472</v>
      </c>
      <c r="D236" s="645" t="s">
        <v>3473</v>
      </c>
      <c r="E236" s="646">
        <f>IFERROR(VLOOKUP($B236,flows!$A$2:$J$2950,E$2,FALSE),0)</f>
        <v>5.2593922065937273E-3</v>
      </c>
      <c r="F236" s="646">
        <f>IFERROR(VLOOKUP($B236,flows!$A$2:$J$2950,F$2,FALSE),0)</f>
        <v>0</v>
      </c>
      <c r="G236" s="646">
        <f>IFERROR(VLOOKUP($B236,flows!$A$2:$J$2950,G$2,FALSE),0)</f>
        <v>3.59740244430288</v>
      </c>
      <c r="H236" s="646">
        <f>IFERROR(VLOOKUP($B236,flows!$A$2:$J$2950,H$2,FALSE),0)</f>
        <v>3.5078938677170299E-3</v>
      </c>
      <c r="I236" s="646">
        <f>IFERROR(VLOOKUP($B236,flows!$A$2:$J$2950,I$2,FALSE),0)</f>
        <v>1.343606005040807E-3</v>
      </c>
      <c r="J236" s="646">
        <f>IFERROR(VLOOKUP($B236,flows!$A$2:$J$2950,J$2,FALSE),0)</f>
        <v>1.621337482252951E-4</v>
      </c>
      <c r="K236" s="646">
        <f>IFERROR(VLOOKUP($B236,flows!$A$2:$J$2950,K$2,FALSE),0)</f>
        <v>1.5512595226488869E-5</v>
      </c>
      <c r="L236" s="646">
        <f>IFERROR(VLOOKUP($B236,flows!$A$2:$J$2950,L$2,FALSE),0)</f>
        <v>0</v>
      </c>
      <c r="M236" s="647" t="s">
        <v>3165</v>
      </c>
    </row>
    <row r="237" spans="2:13" ht="20.149999999999999" customHeight="1" x14ac:dyDescent="0.35">
      <c r="B237" s="648" t="s">
        <v>3480</v>
      </c>
      <c r="C237" s="645" t="s">
        <v>3472</v>
      </c>
      <c r="D237" s="645" t="s">
        <v>3473</v>
      </c>
      <c r="E237" s="646">
        <f>IFERROR(VLOOKUP($B237,flows!$A$2:$J$2950,E$2,FALSE),0)</f>
        <v>5.5421870469872479E-3</v>
      </c>
      <c r="F237" s="646">
        <f>IFERROR(VLOOKUP($B237,flows!$A$2:$J$2950,F$2,FALSE),0)</f>
        <v>0</v>
      </c>
      <c r="G237" s="646">
        <f>IFERROR(VLOOKUP($B237,flows!$A$2:$J$2950,G$2,FALSE),0)</f>
        <v>0.42532088109631339</v>
      </c>
      <c r="H237" s="646">
        <f>IFERROR(VLOOKUP($B237,flows!$A$2:$J$2950,H$2,FALSE),0)</f>
        <v>9.0595497588671589E-4</v>
      </c>
      <c r="I237" s="646">
        <f>IFERROR(VLOOKUP($B237,flows!$A$2:$J$2950,I$2,FALSE),0)</f>
        <v>7.4981817827154918E-4</v>
      </c>
      <c r="J237" s="646">
        <f>IFERROR(VLOOKUP($B237,flows!$A$2:$J$2950,J$2,FALSE),0)</f>
        <v>6.9327834029423306E-5</v>
      </c>
      <c r="K237" s="646">
        <f>IFERROR(VLOOKUP($B237,flows!$A$2:$J$2950,K$2,FALSE),0)</f>
        <v>1.599340158363445E-5</v>
      </c>
      <c r="L237" s="646">
        <f>IFERROR(VLOOKUP($B237,flows!$A$2:$J$2950,L$2,FALSE),0)</f>
        <v>0</v>
      </c>
      <c r="M237" s="647" t="s">
        <v>3165</v>
      </c>
    </row>
    <row r="238" spans="2:13" ht="20.149999999999999" customHeight="1" x14ac:dyDescent="0.35">
      <c r="B238" s="648" t="s">
        <v>3481</v>
      </c>
      <c r="C238" s="645" t="s">
        <v>3472</v>
      </c>
      <c r="D238" s="645" t="s">
        <v>3473</v>
      </c>
      <c r="E238" s="646">
        <f>IFERROR(VLOOKUP($B238,flows!$A$2:$J$2950,E$2,FALSE),0)</f>
        <v>0</v>
      </c>
      <c r="F238" s="646">
        <f>IFERROR(VLOOKUP($B238,flows!$A$2:$J$2950,F$2,FALSE),0)</f>
        <v>0</v>
      </c>
      <c r="G238" s="646">
        <f>IFERROR(VLOOKUP($B238,flows!$A$2:$J$2950,G$2,FALSE),0)</f>
        <v>0</v>
      </c>
      <c r="H238" s="646">
        <f>IFERROR(VLOOKUP($B238,flows!$A$2:$J$2950,H$2,FALSE),0)</f>
        <v>0</v>
      </c>
      <c r="I238" s="646">
        <f>IFERROR(VLOOKUP($B238,flows!$A$2:$J$2950,I$2,FALSE),0)</f>
        <v>0</v>
      </c>
      <c r="J238" s="646">
        <f>IFERROR(VLOOKUP($B238,flows!$A$2:$J$2950,J$2,FALSE),0)</f>
        <v>0</v>
      </c>
      <c r="K238" s="646">
        <f>IFERROR(VLOOKUP($B238,flows!$A$2:$J$2950,K$2,FALSE),0)</f>
        <v>0</v>
      </c>
      <c r="L238" s="646">
        <f>IFERROR(VLOOKUP($B238,flows!$A$2:$J$2950,L$2,FALSE),0)</f>
        <v>0</v>
      </c>
      <c r="M238" s="647" t="s">
        <v>3165</v>
      </c>
    </row>
    <row r="239" spans="2:13" ht="20.149999999999999" customHeight="1" x14ac:dyDescent="0.35">
      <c r="B239" s="649" t="s">
        <v>2031</v>
      </c>
      <c r="C239" s="645" t="s">
        <v>1229</v>
      </c>
      <c r="D239" s="645" t="s">
        <v>3212</v>
      </c>
      <c r="E239" s="650">
        <f t="shared" ref="E239:L239" si="46">SUM(E230:E238)</f>
        <v>3.2760673282886205E-2</v>
      </c>
      <c r="F239" s="650">
        <f t="shared" si="46"/>
        <v>1898.4802074923089</v>
      </c>
      <c r="G239" s="650">
        <f t="shared" si="46"/>
        <v>1172.5831593051423</v>
      </c>
      <c r="H239" s="650">
        <f t="shared" si="46"/>
        <v>425.08912318644497</v>
      </c>
      <c r="I239" s="650">
        <f t="shared" si="46"/>
        <v>53.646285737671043</v>
      </c>
      <c r="J239" s="650">
        <f t="shared" si="46"/>
        <v>34.839916408836793</v>
      </c>
      <c r="K239" s="650">
        <f t="shared" si="46"/>
        <v>9.6359412288069736E-5</v>
      </c>
      <c r="L239" s="650">
        <f t="shared" si="46"/>
        <v>0</v>
      </c>
      <c r="M239" s="647" t="s">
        <v>3165</v>
      </c>
    </row>
    <row r="240" spans="2:13" ht="20.149999999999999" customHeight="1" x14ac:dyDescent="0.35">
      <c r="B240" s="605" t="s">
        <v>3482</v>
      </c>
      <c r="C240" s="606" t="s">
        <v>3472</v>
      </c>
      <c r="D240" s="606" t="s">
        <v>3473</v>
      </c>
      <c r="E240" s="651">
        <f>IFERROR(VLOOKUP($B240,flows!$A$2:$J$2950,E$2,FALSE),0)</f>
        <v>560.18017589980332</v>
      </c>
      <c r="F240" s="651">
        <f>IFERROR(VLOOKUP($B240,flows!$A$2:$J$2950,F$2,FALSE),0)</f>
        <v>0</v>
      </c>
      <c r="G240" s="651">
        <f>IFERROR(VLOOKUP($B240,flows!$A$2:$J$2950,G$2,FALSE),0)</f>
        <v>1.4881428129545831</v>
      </c>
      <c r="H240" s="651">
        <f>IFERROR(VLOOKUP($B240,flows!$A$2:$J$2950,H$2,FALSE),0)</f>
        <v>18.972751424962588</v>
      </c>
      <c r="I240" s="651">
        <f>IFERROR(VLOOKUP($B240,flows!$A$2:$J$2950,I$2,FALSE),0)</f>
        <v>76.500864162381589</v>
      </c>
      <c r="J240" s="651">
        <f>IFERROR(VLOOKUP($B240,flows!$A$2:$J$2950,J$2,FALSE),0)</f>
        <v>224.3942209881638</v>
      </c>
      <c r="K240" s="651">
        <f>IFERROR(VLOOKUP($B240,flows!$A$2:$J$2950,K$2,FALSE),0)</f>
        <v>560.14505023593119</v>
      </c>
      <c r="L240" s="651">
        <f>IFERROR(VLOOKUP($B240,flows!$A$2:$J$2950,L$2,FALSE),0)</f>
        <v>0</v>
      </c>
      <c r="M240" s="524" t="s">
        <v>3165</v>
      </c>
    </row>
    <row r="241" spans="2:13" ht="20.149999999999999" customHeight="1" x14ac:dyDescent="0.35">
      <c r="B241" s="605" t="s">
        <v>3483</v>
      </c>
      <c r="C241" s="606" t="s">
        <v>3472</v>
      </c>
      <c r="D241" s="606" t="s">
        <v>3473</v>
      </c>
      <c r="E241" s="651">
        <f>IFERROR(VLOOKUP($B241,flows!$A$2:$J$2950,E$2,FALSE),0)</f>
        <v>3.7454301053342358E-3</v>
      </c>
      <c r="F241" s="651">
        <f>IFERROR(VLOOKUP($B241,flows!$A$2:$J$2950,F$2,FALSE),0)</f>
        <v>0</v>
      </c>
      <c r="G241" s="651">
        <f>IFERROR(VLOOKUP($B241,flows!$A$2:$J$2950,G$2,FALSE),0)</f>
        <v>58.566198274755429</v>
      </c>
      <c r="H241" s="651">
        <f>IFERROR(VLOOKUP($B241,flows!$A$2:$J$2950,H$2,FALSE),0)</f>
        <v>179.75150290072011</v>
      </c>
      <c r="I241" s="651">
        <f>IFERROR(VLOOKUP($B241,flows!$A$2:$J$2950,I$2,FALSE),0)</f>
        <v>160.98964600045929</v>
      </c>
      <c r="J241" s="651">
        <f>IFERROR(VLOOKUP($B241,flows!$A$2:$J$2950,J$2,FALSE),0)</f>
        <v>144.3179193403231</v>
      </c>
      <c r="K241" s="651">
        <f>IFERROR(VLOOKUP($B241,flows!$A$2:$J$2950,K$2,FALSE),0)</f>
        <v>2.1158590844867061E-5</v>
      </c>
      <c r="L241" s="651">
        <f>IFERROR(VLOOKUP($B241,flows!$A$2:$J$2950,L$2,FALSE),0)</f>
        <v>0</v>
      </c>
      <c r="M241" s="524" t="s">
        <v>3165</v>
      </c>
    </row>
    <row r="242" spans="2:13" ht="20.149999999999999" customHeight="1" x14ac:dyDescent="0.35">
      <c r="B242" s="605" t="s">
        <v>3484</v>
      </c>
      <c r="C242" s="606" t="s">
        <v>3472</v>
      </c>
      <c r="D242" s="606" t="s">
        <v>3473</v>
      </c>
      <c r="E242" s="651">
        <f>IFERROR(VLOOKUP($B242,flows!$A$2:$J$2950,E$2,FALSE),0)</f>
        <v>4.0474564721116133E-3</v>
      </c>
      <c r="F242" s="651">
        <f>IFERROR(VLOOKUP($B242,flows!$A$2:$J$2950,F$2,FALSE),0)</f>
        <v>0</v>
      </c>
      <c r="G242" s="651">
        <f>IFERROR(VLOOKUP($B242,flows!$A$2:$J$2950,G$2,FALSE),0)</f>
        <v>58.519254997714157</v>
      </c>
      <c r="H242" s="651">
        <f>IFERROR(VLOOKUP($B242,flows!$A$2:$J$2950,H$2,FALSE),0)</f>
        <v>104.26688983737471</v>
      </c>
      <c r="I242" s="651">
        <f>IFERROR(VLOOKUP($B242,flows!$A$2:$J$2950,I$2,FALSE),0)</f>
        <v>113.0352226792521</v>
      </c>
      <c r="J242" s="651">
        <f>IFERROR(VLOOKUP($B242,flows!$A$2:$J$2950,J$2,FALSE),0)</f>
        <v>54.143942147356242</v>
      </c>
      <c r="K242" s="651">
        <f>IFERROR(VLOOKUP($B242,flows!$A$2:$J$2950,K$2,FALSE),0)</f>
        <v>2.4070596416545212E-5</v>
      </c>
      <c r="L242" s="651">
        <f>IFERROR(VLOOKUP($B242,flows!$A$2:$J$2950,L$2,FALSE),0)</f>
        <v>0</v>
      </c>
      <c r="M242" s="524" t="s">
        <v>3165</v>
      </c>
    </row>
    <row r="243" spans="2:13" ht="20.149999999999999" customHeight="1" x14ac:dyDescent="0.35">
      <c r="B243" s="605" t="s">
        <v>3485</v>
      </c>
      <c r="C243" s="606" t="s">
        <v>3472</v>
      </c>
      <c r="D243" s="606" t="s">
        <v>3473</v>
      </c>
      <c r="E243" s="651">
        <f>IFERROR(VLOOKUP($B243,flows!$A$2:$J$2950,E$2,FALSE),0)</f>
        <v>4.4522790285536222E-4</v>
      </c>
      <c r="F243" s="651">
        <f>IFERROR(VLOOKUP($B243,flows!$A$2:$J$2950,F$2,FALSE),0)</f>
        <v>0</v>
      </c>
      <c r="G243" s="651">
        <f>IFERROR(VLOOKUP($B243,flows!$A$2:$J$2950,G$2,FALSE),0)</f>
        <v>2.071438317580141</v>
      </c>
      <c r="H243" s="651">
        <f>IFERROR(VLOOKUP($B243,flows!$A$2:$J$2950,H$2,FALSE),0)</f>
        <v>7.0275649829420301E-4</v>
      </c>
      <c r="I243" s="651">
        <f>IFERROR(VLOOKUP($B243,flows!$A$2:$J$2950,I$2,FALSE),0)</f>
        <v>2.8512670573573392E-4</v>
      </c>
      <c r="J243" s="651">
        <f>IFERROR(VLOOKUP($B243,flows!$A$2:$J$2950,J$2,FALSE),0)</f>
        <v>2.9938495996241692E-5</v>
      </c>
      <c r="K243" s="651">
        <f>IFERROR(VLOOKUP($B243,flows!$A$2:$J$2950,K$2,FALSE),0)</f>
        <v>1.484568957296792E-6</v>
      </c>
      <c r="L243" s="651">
        <f>IFERROR(VLOOKUP($B243,flows!$A$2:$J$2950,L$2,FALSE),0)</f>
        <v>0</v>
      </c>
      <c r="M243" s="524" t="s">
        <v>3165</v>
      </c>
    </row>
    <row r="244" spans="2:13" ht="20.149999999999999" customHeight="1" x14ac:dyDescent="0.35">
      <c r="B244" s="605" t="s">
        <v>3486</v>
      </c>
      <c r="C244" s="606" t="s">
        <v>3472</v>
      </c>
      <c r="D244" s="606" t="s">
        <v>3473</v>
      </c>
      <c r="E244" s="651">
        <f>IFERROR(VLOOKUP($B244,flows!$A$2:$J$2950,E$2,FALSE),0)</f>
        <v>4.9368991471568011E-4</v>
      </c>
      <c r="F244" s="651">
        <f>IFERROR(VLOOKUP($B244,flows!$A$2:$J$2950,F$2,FALSE),0)</f>
        <v>0</v>
      </c>
      <c r="G244" s="651">
        <f>IFERROR(VLOOKUP($B244,flows!$A$2:$J$2950,G$2,FALSE),0)</f>
        <v>1.158024240735775</v>
      </c>
      <c r="H244" s="651">
        <f>IFERROR(VLOOKUP($B244,flows!$A$2:$J$2950,H$2,FALSE),0)</f>
        <v>6.8491338508644222E-4</v>
      </c>
      <c r="I244" s="651">
        <f>IFERROR(VLOOKUP($B244,flows!$A$2:$J$2950,I$2,FALSE),0)</f>
        <v>2.9677279716842719E-4</v>
      </c>
      <c r="J244" s="651">
        <f>IFERROR(VLOOKUP($B244,flows!$A$2:$J$2950,J$2,FALSE),0)</f>
        <v>3.0030291341089409E-5</v>
      </c>
      <c r="K244" s="651">
        <f>IFERROR(VLOOKUP($B244,flows!$A$2:$J$2950,K$2,FALSE),0)</f>
        <v>1.639998416275162E-6</v>
      </c>
      <c r="L244" s="651">
        <f>IFERROR(VLOOKUP($B244,flows!$A$2:$J$2950,L$2,FALSE),0)</f>
        <v>0</v>
      </c>
      <c r="M244" s="524" t="s">
        <v>3165</v>
      </c>
    </row>
    <row r="245" spans="2:13" ht="20.149999999999999" customHeight="1" x14ac:dyDescent="0.35">
      <c r="B245" s="605" t="s">
        <v>3487</v>
      </c>
      <c r="C245" s="606" t="s">
        <v>3472</v>
      </c>
      <c r="D245" s="606" t="s">
        <v>3473</v>
      </c>
      <c r="E245" s="651">
        <f>IFERROR(VLOOKUP($B245,flows!$A$2:$J$2950,E$2,FALSE),0)</f>
        <v>0</v>
      </c>
      <c r="F245" s="651">
        <f>IFERROR(VLOOKUP($B245,flows!$A$2:$J$2950,F$2,FALSE),0)</f>
        <v>0</v>
      </c>
      <c r="G245" s="651">
        <f>IFERROR(VLOOKUP($B245,flows!$A$2:$J$2950,G$2,FALSE),0)</f>
        <v>0</v>
      </c>
      <c r="H245" s="651">
        <f>IFERROR(VLOOKUP($B245,flows!$A$2:$J$2950,H$2,FALSE),0)</f>
        <v>0</v>
      </c>
      <c r="I245" s="651">
        <f>IFERROR(VLOOKUP($B245,flows!$A$2:$J$2950,I$2,FALSE),0)</f>
        <v>0</v>
      </c>
      <c r="J245" s="651">
        <f>IFERROR(VLOOKUP($B245,flows!$A$2:$J$2950,J$2,FALSE),0)</f>
        <v>0</v>
      </c>
      <c r="K245" s="651">
        <f>IFERROR(VLOOKUP($B245,flows!$A$2:$J$2950,K$2,FALSE),0)</f>
        <v>0</v>
      </c>
      <c r="L245" s="651">
        <f>IFERROR(VLOOKUP($B245,flows!$A$2:$J$2950,L$2,FALSE),0)</f>
        <v>0</v>
      </c>
      <c r="M245" s="524" t="s">
        <v>3165</v>
      </c>
    </row>
    <row r="246" spans="2:13" ht="20.149999999999999" customHeight="1" x14ac:dyDescent="0.35">
      <c r="B246" s="605" t="s">
        <v>3488</v>
      </c>
      <c r="C246" s="606" t="s">
        <v>3472</v>
      </c>
      <c r="D246" s="606" t="s">
        <v>3473</v>
      </c>
      <c r="E246" s="651">
        <f>IFERROR(VLOOKUP($B246,flows!$A$2:$J$2950,E$2,FALSE),0)</f>
        <v>4.2221904776983104E-3</v>
      </c>
      <c r="F246" s="651">
        <f>IFERROR(VLOOKUP($B246,flows!$A$2:$J$2950,F$2,FALSE),0)</f>
        <v>0</v>
      </c>
      <c r="G246" s="651">
        <f>IFERROR(VLOOKUP($B246,flows!$A$2:$J$2950,G$2,FALSE),0)</f>
        <v>25.388518080785101</v>
      </c>
      <c r="H246" s="651">
        <f>IFERROR(VLOOKUP($B246,flows!$A$2:$J$2950,H$2,FALSE),0)</f>
        <v>25.94019199789949</v>
      </c>
      <c r="I246" s="651">
        <f>IFERROR(VLOOKUP($B246,flows!$A$2:$J$2950,I$2,FALSE),0)</f>
        <v>25.93436710966229</v>
      </c>
      <c r="J246" s="651">
        <f>IFERROR(VLOOKUP($B246,flows!$A$2:$J$2950,J$2,FALSE),0)</f>
        <v>2.0092064798633621E-4</v>
      </c>
      <c r="K246" s="651">
        <f>IFERROR(VLOOKUP($B246,flows!$A$2:$J$2950,K$2,FALSE),0)</f>
        <v>9.7515534611060811E-6</v>
      </c>
      <c r="L246" s="651">
        <f>IFERROR(VLOOKUP($B246,flows!$A$2:$J$2950,L$2,FALSE),0)</f>
        <v>0</v>
      </c>
      <c r="M246" s="524" t="s">
        <v>3165</v>
      </c>
    </row>
    <row r="247" spans="2:13" ht="20.149999999999999" customHeight="1" x14ac:dyDescent="0.35">
      <c r="B247" s="605" t="s">
        <v>3489</v>
      </c>
      <c r="C247" s="606" t="s">
        <v>3472</v>
      </c>
      <c r="D247" s="606" t="s">
        <v>3473</v>
      </c>
      <c r="E247" s="651">
        <f>IFERROR(VLOOKUP($B247,flows!$A$2:$J$2950,E$2,FALSE),0)</f>
        <v>5.3864481141362788E-3</v>
      </c>
      <c r="F247" s="651">
        <f>IFERROR(VLOOKUP($B247,flows!$A$2:$J$2950,F$2,FALSE),0)</f>
        <v>0</v>
      </c>
      <c r="G247" s="651">
        <f>IFERROR(VLOOKUP($B247,flows!$A$2:$J$2950,G$2,FALSE),0)</f>
        <v>0.13389145319803369</v>
      </c>
      <c r="H247" s="651">
        <f>IFERROR(VLOOKUP($B247,flows!$A$2:$J$2950,H$2,FALSE),0)</f>
        <v>3.224053221446984E-4</v>
      </c>
      <c r="I247" s="651">
        <f>IFERROR(VLOOKUP($B247,flows!$A$2:$J$2950,I$2,FALSE),0)</f>
        <v>4.1736465220221041E-4</v>
      </c>
      <c r="J247" s="651">
        <f>IFERROR(VLOOKUP($B247,flows!$A$2:$J$2950,J$2,FALSE),0)</f>
        <v>2.849411222763686E-5</v>
      </c>
      <c r="K247" s="651">
        <f>IFERROR(VLOOKUP($B247,flows!$A$2:$J$2950,K$2,FALSE),0)</f>
        <v>1.277311430395521E-5</v>
      </c>
      <c r="L247" s="651">
        <f>IFERROR(VLOOKUP($B247,flows!$A$2:$J$2950,L$2,FALSE),0)</f>
        <v>0</v>
      </c>
      <c r="M247" s="524" t="s">
        <v>3165</v>
      </c>
    </row>
    <row r="248" spans="2:13" ht="20.149999999999999" customHeight="1" x14ac:dyDescent="0.35">
      <c r="B248" s="605" t="s">
        <v>3490</v>
      </c>
      <c r="C248" s="606" t="s">
        <v>3472</v>
      </c>
      <c r="D248" s="606" t="s">
        <v>3473</v>
      </c>
      <c r="E248" s="651">
        <f>IFERROR(VLOOKUP($B248,flows!$A$2:$J$2950,E$2,FALSE),0)</f>
        <v>0</v>
      </c>
      <c r="F248" s="651">
        <f>IFERROR(VLOOKUP($B248,flows!$A$2:$J$2950,F$2,FALSE),0)</f>
        <v>0</v>
      </c>
      <c r="G248" s="651">
        <f>IFERROR(VLOOKUP($B248,flows!$A$2:$J$2950,G$2,FALSE),0)</f>
        <v>0</v>
      </c>
      <c r="H248" s="651">
        <f>IFERROR(VLOOKUP($B248,flows!$A$2:$J$2950,H$2,FALSE),0)</f>
        <v>0</v>
      </c>
      <c r="I248" s="651">
        <f>IFERROR(VLOOKUP($B248,flows!$A$2:$J$2950,I$2,FALSE),0)</f>
        <v>0</v>
      </c>
      <c r="J248" s="651">
        <f>IFERROR(VLOOKUP($B248,flows!$A$2:$J$2950,J$2,FALSE),0)</f>
        <v>0</v>
      </c>
      <c r="K248" s="651">
        <f>IFERROR(VLOOKUP($B248,flows!$A$2:$J$2950,K$2,FALSE),0)</f>
        <v>0</v>
      </c>
      <c r="L248" s="651">
        <f>IFERROR(VLOOKUP($B248,flows!$A$2:$J$2950,L$2,FALSE),0)</f>
        <v>0</v>
      </c>
      <c r="M248" s="524" t="s">
        <v>3165</v>
      </c>
    </row>
    <row r="249" spans="2:13" ht="20.149999999999999" customHeight="1" x14ac:dyDescent="0.35">
      <c r="B249" s="652" t="s">
        <v>2031</v>
      </c>
      <c r="C249" s="606" t="s">
        <v>1229</v>
      </c>
      <c r="D249" s="606" t="s">
        <v>3212</v>
      </c>
      <c r="E249" s="653">
        <f t="shared" ref="E249:L249" si="47">SUM(E240:E248)</f>
        <v>560.19851634279019</v>
      </c>
      <c r="F249" s="653">
        <f t="shared" si="47"/>
        <v>0</v>
      </c>
      <c r="G249" s="653">
        <f t="shared" si="47"/>
        <v>147.32546817772322</v>
      </c>
      <c r="H249" s="653">
        <f t="shared" si="47"/>
        <v>328.93304623616245</v>
      </c>
      <c r="I249" s="653">
        <f t="shared" si="47"/>
        <v>376.46109921591039</v>
      </c>
      <c r="J249" s="653">
        <f t="shared" si="47"/>
        <v>422.85637185939066</v>
      </c>
      <c r="K249" s="653">
        <f t="shared" si="47"/>
        <v>560.14512111435363</v>
      </c>
      <c r="L249" s="653">
        <f t="shared" si="47"/>
        <v>0</v>
      </c>
      <c r="M249" s="524" t="s">
        <v>3165</v>
      </c>
    </row>
    <row r="250" spans="2:13" ht="20.149999999999999" customHeight="1" x14ac:dyDescent="0.35">
      <c r="B250" s="583" t="s">
        <v>3217</v>
      </c>
      <c r="C250" s="584" t="s">
        <v>3237</v>
      </c>
      <c r="D250" s="584" t="s">
        <v>3238</v>
      </c>
      <c r="E250" s="585">
        <f t="shared" ref="E250:L250" si="48">SUM(E239+E249)</f>
        <v>560.23127701607302</v>
      </c>
      <c r="F250" s="585">
        <f t="shared" si="48"/>
        <v>1898.4802074923089</v>
      </c>
      <c r="G250" s="585">
        <f t="shared" si="48"/>
        <v>1319.9086274828655</v>
      </c>
      <c r="H250" s="585">
        <f t="shared" si="48"/>
        <v>754.02216942260748</v>
      </c>
      <c r="I250" s="585">
        <f t="shared" si="48"/>
        <v>430.10738495358146</v>
      </c>
      <c r="J250" s="585">
        <f t="shared" si="48"/>
        <v>457.69628826822748</v>
      </c>
      <c r="K250" s="585">
        <f t="shared" si="48"/>
        <v>560.14521747376591</v>
      </c>
      <c r="L250" s="585">
        <f t="shared" si="48"/>
        <v>0</v>
      </c>
      <c r="M250" s="586" t="s">
        <v>3165</v>
      </c>
    </row>
    <row r="251" spans="2:13" ht="20.149999999999999" customHeight="1" x14ac:dyDescent="0.35">
      <c r="B251" s="619" t="s">
        <v>3491</v>
      </c>
      <c r="C251" s="620" t="s">
        <v>3472</v>
      </c>
      <c r="D251" s="620" t="s">
        <v>3473</v>
      </c>
      <c r="E251" s="654">
        <f>IFERROR(VLOOKUP($B251,flows!$A$2:$J$2950,E$2,FALSE),0)</f>
        <v>1973.2593389411461</v>
      </c>
      <c r="F251" s="654">
        <f>IFERROR(VLOOKUP($B251,flows!$A$2:$J$2950,F$2,FALSE),0)</f>
        <v>0</v>
      </c>
      <c r="G251" s="654">
        <f>IFERROR(VLOOKUP($B251,flows!$A$2:$J$2950,G$2,FALSE),0)</f>
        <v>6.2809911184391503</v>
      </c>
      <c r="H251" s="654">
        <f>IFERROR(VLOOKUP($B251,flows!$A$2:$J$2950,H$2,FALSE),0)</f>
        <v>126.221357403026</v>
      </c>
      <c r="I251" s="654">
        <f>IFERROR(VLOOKUP($B251,flows!$A$2:$J$2950,I$2,FALSE),0)</f>
        <v>326.992019678595</v>
      </c>
      <c r="J251" s="654">
        <f>IFERROR(VLOOKUP($B251,flows!$A$2:$J$2950,J$2,FALSE),0)</f>
        <v>790.5353127190649</v>
      </c>
      <c r="K251" s="654">
        <f>IFERROR(VLOOKUP($B251,flows!$A$2:$J$2950,K$2,FALSE),0)</f>
        <v>1973.3500572558471</v>
      </c>
      <c r="L251" s="654">
        <f>IFERROR(VLOOKUP($B251,flows!$A$2:$J$2950,L$2,FALSE),0)</f>
        <v>0</v>
      </c>
      <c r="M251" s="534" t="s">
        <v>3165</v>
      </c>
    </row>
    <row r="252" spans="2:13" ht="20.149999999999999" customHeight="1" x14ac:dyDescent="0.35">
      <c r="B252" s="619" t="s">
        <v>3492</v>
      </c>
      <c r="C252" s="620" t="s">
        <v>3472</v>
      </c>
      <c r="D252" s="620" t="s">
        <v>3473</v>
      </c>
      <c r="E252" s="654">
        <f>IFERROR(VLOOKUP($B252,flows!$A$2:$J$2950,E$2,FALSE),0)</f>
        <v>1.555581030808894E-2</v>
      </c>
      <c r="F252" s="654">
        <f>IFERROR(VLOOKUP($B252,flows!$A$2:$J$2950,F$2,FALSE),0)</f>
        <v>679.35361351551285</v>
      </c>
      <c r="G252" s="654">
        <f>IFERROR(VLOOKUP($B252,flows!$A$2:$J$2950,G$2,FALSE),0)</f>
        <v>729.17991512244839</v>
      </c>
      <c r="H252" s="654">
        <f>IFERROR(VLOOKUP($B252,flows!$A$2:$J$2950,H$2,FALSE),0)</f>
        <v>685.80276083490435</v>
      </c>
      <c r="I252" s="654">
        <f>IFERROR(VLOOKUP($B252,flows!$A$2:$J$2950,I$2,FALSE),0)</f>
        <v>241.86633657824791</v>
      </c>
      <c r="J252" s="654">
        <f>IFERROR(VLOOKUP($B252,flows!$A$2:$J$2950,J$2,FALSE),0)</f>
        <v>277.75272065952203</v>
      </c>
      <c r="K252" s="654">
        <f>IFERROR(VLOOKUP($B252,flows!$A$2:$J$2950,K$2,FALSE),0)</f>
        <v>9.7191288270260525E-5</v>
      </c>
      <c r="L252" s="654">
        <f>IFERROR(VLOOKUP($B252,flows!$A$2:$J$2950,L$2,FALSE),0)</f>
        <v>0</v>
      </c>
      <c r="M252" s="534" t="s">
        <v>3165</v>
      </c>
    </row>
    <row r="253" spans="2:13" ht="20.149999999999999" customHeight="1" x14ac:dyDescent="0.35">
      <c r="B253" s="619" t="s">
        <v>3493</v>
      </c>
      <c r="C253" s="620" t="s">
        <v>3472</v>
      </c>
      <c r="D253" s="620" t="s">
        <v>3473</v>
      </c>
      <c r="E253" s="654">
        <f>IFERROR(VLOOKUP($B253,flows!$A$2:$J$2950,E$2,FALSE),0)</f>
        <v>1.7037946173035789E-2</v>
      </c>
      <c r="F253" s="654">
        <f>IFERROR(VLOOKUP($B253,flows!$A$2:$J$2950,F$2,FALSE),0)</f>
        <v>1190.4144946418239</v>
      </c>
      <c r="G253" s="654">
        <f>IFERROR(VLOOKUP($B253,flows!$A$2:$J$2950,G$2,FALSE),0)</f>
        <v>1271.331343670842</v>
      </c>
      <c r="H253" s="654">
        <f>IFERROR(VLOOKUP($B253,flows!$A$2:$J$2950,H$2,FALSE),0)</f>
        <v>908.08444705424563</v>
      </c>
      <c r="I253" s="654">
        <f>IFERROR(VLOOKUP($B253,flows!$A$2:$J$2950,I$2,FALSE),0)</f>
        <v>734.11121968976022</v>
      </c>
      <c r="J253" s="654">
        <f>IFERROR(VLOOKUP($B253,flows!$A$2:$J$2950,J$2,FALSE),0)</f>
        <v>149.5607567535636</v>
      </c>
      <c r="K253" s="654">
        <f>IFERROR(VLOOKUP($B253,flows!$A$2:$J$2950,K$2,FALSE),0)</f>
        <v>1.104235504552262E-4</v>
      </c>
      <c r="L253" s="654">
        <f>IFERROR(VLOOKUP($B253,flows!$A$2:$J$2950,L$2,FALSE),0)</f>
        <v>0</v>
      </c>
      <c r="M253" s="534" t="s">
        <v>3165</v>
      </c>
    </row>
    <row r="254" spans="2:13" ht="20.149999999999999" customHeight="1" x14ac:dyDescent="0.35">
      <c r="B254" s="619" t="s">
        <v>3494</v>
      </c>
      <c r="C254" s="620" t="s">
        <v>3472</v>
      </c>
      <c r="D254" s="620" t="s">
        <v>3473</v>
      </c>
      <c r="E254" s="654">
        <f>IFERROR(VLOOKUP($B254,flows!$A$2:$J$2950,E$2,FALSE),0)</f>
        <v>2.2872923154549558E-3</v>
      </c>
      <c r="F254" s="654">
        <f>IFERROR(VLOOKUP($B254,flows!$A$2:$J$2950,F$2,FALSE),0)</f>
        <v>74.909039273336447</v>
      </c>
      <c r="G254" s="654">
        <f>IFERROR(VLOOKUP($B254,flows!$A$2:$J$2950,G$2,FALSE),0)</f>
        <v>16.63148148146098</v>
      </c>
      <c r="H254" s="654">
        <f>IFERROR(VLOOKUP($B254,flows!$A$2:$J$2950,H$2,FALSE),0)</f>
        <v>1.5376757381839741</v>
      </c>
      <c r="I254" s="654">
        <f>IFERROR(VLOOKUP($B254,flows!$A$2:$J$2950,I$2,FALSE),0)</f>
        <v>0.32048245919509633</v>
      </c>
      <c r="J254" s="654">
        <f>IFERROR(VLOOKUP($B254,flows!$A$2:$J$2950,J$2,FALSE),0)</f>
        <v>1.2288865161145791E-4</v>
      </c>
      <c r="K254" s="654">
        <f>IFERROR(VLOOKUP($B254,flows!$A$2:$J$2950,K$2,FALSE),0)</f>
        <v>7.8817665301712235E-6</v>
      </c>
      <c r="L254" s="654">
        <f>IFERROR(VLOOKUP($B254,flows!$A$2:$J$2950,L$2,FALSE),0)</f>
        <v>0</v>
      </c>
      <c r="M254" s="534" t="s">
        <v>3165</v>
      </c>
    </row>
    <row r="255" spans="2:13" ht="20.149999999999999" customHeight="1" x14ac:dyDescent="0.35">
      <c r="B255" s="619" t="s">
        <v>3495</v>
      </c>
      <c r="C255" s="620" t="s">
        <v>3472</v>
      </c>
      <c r="D255" s="620" t="s">
        <v>3473</v>
      </c>
      <c r="E255" s="654">
        <f>IFERROR(VLOOKUP($B255,flows!$A$2:$J$2950,E$2,FALSE),0)</f>
        <v>2.5657895359143959E-3</v>
      </c>
      <c r="F255" s="654">
        <f>IFERROR(VLOOKUP($B255,flows!$A$2:$J$2950,F$2,FALSE),0)</f>
        <v>132.98549332181051</v>
      </c>
      <c r="G255" s="654">
        <f>IFERROR(VLOOKUP($B255,flows!$A$2:$J$2950,G$2,FALSE),0)</f>
        <v>17.9696267976861</v>
      </c>
      <c r="H255" s="654">
        <f>IFERROR(VLOOKUP($B255,flows!$A$2:$J$2950,H$2,FALSE),0)</f>
        <v>2.1276195884520361</v>
      </c>
      <c r="I255" s="654">
        <f>IFERROR(VLOOKUP($B255,flows!$A$2:$J$2950,I$2,FALSE),0)</f>
        <v>0.29239025214935732</v>
      </c>
      <c r="J255" s="654">
        <f>IFERROR(VLOOKUP($B255,flows!$A$2:$J$2950,J$2,FALSE),0)</f>
        <v>1.3667878643580111E-4</v>
      </c>
      <c r="K255" s="654">
        <f>IFERROR(VLOOKUP($B255,flows!$A$2:$J$2950,K$2,FALSE),0)</f>
        <v>8.839543543748506E-6</v>
      </c>
      <c r="L255" s="654">
        <f>IFERROR(VLOOKUP($B255,flows!$A$2:$J$2950,L$2,FALSE),0)</f>
        <v>0</v>
      </c>
      <c r="M255" s="534" t="s">
        <v>3165</v>
      </c>
    </row>
    <row r="256" spans="2:13" ht="20.149999999999999" customHeight="1" x14ac:dyDescent="0.35">
      <c r="B256" s="619" t="s">
        <v>3496</v>
      </c>
      <c r="C256" s="620" t="s">
        <v>3472</v>
      </c>
      <c r="D256" s="620" t="s">
        <v>3473</v>
      </c>
      <c r="E256" s="654">
        <f>IFERROR(VLOOKUP($B256,flows!$A$2:$J$2950,E$2,FALSE),0)</f>
        <v>2.1296057658655072E-2</v>
      </c>
      <c r="F256" s="654">
        <f>IFERROR(VLOOKUP($B256,flows!$A$2:$J$2950,F$2,FALSE),0)</f>
        <v>0</v>
      </c>
      <c r="G256" s="654">
        <f>IFERROR(VLOOKUP($B256,flows!$A$2:$J$2950,G$2,FALSE),0)</f>
        <v>39.81113908368728</v>
      </c>
      <c r="H256" s="654">
        <f>IFERROR(VLOOKUP($B256,flows!$A$2:$J$2950,H$2,FALSE),0)</f>
        <v>107.8494791708785</v>
      </c>
      <c r="I256" s="654">
        <f>IFERROR(VLOOKUP($B256,flows!$A$2:$J$2950,I$2,FALSE),0)</f>
        <v>344.38267081557211</v>
      </c>
      <c r="J256" s="654">
        <f>IFERROR(VLOOKUP($B256,flows!$A$2:$J$2950,J$2,FALSE),0)</f>
        <v>403.38630058157651</v>
      </c>
      <c r="K256" s="654">
        <f>IFERROR(VLOOKUP($B256,flows!$A$2:$J$2950,K$2,FALSE),0)</f>
        <v>1.3938580416790011E-4</v>
      </c>
      <c r="L256" s="654">
        <f>IFERROR(VLOOKUP($B256,flows!$A$2:$J$2950,L$2,FALSE),0)</f>
        <v>0</v>
      </c>
      <c r="M256" s="534" t="s">
        <v>3165</v>
      </c>
    </row>
    <row r="257" spans="2:13" ht="20.149999999999999" customHeight="1" x14ac:dyDescent="0.35">
      <c r="B257" s="619" t="s">
        <v>3497</v>
      </c>
      <c r="C257" s="620" t="s">
        <v>3472</v>
      </c>
      <c r="D257" s="620" t="s">
        <v>3473</v>
      </c>
      <c r="E257" s="654">
        <f>IFERROR(VLOOKUP($B257,flows!$A$2:$J$2950,E$2,FALSE),0)</f>
        <v>1.8772392093160058E-2</v>
      </c>
      <c r="F257" s="654">
        <f>IFERROR(VLOOKUP($B257,flows!$A$2:$J$2950,F$2,FALSE),0)</f>
        <v>0</v>
      </c>
      <c r="G257" s="654">
        <f>IFERROR(VLOOKUP($B257,flows!$A$2:$J$2950,G$2,FALSE),0)</f>
        <v>13.600434815810781</v>
      </c>
      <c r="H257" s="654">
        <f>IFERROR(VLOOKUP($B257,flows!$A$2:$J$2950,H$2,FALSE),0)</f>
        <v>5.7246291430433943E-2</v>
      </c>
      <c r="I257" s="654">
        <f>IFERROR(VLOOKUP($B257,flows!$A$2:$J$2950,I$2,FALSE),0)</f>
        <v>41.762819212263807</v>
      </c>
      <c r="J257" s="654">
        <f>IFERROR(VLOOKUP($B257,flows!$A$2:$J$2950,J$2,FALSE),0)</f>
        <v>5.7975819066868276E-4</v>
      </c>
      <c r="K257" s="654">
        <f>IFERROR(VLOOKUP($B257,flows!$A$2:$J$2950,K$2,FALSE),0)</f>
        <v>5.3581655128502087E-5</v>
      </c>
      <c r="L257" s="654">
        <f>IFERROR(VLOOKUP($B257,flows!$A$2:$J$2950,L$2,FALSE),0)</f>
        <v>0</v>
      </c>
      <c r="M257" s="534" t="s">
        <v>3165</v>
      </c>
    </row>
    <row r="258" spans="2:13" ht="20.149999999999999" customHeight="1" x14ac:dyDescent="0.35">
      <c r="B258" s="619" t="s">
        <v>3498</v>
      </c>
      <c r="C258" s="620" t="s">
        <v>3472</v>
      </c>
      <c r="D258" s="620" t="s">
        <v>3473</v>
      </c>
      <c r="E258" s="654">
        <f>IFERROR(VLOOKUP($B258,flows!$A$2:$J$2950,E$2,FALSE),0)</f>
        <v>1.8985075450384171E-2</v>
      </c>
      <c r="F258" s="654">
        <f>IFERROR(VLOOKUP($B258,flows!$A$2:$J$2950,F$2,FALSE),0)</f>
        <v>0</v>
      </c>
      <c r="G258" s="654">
        <f>IFERROR(VLOOKUP($B258,flows!$A$2:$J$2950,G$2,FALSE),0)</f>
        <v>0.65838240202608223</v>
      </c>
      <c r="H258" s="654">
        <f>IFERROR(VLOOKUP($B258,flows!$A$2:$J$2950,H$2,FALSE),0)</f>
        <v>1.7032169050626661E-3</v>
      </c>
      <c r="I258" s="654">
        <f>IFERROR(VLOOKUP($B258,flows!$A$2:$J$2950,I$2,FALSE),0)</f>
        <v>2.1775940804545698E-3</v>
      </c>
      <c r="J258" s="654">
        <f>IFERROR(VLOOKUP($B258,flows!$A$2:$J$2950,J$2,FALSE),0)</f>
        <v>1.2227788251800061E-4</v>
      </c>
      <c r="K258" s="654">
        <f>IFERROR(VLOOKUP($B258,flows!$A$2:$J$2950,K$2,FALSE),0)</f>
        <v>5.8331304176465002E-5</v>
      </c>
      <c r="L258" s="654">
        <f>IFERROR(VLOOKUP($B258,flows!$A$2:$J$2950,L$2,FALSE),0)</f>
        <v>0</v>
      </c>
      <c r="M258" s="534" t="s">
        <v>3165</v>
      </c>
    </row>
    <row r="259" spans="2:13" ht="20.149999999999999" customHeight="1" x14ac:dyDescent="0.35">
      <c r="B259" s="619" t="s">
        <v>3499</v>
      </c>
      <c r="C259" s="620" t="s">
        <v>3472</v>
      </c>
      <c r="D259" s="620" t="s">
        <v>3473</v>
      </c>
      <c r="E259" s="654">
        <f>IFERROR(VLOOKUP($B259,flows!$A$2:$J$2950,E$2,FALSE),0)</f>
        <v>7.5226737567364768E-2</v>
      </c>
      <c r="F259" s="654">
        <f>IFERROR(VLOOKUP($B259,flows!$A$2:$J$2950,F$2,FALSE),0)</f>
        <v>0</v>
      </c>
      <c r="G259" s="654">
        <f>IFERROR(VLOOKUP($B259,flows!$A$2:$J$2950,G$2,FALSE),0)</f>
        <v>2.838248314316723</v>
      </c>
      <c r="H259" s="654">
        <f>IFERROR(VLOOKUP($B259,flows!$A$2:$J$2950,H$2,FALSE),0)</f>
        <v>3.072205352160404E-2</v>
      </c>
      <c r="I259" s="654">
        <f>IFERROR(VLOOKUP($B259,flows!$A$2:$J$2950,I$2,FALSE),0)</f>
        <v>187.72830737303661</v>
      </c>
      <c r="J259" s="654">
        <f>IFERROR(VLOOKUP($B259,flows!$A$2:$J$2950,J$2,FALSE),0)</f>
        <v>301.97099659859151</v>
      </c>
      <c r="K259" s="654">
        <f>IFERROR(VLOOKUP($B259,flows!$A$2:$J$2950,K$2,FALSE),0)</f>
        <v>5.9034705738527843E-2</v>
      </c>
      <c r="L259" s="654">
        <f>IFERROR(VLOOKUP($B259,flows!$A$2:$J$2950,L$2,FALSE),0)</f>
        <v>0</v>
      </c>
      <c r="M259" s="534" t="s">
        <v>3165</v>
      </c>
    </row>
    <row r="260" spans="2:13" ht="20.149999999999999" customHeight="1" x14ac:dyDescent="0.35">
      <c r="B260" s="655" t="s">
        <v>2031</v>
      </c>
      <c r="C260" s="620" t="s">
        <v>1229</v>
      </c>
      <c r="D260" s="620" t="s">
        <v>3212</v>
      </c>
      <c r="E260" s="656">
        <f t="shared" ref="E260:L260" si="49">SUM(E251:E259)</f>
        <v>1973.4310660422484</v>
      </c>
      <c r="F260" s="656">
        <f t="shared" si="49"/>
        <v>2077.6626407524836</v>
      </c>
      <c r="G260" s="656">
        <f t="shared" si="49"/>
        <v>2098.3015628067174</v>
      </c>
      <c r="H260" s="656">
        <f t="shared" si="49"/>
        <v>1831.7130113515477</v>
      </c>
      <c r="I260" s="656">
        <f t="shared" si="49"/>
        <v>1877.4584236529004</v>
      </c>
      <c r="J260" s="656">
        <f t="shared" si="49"/>
        <v>1923.2070489158298</v>
      </c>
      <c r="K260" s="656">
        <f t="shared" si="49"/>
        <v>1973.4095675964979</v>
      </c>
      <c r="L260" s="656">
        <f t="shared" si="49"/>
        <v>0</v>
      </c>
      <c r="M260" s="534" t="s">
        <v>3165</v>
      </c>
    </row>
    <row r="261" spans="2:13" ht="20.149999999999999" customHeight="1" x14ac:dyDescent="0.35">
      <c r="B261" s="621" t="s">
        <v>3500</v>
      </c>
      <c r="C261" s="622" t="s">
        <v>3472</v>
      </c>
      <c r="D261" s="622" t="s">
        <v>3473</v>
      </c>
      <c r="E261" s="657">
        <f>IFERROR(VLOOKUP($B261,flows!$A$2:$J$2950,E$2,FALSE),0)</f>
        <v>285.55732015444647</v>
      </c>
      <c r="F261" s="657">
        <f>IFERROR(VLOOKUP($B261,flows!$A$2:$J$2950,F$2,FALSE),0)</f>
        <v>0</v>
      </c>
      <c r="G261" s="657">
        <f>IFERROR(VLOOKUP($B261,flows!$A$2:$J$2950,G$2,FALSE),0)</f>
        <v>1.5154659058532149</v>
      </c>
      <c r="H261" s="657">
        <f>IFERROR(VLOOKUP($B261,flows!$A$2:$J$2950,H$2,FALSE),0)</f>
        <v>18.57178702911607</v>
      </c>
      <c r="I261" s="657">
        <f>IFERROR(VLOOKUP($B261,flows!$A$2:$J$2950,I$2,FALSE),0)</f>
        <v>149.94177737000629</v>
      </c>
      <c r="J261" s="657">
        <f>IFERROR(VLOOKUP($B261,flows!$A$2:$J$2950,J$2,FALSE),0)</f>
        <v>164.01735932396451</v>
      </c>
      <c r="K261" s="657">
        <f>IFERROR(VLOOKUP($B261,flows!$A$2:$J$2950,K$2,FALSE),0)</f>
        <v>285.69848879499568</v>
      </c>
      <c r="L261" s="657">
        <f>IFERROR(VLOOKUP($B261,flows!$A$2:$J$2950,L$2,FALSE),0)</f>
        <v>0</v>
      </c>
      <c r="M261" s="541" t="s">
        <v>3165</v>
      </c>
    </row>
    <row r="262" spans="2:13" ht="20.149999999999999" customHeight="1" x14ac:dyDescent="0.35">
      <c r="B262" s="621" t="s">
        <v>3501</v>
      </c>
      <c r="C262" s="622" t="s">
        <v>3472</v>
      </c>
      <c r="D262" s="622" t="s">
        <v>3473</v>
      </c>
      <c r="E262" s="657">
        <f>IFERROR(VLOOKUP($B262,flows!$A$2:$J$2950,E$2,FALSE),0)</f>
        <v>1.1941443201693099E-2</v>
      </c>
      <c r="F262" s="657">
        <f>IFERROR(VLOOKUP($B262,flows!$A$2:$J$2950,F$2,FALSE),0)</f>
        <v>0</v>
      </c>
      <c r="G262" s="657">
        <f>IFERROR(VLOOKUP($B262,flows!$A$2:$J$2950,G$2,FALSE),0)</f>
        <v>7.1387454815261737</v>
      </c>
      <c r="H262" s="657">
        <f>IFERROR(VLOOKUP($B262,flows!$A$2:$J$2950,H$2,FALSE),0)</f>
        <v>86.176136827583363</v>
      </c>
      <c r="I262" s="657">
        <f>IFERROR(VLOOKUP($B262,flows!$A$2:$J$2950,I$2,FALSE),0)</f>
        <v>22.60581717475856</v>
      </c>
      <c r="J262" s="657">
        <f>IFERROR(VLOOKUP($B262,flows!$A$2:$J$2950,J$2,FALSE),0)</f>
        <v>30.08024411670424</v>
      </c>
      <c r="K262" s="657">
        <f>IFERROR(VLOOKUP($B262,flows!$A$2:$J$2950,K$2,FALSE),0)</f>
        <v>2.7952370882920701E-5</v>
      </c>
      <c r="L262" s="657">
        <f>IFERROR(VLOOKUP($B262,flows!$A$2:$J$2950,L$2,FALSE),0)</f>
        <v>0</v>
      </c>
      <c r="M262" s="541" t="s">
        <v>3165</v>
      </c>
    </row>
    <row r="263" spans="2:13" ht="20.149999999999999" customHeight="1" x14ac:dyDescent="0.35">
      <c r="B263" s="621" t="s">
        <v>3502</v>
      </c>
      <c r="C263" s="622" t="s">
        <v>3472</v>
      </c>
      <c r="D263" s="622" t="s">
        <v>3473</v>
      </c>
      <c r="E263" s="657">
        <f>IFERROR(VLOOKUP($B263,flows!$A$2:$J$2950,E$2,FALSE),0)</f>
        <v>1.312251865681517E-2</v>
      </c>
      <c r="F263" s="657">
        <f>IFERROR(VLOOKUP($B263,flows!$A$2:$J$2950,F$2,FALSE),0)</f>
        <v>0</v>
      </c>
      <c r="G263" s="657">
        <f>IFERROR(VLOOKUP($B263,flows!$A$2:$J$2950,G$2,FALSE),0)</f>
        <v>4.5061550544016473</v>
      </c>
      <c r="H263" s="657">
        <f>IFERROR(VLOOKUP($B263,flows!$A$2:$J$2950,H$2,FALSE),0)</f>
        <v>41.140850203253592</v>
      </c>
      <c r="I263" s="657">
        <f>IFERROR(VLOOKUP($B263,flows!$A$2:$J$2950,I$2,FALSE),0)</f>
        <v>2.492792460140115E-3</v>
      </c>
      <c r="J263" s="657">
        <f>IFERROR(VLOOKUP($B263,flows!$A$2:$J$2950,J$2,FALSE),0)</f>
        <v>1.393190166860081E-4</v>
      </c>
      <c r="K263" s="657">
        <f>IFERROR(VLOOKUP($B263,flows!$A$2:$J$2950,K$2,FALSE),0)</f>
        <v>3.0396587885823499E-5</v>
      </c>
      <c r="L263" s="657">
        <f>IFERROR(VLOOKUP($B263,flows!$A$2:$J$2950,L$2,FALSE),0)</f>
        <v>0</v>
      </c>
      <c r="M263" s="541" t="s">
        <v>3165</v>
      </c>
    </row>
    <row r="264" spans="2:13" ht="20.149999999999999" customHeight="1" x14ac:dyDescent="0.35">
      <c r="B264" s="621" t="s">
        <v>3503</v>
      </c>
      <c r="C264" s="622" t="s">
        <v>3472</v>
      </c>
      <c r="D264" s="622" t="s">
        <v>3473</v>
      </c>
      <c r="E264" s="657">
        <f>IFERROR(VLOOKUP($B264,flows!$A$2:$J$2950,E$2,FALSE),0)</f>
        <v>1.830737018948383E-3</v>
      </c>
      <c r="F264" s="657">
        <f>IFERROR(VLOOKUP($B264,flows!$A$2:$J$2950,F$2,FALSE),0)</f>
        <v>0</v>
      </c>
      <c r="G264" s="657">
        <f>IFERROR(VLOOKUP($B264,flows!$A$2:$J$2950,G$2,FALSE),0)</f>
        <v>2.0265465512315322</v>
      </c>
      <c r="H264" s="657">
        <f>IFERROR(VLOOKUP($B264,flows!$A$2:$J$2950,H$2,FALSE),0)</f>
        <v>3.4506935846530138E-3</v>
      </c>
      <c r="I264" s="657">
        <f>IFERROR(VLOOKUP($B264,flows!$A$2:$J$2950,I$2,FALSE),0)</f>
        <v>8.9952638635650809E-4</v>
      </c>
      <c r="J264" s="657">
        <f>IFERROR(VLOOKUP($B264,flows!$A$2:$J$2950,J$2,FALSE),0)</f>
        <v>7.8864030069098574E-5</v>
      </c>
      <c r="K264" s="657">
        <f>IFERROR(VLOOKUP($B264,flows!$A$2:$J$2950,K$2,FALSE),0)</f>
        <v>6.0681708059330412E-6</v>
      </c>
      <c r="L264" s="657">
        <f>IFERROR(VLOOKUP($B264,flows!$A$2:$J$2950,L$2,FALSE),0)</f>
        <v>0</v>
      </c>
      <c r="M264" s="541" t="s">
        <v>3165</v>
      </c>
    </row>
    <row r="265" spans="2:13" ht="20.149999999999999" customHeight="1" x14ac:dyDescent="0.35">
      <c r="B265" s="621" t="s">
        <v>3504</v>
      </c>
      <c r="C265" s="622" t="s">
        <v>3472</v>
      </c>
      <c r="D265" s="622" t="s">
        <v>3473</v>
      </c>
      <c r="E265" s="657">
        <f>IFERROR(VLOOKUP($B265,flows!$A$2:$J$2950,E$2,FALSE),0)</f>
        <v>2.0132163573805739E-3</v>
      </c>
      <c r="F265" s="657">
        <f>IFERROR(VLOOKUP($B265,flows!$A$2:$J$2950,F$2,FALSE),0)</f>
        <v>0</v>
      </c>
      <c r="G265" s="657">
        <f>IFERROR(VLOOKUP($B265,flows!$A$2:$J$2950,G$2,FALSE),0)</f>
        <v>1.3968297686653139</v>
      </c>
      <c r="H265" s="657">
        <f>IFERROR(VLOOKUP($B265,flows!$A$2:$J$2950,H$2,FALSE),0)</f>
        <v>2.6564040727987599E-3</v>
      </c>
      <c r="I265" s="657">
        <f>IFERROR(VLOOKUP($B265,flows!$A$2:$J$2950,I$2,FALSE),0)</f>
        <v>8.3482186873301903E-4</v>
      </c>
      <c r="J265" s="657">
        <f>IFERROR(VLOOKUP($B265,flows!$A$2:$J$2950,J$2,FALSE),0)</f>
        <v>6.3226372254454063E-5</v>
      </c>
      <c r="K265" s="657">
        <f>IFERROR(VLOOKUP($B265,flows!$A$2:$J$2950,K$2,FALSE),0)</f>
        <v>6.6331814959988261E-6</v>
      </c>
      <c r="L265" s="657">
        <f>IFERROR(VLOOKUP($B265,flows!$A$2:$J$2950,L$2,FALSE),0)</f>
        <v>0</v>
      </c>
      <c r="M265" s="541" t="s">
        <v>3165</v>
      </c>
    </row>
    <row r="266" spans="2:13" ht="20.149999999999999" customHeight="1" x14ac:dyDescent="0.35">
      <c r="B266" s="621" t="s">
        <v>3505</v>
      </c>
      <c r="C266" s="622" t="s">
        <v>3472</v>
      </c>
      <c r="D266" s="622" t="s">
        <v>3473</v>
      </c>
      <c r="E266" s="657">
        <f>IFERROR(VLOOKUP($B266,flows!$A$2:$J$2950,E$2,FALSE),0)</f>
        <v>1.6580418950389659E-2</v>
      </c>
      <c r="F266" s="657">
        <f>IFERROR(VLOOKUP($B266,flows!$A$2:$J$2950,F$2,FALSE),0)</f>
        <v>0</v>
      </c>
      <c r="G266" s="657">
        <f>IFERROR(VLOOKUP($B266,flows!$A$2:$J$2950,G$2,FALSE),0)</f>
        <v>3.3377575419249239</v>
      </c>
      <c r="H266" s="657">
        <f>IFERROR(VLOOKUP($B266,flows!$A$2:$J$2950,H$2,FALSE),0)</f>
        <v>118.2362792452445</v>
      </c>
      <c r="I266" s="657">
        <f>IFERROR(VLOOKUP($B266,flows!$A$2:$J$2950,I$2,FALSE),0)</f>
        <v>33.871878832442512</v>
      </c>
      <c r="J266" s="657">
        <f>IFERROR(VLOOKUP($B266,flows!$A$2:$J$2950,J$2,FALSE),0)</f>
        <v>46.374056701977153</v>
      </c>
      <c r="K266" s="657">
        <f>IFERROR(VLOOKUP($B266,flows!$A$2:$J$2950,K$2,FALSE),0)</f>
        <v>8.100491378980817E-5</v>
      </c>
      <c r="L266" s="657">
        <f>IFERROR(VLOOKUP($B266,flows!$A$2:$J$2950,L$2,FALSE),0)</f>
        <v>0</v>
      </c>
      <c r="M266" s="541" t="s">
        <v>3165</v>
      </c>
    </row>
    <row r="267" spans="2:13" ht="20.149999999999999" customHeight="1" x14ac:dyDescent="0.35">
      <c r="B267" s="621" t="s">
        <v>3506</v>
      </c>
      <c r="C267" s="622" t="s">
        <v>3472</v>
      </c>
      <c r="D267" s="622" t="s">
        <v>3473</v>
      </c>
      <c r="E267" s="657">
        <f>IFERROR(VLOOKUP($B267,flows!$A$2:$J$2950,E$2,FALSE),0)</f>
        <v>1.437360444119426E-2</v>
      </c>
      <c r="F267" s="657">
        <f>IFERROR(VLOOKUP($B267,flows!$A$2:$J$2950,F$2,FALSE),0)</f>
        <v>0</v>
      </c>
      <c r="G267" s="657">
        <f>IFERROR(VLOOKUP($B267,flows!$A$2:$J$2950,G$2,FALSE),0)</f>
        <v>2.7055219128724191</v>
      </c>
      <c r="H267" s="657">
        <f>IFERROR(VLOOKUP($B267,flows!$A$2:$J$2950,H$2,FALSE),0)</f>
        <v>5.6848124509747702E-2</v>
      </c>
      <c r="I267" s="657">
        <f>IFERROR(VLOOKUP($B267,flows!$A$2:$J$2950,I$2,FALSE),0)</f>
        <v>2.8829731493993879E-3</v>
      </c>
      <c r="J267" s="657">
        <f>IFERROR(VLOOKUP($B267,flows!$A$2:$J$2950,J$2,FALSE),0)</f>
        <v>1.4781204742506321E-4</v>
      </c>
      <c r="K267" s="657">
        <f>IFERROR(VLOOKUP($B267,flows!$A$2:$J$2950,K$2,FALSE),0)</f>
        <v>3.2554851971382752E-5</v>
      </c>
      <c r="L267" s="657">
        <f>IFERROR(VLOOKUP($B267,flows!$A$2:$J$2950,L$2,FALSE),0)</f>
        <v>0</v>
      </c>
      <c r="M267" s="541" t="s">
        <v>3165</v>
      </c>
    </row>
    <row r="268" spans="2:13" ht="20.149999999999999" customHeight="1" x14ac:dyDescent="0.35">
      <c r="B268" s="621" t="s">
        <v>3507</v>
      </c>
      <c r="C268" s="622" t="s">
        <v>3472</v>
      </c>
      <c r="D268" s="622" t="s">
        <v>3473</v>
      </c>
      <c r="E268" s="657">
        <f>IFERROR(VLOOKUP($B268,flows!$A$2:$J$2950,E$2,FALSE),0)</f>
        <v>1.4465836672159661E-2</v>
      </c>
      <c r="F268" s="657">
        <f>IFERROR(VLOOKUP($B268,flows!$A$2:$J$2950,F$2,FALSE),0)</f>
        <v>0</v>
      </c>
      <c r="G268" s="657">
        <f>IFERROR(VLOOKUP($B268,flows!$A$2:$J$2950,G$2,FALSE),0)</f>
        <v>0.45281044053889491</v>
      </c>
      <c r="H268" s="657">
        <f>IFERROR(VLOOKUP($B268,flows!$A$2:$J$2950,H$2,FALSE),0)</f>
        <v>1.3499813097346341E-3</v>
      </c>
      <c r="I268" s="657">
        <f>IFERROR(VLOOKUP($B268,flows!$A$2:$J$2950,I$2,FALSE),0)</f>
        <v>9.9484919850377257E-4</v>
      </c>
      <c r="J268" s="657">
        <f>IFERROR(VLOOKUP($B268,flows!$A$2:$J$2950,J$2,FALSE),0)</f>
        <v>6.3534516305766619E-5</v>
      </c>
      <c r="K268" s="657">
        <f>IFERROR(VLOOKUP($B268,flows!$A$2:$J$2950,K$2,FALSE),0)</f>
        <v>3.2649924020475463E-5</v>
      </c>
      <c r="L268" s="657">
        <f>IFERROR(VLOOKUP($B268,flows!$A$2:$J$2950,L$2,FALSE),0)</f>
        <v>0</v>
      </c>
      <c r="M268" s="541" t="s">
        <v>3165</v>
      </c>
    </row>
    <row r="269" spans="2:13" ht="20.149999999999999" customHeight="1" x14ac:dyDescent="0.35">
      <c r="B269" s="621" t="s">
        <v>3508</v>
      </c>
      <c r="C269" s="622" t="s">
        <v>3472</v>
      </c>
      <c r="D269" s="622" t="s">
        <v>3473</v>
      </c>
      <c r="E269" s="657">
        <f>IFERROR(VLOOKUP($B269,flows!$A$2:$J$2950,E$2,FALSE),0)</f>
        <v>5.2119785936473102E-2</v>
      </c>
      <c r="F269" s="657">
        <f>IFERROR(VLOOKUP($B269,flows!$A$2:$J$2950,F$2,FALSE),0)</f>
        <v>0</v>
      </c>
      <c r="G269" s="657">
        <f>IFERROR(VLOOKUP($B269,flows!$A$2:$J$2950,G$2,FALSE),0)</f>
        <v>1.3969866998899869</v>
      </c>
      <c r="H269" s="657">
        <f>IFERROR(VLOOKUP($B269,flows!$A$2:$J$2950,H$2,FALSE),0)</f>
        <v>2.6007858793770079E-2</v>
      </c>
      <c r="I269" s="657">
        <f>IFERROR(VLOOKUP($B269,flows!$A$2:$J$2950,I$2,FALSE),0)</f>
        <v>65.332326048073412</v>
      </c>
      <c r="J269" s="657">
        <f>IFERROR(VLOOKUP($B269,flows!$A$2:$J$2950,J$2,FALSE),0)</f>
        <v>38.82988134443292</v>
      </c>
      <c r="K269" s="657">
        <f>IFERROR(VLOOKUP($B269,flows!$A$2:$J$2950,K$2,FALSE),0)</f>
        <v>2.18794797753828E-4</v>
      </c>
      <c r="L269" s="657">
        <f>IFERROR(VLOOKUP($B269,flows!$A$2:$J$2950,L$2,FALSE),0)</f>
        <v>0</v>
      </c>
      <c r="M269" s="541" t="s">
        <v>3165</v>
      </c>
    </row>
    <row r="270" spans="2:13" ht="20.149999999999999" customHeight="1" x14ac:dyDescent="0.35">
      <c r="B270" s="658" t="s">
        <v>2031</v>
      </c>
      <c r="C270" s="622" t="s">
        <v>1229</v>
      </c>
      <c r="D270" s="622" t="s">
        <v>3212</v>
      </c>
      <c r="E270" s="659">
        <f t="shared" ref="E270:L270" si="50">SUM(E261:E269)</f>
        <v>285.6837677156816</v>
      </c>
      <c r="F270" s="659">
        <f t="shared" si="50"/>
        <v>0</v>
      </c>
      <c r="G270" s="659">
        <f t="shared" si="50"/>
        <v>24.476819356904105</v>
      </c>
      <c r="H270" s="659">
        <f t="shared" si="50"/>
        <v>264.21536636746828</v>
      </c>
      <c r="I270" s="659">
        <f t="shared" si="50"/>
        <v>271.7599043883439</v>
      </c>
      <c r="J270" s="659">
        <f t="shared" si="50"/>
        <v>279.30203424306154</v>
      </c>
      <c r="K270" s="659">
        <f t="shared" si="50"/>
        <v>285.69892484979437</v>
      </c>
      <c r="L270" s="659">
        <f t="shared" si="50"/>
        <v>0</v>
      </c>
      <c r="M270" s="541" t="s">
        <v>3165</v>
      </c>
    </row>
    <row r="271" spans="2:13" ht="20.149999999999999" customHeight="1" x14ac:dyDescent="0.35">
      <c r="B271" s="583" t="s">
        <v>3217</v>
      </c>
      <c r="C271" s="584" t="s">
        <v>3237</v>
      </c>
      <c r="D271" s="584" t="s">
        <v>3238</v>
      </c>
      <c r="E271" s="585">
        <f t="shared" ref="E271:L271" si="51">SUM(E260+E270)</f>
        <v>2259.1148337579298</v>
      </c>
      <c r="F271" s="585">
        <f t="shared" si="51"/>
        <v>2077.6626407524836</v>
      </c>
      <c r="G271" s="585">
        <f t="shared" si="51"/>
        <v>2122.7783821636212</v>
      </c>
      <c r="H271" s="585">
        <f t="shared" si="51"/>
        <v>2095.9283777190158</v>
      </c>
      <c r="I271" s="585">
        <f t="shared" si="51"/>
        <v>2149.2183280412441</v>
      </c>
      <c r="J271" s="585">
        <f t="shared" si="51"/>
        <v>2202.5090831588914</v>
      </c>
      <c r="K271" s="585">
        <f t="shared" si="51"/>
        <v>2259.1084924462921</v>
      </c>
      <c r="L271" s="585">
        <f t="shared" si="51"/>
        <v>0</v>
      </c>
      <c r="M271" s="586" t="s">
        <v>3165</v>
      </c>
    </row>
    <row r="272" spans="2:13" ht="20.149999999999999" customHeight="1" x14ac:dyDescent="0.35">
      <c r="B272" s="623" t="s">
        <v>3509</v>
      </c>
      <c r="C272" s="624" t="s">
        <v>3472</v>
      </c>
      <c r="D272" s="624" t="s">
        <v>3473</v>
      </c>
      <c r="E272" s="660">
        <f>IFERROR(VLOOKUP($B272,flows!$A$2:$J$2950,E$2,FALSE),0)</f>
        <v>1.260425189516759E-2</v>
      </c>
      <c r="F272" s="660">
        <f>IFERROR(VLOOKUP($B272,flows!$A$2:$J$2950,F$2,FALSE),0)</f>
        <v>75.554947903811936</v>
      </c>
      <c r="G272" s="660">
        <f>IFERROR(VLOOKUP($B272,flows!$A$2:$J$2950,G$2,FALSE),0)</f>
        <v>6.5530591698676224</v>
      </c>
      <c r="H272" s="660">
        <f>IFERROR(VLOOKUP($B272,flows!$A$2:$J$2950,H$2,FALSE),0)</f>
        <v>31.067966217922869</v>
      </c>
      <c r="I272" s="660">
        <f>IFERROR(VLOOKUP($B272,flows!$A$2:$J$2950,I$2,FALSE),0)</f>
        <v>76.626169211193471</v>
      </c>
      <c r="J272" s="660">
        <f>IFERROR(VLOOKUP($B272,flows!$A$2:$J$2950,J$2,FALSE),0)</f>
        <v>50.955089710735137</v>
      </c>
      <c r="K272" s="660">
        <f>IFERROR(VLOOKUP($B272,flows!$A$2:$J$2950,K$2,FALSE),0)</f>
        <v>3.1579261236884718E-2</v>
      </c>
      <c r="L272" s="660">
        <f>IFERROR(VLOOKUP($B272,flows!$A$2:$J$2950,L$2,FALSE),0)</f>
        <v>0</v>
      </c>
      <c r="M272" s="546" t="s">
        <v>3165</v>
      </c>
    </row>
    <row r="273" spans="2:13" ht="20.149999999999999" customHeight="1" x14ac:dyDescent="0.35">
      <c r="B273" s="623" t="s">
        <v>3510</v>
      </c>
      <c r="C273" s="624" t="s">
        <v>3472</v>
      </c>
      <c r="D273" s="624" t="s">
        <v>3473</v>
      </c>
      <c r="E273" s="660">
        <f>IFERROR(VLOOKUP($B273,flows!$A$2:$J$2950,E$2,FALSE),0)</f>
        <v>5.780060413974452E-3</v>
      </c>
      <c r="F273" s="660">
        <f>IFERROR(VLOOKUP($B273,flows!$A$2:$J$2950,F$2,FALSE),0)</f>
        <v>101.83494793468959</v>
      </c>
      <c r="G273" s="660">
        <f>IFERROR(VLOOKUP($B273,flows!$A$2:$J$2950,G$2,FALSE),0)</f>
        <v>99.764585637029356</v>
      </c>
      <c r="H273" s="660">
        <f>IFERROR(VLOOKUP($B273,flows!$A$2:$J$2950,H$2,FALSE),0)</f>
        <v>17.288462806308281</v>
      </c>
      <c r="I273" s="660">
        <f>IFERROR(VLOOKUP($B273,flows!$A$2:$J$2950,I$2,FALSE),0)</f>
        <v>2.2233592877234072</v>
      </c>
      <c r="J273" s="660">
        <f>IFERROR(VLOOKUP($B273,flows!$A$2:$J$2950,J$2,FALSE),0)</f>
        <v>0.25752613564660148</v>
      </c>
      <c r="K273" s="660">
        <f>IFERROR(VLOOKUP($B273,flows!$A$2:$J$2950,K$2,FALSE),0)</f>
        <v>2.3449066412638351E-5</v>
      </c>
      <c r="L273" s="660">
        <f>IFERROR(VLOOKUP($B273,flows!$A$2:$J$2950,L$2,FALSE),0)</f>
        <v>0</v>
      </c>
      <c r="M273" s="546" t="s">
        <v>3165</v>
      </c>
    </row>
    <row r="274" spans="2:13" ht="20.149999999999999" customHeight="1" x14ac:dyDescent="0.35">
      <c r="B274" s="623" t="s">
        <v>3511</v>
      </c>
      <c r="C274" s="624" t="s">
        <v>3472</v>
      </c>
      <c r="D274" s="624" t="s">
        <v>3473</v>
      </c>
      <c r="E274" s="660">
        <f>IFERROR(VLOOKUP($B274,flows!$A$2:$J$2950,E$2,FALSE),0)</f>
        <v>6.0245228052284812E-3</v>
      </c>
      <c r="F274" s="660">
        <f>IFERROR(VLOOKUP($B274,flows!$A$2:$J$2950,F$2,FALSE),0)</f>
        <v>0</v>
      </c>
      <c r="G274" s="660">
        <f>IFERROR(VLOOKUP($B274,flows!$A$2:$J$2950,G$2,FALSE),0)</f>
        <v>13.207600559835621</v>
      </c>
      <c r="H274" s="660">
        <f>IFERROR(VLOOKUP($B274,flows!$A$2:$J$2950,H$2,FALSE),0)</f>
        <v>2.905628826224683</v>
      </c>
      <c r="I274" s="660">
        <f>IFERROR(VLOOKUP($B274,flows!$A$2:$J$2950,I$2,FALSE),0)</f>
        <v>1.2710285716838899E-3</v>
      </c>
      <c r="J274" s="660">
        <f>IFERROR(VLOOKUP($B274,flows!$A$2:$J$2950,J$2,FALSE),0)</f>
        <v>9.7615642887307727E-5</v>
      </c>
      <c r="K274" s="660">
        <f>IFERROR(VLOOKUP($B274,flows!$A$2:$J$2950,K$2,FALSE),0)</f>
        <v>2.490124400313543E-5</v>
      </c>
      <c r="L274" s="660">
        <f>IFERROR(VLOOKUP($B274,flows!$A$2:$J$2950,L$2,FALSE),0)</f>
        <v>0</v>
      </c>
      <c r="M274" s="546" t="s">
        <v>3165</v>
      </c>
    </row>
    <row r="275" spans="2:13" ht="20.149999999999999" customHeight="1" x14ac:dyDescent="0.35">
      <c r="B275" s="623" t="s">
        <v>3512</v>
      </c>
      <c r="C275" s="624" t="s">
        <v>3472</v>
      </c>
      <c r="D275" s="624" t="s">
        <v>3473</v>
      </c>
      <c r="E275" s="660">
        <f>IFERROR(VLOOKUP($B275,flows!$A$2:$J$2950,E$2,FALSE),0)</f>
        <v>6.1027337812105259E-3</v>
      </c>
      <c r="F275" s="660">
        <f>IFERROR(VLOOKUP($B275,flows!$A$2:$J$2950,F$2,FALSE),0)</f>
        <v>101.83494791714639</v>
      </c>
      <c r="G275" s="660">
        <f>IFERROR(VLOOKUP($B275,flows!$A$2:$J$2950,G$2,FALSE),0)</f>
        <v>25.467582179390551</v>
      </c>
      <c r="H275" s="660">
        <f>IFERROR(VLOOKUP($B275,flows!$A$2:$J$2950,H$2,FALSE),0)</f>
        <v>0.97369855565079821</v>
      </c>
      <c r="I275" s="660">
        <f>IFERROR(VLOOKUP($B275,flows!$A$2:$J$2950,I$2,FALSE),0)</f>
        <v>0.109493870645765</v>
      </c>
      <c r="J275" s="660">
        <f>IFERROR(VLOOKUP($B275,flows!$A$2:$J$2950,J$2,FALSE),0)</f>
        <v>9.1978147677220773E-5</v>
      </c>
      <c r="K275" s="660">
        <f>IFERROR(VLOOKUP($B275,flows!$A$2:$J$2950,K$2,FALSE),0)</f>
        <v>2.5576264787865899E-5</v>
      </c>
      <c r="L275" s="660">
        <f>IFERROR(VLOOKUP($B275,flows!$A$2:$J$2950,L$2,FALSE),0)</f>
        <v>0</v>
      </c>
      <c r="M275" s="546" t="s">
        <v>3165</v>
      </c>
    </row>
    <row r="276" spans="2:13" ht="20.149999999999999" customHeight="1" x14ac:dyDescent="0.35">
      <c r="B276" s="623" t="s">
        <v>3513</v>
      </c>
      <c r="C276" s="624" t="s">
        <v>3472</v>
      </c>
      <c r="D276" s="624" t="s">
        <v>3473</v>
      </c>
      <c r="E276" s="660">
        <f>IFERROR(VLOOKUP($B276,flows!$A$2:$J$2950,E$2,FALSE),0)</f>
        <v>5.6601480239958177E-3</v>
      </c>
      <c r="F276" s="660">
        <f>IFERROR(VLOOKUP($B276,flows!$A$2:$J$2950,F$2,FALSE),0)</f>
        <v>0</v>
      </c>
      <c r="G276" s="660">
        <f>IFERROR(VLOOKUP($B276,flows!$A$2:$J$2950,G$2,FALSE),0)</f>
        <v>3.286247775673043</v>
      </c>
      <c r="H276" s="660">
        <f>IFERROR(VLOOKUP($B276,flows!$A$2:$J$2950,H$2,FALSE),0)</f>
        <v>3.6983845307502631E-3</v>
      </c>
      <c r="I276" s="660">
        <f>IFERROR(VLOOKUP($B276,flows!$A$2:$J$2950,I$2,FALSE),0)</f>
        <v>1.05286276131451E-3</v>
      </c>
      <c r="J276" s="660">
        <f>IFERROR(VLOOKUP($B276,flows!$A$2:$J$2950,J$2,FALSE),0)</f>
        <v>8.3387053444112993E-5</v>
      </c>
      <c r="K276" s="660">
        <f>IFERROR(VLOOKUP($B276,flows!$A$2:$J$2950,K$2,FALSE),0)</f>
        <v>2.3160623598005562E-5</v>
      </c>
      <c r="L276" s="660">
        <f>IFERROR(VLOOKUP($B276,flows!$A$2:$J$2950,L$2,FALSE),0)</f>
        <v>0</v>
      </c>
      <c r="M276" s="546" t="s">
        <v>3165</v>
      </c>
    </row>
    <row r="277" spans="2:13" ht="20.149999999999999" customHeight="1" x14ac:dyDescent="0.35">
      <c r="B277" s="623" t="s">
        <v>3514</v>
      </c>
      <c r="C277" s="624" t="s">
        <v>3472</v>
      </c>
      <c r="D277" s="624" t="s">
        <v>3473</v>
      </c>
      <c r="E277" s="660">
        <f>IFERROR(VLOOKUP($B277,flows!$A$2:$J$2950,E$2,FALSE),0)</f>
        <v>4.8458229777823634E-3</v>
      </c>
      <c r="F277" s="660">
        <f>IFERROR(VLOOKUP($B277,flows!$A$2:$J$2950,F$2,FALSE),0)</f>
        <v>0</v>
      </c>
      <c r="G277" s="660">
        <f>IFERROR(VLOOKUP($B277,flows!$A$2:$J$2950,G$2,FALSE),0)</f>
        <v>0.40594369312821688</v>
      </c>
      <c r="H277" s="660">
        <f>IFERROR(VLOOKUP($B277,flows!$A$2:$J$2950,H$2,FALSE),0)</f>
        <v>8.8783133673004603E-4</v>
      </c>
      <c r="I277" s="660">
        <f>IFERROR(VLOOKUP($B277,flows!$A$2:$J$2950,I$2,FALSE),0)</f>
        <v>5.995343448423194E-4</v>
      </c>
      <c r="J277" s="660">
        <f>IFERROR(VLOOKUP($B277,flows!$A$2:$J$2950,J$2,FALSE),0)</f>
        <v>4.8757322133336242E-5</v>
      </c>
      <c r="K277" s="660">
        <f>IFERROR(VLOOKUP($B277,flows!$A$2:$J$2950,K$2,FALSE),0)</f>
        <v>2.0197180344678579E-5</v>
      </c>
      <c r="L277" s="660">
        <f>IFERROR(VLOOKUP($B277,flows!$A$2:$J$2950,L$2,FALSE),0)</f>
        <v>0</v>
      </c>
      <c r="M277" s="546" t="s">
        <v>3165</v>
      </c>
    </row>
    <row r="278" spans="2:13" ht="20.149999999999999" customHeight="1" x14ac:dyDescent="0.35">
      <c r="B278" s="623" t="s">
        <v>3515</v>
      </c>
      <c r="C278" s="624" t="s">
        <v>3472</v>
      </c>
      <c r="D278" s="624" t="s">
        <v>3473</v>
      </c>
      <c r="E278" s="660">
        <f>IFERROR(VLOOKUP($B278,flows!$A$2:$J$2950,E$2,FALSE),0)</f>
        <v>9.6659503855445281E-3</v>
      </c>
      <c r="F278" s="660">
        <f>IFERROR(VLOOKUP($B278,flows!$A$2:$J$2950,F$2,FALSE),0)</f>
        <v>0</v>
      </c>
      <c r="G278" s="660">
        <f>IFERROR(VLOOKUP($B278,flows!$A$2:$J$2950,G$2,FALSE),0)</f>
        <v>2.2381585906679242</v>
      </c>
      <c r="H278" s="660">
        <f>IFERROR(VLOOKUP($B278,flows!$A$2:$J$2950,H$2,FALSE),0)</f>
        <v>1.8876234991698871E-2</v>
      </c>
      <c r="I278" s="660">
        <f>IFERROR(VLOOKUP($B278,flows!$A$2:$J$2950,I$2,FALSE),0)</f>
        <v>7.7357177167014983</v>
      </c>
      <c r="J278" s="660">
        <f>IFERROR(VLOOKUP($B278,flows!$A$2:$J$2950,J$2,FALSE),0)</f>
        <v>2.5688099783697572E-4</v>
      </c>
      <c r="K278" s="660">
        <f>IFERROR(VLOOKUP($B278,flows!$A$2:$J$2950,K$2,FALSE),0)</f>
        <v>5.3200771263430561E-5</v>
      </c>
      <c r="L278" s="660">
        <f>IFERROR(VLOOKUP($B278,flows!$A$2:$J$2950,L$2,FALSE),0)</f>
        <v>0</v>
      </c>
      <c r="M278" s="546" t="s">
        <v>3165</v>
      </c>
    </row>
    <row r="279" spans="2:13" ht="20.149999999999999" customHeight="1" x14ac:dyDescent="0.35">
      <c r="B279" s="661" t="s">
        <v>2031</v>
      </c>
      <c r="C279" s="624" t="s">
        <v>1229</v>
      </c>
      <c r="D279" s="624" t="s">
        <v>3212</v>
      </c>
      <c r="E279" s="662">
        <f t="shared" ref="E279:L279" si="52">SUM(E272:E278)</f>
        <v>5.0683490282903754E-2</v>
      </c>
      <c r="F279" s="662">
        <f t="shared" si="52"/>
        <v>279.22484375564795</v>
      </c>
      <c r="G279" s="662">
        <f t="shared" si="52"/>
        <v>150.92317760559234</v>
      </c>
      <c r="H279" s="662">
        <f t="shared" si="52"/>
        <v>52.259218856965816</v>
      </c>
      <c r="I279" s="662">
        <f t="shared" si="52"/>
        <v>86.697663511941983</v>
      </c>
      <c r="J279" s="662">
        <f t="shared" si="52"/>
        <v>51.213194465545719</v>
      </c>
      <c r="K279" s="662">
        <f t="shared" si="52"/>
        <v>3.1749746387294477E-2</v>
      </c>
      <c r="L279" s="662">
        <f t="shared" si="52"/>
        <v>0</v>
      </c>
      <c r="M279" s="546" t="s">
        <v>3165</v>
      </c>
    </row>
    <row r="280" spans="2:13" ht="20.149999999999999" customHeight="1" x14ac:dyDescent="0.35">
      <c r="B280" s="625" t="s">
        <v>3516</v>
      </c>
      <c r="C280" s="626" t="s">
        <v>3472</v>
      </c>
      <c r="D280" s="626" t="s">
        <v>3473</v>
      </c>
      <c r="E280" s="663">
        <f>IFERROR(VLOOKUP($B280,flows!$A$2:$J$2950,E$2,FALSE),0)</f>
        <v>54.084054042638861</v>
      </c>
      <c r="F280" s="663">
        <f>IFERROR(VLOOKUP($B280,flows!$A$2:$J$2950,F$2,FALSE),0)</f>
        <v>0</v>
      </c>
      <c r="G280" s="663">
        <f>IFERROR(VLOOKUP($B280,flows!$A$2:$J$2950,G$2,FALSE),0)</f>
        <v>1.723697617496482</v>
      </c>
      <c r="H280" s="663">
        <f>IFERROR(VLOOKUP($B280,flows!$A$2:$J$2950,H$2,FALSE),0)</f>
        <v>5.0973145656845551</v>
      </c>
      <c r="I280" s="663">
        <f>IFERROR(VLOOKUP($B280,flows!$A$2:$J$2950,I$2,FALSE),0)</f>
        <v>10.80776473531694</v>
      </c>
      <c r="J280" s="663">
        <f>IFERROR(VLOOKUP($B280,flows!$A$2:$J$2950,J$2,FALSE),0)</f>
        <v>21.558906535241189</v>
      </c>
      <c r="K280" s="663">
        <f>IFERROR(VLOOKUP($B280,flows!$A$2:$J$2950,K$2,FALSE),0)</f>
        <v>54.092985562094498</v>
      </c>
      <c r="L280" s="663">
        <f>IFERROR(VLOOKUP($B280,flows!$A$2:$J$2950,L$2,FALSE),0)</f>
        <v>0</v>
      </c>
      <c r="M280" s="554" t="s">
        <v>3165</v>
      </c>
    </row>
    <row r="281" spans="2:13" ht="20.149999999999999" customHeight="1" x14ac:dyDescent="0.35">
      <c r="B281" s="625" t="s">
        <v>3517</v>
      </c>
      <c r="C281" s="626" t="s">
        <v>3472</v>
      </c>
      <c r="D281" s="626" t="s">
        <v>3473</v>
      </c>
      <c r="E281" s="663">
        <f>IFERROR(VLOOKUP($B281,flows!$A$2:$J$2950,E$2,FALSE),0)</f>
        <v>5.8331161215444899E-3</v>
      </c>
      <c r="F281" s="663">
        <f>IFERROR(VLOOKUP($B281,flows!$A$2:$J$2950,F$2,FALSE),0)</f>
        <v>0</v>
      </c>
      <c r="G281" s="663">
        <f>IFERROR(VLOOKUP($B281,flows!$A$2:$J$2950,G$2,FALSE),0)</f>
        <v>10.629176227905081</v>
      </c>
      <c r="H281" s="663">
        <f>IFERROR(VLOOKUP($B281,flows!$A$2:$J$2950,H$2,FALSE),0)</f>
        <v>22.993708828593061</v>
      </c>
      <c r="I281" s="663">
        <f>IFERROR(VLOOKUP($B281,flows!$A$2:$J$2950,I$2,FALSE),0)</f>
        <v>7.9817841565648742</v>
      </c>
      <c r="J281" s="663">
        <f>IFERROR(VLOOKUP($B281,flows!$A$2:$J$2950,J$2,FALSE),0)</f>
        <v>9.7980848759159738</v>
      </c>
      <c r="K281" s="663">
        <f>IFERROR(VLOOKUP($B281,flows!$A$2:$J$2950,K$2,FALSE),0)</f>
        <v>1.683492195730449E-4</v>
      </c>
      <c r="L281" s="663">
        <f>IFERROR(VLOOKUP($B281,flows!$A$2:$J$2950,L$2,FALSE),0)</f>
        <v>0</v>
      </c>
      <c r="M281" s="554" t="s">
        <v>3165</v>
      </c>
    </row>
    <row r="282" spans="2:13" ht="20.149999999999999" customHeight="1" x14ac:dyDescent="0.35">
      <c r="B282" s="625" t="s">
        <v>3518</v>
      </c>
      <c r="C282" s="626" t="s">
        <v>3472</v>
      </c>
      <c r="D282" s="626" t="s">
        <v>3473</v>
      </c>
      <c r="E282" s="663">
        <f>IFERROR(VLOOKUP($B282,flows!$A$2:$J$2950,E$2,FALSE),0)</f>
        <v>6.2756025836450732E-3</v>
      </c>
      <c r="F282" s="663">
        <f>IFERROR(VLOOKUP($B282,flows!$A$2:$J$2950,F$2,FALSE),0)</f>
        <v>0</v>
      </c>
      <c r="G282" s="663">
        <f>IFERROR(VLOOKUP($B282,flows!$A$2:$J$2950,G$2,FALSE),0)</f>
        <v>10.59462610671269</v>
      </c>
      <c r="H282" s="663">
        <f>IFERROR(VLOOKUP($B282,flows!$A$2:$J$2950,H$2,FALSE),0)</f>
        <v>22.993781506647689</v>
      </c>
      <c r="I282" s="663">
        <f>IFERROR(VLOOKUP($B282,flows!$A$2:$J$2950,I$2,FALSE),0)</f>
        <v>27.051384450048769</v>
      </c>
      <c r="J282" s="663">
        <f>IFERROR(VLOOKUP($B282,flows!$A$2:$J$2950,J$2,FALSE),0)</f>
        <v>27.374225212507771</v>
      </c>
      <c r="K282" s="663">
        <f>IFERROR(VLOOKUP($B282,flows!$A$2:$J$2950,K$2,FALSE),0)</f>
        <v>3.118133739970411E-2</v>
      </c>
      <c r="L282" s="663">
        <f>IFERROR(VLOOKUP($B282,flows!$A$2:$J$2950,L$2,FALSE),0)</f>
        <v>0</v>
      </c>
      <c r="M282" s="554" t="s">
        <v>3165</v>
      </c>
    </row>
    <row r="283" spans="2:13" ht="20.149999999999999" customHeight="1" x14ac:dyDescent="0.35">
      <c r="B283" s="625" t="s">
        <v>3519</v>
      </c>
      <c r="C283" s="626" t="s">
        <v>3472</v>
      </c>
      <c r="D283" s="626" t="s">
        <v>3473</v>
      </c>
      <c r="E283" s="663">
        <f>IFERROR(VLOOKUP($B283,flows!$A$2:$J$2950,E$2,FALSE),0)</f>
        <v>5.5922443750922183E-3</v>
      </c>
      <c r="F283" s="663">
        <f>IFERROR(VLOOKUP($B283,flows!$A$2:$J$2950,F$2,FALSE),0)</f>
        <v>0</v>
      </c>
      <c r="G283" s="663">
        <f>IFERROR(VLOOKUP($B283,flows!$A$2:$J$2950,G$2,FALSE),0)</f>
        <v>10.282927178246091</v>
      </c>
      <c r="H283" s="663">
        <f>IFERROR(VLOOKUP($B283,flows!$A$2:$J$2950,H$2,FALSE),0)</f>
        <v>16.540115901551498</v>
      </c>
      <c r="I283" s="663">
        <f>IFERROR(VLOOKUP($B283,flows!$A$2:$J$2950,I$2,FALSE),0)</f>
        <v>2.7460947185934539</v>
      </c>
      <c r="J283" s="663">
        <f>IFERROR(VLOOKUP($B283,flows!$A$2:$J$2950,J$2,FALSE),0)</f>
        <v>6.4611651222345996E-5</v>
      </c>
      <c r="K283" s="663">
        <f>IFERROR(VLOOKUP($B283,flows!$A$2:$J$2950,K$2,FALSE),0)</f>
        <v>4.0228230098117733E-5</v>
      </c>
      <c r="L283" s="663">
        <f>IFERROR(VLOOKUP($B283,flows!$A$2:$J$2950,L$2,FALSE),0)</f>
        <v>0</v>
      </c>
      <c r="M283" s="554" t="s">
        <v>3165</v>
      </c>
    </row>
    <row r="284" spans="2:13" ht="20.149999999999999" customHeight="1" x14ac:dyDescent="0.35">
      <c r="B284" s="625" t="s">
        <v>3520</v>
      </c>
      <c r="C284" s="626" t="s">
        <v>3472</v>
      </c>
      <c r="D284" s="626" t="s">
        <v>3473</v>
      </c>
      <c r="E284" s="663">
        <f>IFERROR(VLOOKUP($B284,flows!$A$2:$J$2950,E$2,FALSE),0)</f>
        <v>5.4953152146620431E-3</v>
      </c>
      <c r="F284" s="663">
        <f>IFERROR(VLOOKUP($B284,flows!$A$2:$J$2950,F$2,FALSE),0)</f>
        <v>0</v>
      </c>
      <c r="G284" s="663">
        <f>IFERROR(VLOOKUP($B284,flows!$A$2:$J$2950,G$2,FALSE),0)</f>
        <v>9.3102477436168396</v>
      </c>
      <c r="H284" s="663">
        <f>IFERROR(VLOOKUP($B284,flows!$A$2:$J$2950,H$2,FALSE),0)</f>
        <v>1.9693542512407489</v>
      </c>
      <c r="I284" s="663">
        <f>IFERROR(VLOOKUP($B284,flows!$A$2:$J$2950,I$2,FALSE),0)</f>
        <v>1.292868772115925E-3</v>
      </c>
      <c r="J284" s="663">
        <f>IFERROR(VLOOKUP($B284,flows!$A$2:$J$2950,J$2,FALSE),0)</f>
        <v>5.1227867067374913E-5</v>
      </c>
      <c r="K284" s="663">
        <f>IFERROR(VLOOKUP($B284,flows!$A$2:$J$2950,K$2,FALSE),0)</f>
        <v>3.6710855370471819E-5</v>
      </c>
      <c r="L284" s="663">
        <f>IFERROR(VLOOKUP($B284,flows!$A$2:$J$2950,L$2,FALSE),0)</f>
        <v>0</v>
      </c>
      <c r="M284" s="554" t="s">
        <v>3165</v>
      </c>
    </row>
    <row r="285" spans="2:13" ht="20.149999999999999" customHeight="1" x14ac:dyDescent="0.35">
      <c r="B285" s="625" t="s">
        <v>3521</v>
      </c>
      <c r="C285" s="626" t="s">
        <v>3472</v>
      </c>
      <c r="D285" s="626" t="s">
        <v>3473</v>
      </c>
      <c r="E285" s="663">
        <f>IFERROR(VLOOKUP($B285,flows!$A$2:$J$2950,E$2,FALSE),0)</f>
        <v>4.162313794804794E-3</v>
      </c>
      <c r="F285" s="663">
        <f>IFERROR(VLOOKUP($B285,flows!$A$2:$J$2950,F$2,FALSE),0)</f>
        <v>0</v>
      </c>
      <c r="G285" s="663">
        <f>IFERROR(VLOOKUP($B285,flows!$A$2:$J$2950,G$2,FALSE),0)</f>
        <v>0.1680346204926792</v>
      </c>
      <c r="H285" s="663">
        <f>IFERROR(VLOOKUP($B285,flows!$A$2:$J$2950,H$2,FALSE),0)</f>
        <v>4.0947653026752372E-4</v>
      </c>
      <c r="I285" s="663">
        <f>IFERROR(VLOOKUP($B285,flows!$A$2:$J$2950,I$2,FALSE),0)</f>
        <v>3.5259023957065391E-4</v>
      </c>
      <c r="J285" s="663">
        <f>IFERROR(VLOOKUP($B285,flows!$A$2:$J$2950,J$2,FALSE),0)</f>
        <v>2.2185007571895319E-5</v>
      </c>
      <c r="K285" s="663">
        <f>IFERROR(VLOOKUP($B285,flows!$A$2:$J$2950,K$2,FALSE),0)</f>
        <v>2.465399724273309E-5</v>
      </c>
      <c r="L285" s="663">
        <f>IFERROR(VLOOKUP($B285,flows!$A$2:$J$2950,L$2,FALSE),0)</f>
        <v>0</v>
      </c>
      <c r="M285" s="554" t="s">
        <v>3165</v>
      </c>
    </row>
    <row r="286" spans="2:13" ht="20.149999999999999" customHeight="1" x14ac:dyDescent="0.35">
      <c r="B286" s="625" t="s">
        <v>3522</v>
      </c>
      <c r="C286" s="626" t="s">
        <v>3472</v>
      </c>
      <c r="D286" s="626" t="s">
        <v>3473</v>
      </c>
      <c r="E286" s="663">
        <f>IFERROR(VLOOKUP($B286,flows!$A$2:$J$2950,E$2,FALSE),0)</f>
        <v>51.471994328694663</v>
      </c>
      <c r="F286" s="663">
        <f>IFERROR(VLOOKUP($B286,flows!$A$2:$J$2950,F$2,FALSE),0)</f>
        <v>0</v>
      </c>
      <c r="G286" s="663">
        <f>IFERROR(VLOOKUP($B286,flows!$A$2:$J$2950,G$2,FALSE),0)</f>
        <v>2.5791718537028392</v>
      </c>
      <c r="H286" s="663">
        <f>IFERROR(VLOOKUP($B286,flows!$A$2:$J$2950,H$2,FALSE),0)</f>
        <v>10.935608304912989</v>
      </c>
      <c r="I286" s="663">
        <f>IFERROR(VLOOKUP($B286,flows!$A$2:$J$2950,I$2,FALSE),0)</f>
        <v>22.97462365758895</v>
      </c>
      <c r="J286" s="663">
        <f>IFERROR(VLOOKUP($B286,flows!$A$2:$J$2950,J$2,FALSE),0)</f>
        <v>27.172581535058249</v>
      </c>
      <c r="K286" s="663">
        <f>IFERROR(VLOOKUP($B286,flows!$A$2:$J$2950,K$2,FALSE),0)</f>
        <v>51.464980833154272</v>
      </c>
      <c r="L286" s="663">
        <f>IFERROR(VLOOKUP($B286,flows!$A$2:$J$2950,L$2,FALSE),0)</f>
        <v>0</v>
      </c>
      <c r="M286" s="554" t="s">
        <v>3165</v>
      </c>
    </row>
    <row r="287" spans="2:13" ht="20.149999999999999" customHeight="1" x14ac:dyDescent="0.35">
      <c r="B287" s="664" t="s">
        <v>2031</v>
      </c>
      <c r="C287" s="626" t="s">
        <v>1229</v>
      </c>
      <c r="D287" s="626" t="s">
        <v>3212</v>
      </c>
      <c r="E287" s="665">
        <f t="shared" ref="E287:L287" si="53">SUM(E280:E286)</f>
        <v>105.58340696342327</v>
      </c>
      <c r="F287" s="665">
        <f t="shared" si="53"/>
        <v>0</v>
      </c>
      <c r="G287" s="665">
        <f t="shared" si="53"/>
        <v>45.287881348172697</v>
      </c>
      <c r="H287" s="665">
        <f t="shared" si="53"/>
        <v>80.530292835160807</v>
      </c>
      <c r="I287" s="665">
        <f t="shared" si="53"/>
        <v>71.563297177124667</v>
      </c>
      <c r="J287" s="665">
        <f t="shared" si="53"/>
        <v>85.903936183249044</v>
      </c>
      <c r="K287" s="665">
        <f t="shared" si="53"/>
        <v>105.58941767495075</v>
      </c>
      <c r="L287" s="665">
        <f t="shared" si="53"/>
        <v>0</v>
      </c>
      <c r="M287" s="554" t="s">
        <v>3165</v>
      </c>
    </row>
    <row r="288" spans="2:13" ht="20.149999999999999" customHeight="1" x14ac:dyDescent="0.35">
      <c r="B288" s="583" t="s">
        <v>3217</v>
      </c>
      <c r="C288" s="584" t="s">
        <v>3237</v>
      </c>
      <c r="D288" s="584" t="s">
        <v>3238</v>
      </c>
      <c r="E288" s="585">
        <f t="shared" ref="E288:L288" si="54">SUM(E279+E287)</f>
        <v>105.63409045370618</v>
      </c>
      <c r="F288" s="585">
        <f t="shared" si="54"/>
        <v>279.22484375564795</v>
      </c>
      <c r="G288" s="585">
        <f t="shared" si="54"/>
        <v>196.21105895376505</v>
      </c>
      <c r="H288" s="585">
        <f t="shared" si="54"/>
        <v>132.78951169212661</v>
      </c>
      <c r="I288" s="585">
        <f t="shared" si="54"/>
        <v>158.26096068906665</v>
      </c>
      <c r="J288" s="585">
        <f t="shared" si="54"/>
        <v>137.11713064879476</v>
      </c>
      <c r="K288" s="585">
        <f t="shared" si="54"/>
        <v>105.62116742133804</v>
      </c>
      <c r="L288" s="585">
        <f t="shared" si="54"/>
        <v>0</v>
      </c>
      <c r="M288" s="586" t="s">
        <v>3165</v>
      </c>
    </row>
    <row r="289" spans="2:13" ht="20.149999999999999" customHeight="1" x14ac:dyDescent="0.35">
      <c r="B289" s="515" t="s">
        <v>3523</v>
      </c>
      <c r="C289" s="545" t="s">
        <v>3472</v>
      </c>
      <c r="D289" s="545" t="s">
        <v>3473</v>
      </c>
      <c r="E289" s="666">
        <f>IFERROR(VLOOKUP($B289,flows!$A$2:$J$2950,E$2,FALSE),0)</f>
        <v>0</v>
      </c>
      <c r="F289" s="666">
        <f>IFERROR(VLOOKUP($B289,flows!$A$2:$J$2950,F$2,FALSE),0)</f>
        <v>0</v>
      </c>
      <c r="G289" s="666">
        <f>IFERROR(VLOOKUP($B289,flows!$A$2:$J$2950,G$2,FALSE),0)</f>
        <v>0</v>
      </c>
      <c r="H289" s="666">
        <f>IFERROR(VLOOKUP($B289,flows!$A$2:$J$2950,H$2,FALSE),0)</f>
        <v>0</v>
      </c>
      <c r="I289" s="666">
        <f>IFERROR(VLOOKUP($B289,flows!$A$2:$J$2950,I$2,FALSE),0)</f>
        <v>0</v>
      </c>
      <c r="J289" s="666">
        <f>IFERROR(VLOOKUP($B289,flows!$A$2:$J$2950,J$2,FALSE),0)</f>
        <v>0</v>
      </c>
      <c r="K289" s="666">
        <f>IFERROR(VLOOKUP($B289,flows!$A$2:$J$2950,K$2,FALSE),0)</f>
        <v>0</v>
      </c>
      <c r="L289" s="666">
        <f>IFERROR(VLOOKUP($B289,flows!$A$2:$J$2950,L$2,FALSE),0)</f>
        <v>0</v>
      </c>
      <c r="M289" s="575" t="s">
        <v>3165</v>
      </c>
    </row>
    <row r="290" spans="2:13" ht="20.149999999999999" customHeight="1" x14ac:dyDescent="0.35">
      <c r="B290" s="515" t="s">
        <v>3524</v>
      </c>
      <c r="C290" s="545" t="s">
        <v>3472</v>
      </c>
      <c r="D290" s="545" t="s">
        <v>3473</v>
      </c>
      <c r="E290" s="666">
        <f>IFERROR(VLOOKUP($B290,flows!$A$2:$J$2950,E$2,FALSE),0)</f>
        <v>0</v>
      </c>
      <c r="F290" s="666">
        <f>IFERROR(VLOOKUP($B290,flows!$A$2:$J$2950,F$2,FALSE),0)</f>
        <v>0</v>
      </c>
      <c r="G290" s="666">
        <f>IFERROR(VLOOKUP($B290,flows!$A$2:$J$2950,G$2,FALSE),0)</f>
        <v>0</v>
      </c>
      <c r="H290" s="666">
        <f>IFERROR(VLOOKUP($B290,flows!$A$2:$J$2950,H$2,FALSE),0)</f>
        <v>0</v>
      </c>
      <c r="I290" s="666">
        <f>IFERROR(VLOOKUP($B290,flows!$A$2:$J$2950,I$2,FALSE),0)</f>
        <v>0</v>
      </c>
      <c r="J290" s="666">
        <f>IFERROR(VLOOKUP($B290,flows!$A$2:$J$2950,J$2,FALSE),0)</f>
        <v>0</v>
      </c>
      <c r="K290" s="666">
        <f>IFERROR(VLOOKUP($B290,flows!$A$2:$J$2950,K$2,FALSE),0)</f>
        <v>0</v>
      </c>
      <c r="L290" s="666">
        <f>IFERROR(VLOOKUP($B290,flows!$A$2:$J$2950,L$2,FALSE),0)</f>
        <v>0</v>
      </c>
      <c r="M290" s="575" t="s">
        <v>3165</v>
      </c>
    </row>
    <row r="291" spans="2:13" ht="20.149999999999999" customHeight="1" x14ac:dyDescent="0.35">
      <c r="B291" s="515" t="s">
        <v>3525</v>
      </c>
      <c r="C291" s="545" t="s">
        <v>3472</v>
      </c>
      <c r="D291" s="545" t="s">
        <v>3473</v>
      </c>
      <c r="E291" s="666">
        <f>IFERROR(VLOOKUP($B291,flows!$A$2:$J$2950,E$2,FALSE),0)</f>
        <v>0</v>
      </c>
      <c r="F291" s="666">
        <f>IFERROR(VLOOKUP($B291,flows!$A$2:$J$2950,F$2,FALSE),0)</f>
        <v>0</v>
      </c>
      <c r="G291" s="666">
        <f>IFERROR(VLOOKUP($B291,flows!$A$2:$J$2950,G$2,FALSE),0)</f>
        <v>0</v>
      </c>
      <c r="H291" s="666">
        <f>IFERROR(VLOOKUP($B291,flows!$A$2:$J$2950,H$2,FALSE),0)</f>
        <v>0</v>
      </c>
      <c r="I291" s="666">
        <f>IFERROR(VLOOKUP($B291,flows!$A$2:$J$2950,I$2,FALSE),0)</f>
        <v>0</v>
      </c>
      <c r="J291" s="666">
        <f>IFERROR(VLOOKUP($B291,flows!$A$2:$J$2950,J$2,FALSE),0)</f>
        <v>0</v>
      </c>
      <c r="K291" s="666">
        <f>IFERROR(VLOOKUP($B291,flows!$A$2:$J$2950,K$2,FALSE),0)</f>
        <v>0</v>
      </c>
      <c r="L291" s="666">
        <f>IFERROR(VLOOKUP($B291,flows!$A$2:$J$2950,L$2,FALSE),0)</f>
        <v>0</v>
      </c>
      <c r="M291" s="575" t="s">
        <v>3165</v>
      </c>
    </row>
    <row r="292" spans="2:13" ht="20.149999999999999" customHeight="1" x14ac:dyDescent="0.35">
      <c r="B292" s="667" t="s">
        <v>3526</v>
      </c>
      <c r="C292" s="668" t="s">
        <v>3472</v>
      </c>
      <c r="D292" s="668" t="s">
        <v>3473</v>
      </c>
      <c r="E292" s="666">
        <f>IFERROR(VLOOKUP($B292,flows!$A$2:$J$2950,E$2,FALSE),0)</f>
        <v>0</v>
      </c>
      <c r="F292" s="666">
        <f>IFERROR(VLOOKUP($B292,flows!$A$2:$J$2950,F$2,FALSE),0)</f>
        <v>0</v>
      </c>
      <c r="G292" s="666">
        <f>IFERROR(VLOOKUP($B292,flows!$A$2:$J$2950,G$2,FALSE),0)</f>
        <v>0</v>
      </c>
      <c r="H292" s="666">
        <f>IFERROR(VLOOKUP($B292,flows!$A$2:$J$2950,H$2,FALSE),0)</f>
        <v>0</v>
      </c>
      <c r="I292" s="666">
        <f>IFERROR(VLOOKUP($B292,flows!$A$2:$J$2950,I$2,FALSE),0)</f>
        <v>0</v>
      </c>
      <c r="J292" s="666">
        <f>IFERROR(VLOOKUP($B292,flows!$A$2:$J$2950,J$2,FALSE),0)</f>
        <v>0</v>
      </c>
      <c r="K292" s="666">
        <f>IFERROR(VLOOKUP($B292,flows!$A$2:$J$2950,K$2,FALSE),0)</f>
        <v>0</v>
      </c>
      <c r="L292" s="666">
        <f>IFERROR(VLOOKUP($B292,flows!$A$2:$J$2950,L$2,FALSE),0)</f>
        <v>0</v>
      </c>
      <c r="M292" s="575" t="s">
        <v>3165</v>
      </c>
    </row>
    <row r="293" spans="2:13" ht="20.149999999999999" customHeight="1" x14ac:dyDescent="0.35">
      <c r="B293" s="667" t="s">
        <v>3527</v>
      </c>
      <c r="C293" s="668" t="s">
        <v>3472</v>
      </c>
      <c r="D293" s="668" t="s">
        <v>3473</v>
      </c>
      <c r="E293" s="666">
        <f>IFERROR(VLOOKUP($B293,flows!$A$2:$J$2950,E$2,FALSE),0)</f>
        <v>0</v>
      </c>
      <c r="F293" s="666">
        <f>IFERROR(VLOOKUP($B293,flows!$A$2:$J$2950,F$2,FALSE),0)</f>
        <v>0</v>
      </c>
      <c r="G293" s="666">
        <f>IFERROR(VLOOKUP($B293,flows!$A$2:$J$2950,G$2,FALSE),0)</f>
        <v>0</v>
      </c>
      <c r="H293" s="666">
        <f>IFERROR(VLOOKUP($B293,flows!$A$2:$J$2950,H$2,FALSE),0)</f>
        <v>0</v>
      </c>
      <c r="I293" s="666">
        <f>IFERROR(VLOOKUP($B293,flows!$A$2:$J$2950,I$2,FALSE),0)</f>
        <v>0</v>
      </c>
      <c r="J293" s="666">
        <f>IFERROR(VLOOKUP($B293,flows!$A$2:$J$2950,J$2,FALSE),0)</f>
        <v>0</v>
      </c>
      <c r="K293" s="666">
        <f>IFERROR(VLOOKUP($B293,flows!$A$2:$J$2950,K$2,FALSE),0)</f>
        <v>0</v>
      </c>
      <c r="L293" s="666">
        <f>IFERROR(VLOOKUP($B293,flows!$A$2:$J$2950,L$2,FALSE),0)</f>
        <v>0</v>
      </c>
      <c r="M293" s="575" t="s">
        <v>3165</v>
      </c>
    </row>
    <row r="294" spans="2:13" ht="20.149999999999999" customHeight="1" x14ac:dyDescent="0.35">
      <c r="B294" s="667" t="s">
        <v>3528</v>
      </c>
      <c r="C294" s="668" t="s">
        <v>3472</v>
      </c>
      <c r="D294" s="668" t="s">
        <v>3473</v>
      </c>
      <c r="E294" s="666">
        <f>IFERROR(VLOOKUP($B294,flows!$A$2:$J$2950,E$2,FALSE),0)</f>
        <v>0</v>
      </c>
      <c r="F294" s="666">
        <f>IFERROR(VLOOKUP($B294,flows!$A$2:$J$2950,F$2,FALSE),0)</f>
        <v>0</v>
      </c>
      <c r="G294" s="666">
        <f>IFERROR(VLOOKUP($B294,flows!$A$2:$J$2950,G$2,FALSE),0)</f>
        <v>0</v>
      </c>
      <c r="H294" s="666">
        <f>IFERROR(VLOOKUP($B294,flows!$A$2:$J$2950,H$2,FALSE),0)</f>
        <v>0</v>
      </c>
      <c r="I294" s="666">
        <f>IFERROR(VLOOKUP($B294,flows!$A$2:$J$2950,I$2,FALSE),0)</f>
        <v>0</v>
      </c>
      <c r="J294" s="666">
        <f>IFERROR(VLOOKUP($B294,flows!$A$2:$J$2950,J$2,FALSE),0)</f>
        <v>0</v>
      </c>
      <c r="K294" s="666">
        <f>IFERROR(VLOOKUP($B294,flows!$A$2:$J$2950,K$2,FALSE),0)</f>
        <v>0</v>
      </c>
      <c r="L294" s="666">
        <f>IFERROR(VLOOKUP($B294,flows!$A$2:$J$2950,L$2,FALSE),0)</f>
        <v>0</v>
      </c>
      <c r="M294" s="575" t="s">
        <v>3165</v>
      </c>
    </row>
    <row r="295" spans="2:13" ht="20.149999999999999" customHeight="1" x14ac:dyDescent="0.35">
      <c r="B295" s="667" t="s">
        <v>3529</v>
      </c>
      <c r="C295" s="668" t="s">
        <v>3472</v>
      </c>
      <c r="D295" s="668" t="s">
        <v>3473</v>
      </c>
      <c r="E295" s="666">
        <f>IFERROR(VLOOKUP($B295,flows!$A$2:$J$2950,E$2,FALSE),0)</f>
        <v>0</v>
      </c>
      <c r="F295" s="666">
        <f>IFERROR(VLOOKUP($B295,flows!$A$2:$J$2950,F$2,FALSE),0)</f>
        <v>0</v>
      </c>
      <c r="G295" s="666">
        <f>IFERROR(VLOOKUP($B295,flows!$A$2:$J$2950,G$2,FALSE),0)</f>
        <v>0</v>
      </c>
      <c r="H295" s="666">
        <f>IFERROR(VLOOKUP($B295,flows!$A$2:$J$2950,H$2,FALSE),0)</f>
        <v>0</v>
      </c>
      <c r="I295" s="666">
        <f>IFERROR(VLOOKUP($B295,flows!$A$2:$J$2950,I$2,FALSE),0)</f>
        <v>0</v>
      </c>
      <c r="J295" s="666">
        <f>IFERROR(VLOOKUP($B295,flows!$A$2:$J$2950,J$2,FALSE),0)</f>
        <v>0</v>
      </c>
      <c r="K295" s="666">
        <f>IFERROR(VLOOKUP($B295,flows!$A$2:$J$2950,K$2,FALSE),0)</f>
        <v>0</v>
      </c>
      <c r="L295" s="666">
        <f>IFERROR(VLOOKUP($B295,flows!$A$2:$J$2950,L$2,FALSE),0)</f>
        <v>0</v>
      </c>
      <c r="M295" s="575" t="s">
        <v>3165</v>
      </c>
    </row>
    <row r="296" spans="2:13" ht="20.149999999999999" customHeight="1" x14ac:dyDescent="0.35">
      <c r="B296" s="669" t="s">
        <v>2031</v>
      </c>
      <c r="C296" s="668" t="s">
        <v>1229</v>
      </c>
      <c r="D296" s="668" t="s">
        <v>3212</v>
      </c>
      <c r="E296" s="670">
        <f t="shared" ref="E296:L296" si="55">SUM(E289:E295)</f>
        <v>0</v>
      </c>
      <c r="F296" s="670">
        <f t="shared" si="55"/>
        <v>0</v>
      </c>
      <c r="G296" s="670">
        <f t="shared" si="55"/>
        <v>0</v>
      </c>
      <c r="H296" s="670">
        <f t="shared" si="55"/>
        <v>0</v>
      </c>
      <c r="I296" s="670">
        <f t="shared" si="55"/>
        <v>0</v>
      </c>
      <c r="J296" s="670">
        <f t="shared" si="55"/>
        <v>0</v>
      </c>
      <c r="K296" s="670">
        <f t="shared" si="55"/>
        <v>0</v>
      </c>
      <c r="L296" s="670">
        <f t="shared" si="55"/>
        <v>0</v>
      </c>
      <c r="M296" s="577" t="s">
        <v>3165</v>
      </c>
    </row>
    <row r="297" spans="2:13" ht="20.149999999999999" customHeight="1" x14ac:dyDescent="0.35">
      <c r="B297" s="627" t="s">
        <v>3530</v>
      </c>
      <c r="C297" s="629" t="s">
        <v>3472</v>
      </c>
      <c r="D297" s="629" t="s">
        <v>3473</v>
      </c>
      <c r="E297" s="671">
        <f>IFERROR(VLOOKUP($B297,flows!$A$2:$J$2950,E$2,FALSE),0)</f>
        <v>0</v>
      </c>
      <c r="F297" s="671">
        <f>IFERROR(VLOOKUP($B297,flows!$A$2:$J$2950,F$2,FALSE),0)</f>
        <v>0</v>
      </c>
      <c r="G297" s="671">
        <f>IFERROR(VLOOKUP($B297,flows!$A$2:$J$2950,G$2,FALSE),0)</f>
        <v>0</v>
      </c>
      <c r="H297" s="671">
        <f>IFERROR(VLOOKUP($B297,flows!$A$2:$J$2950,H$2,FALSE),0)</f>
        <v>0</v>
      </c>
      <c r="I297" s="671">
        <f>IFERROR(VLOOKUP($B297,flows!$A$2:$J$2950,I$2,FALSE),0)</f>
        <v>0</v>
      </c>
      <c r="J297" s="671">
        <f>IFERROR(VLOOKUP($B297,flows!$A$2:$J$2950,J$2,FALSE),0)</f>
        <v>0</v>
      </c>
      <c r="K297" s="671">
        <f>IFERROR(VLOOKUP($B297,flows!$A$2:$J$2950,K$2,FALSE),0)</f>
        <v>0</v>
      </c>
      <c r="L297" s="671">
        <f>IFERROR(VLOOKUP($B297,flows!$A$2:$J$2950,L$2,FALSE),0)</f>
        <v>0</v>
      </c>
      <c r="M297" s="578" t="s">
        <v>3165</v>
      </c>
    </row>
    <row r="298" spans="2:13" ht="20.149999999999999" customHeight="1" x14ac:dyDescent="0.35">
      <c r="B298" s="627" t="s">
        <v>3531</v>
      </c>
      <c r="C298" s="629" t="s">
        <v>3472</v>
      </c>
      <c r="D298" s="629" t="s">
        <v>3473</v>
      </c>
      <c r="E298" s="671">
        <f>IFERROR(VLOOKUP($B298,flows!$A$2:$J$2950,E$2,FALSE),0)</f>
        <v>0</v>
      </c>
      <c r="F298" s="671">
        <f>IFERROR(VLOOKUP($B298,flows!$A$2:$J$2950,F$2,FALSE),0)</f>
        <v>0</v>
      </c>
      <c r="G298" s="671">
        <f>IFERROR(VLOOKUP($B298,flows!$A$2:$J$2950,G$2,FALSE),0)</f>
        <v>0</v>
      </c>
      <c r="H298" s="671">
        <f>IFERROR(VLOOKUP($B298,flows!$A$2:$J$2950,H$2,FALSE),0)</f>
        <v>0</v>
      </c>
      <c r="I298" s="671">
        <f>IFERROR(VLOOKUP($B298,flows!$A$2:$J$2950,I$2,FALSE),0)</f>
        <v>0</v>
      </c>
      <c r="J298" s="671">
        <f>IFERROR(VLOOKUP($B298,flows!$A$2:$J$2950,J$2,FALSE),0)</f>
        <v>0</v>
      </c>
      <c r="K298" s="671">
        <f>IFERROR(VLOOKUP($B298,flows!$A$2:$J$2950,K$2,FALSE),0)</f>
        <v>0</v>
      </c>
      <c r="L298" s="671">
        <f>IFERROR(VLOOKUP($B298,flows!$A$2:$J$2950,L$2,FALSE),0)</f>
        <v>0</v>
      </c>
      <c r="M298" s="579" t="s">
        <v>3165</v>
      </c>
    </row>
    <row r="299" spans="2:13" ht="20.149999999999999" customHeight="1" x14ac:dyDescent="0.35">
      <c r="B299" s="627" t="s">
        <v>3532</v>
      </c>
      <c r="C299" s="629" t="s">
        <v>3472</v>
      </c>
      <c r="D299" s="629" t="s">
        <v>3473</v>
      </c>
      <c r="E299" s="671">
        <f>IFERROR(VLOOKUP($B299,flows!$A$2:$J$2950,E$2,FALSE),0)</f>
        <v>0</v>
      </c>
      <c r="F299" s="671">
        <f>IFERROR(VLOOKUP($B299,flows!$A$2:$J$2950,F$2,FALSE),0)</f>
        <v>0</v>
      </c>
      <c r="G299" s="671">
        <f>IFERROR(VLOOKUP($B299,flows!$A$2:$J$2950,G$2,FALSE),0)</f>
        <v>0</v>
      </c>
      <c r="H299" s="671">
        <f>IFERROR(VLOOKUP($B299,flows!$A$2:$J$2950,H$2,FALSE),0)</f>
        <v>0</v>
      </c>
      <c r="I299" s="671">
        <f>IFERROR(VLOOKUP($B299,flows!$A$2:$J$2950,I$2,FALSE),0)</f>
        <v>0</v>
      </c>
      <c r="J299" s="671">
        <f>IFERROR(VLOOKUP($B299,flows!$A$2:$J$2950,J$2,FALSE),0)</f>
        <v>0</v>
      </c>
      <c r="K299" s="671">
        <f>IFERROR(VLOOKUP($B299,flows!$A$2:$J$2950,K$2,FALSE),0)</f>
        <v>0</v>
      </c>
      <c r="L299" s="671">
        <f>IFERROR(VLOOKUP($B299,flows!$A$2:$J$2950,L$2,FALSE),0)</f>
        <v>0</v>
      </c>
      <c r="M299" s="579" t="s">
        <v>3165</v>
      </c>
    </row>
    <row r="300" spans="2:13" ht="20.149999999999999" customHeight="1" x14ac:dyDescent="0.35">
      <c r="B300" s="672" t="s">
        <v>3533</v>
      </c>
      <c r="C300" s="673" t="s">
        <v>3472</v>
      </c>
      <c r="D300" s="673" t="s">
        <v>3473</v>
      </c>
      <c r="E300" s="671">
        <f>IFERROR(VLOOKUP($B300,flows!$A$2:$J$2950,E$2,FALSE),0)</f>
        <v>0</v>
      </c>
      <c r="F300" s="671">
        <f>IFERROR(VLOOKUP($B300,flows!$A$2:$J$2950,F$2,FALSE),0)</f>
        <v>0</v>
      </c>
      <c r="G300" s="671">
        <f>IFERROR(VLOOKUP($B300,flows!$A$2:$J$2950,G$2,FALSE),0)</f>
        <v>0</v>
      </c>
      <c r="H300" s="671">
        <f>IFERROR(VLOOKUP($B300,flows!$A$2:$J$2950,H$2,FALSE),0)</f>
        <v>0</v>
      </c>
      <c r="I300" s="671">
        <f>IFERROR(VLOOKUP($B300,flows!$A$2:$J$2950,I$2,FALSE),0)</f>
        <v>0</v>
      </c>
      <c r="J300" s="671">
        <f>IFERROR(VLOOKUP($B300,flows!$A$2:$J$2950,J$2,FALSE),0)</f>
        <v>0</v>
      </c>
      <c r="K300" s="671">
        <f>IFERROR(VLOOKUP($B300,flows!$A$2:$J$2950,K$2,FALSE),0)</f>
        <v>0</v>
      </c>
      <c r="L300" s="671">
        <f>IFERROR(VLOOKUP($B300,flows!$A$2:$J$2950,L$2,FALSE),0)</f>
        <v>0</v>
      </c>
      <c r="M300" s="579" t="s">
        <v>3165</v>
      </c>
    </row>
    <row r="301" spans="2:13" ht="20.149999999999999" customHeight="1" x14ac:dyDescent="0.35">
      <c r="B301" s="672" t="s">
        <v>3534</v>
      </c>
      <c r="C301" s="673" t="s">
        <v>3472</v>
      </c>
      <c r="D301" s="673" t="s">
        <v>3473</v>
      </c>
      <c r="E301" s="671">
        <f>IFERROR(VLOOKUP($B301,flows!$A$2:$J$2950,E$2,FALSE),0)</f>
        <v>0</v>
      </c>
      <c r="F301" s="671">
        <f>IFERROR(VLOOKUP($B301,flows!$A$2:$J$2950,F$2,FALSE),0)</f>
        <v>0</v>
      </c>
      <c r="G301" s="671">
        <f>IFERROR(VLOOKUP($B301,flows!$A$2:$J$2950,G$2,FALSE),0)</f>
        <v>0</v>
      </c>
      <c r="H301" s="671">
        <f>IFERROR(VLOOKUP($B301,flows!$A$2:$J$2950,H$2,FALSE),0)</f>
        <v>0</v>
      </c>
      <c r="I301" s="671">
        <f>IFERROR(VLOOKUP($B301,flows!$A$2:$J$2950,I$2,FALSE),0)</f>
        <v>0</v>
      </c>
      <c r="J301" s="671">
        <f>IFERROR(VLOOKUP($B301,flows!$A$2:$J$2950,J$2,FALSE),0)</f>
        <v>0</v>
      </c>
      <c r="K301" s="671">
        <f>IFERROR(VLOOKUP($B301,flows!$A$2:$J$2950,K$2,FALSE),0)</f>
        <v>0</v>
      </c>
      <c r="L301" s="671">
        <f>IFERROR(VLOOKUP($B301,flows!$A$2:$J$2950,L$2,FALSE),0)</f>
        <v>0</v>
      </c>
      <c r="M301" s="579" t="s">
        <v>3165</v>
      </c>
    </row>
    <row r="302" spans="2:13" ht="20.149999999999999" customHeight="1" x14ac:dyDescent="0.35">
      <c r="B302" s="672" t="s">
        <v>3535</v>
      </c>
      <c r="C302" s="673" t="s">
        <v>3472</v>
      </c>
      <c r="D302" s="673" t="s">
        <v>3473</v>
      </c>
      <c r="E302" s="671">
        <f>IFERROR(VLOOKUP($B302,flows!$A$2:$J$2950,E$2,FALSE),0)</f>
        <v>0</v>
      </c>
      <c r="F302" s="671">
        <f>IFERROR(VLOOKUP($B302,flows!$A$2:$J$2950,F$2,FALSE),0)</f>
        <v>0</v>
      </c>
      <c r="G302" s="671">
        <f>IFERROR(VLOOKUP($B302,flows!$A$2:$J$2950,G$2,FALSE),0)</f>
        <v>0</v>
      </c>
      <c r="H302" s="671">
        <f>IFERROR(VLOOKUP($B302,flows!$A$2:$J$2950,H$2,FALSE),0)</f>
        <v>0</v>
      </c>
      <c r="I302" s="671">
        <f>IFERROR(VLOOKUP($B302,flows!$A$2:$J$2950,I$2,FALSE),0)</f>
        <v>0</v>
      </c>
      <c r="J302" s="671">
        <f>IFERROR(VLOOKUP($B302,flows!$A$2:$J$2950,J$2,FALSE),0)</f>
        <v>0</v>
      </c>
      <c r="K302" s="671">
        <f>IFERROR(VLOOKUP($B302,flows!$A$2:$J$2950,K$2,FALSE),0)</f>
        <v>0</v>
      </c>
      <c r="L302" s="671">
        <f>IFERROR(VLOOKUP($B302,flows!$A$2:$J$2950,L$2,FALSE),0)</f>
        <v>0</v>
      </c>
      <c r="M302" s="579" t="s">
        <v>3165</v>
      </c>
    </row>
    <row r="303" spans="2:13" ht="20.149999999999999" customHeight="1" x14ac:dyDescent="0.35">
      <c r="B303" s="672" t="s">
        <v>3536</v>
      </c>
      <c r="C303" s="673" t="s">
        <v>3472</v>
      </c>
      <c r="D303" s="673" t="s">
        <v>3473</v>
      </c>
      <c r="E303" s="671">
        <f>IFERROR(VLOOKUP($B303,flows!$A$2:$J$2950,E$2,FALSE),0)</f>
        <v>0</v>
      </c>
      <c r="F303" s="671">
        <f>IFERROR(VLOOKUP($B303,flows!$A$2:$J$2950,F$2,FALSE),0)</f>
        <v>0</v>
      </c>
      <c r="G303" s="671">
        <f>IFERROR(VLOOKUP($B303,flows!$A$2:$J$2950,G$2,FALSE),0)</f>
        <v>0</v>
      </c>
      <c r="H303" s="671">
        <f>IFERROR(VLOOKUP($B303,flows!$A$2:$J$2950,H$2,FALSE),0)</f>
        <v>0</v>
      </c>
      <c r="I303" s="671">
        <f>IFERROR(VLOOKUP($B303,flows!$A$2:$J$2950,I$2,FALSE),0)</f>
        <v>0</v>
      </c>
      <c r="J303" s="671">
        <f>IFERROR(VLOOKUP($B303,flows!$A$2:$J$2950,J$2,FALSE),0)</f>
        <v>0</v>
      </c>
      <c r="K303" s="671">
        <f>IFERROR(VLOOKUP($B303,flows!$A$2:$J$2950,K$2,FALSE),0)</f>
        <v>0</v>
      </c>
      <c r="L303" s="671">
        <f>IFERROR(VLOOKUP($B303,flows!$A$2:$J$2950,L$2,FALSE),0)</f>
        <v>0</v>
      </c>
      <c r="M303" s="579" t="s">
        <v>3165</v>
      </c>
    </row>
    <row r="304" spans="2:13" ht="20.149999999999999" customHeight="1" x14ac:dyDescent="0.35">
      <c r="B304" s="674" t="s">
        <v>2031</v>
      </c>
      <c r="C304" s="673" t="s">
        <v>1229</v>
      </c>
      <c r="D304" s="673" t="s">
        <v>3212</v>
      </c>
      <c r="E304" s="675">
        <f t="shared" ref="E304:L304" si="56">SUM(E297:E303)</f>
        <v>0</v>
      </c>
      <c r="F304" s="675">
        <f t="shared" si="56"/>
        <v>0</v>
      </c>
      <c r="G304" s="675">
        <f t="shared" si="56"/>
        <v>0</v>
      </c>
      <c r="H304" s="675">
        <f t="shared" si="56"/>
        <v>0</v>
      </c>
      <c r="I304" s="675">
        <f t="shared" si="56"/>
        <v>0</v>
      </c>
      <c r="J304" s="675">
        <f t="shared" si="56"/>
        <v>0</v>
      </c>
      <c r="K304" s="675">
        <f t="shared" si="56"/>
        <v>0</v>
      </c>
      <c r="L304" s="675">
        <f t="shared" si="56"/>
        <v>0</v>
      </c>
      <c r="M304" s="581" t="s">
        <v>3165</v>
      </c>
    </row>
    <row r="305" spans="2:13" ht="20.149999999999999" customHeight="1" thickBot="1" x14ac:dyDescent="0.4">
      <c r="B305" s="583" t="s">
        <v>3217</v>
      </c>
      <c r="C305" s="584" t="s">
        <v>3237</v>
      </c>
      <c r="D305" s="584" t="s">
        <v>3238</v>
      </c>
      <c r="E305" s="585">
        <f t="shared" ref="E305:L305" si="57">SUM(E296+E304)</f>
        <v>0</v>
      </c>
      <c r="F305" s="585">
        <f t="shared" si="57"/>
        <v>0</v>
      </c>
      <c r="G305" s="585">
        <f t="shared" si="57"/>
        <v>0</v>
      </c>
      <c r="H305" s="585">
        <f t="shared" si="57"/>
        <v>0</v>
      </c>
      <c r="I305" s="585">
        <f t="shared" si="57"/>
        <v>0</v>
      </c>
      <c r="J305" s="585">
        <f t="shared" si="57"/>
        <v>0</v>
      </c>
      <c r="K305" s="585">
        <f t="shared" si="57"/>
        <v>0</v>
      </c>
      <c r="L305" s="585">
        <f t="shared" si="57"/>
        <v>0</v>
      </c>
      <c r="M305" s="586" t="s">
        <v>3165</v>
      </c>
    </row>
    <row r="306" spans="2:13" ht="20.149999999999999" customHeight="1" thickTop="1" x14ac:dyDescent="0.35">
      <c r="B306" s="676"/>
      <c r="C306" s="677"/>
      <c r="D306" s="677"/>
      <c r="E306" s="678"/>
      <c r="F306" s="679"/>
      <c r="G306" s="679"/>
      <c r="H306" s="679"/>
      <c r="I306" s="679"/>
      <c r="J306" s="679"/>
      <c r="K306" s="679"/>
      <c r="L306" s="679"/>
      <c r="M306" s="680"/>
    </row>
    <row r="307" spans="2:13" ht="20.149999999999999" customHeight="1" x14ac:dyDescent="0.35">
      <c r="B307" s="555"/>
      <c r="C307" s="681"/>
      <c r="D307" s="681"/>
      <c r="E307" s="505" t="s">
        <v>23</v>
      </c>
      <c r="F307" s="505" t="s">
        <v>1798</v>
      </c>
      <c r="G307" s="505" t="s">
        <v>1799</v>
      </c>
      <c r="H307" s="505" t="s">
        <v>1800</v>
      </c>
      <c r="I307" s="505" t="s">
        <v>1801</v>
      </c>
      <c r="J307" s="505" t="s">
        <v>1802</v>
      </c>
      <c r="K307" s="505" t="s">
        <v>1803</v>
      </c>
      <c r="L307" s="506" t="s">
        <v>1804</v>
      </c>
      <c r="M307" s="643"/>
    </row>
    <row r="308" spans="2:13" ht="20.149999999999999" customHeight="1" x14ac:dyDescent="0.35">
      <c r="B308" s="682" t="s">
        <v>3537</v>
      </c>
      <c r="C308" s="683" t="s">
        <v>3538</v>
      </c>
      <c r="D308" s="683" t="s">
        <v>3539</v>
      </c>
      <c r="E308" s="684">
        <f>IFERROR(VLOOKUP($B308,flows!$A$2:$J$2950,E$2,FALSE),0)</f>
        <v>1.341159577950884E-2</v>
      </c>
      <c r="F308" s="684">
        <f>IFERROR(VLOOKUP($B308,flows!$A$2:$J$2950,F$2,FALSE),0)</f>
        <v>118.3983606790713</v>
      </c>
      <c r="G308" s="684">
        <f>IFERROR(VLOOKUP($B308,flows!$A$2:$J$2950,G$2,FALSE),0)</f>
        <v>3.5811916718069678</v>
      </c>
      <c r="H308" s="684">
        <f>IFERROR(VLOOKUP($B308,flows!$A$2:$J$2950,H$2,FALSE),0)</f>
        <v>1.5124673192429059</v>
      </c>
      <c r="I308" s="684">
        <f>IFERROR(VLOOKUP($B308,flows!$A$2:$J$2950,I$2,FALSE),0)</f>
        <v>1.07509582357258E-2</v>
      </c>
      <c r="J308" s="684">
        <f>IFERROR(VLOOKUP($B308,flows!$A$2:$J$2950,J$2,FALSE),0)</f>
        <v>2.4907663002233339E-4</v>
      </c>
      <c r="K308" s="684">
        <f>IFERROR(VLOOKUP($B308,flows!$A$2:$J$2950,K$2,FALSE),0)</f>
        <v>3.8156451677207238E-5</v>
      </c>
      <c r="L308" s="684">
        <f>IFERROR(VLOOKUP($B308,flows!$A$2:$J$2950,L$2,FALSE),0)</f>
        <v>0</v>
      </c>
      <c r="M308" s="685" t="s">
        <v>3165</v>
      </c>
    </row>
    <row r="309" spans="2:13" ht="20.149999999999999" customHeight="1" x14ac:dyDescent="0.35">
      <c r="B309" s="682" t="s">
        <v>3540</v>
      </c>
      <c r="C309" s="683" t="s">
        <v>3538</v>
      </c>
      <c r="D309" s="683" t="s">
        <v>3539</v>
      </c>
      <c r="E309" s="684">
        <f>IFERROR(VLOOKUP($B309,flows!$A$2:$J$2950,E$2,FALSE),0)</f>
        <v>7.5361489198381799E-3</v>
      </c>
      <c r="F309" s="684">
        <f>IFERROR(VLOOKUP($B309,flows!$A$2:$J$2950,F$2,FALSE),0)</f>
        <v>614.04849179946132</v>
      </c>
      <c r="G309" s="684">
        <f>IFERROR(VLOOKUP($B309,flows!$A$2:$J$2950,G$2,FALSE),0)</f>
        <v>621.55368542085193</v>
      </c>
      <c r="H309" s="684">
        <f>IFERROR(VLOOKUP($B309,flows!$A$2:$J$2950,H$2,FALSE),0)</f>
        <v>383.02331989661297</v>
      </c>
      <c r="I309" s="684">
        <f>IFERROR(VLOOKUP($B309,flows!$A$2:$J$2950,I$2,FALSE),0)</f>
        <v>76.608371412755901</v>
      </c>
      <c r="J309" s="684">
        <f>IFERROR(VLOOKUP($B309,flows!$A$2:$J$2950,J$2,FALSE),0)</f>
        <v>52.258810331954002</v>
      </c>
      <c r="K309" s="684">
        <f>IFERROR(VLOOKUP($B309,flows!$A$2:$J$2950,K$2,FALSE),0)</f>
        <v>2.21198575207062E-5</v>
      </c>
      <c r="L309" s="684">
        <f>IFERROR(VLOOKUP($B309,flows!$A$2:$J$2950,L$2,FALSE),0)</f>
        <v>0</v>
      </c>
      <c r="M309" s="685" t="s">
        <v>3165</v>
      </c>
    </row>
    <row r="310" spans="2:13" ht="20.149999999999999" customHeight="1" x14ac:dyDescent="0.35">
      <c r="B310" s="682" t="s">
        <v>3541</v>
      </c>
      <c r="C310" s="683" t="s">
        <v>3538</v>
      </c>
      <c r="D310" s="683" t="s">
        <v>3539</v>
      </c>
      <c r="E310" s="684">
        <f>IFERROR(VLOOKUP($B310,flows!$A$2:$J$2950,E$2,FALSE),0)</f>
        <v>7.765492206085068E-3</v>
      </c>
      <c r="F310" s="684">
        <f>IFERROR(VLOOKUP($B310,flows!$A$2:$J$2950,F$2,FALSE),0)</f>
        <v>1842.22607797001</v>
      </c>
      <c r="G310" s="684">
        <f>IFERROR(VLOOKUP($B310,flows!$A$2:$J$2950,G$2,FALSE),0)</f>
        <v>1089.5660513439591</v>
      </c>
      <c r="H310" s="684">
        <f>IFERROR(VLOOKUP($B310,flows!$A$2:$J$2950,H$2,FALSE),0)</f>
        <v>253.07873824000089</v>
      </c>
      <c r="I310" s="684">
        <f>IFERROR(VLOOKUP($B310,flows!$A$2:$J$2950,I$2,FALSE),0)</f>
        <v>3.4053837109811069</v>
      </c>
      <c r="J310" s="684">
        <f>IFERROR(VLOOKUP($B310,flows!$A$2:$J$2950,J$2,FALSE),0)</f>
        <v>2.5252002663166042E-4</v>
      </c>
      <c r="K310" s="684">
        <f>IFERROR(VLOOKUP($B310,flows!$A$2:$J$2950,K$2,FALSE),0)</f>
        <v>2.2849719985756139E-5</v>
      </c>
      <c r="L310" s="684">
        <f>IFERROR(VLOOKUP($B310,flows!$A$2:$J$2950,L$2,FALSE),0)</f>
        <v>0</v>
      </c>
      <c r="M310" s="685" t="s">
        <v>3165</v>
      </c>
    </row>
    <row r="311" spans="2:13" ht="20.149999999999999" customHeight="1" x14ac:dyDescent="0.35">
      <c r="B311" s="682" t="s">
        <v>3542</v>
      </c>
      <c r="C311" s="683" t="s">
        <v>3538</v>
      </c>
      <c r="D311" s="683" t="s">
        <v>3539</v>
      </c>
      <c r="E311" s="684">
        <f>IFERROR(VLOOKUP($B311,flows!$A$2:$J$2950,E$2,FALSE),0)</f>
        <v>2.0228189300935369E-3</v>
      </c>
      <c r="F311" s="684">
        <f>IFERROR(VLOOKUP($B311,flows!$A$2:$J$2950,F$2,FALSE),0)</f>
        <v>68.228529263297148</v>
      </c>
      <c r="G311" s="684">
        <f>IFERROR(VLOOKUP($B311,flows!$A$2:$J$2950,G$2,FALSE),0)</f>
        <v>20.266612770808479</v>
      </c>
      <c r="H311" s="684">
        <f>IFERROR(VLOOKUP($B311,flows!$A$2:$J$2950,H$2,FALSE),0)</f>
        <v>6.3630357876831066E-3</v>
      </c>
      <c r="I311" s="684">
        <f>IFERROR(VLOOKUP($B311,flows!$A$2:$J$2950,I$2,FALSE),0)</f>
        <v>0.24187644693845081</v>
      </c>
      <c r="J311" s="684">
        <f>IFERROR(VLOOKUP($B311,flows!$A$2:$J$2950,J$2,FALSE),0)</f>
        <v>1.07855032322233E-4</v>
      </c>
      <c r="K311" s="684">
        <f>IFERROR(VLOOKUP($B311,flows!$A$2:$J$2950,K$2,FALSE),0)</f>
        <v>6.7853873941127317E-6</v>
      </c>
      <c r="L311" s="684">
        <f>IFERROR(VLOOKUP($B311,flows!$A$2:$J$2950,L$2,FALSE),0)</f>
        <v>0</v>
      </c>
      <c r="M311" s="685" t="s">
        <v>3165</v>
      </c>
    </row>
    <row r="312" spans="2:13" ht="20.149999999999999" customHeight="1" x14ac:dyDescent="0.35">
      <c r="B312" s="682" t="s">
        <v>3543</v>
      </c>
      <c r="C312" s="683" t="s">
        <v>3538</v>
      </c>
      <c r="D312" s="683" t="s">
        <v>3539</v>
      </c>
      <c r="E312" s="684">
        <f>IFERROR(VLOOKUP($B312,flows!$A$2:$J$2950,E$2,FALSE),0)</f>
        <v>2.2025852084322189E-3</v>
      </c>
      <c r="F312" s="684">
        <f>IFERROR(VLOOKUP($B312,flows!$A$2:$J$2950,F$2,FALSE),0)</f>
        <v>204.81885152662409</v>
      </c>
      <c r="G312" s="684">
        <f>IFERROR(VLOOKUP($B312,flows!$A$2:$J$2950,G$2,FALSE),0)</f>
        <v>17.873112762188729</v>
      </c>
      <c r="H312" s="684">
        <f>IFERROR(VLOOKUP($B312,flows!$A$2:$J$2950,H$2,FALSE),0)</f>
        <v>6.1755147577137589E-3</v>
      </c>
      <c r="I312" s="684">
        <f>IFERROR(VLOOKUP($B312,flows!$A$2:$J$2950,I$2,FALSE),0)</f>
        <v>0.19990594132041931</v>
      </c>
      <c r="J312" s="684">
        <f>IFERROR(VLOOKUP($B312,flows!$A$2:$J$2950,J$2,FALSE),0)</f>
        <v>1.076372388430639E-4</v>
      </c>
      <c r="K312" s="684">
        <f>IFERROR(VLOOKUP($B312,flows!$A$2:$J$2950,K$2,FALSE),0)</f>
        <v>7.3687066391373222E-6</v>
      </c>
      <c r="L312" s="684">
        <f>IFERROR(VLOOKUP($B312,flows!$A$2:$J$2950,L$2,FALSE),0)</f>
        <v>0</v>
      </c>
      <c r="M312" s="685" t="s">
        <v>3165</v>
      </c>
    </row>
    <row r="313" spans="2:13" ht="20.149999999999999" customHeight="1" x14ac:dyDescent="0.35">
      <c r="B313" s="682" t="s">
        <v>3544</v>
      </c>
      <c r="C313" s="683" t="s">
        <v>3538</v>
      </c>
      <c r="D313" s="683" t="s">
        <v>3539</v>
      </c>
      <c r="E313" s="684">
        <f>IFERROR(VLOOKUP($B313,flows!$A$2:$J$2950,E$2,FALSE),0)</f>
        <v>0</v>
      </c>
      <c r="F313" s="684">
        <f>IFERROR(VLOOKUP($B313,flows!$A$2:$J$2950,F$2,FALSE),0)</f>
        <v>0</v>
      </c>
      <c r="G313" s="684">
        <f>IFERROR(VLOOKUP($B313,flows!$A$2:$J$2950,G$2,FALSE),0)</f>
        <v>0</v>
      </c>
      <c r="H313" s="684">
        <f>IFERROR(VLOOKUP($B313,flows!$A$2:$J$2950,H$2,FALSE),0)</f>
        <v>0</v>
      </c>
      <c r="I313" s="684">
        <f>IFERROR(VLOOKUP($B313,flows!$A$2:$J$2950,I$2,FALSE),0)</f>
        <v>0</v>
      </c>
      <c r="J313" s="684">
        <f>IFERROR(VLOOKUP($B313,flows!$A$2:$J$2950,J$2,FALSE),0)</f>
        <v>0</v>
      </c>
      <c r="K313" s="684">
        <f>IFERROR(VLOOKUP($B313,flows!$A$2:$J$2950,K$2,FALSE),0)</f>
        <v>0</v>
      </c>
      <c r="L313" s="684">
        <f>IFERROR(VLOOKUP($B313,flows!$A$2:$J$2950,L$2,FALSE),0)</f>
        <v>0</v>
      </c>
      <c r="M313" s="685" t="s">
        <v>3165</v>
      </c>
    </row>
    <row r="314" spans="2:13" ht="20.149999999999999" customHeight="1" x14ac:dyDescent="0.35">
      <c r="B314" s="682" t="s">
        <v>3545</v>
      </c>
      <c r="C314" s="683" t="s">
        <v>3538</v>
      </c>
      <c r="D314" s="683" t="s">
        <v>3539</v>
      </c>
      <c r="E314" s="684">
        <f>IFERROR(VLOOKUP($B314,flows!$A$2:$J$2950,E$2,FALSE),0)</f>
        <v>7.8890883098905913E-3</v>
      </c>
      <c r="F314" s="684">
        <f>IFERROR(VLOOKUP($B314,flows!$A$2:$J$2950,F$2,FALSE),0)</f>
        <v>0</v>
      </c>
      <c r="G314" s="684">
        <f>IFERROR(VLOOKUP($B314,flows!$A$2:$J$2950,G$2,FALSE),0)</f>
        <v>5.3961036664543203</v>
      </c>
      <c r="H314" s="684">
        <f>IFERROR(VLOOKUP($B314,flows!$A$2:$J$2950,H$2,FALSE),0)</f>
        <v>5.2618408015755441E-3</v>
      </c>
      <c r="I314" s="684">
        <f>IFERROR(VLOOKUP($B314,flows!$A$2:$J$2950,I$2,FALSE),0)</f>
        <v>2.0154090075612109E-3</v>
      </c>
      <c r="J314" s="684">
        <f>IFERROR(VLOOKUP($B314,flows!$A$2:$J$2950,J$2,FALSE),0)</f>
        <v>2.4320062233794271E-4</v>
      </c>
      <c r="K314" s="684">
        <f>IFERROR(VLOOKUP($B314,flows!$A$2:$J$2950,K$2,FALSE),0)</f>
        <v>2.32688928397333E-5</v>
      </c>
      <c r="L314" s="684">
        <f>IFERROR(VLOOKUP($B314,flows!$A$2:$J$2950,L$2,FALSE),0)</f>
        <v>0</v>
      </c>
      <c r="M314" s="685" t="s">
        <v>3165</v>
      </c>
    </row>
    <row r="315" spans="2:13" ht="20.149999999999999" customHeight="1" x14ac:dyDescent="0.35">
      <c r="B315" s="682" t="s">
        <v>3546</v>
      </c>
      <c r="C315" s="683" t="s">
        <v>3538</v>
      </c>
      <c r="D315" s="683" t="s">
        <v>3539</v>
      </c>
      <c r="E315" s="684">
        <f>IFERROR(VLOOKUP($B315,flows!$A$2:$J$2950,E$2,FALSE),0)</f>
        <v>8.3132805704808719E-3</v>
      </c>
      <c r="F315" s="684">
        <f>IFERROR(VLOOKUP($B315,flows!$A$2:$J$2950,F$2,FALSE),0)</f>
        <v>0</v>
      </c>
      <c r="G315" s="684">
        <f>IFERROR(VLOOKUP($B315,flows!$A$2:$J$2950,G$2,FALSE),0)</f>
        <v>0.63798132164447008</v>
      </c>
      <c r="H315" s="684">
        <f>IFERROR(VLOOKUP($B315,flows!$A$2:$J$2950,H$2,FALSE),0)</f>
        <v>1.3589324638300739E-3</v>
      </c>
      <c r="I315" s="684">
        <f>IFERROR(VLOOKUP($B315,flows!$A$2:$J$2950,I$2,FALSE),0)</f>
        <v>1.124727267407324E-3</v>
      </c>
      <c r="J315" s="684">
        <f>IFERROR(VLOOKUP($B315,flows!$A$2:$J$2950,J$2,FALSE),0)</f>
        <v>1.0399175104413501E-4</v>
      </c>
      <c r="K315" s="684">
        <f>IFERROR(VLOOKUP($B315,flows!$A$2:$J$2950,K$2,FALSE),0)</f>
        <v>2.3990102375451668E-5</v>
      </c>
      <c r="L315" s="684">
        <f>IFERROR(VLOOKUP($B315,flows!$A$2:$J$2950,L$2,FALSE),0)</f>
        <v>0</v>
      </c>
      <c r="M315" s="685" t="s">
        <v>3165</v>
      </c>
    </row>
    <row r="316" spans="2:13" ht="20.149999999999999" customHeight="1" x14ac:dyDescent="0.35">
      <c r="B316" s="682" t="s">
        <v>3547</v>
      </c>
      <c r="C316" s="683" t="s">
        <v>3538</v>
      </c>
      <c r="D316" s="683" t="s">
        <v>3539</v>
      </c>
      <c r="E316" s="684">
        <f>IFERROR(VLOOKUP($B316,flows!$A$2:$J$2950,E$2,FALSE),0)</f>
        <v>0</v>
      </c>
      <c r="F316" s="684">
        <f>IFERROR(VLOOKUP($B316,flows!$A$2:$J$2950,F$2,FALSE),0)</f>
        <v>0</v>
      </c>
      <c r="G316" s="684">
        <f>IFERROR(VLOOKUP($B316,flows!$A$2:$J$2950,G$2,FALSE),0)</f>
        <v>0</v>
      </c>
      <c r="H316" s="684">
        <f>IFERROR(VLOOKUP($B316,flows!$A$2:$J$2950,H$2,FALSE),0)</f>
        <v>0</v>
      </c>
      <c r="I316" s="684">
        <f>IFERROR(VLOOKUP($B316,flows!$A$2:$J$2950,I$2,FALSE),0)</f>
        <v>0</v>
      </c>
      <c r="J316" s="684">
        <f>IFERROR(VLOOKUP($B316,flows!$A$2:$J$2950,J$2,FALSE),0)</f>
        <v>0</v>
      </c>
      <c r="K316" s="684">
        <f>IFERROR(VLOOKUP($B316,flows!$A$2:$J$2950,K$2,FALSE),0)</f>
        <v>0</v>
      </c>
      <c r="L316" s="684">
        <f>IFERROR(VLOOKUP($B316,flows!$A$2:$J$2950,L$2,FALSE),0)</f>
        <v>0</v>
      </c>
      <c r="M316" s="685" t="s">
        <v>3165</v>
      </c>
    </row>
    <row r="317" spans="2:13" ht="20.149999999999999" customHeight="1" x14ac:dyDescent="0.35">
      <c r="B317" s="686" t="s">
        <v>3548</v>
      </c>
      <c r="C317" s="683" t="s">
        <v>2825</v>
      </c>
      <c r="D317" s="683" t="s">
        <v>3549</v>
      </c>
      <c r="E317" s="687">
        <f t="shared" ref="E317:L317" si="58">SUM(E308:E316)</f>
        <v>4.91410099243293E-2</v>
      </c>
      <c r="F317" s="687">
        <f t="shared" si="58"/>
        <v>2847.7203112384641</v>
      </c>
      <c r="G317" s="687">
        <f t="shared" si="58"/>
        <v>1758.8747389577143</v>
      </c>
      <c r="H317" s="687">
        <f t="shared" si="58"/>
        <v>637.63368477966765</v>
      </c>
      <c r="I317" s="687">
        <f t="shared" si="58"/>
        <v>80.469428606506582</v>
      </c>
      <c r="J317" s="687">
        <f t="shared" si="58"/>
        <v>52.259874613255207</v>
      </c>
      <c r="K317" s="687">
        <f t="shared" si="58"/>
        <v>1.445391184321046E-4</v>
      </c>
      <c r="L317" s="687">
        <f t="shared" si="58"/>
        <v>0</v>
      </c>
      <c r="M317" s="685" t="s">
        <v>3165</v>
      </c>
    </row>
    <row r="318" spans="2:13" ht="20.149999999999999" customHeight="1" x14ac:dyDescent="0.35">
      <c r="B318" s="605" t="s">
        <v>3550</v>
      </c>
      <c r="C318" s="606" t="s">
        <v>3538</v>
      </c>
      <c r="D318" s="606" t="s">
        <v>3539</v>
      </c>
      <c r="E318" s="651">
        <f>IFERROR(VLOOKUP($B318,flows!$A$2:$J$2950,E$2,FALSE),0)</f>
        <v>5041.6215830982301</v>
      </c>
      <c r="F318" s="651">
        <f>IFERROR(VLOOKUP($B318,flows!$A$2:$J$2950,F$2,FALSE),0)</f>
        <v>0</v>
      </c>
      <c r="G318" s="651">
        <f>IFERROR(VLOOKUP($B318,flows!$A$2:$J$2950,G$2,FALSE),0)</f>
        <v>13.39328531659125</v>
      </c>
      <c r="H318" s="651">
        <f>IFERROR(VLOOKUP($B318,flows!$A$2:$J$2950,H$2,FALSE),0)</f>
        <v>170.75476282466329</v>
      </c>
      <c r="I318" s="651">
        <f>IFERROR(VLOOKUP($B318,flows!$A$2:$J$2950,I$2,FALSE),0)</f>
        <v>688.50777746143444</v>
      </c>
      <c r="J318" s="651">
        <f>IFERROR(VLOOKUP($B318,flows!$A$2:$J$2950,J$2,FALSE),0)</f>
        <v>2019.547988893474</v>
      </c>
      <c r="K318" s="651">
        <f>IFERROR(VLOOKUP($B318,flows!$A$2:$J$2950,K$2,FALSE),0)</f>
        <v>5041.3054521233807</v>
      </c>
      <c r="L318" s="651">
        <f>IFERROR(VLOOKUP($B318,flows!$A$2:$J$2950,L$2,FALSE),0)</f>
        <v>0</v>
      </c>
      <c r="M318" s="524" t="s">
        <v>3165</v>
      </c>
    </row>
    <row r="319" spans="2:13" ht="20.149999999999999" customHeight="1" x14ac:dyDescent="0.35">
      <c r="B319" s="605" t="s">
        <v>3551</v>
      </c>
      <c r="C319" s="606" t="s">
        <v>3538</v>
      </c>
      <c r="D319" s="606" t="s">
        <v>3539</v>
      </c>
      <c r="E319" s="651">
        <f>IFERROR(VLOOKUP($B319,flows!$A$2:$J$2950,E$2,FALSE),0)</f>
        <v>3.3708870948008118E-2</v>
      </c>
      <c r="F319" s="651">
        <f>IFERROR(VLOOKUP($B319,flows!$A$2:$J$2950,F$2,FALSE),0)</f>
        <v>0</v>
      </c>
      <c r="G319" s="651">
        <f>IFERROR(VLOOKUP($B319,flows!$A$2:$J$2950,G$2,FALSE),0)</f>
        <v>527.09578447279887</v>
      </c>
      <c r="H319" s="651">
        <f>IFERROR(VLOOKUP($B319,flows!$A$2:$J$2950,H$2,FALSE),0)</f>
        <v>1617.7635261064811</v>
      </c>
      <c r="I319" s="651">
        <f>IFERROR(VLOOKUP($B319,flows!$A$2:$J$2950,I$2,FALSE),0)</f>
        <v>1448.906814004134</v>
      </c>
      <c r="J319" s="651">
        <f>IFERROR(VLOOKUP($B319,flows!$A$2:$J$2950,J$2,FALSE),0)</f>
        <v>1298.861274062908</v>
      </c>
      <c r="K319" s="651">
        <f>IFERROR(VLOOKUP($B319,flows!$A$2:$J$2950,K$2,FALSE),0)</f>
        <v>1.9042731760380351E-4</v>
      </c>
      <c r="L319" s="651">
        <f>IFERROR(VLOOKUP($B319,flows!$A$2:$J$2950,L$2,FALSE),0)</f>
        <v>0</v>
      </c>
      <c r="M319" s="524" t="s">
        <v>3165</v>
      </c>
    </row>
    <row r="320" spans="2:13" ht="20.149999999999999" customHeight="1" x14ac:dyDescent="0.35">
      <c r="B320" s="605" t="s">
        <v>3552</v>
      </c>
      <c r="C320" s="606" t="s">
        <v>3538</v>
      </c>
      <c r="D320" s="606" t="s">
        <v>3539</v>
      </c>
      <c r="E320" s="651">
        <f>IFERROR(VLOOKUP($B320,flows!$A$2:$J$2950,E$2,FALSE),0)</f>
        <v>3.6427108249004518E-2</v>
      </c>
      <c r="F320" s="651">
        <f>IFERROR(VLOOKUP($B320,flows!$A$2:$J$2950,F$2,FALSE),0)</f>
        <v>0</v>
      </c>
      <c r="G320" s="651">
        <f>IFERROR(VLOOKUP($B320,flows!$A$2:$J$2950,G$2,FALSE),0)</f>
        <v>526.6732949794274</v>
      </c>
      <c r="H320" s="651">
        <f>IFERROR(VLOOKUP($B320,flows!$A$2:$J$2950,H$2,FALSE),0)</f>
        <v>938.4020085363718</v>
      </c>
      <c r="I320" s="651">
        <f>IFERROR(VLOOKUP($B320,flows!$A$2:$J$2950,I$2,FALSE),0)</f>
        <v>1017.317004113269</v>
      </c>
      <c r="J320" s="651">
        <f>IFERROR(VLOOKUP($B320,flows!$A$2:$J$2950,J$2,FALSE),0)</f>
        <v>487.29547932620602</v>
      </c>
      <c r="K320" s="651">
        <f>IFERROR(VLOOKUP($B320,flows!$A$2:$J$2950,K$2,FALSE),0)</f>
        <v>2.1663536774890689E-4</v>
      </c>
      <c r="L320" s="651">
        <f>IFERROR(VLOOKUP($B320,flows!$A$2:$J$2950,L$2,FALSE),0)</f>
        <v>0</v>
      </c>
      <c r="M320" s="524" t="s">
        <v>3165</v>
      </c>
    </row>
    <row r="321" spans="2:13" ht="20.149999999999999" customHeight="1" x14ac:dyDescent="0.35">
      <c r="B321" s="605" t="s">
        <v>3553</v>
      </c>
      <c r="C321" s="606" t="s">
        <v>3538</v>
      </c>
      <c r="D321" s="606" t="s">
        <v>3539</v>
      </c>
      <c r="E321" s="651">
        <f>IFERROR(VLOOKUP($B321,flows!$A$2:$J$2950,E$2,FALSE),0)</f>
        <v>4.0070511256982593E-3</v>
      </c>
      <c r="F321" s="651">
        <f>IFERROR(VLOOKUP($B321,flows!$A$2:$J$2950,F$2,FALSE),0)</f>
        <v>0</v>
      </c>
      <c r="G321" s="651">
        <f>IFERROR(VLOOKUP($B321,flows!$A$2:$J$2950,G$2,FALSE),0)</f>
        <v>18.642944858221259</v>
      </c>
      <c r="H321" s="651">
        <f>IFERROR(VLOOKUP($B321,flows!$A$2:$J$2950,H$2,FALSE),0)</f>
        <v>6.3248084846478274E-3</v>
      </c>
      <c r="I321" s="651">
        <f>IFERROR(VLOOKUP($B321,flows!$A$2:$J$2950,I$2,FALSE),0)</f>
        <v>2.5661403516216048E-3</v>
      </c>
      <c r="J321" s="651">
        <f>IFERROR(VLOOKUP($B321,flows!$A$2:$J$2950,J$2,FALSE),0)</f>
        <v>2.6944646396617522E-4</v>
      </c>
      <c r="K321" s="651">
        <f>IFERROR(VLOOKUP($B321,flows!$A$2:$J$2950,K$2,FALSE),0)</f>
        <v>1.336112061567113E-5</v>
      </c>
      <c r="L321" s="651">
        <f>IFERROR(VLOOKUP($B321,flows!$A$2:$J$2950,L$2,FALSE),0)</f>
        <v>0</v>
      </c>
      <c r="M321" s="524" t="s">
        <v>3165</v>
      </c>
    </row>
    <row r="322" spans="2:13" ht="20.149999999999999" customHeight="1" x14ac:dyDescent="0.35">
      <c r="B322" s="605" t="s">
        <v>3554</v>
      </c>
      <c r="C322" s="606" t="s">
        <v>3538</v>
      </c>
      <c r="D322" s="606" t="s">
        <v>3539</v>
      </c>
      <c r="E322" s="651">
        <f>IFERROR(VLOOKUP($B322,flows!$A$2:$J$2950,E$2,FALSE),0)</f>
        <v>4.4432092324411211E-3</v>
      </c>
      <c r="F322" s="651">
        <f>IFERROR(VLOOKUP($B322,flows!$A$2:$J$2950,F$2,FALSE),0)</f>
        <v>0</v>
      </c>
      <c r="G322" s="651">
        <f>IFERROR(VLOOKUP($B322,flows!$A$2:$J$2950,G$2,FALSE),0)</f>
        <v>10.42221816662197</v>
      </c>
      <c r="H322" s="651">
        <f>IFERROR(VLOOKUP($B322,flows!$A$2:$J$2950,H$2,FALSE),0)</f>
        <v>6.1642204657779793E-3</v>
      </c>
      <c r="I322" s="651">
        <f>IFERROR(VLOOKUP($B322,flows!$A$2:$J$2950,I$2,FALSE),0)</f>
        <v>2.6709551745158449E-3</v>
      </c>
      <c r="J322" s="651">
        <f>IFERROR(VLOOKUP($B322,flows!$A$2:$J$2950,J$2,FALSE),0)</f>
        <v>2.7027262206980469E-4</v>
      </c>
      <c r="K322" s="651">
        <f>IFERROR(VLOOKUP($B322,flows!$A$2:$J$2950,K$2,FALSE),0)</f>
        <v>1.475998574647646E-5</v>
      </c>
      <c r="L322" s="651">
        <f>IFERROR(VLOOKUP($B322,flows!$A$2:$J$2950,L$2,FALSE),0)</f>
        <v>0</v>
      </c>
      <c r="M322" s="524" t="s">
        <v>3165</v>
      </c>
    </row>
    <row r="323" spans="2:13" ht="20.149999999999999" customHeight="1" x14ac:dyDescent="0.35">
      <c r="B323" s="605" t="s">
        <v>3555</v>
      </c>
      <c r="C323" s="606" t="s">
        <v>3538</v>
      </c>
      <c r="D323" s="606" t="s">
        <v>3539</v>
      </c>
      <c r="E323" s="651">
        <f>IFERROR(VLOOKUP($B323,flows!$A$2:$J$2950,E$2,FALSE),0)</f>
        <v>0</v>
      </c>
      <c r="F323" s="651">
        <f>IFERROR(VLOOKUP($B323,flows!$A$2:$J$2950,F$2,FALSE),0)</f>
        <v>0</v>
      </c>
      <c r="G323" s="651">
        <f>IFERROR(VLOOKUP($B323,flows!$A$2:$J$2950,G$2,FALSE),0)</f>
        <v>0</v>
      </c>
      <c r="H323" s="651">
        <f>IFERROR(VLOOKUP($B323,flows!$A$2:$J$2950,H$2,FALSE),0)</f>
        <v>0</v>
      </c>
      <c r="I323" s="651">
        <f>IFERROR(VLOOKUP($B323,flows!$A$2:$J$2950,I$2,FALSE),0)</f>
        <v>0</v>
      </c>
      <c r="J323" s="651">
        <f>IFERROR(VLOOKUP($B323,flows!$A$2:$J$2950,J$2,FALSE),0)</f>
        <v>0</v>
      </c>
      <c r="K323" s="651">
        <f>IFERROR(VLOOKUP($B323,flows!$A$2:$J$2950,K$2,FALSE),0)</f>
        <v>0</v>
      </c>
      <c r="L323" s="651">
        <f>IFERROR(VLOOKUP($B323,flows!$A$2:$J$2950,L$2,FALSE),0)</f>
        <v>0</v>
      </c>
      <c r="M323" s="524" t="s">
        <v>3165</v>
      </c>
    </row>
    <row r="324" spans="2:13" ht="20.149999999999999" customHeight="1" x14ac:dyDescent="0.35">
      <c r="B324" s="605" t="s">
        <v>3556</v>
      </c>
      <c r="C324" s="606" t="s">
        <v>3538</v>
      </c>
      <c r="D324" s="606" t="s">
        <v>3539</v>
      </c>
      <c r="E324" s="651">
        <f>IFERROR(VLOOKUP($B324,flows!$A$2:$J$2950,E$2,FALSE),0)</f>
        <v>3.7999714299284802E-2</v>
      </c>
      <c r="F324" s="651">
        <f>IFERROR(VLOOKUP($B324,flows!$A$2:$J$2950,F$2,FALSE),0)</f>
        <v>0</v>
      </c>
      <c r="G324" s="651">
        <f>IFERROR(VLOOKUP($B324,flows!$A$2:$J$2950,G$2,FALSE),0)</f>
        <v>228.49666272706591</v>
      </c>
      <c r="H324" s="651">
        <f>IFERROR(VLOOKUP($B324,flows!$A$2:$J$2950,H$2,FALSE),0)</f>
        <v>233.46172798109541</v>
      </c>
      <c r="I324" s="651">
        <f>IFERROR(VLOOKUP($B324,flows!$A$2:$J$2950,I$2,FALSE),0)</f>
        <v>233.40930398696059</v>
      </c>
      <c r="J324" s="651">
        <f>IFERROR(VLOOKUP($B324,flows!$A$2:$J$2950,J$2,FALSE),0)</f>
        <v>1.808285831877026E-3</v>
      </c>
      <c r="K324" s="651">
        <f>IFERROR(VLOOKUP($B324,flows!$A$2:$J$2950,K$2,FALSE),0)</f>
        <v>8.7763981149954732E-5</v>
      </c>
      <c r="L324" s="651">
        <f>IFERROR(VLOOKUP($B324,flows!$A$2:$J$2950,L$2,FALSE),0)</f>
        <v>0</v>
      </c>
      <c r="M324" s="524" t="s">
        <v>3165</v>
      </c>
    </row>
    <row r="325" spans="2:13" ht="20.149999999999999" customHeight="1" x14ac:dyDescent="0.35">
      <c r="B325" s="605" t="s">
        <v>3557</v>
      </c>
      <c r="C325" s="606" t="s">
        <v>3538</v>
      </c>
      <c r="D325" s="606" t="s">
        <v>3539</v>
      </c>
      <c r="E325" s="651">
        <f>IFERROR(VLOOKUP($B325,flows!$A$2:$J$2950,E$2,FALSE),0)</f>
        <v>4.8478033027226509E-2</v>
      </c>
      <c r="F325" s="651">
        <f>IFERROR(VLOOKUP($B325,flows!$A$2:$J$2950,F$2,FALSE),0)</f>
        <v>0</v>
      </c>
      <c r="G325" s="651">
        <f>IFERROR(VLOOKUP($B325,flows!$A$2:$J$2950,G$2,FALSE),0)</f>
        <v>1.2050230787823031</v>
      </c>
      <c r="H325" s="651">
        <f>IFERROR(VLOOKUP($B325,flows!$A$2:$J$2950,H$2,FALSE),0)</f>
        <v>2.9016478993022848E-3</v>
      </c>
      <c r="I325" s="651">
        <f>IFERROR(VLOOKUP($B325,flows!$A$2:$J$2950,I$2,FALSE),0)</f>
        <v>3.756281869819893E-3</v>
      </c>
      <c r="J325" s="651">
        <f>IFERROR(VLOOKUP($B325,flows!$A$2:$J$2950,J$2,FALSE),0)</f>
        <v>2.5644701004873168E-4</v>
      </c>
      <c r="K325" s="651">
        <f>IFERROR(VLOOKUP($B325,flows!$A$2:$J$2950,K$2,FALSE),0)</f>
        <v>1.1495802873559679E-4</v>
      </c>
      <c r="L325" s="651">
        <f>IFERROR(VLOOKUP($B325,flows!$A$2:$J$2950,L$2,FALSE),0)</f>
        <v>0</v>
      </c>
      <c r="M325" s="524" t="s">
        <v>3165</v>
      </c>
    </row>
    <row r="326" spans="2:13" ht="20.149999999999999" customHeight="1" x14ac:dyDescent="0.35">
      <c r="B326" s="605" t="s">
        <v>3558</v>
      </c>
      <c r="C326" s="606" t="s">
        <v>3538</v>
      </c>
      <c r="D326" s="606" t="s">
        <v>3539</v>
      </c>
      <c r="E326" s="651">
        <f>IFERROR(VLOOKUP($B326,flows!$A$2:$J$2950,E$2,FALSE),0)</f>
        <v>0</v>
      </c>
      <c r="F326" s="651">
        <f>IFERROR(VLOOKUP($B326,flows!$A$2:$J$2950,F$2,FALSE),0)</f>
        <v>0</v>
      </c>
      <c r="G326" s="651">
        <f>IFERROR(VLOOKUP($B326,flows!$A$2:$J$2950,G$2,FALSE),0)</f>
        <v>0</v>
      </c>
      <c r="H326" s="651">
        <f>IFERROR(VLOOKUP($B326,flows!$A$2:$J$2950,H$2,FALSE),0)</f>
        <v>0</v>
      </c>
      <c r="I326" s="651">
        <f>IFERROR(VLOOKUP($B326,flows!$A$2:$J$2950,I$2,FALSE),0)</f>
        <v>0</v>
      </c>
      <c r="J326" s="651">
        <f>IFERROR(VLOOKUP($B326,flows!$A$2:$J$2950,J$2,FALSE),0)</f>
        <v>0</v>
      </c>
      <c r="K326" s="651">
        <f>IFERROR(VLOOKUP($B326,flows!$A$2:$J$2950,K$2,FALSE),0)</f>
        <v>0</v>
      </c>
      <c r="L326" s="651">
        <f>IFERROR(VLOOKUP($B326,flows!$A$2:$J$2950,L$2,FALSE),0)</f>
        <v>0</v>
      </c>
      <c r="M326" s="524" t="s">
        <v>3165</v>
      </c>
    </row>
    <row r="327" spans="2:13" ht="20.149999999999999" customHeight="1" x14ac:dyDescent="0.35">
      <c r="B327" s="652" t="s">
        <v>3548</v>
      </c>
      <c r="C327" s="606" t="s">
        <v>2825</v>
      </c>
      <c r="D327" s="606" t="s">
        <v>3549</v>
      </c>
      <c r="E327" s="653">
        <f t="shared" ref="E327:L327" si="59">SUM(E318:E326)</f>
        <v>5041.7866470851122</v>
      </c>
      <c r="F327" s="653">
        <f t="shared" si="59"/>
        <v>0</v>
      </c>
      <c r="G327" s="653">
        <f t="shared" si="59"/>
        <v>1325.9292135995088</v>
      </c>
      <c r="H327" s="653">
        <f t="shared" si="59"/>
        <v>2960.3974161254619</v>
      </c>
      <c r="I327" s="653">
        <f t="shared" si="59"/>
        <v>3388.1498929431937</v>
      </c>
      <c r="J327" s="653">
        <f t="shared" si="59"/>
        <v>3805.7073467345158</v>
      </c>
      <c r="K327" s="653">
        <f t="shared" si="59"/>
        <v>5041.3060900291821</v>
      </c>
      <c r="L327" s="653">
        <f t="shared" si="59"/>
        <v>0</v>
      </c>
      <c r="M327" s="524" t="s">
        <v>3165</v>
      </c>
    </row>
    <row r="328" spans="2:13" ht="20.149999999999999" customHeight="1" x14ac:dyDescent="0.35">
      <c r="B328" s="583" t="s">
        <v>3217</v>
      </c>
      <c r="C328" s="584" t="s">
        <v>3237</v>
      </c>
      <c r="D328" s="584" t="s">
        <v>3238</v>
      </c>
      <c r="E328" s="585">
        <f t="shared" ref="E328:L328" si="60">SUM(E317+E327)</f>
        <v>5041.8357880950362</v>
      </c>
      <c r="F328" s="585">
        <f t="shared" si="60"/>
        <v>2847.7203112384641</v>
      </c>
      <c r="G328" s="585">
        <f t="shared" si="60"/>
        <v>3084.8039525572231</v>
      </c>
      <c r="H328" s="585">
        <f t="shared" si="60"/>
        <v>3598.0311009051293</v>
      </c>
      <c r="I328" s="585">
        <f t="shared" si="60"/>
        <v>3468.6193215497001</v>
      </c>
      <c r="J328" s="585">
        <f t="shared" si="60"/>
        <v>3857.9672213477711</v>
      </c>
      <c r="K328" s="585">
        <f t="shared" si="60"/>
        <v>5041.3062345683002</v>
      </c>
      <c r="L328" s="585">
        <f t="shared" si="60"/>
        <v>0</v>
      </c>
      <c r="M328" s="586" t="s">
        <v>3165</v>
      </c>
    </row>
    <row r="329" spans="2:13" ht="20.149999999999999" customHeight="1" x14ac:dyDescent="0.35">
      <c r="B329" s="619" t="s">
        <v>3559</v>
      </c>
      <c r="C329" s="620" t="s">
        <v>3538</v>
      </c>
      <c r="D329" s="620" t="s">
        <v>3539</v>
      </c>
      <c r="E329" s="654">
        <f>IFERROR(VLOOKUP($B329,flows!$A$2:$J$2950,E$2,FALSE),0)</f>
        <v>493.31483473528641</v>
      </c>
      <c r="F329" s="654">
        <f>IFERROR(VLOOKUP($B329,flows!$A$2:$J$2950,F$2,FALSE),0)</f>
        <v>0</v>
      </c>
      <c r="G329" s="654">
        <f>IFERROR(VLOOKUP($B329,flows!$A$2:$J$2950,G$2,FALSE),0)</f>
        <v>1.570247779609788</v>
      </c>
      <c r="H329" s="654">
        <f>IFERROR(VLOOKUP($B329,flows!$A$2:$J$2950,H$2,FALSE),0)</f>
        <v>31.555339350756508</v>
      </c>
      <c r="I329" s="654">
        <f>IFERROR(VLOOKUP($B329,flows!$A$2:$J$2950,I$2,FALSE),0)</f>
        <v>81.74800491964875</v>
      </c>
      <c r="J329" s="654">
        <f>IFERROR(VLOOKUP($B329,flows!$A$2:$J$2950,J$2,FALSE),0)</f>
        <v>197.6338281797662</v>
      </c>
      <c r="K329" s="654">
        <f>IFERROR(VLOOKUP($B329,flows!$A$2:$J$2950,K$2,FALSE),0)</f>
        <v>493.33751431396172</v>
      </c>
      <c r="L329" s="654">
        <f>IFERROR(VLOOKUP($B329,flows!$A$2:$J$2950,L$2,FALSE),0)</f>
        <v>0</v>
      </c>
      <c r="M329" s="534" t="s">
        <v>3165</v>
      </c>
    </row>
    <row r="330" spans="2:13" ht="20.149999999999999" customHeight="1" x14ac:dyDescent="0.35">
      <c r="B330" s="619" t="s">
        <v>3560</v>
      </c>
      <c r="C330" s="620" t="s">
        <v>3538</v>
      </c>
      <c r="D330" s="620" t="s">
        <v>3539</v>
      </c>
      <c r="E330" s="654">
        <f>IFERROR(VLOOKUP($B330,flows!$A$2:$J$2950,E$2,FALSE),0)</f>
        <v>3.8889525770222362E-3</v>
      </c>
      <c r="F330" s="654">
        <f>IFERROR(VLOOKUP($B330,flows!$A$2:$J$2950,F$2,FALSE),0)</f>
        <v>169.83840337887821</v>
      </c>
      <c r="G330" s="654">
        <f>IFERROR(VLOOKUP($B330,flows!$A$2:$J$2950,G$2,FALSE),0)</f>
        <v>182.2949787806121</v>
      </c>
      <c r="H330" s="654">
        <f>IFERROR(VLOOKUP($B330,flows!$A$2:$J$2950,H$2,FALSE),0)</f>
        <v>171.45069020872609</v>
      </c>
      <c r="I330" s="654">
        <f>IFERROR(VLOOKUP($B330,flows!$A$2:$J$2950,I$2,FALSE),0)</f>
        <v>60.466584144561963</v>
      </c>
      <c r="J330" s="654">
        <f>IFERROR(VLOOKUP($B330,flows!$A$2:$J$2950,J$2,FALSE),0)</f>
        <v>69.438180164880507</v>
      </c>
      <c r="K330" s="654">
        <f>IFERROR(VLOOKUP($B330,flows!$A$2:$J$2950,K$2,FALSE),0)</f>
        <v>2.4297822067565131E-5</v>
      </c>
      <c r="L330" s="654">
        <f>IFERROR(VLOOKUP($B330,flows!$A$2:$J$2950,L$2,FALSE),0)</f>
        <v>0</v>
      </c>
      <c r="M330" s="534" t="s">
        <v>3165</v>
      </c>
    </row>
    <row r="331" spans="2:13" ht="20.149999999999999" customHeight="1" x14ac:dyDescent="0.35">
      <c r="B331" s="619" t="s">
        <v>3561</v>
      </c>
      <c r="C331" s="620" t="s">
        <v>3538</v>
      </c>
      <c r="D331" s="620" t="s">
        <v>3539</v>
      </c>
      <c r="E331" s="654">
        <f>IFERROR(VLOOKUP($B331,flows!$A$2:$J$2950,E$2,FALSE),0)</f>
        <v>4.2594865432589463E-3</v>
      </c>
      <c r="F331" s="654">
        <f>IFERROR(VLOOKUP($B331,flows!$A$2:$J$2950,F$2,FALSE),0)</f>
        <v>297.60362366045598</v>
      </c>
      <c r="G331" s="654">
        <f>IFERROR(VLOOKUP($B331,flows!$A$2:$J$2950,G$2,FALSE),0)</f>
        <v>317.8328359177105</v>
      </c>
      <c r="H331" s="654">
        <f>IFERROR(VLOOKUP($B331,flows!$A$2:$J$2950,H$2,FALSE),0)</f>
        <v>227.02111176356141</v>
      </c>
      <c r="I331" s="654">
        <f>IFERROR(VLOOKUP($B331,flows!$A$2:$J$2950,I$2,FALSE),0)</f>
        <v>183.52780492244011</v>
      </c>
      <c r="J331" s="654">
        <f>IFERROR(VLOOKUP($B331,flows!$A$2:$J$2950,J$2,FALSE),0)</f>
        <v>37.390189188390913</v>
      </c>
      <c r="K331" s="654">
        <f>IFERROR(VLOOKUP($B331,flows!$A$2:$J$2950,K$2,FALSE),0)</f>
        <v>2.7605887613806539E-5</v>
      </c>
      <c r="L331" s="654">
        <f>IFERROR(VLOOKUP($B331,flows!$A$2:$J$2950,L$2,FALSE),0)</f>
        <v>0</v>
      </c>
      <c r="M331" s="534" t="s">
        <v>3165</v>
      </c>
    </row>
    <row r="332" spans="2:13" ht="20.149999999999999" customHeight="1" x14ac:dyDescent="0.35">
      <c r="B332" s="619" t="s">
        <v>3562</v>
      </c>
      <c r="C332" s="620" t="s">
        <v>3538</v>
      </c>
      <c r="D332" s="620" t="s">
        <v>3539</v>
      </c>
      <c r="E332" s="654">
        <f>IFERROR(VLOOKUP($B332,flows!$A$2:$J$2950,E$2,FALSE),0)</f>
        <v>5.7182307886373906E-4</v>
      </c>
      <c r="F332" s="654">
        <f>IFERROR(VLOOKUP($B332,flows!$A$2:$J$2950,F$2,FALSE),0)</f>
        <v>18.727259818334112</v>
      </c>
      <c r="G332" s="654">
        <f>IFERROR(VLOOKUP($B332,flows!$A$2:$J$2950,G$2,FALSE),0)</f>
        <v>4.1578703703652451</v>
      </c>
      <c r="H332" s="654">
        <f>IFERROR(VLOOKUP($B332,flows!$A$2:$J$2950,H$2,FALSE),0)</f>
        <v>0.38441893454599352</v>
      </c>
      <c r="I332" s="654">
        <f>IFERROR(VLOOKUP($B332,flows!$A$2:$J$2950,I$2,FALSE),0)</f>
        <v>8.0120614798774067E-2</v>
      </c>
      <c r="J332" s="654">
        <f>IFERROR(VLOOKUP($B332,flows!$A$2:$J$2950,J$2,FALSE),0)</f>
        <v>3.0722162902864492E-5</v>
      </c>
      <c r="K332" s="654">
        <f>IFERROR(VLOOKUP($B332,flows!$A$2:$J$2950,K$2,FALSE),0)</f>
        <v>1.9704416325428059E-6</v>
      </c>
      <c r="L332" s="654">
        <f>IFERROR(VLOOKUP($B332,flows!$A$2:$J$2950,L$2,FALSE),0)</f>
        <v>0</v>
      </c>
      <c r="M332" s="534" t="s">
        <v>3165</v>
      </c>
    </row>
    <row r="333" spans="2:13" ht="20.149999999999999" customHeight="1" x14ac:dyDescent="0.35">
      <c r="B333" s="619" t="s">
        <v>3563</v>
      </c>
      <c r="C333" s="620" t="s">
        <v>3538</v>
      </c>
      <c r="D333" s="620" t="s">
        <v>3539</v>
      </c>
      <c r="E333" s="654">
        <f>IFERROR(VLOOKUP($B333,flows!$A$2:$J$2950,E$2,FALSE),0)</f>
        <v>6.4144738397859888E-4</v>
      </c>
      <c r="F333" s="654">
        <f>IFERROR(VLOOKUP($B333,flows!$A$2:$J$2950,F$2,FALSE),0)</f>
        <v>33.246373330452627</v>
      </c>
      <c r="G333" s="654">
        <f>IFERROR(VLOOKUP($B333,flows!$A$2:$J$2950,G$2,FALSE),0)</f>
        <v>4.492406699421525</v>
      </c>
      <c r="H333" s="654">
        <f>IFERROR(VLOOKUP($B333,flows!$A$2:$J$2950,H$2,FALSE),0)</f>
        <v>0.53190489711300892</v>
      </c>
      <c r="I333" s="654">
        <f>IFERROR(VLOOKUP($B333,flows!$A$2:$J$2950,I$2,FALSE),0)</f>
        <v>7.309756303733933E-2</v>
      </c>
      <c r="J333" s="654">
        <f>IFERROR(VLOOKUP($B333,flows!$A$2:$J$2950,J$2,FALSE),0)</f>
        <v>3.4169696608950263E-5</v>
      </c>
      <c r="K333" s="654">
        <f>IFERROR(VLOOKUP($B333,flows!$A$2:$J$2950,K$2,FALSE),0)</f>
        <v>2.2098858859371261E-6</v>
      </c>
      <c r="L333" s="654">
        <f>IFERROR(VLOOKUP($B333,flows!$A$2:$J$2950,L$2,FALSE),0)</f>
        <v>0</v>
      </c>
      <c r="M333" s="534" t="s">
        <v>3165</v>
      </c>
    </row>
    <row r="334" spans="2:13" ht="20.149999999999999" customHeight="1" x14ac:dyDescent="0.35">
      <c r="B334" s="619" t="s">
        <v>3564</v>
      </c>
      <c r="C334" s="620" t="s">
        <v>3538</v>
      </c>
      <c r="D334" s="620" t="s">
        <v>3539</v>
      </c>
      <c r="E334" s="654">
        <f>IFERROR(VLOOKUP($B334,flows!$A$2:$J$2950,E$2,FALSE),0)</f>
        <v>5.3240144146637679E-3</v>
      </c>
      <c r="F334" s="654">
        <f>IFERROR(VLOOKUP($B334,flows!$A$2:$J$2950,F$2,FALSE),0)</f>
        <v>0</v>
      </c>
      <c r="G334" s="654">
        <f>IFERROR(VLOOKUP($B334,flows!$A$2:$J$2950,G$2,FALSE),0)</f>
        <v>9.95278477092182</v>
      </c>
      <c r="H334" s="654">
        <f>IFERROR(VLOOKUP($B334,flows!$A$2:$J$2950,H$2,FALSE),0)</f>
        <v>26.962369792719631</v>
      </c>
      <c r="I334" s="654">
        <f>IFERROR(VLOOKUP($B334,flows!$A$2:$J$2950,I$2,FALSE),0)</f>
        <v>86.095667703893028</v>
      </c>
      <c r="J334" s="654">
        <f>IFERROR(VLOOKUP($B334,flows!$A$2:$J$2950,J$2,FALSE),0)</f>
        <v>100.8465751453941</v>
      </c>
      <c r="K334" s="654">
        <f>IFERROR(VLOOKUP($B334,flows!$A$2:$J$2950,K$2,FALSE),0)</f>
        <v>3.4846451041975028E-5</v>
      </c>
      <c r="L334" s="654">
        <f>IFERROR(VLOOKUP($B334,flows!$A$2:$J$2950,L$2,FALSE),0)</f>
        <v>0</v>
      </c>
      <c r="M334" s="534" t="s">
        <v>3165</v>
      </c>
    </row>
    <row r="335" spans="2:13" ht="20.149999999999999" customHeight="1" x14ac:dyDescent="0.35">
      <c r="B335" s="619" t="s">
        <v>3565</v>
      </c>
      <c r="C335" s="620" t="s">
        <v>3538</v>
      </c>
      <c r="D335" s="620" t="s">
        <v>3539</v>
      </c>
      <c r="E335" s="654">
        <f>IFERROR(VLOOKUP($B335,flows!$A$2:$J$2950,E$2,FALSE),0)</f>
        <v>4.6930980232900146E-3</v>
      </c>
      <c r="F335" s="654">
        <f>IFERROR(VLOOKUP($B335,flows!$A$2:$J$2950,F$2,FALSE),0)</f>
        <v>0</v>
      </c>
      <c r="G335" s="654">
        <f>IFERROR(VLOOKUP($B335,flows!$A$2:$J$2950,G$2,FALSE),0)</f>
        <v>3.4001087039526952</v>
      </c>
      <c r="H335" s="654">
        <f>IFERROR(VLOOKUP($B335,flows!$A$2:$J$2950,H$2,FALSE),0)</f>
        <v>1.4311572857608489E-2</v>
      </c>
      <c r="I335" s="654">
        <f>IFERROR(VLOOKUP($B335,flows!$A$2:$J$2950,I$2,FALSE),0)</f>
        <v>10.44070480306595</v>
      </c>
      <c r="J335" s="654">
        <f>IFERROR(VLOOKUP($B335,flows!$A$2:$J$2950,J$2,FALSE),0)</f>
        <v>1.4493954766717069E-4</v>
      </c>
      <c r="K335" s="654">
        <f>IFERROR(VLOOKUP($B335,flows!$A$2:$J$2950,K$2,FALSE),0)</f>
        <v>1.339541378212552E-5</v>
      </c>
      <c r="L335" s="654">
        <f>IFERROR(VLOOKUP($B335,flows!$A$2:$J$2950,L$2,FALSE),0)</f>
        <v>0</v>
      </c>
      <c r="M335" s="534" t="s">
        <v>3165</v>
      </c>
    </row>
    <row r="336" spans="2:13" ht="20.149999999999999" customHeight="1" x14ac:dyDescent="0.35">
      <c r="B336" s="619" t="s">
        <v>3566</v>
      </c>
      <c r="C336" s="620" t="s">
        <v>3538</v>
      </c>
      <c r="D336" s="620" t="s">
        <v>3539</v>
      </c>
      <c r="E336" s="654">
        <f>IFERROR(VLOOKUP($B336,flows!$A$2:$J$2950,E$2,FALSE),0)</f>
        <v>4.746268862596042E-3</v>
      </c>
      <c r="F336" s="654">
        <f>IFERROR(VLOOKUP($B336,flows!$A$2:$J$2950,F$2,FALSE),0)</f>
        <v>0</v>
      </c>
      <c r="G336" s="654">
        <f>IFERROR(VLOOKUP($B336,flows!$A$2:$J$2950,G$2,FALSE),0)</f>
        <v>0.16459560050652061</v>
      </c>
      <c r="H336" s="654">
        <f>IFERROR(VLOOKUP($B336,flows!$A$2:$J$2950,H$2,FALSE),0)</f>
        <v>4.2580422626566658E-4</v>
      </c>
      <c r="I336" s="654">
        <f>IFERROR(VLOOKUP($B336,flows!$A$2:$J$2950,I$2,FALSE),0)</f>
        <v>5.4439852011364256E-4</v>
      </c>
      <c r="J336" s="654">
        <f>IFERROR(VLOOKUP($B336,flows!$A$2:$J$2950,J$2,FALSE),0)</f>
        <v>3.0569470629500138E-5</v>
      </c>
      <c r="K336" s="654">
        <f>IFERROR(VLOOKUP($B336,flows!$A$2:$J$2950,K$2,FALSE),0)</f>
        <v>1.4582826044116251E-5</v>
      </c>
      <c r="L336" s="654">
        <f>IFERROR(VLOOKUP($B336,flows!$A$2:$J$2950,L$2,FALSE),0)</f>
        <v>0</v>
      </c>
      <c r="M336" s="534" t="s">
        <v>3165</v>
      </c>
    </row>
    <row r="337" spans="2:13" ht="20.149999999999999" customHeight="1" x14ac:dyDescent="0.35">
      <c r="B337" s="619" t="s">
        <v>3567</v>
      </c>
      <c r="C337" s="620" t="s">
        <v>3538</v>
      </c>
      <c r="D337" s="620" t="s">
        <v>3539</v>
      </c>
      <c r="E337" s="654">
        <f>IFERROR(VLOOKUP($B337,flows!$A$2:$J$2950,E$2,FALSE),0)</f>
        <v>1.8806684391841189E-2</v>
      </c>
      <c r="F337" s="654">
        <f>IFERROR(VLOOKUP($B337,flows!$A$2:$J$2950,F$2,FALSE),0)</f>
        <v>0</v>
      </c>
      <c r="G337" s="654">
        <f>IFERROR(VLOOKUP($B337,flows!$A$2:$J$2950,G$2,FALSE),0)</f>
        <v>0.70956207857918085</v>
      </c>
      <c r="H337" s="654">
        <f>IFERROR(VLOOKUP($B337,flows!$A$2:$J$2950,H$2,FALSE),0)</f>
        <v>7.6805133804010101E-3</v>
      </c>
      <c r="I337" s="654">
        <f>IFERROR(VLOOKUP($B337,flows!$A$2:$J$2950,I$2,FALSE),0)</f>
        <v>46.932076843259154</v>
      </c>
      <c r="J337" s="654">
        <f>IFERROR(VLOOKUP($B337,flows!$A$2:$J$2950,J$2,FALSE),0)</f>
        <v>75.492749149647878</v>
      </c>
      <c r="K337" s="654">
        <f>IFERROR(VLOOKUP($B337,flows!$A$2:$J$2950,K$2,FALSE),0)</f>
        <v>1.4758676434631961E-2</v>
      </c>
      <c r="L337" s="654">
        <f>IFERROR(VLOOKUP($B337,flows!$A$2:$J$2950,L$2,FALSE),0)</f>
        <v>0</v>
      </c>
      <c r="M337" s="534" t="s">
        <v>3165</v>
      </c>
    </row>
    <row r="338" spans="2:13" ht="20.149999999999999" customHeight="1" x14ac:dyDescent="0.35">
      <c r="B338" s="655" t="s">
        <v>3548</v>
      </c>
      <c r="C338" s="620" t="s">
        <v>2825</v>
      </c>
      <c r="D338" s="620" t="s">
        <v>3549</v>
      </c>
      <c r="E338" s="656">
        <f t="shared" ref="E338:L338" si="61">SUM(E329:E337)</f>
        <v>493.35776651056199</v>
      </c>
      <c r="F338" s="656">
        <f t="shared" si="61"/>
        <v>519.41566018812091</v>
      </c>
      <c r="G338" s="656">
        <f t="shared" si="61"/>
        <v>524.57539070167934</v>
      </c>
      <c r="H338" s="656">
        <f t="shared" si="61"/>
        <v>457.92825283788693</v>
      </c>
      <c r="I338" s="656">
        <f t="shared" si="61"/>
        <v>469.36460591322515</v>
      </c>
      <c r="J338" s="656">
        <f t="shared" si="61"/>
        <v>480.80176222895739</v>
      </c>
      <c r="K338" s="656">
        <f t="shared" si="61"/>
        <v>493.35239189912443</v>
      </c>
      <c r="L338" s="656">
        <f t="shared" si="61"/>
        <v>0</v>
      </c>
      <c r="M338" s="534" t="s">
        <v>3165</v>
      </c>
    </row>
    <row r="339" spans="2:13" ht="20.149999999999999" customHeight="1" x14ac:dyDescent="0.35">
      <c r="B339" s="621" t="s">
        <v>3568</v>
      </c>
      <c r="C339" s="622" t="s">
        <v>3538</v>
      </c>
      <c r="D339" s="622" t="s">
        <v>3539</v>
      </c>
      <c r="E339" s="657">
        <f>IFERROR(VLOOKUP($B339,flows!$A$2:$J$2950,E$2,FALSE),0)</f>
        <v>190.37154676963101</v>
      </c>
      <c r="F339" s="657">
        <f>IFERROR(VLOOKUP($B339,flows!$A$2:$J$2950,F$2,FALSE),0)</f>
        <v>0</v>
      </c>
      <c r="G339" s="657">
        <f>IFERROR(VLOOKUP($B339,flows!$A$2:$J$2950,G$2,FALSE),0)</f>
        <v>1.0103106039021441</v>
      </c>
      <c r="H339" s="657">
        <f>IFERROR(VLOOKUP($B339,flows!$A$2:$J$2950,H$2,FALSE),0)</f>
        <v>12.38119135274405</v>
      </c>
      <c r="I339" s="657">
        <f>IFERROR(VLOOKUP($B339,flows!$A$2:$J$2950,I$2,FALSE),0)</f>
        <v>99.961184913337533</v>
      </c>
      <c r="J339" s="657">
        <f>IFERROR(VLOOKUP($B339,flows!$A$2:$J$2950,J$2,FALSE),0)</f>
        <v>109.34490621597639</v>
      </c>
      <c r="K339" s="657">
        <f>IFERROR(VLOOKUP($B339,flows!$A$2:$J$2950,K$2,FALSE),0)</f>
        <v>190.46565919666389</v>
      </c>
      <c r="L339" s="657">
        <f>IFERROR(VLOOKUP($B339,flows!$A$2:$J$2950,L$2,FALSE),0)</f>
        <v>0</v>
      </c>
      <c r="M339" s="541" t="s">
        <v>3165</v>
      </c>
    </row>
    <row r="340" spans="2:13" ht="20.149999999999999" customHeight="1" x14ac:dyDescent="0.35">
      <c r="B340" s="621" t="s">
        <v>3569</v>
      </c>
      <c r="C340" s="622" t="s">
        <v>3538</v>
      </c>
      <c r="D340" s="622" t="s">
        <v>3539</v>
      </c>
      <c r="E340" s="657">
        <f>IFERROR(VLOOKUP($B340,flows!$A$2:$J$2950,E$2,FALSE),0)</f>
        <v>7.9609621344620702E-3</v>
      </c>
      <c r="F340" s="657">
        <f>IFERROR(VLOOKUP($B340,flows!$A$2:$J$2950,F$2,FALSE),0)</f>
        <v>0</v>
      </c>
      <c r="G340" s="657">
        <f>IFERROR(VLOOKUP($B340,flows!$A$2:$J$2950,G$2,FALSE),0)</f>
        <v>4.7591636543507834</v>
      </c>
      <c r="H340" s="657">
        <f>IFERROR(VLOOKUP($B340,flows!$A$2:$J$2950,H$2,FALSE),0)</f>
        <v>57.45075788505558</v>
      </c>
      <c r="I340" s="657">
        <f>IFERROR(VLOOKUP($B340,flows!$A$2:$J$2950,I$2,FALSE),0)</f>
        <v>15.07054478317237</v>
      </c>
      <c r="J340" s="657">
        <f>IFERROR(VLOOKUP($B340,flows!$A$2:$J$2950,J$2,FALSE),0)</f>
        <v>20.05349607780283</v>
      </c>
      <c r="K340" s="657">
        <f>IFERROR(VLOOKUP($B340,flows!$A$2:$J$2950,K$2,FALSE),0)</f>
        <v>1.8634913921947139E-5</v>
      </c>
      <c r="L340" s="657">
        <f>IFERROR(VLOOKUP($B340,flows!$A$2:$J$2950,L$2,FALSE),0)</f>
        <v>0</v>
      </c>
      <c r="M340" s="541" t="s">
        <v>3165</v>
      </c>
    </row>
    <row r="341" spans="2:13" ht="20.149999999999999" customHeight="1" x14ac:dyDescent="0.35">
      <c r="B341" s="621" t="s">
        <v>3570</v>
      </c>
      <c r="C341" s="622" t="s">
        <v>3538</v>
      </c>
      <c r="D341" s="622" t="s">
        <v>3539</v>
      </c>
      <c r="E341" s="657">
        <f>IFERROR(VLOOKUP($B341,flows!$A$2:$J$2950,E$2,FALSE),0)</f>
        <v>8.7483457712101177E-3</v>
      </c>
      <c r="F341" s="657">
        <f>IFERROR(VLOOKUP($B341,flows!$A$2:$J$2950,F$2,FALSE),0)</f>
        <v>0</v>
      </c>
      <c r="G341" s="657">
        <f>IFERROR(VLOOKUP($B341,flows!$A$2:$J$2950,G$2,FALSE),0)</f>
        <v>3.0041033696010979</v>
      </c>
      <c r="H341" s="657">
        <f>IFERROR(VLOOKUP($B341,flows!$A$2:$J$2950,H$2,FALSE),0)</f>
        <v>27.42723346883573</v>
      </c>
      <c r="I341" s="657">
        <f>IFERROR(VLOOKUP($B341,flows!$A$2:$J$2950,I$2,FALSE),0)</f>
        <v>1.6618616400934101E-3</v>
      </c>
      <c r="J341" s="657">
        <f>IFERROR(VLOOKUP($B341,flows!$A$2:$J$2950,J$2,FALSE),0)</f>
        <v>9.287934445733874E-5</v>
      </c>
      <c r="K341" s="657">
        <f>IFERROR(VLOOKUP($B341,flows!$A$2:$J$2950,K$2,FALSE),0)</f>
        <v>2.026439192388233E-5</v>
      </c>
      <c r="L341" s="657">
        <f>IFERROR(VLOOKUP($B341,flows!$A$2:$J$2950,L$2,FALSE),0)</f>
        <v>0</v>
      </c>
      <c r="M341" s="541" t="s">
        <v>3165</v>
      </c>
    </row>
    <row r="342" spans="2:13" ht="20.149999999999999" customHeight="1" x14ac:dyDescent="0.35">
      <c r="B342" s="621" t="s">
        <v>3571</v>
      </c>
      <c r="C342" s="622" t="s">
        <v>3538</v>
      </c>
      <c r="D342" s="622" t="s">
        <v>3539</v>
      </c>
      <c r="E342" s="657">
        <f>IFERROR(VLOOKUP($B342,flows!$A$2:$J$2950,E$2,FALSE),0)</f>
        <v>1.2204913459655891E-3</v>
      </c>
      <c r="F342" s="657">
        <f>IFERROR(VLOOKUP($B342,flows!$A$2:$J$2950,F$2,FALSE),0)</f>
        <v>0</v>
      </c>
      <c r="G342" s="657">
        <f>IFERROR(VLOOKUP($B342,flows!$A$2:$J$2950,G$2,FALSE),0)</f>
        <v>1.351031034154355</v>
      </c>
      <c r="H342" s="657">
        <f>IFERROR(VLOOKUP($B342,flows!$A$2:$J$2950,H$2,FALSE),0)</f>
        <v>2.3004623897686762E-3</v>
      </c>
      <c r="I342" s="657">
        <f>IFERROR(VLOOKUP($B342,flows!$A$2:$J$2950,I$2,FALSE),0)</f>
        <v>5.996842575710055E-4</v>
      </c>
      <c r="J342" s="657">
        <f>IFERROR(VLOOKUP($B342,flows!$A$2:$J$2950,J$2,FALSE),0)</f>
        <v>5.2576020046065718E-5</v>
      </c>
      <c r="K342" s="657">
        <f>IFERROR(VLOOKUP($B342,flows!$A$2:$J$2950,K$2,FALSE),0)</f>
        <v>4.0454472039553613E-6</v>
      </c>
      <c r="L342" s="657">
        <f>IFERROR(VLOOKUP($B342,flows!$A$2:$J$2950,L$2,FALSE),0)</f>
        <v>0</v>
      </c>
      <c r="M342" s="541" t="s">
        <v>3165</v>
      </c>
    </row>
    <row r="343" spans="2:13" ht="20.149999999999999" customHeight="1" x14ac:dyDescent="0.35">
      <c r="B343" s="621" t="s">
        <v>3572</v>
      </c>
      <c r="C343" s="622" t="s">
        <v>3538</v>
      </c>
      <c r="D343" s="622" t="s">
        <v>3539</v>
      </c>
      <c r="E343" s="657">
        <f>IFERROR(VLOOKUP($B343,flows!$A$2:$J$2950,E$2,FALSE),0)</f>
        <v>1.342144238253716E-3</v>
      </c>
      <c r="F343" s="657">
        <f>IFERROR(VLOOKUP($B343,flows!$A$2:$J$2950,F$2,FALSE),0)</f>
        <v>0</v>
      </c>
      <c r="G343" s="657">
        <f>IFERROR(VLOOKUP($B343,flows!$A$2:$J$2950,G$2,FALSE),0)</f>
        <v>0.93121984577687589</v>
      </c>
      <c r="H343" s="657">
        <f>IFERROR(VLOOKUP($B343,flows!$A$2:$J$2950,H$2,FALSE),0)</f>
        <v>1.7709360485325071E-3</v>
      </c>
      <c r="I343" s="657">
        <f>IFERROR(VLOOKUP($B343,flows!$A$2:$J$2950,I$2,FALSE),0)</f>
        <v>5.5654791248867946E-4</v>
      </c>
      <c r="J343" s="657">
        <f>IFERROR(VLOOKUP($B343,flows!$A$2:$J$2950,J$2,FALSE),0)</f>
        <v>4.2150914836302722E-5</v>
      </c>
      <c r="K343" s="657">
        <f>IFERROR(VLOOKUP($B343,flows!$A$2:$J$2950,K$2,FALSE),0)</f>
        <v>4.4221209973325513E-6</v>
      </c>
      <c r="L343" s="657">
        <f>IFERROR(VLOOKUP($B343,flows!$A$2:$J$2950,L$2,FALSE),0)</f>
        <v>0</v>
      </c>
      <c r="M343" s="541" t="s">
        <v>3165</v>
      </c>
    </row>
    <row r="344" spans="2:13" ht="20.149999999999999" customHeight="1" x14ac:dyDescent="0.35">
      <c r="B344" s="621" t="s">
        <v>3573</v>
      </c>
      <c r="C344" s="622" t="s">
        <v>3538</v>
      </c>
      <c r="D344" s="622" t="s">
        <v>3539</v>
      </c>
      <c r="E344" s="657">
        <f>IFERROR(VLOOKUP($B344,flows!$A$2:$J$2950,E$2,FALSE),0)</f>
        <v>1.1053612633593109E-2</v>
      </c>
      <c r="F344" s="657">
        <f>IFERROR(VLOOKUP($B344,flows!$A$2:$J$2950,F$2,FALSE),0)</f>
        <v>0</v>
      </c>
      <c r="G344" s="657">
        <f>IFERROR(VLOOKUP($B344,flows!$A$2:$J$2950,G$2,FALSE),0)</f>
        <v>2.2251716946166158</v>
      </c>
      <c r="H344" s="657">
        <f>IFERROR(VLOOKUP($B344,flows!$A$2:$J$2950,H$2,FALSE),0)</f>
        <v>78.82418616349635</v>
      </c>
      <c r="I344" s="657">
        <f>IFERROR(VLOOKUP($B344,flows!$A$2:$J$2950,I$2,FALSE),0)</f>
        <v>22.581252554961669</v>
      </c>
      <c r="J344" s="657">
        <f>IFERROR(VLOOKUP($B344,flows!$A$2:$J$2950,J$2,FALSE),0)</f>
        <v>30.916037801318112</v>
      </c>
      <c r="K344" s="657">
        <f>IFERROR(VLOOKUP($B344,flows!$A$2:$J$2950,K$2,FALSE),0)</f>
        <v>5.4003275859872107E-5</v>
      </c>
      <c r="L344" s="657">
        <f>IFERROR(VLOOKUP($B344,flows!$A$2:$J$2950,L$2,FALSE),0)</f>
        <v>0</v>
      </c>
      <c r="M344" s="541" t="s">
        <v>3165</v>
      </c>
    </row>
    <row r="345" spans="2:13" ht="20.149999999999999" customHeight="1" x14ac:dyDescent="0.35">
      <c r="B345" s="688" t="s">
        <v>3574</v>
      </c>
      <c r="C345" s="622" t="s">
        <v>3538</v>
      </c>
      <c r="D345" s="622" t="s">
        <v>3539</v>
      </c>
      <c r="E345" s="657">
        <f>IFERROR(VLOOKUP($B345,flows!$A$2:$J$2950,E$2,FALSE),0)</f>
        <v>9.5824029607961773E-3</v>
      </c>
      <c r="F345" s="657">
        <f>IFERROR(VLOOKUP($B345,flows!$A$2:$J$2950,F$2,FALSE),0)</f>
        <v>0</v>
      </c>
      <c r="G345" s="657">
        <f>IFERROR(VLOOKUP($B345,flows!$A$2:$J$2950,G$2,FALSE),0)</f>
        <v>1.80368127524828</v>
      </c>
      <c r="H345" s="657">
        <f>IFERROR(VLOOKUP($B345,flows!$A$2:$J$2950,H$2,FALSE),0)</f>
        <v>3.7898749673165137E-2</v>
      </c>
      <c r="I345" s="657">
        <f>IFERROR(VLOOKUP($B345,flows!$A$2:$J$2950,I$2,FALSE),0)</f>
        <v>1.9219820995995921E-3</v>
      </c>
      <c r="J345" s="657">
        <f>IFERROR(VLOOKUP($B345,flows!$A$2:$J$2950,J$2,FALSE),0)</f>
        <v>9.8541364950042182E-5</v>
      </c>
      <c r="K345" s="657">
        <f>IFERROR(VLOOKUP($B345,flows!$A$2:$J$2950,K$2,FALSE),0)</f>
        <v>2.1703234647588502E-5</v>
      </c>
      <c r="L345" s="657">
        <f>IFERROR(VLOOKUP($B345,flows!$A$2:$J$2950,L$2,FALSE),0)</f>
        <v>0</v>
      </c>
      <c r="M345" s="541" t="s">
        <v>3165</v>
      </c>
    </row>
    <row r="346" spans="2:13" ht="20.149999999999999" customHeight="1" x14ac:dyDescent="0.35">
      <c r="B346" s="688" t="s">
        <v>3575</v>
      </c>
      <c r="C346" s="622" t="s">
        <v>3538</v>
      </c>
      <c r="D346" s="622" t="s">
        <v>3539</v>
      </c>
      <c r="E346" s="657">
        <f>IFERROR(VLOOKUP($B346,flows!$A$2:$J$2950,E$2,FALSE),0)</f>
        <v>9.6438911147731093E-3</v>
      </c>
      <c r="F346" s="657">
        <f>IFERROR(VLOOKUP($B346,flows!$A$2:$J$2950,F$2,FALSE),0)</f>
        <v>0</v>
      </c>
      <c r="G346" s="657">
        <f>IFERROR(VLOOKUP($B346,flows!$A$2:$J$2950,G$2,FALSE),0)</f>
        <v>0.30187362702593001</v>
      </c>
      <c r="H346" s="657">
        <f>IFERROR(VLOOKUP($B346,flows!$A$2:$J$2950,H$2,FALSE),0)</f>
        <v>8.9998753982308932E-4</v>
      </c>
      <c r="I346" s="657">
        <f>IFERROR(VLOOKUP($B346,flows!$A$2:$J$2950,I$2,FALSE),0)</f>
        <v>6.6323279900251512E-4</v>
      </c>
      <c r="J346" s="657">
        <f>IFERROR(VLOOKUP($B346,flows!$A$2:$J$2950,J$2,FALSE),0)</f>
        <v>4.2356344203844422E-5</v>
      </c>
      <c r="K346" s="657">
        <f>IFERROR(VLOOKUP($B346,flows!$A$2:$J$2950,K$2,FALSE),0)</f>
        <v>2.1766616013650308E-5</v>
      </c>
      <c r="L346" s="657">
        <f>IFERROR(VLOOKUP($B346,flows!$A$2:$J$2950,L$2,FALSE),0)</f>
        <v>0</v>
      </c>
      <c r="M346" s="541" t="s">
        <v>3165</v>
      </c>
    </row>
    <row r="347" spans="2:13" ht="20.149999999999999" customHeight="1" x14ac:dyDescent="0.35">
      <c r="B347" s="688" t="s">
        <v>3576</v>
      </c>
      <c r="C347" s="622" t="s">
        <v>3538</v>
      </c>
      <c r="D347" s="622" t="s">
        <v>3539</v>
      </c>
      <c r="E347" s="657">
        <f>IFERROR(VLOOKUP($B347,flows!$A$2:$J$2950,E$2,FALSE),0)</f>
        <v>3.4746523957648733E-2</v>
      </c>
      <c r="F347" s="657">
        <f>IFERROR(VLOOKUP($B347,flows!$A$2:$J$2950,F$2,FALSE),0)</f>
        <v>0</v>
      </c>
      <c r="G347" s="657">
        <f>IFERROR(VLOOKUP($B347,flows!$A$2:$J$2950,G$2,FALSE),0)</f>
        <v>0.9313244665933248</v>
      </c>
      <c r="H347" s="657">
        <f>IFERROR(VLOOKUP($B347,flows!$A$2:$J$2950,H$2,FALSE),0)</f>
        <v>1.7338572529180061E-2</v>
      </c>
      <c r="I347" s="657">
        <f>IFERROR(VLOOKUP($B347,flows!$A$2:$J$2950,I$2,FALSE),0)</f>
        <v>43.554884032048953</v>
      </c>
      <c r="J347" s="657">
        <f>IFERROR(VLOOKUP($B347,flows!$A$2:$J$2950,J$2,FALSE),0)</f>
        <v>25.886587562955281</v>
      </c>
      <c r="K347" s="657">
        <f>IFERROR(VLOOKUP($B347,flows!$A$2:$J$2950,K$2,FALSE),0)</f>
        <v>1.45863198502552E-4</v>
      </c>
      <c r="L347" s="657">
        <f>IFERROR(VLOOKUP($B347,flows!$A$2:$J$2950,L$2,FALSE),0)</f>
        <v>0</v>
      </c>
      <c r="M347" s="541" t="s">
        <v>3165</v>
      </c>
    </row>
    <row r="348" spans="2:13" ht="20.149999999999999" customHeight="1" x14ac:dyDescent="0.35">
      <c r="B348" s="658" t="s">
        <v>3548</v>
      </c>
      <c r="C348" s="622" t="s">
        <v>2825</v>
      </c>
      <c r="D348" s="622" t="s">
        <v>3549</v>
      </c>
      <c r="E348" s="659">
        <f t="shared" ref="E348:L348" si="62">SUM(E339:E347)</f>
        <v>190.45584514378771</v>
      </c>
      <c r="F348" s="659">
        <f t="shared" si="62"/>
        <v>0</v>
      </c>
      <c r="G348" s="659">
        <f t="shared" si="62"/>
        <v>16.317879571269408</v>
      </c>
      <c r="H348" s="659">
        <f t="shared" si="62"/>
        <v>176.14357757831215</v>
      </c>
      <c r="I348" s="659">
        <f t="shared" si="62"/>
        <v>181.17326959222927</v>
      </c>
      <c r="J348" s="659">
        <f t="shared" si="62"/>
        <v>186.20135616204109</v>
      </c>
      <c r="K348" s="659">
        <f t="shared" si="62"/>
        <v>190.46594989986298</v>
      </c>
      <c r="L348" s="659">
        <f t="shared" si="62"/>
        <v>0</v>
      </c>
      <c r="M348" s="541" t="s">
        <v>3165</v>
      </c>
    </row>
    <row r="349" spans="2:13" ht="20.149999999999999" customHeight="1" x14ac:dyDescent="0.35">
      <c r="B349" s="583" t="s">
        <v>3217</v>
      </c>
      <c r="C349" s="584" t="s">
        <v>3237</v>
      </c>
      <c r="D349" s="584" t="s">
        <v>3238</v>
      </c>
      <c r="E349" s="585">
        <f t="shared" ref="E349:L349" si="63">SUM(E338+E348)</f>
        <v>683.81361165434964</v>
      </c>
      <c r="F349" s="585">
        <f t="shared" si="63"/>
        <v>519.41566018812091</v>
      </c>
      <c r="G349" s="585">
        <f t="shared" si="63"/>
        <v>540.89327027294871</v>
      </c>
      <c r="H349" s="585">
        <f t="shared" si="63"/>
        <v>634.07183041619908</v>
      </c>
      <c r="I349" s="585">
        <f t="shared" si="63"/>
        <v>650.53787550545439</v>
      </c>
      <c r="J349" s="585">
        <f t="shared" si="63"/>
        <v>667.00311839099845</v>
      </c>
      <c r="K349" s="585">
        <f t="shared" si="63"/>
        <v>683.81834179898738</v>
      </c>
      <c r="L349" s="585">
        <f t="shared" si="63"/>
        <v>0</v>
      </c>
      <c r="M349" s="586" t="s">
        <v>3165</v>
      </c>
    </row>
    <row r="350" spans="2:13" ht="20.149999999999999" customHeight="1" x14ac:dyDescent="0.35">
      <c r="B350" s="689" t="s">
        <v>3577</v>
      </c>
      <c r="C350" s="690" t="s">
        <v>3538</v>
      </c>
      <c r="D350" s="690" t="s">
        <v>3539</v>
      </c>
      <c r="E350" s="691">
        <f>IFERROR(VLOOKUP($B350,flows!$A$2:$J$2950,E$2,FALSE),0)</f>
        <v>8.4028345967783972E-3</v>
      </c>
      <c r="F350" s="691">
        <f>IFERROR(VLOOKUP($B350,flows!$A$2:$J$2950,F$2,FALSE),0)</f>
        <v>50.369965269207967</v>
      </c>
      <c r="G350" s="691">
        <f>IFERROR(VLOOKUP($B350,flows!$A$2:$J$2950,G$2,FALSE),0)</f>
        <v>4.3687061132450822</v>
      </c>
      <c r="H350" s="691">
        <f>IFERROR(VLOOKUP($B350,flows!$A$2:$J$2950,H$2,FALSE),0)</f>
        <v>20.71197747861525</v>
      </c>
      <c r="I350" s="691">
        <f>IFERROR(VLOOKUP($B350,flows!$A$2:$J$2950,I$2,FALSE),0)</f>
        <v>51.084112807462333</v>
      </c>
      <c r="J350" s="691">
        <f>IFERROR(VLOOKUP($B350,flows!$A$2:$J$2950,J$2,FALSE),0)</f>
        <v>33.970059807156773</v>
      </c>
      <c r="K350" s="691">
        <f>IFERROR(VLOOKUP($B350,flows!$A$2:$J$2950,K$2,FALSE),0)</f>
        <v>2.105284082458982E-2</v>
      </c>
      <c r="L350" s="691">
        <f>IFERROR(VLOOKUP($B350,flows!$A$2:$J$2950,L$2,FALSE),0)</f>
        <v>0</v>
      </c>
      <c r="M350" s="692" t="s">
        <v>3165</v>
      </c>
    </row>
    <row r="351" spans="2:13" ht="20.149999999999999" customHeight="1" x14ac:dyDescent="0.35">
      <c r="B351" s="689" t="s">
        <v>3578</v>
      </c>
      <c r="C351" s="690" t="s">
        <v>3538</v>
      </c>
      <c r="D351" s="690" t="s">
        <v>3539</v>
      </c>
      <c r="E351" s="691">
        <f>IFERROR(VLOOKUP($B351,flows!$A$2:$J$2950,E$2,FALSE),0)</f>
        <v>3.8533736093163021E-3</v>
      </c>
      <c r="F351" s="691">
        <f>IFERROR(VLOOKUP($B351,flows!$A$2:$J$2950,F$2,FALSE),0)</f>
        <v>67.889965289793096</v>
      </c>
      <c r="G351" s="691">
        <f>IFERROR(VLOOKUP($B351,flows!$A$2:$J$2950,G$2,FALSE),0)</f>
        <v>66.509723758019589</v>
      </c>
      <c r="H351" s="691">
        <f>IFERROR(VLOOKUP($B351,flows!$A$2:$J$2950,H$2,FALSE),0)</f>
        <v>11.525641870872191</v>
      </c>
      <c r="I351" s="691">
        <f>IFERROR(VLOOKUP($B351,flows!$A$2:$J$2950,I$2,FALSE),0)</f>
        <v>1.482239525148938</v>
      </c>
      <c r="J351" s="691">
        <f>IFERROR(VLOOKUP($B351,flows!$A$2:$J$2950,J$2,FALSE),0)</f>
        <v>0.17168409043106769</v>
      </c>
      <c r="K351" s="691">
        <f>IFERROR(VLOOKUP($B351,flows!$A$2:$J$2950,K$2,FALSE),0)</f>
        <v>1.5632710941758899E-5</v>
      </c>
      <c r="L351" s="691">
        <f>IFERROR(VLOOKUP($B351,flows!$A$2:$J$2950,L$2,FALSE),0)</f>
        <v>0</v>
      </c>
      <c r="M351" s="692" t="s">
        <v>3165</v>
      </c>
    </row>
    <row r="352" spans="2:13" ht="20.149999999999999" customHeight="1" x14ac:dyDescent="0.35">
      <c r="B352" s="689" t="s">
        <v>3579</v>
      </c>
      <c r="C352" s="690" t="s">
        <v>3538</v>
      </c>
      <c r="D352" s="690" t="s">
        <v>3539</v>
      </c>
      <c r="E352" s="691">
        <f>IFERROR(VLOOKUP($B352,flows!$A$2:$J$2950,E$2,FALSE),0)</f>
        <v>4.016348536818988E-3</v>
      </c>
      <c r="F352" s="691">
        <f>IFERROR(VLOOKUP($B352,flows!$A$2:$J$2950,F$2,FALSE),0)</f>
        <v>0</v>
      </c>
      <c r="G352" s="691">
        <f>IFERROR(VLOOKUP($B352,flows!$A$2:$J$2950,G$2,FALSE),0)</f>
        <v>8.8050670398904156</v>
      </c>
      <c r="H352" s="691">
        <f>IFERROR(VLOOKUP($B352,flows!$A$2:$J$2950,H$2,FALSE),0)</f>
        <v>1.9370858841497891</v>
      </c>
      <c r="I352" s="691">
        <f>IFERROR(VLOOKUP($B352,flows!$A$2:$J$2950,I$2,FALSE),0)</f>
        <v>8.4735238112259356E-4</v>
      </c>
      <c r="J352" s="691">
        <f>IFERROR(VLOOKUP($B352,flows!$A$2:$J$2950,J$2,FALSE),0)</f>
        <v>6.507709525820516E-5</v>
      </c>
      <c r="K352" s="691">
        <f>IFERROR(VLOOKUP($B352,flows!$A$2:$J$2950,K$2,FALSE),0)</f>
        <v>1.6600829335423629E-5</v>
      </c>
      <c r="L352" s="691">
        <f>IFERROR(VLOOKUP($B352,flows!$A$2:$J$2950,L$2,FALSE),0)</f>
        <v>0</v>
      </c>
      <c r="M352" s="692" t="s">
        <v>3165</v>
      </c>
    </row>
    <row r="353" spans="2:13" ht="20.149999999999999" customHeight="1" x14ac:dyDescent="0.35">
      <c r="B353" s="689" t="s">
        <v>3580</v>
      </c>
      <c r="C353" s="690" t="s">
        <v>3538</v>
      </c>
      <c r="D353" s="690" t="s">
        <v>3539</v>
      </c>
      <c r="E353" s="691">
        <f>IFERROR(VLOOKUP($B353,flows!$A$2:$J$2950,E$2,FALSE),0)</f>
        <v>4.0684891874736848E-3</v>
      </c>
      <c r="F353" s="691">
        <f>IFERROR(VLOOKUP($B353,flows!$A$2:$J$2950,F$2,FALSE),0)</f>
        <v>67.889965278097577</v>
      </c>
      <c r="G353" s="691">
        <f>IFERROR(VLOOKUP($B353,flows!$A$2:$J$2950,G$2,FALSE),0)</f>
        <v>16.978388119593699</v>
      </c>
      <c r="H353" s="691">
        <f>IFERROR(VLOOKUP($B353,flows!$A$2:$J$2950,H$2,FALSE),0)</f>
        <v>0.64913237043386562</v>
      </c>
      <c r="I353" s="691">
        <f>IFERROR(VLOOKUP($B353,flows!$A$2:$J$2950,I$2,FALSE),0)</f>
        <v>7.2995913763843373E-2</v>
      </c>
      <c r="J353" s="691">
        <f>IFERROR(VLOOKUP($B353,flows!$A$2:$J$2950,J$2,FALSE),0)</f>
        <v>6.1318765118147195E-5</v>
      </c>
      <c r="K353" s="691">
        <f>IFERROR(VLOOKUP($B353,flows!$A$2:$J$2950,K$2,FALSE),0)</f>
        <v>1.7050843191910609E-5</v>
      </c>
      <c r="L353" s="691">
        <f>IFERROR(VLOOKUP($B353,flows!$A$2:$J$2950,L$2,FALSE),0)</f>
        <v>0</v>
      </c>
      <c r="M353" s="692" t="s">
        <v>3165</v>
      </c>
    </row>
    <row r="354" spans="2:13" ht="20.149999999999999" customHeight="1" x14ac:dyDescent="0.35">
      <c r="B354" s="689" t="s">
        <v>3581</v>
      </c>
      <c r="C354" s="690" t="s">
        <v>3538</v>
      </c>
      <c r="D354" s="690" t="s">
        <v>3539</v>
      </c>
      <c r="E354" s="691">
        <f>IFERROR(VLOOKUP($B354,flows!$A$2:$J$2950,E$2,FALSE),0)</f>
        <v>3.773432015997212E-3</v>
      </c>
      <c r="F354" s="691">
        <f>IFERROR(VLOOKUP($B354,flows!$A$2:$J$2950,F$2,FALSE),0)</f>
        <v>0</v>
      </c>
      <c r="G354" s="691">
        <f>IFERROR(VLOOKUP($B354,flows!$A$2:$J$2950,G$2,FALSE),0)</f>
        <v>2.1908318504486961</v>
      </c>
      <c r="H354" s="691">
        <f>IFERROR(VLOOKUP($B354,flows!$A$2:$J$2950,H$2,FALSE),0)</f>
        <v>2.4655896871668419E-3</v>
      </c>
      <c r="I354" s="691">
        <f>IFERROR(VLOOKUP($B354,flows!$A$2:$J$2950,I$2,FALSE),0)</f>
        <v>7.0190850754300643E-4</v>
      </c>
      <c r="J354" s="691">
        <f>IFERROR(VLOOKUP($B354,flows!$A$2:$J$2950,J$2,FALSE),0)</f>
        <v>5.5591368962742002E-5</v>
      </c>
      <c r="K354" s="691">
        <f>IFERROR(VLOOKUP($B354,flows!$A$2:$J$2950,K$2,FALSE),0)</f>
        <v>1.5440415732003711E-5</v>
      </c>
      <c r="L354" s="691">
        <f>IFERROR(VLOOKUP($B354,flows!$A$2:$J$2950,L$2,FALSE),0)</f>
        <v>0</v>
      </c>
      <c r="M354" s="692" t="s">
        <v>3165</v>
      </c>
    </row>
    <row r="355" spans="2:13" ht="20.149999999999999" customHeight="1" x14ac:dyDescent="0.35">
      <c r="B355" s="689" t="s">
        <v>3582</v>
      </c>
      <c r="C355" s="690" t="s">
        <v>3538</v>
      </c>
      <c r="D355" s="690" t="s">
        <v>3539</v>
      </c>
      <c r="E355" s="691">
        <f>IFERROR(VLOOKUP($B355,flows!$A$2:$J$2950,E$2,FALSE),0)</f>
        <v>3.2305486518549092E-3</v>
      </c>
      <c r="F355" s="691">
        <f>IFERROR(VLOOKUP($B355,flows!$A$2:$J$2950,F$2,FALSE),0)</f>
        <v>0</v>
      </c>
      <c r="G355" s="691">
        <f>IFERROR(VLOOKUP($B355,flows!$A$2:$J$2950,G$2,FALSE),0)</f>
        <v>0.27062912875214468</v>
      </c>
      <c r="H355" s="691">
        <f>IFERROR(VLOOKUP($B355,flows!$A$2:$J$2950,H$2,FALSE),0)</f>
        <v>5.9188755782003076E-4</v>
      </c>
      <c r="I355" s="691">
        <f>IFERROR(VLOOKUP($B355,flows!$A$2:$J$2950,I$2,FALSE),0)</f>
        <v>3.9968956322821298E-4</v>
      </c>
      <c r="J355" s="691">
        <f>IFERROR(VLOOKUP($B355,flows!$A$2:$J$2950,J$2,FALSE),0)</f>
        <v>3.2504881422224168E-5</v>
      </c>
      <c r="K355" s="691">
        <f>IFERROR(VLOOKUP($B355,flows!$A$2:$J$2950,K$2,FALSE),0)</f>
        <v>1.346478689645239E-5</v>
      </c>
      <c r="L355" s="691">
        <f>IFERROR(VLOOKUP($B355,flows!$A$2:$J$2950,L$2,FALSE),0)</f>
        <v>0</v>
      </c>
      <c r="M355" s="692" t="s">
        <v>3165</v>
      </c>
    </row>
    <row r="356" spans="2:13" ht="20.149999999999999" customHeight="1" x14ac:dyDescent="0.35">
      <c r="B356" s="689" t="s">
        <v>3583</v>
      </c>
      <c r="C356" s="690" t="s">
        <v>3538</v>
      </c>
      <c r="D356" s="690" t="s">
        <v>3539</v>
      </c>
      <c r="E356" s="691">
        <f>IFERROR(VLOOKUP($B356,flows!$A$2:$J$2950,E$2,FALSE),0)</f>
        <v>6.4439669236963527E-3</v>
      </c>
      <c r="F356" s="691">
        <f>IFERROR(VLOOKUP($B356,flows!$A$2:$J$2950,F$2,FALSE),0)</f>
        <v>0</v>
      </c>
      <c r="G356" s="691">
        <f>IFERROR(VLOOKUP($B356,flows!$A$2:$J$2950,G$2,FALSE),0)</f>
        <v>1.4921057271119491</v>
      </c>
      <c r="H356" s="691">
        <f>IFERROR(VLOOKUP($B356,flows!$A$2:$J$2950,H$2,FALSE),0)</f>
        <v>1.258415666113258E-2</v>
      </c>
      <c r="I356" s="691">
        <f>IFERROR(VLOOKUP($B356,flows!$A$2:$J$2950,I$2,FALSE),0)</f>
        <v>5.1571451444676661</v>
      </c>
      <c r="J356" s="691">
        <f>IFERROR(VLOOKUP($B356,flows!$A$2:$J$2950,J$2,FALSE),0)</f>
        <v>1.7125399855798381E-4</v>
      </c>
      <c r="K356" s="691">
        <f>IFERROR(VLOOKUP($B356,flows!$A$2:$J$2950,K$2,FALSE),0)</f>
        <v>3.5467180842287052E-5</v>
      </c>
      <c r="L356" s="691">
        <f>IFERROR(VLOOKUP($B356,flows!$A$2:$J$2950,L$2,FALSE),0)</f>
        <v>0</v>
      </c>
      <c r="M356" s="692" t="s">
        <v>3165</v>
      </c>
    </row>
    <row r="357" spans="2:13" ht="20.149999999999999" customHeight="1" x14ac:dyDescent="0.35">
      <c r="B357" s="693" t="s">
        <v>3548</v>
      </c>
      <c r="C357" s="690" t="s">
        <v>2825</v>
      </c>
      <c r="D357" s="690" t="s">
        <v>3549</v>
      </c>
      <c r="E357" s="694">
        <f t="shared" ref="E357:L357" si="64">SUM(E350:E356)</f>
        <v>3.3788993521935845E-2</v>
      </c>
      <c r="F357" s="694">
        <f t="shared" si="64"/>
        <v>186.14989583709865</v>
      </c>
      <c r="G357" s="694">
        <f t="shared" si="64"/>
        <v>100.61545173706159</v>
      </c>
      <c r="H357" s="694">
        <f t="shared" si="64"/>
        <v>34.839479237977216</v>
      </c>
      <c r="I357" s="694">
        <f t="shared" si="64"/>
        <v>57.798442341294674</v>
      </c>
      <c r="J357" s="694">
        <f t="shared" si="64"/>
        <v>34.14212964369716</v>
      </c>
      <c r="K357" s="694">
        <f t="shared" si="64"/>
        <v>2.1166497591529655E-2</v>
      </c>
      <c r="L357" s="694">
        <f t="shared" si="64"/>
        <v>0</v>
      </c>
      <c r="M357" s="692" t="s">
        <v>3165</v>
      </c>
    </row>
    <row r="358" spans="2:13" ht="20.149999999999999" customHeight="1" x14ac:dyDescent="0.35">
      <c r="B358" s="695" t="s">
        <v>3584</v>
      </c>
      <c r="C358" s="696" t="s">
        <v>3538</v>
      </c>
      <c r="D358" s="696" t="s">
        <v>3539</v>
      </c>
      <c r="E358" s="697">
        <f>IFERROR(VLOOKUP($B358,flows!$A$2:$J$2950,E$2,FALSE),0)</f>
        <v>216.33621617055539</v>
      </c>
      <c r="F358" s="697">
        <f>IFERROR(VLOOKUP($B358,flows!$A$2:$J$2950,F$2,FALSE),0)</f>
        <v>0</v>
      </c>
      <c r="G358" s="697">
        <f>IFERROR(VLOOKUP($B358,flows!$A$2:$J$2950,G$2,FALSE),0)</f>
        <v>6.894790469985927</v>
      </c>
      <c r="H358" s="697">
        <f>IFERROR(VLOOKUP($B358,flows!$A$2:$J$2950,H$2,FALSE),0)</f>
        <v>20.38925826273822</v>
      </c>
      <c r="I358" s="697">
        <f>IFERROR(VLOOKUP($B358,flows!$A$2:$J$2950,I$2,FALSE),0)</f>
        <v>43.231058941267747</v>
      </c>
      <c r="J358" s="697">
        <f>IFERROR(VLOOKUP($B358,flows!$A$2:$J$2950,J$2,FALSE),0)</f>
        <v>86.23562614096474</v>
      </c>
      <c r="K358" s="697">
        <f>IFERROR(VLOOKUP($B358,flows!$A$2:$J$2950,K$2,FALSE),0)</f>
        <v>216.37194224837799</v>
      </c>
      <c r="L358" s="697">
        <f>IFERROR(VLOOKUP($B358,flows!$A$2:$J$2950,L$2,FALSE),0)</f>
        <v>0</v>
      </c>
      <c r="M358" s="698" t="s">
        <v>3165</v>
      </c>
    </row>
    <row r="359" spans="2:13" ht="20.149999999999999" customHeight="1" x14ac:dyDescent="0.35">
      <c r="B359" s="695" t="s">
        <v>3585</v>
      </c>
      <c r="C359" s="696" t="s">
        <v>3538</v>
      </c>
      <c r="D359" s="696" t="s">
        <v>3539</v>
      </c>
      <c r="E359" s="697">
        <f>IFERROR(VLOOKUP($B359,flows!$A$2:$J$2950,E$2,FALSE),0)</f>
        <v>2.333246448617796E-2</v>
      </c>
      <c r="F359" s="697">
        <f>IFERROR(VLOOKUP($B359,flows!$A$2:$J$2950,F$2,FALSE),0)</f>
        <v>0</v>
      </c>
      <c r="G359" s="697">
        <f>IFERROR(VLOOKUP($B359,flows!$A$2:$J$2950,G$2,FALSE),0)</f>
        <v>42.516704911620323</v>
      </c>
      <c r="H359" s="697">
        <f>IFERROR(VLOOKUP($B359,flows!$A$2:$J$2950,H$2,FALSE),0)</f>
        <v>91.974835314372243</v>
      </c>
      <c r="I359" s="697">
        <f>IFERROR(VLOOKUP($B359,flows!$A$2:$J$2950,I$2,FALSE),0)</f>
        <v>31.9271366262595</v>
      </c>
      <c r="J359" s="697">
        <f>IFERROR(VLOOKUP($B359,flows!$A$2:$J$2950,J$2,FALSE),0)</f>
        <v>39.192339503663902</v>
      </c>
      <c r="K359" s="697">
        <f>IFERROR(VLOOKUP($B359,flows!$A$2:$J$2950,K$2,FALSE),0)</f>
        <v>6.7339687829217959E-4</v>
      </c>
      <c r="L359" s="697">
        <f>IFERROR(VLOOKUP($B359,flows!$A$2:$J$2950,L$2,FALSE),0)</f>
        <v>0</v>
      </c>
      <c r="M359" s="698" t="s">
        <v>3165</v>
      </c>
    </row>
    <row r="360" spans="2:13" ht="20.149999999999999" customHeight="1" x14ac:dyDescent="0.35">
      <c r="B360" s="695" t="s">
        <v>3586</v>
      </c>
      <c r="C360" s="696" t="s">
        <v>3538</v>
      </c>
      <c r="D360" s="696" t="s">
        <v>3539</v>
      </c>
      <c r="E360" s="697">
        <f>IFERROR(VLOOKUP($B360,flows!$A$2:$J$2950,E$2,FALSE),0)</f>
        <v>2.5102410334580289E-2</v>
      </c>
      <c r="F360" s="697">
        <f>IFERROR(VLOOKUP($B360,flows!$A$2:$J$2950,F$2,FALSE),0)</f>
        <v>0</v>
      </c>
      <c r="G360" s="697">
        <f>IFERROR(VLOOKUP($B360,flows!$A$2:$J$2950,G$2,FALSE),0)</f>
        <v>42.37850442685076</v>
      </c>
      <c r="H360" s="697">
        <f>IFERROR(VLOOKUP($B360,flows!$A$2:$J$2950,H$2,FALSE),0)</f>
        <v>91.975126026590743</v>
      </c>
      <c r="I360" s="697">
        <f>IFERROR(VLOOKUP($B360,flows!$A$2:$J$2950,I$2,FALSE),0)</f>
        <v>108.2055378001951</v>
      </c>
      <c r="J360" s="697">
        <f>IFERROR(VLOOKUP($B360,flows!$A$2:$J$2950,J$2,FALSE),0)</f>
        <v>109.4969008500311</v>
      </c>
      <c r="K360" s="697">
        <f>IFERROR(VLOOKUP($B360,flows!$A$2:$J$2950,K$2,FALSE),0)</f>
        <v>0.1247253495988165</v>
      </c>
      <c r="L360" s="697">
        <f>IFERROR(VLOOKUP($B360,flows!$A$2:$J$2950,L$2,FALSE),0)</f>
        <v>0</v>
      </c>
      <c r="M360" s="698" t="s">
        <v>3165</v>
      </c>
    </row>
    <row r="361" spans="2:13" ht="20.149999999999999" customHeight="1" x14ac:dyDescent="0.35">
      <c r="B361" s="695" t="s">
        <v>3587</v>
      </c>
      <c r="C361" s="696" t="s">
        <v>3538</v>
      </c>
      <c r="D361" s="696" t="s">
        <v>3539</v>
      </c>
      <c r="E361" s="697">
        <f>IFERROR(VLOOKUP($B361,flows!$A$2:$J$2950,E$2,FALSE),0)</f>
        <v>2.236897750036887E-2</v>
      </c>
      <c r="F361" s="697">
        <f>IFERROR(VLOOKUP($B361,flows!$A$2:$J$2950,F$2,FALSE),0)</f>
        <v>0</v>
      </c>
      <c r="G361" s="697">
        <f>IFERROR(VLOOKUP($B361,flows!$A$2:$J$2950,G$2,FALSE),0)</f>
        <v>41.131708712984363</v>
      </c>
      <c r="H361" s="697">
        <f>IFERROR(VLOOKUP($B361,flows!$A$2:$J$2950,H$2,FALSE),0)</f>
        <v>66.160463606206008</v>
      </c>
      <c r="I361" s="697">
        <f>IFERROR(VLOOKUP($B361,flows!$A$2:$J$2950,I$2,FALSE),0)</f>
        <v>10.984378874373821</v>
      </c>
      <c r="J361" s="697">
        <f>IFERROR(VLOOKUP($B361,flows!$A$2:$J$2950,J$2,FALSE),0)</f>
        <v>2.5844660488938398E-4</v>
      </c>
      <c r="K361" s="697">
        <f>IFERROR(VLOOKUP($B361,flows!$A$2:$J$2950,K$2,FALSE),0)</f>
        <v>1.609129203924709E-4</v>
      </c>
      <c r="L361" s="697">
        <f>IFERROR(VLOOKUP($B361,flows!$A$2:$J$2950,L$2,FALSE),0)</f>
        <v>0</v>
      </c>
      <c r="M361" s="698" t="s">
        <v>3165</v>
      </c>
    </row>
    <row r="362" spans="2:13" ht="20.149999999999999" customHeight="1" x14ac:dyDescent="0.35">
      <c r="B362" s="695" t="s">
        <v>3588</v>
      </c>
      <c r="C362" s="696" t="s">
        <v>3538</v>
      </c>
      <c r="D362" s="696" t="s">
        <v>3539</v>
      </c>
      <c r="E362" s="697">
        <f>IFERROR(VLOOKUP($B362,flows!$A$2:$J$2950,E$2,FALSE),0)</f>
        <v>2.1981260858648169E-2</v>
      </c>
      <c r="F362" s="697">
        <f>IFERROR(VLOOKUP($B362,flows!$A$2:$J$2950,F$2,FALSE),0)</f>
        <v>0</v>
      </c>
      <c r="G362" s="697">
        <f>IFERROR(VLOOKUP($B362,flows!$A$2:$J$2950,G$2,FALSE),0)</f>
        <v>37.240990974467358</v>
      </c>
      <c r="H362" s="697">
        <f>IFERROR(VLOOKUP($B362,flows!$A$2:$J$2950,H$2,FALSE),0)</f>
        <v>7.8774170049629966</v>
      </c>
      <c r="I362" s="697">
        <f>IFERROR(VLOOKUP($B362,flows!$A$2:$J$2950,I$2,FALSE),0)</f>
        <v>5.1714750884636999E-3</v>
      </c>
      <c r="J362" s="697">
        <f>IFERROR(VLOOKUP($B362,flows!$A$2:$J$2950,J$2,FALSE),0)</f>
        <v>2.049114682694996E-4</v>
      </c>
      <c r="K362" s="697">
        <f>IFERROR(VLOOKUP($B362,flows!$A$2:$J$2950,K$2,FALSE),0)</f>
        <v>1.468434214818873E-4</v>
      </c>
      <c r="L362" s="697">
        <f>IFERROR(VLOOKUP($B362,flows!$A$2:$J$2950,L$2,FALSE),0)</f>
        <v>0</v>
      </c>
      <c r="M362" s="698" t="s">
        <v>3165</v>
      </c>
    </row>
    <row r="363" spans="2:13" ht="20.149999999999999" customHeight="1" x14ac:dyDescent="0.35">
      <c r="B363" s="695" t="s">
        <v>3589</v>
      </c>
      <c r="C363" s="696" t="s">
        <v>3538</v>
      </c>
      <c r="D363" s="696" t="s">
        <v>3539</v>
      </c>
      <c r="E363" s="697">
        <f>IFERROR(VLOOKUP($B363,flows!$A$2:$J$2950,E$2,FALSE),0)</f>
        <v>1.6649255179219179E-2</v>
      </c>
      <c r="F363" s="697">
        <f>IFERROR(VLOOKUP($B363,flows!$A$2:$J$2950,F$2,FALSE),0)</f>
        <v>0</v>
      </c>
      <c r="G363" s="697">
        <f>IFERROR(VLOOKUP($B363,flows!$A$2:$J$2950,G$2,FALSE),0)</f>
        <v>0.67213848197071668</v>
      </c>
      <c r="H363" s="697">
        <f>IFERROR(VLOOKUP($B363,flows!$A$2:$J$2950,H$2,FALSE),0)</f>
        <v>1.6379061210700951E-3</v>
      </c>
      <c r="I363" s="697">
        <f>IFERROR(VLOOKUP($B363,flows!$A$2:$J$2950,I$2,FALSE),0)</f>
        <v>1.410360958282615E-3</v>
      </c>
      <c r="J363" s="697">
        <f>IFERROR(VLOOKUP($B363,flows!$A$2:$J$2950,J$2,FALSE),0)</f>
        <v>8.8740030287581275E-5</v>
      </c>
      <c r="K363" s="697">
        <f>IFERROR(VLOOKUP($B363,flows!$A$2:$J$2950,K$2,FALSE),0)</f>
        <v>9.8615988970932359E-5</v>
      </c>
      <c r="L363" s="697">
        <f>IFERROR(VLOOKUP($B363,flows!$A$2:$J$2950,L$2,FALSE),0)</f>
        <v>0</v>
      </c>
      <c r="M363" s="698" t="s">
        <v>3165</v>
      </c>
    </row>
    <row r="364" spans="2:13" ht="20.149999999999999" customHeight="1" x14ac:dyDescent="0.35">
      <c r="B364" s="695" t="s">
        <v>3590</v>
      </c>
      <c r="C364" s="696" t="s">
        <v>3538</v>
      </c>
      <c r="D364" s="696" t="s">
        <v>3539</v>
      </c>
      <c r="E364" s="697">
        <f>IFERROR(VLOOKUP($B364,flows!$A$2:$J$2950,E$2,FALSE),0)</f>
        <v>205.8879773147786</v>
      </c>
      <c r="F364" s="697">
        <f>IFERROR(VLOOKUP($B364,flows!$A$2:$J$2950,F$2,FALSE),0)</f>
        <v>0</v>
      </c>
      <c r="G364" s="697">
        <f>IFERROR(VLOOKUP($B364,flows!$A$2:$J$2950,G$2,FALSE),0)</f>
        <v>10.31668741481135</v>
      </c>
      <c r="H364" s="697">
        <f>IFERROR(VLOOKUP($B364,flows!$A$2:$J$2950,H$2,FALSE),0)</f>
        <v>43.742433219651979</v>
      </c>
      <c r="I364" s="697">
        <f>IFERROR(VLOOKUP($B364,flows!$A$2:$J$2950,I$2,FALSE),0)</f>
        <v>91.898494630355813</v>
      </c>
      <c r="J364" s="697">
        <f>IFERROR(VLOOKUP($B364,flows!$A$2:$J$2950,J$2,FALSE),0)</f>
        <v>108.690326140233</v>
      </c>
      <c r="K364" s="697">
        <f>IFERROR(VLOOKUP($B364,flows!$A$2:$J$2950,K$2,FALSE),0)</f>
        <v>205.85992333261709</v>
      </c>
      <c r="L364" s="697">
        <f>IFERROR(VLOOKUP($B364,flows!$A$2:$J$2950,L$2,FALSE),0)</f>
        <v>0</v>
      </c>
      <c r="M364" s="698" t="s">
        <v>3165</v>
      </c>
    </row>
    <row r="365" spans="2:13" ht="20.149999999999999" customHeight="1" x14ac:dyDescent="0.35">
      <c r="B365" s="699" t="s">
        <v>3548</v>
      </c>
      <c r="C365" s="696" t="s">
        <v>2825</v>
      </c>
      <c r="D365" s="696" t="s">
        <v>3549</v>
      </c>
      <c r="E365" s="700">
        <f t="shared" ref="E365:L365" si="65">SUM(E358:E364)</f>
        <v>422.33362785369297</v>
      </c>
      <c r="F365" s="700">
        <f t="shared" si="65"/>
        <v>0</v>
      </c>
      <c r="G365" s="700">
        <f t="shared" si="65"/>
        <v>181.15152539269079</v>
      </c>
      <c r="H365" s="700">
        <f t="shared" si="65"/>
        <v>322.12117134064323</v>
      </c>
      <c r="I365" s="700">
        <f t="shared" si="65"/>
        <v>286.25318870849873</v>
      </c>
      <c r="J365" s="700">
        <f t="shared" si="65"/>
        <v>343.61574473299618</v>
      </c>
      <c r="K365" s="700">
        <f t="shared" si="65"/>
        <v>422.35767069980301</v>
      </c>
      <c r="L365" s="700">
        <f t="shared" si="65"/>
        <v>0</v>
      </c>
      <c r="M365" s="698" t="s">
        <v>3165</v>
      </c>
    </row>
    <row r="366" spans="2:13" ht="20.149999999999999" customHeight="1" x14ac:dyDescent="0.35">
      <c r="B366" s="583" t="s">
        <v>3217</v>
      </c>
      <c r="C366" s="584" t="s">
        <v>3237</v>
      </c>
      <c r="D366" s="584" t="s">
        <v>3238</v>
      </c>
      <c r="E366" s="585">
        <f t="shared" ref="E366:L366" si="66">SUM(E357+E365)</f>
        <v>422.36741684721488</v>
      </c>
      <c r="F366" s="585">
        <f t="shared" si="66"/>
        <v>186.14989583709865</v>
      </c>
      <c r="G366" s="585">
        <f t="shared" si="66"/>
        <v>281.76697712975238</v>
      </c>
      <c r="H366" s="585">
        <f t="shared" si="66"/>
        <v>356.96065057862046</v>
      </c>
      <c r="I366" s="585">
        <f t="shared" si="66"/>
        <v>344.0516310497934</v>
      </c>
      <c r="J366" s="585">
        <f t="shared" si="66"/>
        <v>377.75787437669334</v>
      </c>
      <c r="K366" s="585">
        <f t="shared" si="66"/>
        <v>422.37883719739455</v>
      </c>
      <c r="L366" s="585">
        <f t="shared" si="66"/>
        <v>0</v>
      </c>
      <c r="M366" s="586" t="s">
        <v>3165</v>
      </c>
    </row>
    <row r="367" spans="2:13" ht="20.149999999999999" customHeight="1" x14ac:dyDescent="0.35">
      <c r="B367" s="515" t="s">
        <v>3591</v>
      </c>
      <c r="C367" s="545" t="s">
        <v>3538</v>
      </c>
      <c r="D367" s="545" t="s">
        <v>3539</v>
      </c>
      <c r="E367" s="666">
        <f>IFERROR(VLOOKUP($B367,flows!$A$2:$J$2950,E$2,FALSE),0)</f>
        <v>0</v>
      </c>
      <c r="F367" s="666">
        <f>IFERROR(VLOOKUP($B367,flows!$A$2:$J$2950,F$2,FALSE),0)</f>
        <v>0</v>
      </c>
      <c r="G367" s="666">
        <f>IFERROR(VLOOKUP($B367,flows!$A$2:$J$2950,G$2,FALSE),0)</f>
        <v>0</v>
      </c>
      <c r="H367" s="666">
        <f>IFERROR(VLOOKUP($B367,flows!$A$2:$J$2950,H$2,FALSE),0)</f>
        <v>0</v>
      </c>
      <c r="I367" s="666">
        <f>IFERROR(VLOOKUP($B367,flows!$A$2:$J$2950,I$2,FALSE),0)</f>
        <v>0</v>
      </c>
      <c r="J367" s="666">
        <f>IFERROR(VLOOKUP($B367,flows!$A$2:$J$2950,J$2,FALSE),0)</f>
        <v>0</v>
      </c>
      <c r="K367" s="666">
        <f>IFERROR(VLOOKUP($B367,flows!$A$2:$J$2950,K$2,FALSE),0)</f>
        <v>0</v>
      </c>
      <c r="L367" s="666">
        <f>IFERROR(VLOOKUP($B367,flows!$A$2:$J$2950,L$2,FALSE),0)</f>
        <v>0</v>
      </c>
      <c r="M367" s="575" t="s">
        <v>3165</v>
      </c>
    </row>
    <row r="368" spans="2:13" ht="20.149999999999999" customHeight="1" x14ac:dyDescent="0.35">
      <c r="B368" s="515" t="s">
        <v>3592</v>
      </c>
      <c r="C368" s="545" t="s">
        <v>3538</v>
      </c>
      <c r="D368" s="545" t="s">
        <v>3539</v>
      </c>
      <c r="E368" s="666">
        <f>IFERROR(VLOOKUP($B368,flows!$A$2:$J$2950,E$2,FALSE),0)</f>
        <v>0</v>
      </c>
      <c r="F368" s="666">
        <f>IFERROR(VLOOKUP($B368,flows!$A$2:$J$2950,F$2,FALSE),0)</f>
        <v>0</v>
      </c>
      <c r="G368" s="666">
        <f>IFERROR(VLOOKUP($B368,flows!$A$2:$J$2950,G$2,FALSE),0)</f>
        <v>0</v>
      </c>
      <c r="H368" s="666">
        <f>IFERROR(VLOOKUP($B368,flows!$A$2:$J$2950,H$2,FALSE),0)</f>
        <v>0</v>
      </c>
      <c r="I368" s="666">
        <f>IFERROR(VLOOKUP($B368,flows!$A$2:$J$2950,I$2,FALSE),0)</f>
        <v>0</v>
      </c>
      <c r="J368" s="666">
        <f>IFERROR(VLOOKUP($B368,flows!$A$2:$J$2950,J$2,FALSE),0)</f>
        <v>0</v>
      </c>
      <c r="K368" s="666">
        <f>IFERROR(VLOOKUP($B368,flows!$A$2:$J$2950,K$2,FALSE),0)</f>
        <v>0</v>
      </c>
      <c r="L368" s="666">
        <f>IFERROR(VLOOKUP($B368,flows!$A$2:$J$2950,L$2,FALSE),0)</f>
        <v>0</v>
      </c>
      <c r="M368" s="575" t="s">
        <v>3165</v>
      </c>
    </row>
    <row r="369" spans="2:13" ht="20.149999999999999" customHeight="1" x14ac:dyDescent="0.35">
      <c r="B369" s="515" t="s">
        <v>3593</v>
      </c>
      <c r="C369" s="545" t="s">
        <v>3538</v>
      </c>
      <c r="D369" s="545" t="s">
        <v>3539</v>
      </c>
      <c r="E369" s="666">
        <f>IFERROR(VLOOKUP($B369,flows!$A$2:$J$2950,E$2,FALSE),0)</f>
        <v>0</v>
      </c>
      <c r="F369" s="666">
        <f>IFERROR(VLOOKUP($B369,flows!$A$2:$J$2950,F$2,FALSE),0)</f>
        <v>0</v>
      </c>
      <c r="G369" s="666">
        <f>IFERROR(VLOOKUP($B369,flows!$A$2:$J$2950,G$2,FALSE),0)</f>
        <v>0</v>
      </c>
      <c r="H369" s="666">
        <f>IFERROR(VLOOKUP($B369,flows!$A$2:$J$2950,H$2,FALSE),0)</f>
        <v>0</v>
      </c>
      <c r="I369" s="666">
        <f>IFERROR(VLOOKUP($B369,flows!$A$2:$J$2950,I$2,FALSE),0)</f>
        <v>0</v>
      </c>
      <c r="J369" s="666">
        <f>IFERROR(VLOOKUP($B369,flows!$A$2:$J$2950,J$2,FALSE),0)</f>
        <v>0</v>
      </c>
      <c r="K369" s="666">
        <f>IFERROR(VLOOKUP($B369,flows!$A$2:$J$2950,K$2,FALSE),0)</f>
        <v>0</v>
      </c>
      <c r="L369" s="666">
        <f>IFERROR(VLOOKUP($B369,flows!$A$2:$J$2950,L$2,FALSE),0)</f>
        <v>0</v>
      </c>
      <c r="M369" s="575" t="s">
        <v>3165</v>
      </c>
    </row>
    <row r="370" spans="2:13" ht="20.149999999999999" customHeight="1" x14ac:dyDescent="0.35">
      <c r="B370" s="667" t="s">
        <v>3594</v>
      </c>
      <c r="C370" s="668" t="s">
        <v>3538</v>
      </c>
      <c r="D370" s="668" t="s">
        <v>3539</v>
      </c>
      <c r="E370" s="666">
        <f>IFERROR(VLOOKUP($B370,flows!$A$2:$J$2950,E$2,FALSE),0)</f>
        <v>0</v>
      </c>
      <c r="F370" s="666">
        <f>IFERROR(VLOOKUP($B370,flows!$A$2:$J$2950,F$2,FALSE),0)</f>
        <v>0</v>
      </c>
      <c r="G370" s="666">
        <f>IFERROR(VLOOKUP($B370,flows!$A$2:$J$2950,G$2,FALSE),0)</f>
        <v>0</v>
      </c>
      <c r="H370" s="666">
        <f>IFERROR(VLOOKUP($B370,flows!$A$2:$J$2950,H$2,FALSE),0)</f>
        <v>0</v>
      </c>
      <c r="I370" s="666">
        <f>IFERROR(VLOOKUP($B370,flows!$A$2:$J$2950,I$2,FALSE),0)</f>
        <v>0</v>
      </c>
      <c r="J370" s="666">
        <f>IFERROR(VLOOKUP($B370,flows!$A$2:$J$2950,J$2,FALSE),0)</f>
        <v>0</v>
      </c>
      <c r="K370" s="666">
        <f>IFERROR(VLOOKUP($B370,flows!$A$2:$J$2950,K$2,FALSE),0)</f>
        <v>0</v>
      </c>
      <c r="L370" s="666">
        <f>IFERROR(VLOOKUP($B370,flows!$A$2:$J$2950,L$2,FALSE),0)</f>
        <v>0</v>
      </c>
      <c r="M370" s="575" t="s">
        <v>3165</v>
      </c>
    </row>
    <row r="371" spans="2:13" ht="20.149999999999999" customHeight="1" x14ac:dyDescent="0.35">
      <c r="B371" s="667" t="s">
        <v>3595</v>
      </c>
      <c r="C371" s="668" t="s">
        <v>3538</v>
      </c>
      <c r="D371" s="668" t="s">
        <v>3539</v>
      </c>
      <c r="E371" s="666">
        <f>IFERROR(VLOOKUP($B371,flows!$A$2:$J$2950,E$2,FALSE),0)</f>
        <v>0</v>
      </c>
      <c r="F371" s="666">
        <f>IFERROR(VLOOKUP($B371,flows!$A$2:$J$2950,F$2,FALSE),0)</f>
        <v>0</v>
      </c>
      <c r="G371" s="666">
        <f>IFERROR(VLOOKUP($B371,flows!$A$2:$J$2950,G$2,FALSE),0)</f>
        <v>0</v>
      </c>
      <c r="H371" s="666">
        <f>IFERROR(VLOOKUP($B371,flows!$A$2:$J$2950,H$2,FALSE),0)</f>
        <v>0</v>
      </c>
      <c r="I371" s="666">
        <f>IFERROR(VLOOKUP($B371,flows!$A$2:$J$2950,I$2,FALSE),0)</f>
        <v>0</v>
      </c>
      <c r="J371" s="666">
        <f>IFERROR(VLOOKUP($B371,flows!$A$2:$J$2950,J$2,FALSE),0)</f>
        <v>0</v>
      </c>
      <c r="K371" s="666">
        <f>IFERROR(VLOOKUP($B371,flows!$A$2:$J$2950,K$2,FALSE),0)</f>
        <v>0</v>
      </c>
      <c r="L371" s="666">
        <f>IFERROR(VLOOKUP($B371,flows!$A$2:$J$2950,L$2,FALSE),0)</f>
        <v>0</v>
      </c>
      <c r="M371" s="575" t="s">
        <v>3165</v>
      </c>
    </row>
    <row r="372" spans="2:13" ht="20.149999999999999" customHeight="1" x14ac:dyDescent="0.35">
      <c r="B372" s="667" t="s">
        <v>3596</v>
      </c>
      <c r="C372" s="668" t="s">
        <v>3538</v>
      </c>
      <c r="D372" s="668" t="s">
        <v>3539</v>
      </c>
      <c r="E372" s="666">
        <f>IFERROR(VLOOKUP($B372,flows!$A$2:$J$2950,E$2,FALSE),0)</f>
        <v>0</v>
      </c>
      <c r="F372" s="666">
        <f>IFERROR(VLOOKUP($B372,flows!$A$2:$J$2950,F$2,FALSE),0)</f>
        <v>0</v>
      </c>
      <c r="G372" s="666">
        <f>IFERROR(VLOOKUP($B372,flows!$A$2:$J$2950,G$2,FALSE),0)</f>
        <v>0</v>
      </c>
      <c r="H372" s="666">
        <f>IFERROR(VLOOKUP($B372,flows!$A$2:$J$2950,H$2,FALSE),0)</f>
        <v>0</v>
      </c>
      <c r="I372" s="666">
        <f>IFERROR(VLOOKUP($B372,flows!$A$2:$J$2950,I$2,FALSE),0)</f>
        <v>0</v>
      </c>
      <c r="J372" s="666">
        <f>IFERROR(VLOOKUP($B372,flows!$A$2:$J$2950,J$2,FALSE),0)</f>
        <v>0</v>
      </c>
      <c r="K372" s="666">
        <f>IFERROR(VLOOKUP($B372,flows!$A$2:$J$2950,K$2,FALSE),0)</f>
        <v>0</v>
      </c>
      <c r="L372" s="666">
        <f>IFERROR(VLOOKUP($B372,flows!$A$2:$J$2950,L$2,FALSE),0)</f>
        <v>0</v>
      </c>
      <c r="M372" s="575" t="s">
        <v>3165</v>
      </c>
    </row>
    <row r="373" spans="2:13" ht="20.149999999999999" customHeight="1" x14ac:dyDescent="0.35">
      <c r="B373" s="667" t="s">
        <v>3597</v>
      </c>
      <c r="C373" s="668" t="s">
        <v>3538</v>
      </c>
      <c r="D373" s="668" t="s">
        <v>3539</v>
      </c>
      <c r="E373" s="666">
        <f>IFERROR(VLOOKUP($B373,flows!$A$2:$J$2950,E$2,FALSE),0)</f>
        <v>0</v>
      </c>
      <c r="F373" s="666">
        <f>IFERROR(VLOOKUP($B373,flows!$A$2:$J$2950,F$2,FALSE),0)</f>
        <v>0</v>
      </c>
      <c r="G373" s="666">
        <f>IFERROR(VLOOKUP($B373,flows!$A$2:$J$2950,G$2,FALSE),0)</f>
        <v>0</v>
      </c>
      <c r="H373" s="666">
        <f>IFERROR(VLOOKUP($B373,flows!$A$2:$J$2950,H$2,FALSE),0)</f>
        <v>0</v>
      </c>
      <c r="I373" s="666">
        <f>IFERROR(VLOOKUP($B373,flows!$A$2:$J$2950,I$2,FALSE),0)</f>
        <v>0</v>
      </c>
      <c r="J373" s="666">
        <f>IFERROR(VLOOKUP($B373,flows!$A$2:$J$2950,J$2,FALSE),0)</f>
        <v>0</v>
      </c>
      <c r="K373" s="666">
        <f>IFERROR(VLOOKUP($B373,flows!$A$2:$J$2950,K$2,FALSE),0)</f>
        <v>0</v>
      </c>
      <c r="L373" s="666">
        <f>IFERROR(VLOOKUP($B373,flows!$A$2:$J$2950,L$2,FALSE),0)</f>
        <v>0</v>
      </c>
      <c r="M373" s="575" t="s">
        <v>3165</v>
      </c>
    </row>
    <row r="374" spans="2:13" ht="20.149999999999999" customHeight="1" x14ac:dyDescent="0.35">
      <c r="B374" s="669" t="s">
        <v>3548</v>
      </c>
      <c r="C374" s="668" t="s">
        <v>2825</v>
      </c>
      <c r="D374" s="668" t="s">
        <v>3549</v>
      </c>
      <c r="E374" s="670">
        <f t="shared" ref="E374:L374" si="67">SUM(E367:E373)</f>
        <v>0</v>
      </c>
      <c r="F374" s="670">
        <f t="shared" si="67"/>
        <v>0</v>
      </c>
      <c r="G374" s="670">
        <f t="shared" si="67"/>
        <v>0</v>
      </c>
      <c r="H374" s="670">
        <f t="shared" si="67"/>
        <v>0</v>
      </c>
      <c r="I374" s="670">
        <f t="shared" si="67"/>
        <v>0</v>
      </c>
      <c r="J374" s="670">
        <f t="shared" si="67"/>
        <v>0</v>
      </c>
      <c r="K374" s="670">
        <f t="shared" si="67"/>
        <v>0</v>
      </c>
      <c r="L374" s="670">
        <f t="shared" si="67"/>
        <v>0</v>
      </c>
      <c r="M374" s="577" t="s">
        <v>3165</v>
      </c>
    </row>
    <row r="375" spans="2:13" ht="20.149999999999999" customHeight="1" x14ac:dyDescent="0.35">
      <c r="B375" s="627" t="s">
        <v>3598</v>
      </c>
      <c r="C375" s="629" t="s">
        <v>3538</v>
      </c>
      <c r="D375" s="629" t="s">
        <v>3539</v>
      </c>
      <c r="E375" s="671">
        <f>IFERROR(VLOOKUP($B375,flows!$A$2:$J$2950,E$2,FALSE),0)</f>
        <v>0</v>
      </c>
      <c r="F375" s="671">
        <f>IFERROR(VLOOKUP($B375,flows!$A$2:$J$2950,F$2,FALSE),0)</f>
        <v>0</v>
      </c>
      <c r="G375" s="671">
        <f>IFERROR(VLOOKUP($B375,flows!$A$2:$J$2950,G$2,FALSE),0)</f>
        <v>0</v>
      </c>
      <c r="H375" s="671">
        <f>IFERROR(VLOOKUP($B375,flows!$A$2:$J$2950,H$2,FALSE),0)</f>
        <v>0</v>
      </c>
      <c r="I375" s="671">
        <f>IFERROR(VLOOKUP($B375,flows!$A$2:$J$2950,I$2,FALSE),0)</f>
        <v>0</v>
      </c>
      <c r="J375" s="671">
        <f>IFERROR(VLOOKUP($B375,flows!$A$2:$J$2950,J$2,FALSE),0)</f>
        <v>0</v>
      </c>
      <c r="K375" s="671">
        <f>IFERROR(VLOOKUP($B375,flows!$A$2:$J$2950,K$2,FALSE),0)</f>
        <v>0</v>
      </c>
      <c r="L375" s="671">
        <f>IFERROR(VLOOKUP($B375,flows!$A$2:$J$2950,L$2,FALSE),0)</f>
        <v>0</v>
      </c>
      <c r="M375" s="578" t="s">
        <v>3165</v>
      </c>
    </row>
    <row r="376" spans="2:13" ht="20.149999999999999" customHeight="1" x14ac:dyDescent="0.35">
      <c r="B376" s="627" t="s">
        <v>3599</v>
      </c>
      <c r="C376" s="629" t="s">
        <v>3538</v>
      </c>
      <c r="D376" s="629" t="s">
        <v>3539</v>
      </c>
      <c r="E376" s="671">
        <f>IFERROR(VLOOKUP($B376,flows!$A$2:$J$2950,E$2,FALSE),0)</f>
        <v>0</v>
      </c>
      <c r="F376" s="671">
        <f>IFERROR(VLOOKUP($B376,flows!$A$2:$J$2950,F$2,FALSE),0)</f>
        <v>0</v>
      </c>
      <c r="G376" s="671">
        <f>IFERROR(VLOOKUP($B376,flows!$A$2:$J$2950,G$2,FALSE),0)</f>
        <v>0</v>
      </c>
      <c r="H376" s="671">
        <f>IFERROR(VLOOKUP($B376,flows!$A$2:$J$2950,H$2,FALSE),0)</f>
        <v>0</v>
      </c>
      <c r="I376" s="671">
        <f>IFERROR(VLOOKUP($B376,flows!$A$2:$J$2950,I$2,FALSE),0)</f>
        <v>0</v>
      </c>
      <c r="J376" s="671">
        <f>IFERROR(VLOOKUP($B376,flows!$A$2:$J$2950,J$2,FALSE),0)</f>
        <v>0</v>
      </c>
      <c r="K376" s="671">
        <f>IFERROR(VLOOKUP($B376,flows!$A$2:$J$2950,K$2,FALSE),0)</f>
        <v>0</v>
      </c>
      <c r="L376" s="671">
        <f>IFERROR(VLOOKUP($B376,flows!$A$2:$J$2950,L$2,FALSE),0)</f>
        <v>0</v>
      </c>
      <c r="M376" s="579" t="s">
        <v>3165</v>
      </c>
    </row>
    <row r="377" spans="2:13" ht="20.149999999999999" customHeight="1" x14ac:dyDescent="0.35">
      <c r="B377" s="627" t="s">
        <v>3600</v>
      </c>
      <c r="C377" s="629" t="s">
        <v>3538</v>
      </c>
      <c r="D377" s="629" t="s">
        <v>3539</v>
      </c>
      <c r="E377" s="671">
        <f>IFERROR(VLOOKUP($B377,flows!$A$2:$J$2950,E$2,FALSE),0)</f>
        <v>0</v>
      </c>
      <c r="F377" s="671">
        <f>IFERROR(VLOOKUP($B377,flows!$A$2:$J$2950,F$2,FALSE),0)</f>
        <v>0</v>
      </c>
      <c r="G377" s="671">
        <f>IFERROR(VLOOKUP($B377,flows!$A$2:$J$2950,G$2,FALSE),0)</f>
        <v>0</v>
      </c>
      <c r="H377" s="671">
        <f>IFERROR(VLOOKUP($B377,flows!$A$2:$J$2950,H$2,FALSE),0)</f>
        <v>0</v>
      </c>
      <c r="I377" s="671">
        <f>IFERROR(VLOOKUP($B377,flows!$A$2:$J$2950,I$2,FALSE),0)</f>
        <v>0</v>
      </c>
      <c r="J377" s="671">
        <f>IFERROR(VLOOKUP($B377,flows!$A$2:$J$2950,J$2,FALSE),0)</f>
        <v>0</v>
      </c>
      <c r="K377" s="671">
        <f>IFERROR(VLOOKUP($B377,flows!$A$2:$J$2950,K$2,FALSE),0)</f>
        <v>0</v>
      </c>
      <c r="L377" s="671">
        <f>IFERROR(VLOOKUP($B377,flows!$A$2:$J$2950,L$2,FALSE),0)</f>
        <v>0</v>
      </c>
      <c r="M377" s="579" t="s">
        <v>3165</v>
      </c>
    </row>
    <row r="378" spans="2:13" ht="20.149999999999999" customHeight="1" x14ac:dyDescent="0.35">
      <c r="B378" s="672" t="s">
        <v>3601</v>
      </c>
      <c r="C378" s="673" t="s">
        <v>3538</v>
      </c>
      <c r="D378" s="673" t="s">
        <v>3539</v>
      </c>
      <c r="E378" s="671">
        <f>IFERROR(VLOOKUP($B378,flows!$A$2:$J$2950,E$2,FALSE),0)</f>
        <v>0</v>
      </c>
      <c r="F378" s="671">
        <f>IFERROR(VLOOKUP($B378,flows!$A$2:$J$2950,F$2,FALSE),0)</f>
        <v>0</v>
      </c>
      <c r="G378" s="671">
        <f>IFERROR(VLOOKUP($B378,flows!$A$2:$J$2950,G$2,FALSE),0)</f>
        <v>0</v>
      </c>
      <c r="H378" s="671">
        <f>IFERROR(VLOOKUP($B378,flows!$A$2:$J$2950,H$2,FALSE),0)</f>
        <v>0</v>
      </c>
      <c r="I378" s="671">
        <f>IFERROR(VLOOKUP($B378,flows!$A$2:$J$2950,I$2,FALSE),0)</f>
        <v>0</v>
      </c>
      <c r="J378" s="671">
        <f>IFERROR(VLOOKUP($B378,flows!$A$2:$J$2950,J$2,FALSE),0)</f>
        <v>0</v>
      </c>
      <c r="K378" s="671">
        <f>IFERROR(VLOOKUP($B378,flows!$A$2:$J$2950,K$2,FALSE),0)</f>
        <v>0</v>
      </c>
      <c r="L378" s="671">
        <f>IFERROR(VLOOKUP($B378,flows!$A$2:$J$2950,L$2,FALSE),0)</f>
        <v>0</v>
      </c>
      <c r="M378" s="579" t="s">
        <v>3165</v>
      </c>
    </row>
    <row r="379" spans="2:13" ht="20.149999999999999" customHeight="1" x14ac:dyDescent="0.35">
      <c r="B379" s="672" t="s">
        <v>3602</v>
      </c>
      <c r="C379" s="673" t="s">
        <v>3538</v>
      </c>
      <c r="D379" s="673" t="s">
        <v>3539</v>
      </c>
      <c r="E379" s="671">
        <f>IFERROR(VLOOKUP($B379,flows!$A$2:$J$2950,E$2,FALSE),0)</f>
        <v>0</v>
      </c>
      <c r="F379" s="671">
        <f>IFERROR(VLOOKUP($B379,flows!$A$2:$J$2950,F$2,FALSE),0)</f>
        <v>0</v>
      </c>
      <c r="G379" s="671">
        <f>IFERROR(VLOOKUP($B379,flows!$A$2:$J$2950,G$2,FALSE),0)</f>
        <v>0</v>
      </c>
      <c r="H379" s="671">
        <f>IFERROR(VLOOKUP($B379,flows!$A$2:$J$2950,H$2,FALSE),0)</f>
        <v>0</v>
      </c>
      <c r="I379" s="671">
        <f>IFERROR(VLOOKUP($B379,flows!$A$2:$J$2950,I$2,FALSE),0)</f>
        <v>0</v>
      </c>
      <c r="J379" s="671">
        <f>IFERROR(VLOOKUP($B379,flows!$A$2:$J$2950,J$2,FALSE),0)</f>
        <v>0</v>
      </c>
      <c r="K379" s="671">
        <f>IFERROR(VLOOKUP($B379,flows!$A$2:$J$2950,K$2,FALSE),0)</f>
        <v>0</v>
      </c>
      <c r="L379" s="671">
        <f>IFERROR(VLOOKUP($B379,flows!$A$2:$J$2950,L$2,FALSE),0)</f>
        <v>0</v>
      </c>
      <c r="M379" s="579" t="s">
        <v>3165</v>
      </c>
    </row>
    <row r="380" spans="2:13" ht="20.149999999999999" customHeight="1" x14ac:dyDescent="0.35">
      <c r="B380" s="672" t="s">
        <v>3603</v>
      </c>
      <c r="C380" s="673" t="s">
        <v>3538</v>
      </c>
      <c r="D380" s="673" t="s">
        <v>3539</v>
      </c>
      <c r="E380" s="671">
        <f>IFERROR(VLOOKUP($B380,flows!$A$2:$J$2950,E$2,FALSE),0)</f>
        <v>0</v>
      </c>
      <c r="F380" s="671">
        <f>IFERROR(VLOOKUP($B380,flows!$A$2:$J$2950,F$2,FALSE),0)</f>
        <v>0</v>
      </c>
      <c r="G380" s="671">
        <f>IFERROR(VLOOKUP($B380,flows!$A$2:$J$2950,G$2,FALSE),0)</f>
        <v>0</v>
      </c>
      <c r="H380" s="671">
        <f>IFERROR(VLOOKUP($B380,flows!$A$2:$J$2950,H$2,FALSE),0)</f>
        <v>0</v>
      </c>
      <c r="I380" s="671">
        <f>IFERROR(VLOOKUP($B380,flows!$A$2:$J$2950,I$2,FALSE),0)</f>
        <v>0</v>
      </c>
      <c r="J380" s="671">
        <f>IFERROR(VLOOKUP($B380,flows!$A$2:$J$2950,J$2,FALSE),0)</f>
        <v>0</v>
      </c>
      <c r="K380" s="671">
        <f>IFERROR(VLOOKUP($B380,flows!$A$2:$J$2950,K$2,FALSE),0)</f>
        <v>0</v>
      </c>
      <c r="L380" s="671">
        <f>IFERROR(VLOOKUP($B380,flows!$A$2:$J$2950,L$2,FALSE),0)</f>
        <v>0</v>
      </c>
      <c r="M380" s="579" t="s">
        <v>3165</v>
      </c>
    </row>
    <row r="381" spans="2:13" ht="20.149999999999999" customHeight="1" x14ac:dyDescent="0.35">
      <c r="B381" s="672" t="s">
        <v>3604</v>
      </c>
      <c r="C381" s="673" t="s">
        <v>3538</v>
      </c>
      <c r="D381" s="673" t="s">
        <v>3539</v>
      </c>
      <c r="E381" s="671">
        <f>IFERROR(VLOOKUP($B381,flows!$A$2:$J$2950,E$2,FALSE),0)</f>
        <v>0</v>
      </c>
      <c r="F381" s="671">
        <f>IFERROR(VLOOKUP($B381,flows!$A$2:$J$2950,F$2,FALSE),0)</f>
        <v>0</v>
      </c>
      <c r="G381" s="671">
        <f>IFERROR(VLOOKUP($B381,flows!$A$2:$J$2950,G$2,FALSE),0)</f>
        <v>0</v>
      </c>
      <c r="H381" s="671">
        <f>IFERROR(VLOOKUP($B381,flows!$A$2:$J$2950,H$2,FALSE),0)</f>
        <v>0</v>
      </c>
      <c r="I381" s="671">
        <f>IFERROR(VLOOKUP($B381,flows!$A$2:$J$2950,I$2,FALSE),0)</f>
        <v>0</v>
      </c>
      <c r="J381" s="671">
        <f>IFERROR(VLOOKUP($B381,flows!$A$2:$J$2950,J$2,FALSE),0)</f>
        <v>0</v>
      </c>
      <c r="K381" s="671">
        <f>IFERROR(VLOOKUP($B381,flows!$A$2:$J$2950,K$2,FALSE),0)</f>
        <v>0</v>
      </c>
      <c r="L381" s="671">
        <f>IFERROR(VLOOKUP($B381,flows!$A$2:$J$2950,L$2,FALSE),0)</f>
        <v>0</v>
      </c>
      <c r="M381" s="579" t="s">
        <v>3165</v>
      </c>
    </row>
    <row r="382" spans="2:13" ht="20.149999999999999" customHeight="1" x14ac:dyDescent="0.35">
      <c r="B382" s="674" t="s">
        <v>3548</v>
      </c>
      <c r="C382" s="673" t="s">
        <v>2825</v>
      </c>
      <c r="D382" s="673" t="s">
        <v>3549</v>
      </c>
      <c r="E382" s="675">
        <f t="shared" ref="E382:L382" si="68">SUM(E375:E381)</f>
        <v>0</v>
      </c>
      <c r="F382" s="675">
        <f t="shared" si="68"/>
        <v>0</v>
      </c>
      <c r="G382" s="675">
        <f t="shared" si="68"/>
        <v>0</v>
      </c>
      <c r="H382" s="675">
        <f t="shared" si="68"/>
        <v>0</v>
      </c>
      <c r="I382" s="675">
        <f t="shared" si="68"/>
        <v>0</v>
      </c>
      <c r="J382" s="675">
        <f t="shared" si="68"/>
        <v>0</v>
      </c>
      <c r="K382" s="675">
        <f t="shared" si="68"/>
        <v>0</v>
      </c>
      <c r="L382" s="675">
        <f t="shared" si="68"/>
        <v>0</v>
      </c>
      <c r="M382" s="581" t="s">
        <v>3165</v>
      </c>
    </row>
    <row r="383" spans="2:13" ht="20.149999999999999" customHeight="1" thickBot="1" x14ac:dyDescent="0.4">
      <c r="B383" s="701" t="s">
        <v>3217</v>
      </c>
      <c r="C383" s="702" t="s">
        <v>3237</v>
      </c>
      <c r="D383" s="702" t="s">
        <v>3238</v>
      </c>
      <c r="E383" s="703">
        <f t="shared" ref="E383:L383" si="69">SUM(E374+E382)</f>
        <v>0</v>
      </c>
      <c r="F383" s="703">
        <f t="shared" si="69"/>
        <v>0</v>
      </c>
      <c r="G383" s="703">
        <f t="shared" si="69"/>
        <v>0</v>
      </c>
      <c r="H383" s="703">
        <f t="shared" si="69"/>
        <v>0</v>
      </c>
      <c r="I383" s="703">
        <f t="shared" si="69"/>
        <v>0</v>
      </c>
      <c r="J383" s="703">
        <f t="shared" si="69"/>
        <v>0</v>
      </c>
      <c r="K383" s="703">
        <f t="shared" si="69"/>
        <v>0</v>
      </c>
      <c r="L383" s="703">
        <f t="shared" si="69"/>
        <v>0</v>
      </c>
      <c r="M383" s="704" t="s">
        <v>3165</v>
      </c>
    </row>
    <row r="384" spans="2:13" ht="20.149999999999999" customHeight="1" thickTop="1" thickBot="1" x14ac:dyDescent="0.4">
      <c r="B384" s="705"/>
      <c r="C384" s="706"/>
      <c r="D384" s="706"/>
      <c r="E384" s="706"/>
      <c r="F384" s="707"/>
      <c r="G384" s="707"/>
      <c r="H384" s="707"/>
      <c r="I384" s="707"/>
      <c r="J384" s="707"/>
      <c r="K384" s="707"/>
      <c r="L384" s="707"/>
      <c r="M384" s="590"/>
    </row>
    <row r="385" spans="2:13" ht="20.149999999999999" customHeight="1" thickTop="1" x14ac:dyDescent="0.35">
      <c r="B385" s="639"/>
      <c r="C385" s="640"/>
      <c r="D385" s="640"/>
      <c r="E385" s="641" t="s">
        <v>23</v>
      </c>
      <c r="F385" s="641" t="s">
        <v>1798</v>
      </c>
      <c r="G385" s="641" t="s">
        <v>1799</v>
      </c>
      <c r="H385" s="641" t="s">
        <v>1800</v>
      </c>
      <c r="I385" s="641" t="s">
        <v>1801</v>
      </c>
      <c r="J385" s="641" t="s">
        <v>1802</v>
      </c>
      <c r="K385" s="641" t="s">
        <v>1803</v>
      </c>
      <c r="L385" s="642" t="s">
        <v>1804</v>
      </c>
      <c r="M385" s="708"/>
    </row>
    <row r="386" spans="2:13" ht="20.149999999999999" customHeight="1" x14ac:dyDescent="0.35">
      <c r="B386" s="682" t="s">
        <v>3605</v>
      </c>
      <c r="C386" s="683" t="s">
        <v>3606</v>
      </c>
      <c r="D386" s="683" t="s">
        <v>3607</v>
      </c>
      <c r="E386" s="684">
        <f>IFERROR(VLOOKUP($B386,flows!$A$2:$J$2950,E$2,FALSE),0)</f>
        <v>0</v>
      </c>
      <c r="F386" s="684">
        <f>IFERROR(VLOOKUP($B386,flows!$A$2:$J$2950,F$2,FALSE),0)</f>
        <v>0</v>
      </c>
      <c r="G386" s="684">
        <f>IFERROR(VLOOKUP($B386,flows!$A$2:$J$2950,G$2,FALSE),0)</f>
        <v>0</v>
      </c>
      <c r="H386" s="684">
        <f>IFERROR(VLOOKUP($B386,flows!$A$2:$J$2950,H$2,FALSE),0)</f>
        <v>0</v>
      </c>
      <c r="I386" s="684">
        <f>IFERROR(VLOOKUP($B386,flows!$A$2:$J$2950,I$2,FALSE),0)</f>
        <v>0</v>
      </c>
      <c r="J386" s="684">
        <f>IFERROR(VLOOKUP($B386,flows!$A$2:$J$2950,J$2,FALSE),0)</f>
        <v>0</v>
      </c>
      <c r="K386" s="684">
        <f>IFERROR(VLOOKUP($B386,flows!$A$2:$J$2950,K$2,FALSE),0)</f>
        <v>0</v>
      </c>
      <c r="L386" s="684">
        <f>IFERROR(VLOOKUP($B386,flows!$A$2:$J$2950,L$2,FALSE),0)</f>
        <v>0</v>
      </c>
      <c r="M386" s="685" t="s">
        <v>3165</v>
      </c>
    </row>
    <row r="387" spans="2:13" ht="20.149999999999999" customHeight="1" x14ac:dyDescent="0.35">
      <c r="B387" s="682" t="s">
        <v>3608</v>
      </c>
      <c r="C387" s="683" t="s">
        <v>3606</v>
      </c>
      <c r="D387" s="683" t="s">
        <v>3607</v>
      </c>
      <c r="E387" s="684">
        <f>IFERROR(VLOOKUP($B387,flows!$A$2:$J$2950,E$2,FALSE),0)</f>
        <v>0</v>
      </c>
      <c r="F387" s="684">
        <f>IFERROR(VLOOKUP($B387,flows!$A$2:$J$2950,F$2,FALSE),0)</f>
        <v>0</v>
      </c>
      <c r="G387" s="684">
        <f>IFERROR(VLOOKUP($B387,flows!$A$2:$J$2950,G$2,FALSE),0)</f>
        <v>0</v>
      </c>
      <c r="H387" s="684">
        <f>IFERROR(VLOOKUP($B387,flows!$A$2:$J$2950,H$2,FALSE),0)</f>
        <v>0</v>
      </c>
      <c r="I387" s="684">
        <f>IFERROR(VLOOKUP($B387,flows!$A$2:$J$2950,I$2,FALSE),0)</f>
        <v>0</v>
      </c>
      <c r="J387" s="684">
        <f>IFERROR(VLOOKUP($B387,flows!$A$2:$J$2950,J$2,FALSE),0)</f>
        <v>0</v>
      </c>
      <c r="K387" s="684">
        <f>IFERROR(VLOOKUP($B387,flows!$A$2:$J$2950,K$2,FALSE),0)</f>
        <v>0</v>
      </c>
      <c r="L387" s="684">
        <f>IFERROR(VLOOKUP($B387,flows!$A$2:$J$2950,L$2,FALSE),0)</f>
        <v>0</v>
      </c>
      <c r="M387" s="685" t="s">
        <v>3165</v>
      </c>
    </row>
    <row r="388" spans="2:13" ht="20.149999999999999" customHeight="1" x14ac:dyDescent="0.35">
      <c r="B388" s="682" t="s">
        <v>3609</v>
      </c>
      <c r="C388" s="683" t="s">
        <v>3606</v>
      </c>
      <c r="D388" s="683" t="s">
        <v>3607</v>
      </c>
      <c r="E388" s="684">
        <f>IFERROR(VLOOKUP($B388,flows!$A$2:$J$2950,E$2,FALSE),0)</f>
        <v>0</v>
      </c>
      <c r="F388" s="684">
        <f>IFERROR(VLOOKUP($B388,flows!$A$2:$J$2950,F$2,FALSE),0)</f>
        <v>0</v>
      </c>
      <c r="G388" s="684">
        <f>IFERROR(VLOOKUP($B388,flows!$A$2:$J$2950,G$2,FALSE),0)</f>
        <v>0</v>
      </c>
      <c r="H388" s="684">
        <f>IFERROR(VLOOKUP($B388,flows!$A$2:$J$2950,H$2,FALSE),0)</f>
        <v>0</v>
      </c>
      <c r="I388" s="684">
        <f>IFERROR(VLOOKUP($B388,flows!$A$2:$J$2950,I$2,FALSE),0)</f>
        <v>0</v>
      </c>
      <c r="J388" s="684">
        <f>IFERROR(VLOOKUP($B388,flows!$A$2:$J$2950,J$2,FALSE),0)</f>
        <v>0</v>
      </c>
      <c r="K388" s="684">
        <f>IFERROR(VLOOKUP($B388,flows!$A$2:$J$2950,K$2,FALSE),0)</f>
        <v>0</v>
      </c>
      <c r="L388" s="684">
        <f>IFERROR(VLOOKUP($B388,flows!$A$2:$J$2950,L$2,FALSE),0)</f>
        <v>0</v>
      </c>
      <c r="M388" s="685" t="s">
        <v>3165</v>
      </c>
    </row>
    <row r="389" spans="2:13" ht="20.149999999999999" customHeight="1" x14ac:dyDescent="0.35">
      <c r="B389" s="682" t="s">
        <v>3610</v>
      </c>
      <c r="C389" s="683" t="s">
        <v>3606</v>
      </c>
      <c r="D389" s="683" t="s">
        <v>3607</v>
      </c>
      <c r="E389" s="684">
        <f>IFERROR(VLOOKUP($B389,flows!$A$2:$J$2950,E$2,FALSE),0)</f>
        <v>0</v>
      </c>
      <c r="F389" s="684">
        <f>IFERROR(VLOOKUP($B389,flows!$A$2:$J$2950,F$2,FALSE),0)</f>
        <v>0</v>
      </c>
      <c r="G389" s="684">
        <f>IFERROR(VLOOKUP($B389,flows!$A$2:$J$2950,G$2,FALSE),0)</f>
        <v>0</v>
      </c>
      <c r="H389" s="684">
        <f>IFERROR(VLOOKUP($B389,flows!$A$2:$J$2950,H$2,FALSE),0)</f>
        <v>0</v>
      </c>
      <c r="I389" s="684">
        <f>IFERROR(VLOOKUP($B389,flows!$A$2:$J$2950,I$2,FALSE),0)</f>
        <v>0</v>
      </c>
      <c r="J389" s="684">
        <f>IFERROR(VLOOKUP($B389,flows!$A$2:$J$2950,J$2,FALSE),0)</f>
        <v>0</v>
      </c>
      <c r="K389" s="684">
        <f>IFERROR(VLOOKUP($B389,flows!$A$2:$J$2950,K$2,FALSE),0)</f>
        <v>0</v>
      </c>
      <c r="L389" s="684">
        <f>IFERROR(VLOOKUP($B389,flows!$A$2:$J$2950,L$2,FALSE),0)</f>
        <v>0</v>
      </c>
      <c r="M389" s="685" t="s">
        <v>3165</v>
      </c>
    </row>
    <row r="390" spans="2:13" ht="20.149999999999999" customHeight="1" x14ac:dyDescent="0.35">
      <c r="B390" s="682" t="s">
        <v>3611</v>
      </c>
      <c r="C390" s="683" t="s">
        <v>3606</v>
      </c>
      <c r="D390" s="683" t="s">
        <v>3607</v>
      </c>
      <c r="E390" s="684">
        <f>IFERROR(VLOOKUP($B390,flows!$A$2:$J$2950,E$2,FALSE),0)</f>
        <v>0</v>
      </c>
      <c r="F390" s="684">
        <f>IFERROR(VLOOKUP($B390,flows!$A$2:$J$2950,F$2,FALSE),0)</f>
        <v>0</v>
      </c>
      <c r="G390" s="684">
        <f>IFERROR(VLOOKUP($B390,flows!$A$2:$J$2950,G$2,FALSE),0)</f>
        <v>0</v>
      </c>
      <c r="H390" s="684">
        <f>IFERROR(VLOOKUP($B390,flows!$A$2:$J$2950,H$2,FALSE),0)</f>
        <v>0</v>
      </c>
      <c r="I390" s="684">
        <f>IFERROR(VLOOKUP($B390,flows!$A$2:$J$2950,I$2,FALSE),0)</f>
        <v>0</v>
      </c>
      <c r="J390" s="684">
        <f>IFERROR(VLOOKUP($B390,flows!$A$2:$J$2950,J$2,FALSE),0)</f>
        <v>0</v>
      </c>
      <c r="K390" s="684">
        <f>IFERROR(VLOOKUP($B390,flows!$A$2:$J$2950,K$2,FALSE),0)</f>
        <v>0</v>
      </c>
      <c r="L390" s="684">
        <f>IFERROR(VLOOKUP($B390,flows!$A$2:$J$2950,L$2,FALSE),0)</f>
        <v>0</v>
      </c>
      <c r="M390" s="685" t="s">
        <v>3165</v>
      </c>
    </row>
    <row r="391" spans="2:13" ht="20.149999999999999" customHeight="1" x14ac:dyDescent="0.35">
      <c r="B391" s="682" t="s">
        <v>3612</v>
      </c>
      <c r="C391" s="683" t="s">
        <v>3606</v>
      </c>
      <c r="D391" s="683" t="s">
        <v>3607</v>
      </c>
      <c r="E391" s="684">
        <f>IFERROR(VLOOKUP($B391,flows!$A$2:$J$2950,E$2,FALSE),0)</f>
        <v>0</v>
      </c>
      <c r="F391" s="684">
        <f>IFERROR(VLOOKUP($B391,flows!$A$2:$J$2950,F$2,FALSE),0)</f>
        <v>0</v>
      </c>
      <c r="G391" s="684">
        <f>IFERROR(VLOOKUP($B391,flows!$A$2:$J$2950,G$2,FALSE),0)</f>
        <v>0</v>
      </c>
      <c r="H391" s="684">
        <f>IFERROR(VLOOKUP($B391,flows!$A$2:$J$2950,H$2,FALSE),0)</f>
        <v>0</v>
      </c>
      <c r="I391" s="684">
        <f>IFERROR(VLOOKUP($B391,flows!$A$2:$J$2950,I$2,FALSE),0)</f>
        <v>0</v>
      </c>
      <c r="J391" s="684">
        <f>IFERROR(VLOOKUP($B391,flows!$A$2:$J$2950,J$2,FALSE),0)</f>
        <v>0</v>
      </c>
      <c r="K391" s="684">
        <f>IFERROR(VLOOKUP($B391,flows!$A$2:$J$2950,K$2,FALSE),0)</f>
        <v>0</v>
      </c>
      <c r="L391" s="684">
        <f>IFERROR(VLOOKUP($B391,flows!$A$2:$J$2950,L$2,FALSE),0)</f>
        <v>0</v>
      </c>
      <c r="M391" s="685" t="s">
        <v>3165</v>
      </c>
    </row>
    <row r="392" spans="2:13" ht="20.149999999999999" customHeight="1" x14ac:dyDescent="0.35">
      <c r="B392" s="682" t="s">
        <v>3613</v>
      </c>
      <c r="C392" s="683" t="s">
        <v>3606</v>
      </c>
      <c r="D392" s="683" t="s">
        <v>3607</v>
      </c>
      <c r="E392" s="684">
        <f>IFERROR(VLOOKUP($B392,flows!$A$2:$J$2950,E$2,FALSE),0)</f>
        <v>0</v>
      </c>
      <c r="F392" s="684">
        <f>IFERROR(VLOOKUP($B392,flows!$A$2:$J$2950,F$2,FALSE),0)</f>
        <v>0</v>
      </c>
      <c r="G392" s="684">
        <f>IFERROR(VLOOKUP($B392,flows!$A$2:$J$2950,G$2,FALSE),0)</f>
        <v>0</v>
      </c>
      <c r="H392" s="684">
        <f>IFERROR(VLOOKUP($B392,flows!$A$2:$J$2950,H$2,FALSE),0)</f>
        <v>0</v>
      </c>
      <c r="I392" s="684">
        <f>IFERROR(VLOOKUP($B392,flows!$A$2:$J$2950,I$2,FALSE),0)</f>
        <v>0</v>
      </c>
      <c r="J392" s="684">
        <f>IFERROR(VLOOKUP($B392,flows!$A$2:$J$2950,J$2,FALSE),0)</f>
        <v>0</v>
      </c>
      <c r="K392" s="684">
        <f>IFERROR(VLOOKUP($B392,flows!$A$2:$J$2950,K$2,FALSE),0)</f>
        <v>0</v>
      </c>
      <c r="L392" s="684">
        <f>IFERROR(VLOOKUP($B392,flows!$A$2:$J$2950,L$2,FALSE),0)</f>
        <v>0</v>
      </c>
      <c r="M392" s="685" t="s">
        <v>3165</v>
      </c>
    </row>
    <row r="393" spans="2:13" ht="20.149999999999999" customHeight="1" x14ac:dyDescent="0.35">
      <c r="B393" s="682" t="s">
        <v>3614</v>
      </c>
      <c r="C393" s="683" t="s">
        <v>3606</v>
      </c>
      <c r="D393" s="683" t="s">
        <v>3607</v>
      </c>
      <c r="E393" s="684">
        <f>IFERROR(VLOOKUP($B393,flows!$A$2:$J$2950,E$2,FALSE),0)</f>
        <v>0</v>
      </c>
      <c r="F393" s="684">
        <f>IFERROR(VLOOKUP($B393,flows!$A$2:$J$2950,F$2,FALSE),0)</f>
        <v>0</v>
      </c>
      <c r="G393" s="684">
        <f>IFERROR(VLOOKUP($B393,flows!$A$2:$J$2950,G$2,FALSE),0)</f>
        <v>0</v>
      </c>
      <c r="H393" s="684">
        <f>IFERROR(VLOOKUP($B393,flows!$A$2:$J$2950,H$2,FALSE),0)</f>
        <v>0</v>
      </c>
      <c r="I393" s="684">
        <f>IFERROR(VLOOKUP($B393,flows!$A$2:$J$2950,I$2,FALSE),0)</f>
        <v>0</v>
      </c>
      <c r="J393" s="684">
        <f>IFERROR(VLOOKUP($B393,flows!$A$2:$J$2950,J$2,FALSE),0)</f>
        <v>0</v>
      </c>
      <c r="K393" s="684">
        <f>IFERROR(VLOOKUP($B393,flows!$A$2:$J$2950,K$2,FALSE),0)</f>
        <v>0</v>
      </c>
      <c r="L393" s="684">
        <f>IFERROR(VLOOKUP($B393,flows!$A$2:$J$2950,L$2,FALSE),0)</f>
        <v>0</v>
      </c>
      <c r="M393" s="685" t="s">
        <v>3165</v>
      </c>
    </row>
    <row r="394" spans="2:13" ht="20.149999999999999" customHeight="1" x14ac:dyDescent="0.35">
      <c r="B394" s="682" t="s">
        <v>3615</v>
      </c>
      <c r="C394" s="683" t="s">
        <v>3606</v>
      </c>
      <c r="D394" s="683" t="s">
        <v>3607</v>
      </c>
      <c r="E394" s="684">
        <f>IFERROR(VLOOKUP($B394,flows!$A$2:$J$2950,E$2,FALSE),0)</f>
        <v>0</v>
      </c>
      <c r="F394" s="684">
        <f>IFERROR(VLOOKUP($B394,flows!$A$2:$J$2950,F$2,FALSE),0)</f>
        <v>0</v>
      </c>
      <c r="G394" s="684">
        <f>IFERROR(VLOOKUP($B394,flows!$A$2:$J$2950,G$2,FALSE),0)</f>
        <v>0</v>
      </c>
      <c r="H394" s="684">
        <f>IFERROR(VLOOKUP($B394,flows!$A$2:$J$2950,H$2,FALSE),0)</f>
        <v>0</v>
      </c>
      <c r="I394" s="684">
        <f>IFERROR(VLOOKUP($B394,flows!$A$2:$J$2950,I$2,FALSE),0)</f>
        <v>0</v>
      </c>
      <c r="J394" s="684">
        <f>IFERROR(VLOOKUP($B394,flows!$A$2:$J$2950,J$2,FALSE),0)</f>
        <v>0</v>
      </c>
      <c r="K394" s="684">
        <f>IFERROR(VLOOKUP($B394,flows!$A$2:$J$2950,K$2,FALSE),0)</f>
        <v>0</v>
      </c>
      <c r="L394" s="684">
        <f>IFERROR(VLOOKUP($B394,flows!$A$2:$J$2950,L$2,FALSE),0)</f>
        <v>0</v>
      </c>
      <c r="M394" s="685" t="s">
        <v>3165</v>
      </c>
    </row>
    <row r="395" spans="2:13" ht="20.149999999999999" customHeight="1" x14ac:dyDescent="0.35">
      <c r="B395" s="686" t="s">
        <v>3548</v>
      </c>
      <c r="C395" s="683" t="s">
        <v>2825</v>
      </c>
      <c r="D395" s="683" t="s">
        <v>3549</v>
      </c>
      <c r="E395" s="687">
        <f t="shared" ref="E395:L395" si="70">SUM(E386:E394)</f>
        <v>0</v>
      </c>
      <c r="F395" s="687">
        <f t="shared" si="70"/>
        <v>0</v>
      </c>
      <c r="G395" s="687">
        <f t="shared" si="70"/>
        <v>0</v>
      </c>
      <c r="H395" s="687">
        <f t="shared" si="70"/>
        <v>0</v>
      </c>
      <c r="I395" s="687">
        <f t="shared" si="70"/>
        <v>0</v>
      </c>
      <c r="J395" s="687">
        <f t="shared" si="70"/>
        <v>0</v>
      </c>
      <c r="K395" s="687">
        <f t="shared" si="70"/>
        <v>0</v>
      </c>
      <c r="L395" s="687">
        <f t="shared" si="70"/>
        <v>0</v>
      </c>
      <c r="M395" s="685" t="s">
        <v>3165</v>
      </c>
    </row>
    <row r="396" spans="2:13" ht="20.149999999999999" customHeight="1" x14ac:dyDescent="0.35">
      <c r="B396" s="605" t="s">
        <v>3616</v>
      </c>
      <c r="C396" s="606" t="s">
        <v>3606</v>
      </c>
      <c r="D396" s="606" t="s">
        <v>3607</v>
      </c>
      <c r="E396" s="651">
        <f>IFERROR(VLOOKUP($B396,flows!$A$2:$J$2950,E$2,FALSE),0)</f>
        <v>0</v>
      </c>
      <c r="F396" s="651">
        <f>IFERROR(VLOOKUP($B396,flows!$A$2:$J$2950,F$2,FALSE),0)</f>
        <v>0</v>
      </c>
      <c r="G396" s="651">
        <f>IFERROR(VLOOKUP($B396,flows!$A$2:$J$2950,G$2,FALSE),0)</f>
        <v>0</v>
      </c>
      <c r="H396" s="651">
        <f>IFERROR(VLOOKUP($B396,flows!$A$2:$J$2950,H$2,FALSE),0)</f>
        <v>0</v>
      </c>
      <c r="I396" s="651">
        <f>IFERROR(VLOOKUP($B396,flows!$A$2:$J$2950,I$2,FALSE),0)</f>
        <v>0</v>
      </c>
      <c r="J396" s="651">
        <f>IFERROR(VLOOKUP($B396,flows!$A$2:$J$2950,J$2,FALSE),0)</f>
        <v>0</v>
      </c>
      <c r="K396" s="651">
        <f>IFERROR(VLOOKUP($B396,flows!$A$2:$J$2950,K$2,FALSE),0)</f>
        <v>0</v>
      </c>
      <c r="L396" s="651">
        <f>IFERROR(VLOOKUP($B396,flows!$A$2:$J$2950,L$2,FALSE),0)</f>
        <v>0</v>
      </c>
      <c r="M396" s="524" t="s">
        <v>3165</v>
      </c>
    </row>
    <row r="397" spans="2:13" ht="20.149999999999999" customHeight="1" x14ac:dyDescent="0.35">
      <c r="B397" s="605" t="s">
        <v>3617</v>
      </c>
      <c r="C397" s="606" t="s">
        <v>3606</v>
      </c>
      <c r="D397" s="606" t="s">
        <v>3607</v>
      </c>
      <c r="E397" s="651">
        <f>IFERROR(VLOOKUP($B397,flows!$A$2:$J$2950,E$2,FALSE),0)</f>
        <v>0</v>
      </c>
      <c r="F397" s="651">
        <f>IFERROR(VLOOKUP($B397,flows!$A$2:$J$2950,F$2,FALSE),0)</f>
        <v>0</v>
      </c>
      <c r="G397" s="651">
        <f>IFERROR(VLOOKUP($B397,flows!$A$2:$J$2950,G$2,FALSE),0)</f>
        <v>0</v>
      </c>
      <c r="H397" s="651">
        <f>IFERROR(VLOOKUP($B397,flows!$A$2:$J$2950,H$2,FALSE),0)</f>
        <v>0</v>
      </c>
      <c r="I397" s="651">
        <f>IFERROR(VLOOKUP($B397,flows!$A$2:$J$2950,I$2,FALSE),0)</f>
        <v>0</v>
      </c>
      <c r="J397" s="651">
        <f>IFERROR(VLOOKUP($B397,flows!$A$2:$J$2950,J$2,FALSE),0)</f>
        <v>0</v>
      </c>
      <c r="K397" s="651">
        <f>IFERROR(VLOOKUP($B397,flows!$A$2:$J$2950,K$2,FALSE),0)</f>
        <v>0</v>
      </c>
      <c r="L397" s="651">
        <f>IFERROR(VLOOKUP($B397,flows!$A$2:$J$2950,L$2,FALSE),0)</f>
        <v>0</v>
      </c>
      <c r="M397" s="524" t="s">
        <v>3165</v>
      </c>
    </row>
    <row r="398" spans="2:13" ht="20.149999999999999" customHeight="1" x14ac:dyDescent="0.35">
      <c r="B398" s="605" t="s">
        <v>3618</v>
      </c>
      <c r="C398" s="606" t="s">
        <v>3606</v>
      </c>
      <c r="D398" s="606" t="s">
        <v>3607</v>
      </c>
      <c r="E398" s="651">
        <f>IFERROR(VLOOKUP($B398,flows!$A$2:$J$2950,E$2,FALSE),0)</f>
        <v>0</v>
      </c>
      <c r="F398" s="651">
        <f>IFERROR(VLOOKUP($B398,flows!$A$2:$J$2950,F$2,FALSE),0)</f>
        <v>0</v>
      </c>
      <c r="G398" s="651">
        <f>IFERROR(VLOOKUP($B398,flows!$A$2:$J$2950,G$2,FALSE),0)</f>
        <v>0</v>
      </c>
      <c r="H398" s="651">
        <f>IFERROR(VLOOKUP($B398,flows!$A$2:$J$2950,H$2,FALSE),0)</f>
        <v>0</v>
      </c>
      <c r="I398" s="651">
        <f>IFERROR(VLOOKUP($B398,flows!$A$2:$J$2950,I$2,FALSE),0)</f>
        <v>0</v>
      </c>
      <c r="J398" s="651">
        <f>IFERROR(VLOOKUP($B398,flows!$A$2:$J$2950,J$2,FALSE),0)</f>
        <v>0</v>
      </c>
      <c r="K398" s="651">
        <f>IFERROR(VLOOKUP($B398,flows!$A$2:$J$2950,K$2,FALSE),0)</f>
        <v>0</v>
      </c>
      <c r="L398" s="651">
        <f>IFERROR(VLOOKUP($B398,flows!$A$2:$J$2950,L$2,FALSE),0)</f>
        <v>0</v>
      </c>
      <c r="M398" s="524" t="s">
        <v>3165</v>
      </c>
    </row>
    <row r="399" spans="2:13" ht="20.149999999999999" customHeight="1" x14ac:dyDescent="0.35">
      <c r="B399" s="605" t="s">
        <v>3619</v>
      </c>
      <c r="C399" s="606" t="s">
        <v>3606</v>
      </c>
      <c r="D399" s="606" t="s">
        <v>3607</v>
      </c>
      <c r="E399" s="651">
        <f>IFERROR(VLOOKUP($B399,flows!$A$2:$J$2950,E$2,FALSE),0)</f>
        <v>0</v>
      </c>
      <c r="F399" s="651">
        <f>IFERROR(VLOOKUP($B399,flows!$A$2:$J$2950,F$2,FALSE),0)</f>
        <v>0</v>
      </c>
      <c r="G399" s="651">
        <f>IFERROR(VLOOKUP($B399,flows!$A$2:$J$2950,G$2,FALSE),0)</f>
        <v>0</v>
      </c>
      <c r="H399" s="651">
        <f>IFERROR(VLOOKUP($B399,flows!$A$2:$J$2950,H$2,FALSE),0)</f>
        <v>0</v>
      </c>
      <c r="I399" s="651">
        <f>IFERROR(VLOOKUP($B399,flows!$A$2:$J$2950,I$2,FALSE),0)</f>
        <v>0</v>
      </c>
      <c r="J399" s="651">
        <f>IFERROR(VLOOKUP($B399,flows!$A$2:$J$2950,J$2,FALSE),0)</f>
        <v>0</v>
      </c>
      <c r="K399" s="651">
        <f>IFERROR(VLOOKUP($B399,flows!$A$2:$J$2950,K$2,FALSE),0)</f>
        <v>0</v>
      </c>
      <c r="L399" s="651">
        <f>IFERROR(VLOOKUP($B399,flows!$A$2:$J$2950,L$2,FALSE),0)</f>
        <v>0</v>
      </c>
      <c r="M399" s="524" t="s">
        <v>3165</v>
      </c>
    </row>
    <row r="400" spans="2:13" ht="20.149999999999999" customHeight="1" x14ac:dyDescent="0.35">
      <c r="B400" s="605" t="s">
        <v>3620</v>
      </c>
      <c r="C400" s="606" t="s">
        <v>3606</v>
      </c>
      <c r="D400" s="606" t="s">
        <v>3607</v>
      </c>
      <c r="E400" s="651">
        <f>IFERROR(VLOOKUP($B400,flows!$A$2:$J$2950,E$2,FALSE),0)</f>
        <v>0</v>
      </c>
      <c r="F400" s="651">
        <f>IFERROR(VLOOKUP($B400,flows!$A$2:$J$2950,F$2,FALSE),0)</f>
        <v>0</v>
      </c>
      <c r="G400" s="651">
        <f>IFERROR(VLOOKUP($B400,flows!$A$2:$J$2950,G$2,FALSE),0)</f>
        <v>0</v>
      </c>
      <c r="H400" s="651">
        <f>IFERROR(VLOOKUP($B400,flows!$A$2:$J$2950,H$2,FALSE),0)</f>
        <v>0</v>
      </c>
      <c r="I400" s="651">
        <f>IFERROR(VLOOKUP($B400,flows!$A$2:$J$2950,I$2,FALSE),0)</f>
        <v>0</v>
      </c>
      <c r="J400" s="651">
        <f>IFERROR(VLOOKUP($B400,flows!$A$2:$J$2950,J$2,FALSE),0)</f>
        <v>0</v>
      </c>
      <c r="K400" s="651">
        <f>IFERROR(VLOOKUP($B400,flows!$A$2:$J$2950,K$2,FALSE),0)</f>
        <v>0</v>
      </c>
      <c r="L400" s="651">
        <f>IFERROR(VLOOKUP($B400,flows!$A$2:$J$2950,L$2,FALSE),0)</f>
        <v>0</v>
      </c>
      <c r="M400" s="524" t="s">
        <v>3165</v>
      </c>
    </row>
    <row r="401" spans="2:13" ht="20.149999999999999" customHeight="1" x14ac:dyDescent="0.35">
      <c r="B401" s="605" t="s">
        <v>3621</v>
      </c>
      <c r="C401" s="606" t="s">
        <v>3606</v>
      </c>
      <c r="D401" s="606" t="s">
        <v>3607</v>
      </c>
      <c r="E401" s="651">
        <f>IFERROR(VLOOKUP($B401,flows!$A$2:$J$2950,E$2,FALSE),0)</f>
        <v>0</v>
      </c>
      <c r="F401" s="651">
        <f>IFERROR(VLOOKUP($B401,flows!$A$2:$J$2950,F$2,FALSE),0)</f>
        <v>0</v>
      </c>
      <c r="G401" s="651">
        <f>IFERROR(VLOOKUP($B401,flows!$A$2:$J$2950,G$2,FALSE),0)</f>
        <v>0</v>
      </c>
      <c r="H401" s="651">
        <f>IFERROR(VLOOKUP($B401,flows!$A$2:$J$2950,H$2,FALSE),0)</f>
        <v>0</v>
      </c>
      <c r="I401" s="651">
        <f>IFERROR(VLOOKUP($B401,flows!$A$2:$J$2950,I$2,FALSE),0)</f>
        <v>0</v>
      </c>
      <c r="J401" s="651">
        <f>IFERROR(VLOOKUP($B401,flows!$A$2:$J$2950,J$2,FALSE),0)</f>
        <v>0</v>
      </c>
      <c r="K401" s="651">
        <f>IFERROR(VLOOKUP($B401,flows!$A$2:$J$2950,K$2,FALSE),0)</f>
        <v>0</v>
      </c>
      <c r="L401" s="651">
        <f>IFERROR(VLOOKUP($B401,flows!$A$2:$J$2950,L$2,FALSE),0)</f>
        <v>0</v>
      </c>
      <c r="M401" s="524" t="s">
        <v>3165</v>
      </c>
    </row>
    <row r="402" spans="2:13" ht="20.149999999999999" customHeight="1" x14ac:dyDescent="0.35">
      <c r="B402" s="605" t="s">
        <v>3622</v>
      </c>
      <c r="C402" s="606" t="s">
        <v>3606</v>
      </c>
      <c r="D402" s="606" t="s">
        <v>3607</v>
      </c>
      <c r="E402" s="651">
        <f>IFERROR(VLOOKUP($B402,flows!$A$2:$J$2950,E$2,FALSE),0)</f>
        <v>0</v>
      </c>
      <c r="F402" s="651">
        <f>IFERROR(VLOOKUP($B402,flows!$A$2:$J$2950,F$2,FALSE),0)</f>
        <v>0</v>
      </c>
      <c r="G402" s="651">
        <f>IFERROR(VLOOKUP($B402,flows!$A$2:$J$2950,G$2,FALSE),0)</f>
        <v>0</v>
      </c>
      <c r="H402" s="651">
        <f>IFERROR(VLOOKUP($B402,flows!$A$2:$J$2950,H$2,FALSE),0)</f>
        <v>0</v>
      </c>
      <c r="I402" s="651">
        <f>IFERROR(VLOOKUP($B402,flows!$A$2:$J$2950,I$2,FALSE),0)</f>
        <v>0</v>
      </c>
      <c r="J402" s="651">
        <f>IFERROR(VLOOKUP($B402,flows!$A$2:$J$2950,J$2,FALSE),0)</f>
        <v>0</v>
      </c>
      <c r="K402" s="651">
        <f>IFERROR(VLOOKUP($B402,flows!$A$2:$J$2950,K$2,FALSE),0)</f>
        <v>0</v>
      </c>
      <c r="L402" s="651">
        <f>IFERROR(VLOOKUP($B402,flows!$A$2:$J$2950,L$2,FALSE),0)</f>
        <v>0</v>
      </c>
      <c r="M402" s="524" t="s">
        <v>3165</v>
      </c>
    </row>
    <row r="403" spans="2:13" ht="20.149999999999999" customHeight="1" x14ac:dyDescent="0.35">
      <c r="B403" s="605" t="s">
        <v>3623</v>
      </c>
      <c r="C403" s="606" t="s">
        <v>3606</v>
      </c>
      <c r="D403" s="606" t="s">
        <v>3607</v>
      </c>
      <c r="E403" s="651">
        <f>IFERROR(VLOOKUP($B403,flows!$A$2:$J$2950,E$2,FALSE),0)</f>
        <v>0</v>
      </c>
      <c r="F403" s="651">
        <f>IFERROR(VLOOKUP($B403,flows!$A$2:$J$2950,F$2,FALSE),0)</f>
        <v>0</v>
      </c>
      <c r="G403" s="651">
        <f>IFERROR(VLOOKUP($B403,flows!$A$2:$J$2950,G$2,FALSE),0)</f>
        <v>0</v>
      </c>
      <c r="H403" s="651">
        <f>IFERROR(VLOOKUP($B403,flows!$A$2:$J$2950,H$2,FALSE),0)</f>
        <v>0</v>
      </c>
      <c r="I403" s="651">
        <f>IFERROR(VLOOKUP($B403,flows!$A$2:$J$2950,I$2,FALSE),0)</f>
        <v>0</v>
      </c>
      <c r="J403" s="651">
        <f>IFERROR(VLOOKUP($B403,flows!$A$2:$J$2950,J$2,FALSE),0)</f>
        <v>0</v>
      </c>
      <c r="K403" s="651">
        <f>IFERROR(VLOOKUP($B403,flows!$A$2:$J$2950,K$2,FALSE),0)</f>
        <v>0</v>
      </c>
      <c r="L403" s="651">
        <f>IFERROR(VLOOKUP($B403,flows!$A$2:$J$2950,L$2,FALSE),0)</f>
        <v>0</v>
      </c>
      <c r="M403" s="524" t="s">
        <v>3165</v>
      </c>
    </row>
    <row r="404" spans="2:13" ht="20.149999999999999" customHeight="1" x14ac:dyDescent="0.35">
      <c r="B404" s="605" t="s">
        <v>3624</v>
      </c>
      <c r="C404" s="606" t="s">
        <v>3606</v>
      </c>
      <c r="D404" s="606" t="s">
        <v>3607</v>
      </c>
      <c r="E404" s="651">
        <f>IFERROR(VLOOKUP($B404,flows!$A$2:$J$2950,E$2,FALSE),0)</f>
        <v>0</v>
      </c>
      <c r="F404" s="651">
        <f>IFERROR(VLOOKUP($B404,flows!$A$2:$J$2950,F$2,FALSE),0)</f>
        <v>0</v>
      </c>
      <c r="G404" s="651">
        <f>IFERROR(VLOOKUP($B404,flows!$A$2:$J$2950,G$2,FALSE),0)</f>
        <v>0</v>
      </c>
      <c r="H404" s="651">
        <f>IFERROR(VLOOKUP($B404,flows!$A$2:$J$2950,H$2,FALSE),0)</f>
        <v>0</v>
      </c>
      <c r="I404" s="651">
        <f>IFERROR(VLOOKUP($B404,flows!$A$2:$J$2950,I$2,FALSE),0)</f>
        <v>0</v>
      </c>
      <c r="J404" s="651">
        <f>IFERROR(VLOOKUP($B404,flows!$A$2:$J$2950,J$2,FALSE),0)</f>
        <v>0</v>
      </c>
      <c r="K404" s="651">
        <f>IFERROR(VLOOKUP($B404,flows!$A$2:$J$2950,K$2,FALSE),0)</f>
        <v>0</v>
      </c>
      <c r="L404" s="651">
        <f>IFERROR(VLOOKUP($B404,flows!$A$2:$J$2950,L$2,FALSE),0)</f>
        <v>0</v>
      </c>
      <c r="M404" s="524" t="s">
        <v>3165</v>
      </c>
    </row>
    <row r="405" spans="2:13" ht="20.149999999999999" customHeight="1" x14ac:dyDescent="0.35">
      <c r="B405" s="652" t="s">
        <v>3548</v>
      </c>
      <c r="C405" s="606" t="s">
        <v>2825</v>
      </c>
      <c r="D405" s="606" t="s">
        <v>3549</v>
      </c>
      <c r="E405" s="653">
        <f t="shared" ref="E405:L405" si="71">SUM(E396:E404)</f>
        <v>0</v>
      </c>
      <c r="F405" s="653">
        <f t="shared" si="71"/>
        <v>0</v>
      </c>
      <c r="G405" s="653">
        <f t="shared" si="71"/>
        <v>0</v>
      </c>
      <c r="H405" s="653">
        <f t="shared" si="71"/>
        <v>0</v>
      </c>
      <c r="I405" s="653">
        <f t="shared" si="71"/>
        <v>0</v>
      </c>
      <c r="J405" s="653">
        <f t="shared" si="71"/>
        <v>0</v>
      </c>
      <c r="K405" s="653">
        <f t="shared" si="71"/>
        <v>0</v>
      </c>
      <c r="L405" s="653">
        <f t="shared" si="71"/>
        <v>0</v>
      </c>
      <c r="M405" s="524" t="s">
        <v>3165</v>
      </c>
    </row>
    <row r="406" spans="2:13" ht="20.149999999999999" customHeight="1" x14ac:dyDescent="0.35">
      <c r="B406" s="583" t="s">
        <v>3217</v>
      </c>
      <c r="C406" s="584" t="s">
        <v>3237</v>
      </c>
      <c r="D406" s="584" t="s">
        <v>3238</v>
      </c>
      <c r="E406" s="585">
        <f t="shared" ref="E406:L406" si="72">SUM(E395+E405)</f>
        <v>0</v>
      </c>
      <c r="F406" s="585">
        <f t="shared" si="72"/>
        <v>0</v>
      </c>
      <c r="G406" s="585">
        <f t="shared" si="72"/>
        <v>0</v>
      </c>
      <c r="H406" s="585">
        <f t="shared" si="72"/>
        <v>0</v>
      </c>
      <c r="I406" s="585">
        <f t="shared" si="72"/>
        <v>0</v>
      </c>
      <c r="J406" s="585">
        <f t="shared" si="72"/>
        <v>0</v>
      </c>
      <c r="K406" s="585">
        <f t="shared" si="72"/>
        <v>0</v>
      </c>
      <c r="L406" s="585">
        <f t="shared" si="72"/>
        <v>0</v>
      </c>
      <c r="M406" s="586" t="s">
        <v>3165</v>
      </c>
    </row>
    <row r="407" spans="2:13" ht="20.149999999999999" customHeight="1" x14ac:dyDescent="0.35">
      <c r="B407" s="619" t="s">
        <v>3625</v>
      </c>
      <c r="C407" s="620" t="s">
        <v>3606</v>
      </c>
      <c r="D407" s="620" t="s">
        <v>3607</v>
      </c>
      <c r="E407" s="654">
        <f>IFERROR(VLOOKUP($B407,flows!$A$2:$J$2950,E$2,FALSE),0)</f>
        <v>0</v>
      </c>
      <c r="F407" s="654">
        <f>IFERROR(VLOOKUP($B407,flows!$A$2:$J$2950,F$2,FALSE),0)</f>
        <v>0</v>
      </c>
      <c r="G407" s="654">
        <f>IFERROR(VLOOKUP($B407,flows!$A$2:$J$2950,G$2,FALSE),0)</f>
        <v>0</v>
      </c>
      <c r="H407" s="654">
        <f>IFERROR(VLOOKUP($B407,flows!$A$2:$J$2950,H$2,FALSE),0)</f>
        <v>0</v>
      </c>
      <c r="I407" s="654">
        <f>IFERROR(VLOOKUP($B407,flows!$A$2:$J$2950,I$2,FALSE),0)</f>
        <v>0</v>
      </c>
      <c r="J407" s="654">
        <f>IFERROR(VLOOKUP($B407,flows!$A$2:$J$2950,J$2,FALSE),0)</f>
        <v>0</v>
      </c>
      <c r="K407" s="654">
        <f>IFERROR(VLOOKUP($B407,flows!$A$2:$J$2950,K$2,FALSE),0)</f>
        <v>0</v>
      </c>
      <c r="L407" s="654">
        <f>IFERROR(VLOOKUP($B407,flows!$A$2:$J$2950,L$2,FALSE),0)</f>
        <v>0</v>
      </c>
      <c r="M407" s="534" t="s">
        <v>3165</v>
      </c>
    </row>
    <row r="408" spans="2:13" ht="20.149999999999999" customHeight="1" x14ac:dyDescent="0.35">
      <c r="B408" s="619" t="s">
        <v>3626</v>
      </c>
      <c r="C408" s="620" t="s">
        <v>3606</v>
      </c>
      <c r="D408" s="620" t="s">
        <v>3607</v>
      </c>
      <c r="E408" s="654">
        <f>IFERROR(VLOOKUP($B408,flows!$A$2:$J$2950,E$2,FALSE),0)</f>
        <v>0</v>
      </c>
      <c r="F408" s="654">
        <f>IFERROR(VLOOKUP($B408,flows!$A$2:$J$2950,F$2,FALSE),0)</f>
        <v>0</v>
      </c>
      <c r="G408" s="654">
        <f>IFERROR(VLOOKUP($B408,flows!$A$2:$J$2950,G$2,FALSE),0)</f>
        <v>0</v>
      </c>
      <c r="H408" s="654">
        <f>IFERROR(VLOOKUP($B408,flows!$A$2:$J$2950,H$2,FALSE),0)</f>
        <v>0</v>
      </c>
      <c r="I408" s="654">
        <f>IFERROR(VLOOKUP($B408,flows!$A$2:$J$2950,I$2,FALSE),0)</f>
        <v>0</v>
      </c>
      <c r="J408" s="654">
        <f>IFERROR(VLOOKUP($B408,flows!$A$2:$J$2950,J$2,FALSE),0)</f>
        <v>0</v>
      </c>
      <c r="K408" s="654">
        <f>IFERROR(VLOOKUP($B408,flows!$A$2:$J$2950,K$2,FALSE),0)</f>
        <v>0</v>
      </c>
      <c r="L408" s="654">
        <f>IFERROR(VLOOKUP($B408,flows!$A$2:$J$2950,L$2,FALSE),0)</f>
        <v>0</v>
      </c>
      <c r="M408" s="534" t="s">
        <v>3165</v>
      </c>
    </row>
    <row r="409" spans="2:13" ht="20.149999999999999" customHeight="1" x14ac:dyDescent="0.35">
      <c r="B409" s="619" t="s">
        <v>3627</v>
      </c>
      <c r="C409" s="620" t="s">
        <v>3606</v>
      </c>
      <c r="D409" s="620" t="s">
        <v>3607</v>
      </c>
      <c r="E409" s="654">
        <f>IFERROR(VLOOKUP($B409,flows!$A$2:$J$2950,E$2,FALSE),0)</f>
        <v>0</v>
      </c>
      <c r="F409" s="654">
        <f>IFERROR(VLOOKUP($B409,flows!$A$2:$J$2950,F$2,FALSE),0)</f>
        <v>0</v>
      </c>
      <c r="G409" s="654">
        <f>IFERROR(VLOOKUP($B409,flows!$A$2:$J$2950,G$2,FALSE),0)</f>
        <v>0</v>
      </c>
      <c r="H409" s="654">
        <f>IFERROR(VLOOKUP($B409,flows!$A$2:$J$2950,H$2,FALSE),0)</f>
        <v>0</v>
      </c>
      <c r="I409" s="654">
        <f>IFERROR(VLOOKUP($B409,flows!$A$2:$J$2950,I$2,FALSE),0)</f>
        <v>0</v>
      </c>
      <c r="J409" s="654">
        <f>IFERROR(VLOOKUP($B409,flows!$A$2:$J$2950,J$2,FALSE),0)</f>
        <v>0</v>
      </c>
      <c r="K409" s="654">
        <f>IFERROR(VLOOKUP($B409,flows!$A$2:$J$2950,K$2,FALSE),0)</f>
        <v>0</v>
      </c>
      <c r="L409" s="654">
        <f>IFERROR(VLOOKUP($B409,flows!$A$2:$J$2950,L$2,FALSE),0)</f>
        <v>0</v>
      </c>
      <c r="M409" s="534" t="s">
        <v>3165</v>
      </c>
    </row>
    <row r="410" spans="2:13" ht="20.149999999999999" customHeight="1" x14ac:dyDescent="0.35">
      <c r="B410" s="619" t="s">
        <v>3628</v>
      </c>
      <c r="C410" s="620" t="s">
        <v>3606</v>
      </c>
      <c r="D410" s="620" t="s">
        <v>3607</v>
      </c>
      <c r="E410" s="654">
        <f>IFERROR(VLOOKUP($B410,flows!$A$2:$J$2950,E$2,FALSE),0)</f>
        <v>0</v>
      </c>
      <c r="F410" s="654">
        <f>IFERROR(VLOOKUP($B410,flows!$A$2:$J$2950,F$2,FALSE),0)</f>
        <v>0</v>
      </c>
      <c r="G410" s="654">
        <f>IFERROR(VLOOKUP($B410,flows!$A$2:$J$2950,G$2,FALSE),0)</f>
        <v>0</v>
      </c>
      <c r="H410" s="654">
        <f>IFERROR(VLOOKUP($B410,flows!$A$2:$J$2950,H$2,FALSE),0)</f>
        <v>0</v>
      </c>
      <c r="I410" s="654">
        <f>IFERROR(VLOOKUP($B410,flows!$A$2:$J$2950,I$2,FALSE),0)</f>
        <v>0</v>
      </c>
      <c r="J410" s="654">
        <f>IFERROR(VLOOKUP($B410,flows!$A$2:$J$2950,J$2,FALSE),0)</f>
        <v>0</v>
      </c>
      <c r="K410" s="654">
        <f>IFERROR(VLOOKUP($B410,flows!$A$2:$J$2950,K$2,FALSE),0)</f>
        <v>0</v>
      </c>
      <c r="L410" s="654">
        <f>IFERROR(VLOOKUP($B410,flows!$A$2:$J$2950,L$2,FALSE),0)</f>
        <v>0</v>
      </c>
      <c r="M410" s="534" t="s">
        <v>3165</v>
      </c>
    </row>
    <row r="411" spans="2:13" ht="20.149999999999999" customHeight="1" x14ac:dyDescent="0.35">
      <c r="B411" s="619" t="s">
        <v>3629</v>
      </c>
      <c r="C411" s="620" t="s">
        <v>3606</v>
      </c>
      <c r="D411" s="620" t="s">
        <v>3607</v>
      </c>
      <c r="E411" s="654">
        <f>IFERROR(VLOOKUP($B411,flows!$A$2:$J$2950,E$2,FALSE),0)</f>
        <v>0</v>
      </c>
      <c r="F411" s="654">
        <f>IFERROR(VLOOKUP($B411,flows!$A$2:$J$2950,F$2,FALSE),0)</f>
        <v>0</v>
      </c>
      <c r="G411" s="654">
        <f>IFERROR(VLOOKUP($B411,flows!$A$2:$J$2950,G$2,FALSE),0)</f>
        <v>0</v>
      </c>
      <c r="H411" s="654">
        <f>IFERROR(VLOOKUP($B411,flows!$A$2:$J$2950,H$2,FALSE),0)</f>
        <v>0</v>
      </c>
      <c r="I411" s="654">
        <f>IFERROR(VLOOKUP($B411,flows!$A$2:$J$2950,I$2,FALSE),0)</f>
        <v>0</v>
      </c>
      <c r="J411" s="654">
        <f>IFERROR(VLOOKUP($B411,flows!$A$2:$J$2950,J$2,FALSE),0)</f>
        <v>0</v>
      </c>
      <c r="K411" s="654">
        <f>IFERROR(VLOOKUP($B411,flows!$A$2:$J$2950,K$2,FALSE),0)</f>
        <v>0</v>
      </c>
      <c r="L411" s="654">
        <f>IFERROR(VLOOKUP($B411,flows!$A$2:$J$2950,L$2,FALSE),0)</f>
        <v>0</v>
      </c>
      <c r="M411" s="534" t="s">
        <v>3165</v>
      </c>
    </row>
    <row r="412" spans="2:13" ht="20.149999999999999" customHeight="1" x14ac:dyDescent="0.35">
      <c r="B412" s="619" t="s">
        <v>3630</v>
      </c>
      <c r="C412" s="620" t="s">
        <v>3606</v>
      </c>
      <c r="D412" s="620" t="s">
        <v>3607</v>
      </c>
      <c r="E412" s="654">
        <f>IFERROR(VLOOKUP($B412,flows!$A$2:$J$2950,E$2,FALSE),0)</f>
        <v>0</v>
      </c>
      <c r="F412" s="654">
        <f>IFERROR(VLOOKUP($B412,flows!$A$2:$J$2950,F$2,FALSE),0)</f>
        <v>0</v>
      </c>
      <c r="G412" s="654">
        <f>IFERROR(VLOOKUP($B412,flows!$A$2:$J$2950,G$2,FALSE),0)</f>
        <v>0</v>
      </c>
      <c r="H412" s="654">
        <f>IFERROR(VLOOKUP($B412,flows!$A$2:$J$2950,H$2,FALSE),0)</f>
        <v>0</v>
      </c>
      <c r="I412" s="654">
        <f>IFERROR(VLOOKUP($B412,flows!$A$2:$J$2950,I$2,FALSE),0)</f>
        <v>0</v>
      </c>
      <c r="J412" s="654">
        <f>IFERROR(VLOOKUP($B412,flows!$A$2:$J$2950,J$2,FALSE),0)</f>
        <v>0</v>
      </c>
      <c r="K412" s="654">
        <f>IFERROR(VLOOKUP($B412,flows!$A$2:$J$2950,K$2,FALSE),0)</f>
        <v>0</v>
      </c>
      <c r="L412" s="654">
        <f>IFERROR(VLOOKUP($B412,flows!$A$2:$J$2950,L$2,FALSE),0)</f>
        <v>0</v>
      </c>
      <c r="M412" s="534" t="s">
        <v>3165</v>
      </c>
    </row>
    <row r="413" spans="2:13" ht="20.149999999999999" customHeight="1" x14ac:dyDescent="0.35">
      <c r="B413" s="619" t="s">
        <v>3631</v>
      </c>
      <c r="C413" s="620" t="s">
        <v>3606</v>
      </c>
      <c r="D413" s="620" t="s">
        <v>3607</v>
      </c>
      <c r="E413" s="654">
        <f>IFERROR(VLOOKUP($B413,flows!$A$2:$J$2950,E$2,FALSE),0)</f>
        <v>0</v>
      </c>
      <c r="F413" s="654">
        <f>IFERROR(VLOOKUP($B413,flows!$A$2:$J$2950,F$2,FALSE),0)</f>
        <v>0</v>
      </c>
      <c r="G413" s="654">
        <f>IFERROR(VLOOKUP($B413,flows!$A$2:$J$2950,G$2,FALSE),0)</f>
        <v>0</v>
      </c>
      <c r="H413" s="654">
        <f>IFERROR(VLOOKUP($B413,flows!$A$2:$J$2950,H$2,FALSE),0)</f>
        <v>0</v>
      </c>
      <c r="I413" s="654">
        <f>IFERROR(VLOOKUP($B413,flows!$A$2:$J$2950,I$2,FALSE),0)</f>
        <v>0</v>
      </c>
      <c r="J413" s="654">
        <f>IFERROR(VLOOKUP($B413,flows!$A$2:$J$2950,J$2,FALSE),0)</f>
        <v>0</v>
      </c>
      <c r="K413" s="654">
        <f>IFERROR(VLOOKUP($B413,flows!$A$2:$J$2950,K$2,FALSE),0)</f>
        <v>0</v>
      </c>
      <c r="L413" s="654">
        <f>IFERROR(VLOOKUP($B413,flows!$A$2:$J$2950,L$2,FALSE),0)</f>
        <v>0</v>
      </c>
      <c r="M413" s="534" t="s">
        <v>3165</v>
      </c>
    </row>
    <row r="414" spans="2:13" ht="20.149999999999999" customHeight="1" x14ac:dyDescent="0.35">
      <c r="B414" s="619" t="s">
        <v>3632</v>
      </c>
      <c r="C414" s="620" t="s">
        <v>3606</v>
      </c>
      <c r="D414" s="620" t="s">
        <v>3607</v>
      </c>
      <c r="E414" s="654">
        <f>IFERROR(VLOOKUP($B414,flows!$A$2:$J$2950,E$2,FALSE),0)</f>
        <v>0</v>
      </c>
      <c r="F414" s="654">
        <f>IFERROR(VLOOKUP($B414,flows!$A$2:$J$2950,F$2,FALSE),0)</f>
        <v>0</v>
      </c>
      <c r="G414" s="654">
        <f>IFERROR(VLOOKUP($B414,flows!$A$2:$J$2950,G$2,FALSE),0)</f>
        <v>0</v>
      </c>
      <c r="H414" s="654">
        <f>IFERROR(VLOOKUP($B414,flows!$A$2:$J$2950,H$2,FALSE),0)</f>
        <v>0</v>
      </c>
      <c r="I414" s="654">
        <f>IFERROR(VLOOKUP($B414,flows!$A$2:$J$2950,I$2,FALSE),0)</f>
        <v>0</v>
      </c>
      <c r="J414" s="654">
        <f>IFERROR(VLOOKUP($B414,flows!$A$2:$J$2950,J$2,FALSE),0)</f>
        <v>0</v>
      </c>
      <c r="K414" s="654">
        <f>IFERROR(VLOOKUP($B414,flows!$A$2:$J$2950,K$2,FALSE),0)</f>
        <v>0</v>
      </c>
      <c r="L414" s="654">
        <f>IFERROR(VLOOKUP($B414,flows!$A$2:$J$2950,L$2,FALSE),0)</f>
        <v>0</v>
      </c>
      <c r="M414" s="534" t="s">
        <v>3165</v>
      </c>
    </row>
    <row r="415" spans="2:13" ht="20.149999999999999" customHeight="1" x14ac:dyDescent="0.35">
      <c r="B415" s="619" t="s">
        <v>3633</v>
      </c>
      <c r="C415" s="620" t="s">
        <v>3606</v>
      </c>
      <c r="D415" s="620" t="s">
        <v>3607</v>
      </c>
      <c r="E415" s="654">
        <f>IFERROR(VLOOKUP($B415,flows!$A$2:$J$2950,E$2,FALSE),0)</f>
        <v>0</v>
      </c>
      <c r="F415" s="654">
        <f>IFERROR(VLOOKUP($B415,flows!$A$2:$J$2950,F$2,FALSE),0)</f>
        <v>0</v>
      </c>
      <c r="G415" s="654">
        <f>IFERROR(VLOOKUP($B415,flows!$A$2:$J$2950,G$2,FALSE),0)</f>
        <v>0</v>
      </c>
      <c r="H415" s="654">
        <f>IFERROR(VLOOKUP($B415,flows!$A$2:$J$2950,H$2,FALSE),0)</f>
        <v>0</v>
      </c>
      <c r="I415" s="654">
        <f>IFERROR(VLOOKUP($B415,flows!$A$2:$J$2950,I$2,FALSE),0)</f>
        <v>0</v>
      </c>
      <c r="J415" s="654">
        <f>IFERROR(VLOOKUP($B415,flows!$A$2:$J$2950,J$2,FALSE),0)</f>
        <v>0</v>
      </c>
      <c r="K415" s="654">
        <f>IFERROR(VLOOKUP($B415,flows!$A$2:$J$2950,K$2,FALSE),0)</f>
        <v>0</v>
      </c>
      <c r="L415" s="654">
        <f>IFERROR(VLOOKUP($B415,flows!$A$2:$J$2950,L$2,FALSE),0)</f>
        <v>0</v>
      </c>
      <c r="M415" s="534" t="s">
        <v>3165</v>
      </c>
    </row>
    <row r="416" spans="2:13" ht="20.149999999999999" customHeight="1" x14ac:dyDescent="0.35">
      <c r="B416" s="655" t="s">
        <v>3548</v>
      </c>
      <c r="C416" s="620" t="s">
        <v>2825</v>
      </c>
      <c r="D416" s="620" t="s">
        <v>3549</v>
      </c>
      <c r="E416" s="656">
        <f t="shared" ref="E416:L416" si="73">SUM(E407:E415)</f>
        <v>0</v>
      </c>
      <c r="F416" s="656">
        <f t="shared" si="73"/>
        <v>0</v>
      </c>
      <c r="G416" s="656">
        <f t="shared" si="73"/>
        <v>0</v>
      </c>
      <c r="H416" s="656">
        <f t="shared" si="73"/>
        <v>0</v>
      </c>
      <c r="I416" s="656">
        <f t="shared" si="73"/>
        <v>0</v>
      </c>
      <c r="J416" s="656">
        <f t="shared" si="73"/>
        <v>0</v>
      </c>
      <c r="K416" s="656">
        <f t="shared" si="73"/>
        <v>0</v>
      </c>
      <c r="L416" s="656">
        <f t="shared" si="73"/>
        <v>0</v>
      </c>
      <c r="M416" s="534" t="s">
        <v>3165</v>
      </c>
    </row>
    <row r="417" spans="2:13" ht="20.149999999999999" customHeight="1" x14ac:dyDescent="0.35">
      <c r="B417" s="621" t="s">
        <v>3634</v>
      </c>
      <c r="C417" s="622" t="s">
        <v>3606</v>
      </c>
      <c r="D417" s="622" t="s">
        <v>3607</v>
      </c>
      <c r="E417" s="657">
        <f>IFERROR(VLOOKUP($B417,flows!$A$2:$J$2950,E$2,FALSE),0)</f>
        <v>0</v>
      </c>
      <c r="F417" s="657">
        <f>IFERROR(VLOOKUP($B417,flows!$A$2:$J$2950,F$2,FALSE),0)</f>
        <v>0</v>
      </c>
      <c r="G417" s="657">
        <f>IFERROR(VLOOKUP($B417,flows!$A$2:$J$2950,G$2,FALSE),0)</f>
        <v>0</v>
      </c>
      <c r="H417" s="657">
        <f>IFERROR(VLOOKUP($B417,flows!$A$2:$J$2950,H$2,FALSE),0)</f>
        <v>0</v>
      </c>
      <c r="I417" s="657">
        <f>IFERROR(VLOOKUP($B417,flows!$A$2:$J$2950,I$2,FALSE),0)</f>
        <v>0</v>
      </c>
      <c r="J417" s="657">
        <f>IFERROR(VLOOKUP($B417,flows!$A$2:$J$2950,J$2,FALSE),0)</f>
        <v>0</v>
      </c>
      <c r="K417" s="657">
        <f>IFERROR(VLOOKUP($B417,flows!$A$2:$J$2950,K$2,FALSE),0)</f>
        <v>0</v>
      </c>
      <c r="L417" s="657">
        <f>IFERROR(VLOOKUP($B417,flows!$A$2:$J$2950,L$2,FALSE),0)</f>
        <v>0</v>
      </c>
      <c r="M417" s="541" t="s">
        <v>3165</v>
      </c>
    </row>
    <row r="418" spans="2:13" ht="20.149999999999999" customHeight="1" x14ac:dyDescent="0.35">
      <c r="B418" s="621" t="s">
        <v>3635</v>
      </c>
      <c r="C418" s="622" t="s">
        <v>3606</v>
      </c>
      <c r="D418" s="622" t="s">
        <v>3607</v>
      </c>
      <c r="E418" s="657">
        <f>IFERROR(VLOOKUP($B418,flows!$A$2:$J$2950,E$2,FALSE),0)</f>
        <v>0</v>
      </c>
      <c r="F418" s="657">
        <f>IFERROR(VLOOKUP($B418,flows!$A$2:$J$2950,F$2,FALSE),0)</f>
        <v>0</v>
      </c>
      <c r="G418" s="657">
        <f>IFERROR(VLOOKUP($B418,flows!$A$2:$J$2950,G$2,FALSE),0)</f>
        <v>0</v>
      </c>
      <c r="H418" s="657">
        <f>IFERROR(VLOOKUP($B418,flows!$A$2:$J$2950,H$2,FALSE),0)</f>
        <v>0</v>
      </c>
      <c r="I418" s="657">
        <f>IFERROR(VLOOKUP($B418,flows!$A$2:$J$2950,I$2,FALSE),0)</f>
        <v>0</v>
      </c>
      <c r="J418" s="657">
        <f>IFERROR(VLOOKUP($B418,flows!$A$2:$J$2950,J$2,FALSE),0)</f>
        <v>0</v>
      </c>
      <c r="K418" s="657">
        <f>IFERROR(VLOOKUP($B418,flows!$A$2:$J$2950,K$2,FALSE),0)</f>
        <v>0</v>
      </c>
      <c r="L418" s="657">
        <f>IFERROR(VLOOKUP($B418,flows!$A$2:$J$2950,L$2,FALSE),0)</f>
        <v>0</v>
      </c>
      <c r="M418" s="541" t="s">
        <v>3165</v>
      </c>
    </row>
    <row r="419" spans="2:13" ht="20.149999999999999" customHeight="1" x14ac:dyDescent="0.35">
      <c r="B419" s="621" t="s">
        <v>3636</v>
      </c>
      <c r="C419" s="622" t="s">
        <v>3606</v>
      </c>
      <c r="D419" s="622" t="s">
        <v>3607</v>
      </c>
      <c r="E419" s="657">
        <f>IFERROR(VLOOKUP($B419,flows!$A$2:$J$2950,E$2,FALSE),0)</f>
        <v>0</v>
      </c>
      <c r="F419" s="657">
        <f>IFERROR(VLOOKUP($B419,flows!$A$2:$J$2950,F$2,FALSE),0)</f>
        <v>0</v>
      </c>
      <c r="G419" s="657">
        <f>IFERROR(VLOOKUP($B419,flows!$A$2:$J$2950,G$2,FALSE),0)</f>
        <v>0</v>
      </c>
      <c r="H419" s="657">
        <f>IFERROR(VLOOKUP($B419,flows!$A$2:$J$2950,H$2,FALSE),0)</f>
        <v>0</v>
      </c>
      <c r="I419" s="657">
        <f>IFERROR(VLOOKUP($B419,flows!$A$2:$J$2950,I$2,FALSE),0)</f>
        <v>0</v>
      </c>
      <c r="J419" s="657">
        <f>IFERROR(VLOOKUP($B419,flows!$A$2:$J$2950,J$2,FALSE),0)</f>
        <v>0</v>
      </c>
      <c r="K419" s="657">
        <f>IFERROR(VLOOKUP($B419,flows!$A$2:$J$2950,K$2,FALSE),0)</f>
        <v>0</v>
      </c>
      <c r="L419" s="657">
        <f>IFERROR(VLOOKUP($B419,flows!$A$2:$J$2950,L$2,FALSE),0)</f>
        <v>0</v>
      </c>
      <c r="M419" s="541" t="s">
        <v>3165</v>
      </c>
    </row>
    <row r="420" spans="2:13" ht="20.149999999999999" customHeight="1" x14ac:dyDescent="0.35">
      <c r="B420" s="621" t="s">
        <v>3637</v>
      </c>
      <c r="C420" s="622" t="s">
        <v>3606</v>
      </c>
      <c r="D420" s="622" t="s">
        <v>3607</v>
      </c>
      <c r="E420" s="657">
        <f>IFERROR(VLOOKUP($B420,flows!$A$2:$J$2950,E$2,FALSE),0)</f>
        <v>0</v>
      </c>
      <c r="F420" s="657">
        <f>IFERROR(VLOOKUP($B420,flows!$A$2:$J$2950,F$2,FALSE),0)</f>
        <v>0</v>
      </c>
      <c r="G420" s="657">
        <f>IFERROR(VLOOKUP($B420,flows!$A$2:$J$2950,G$2,FALSE),0)</f>
        <v>0</v>
      </c>
      <c r="H420" s="657">
        <f>IFERROR(VLOOKUP($B420,flows!$A$2:$J$2950,H$2,FALSE),0)</f>
        <v>0</v>
      </c>
      <c r="I420" s="657">
        <f>IFERROR(VLOOKUP($B420,flows!$A$2:$J$2950,I$2,FALSE),0)</f>
        <v>0</v>
      </c>
      <c r="J420" s="657">
        <f>IFERROR(VLOOKUP($B420,flows!$A$2:$J$2950,J$2,FALSE),0)</f>
        <v>0</v>
      </c>
      <c r="K420" s="657">
        <f>IFERROR(VLOOKUP($B420,flows!$A$2:$J$2950,K$2,FALSE),0)</f>
        <v>0</v>
      </c>
      <c r="L420" s="657">
        <f>IFERROR(VLOOKUP($B420,flows!$A$2:$J$2950,L$2,FALSE),0)</f>
        <v>0</v>
      </c>
      <c r="M420" s="541" t="s">
        <v>3165</v>
      </c>
    </row>
    <row r="421" spans="2:13" ht="20.149999999999999" customHeight="1" x14ac:dyDescent="0.35">
      <c r="B421" s="621" t="s">
        <v>3638</v>
      </c>
      <c r="C421" s="622" t="s">
        <v>3606</v>
      </c>
      <c r="D421" s="622" t="s">
        <v>3607</v>
      </c>
      <c r="E421" s="657">
        <f>IFERROR(VLOOKUP($B421,flows!$A$2:$J$2950,E$2,FALSE),0)</f>
        <v>0</v>
      </c>
      <c r="F421" s="657">
        <f>IFERROR(VLOOKUP($B421,flows!$A$2:$J$2950,F$2,FALSE),0)</f>
        <v>0</v>
      </c>
      <c r="G421" s="657">
        <f>IFERROR(VLOOKUP($B421,flows!$A$2:$J$2950,G$2,FALSE),0)</f>
        <v>0</v>
      </c>
      <c r="H421" s="657">
        <f>IFERROR(VLOOKUP($B421,flows!$A$2:$J$2950,H$2,FALSE),0)</f>
        <v>0</v>
      </c>
      <c r="I421" s="657">
        <f>IFERROR(VLOOKUP($B421,flows!$A$2:$J$2950,I$2,FALSE),0)</f>
        <v>0</v>
      </c>
      <c r="J421" s="657">
        <f>IFERROR(VLOOKUP($B421,flows!$A$2:$J$2950,J$2,FALSE),0)</f>
        <v>0</v>
      </c>
      <c r="K421" s="657">
        <f>IFERROR(VLOOKUP($B421,flows!$A$2:$J$2950,K$2,FALSE),0)</f>
        <v>0</v>
      </c>
      <c r="L421" s="657">
        <f>IFERROR(VLOOKUP($B421,flows!$A$2:$J$2950,L$2,FALSE),0)</f>
        <v>0</v>
      </c>
      <c r="M421" s="541" t="s">
        <v>3165</v>
      </c>
    </row>
    <row r="422" spans="2:13" ht="20.149999999999999" customHeight="1" x14ac:dyDescent="0.35">
      <c r="B422" s="621" t="s">
        <v>3639</v>
      </c>
      <c r="C422" s="622" t="s">
        <v>3606</v>
      </c>
      <c r="D422" s="622" t="s">
        <v>3607</v>
      </c>
      <c r="E422" s="657">
        <f>IFERROR(VLOOKUP($B422,flows!$A$2:$J$2950,E$2,FALSE),0)</f>
        <v>0</v>
      </c>
      <c r="F422" s="657">
        <f>IFERROR(VLOOKUP($B422,flows!$A$2:$J$2950,F$2,FALSE),0)</f>
        <v>0</v>
      </c>
      <c r="G422" s="657">
        <f>IFERROR(VLOOKUP($B422,flows!$A$2:$J$2950,G$2,FALSE),0)</f>
        <v>0</v>
      </c>
      <c r="H422" s="657">
        <f>IFERROR(VLOOKUP($B422,flows!$A$2:$J$2950,H$2,FALSE),0)</f>
        <v>0</v>
      </c>
      <c r="I422" s="657">
        <f>IFERROR(VLOOKUP($B422,flows!$A$2:$J$2950,I$2,FALSE),0)</f>
        <v>0</v>
      </c>
      <c r="J422" s="657">
        <f>IFERROR(VLOOKUP($B422,flows!$A$2:$J$2950,J$2,FALSE),0)</f>
        <v>0</v>
      </c>
      <c r="K422" s="657">
        <f>IFERROR(VLOOKUP($B422,flows!$A$2:$J$2950,K$2,FALSE),0)</f>
        <v>0</v>
      </c>
      <c r="L422" s="657">
        <f>IFERROR(VLOOKUP($B422,flows!$A$2:$J$2950,L$2,FALSE),0)</f>
        <v>0</v>
      </c>
      <c r="M422" s="541" t="s">
        <v>3165</v>
      </c>
    </row>
    <row r="423" spans="2:13" ht="20.149999999999999" customHeight="1" x14ac:dyDescent="0.35">
      <c r="B423" s="621" t="s">
        <v>3640</v>
      </c>
      <c r="C423" s="622" t="s">
        <v>3606</v>
      </c>
      <c r="D423" s="622" t="s">
        <v>3607</v>
      </c>
      <c r="E423" s="657">
        <f>IFERROR(VLOOKUP($B423,flows!$A$2:$J$2950,E$2,FALSE),0)</f>
        <v>0</v>
      </c>
      <c r="F423" s="657">
        <f>IFERROR(VLOOKUP($B423,flows!$A$2:$J$2950,F$2,FALSE),0)</f>
        <v>0</v>
      </c>
      <c r="G423" s="657">
        <f>IFERROR(VLOOKUP($B423,flows!$A$2:$J$2950,G$2,FALSE),0)</f>
        <v>0</v>
      </c>
      <c r="H423" s="657">
        <f>IFERROR(VLOOKUP($B423,flows!$A$2:$J$2950,H$2,FALSE),0)</f>
        <v>0</v>
      </c>
      <c r="I423" s="657">
        <f>IFERROR(VLOOKUP($B423,flows!$A$2:$J$2950,I$2,FALSE),0)</f>
        <v>0</v>
      </c>
      <c r="J423" s="657">
        <f>IFERROR(VLOOKUP($B423,flows!$A$2:$J$2950,J$2,FALSE),0)</f>
        <v>0</v>
      </c>
      <c r="K423" s="657">
        <f>IFERROR(VLOOKUP($B423,flows!$A$2:$J$2950,K$2,FALSE),0)</f>
        <v>0</v>
      </c>
      <c r="L423" s="657">
        <f>IFERROR(VLOOKUP($B423,flows!$A$2:$J$2950,L$2,FALSE),0)</f>
        <v>0</v>
      </c>
      <c r="M423" s="541" t="s">
        <v>3165</v>
      </c>
    </row>
    <row r="424" spans="2:13" ht="20.149999999999999" customHeight="1" x14ac:dyDescent="0.35">
      <c r="B424" s="621" t="s">
        <v>3641</v>
      </c>
      <c r="C424" s="622" t="s">
        <v>3606</v>
      </c>
      <c r="D424" s="622" t="s">
        <v>3607</v>
      </c>
      <c r="E424" s="657">
        <f>IFERROR(VLOOKUP($B424,flows!$A$2:$J$2950,E$2,FALSE),0)</f>
        <v>0</v>
      </c>
      <c r="F424" s="657">
        <f>IFERROR(VLOOKUP($B424,flows!$A$2:$J$2950,F$2,FALSE),0)</f>
        <v>0</v>
      </c>
      <c r="G424" s="657">
        <f>IFERROR(VLOOKUP($B424,flows!$A$2:$J$2950,G$2,FALSE),0)</f>
        <v>0</v>
      </c>
      <c r="H424" s="657">
        <f>IFERROR(VLOOKUP($B424,flows!$A$2:$J$2950,H$2,FALSE),0)</f>
        <v>0</v>
      </c>
      <c r="I424" s="657">
        <f>IFERROR(VLOOKUP($B424,flows!$A$2:$J$2950,I$2,FALSE),0)</f>
        <v>0</v>
      </c>
      <c r="J424" s="657">
        <f>IFERROR(VLOOKUP($B424,flows!$A$2:$J$2950,J$2,FALSE),0)</f>
        <v>0</v>
      </c>
      <c r="K424" s="657">
        <f>IFERROR(VLOOKUP($B424,flows!$A$2:$J$2950,K$2,FALSE),0)</f>
        <v>0</v>
      </c>
      <c r="L424" s="657">
        <f>IFERROR(VLOOKUP($B424,flows!$A$2:$J$2950,L$2,FALSE),0)</f>
        <v>0</v>
      </c>
      <c r="M424" s="541" t="s">
        <v>3165</v>
      </c>
    </row>
    <row r="425" spans="2:13" ht="20.149999999999999" customHeight="1" x14ac:dyDescent="0.35">
      <c r="B425" s="621" t="s">
        <v>3642</v>
      </c>
      <c r="C425" s="622" t="s">
        <v>3606</v>
      </c>
      <c r="D425" s="622" t="s">
        <v>3607</v>
      </c>
      <c r="E425" s="657">
        <f>IFERROR(VLOOKUP($B425,flows!$A$2:$J$2950,E$2,FALSE),0)</f>
        <v>0</v>
      </c>
      <c r="F425" s="657">
        <f>IFERROR(VLOOKUP($B425,flows!$A$2:$J$2950,F$2,FALSE),0)</f>
        <v>0</v>
      </c>
      <c r="G425" s="657">
        <f>IFERROR(VLOOKUP($B425,flows!$A$2:$J$2950,G$2,FALSE),0)</f>
        <v>0</v>
      </c>
      <c r="H425" s="657">
        <f>IFERROR(VLOOKUP($B425,flows!$A$2:$J$2950,H$2,FALSE),0)</f>
        <v>0</v>
      </c>
      <c r="I425" s="657">
        <f>IFERROR(VLOOKUP($B425,flows!$A$2:$J$2950,I$2,FALSE),0)</f>
        <v>0</v>
      </c>
      <c r="J425" s="657">
        <f>IFERROR(VLOOKUP($B425,flows!$A$2:$J$2950,J$2,FALSE),0)</f>
        <v>0</v>
      </c>
      <c r="K425" s="657">
        <f>IFERROR(VLOOKUP($B425,flows!$A$2:$J$2950,K$2,FALSE),0)</f>
        <v>0</v>
      </c>
      <c r="L425" s="657">
        <f>IFERROR(VLOOKUP($B425,flows!$A$2:$J$2950,L$2,FALSE),0)</f>
        <v>0</v>
      </c>
      <c r="M425" s="541" t="s">
        <v>3165</v>
      </c>
    </row>
    <row r="426" spans="2:13" ht="20.149999999999999" customHeight="1" x14ac:dyDescent="0.35">
      <c r="B426" s="658" t="s">
        <v>3548</v>
      </c>
      <c r="C426" s="622" t="s">
        <v>2825</v>
      </c>
      <c r="D426" s="622" t="s">
        <v>3549</v>
      </c>
      <c r="E426" s="659">
        <f t="shared" ref="E426:L426" si="74">SUM(E417:E425)</f>
        <v>0</v>
      </c>
      <c r="F426" s="659">
        <f t="shared" si="74"/>
        <v>0</v>
      </c>
      <c r="G426" s="659">
        <f t="shared" si="74"/>
        <v>0</v>
      </c>
      <c r="H426" s="659">
        <f t="shared" si="74"/>
        <v>0</v>
      </c>
      <c r="I426" s="659">
        <f t="shared" si="74"/>
        <v>0</v>
      </c>
      <c r="J426" s="659">
        <f t="shared" si="74"/>
        <v>0</v>
      </c>
      <c r="K426" s="659">
        <f t="shared" si="74"/>
        <v>0</v>
      </c>
      <c r="L426" s="659">
        <f t="shared" si="74"/>
        <v>0</v>
      </c>
      <c r="M426" s="541" t="s">
        <v>3165</v>
      </c>
    </row>
    <row r="427" spans="2:13" ht="20.149999999999999" customHeight="1" x14ac:dyDescent="0.35">
      <c r="B427" s="583" t="s">
        <v>3217</v>
      </c>
      <c r="C427" s="584" t="s">
        <v>3237</v>
      </c>
      <c r="D427" s="584" t="s">
        <v>3238</v>
      </c>
      <c r="E427" s="585">
        <f t="shared" ref="E427:L427" si="75">SUM(E416+E426)</f>
        <v>0</v>
      </c>
      <c r="F427" s="585">
        <f t="shared" si="75"/>
        <v>0</v>
      </c>
      <c r="G427" s="585">
        <f t="shared" si="75"/>
        <v>0</v>
      </c>
      <c r="H427" s="585">
        <f t="shared" si="75"/>
        <v>0</v>
      </c>
      <c r="I427" s="585">
        <f t="shared" si="75"/>
        <v>0</v>
      </c>
      <c r="J427" s="585">
        <f t="shared" si="75"/>
        <v>0</v>
      </c>
      <c r="K427" s="585">
        <f t="shared" si="75"/>
        <v>0</v>
      </c>
      <c r="L427" s="585">
        <f t="shared" si="75"/>
        <v>0</v>
      </c>
      <c r="M427" s="586" t="s">
        <v>3165</v>
      </c>
    </row>
    <row r="428" spans="2:13" ht="20.149999999999999" customHeight="1" x14ac:dyDescent="0.35">
      <c r="B428" s="689" t="s">
        <v>3643</v>
      </c>
      <c r="C428" s="690" t="s">
        <v>3606</v>
      </c>
      <c r="D428" s="690" t="s">
        <v>3607</v>
      </c>
      <c r="E428" s="691">
        <f>IFERROR(VLOOKUP($B428,flows!$A$2:$J$2950,E$2,FALSE),0)</f>
        <v>0</v>
      </c>
      <c r="F428" s="691">
        <f>IFERROR(VLOOKUP($B428,flows!$A$2:$J$2950,F$2,FALSE),0)</f>
        <v>0</v>
      </c>
      <c r="G428" s="691">
        <f>IFERROR(VLOOKUP($B428,flows!$A$2:$J$2950,G$2,FALSE),0)</f>
        <v>0</v>
      </c>
      <c r="H428" s="691">
        <f>IFERROR(VLOOKUP($B428,flows!$A$2:$J$2950,H$2,FALSE),0)</f>
        <v>0</v>
      </c>
      <c r="I428" s="691">
        <f>IFERROR(VLOOKUP($B428,flows!$A$2:$J$2950,I$2,FALSE),0)</f>
        <v>0</v>
      </c>
      <c r="J428" s="691">
        <f>IFERROR(VLOOKUP($B428,flows!$A$2:$J$2950,J$2,FALSE),0)</f>
        <v>0</v>
      </c>
      <c r="K428" s="691">
        <f>IFERROR(VLOOKUP($B428,flows!$A$2:$J$2950,K$2,FALSE),0)</f>
        <v>0</v>
      </c>
      <c r="L428" s="691">
        <f>IFERROR(VLOOKUP($B428,flows!$A$2:$J$2950,L$2,FALSE),0)</f>
        <v>0</v>
      </c>
      <c r="M428" s="692" t="s">
        <v>3165</v>
      </c>
    </row>
    <row r="429" spans="2:13" ht="20.149999999999999" customHeight="1" x14ac:dyDescent="0.35">
      <c r="B429" s="689" t="s">
        <v>3644</v>
      </c>
      <c r="C429" s="690" t="s">
        <v>3606</v>
      </c>
      <c r="D429" s="690" t="s">
        <v>3607</v>
      </c>
      <c r="E429" s="691">
        <f>IFERROR(VLOOKUP($B429,flows!$A$2:$J$2950,E$2,FALSE),0)</f>
        <v>0</v>
      </c>
      <c r="F429" s="691">
        <f>IFERROR(VLOOKUP($B429,flows!$A$2:$J$2950,F$2,FALSE),0)</f>
        <v>0</v>
      </c>
      <c r="G429" s="691">
        <f>IFERROR(VLOOKUP($B429,flows!$A$2:$J$2950,G$2,FALSE),0)</f>
        <v>0</v>
      </c>
      <c r="H429" s="691">
        <f>IFERROR(VLOOKUP($B429,flows!$A$2:$J$2950,H$2,FALSE),0)</f>
        <v>0</v>
      </c>
      <c r="I429" s="691">
        <f>IFERROR(VLOOKUP($B429,flows!$A$2:$J$2950,I$2,FALSE),0)</f>
        <v>0</v>
      </c>
      <c r="J429" s="691">
        <f>IFERROR(VLOOKUP($B429,flows!$A$2:$J$2950,J$2,FALSE),0)</f>
        <v>0</v>
      </c>
      <c r="K429" s="691">
        <f>IFERROR(VLOOKUP($B429,flows!$A$2:$J$2950,K$2,FALSE),0)</f>
        <v>0</v>
      </c>
      <c r="L429" s="691">
        <f>IFERROR(VLOOKUP($B429,flows!$A$2:$J$2950,L$2,FALSE),0)</f>
        <v>0</v>
      </c>
      <c r="M429" s="692" t="s">
        <v>3165</v>
      </c>
    </row>
    <row r="430" spans="2:13" ht="20.149999999999999" customHeight="1" x14ac:dyDescent="0.35">
      <c r="B430" s="689" t="s">
        <v>3645</v>
      </c>
      <c r="C430" s="690" t="s">
        <v>3606</v>
      </c>
      <c r="D430" s="690" t="s">
        <v>3607</v>
      </c>
      <c r="E430" s="691">
        <f>IFERROR(VLOOKUP($B430,flows!$A$2:$J$2950,E$2,FALSE),0)</f>
        <v>0</v>
      </c>
      <c r="F430" s="691">
        <f>IFERROR(VLOOKUP($B430,flows!$A$2:$J$2950,F$2,FALSE),0)</f>
        <v>0</v>
      </c>
      <c r="G430" s="691">
        <f>IFERROR(VLOOKUP($B430,flows!$A$2:$J$2950,G$2,FALSE),0)</f>
        <v>0</v>
      </c>
      <c r="H430" s="691">
        <f>IFERROR(VLOOKUP($B430,flows!$A$2:$J$2950,H$2,FALSE),0)</f>
        <v>0</v>
      </c>
      <c r="I430" s="691">
        <f>IFERROR(VLOOKUP($B430,flows!$A$2:$J$2950,I$2,FALSE),0)</f>
        <v>0</v>
      </c>
      <c r="J430" s="691">
        <f>IFERROR(VLOOKUP($B430,flows!$A$2:$J$2950,J$2,FALSE),0)</f>
        <v>0</v>
      </c>
      <c r="K430" s="691">
        <f>IFERROR(VLOOKUP($B430,flows!$A$2:$J$2950,K$2,FALSE),0)</f>
        <v>0</v>
      </c>
      <c r="L430" s="691">
        <f>IFERROR(VLOOKUP($B430,flows!$A$2:$J$2950,L$2,FALSE),0)</f>
        <v>0</v>
      </c>
      <c r="M430" s="692" t="s">
        <v>3165</v>
      </c>
    </row>
    <row r="431" spans="2:13" ht="20.149999999999999" customHeight="1" x14ac:dyDescent="0.35">
      <c r="B431" s="689" t="s">
        <v>3646</v>
      </c>
      <c r="C431" s="690" t="s">
        <v>3606</v>
      </c>
      <c r="D431" s="690" t="s">
        <v>3607</v>
      </c>
      <c r="E431" s="691">
        <f>IFERROR(VLOOKUP($B431,flows!$A$2:$J$2950,E$2,FALSE),0)</f>
        <v>0</v>
      </c>
      <c r="F431" s="691">
        <f>IFERROR(VLOOKUP($B431,flows!$A$2:$J$2950,F$2,FALSE),0)</f>
        <v>0</v>
      </c>
      <c r="G431" s="691">
        <f>IFERROR(VLOOKUP($B431,flows!$A$2:$J$2950,G$2,FALSE),0)</f>
        <v>0</v>
      </c>
      <c r="H431" s="691">
        <f>IFERROR(VLOOKUP($B431,flows!$A$2:$J$2950,H$2,FALSE),0)</f>
        <v>0</v>
      </c>
      <c r="I431" s="691">
        <f>IFERROR(VLOOKUP($B431,flows!$A$2:$J$2950,I$2,FALSE),0)</f>
        <v>0</v>
      </c>
      <c r="J431" s="691">
        <f>IFERROR(VLOOKUP($B431,flows!$A$2:$J$2950,J$2,FALSE),0)</f>
        <v>0</v>
      </c>
      <c r="K431" s="691">
        <f>IFERROR(VLOOKUP($B431,flows!$A$2:$J$2950,K$2,FALSE),0)</f>
        <v>0</v>
      </c>
      <c r="L431" s="691">
        <f>IFERROR(VLOOKUP($B431,flows!$A$2:$J$2950,L$2,FALSE),0)</f>
        <v>0</v>
      </c>
      <c r="M431" s="692" t="s">
        <v>3165</v>
      </c>
    </row>
    <row r="432" spans="2:13" ht="20.149999999999999" customHeight="1" x14ac:dyDescent="0.35">
      <c r="B432" s="689" t="s">
        <v>3647</v>
      </c>
      <c r="C432" s="690" t="s">
        <v>3606</v>
      </c>
      <c r="D432" s="690" t="s">
        <v>3607</v>
      </c>
      <c r="E432" s="691">
        <f>IFERROR(VLOOKUP($B432,flows!$A$2:$J$2950,E$2,FALSE),0)</f>
        <v>0</v>
      </c>
      <c r="F432" s="691">
        <f>IFERROR(VLOOKUP($B432,flows!$A$2:$J$2950,F$2,FALSE),0)</f>
        <v>0</v>
      </c>
      <c r="G432" s="691">
        <f>IFERROR(VLOOKUP($B432,flows!$A$2:$J$2950,G$2,FALSE),0)</f>
        <v>0</v>
      </c>
      <c r="H432" s="691">
        <f>IFERROR(VLOOKUP($B432,flows!$A$2:$J$2950,H$2,FALSE),0)</f>
        <v>0</v>
      </c>
      <c r="I432" s="691">
        <f>IFERROR(VLOOKUP($B432,flows!$A$2:$J$2950,I$2,FALSE),0)</f>
        <v>0</v>
      </c>
      <c r="J432" s="691">
        <f>IFERROR(VLOOKUP($B432,flows!$A$2:$J$2950,J$2,FALSE),0)</f>
        <v>0</v>
      </c>
      <c r="K432" s="691">
        <f>IFERROR(VLOOKUP($B432,flows!$A$2:$J$2950,K$2,FALSE),0)</f>
        <v>0</v>
      </c>
      <c r="L432" s="691">
        <f>IFERROR(VLOOKUP($B432,flows!$A$2:$J$2950,L$2,FALSE),0)</f>
        <v>0</v>
      </c>
      <c r="M432" s="692" t="s">
        <v>3165</v>
      </c>
    </row>
    <row r="433" spans="2:13" ht="20.149999999999999" customHeight="1" x14ac:dyDescent="0.35">
      <c r="B433" s="689" t="s">
        <v>3648</v>
      </c>
      <c r="C433" s="690" t="s">
        <v>3606</v>
      </c>
      <c r="D433" s="690" t="s">
        <v>3607</v>
      </c>
      <c r="E433" s="691">
        <f>IFERROR(VLOOKUP($B433,flows!$A$2:$J$2950,E$2,FALSE),0)</f>
        <v>0</v>
      </c>
      <c r="F433" s="691">
        <f>IFERROR(VLOOKUP($B433,flows!$A$2:$J$2950,F$2,FALSE),0)</f>
        <v>0</v>
      </c>
      <c r="G433" s="691">
        <f>IFERROR(VLOOKUP($B433,flows!$A$2:$J$2950,G$2,FALSE),0)</f>
        <v>0</v>
      </c>
      <c r="H433" s="691">
        <f>IFERROR(VLOOKUP($B433,flows!$A$2:$J$2950,H$2,FALSE),0)</f>
        <v>0</v>
      </c>
      <c r="I433" s="691">
        <f>IFERROR(VLOOKUP($B433,flows!$A$2:$J$2950,I$2,FALSE),0)</f>
        <v>0</v>
      </c>
      <c r="J433" s="691">
        <f>IFERROR(VLOOKUP($B433,flows!$A$2:$J$2950,J$2,FALSE),0)</f>
        <v>0</v>
      </c>
      <c r="K433" s="691">
        <f>IFERROR(VLOOKUP($B433,flows!$A$2:$J$2950,K$2,FALSE),0)</f>
        <v>0</v>
      </c>
      <c r="L433" s="691">
        <f>IFERROR(VLOOKUP($B433,flows!$A$2:$J$2950,L$2,FALSE),0)</f>
        <v>0</v>
      </c>
      <c r="M433" s="692" t="s">
        <v>3165</v>
      </c>
    </row>
    <row r="434" spans="2:13" ht="20.149999999999999" customHeight="1" x14ac:dyDescent="0.35">
      <c r="B434" s="689" t="s">
        <v>3649</v>
      </c>
      <c r="C434" s="690" t="s">
        <v>3606</v>
      </c>
      <c r="D434" s="690" t="s">
        <v>3607</v>
      </c>
      <c r="E434" s="691">
        <f>IFERROR(VLOOKUP($B434,flows!$A$2:$J$2950,E$2,FALSE),0)</f>
        <v>0</v>
      </c>
      <c r="F434" s="691">
        <f>IFERROR(VLOOKUP($B434,flows!$A$2:$J$2950,F$2,FALSE),0)</f>
        <v>0</v>
      </c>
      <c r="G434" s="691">
        <f>IFERROR(VLOOKUP($B434,flows!$A$2:$J$2950,G$2,FALSE),0)</f>
        <v>0</v>
      </c>
      <c r="H434" s="691">
        <f>IFERROR(VLOOKUP($B434,flows!$A$2:$J$2950,H$2,FALSE),0)</f>
        <v>0</v>
      </c>
      <c r="I434" s="691">
        <f>IFERROR(VLOOKUP($B434,flows!$A$2:$J$2950,I$2,FALSE),0)</f>
        <v>0</v>
      </c>
      <c r="J434" s="691">
        <f>IFERROR(VLOOKUP($B434,flows!$A$2:$J$2950,J$2,FALSE),0)</f>
        <v>0</v>
      </c>
      <c r="K434" s="691">
        <f>IFERROR(VLOOKUP($B434,flows!$A$2:$J$2950,K$2,FALSE),0)</f>
        <v>0</v>
      </c>
      <c r="L434" s="691">
        <f>IFERROR(VLOOKUP($B434,flows!$A$2:$J$2950,L$2,FALSE),0)</f>
        <v>0</v>
      </c>
      <c r="M434" s="692" t="s">
        <v>3165</v>
      </c>
    </row>
    <row r="435" spans="2:13" ht="20.149999999999999" customHeight="1" x14ac:dyDescent="0.35">
      <c r="B435" s="693" t="s">
        <v>3548</v>
      </c>
      <c r="C435" s="690" t="s">
        <v>2825</v>
      </c>
      <c r="D435" s="690" t="s">
        <v>3549</v>
      </c>
      <c r="E435" s="694">
        <f t="shared" ref="E435:L435" si="76">SUM(E428:E434)</f>
        <v>0</v>
      </c>
      <c r="F435" s="694">
        <f t="shared" si="76"/>
        <v>0</v>
      </c>
      <c r="G435" s="694">
        <f t="shared" si="76"/>
        <v>0</v>
      </c>
      <c r="H435" s="694">
        <f t="shared" si="76"/>
        <v>0</v>
      </c>
      <c r="I435" s="694">
        <f t="shared" si="76"/>
        <v>0</v>
      </c>
      <c r="J435" s="694">
        <f t="shared" si="76"/>
        <v>0</v>
      </c>
      <c r="K435" s="694">
        <f t="shared" si="76"/>
        <v>0</v>
      </c>
      <c r="L435" s="694">
        <f t="shared" si="76"/>
        <v>0</v>
      </c>
      <c r="M435" s="692" t="s">
        <v>3165</v>
      </c>
    </row>
    <row r="436" spans="2:13" ht="20.149999999999999" customHeight="1" x14ac:dyDescent="0.35">
      <c r="B436" s="695" t="s">
        <v>3650</v>
      </c>
      <c r="C436" s="696" t="s">
        <v>3606</v>
      </c>
      <c r="D436" s="696" t="s">
        <v>3607</v>
      </c>
      <c r="E436" s="697">
        <f>IFERROR(VLOOKUP($B436,flows!$A$2:$J$2950,E$2,FALSE),0)</f>
        <v>0</v>
      </c>
      <c r="F436" s="697">
        <f>IFERROR(VLOOKUP($B436,flows!$A$2:$J$2950,F$2,FALSE),0)</f>
        <v>0</v>
      </c>
      <c r="G436" s="697">
        <f>IFERROR(VLOOKUP($B436,flows!$A$2:$J$2950,G$2,FALSE),0)</f>
        <v>0</v>
      </c>
      <c r="H436" s="697">
        <f>IFERROR(VLOOKUP($B436,flows!$A$2:$J$2950,H$2,FALSE),0)</f>
        <v>0</v>
      </c>
      <c r="I436" s="697">
        <f>IFERROR(VLOOKUP($B436,flows!$A$2:$J$2950,I$2,FALSE),0)</f>
        <v>0</v>
      </c>
      <c r="J436" s="697">
        <f>IFERROR(VLOOKUP($B436,flows!$A$2:$J$2950,J$2,FALSE),0)</f>
        <v>0</v>
      </c>
      <c r="K436" s="697">
        <f>IFERROR(VLOOKUP($B436,flows!$A$2:$J$2950,K$2,FALSE),0)</f>
        <v>0</v>
      </c>
      <c r="L436" s="697">
        <f>IFERROR(VLOOKUP($B436,flows!$A$2:$J$2950,L$2,FALSE),0)</f>
        <v>0</v>
      </c>
      <c r="M436" s="698" t="s">
        <v>3165</v>
      </c>
    </row>
    <row r="437" spans="2:13" ht="20.149999999999999" customHeight="1" x14ac:dyDescent="0.35">
      <c r="B437" s="695" t="s">
        <v>3651</v>
      </c>
      <c r="C437" s="696" t="s">
        <v>3606</v>
      </c>
      <c r="D437" s="696" t="s">
        <v>3607</v>
      </c>
      <c r="E437" s="697">
        <f>IFERROR(VLOOKUP($B437,flows!$A$2:$J$2950,E$2,FALSE),0)</f>
        <v>0</v>
      </c>
      <c r="F437" s="697">
        <f>IFERROR(VLOOKUP($B437,flows!$A$2:$J$2950,F$2,FALSE),0)</f>
        <v>0</v>
      </c>
      <c r="G437" s="697">
        <f>IFERROR(VLOOKUP($B437,flows!$A$2:$J$2950,G$2,FALSE),0)</f>
        <v>0</v>
      </c>
      <c r="H437" s="697">
        <f>IFERROR(VLOOKUP($B437,flows!$A$2:$J$2950,H$2,FALSE),0)</f>
        <v>0</v>
      </c>
      <c r="I437" s="697">
        <f>IFERROR(VLOOKUP($B437,flows!$A$2:$J$2950,I$2,FALSE),0)</f>
        <v>0</v>
      </c>
      <c r="J437" s="697">
        <f>IFERROR(VLOOKUP($B437,flows!$A$2:$J$2950,J$2,FALSE),0)</f>
        <v>0</v>
      </c>
      <c r="K437" s="697">
        <f>IFERROR(VLOOKUP($B437,flows!$A$2:$J$2950,K$2,FALSE),0)</f>
        <v>0</v>
      </c>
      <c r="L437" s="697">
        <f>IFERROR(VLOOKUP($B437,flows!$A$2:$J$2950,L$2,FALSE),0)</f>
        <v>0</v>
      </c>
      <c r="M437" s="698" t="s">
        <v>3165</v>
      </c>
    </row>
    <row r="438" spans="2:13" ht="20.149999999999999" customHeight="1" x14ac:dyDescent="0.35">
      <c r="B438" s="695" t="s">
        <v>3652</v>
      </c>
      <c r="C438" s="696" t="s">
        <v>3606</v>
      </c>
      <c r="D438" s="696" t="s">
        <v>3607</v>
      </c>
      <c r="E438" s="697">
        <f>IFERROR(VLOOKUP($B438,flows!$A$2:$J$2950,E$2,FALSE),0)</f>
        <v>0</v>
      </c>
      <c r="F438" s="697">
        <f>IFERROR(VLOOKUP($B438,flows!$A$2:$J$2950,F$2,FALSE),0)</f>
        <v>0</v>
      </c>
      <c r="G438" s="697">
        <f>IFERROR(VLOOKUP($B438,flows!$A$2:$J$2950,G$2,FALSE),0)</f>
        <v>0</v>
      </c>
      <c r="H438" s="697">
        <f>IFERROR(VLOOKUP($B438,flows!$A$2:$J$2950,H$2,FALSE),0)</f>
        <v>0</v>
      </c>
      <c r="I438" s="697">
        <f>IFERROR(VLOOKUP($B438,flows!$A$2:$J$2950,I$2,FALSE),0)</f>
        <v>0</v>
      </c>
      <c r="J438" s="697">
        <f>IFERROR(VLOOKUP($B438,flows!$A$2:$J$2950,J$2,FALSE),0)</f>
        <v>0</v>
      </c>
      <c r="K438" s="697">
        <f>IFERROR(VLOOKUP($B438,flows!$A$2:$J$2950,K$2,FALSE),0)</f>
        <v>0</v>
      </c>
      <c r="L438" s="697">
        <f>IFERROR(VLOOKUP($B438,flows!$A$2:$J$2950,L$2,FALSE),0)</f>
        <v>0</v>
      </c>
      <c r="M438" s="698" t="s">
        <v>3165</v>
      </c>
    </row>
    <row r="439" spans="2:13" ht="20.149999999999999" customHeight="1" x14ac:dyDescent="0.35">
      <c r="B439" s="695" t="s">
        <v>3653</v>
      </c>
      <c r="C439" s="696" t="s">
        <v>3606</v>
      </c>
      <c r="D439" s="696" t="s">
        <v>3607</v>
      </c>
      <c r="E439" s="697">
        <f>IFERROR(VLOOKUP($B439,flows!$A$2:$J$2950,E$2,FALSE),0)</f>
        <v>0</v>
      </c>
      <c r="F439" s="697">
        <f>IFERROR(VLOOKUP($B439,flows!$A$2:$J$2950,F$2,FALSE),0)</f>
        <v>0</v>
      </c>
      <c r="G439" s="697">
        <f>IFERROR(VLOOKUP($B439,flows!$A$2:$J$2950,G$2,FALSE),0)</f>
        <v>0</v>
      </c>
      <c r="H439" s="697">
        <f>IFERROR(VLOOKUP($B439,flows!$A$2:$J$2950,H$2,FALSE),0)</f>
        <v>0</v>
      </c>
      <c r="I439" s="697">
        <f>IFERROR(VLOOKUP($B439,flows!$A$2:$J$2950,I$2,FALSE),0)</f>
        <v>0</v>
      </c>
      <c r="J439" s="697">
        <f>IFERROR(VLOOKUP($B439,flows!$A$2:$J$2950,J$2,FALSE),0)</f>
        <v>0</v>
      </c>
      <c r="K439" s="697">
        <f>IFERROR(VLOOKUP($B439,flows!$A$2:$J$2950,K$2,FALSE),0)</f>
        <v>0</v>
      </c>
      <c r="L439" s="697">
        <f>IFERROR(VLOOKUP($B439,flows!$A$2:$J$2950,L$2,FALSE),0)</f>
        <v>0</v>
      </c>
      <c r="M439" s="698" t="s">
        <v>3165</v>
      </c>
    </row>
    <row r="440" spans="2:13" ht="20.149999999999999" customHeight="1" x14ac:dyDescent="0.35">
      <c r="B440" s="695" t="s">
        <v>3654</v>
      </c>
      <c r="C440" s="696" t="s">
        <v>3606</v>
      </c>
      <c r="D440" s="696" t="s">
        <v>3607</v>
      </c>
      <c r="E440" s="697">
        <f>IFERROR(VLOOKUP($B440,flows!$A$2:$J$2950,E$2,FALSE),0)</f>
        <v>0</v>
      </c>
      <c r="F440" s="697">
        <f>IFERROR(VLOOKUP($B440,flows!$A$2:$J$2950,F$2,FALSE),0)</f>
        <v>0</v>
      </c>
      <c r="G440" s="697">
        <f>IFERROR(VLOOKUP($B440,flows!$A$2:$J$2950,G$2,FALSE),0)</f>
        <v>0</v>
      </c>
      <c r="H440" s="697">
        <f>IFERROR(VLOOKUP($B440,flows!$A$2:$J$2950,H$2,FALSE),0)</f>
        <v>0</v>
      </c>
      <c r="I440" s="697">
        <f>IFERROR(VLOOKUP($B440,flows!$A$2:$J$2950,I$2,FALSE),0)</f>
        <v>0</v>
      </c>
      <c r="J440" s="697">
        <f>IFERROR(VLOOKUP($B440,flows!$A$2:$J$2950,J$2,FALSE),0)</f>
        <v>0</v>
      </c>
      <c r="K440" s="697">
        <f>IFERROR(VLOOKUP($B440,flows!$A$2:$J$2950,K$2,FALSE),0)</f>
        <v>0</v>
      </c>
      <c r="L440" s="697">
        <f>IFERROR(VLOOKUP($B440,flows!$A$2:$J$2950,L$2,FALSE),0)</f>
        <v>0</v>
      </c>
      <c r="M440" s="698" t="s">
        <v>3165</v>
      </c>
    </row>
    <row r="441" spans="2:13" ht="20.149999999999999" customHeight="1" x14ac:dyDescent="0.35">
      <c r="B441" s="695" t="s">
        <v>3655</v>
      </c>
      <c r="C441" s="696" t="s">
        <v>3606</v>
      </c>
      <c r="D441" s="696" t="s">
        <v>3607</v>
      </c>
      <c r="E441" s="697">
        <f>IFERROR(VLOOKUP($B441,flows!$A$2:$J$2950,E$2,FALSE),0)</f>
        <v>0</v>
      </c>
      <c r="F441" s="697">
        <f>IFERROR(VLOOKUP($B441,flows!$A$2:$J$2950,F$2,FALSE),0)</f>
        <v>0</v>
      </c>
      <c r="G441" s="697">
        <f>IFERROR(VLOOKUP($B441,flows!$A$2:$J$2950,G$2,FALSE),0)</f>
        <v>0</v>
      </c>
      <c r="H441" s="697">
        <f>IFERROR(VLOOKUP($B441,flows!$A$2:$J$2950,H$2,FALSE),0)</f>
        <v>0</v>
      </c>
      <c r="I441" s="697">
        <f>IFERROR(VLOOKUP($B441,flows!$A$2:$J$2950,I$2,FALSE),0)</f>
        <v>0</v>
      </c>
      <c r="J441" s="697">
        <f>IFERROR(VLOOKUP($B441,flows!$A$2:$J$2950,J$2,FALSE),0)</f>
        <v>0</v>
      </c>
      <c r="K441" s="697">
        <f>IFERROR(VLOOKUP($B441,flows!$A$2:$J$2950,K$2,FALSE),0)</f>
        <v>0</v>
      </c>
      <c r="L441" s="697">
        <f>IFERROR(VLOOKUP($B441,flows!$A$2:$J$2950,L$2,FALSE),0)</f>
        <v>0</v>
      </c>
      <c r="M441" s="698" t="s">
        <v>3165</v>
      </c>
    </row>
    <row r="442" spans="2:13" ht="20.149999999999999" customHeight="1" x14ac:dyDescent="0.35">
      <c r="B442" s="695" t="s">
        <v>3656</v>
      </c>
      <c r="C442" s="696" t="s">
        <v>3606</v>
      </c>
      <c r="D442" s="696" t="s">
        <v>3607</v>
      </c>
      <c r="E442" s="697">
        <f>IFERROR(VLOOKUP($B442,flows!$A$2:$J$2950,E$2,FALSE),0)</f>
        <v>0</v>
      </c>
      <c r="F442" s="697">
        <f>IFERROR(VLOOKUP($B442,flows!$A$2:$J$2950,F$2,FALSE),0)</f>
        <v>0</v>
      </c>
      <c r="G442" s="697">
        <f>IFERROR(VLOOKUP($B442,flows!$A$2:$J$2950,G$2,FALSE),0)</f>
        <v>0</v>
      </c>
      <c r="H442" s="697">
        <f>IFERROR(VLOOKUP($B442,flows!$A$2:$J$2950,H$2,FALSE),0)</f>
        <v>0</v>
      </c>
      <c r="I442" s="697">
        <f>IFERROR(VLOOKUP($B442,flows!$A$2:$J$2950,I$2,FALSE),0)</f>
        <v>0</v>
      </c>
      <c r="J442" s="697">
        <f>IFERROR(VLOOKUP($B442,flows!$A$2:$J$2950,J$2,FALSE),0)</f>
        <v>0</v>
      </c>
      <c r="K442" s="697">
        <f>IFERROR(VLOOKUP($B442,flows!$A$2:$J$2950,K$2,FALSE),0)</f>
        <v>0</v>
      </c>
      <c r="L442" s="697">
        <f>IFERROR(VLOOKUP($B442,flows!$A$2:$J$2950,L$2,FALSE),0)</f>
        <v>0</v>
      </c>
      <c r="M442" s="698" t="s">
        <v>3165</v>
      </c>
    </row>
    <row r="443" spans="2:13" ht="20.149999999999999" customHeight="1" x14ac:dyDescent="0.35">
      <c r="B443" s="699" t="s">
        <v>3548</v>
      </c>
      <c r="C443" s="696" t="s">
        <v>2825</v>
      </c>
      <c r="D443" s="696" t="s">
        <v>3549</v>
      </c>
      <c r="E443" s="700">
        <f t="shared" ref="E443:L443" si="77">SUM(E436:E442)</f>
        <v>0</v>
      </c>
      <c r="F443" s="700">
        <f t="shared" si="77"/>
        <v>0</v>
      </c>
      <c r="G443" s="700">
        <f t="shared" si="77"/>
        <v>0</v>
      </c>
      <c r="H443" s="700">
        <f t="shared" si="77"/>
        <v>0</v>
      </c>
      <c r="I443" s="700">
        <f t="shared" si="77"/>
        <v>0</v>
      </c>
      <c r="J443" s="700">
        <f t="shared" si="77"/>
        <v>0</v>
      </c>
      <c r="K443" s="700">
        <f t="shared" si="77"/>
        <v>0</v>
      </c>
      <c r="L443" s="700">
        <f t="shared" si="77"/>
        <v>0</v>
      </c>
      <c r="M443" s="698" t="s">
        <v>3165</v>
      </c>
    </row>
    <row r="444" spans="2:13" ht="20.149999999999999" customHeight="1" x14ac:dyDescent="0.35">
      <c r="B444" s="583" t="s">
        <v>3217</v>
      </c>
      <c r="C444" s="584" t="s">
        <v>3237</v>
      </c>
      <c r="D444" s="584" t="s">
        <v>3238</v>
      </c>
      <c r="E444" s="585">
        <f t="shared" ref="E444:L444" si="78">SUM(E435+E443)</f>
        <v>0</v>
      </c>
      <c r="F444" s="585">
        <f t="shared" si="78"/>
        <v>0</v>
      </c>
      <c r="G444" s="585">
        <f t="shared" si="78"/>
        <v>0</v>
      </c>
      <c r="H444" s="585">
        <f t="shared" si="78"/>
        <v>0</v>
      </c>
      <c r="I444" s="585">
        <f t="shared" si="78"/>
        <v>0</v>
      </c>
      <c r="J444" s="585">
        <f t="shared" si="78"/>
        <v>0</v>
      </c>
      <c r="K444" s="585">
        <f t="shared" si="78"/>
        <v>0</v>
      </c>
      <c r="L444" s="585">
        <f t="shared" si="78"/>
        <v>0</v>
      </c>
      <c r="M444" s="586" t="s">
        <v>3165</v>
      </c>
    </row>
    <row r="445" spans="2:13" ht="20.149999999999999" customHeight="1" x14ac:dyDescent="0.35">
      <c r="B445" s="515" t="s">
        <v>3657</v>
      </c>
      <c r="C445" s="545" t="s">
        <v>3606</v>
      </c>
      <c r="D445" s="545" t="s">
        <v>3607</v>
      </c>
      <c r="E445" s="666">
        <f>IFERROR(VLOOKUP($B445,flows!$A$2:$J$2950,E$2,FALSE),0)</f>
        <v>0</v>
      </c>
      <c r="F445" s="666">
        <f>IFERROR(VLOOKUP($B445,flows!$A$2:$J$2950,F$2,FALSE),0)</f>
        <v>0</v>
      </c>
      <c r="G445" s="666">
        <f>IFERROR(VLOOKUP($B445,flows!$A$2:$J$2950,G$2,FALSE),0)</f>
        <v>0</v>
      </c>
      <c r="H445" s="666">
        <f>IFERROR(VLOOKUP($B445,flows!$A$2:$J$2950,H$2,FALSE),0)</f>
        <v>0</v>
      </c>
      <c r="I445" s="666">
        <f>IFERROR(VLOOKUP($B445,flows!$A$2:$J$2950,I$2,FALSE),0)</f>
        <v>0</v>
      </c>
      <c r="J445" s="666">
        <f>IFERROR(VLOOKUP($B445,flows!$A$2:$J$2950,J$2,FALSE),0)</f>
        <v>0</v>
      </c>
      <c r="K445" s="666">
        <f>IFERROR(VLOOKUP($B445,flows!$A$2:$J$2950,K$2,FALSE),0)</f>
        <v>0</v>
      </c>
      <c r="L445" s="666">
        <f>IFERROR(VLOOKUP($B445,flows!$A$2:$J$2950,L$2,FALSE),0)</f>
        <v>0</v>
      </c>
      <c r="M445" s="575" t="s">
        <v>3165</v>
      </c>
    </row>
    <row r="446" spans="2:13" ht="20.149999999999999" customHeight="1" x14ac:dyDescent="0.35">
      <c r="B446" s="515" t="s">
        <v>3658</v>
      </c>
      <c r="C446" s="545" t="s">
        <v>3606</v>
      </c>
      <c r="D446" s="545" t="s">
        <v>3607</v>
      </c>
      <c r="E446" s="666">
        <f>IFERROR(VLOOKUP($B446,flows!$A$2:$J$2950,E$2,FALSE),0)</f>
        <v>0</v>
      </c>
      <c r="F446" s="666">
        <f>IFERROR(VLOOKUP($B446,flows!$A$2:$J$2950,F$2,FALSE),0)</f>
        <v>0</v>
      </c>
      <c r="G446" s="666">
        <f>IFERROR(VLOOKUP($B446,flows!$A$2:$J$2950,G$2,FALSE),0)</f>
        <v>0</v>
      </c>
      <c r="H446" s="666">
        <f>IFERROR(VLOOKUP($B446,flows!$A$2:$J$2950,H$2,FALSE),0)</f>
        <v>0</v>
      </c>
      <c r="I446" s="666">
        <f>IFERROR(VLOOKUP($B446,flows!$A$2:$J$2950,I$2,FALSE),0)</f>
        <v>0</v>
      </c>
      <c r="J446" s="666">
        <f>IFERROR(VLOOKUP($B446,flows!$A$2:$J$2950,J$2,FALSE),0)</f>
        <v>0</v>
      </c>
      <c r="K446" s="666">
        <f>IFERROR(VLOOKUP($B446,flows!$A$2:$J$2950,K$2,FALSE),0)</f>
        <v>0</v>
      </c>
      <c r="L446" s="666">
        <f>IFERROR(VLOOKUP($B446,flows!$A$2:$J$2950,L$2,FALSE),0)</f>
        <v>0</v>
      </c>
      <c r="M446" s="575" t="s">
        <v>3165</v>
      </c>
    </row>
    <row r="447" spans="2:13" ht="20.149999999999999" customHeight="1" x14ac:dyDescent="0.35">
      <c r="B447" s="515" t="s">
        <v>3659</v>
      </c>
      <c r="C447" s="545" t="s">
        <v>3606</v>
      </c>
      <c r="D447" s="545" t="s">
        <v>3607</v>
      </c>
      <c r="E447" s="666">
        <f>IFERROR(VLOOKUP($B447,flows!$A$2:$J$2950,E$2,FALSE),0)</f>
        <v>0</v>
      </c>
      <c r="F447" s="666">
        <f>IFERROR(VLOOKUP($B447,flows!$A$2:$J$2950,F$2,FALSE),0)</f>
        <v>0</v>
      </c>
      <c r="G447" s="666">
        <f>IFERROR(VLOOKUP($B447,flows!$A$2:$J$2950,G$2,FALSE),0)</f>
        <v>0</v>
      </c>
      <c r="H447" s="666">
        <f>IFERROR(VLOOKUP($B447,flows!$A$2:$J$2950,H$2,FALSE),0)</f>
        <v>0</v>
      </c>
      <c r="I447" s="666">
        <f>IFERROR(VLOOKUP($B447,flows!$A$2:$J$2950,I$2,FALSE),0)</f>
        <v>0</v>
      </c>
      <c r="J447" s="666">
        <f>IFERROR(VLOOKUP($B447,flows!$A$2:$J$2950,J$2,FALSE),0)</f>
        <v>0</v>
      </c>
      <c r="K447" s="666">
        <f>IFERROR(VLOOKUP($B447,flows!$A$2:$J$2950,K$2,FALSE),0)</f>
        <v>0</v>
      </c>
      <c r="L447" s="666">
        <f>IFERROR(VLOOKUP($B447,flows!$A$2:$J$2950,L$2,FALSE),0)</f>
        <v>0</v>
      </c>
      <c r="M447" s="575" t="s">
        <v>3165</v>
      </c>
    </row>
    <row r="448" spans="2:13" ht="20.149999999999999" customHeight="1" x14ac:dyDescent="0.35">
      <c r="B448" s="667" t="s">
        <v>3660</v>
      </c>
      <c r="C448" s="668" t="s">
        <v>3606</v>
      </c>
      <c r="D448" s="668" t="s">
        <v>3607</v>
      </c>
      <c r="E448" s="666">
        <f>IFERROR(VLOOKUP($B448,flows!$A$2:$J$2950,E$2,FALSE),0)</f>
        <v>0</v>
      </c>
      <c r="F448" s="666">
        <f>IFERROR(VLOOKUP($B448,flows!$A$2:$J$2950,F$2,FALSE),0)</f>
        <v>0</v>
      </c>
      <c r="G448" s="666">
        <f>IFERROR(VLOOKUP($B448,flows!$A$2:$J$2950,G$2,FALSE),0)</f>
        <v>0</v>
      </c>
      <c r="H448" s="666">
        <f>IFERROR(VLOOKUP($B448,flows!$A$2:$J$2950,H$2,FALSE),0)</f>
        <v>0</v>
      </c>
      <c r="I448" s="666">
        <f>IFERROR(VLOOKUP($B448,flows!$A$2:$J$2950,I$2,FALSE),0)</f>
        <v>0</v>
      </c>
      <c r="J448" s="666">
        <f>IFERROR(VLOOKUP($B448,flows!$A$2:$J$2950,J$2,FALSE),0)</f>
        <v>0</v>
      </c>
      <c r="K448" s="666">
        <f>IFERROR(VLOOKUP($B448,flows!$A$2:$J$2950,K$2,FALSE),0)</f>
        <v>0</v>
      </c>
      <c r="L448" s="666">
        <f>IFERROR(VLOOKUP($B448,flows!$A$2:$J$2950,L$2,FALSE),0)</f>
        <v>0</v>
      </c>
      <c r="M448" s="575" t="s">
        <v>3165</v>
      </c>
    </row>
    <row r="449" spans="2:13" ht="20.149999999999999" customHeight="1" x14ac:dyDescent="0.35">
      <c r="B449" s="667" t="s">
        <v>3661</v>
      </c>
      <c r="C449" s="668" t="s">
        <v>3606</v>
      </c>
      <c r="D449" s="668" t="s">
        <v>3607</v>
      </c>
      <c r="E449" s="666">
        <f>IFERROR(VLOOKUP($B449,flows!$A$2:$J$2950,E$2,FALSE),0)</f>
        <v>0</v>
      </c>
      <c r="F449" s="666">
        <f>IFERROR(VLOOKUP($B449,flows!$A$2:$J$2950,F$2,FALSE),0)</f>
        <v>0</v>
      </c>
      <c r="G449" s="666">
        <f>IFERROR(VLOOKUP($B449,flows!$A$2:$J$2950,G$2,FALSE),0)</f>
        <v>0</v>
      </c>
      <c r="H449" s="666">
        <f>IFERROR(VLOOKUP($B449,flows!$A$2:$J$2950,H$2,FALSE),0)</f>
        <v>0</v>
      </c>
      <c r="I449" s="666">
        <f>IFERROR(VLOOKUP($B449,flows!$A$2:$J$2950,I$2,FALSE),0)</f>
        <v>0</v>
      </c>
      <c r="J449" s="666">
        <f>IFERROR(VLOOKUP($B449,flows!$A$2:$J$2950,J$2,FALSE),0)</f>
        <v>0</v>
      </c>
      <c r="K449" s="666">
        <f>IFERROR(VLOOKUP($B449,flows!$A$2:$J$2950,K$2,FALSE),0)</f>
        <v>0</v>
      </c>
      <c r="L449" s="666">
        <f>IFERROR(VLOOKUP($B449,flows!$A$2:$J$2950,L$2,FALSE),0)</f>
        <v>0</v>
      </c>
      <c r="M449" s="575" t="s">
        <v>3165</v>
      </c>
    </row>
    <row r="450" spans="2:13" ht="20.149999999999999" customHeight="1" x14ac:dyDescent="0.35">
      <c r="B450" s="667" t="s">
        <v>3662</v>
      </c>
      <c r="C450" s="668" t="s">
        <v>3606</v>
      </c>
      <c r="D450" s="668" t="s">
        <v>3607</v>
      </c>
      <c r="E450" s="666">
        <f>IFERROR(VLOOKUP($B450,flows!$A$2:$J$2950,E$2,FALSE),0)</f>
        <v>0</v>
      </c>
      <c r="F450" s="666">
        <f>IFERROR(VLOOKUP($B450,flows!$A$2:$J$2950,F$2,FALSE),0)</f>
        <v>0</v>
      </c>
      <c r="G450" s="666">
        <f>IFERROR(VLOOKUP($B450,flows!$A$2:$J$2950,G$2,FALSE),0)</f>
        <v>0</v>
      </c>
      <c r="H450" s="666">
        <f>IFERROR(VLOOKUP($B450,flows!$A$2:$J$2950,H$2,FALSE),0)</f>
        <v>0</v>
      </c>
      <c r="I450" s="666">
        <f>IFERROR(VLOOKUP($B450,flows!$A$2:$J$2950,I$2,FALSE),0)</f>
        <v>0</v>
      </c>
      <c r="J450" s="666">
        <f>IFERROR(VLOOKUP($B450,flows!$A$2:$J$2950,J$2,FALSE),0)</f>
        <v>0</v>
      </c>
      <c r="K450" s="666">
        <f>IFERROR(VLOOKUP($B450,flows!$A$2:$J$2950,K$2,FALSE),0)</f>
        <v>0</v>
      </c>
      <c r="L450" s="666">
        <f>IFERROR(VLOOKUP($B450,flows!$A$2:$J$2950,L$2,FALSE),0)</f>
        <v>0</v>
      </c>
      <c r="M450" s="575" t="s">
        <v>3165</v>
      </c>
    </row>
    <row r="451" spans="2:13" ht="20.149999999999999" customHeight="1" x14ac:dyDescent="0.35">
      <c r="B451" s="667" t="s">
        <v>3663</v>
      </c>
      <c r="C451" s="668" t="s">
        <v>3606</v>
      </c>
      <c r="D451" s="668" t="s">
        <v>3607</v>
      </c>
      <c r="E451" s="666">
        <f>IFERROR(VLOOKUP($B451,flows!$A$2:$J$2950,E$2,FALSE),0)</f>
        <v>0</v>
      </c>
      <c r="F451" s="666">
        <f>IFERROR(VLOOKUP($B451,flows!$A$2:$J$2950,F$2,FALSE),0)</f>
        <v>0</v>
      </c>
      <c r="G451" s="666">
        <f>IFERROR(VLOOKUP($B451,flows!$A$2:$J$2950,G$2,FALSE),0)</f>
        <v>0</v>
      </c>
      <c r="H451" s="666">
        <f>IFERROR(VLOOKUP($B451,flows!$A$2:$J$2950,H$2,FALSE),0)</f>
        <v>0</v>
      </c>
      <c r="I451" s="666">
        <f>IFERROR(VLOOKUP($B451,flows!$A$2:$J$2950,I$2,FALSE),0)</f>
        <v>0</v>
      </c>
      <c r="J451" s="666">
        <f>IFERROR(VLOOKUP($B451,flows!$A$2:$J$2950,J$2,FALSE),0)</f>
        <v>0</v>
      </c>
      <c r="K451" s="666">
        <f>IFERROR(VLOOKUP($B451,flows!$A$2:$J$2950,K$2,FALSE),0)</f>
        <v>0</v>
      </c>
      <c r="L451" s="666">
        <f>IFERROR(VLOOKUP($B451,flows!$A$2:$J$2950,L$2,FALSE),0)</f>
        <v>0</v>
      </c>
      <c r="M451" s="575" t="s">
        <v>3165</v>
      </c>
    </row>
    <row r="452" spans="2:13" ht="20.149999999999999" customHeight="1" x14ac:dyDescent="0.35">
      <c r="B452" s="669" t="s">
        <v>3548</v>
      </c>
      <c r="C452" s="668" t="s">
        <v>2825</v>
      </c>
      <c r="D452" s="668" t="s">
        <v>3549</v>
      </c>
      <c r="E452" s="670">
        <f t="shared" ref="E452:L452" si="79">SUM(E445:E451)</f>
        <v>0</v>
      </c>
      <c r="F452" s="670">
        <f t="shared" si="79"/>
        <v>0</v>
      </c>
      <c r="G452" s="670">
        <f t="shared" si="79"/>
        <v>0</v>
      </c>
      <c r="H452" s="670">
        <f t="shared" si="79"/>
        <v>0</v>
      </c>
      <c r="I452" s="670">
        <f t="shared" si="79"/>
        <v>0</v>
      </c>
      <c r="J452" s="670">
        <f t="shared" si="79"/>
        <v>0</v>
      </c>
      <c r="K452" s="670">
        <f t="shared" si="79"/>
        <v>0</v>
      </c>
      <c r="L452" s="670">
        <f t="shared" si="79"/>
        <v>0</v>
      </c>
      <c r="M452" s="577" t="s">
        <v>3165</v>
      </c>
    </row>
    <row r="453" spans="2:13" ht="20.149999999999999" customHeight="1" x14ac:dyDescent="0.35">
      <c r="B453" s="627" t="s">
        <v>3664</v>
      </c>
      <c r="C453" s="629" t="s">
        <v>3606</v>
      </c>
      <c r="D453" s="629" t="s">
        <v>3607</v>
      </c>
      <c r="E453" s="671">
        <f>IFERROR(VLOOKUP($B453,flows!$A$2:$J$2950,E$2,FALSE),0)</f>
        <v>0</v>
      </c>
      <c r="F453" s="671">
        <f>IFERROR(VLOOKUP($B453,flows!$A$2:$J$2950,F$2,FALSE),0)</f>
        <v>0</v>
      </c>
      <c r="G453" s="671">
        <f>IFERROR(VLOOKUP($B453,flows!$A$2:$J$2950,G$2,FALSE),0)</f>
        <v>0</v>
      </c>
      <c r="H453" s="671">
        <f>IFERROR(VLOOKUP($B453,flows!$A$2:$J$2950,H$2,FALSE),0)</f>
        <v>0</v>
      </c>
      <c r="I453" s="671">
        <f>IFERROR(VLOOKUP($B453,flows!$A$2:$J$2950,I$2,FALSE),0)</f>
        <v>0</v>
      </c>
      <c r="J453" s="671">
        <f>IFERROR(VLOOKUP($B453,flows!$A$2:$J$2950,J$2,FALSE),0)</f>
        <v>0</v>
      </c>
      <c r="K453" s="671">
        <f>IFERROR(VLOOKUP($B453,flows!$A$2:$J$2950,K$2,FALSE),0)</f>
        <v>0</v>
      </c>
      <c r="L453" s="671">
        <f>IFERROR(VLOOKUP($B453,flows!$A$2:$J$2950,L$2,FALSE),0)</f>
        <v>0</v>
      </c>
      <c r="M453" s="578" t="s">
        <v>3165</v>
      </c>
    </row>
    <row r="454" spans="2:13" ht="20.149999999999999" customHeight="1" x14ac:dyDescent="0.35">
      <c r="B454" s="627" t="s">
        <v>3665</v>
      </c>
      <c r="C454" s="629" t="s">
        <v>3606</v>
      </c>
      <c r="D454" s="629" t="s">
        <v>3607</v>
      </c>
      <c r="E454" s="671">
        <f>IFERROR(VLOOKUP($B454,flows!$A$2:$J$2950,E$2,FALSE),0)</f>
        <v>0</v>
      </c>
      <c r="F454" s="671">
        <f>IFERROR(VLOOKUP($B454,flows!$A$2:$J$2950,F$2,FALSE),0)</f>
        <v>0</v>
      </c>
      <c r="G454" s="671">
        <f>IFERROR(VLOOKUP($B454,flows!$A$2:$J$2950,G$2,FALSE),0)</f>
        <v>0</v>
      </c>
      <c r="H454" s="671">
        <f>IFERROR(VLOOKUP($B454,flows!$A$2:$J$2950,H$2,FALSE),0)</f>
        <v>0</v>
      </c>
      <c r="I454" s="671">
        <f>IFERROR(VLOOKUP($B454,flows!$A$2:$J$2950,I$2,FALSE),0)</f>
        <v>0</v>
      </c>
      <c r="J454" s="671">
        <f>IFERROR(VLOOKUP($B454,flows!$A$2:$J$2950,J$2,FALSE),0)</f>
        <v>0</v>
      </c>
      <c r="K454" s="671">
        <f>IFERROR(VLOOKUP($B454,flows!$A$2:$J$2950,K$2,FALSE),0)</f>
        <v>0</v>
      </c>
      <c r="L454" s="671">
        <f>IFERROR(VLOOKUP($B454,flows!$A$2:$J$2950,L$2,FALSE),0)</f>
        <v>0</v>
      </c>
      <c r="M454" s="579" t="s">
        <v>3165</v>
      </c>
    </row>
    <row r="455" spans="2:13" ht="20.149999999999999" customHeight="1" x14ac:dyDescent="0.35">
      <c r="B455" s="627" t="s">
        <v>3666</v>
      </c>
      <c r="C455" s="629" t="s">
        <v>3606</v>
      </c>
      <c r="D455" s="629" t="s">
        <v>3607</v>
      </c>
      <c r="E455" s="671">
        <f>IFERROR(VLOOKUP($B455,flows!$A$2:$J$2950,E$2,FALSE),0)</f>
        <v>0</v>
      </c>
      <c r="F455" s="671">
        <f>IFERROR(VLOOKUP($B455,flows!$A$2:$J$2950,F$2,FALSE),0)</f>
        <v>0</v>
      </c>
      <c r="G455" s="671">
        <f>IFERROR(VLOOKUP($B455,flows!$A$2:$J$2950,G$2,FALSE),0)</f>
        <v>0</v>
      </c>
      <c r="H455" s="671">
        <f>IFERROR(VLOOKUP($B455,flows!$A$2:$J$2950,H$2,FALSE),0)</f>
        <v>0</v>
      </c>
      <c r="I455" s="671">
        <f>IFERROR(VLOOKUP($B455,flows!$A$2:$J$2950,I$2,FALSE),0)</f>
        <v>0</v>
      </c>
      <c r="J455" s="671">
        <f>IFERROR(VLOOKUP($B455,flows!$A$2:$J$2950,J$2,FALSE),0)</f>
        <v>0</v>
      </c>
      <c r="K455" s="671">
        <f>IFERROR(VLOOKUP($B455,flows!$A$2:$J$2950,K$2,FALSE),0)</f>
        <v>0</v>
      </c>
      <c r="L455" s="671">
        <f>IFERROR(VLOOKUP($B455,flows!$A$2:$J$2950,L$2,FALSE),0)</f>
        <v>0</v>
      </c>
      <c r="M455" s="579" t="s">
        <v>3165</v>
      </c>
    </row>
    <row r="456" spans="2:13" ht="20.149999999999999" customHeight="1" x14ac:dyDescent="0.35">
      <c r="B456" s="672" t="s">
        <v>3667</v>
      </c>
      <c r="C456" s="673" t="s">
        <v>3606</v>
      </c>
      <c r="D456" s="673" t="s">
        <v>3607</v>
      </c>
      <c r="E456" s="671">
        <f>IFERROR(VLOOKUP($B456,flows!$A$2:$J$2950,E$2,FALSE),0)</f>
        <v>0</v>
      </c>
      <c r="F456" s="671">
        <f>IFERROR(VLOOKUP($B456,flows!$A$2:$J$2950,F$2,FALSE),0)</f>
        <v>0</v>
      </c>
      <c r="G456" s="671">
        <f>IFERROR(VLOOKUP($B456,flows!$A$2:$J$2950,G$2,FALSE),0)</f>
        <v>0</v>
      </c>
      <c r="H456" s="671">
        <f>IFERROR(VLOOKUP($B456,flows!$A$2:$J$2950,H$2,FALSE),0)</f>
        <v>0</v>
      </c>
      <c r="I456" s="671">
        <f>IFERROR(VLOOKUP($B456,flows!$A$2:$J$2950,I$2,FALSE),0)</f>
        <v>0</v>
      </c>
      <c r="J456" s="671">
        <f>IFERROR(VLOOKUP($B456,flows!$A$2:$J$2950,J$2,FALSE),0)</f>
        <v>0</v>
      </c>
      <c r="K456" s="671">
        <f>IFERROR(VLOOKUP($B456,flows!$A$2:$J$2950,K$2,FALSE),0)</f>
        <v>0</v>
      </c>
      <c r="L456" s="671">
        <f>IFERROR(VLOOKUP($B456,flows!$A$2:$J$2950,L$2,FALSE),0)</f>
        <v>0</v>
      </c>
      <c r="M456" s="579" t="s">
        <v>3165</v>
      </c>
    </row>
    <row r="457" spans="2:13" ht="20.149999999999999" customHeight="1" x14ac:dyDescent="0.35">
      <c r="B457" s="672" t="s">
        <v>3668</v>
      </c>
      <c r="C457" s="673" t="s">
        <v>3606</v>
      </c>
      <c r="D457" s="673" t="s">
        <v>3607</v>
      </c>
      <c r="E457" s="671">
        <f>IFERROR(VLOOKUP($B457,flows!$A$2:$J$2950,E$2,FALSE),0)</f>
        <v>0</v>
      </c>
      <c r="F457" s="671">
        <f>IFERROR(VLOOKUP($B457,flows!$A$2:$J$2950,F$2,FALSE),0)</f>
        <v>0</v>
      </c>
      <c r="G457" s="671">
        <f>IFERROR(VLOOKUP($B457,flows!$A$2:$J$2950,G$2,FALSE),0)</f>
        <v>0</v>
      </c>
      <c r="H457" s="671">
        <f>IFERROR(VLOOKUP($B457,flows!$A$2:$J$2950,H$2,FALSE),0)</f>
        <v>0</v>
      </c>
      <c r="I457" s="671">
        <f>IFERROR(VLOOKUP($B457,flows!$A$2:$J$2950,I$2,FALSE),0)</f>
        <v>0</v>
      </c>
      <c r="J457" s="671">
        <f>IFERROR(VLOOKUP($B457,flows!$A$2:$J$2950,J$2,FALSE),0)</f>
        <v>0</v>
      </c>
      <c r="K457" s="671">
        <f>IFERROR(VLOOKUP($B457,flows!$A$2:$J$2950,K$2,FALSE),0)</f>
        <v>0</v>
      </c>
      <c r="L457" s="671">
        <f>IFERROR(VLOOKUP($B457,flows!$A$2:$J$2950,L$2,FALSE),0)</f>
        <v>0</v>
      </c>
      <c r="M457" s="579" t="s">
        <v>3165</v>
      </c>
    </row>
    <row r="458" spans="2:13" ht="20.149999999999999" customHeight="1" x14ac:dyDescent="0.35">
      <c r="B458" s="672" t="s">
        <v>3669</v>
      </c>
      <c r="C458" s="673" t="s">
        <v>3606</v>
      </c>
      <c r="D458" s="673" t="s">
        <v>3607</v>
      </c>
      <c r="E458" s="671">
        <f>IFERROR(VLOOKUP($B458,flows!$A$2:$J$2950,E$2,FALSE),0)</f>
        <v>0</v>
      </c>
      <c r="F458" s="671">
        <f>IFERROR(VLOOKUP($B458,flows!$A$2:$J$2950,F$2,FALSE),0)</f>
        <v>0</v>
      </c>
      <c r="G458" s="671">
        <f>IFERROR(VLOOKUP($B458,flows!$A$2:$J$2950,G$2,FALSE),0)</f>
        <v>0</v>
      </c>
      <c r="H458" s="671">
        <f>IFERROR(VLOOKUP($B458,flows!$A$2:$J$2950,H$2,FALSE),0)</f>
        <v>0</v>
      </c>
      <c r="I458" s="671">
        <f>IFERROR(VLOOKUP($B458,flows!$A$2:$J$2950,I$2,FALSE),0)</f>
        <v>0</v>
      </c>
      <c r="J458" s="671">
        <f>IFERROR(VLOOKUP($B458,flows!$A$2:$J$2950,J$2,FALSE),0)</f>
        <v>0</v>
      </c>
      <c r="K458" s="671">
        <f>IFERROR(VLOOKUP($B458,flows!$A$2:$J$2950,K$2,FALSE),0)</f>
        <v>0</v>
      </c>
      <c r="L458" s="671">
        <f>IFERROR(VLOOKUP($B458,flows!$A$2:$J$2950,L$2,FALSE),0)</f>
        <v>0</v>
      </c>
      <c r="M458" s="579" t="s">
        <v>3165</v>
      </c>
    </row>
    <row r="459" spans="2:13" ht="20.149999999999999" customHeight="1" x14ac:dyDescent="0.35">
      <c r="B459" s="672" t="s">
        <v>3670</v>
      </c>
      <c r="C459" s="673" t="s">
        <v>3606</v>
      </c>
      <c r="D459" s="673" t="s">
        <v>3607</v>
      </c>
      <c r="E459" s="671">
        <f>IFERROR(VLOOKUP($B459,flows!$A$2:$J$2950,E$2,FALSE),0)</f>
        <v>0</v>
      </c>
      <c r="F459" s="671">
        <f>IFERROR(VLOOKUP($B459,flows!$A$2:$J$2950,F$2,FALSE),0)</f>
        <v>0</v>
      </c>
      <c r="G459" s="671">
        <f>IFERROR(VLOOKUP($B459,flows!$A$2:$J$2950,G$2,FALSE),0)</f>
        <v>0</v>
      </c>
      <c r="H459" s="671">
        <f>IFERROR(VLOOKUP($B459,flows!$A$2:$J$2950,H$2,FALSE),0)</f>
        <v>0</v>
      </c>
      <c r="I459" s="671">
        <f>IFERROR(VLOOKUP($B459,flows!$A$2:$J$2950,I$2,FALSE),0)</f>
        <v>0</v>
      </c>
      <c r="J459" s="671">
        <f>IFERROR(VLOOKUP($B459,flows!$A$2:$J$2950,J$2,FALSE),0)</f>
        <v>0</v>
      </c>
      <c r="K459" s="671">
        <f>IFERROR(VLOOKUP($B459,flows!$A$2:$J$2950,K$2,FALSE),0)</f>
        <v>0</v>
      </c>
      <c r="L459" s="671">
        <f>IFERROR(VLOOKUP($B459,flows!$A$2:$J$2950,L$2,FALSE),0)</f>
        <v>0</v>
      </c>
      <c r="M459" s="579" t="s">
        <v>3165</v>
      </c>
    </row>
    <row r="460" spans="2:13" ht="20.149999999999999" customHeight="1" x14ac:dyDescent="0.35">
      <c r="B460" s="674" t="s">
        <v>3548</v>
      </c>
      <c r="C460" s="673" t="s">
        <v>2825</v>
      </c>
      <c r="D460" s="673" t="s">
        <v>3549</v>
      </c>
      <c r="E460" s="675">
        <f t="shared" ref="E460:L460" si="80">SUM(E453:E459)</f>
        <v>0</v>
      </c>
      <c r="F460" s="675">
        <f t="shared" si="80"/>
        <v>0</v>
      </c>
      <c r="G460" s="675">
        <f t="shared" si="80"/>
        <v>0</v>
      </c>
      <c r="H460" s="675">
        <f t="shared" si="80"/>
        <v>0</v>
      </c>
      <c r="I460" s="675">
        <f t="shared" si="80"/>
        <v>0</v>
      </c>
      <c r="J460" s="675">
        <f t="shared" si="80"/>
        <v>0</v>
      </c>
      <c r="K460" s="675">
        <f t="shared" si="80"/>
        <v>0</v>
      </c>
      <c r="L460" s="675">
        <f t="shared" si="80"/>
        <v>0</v>
      </c>
      <c r="M460" s="581" t="s">
        <v>3165</v>
      </c>
    </row>
    <row r="461" spans="2:13" ht="20.149999999999999" customHeight="1" thickBot="1" x14ac:dyDescent="0.4">
      <c r="B461" s="701" t="s">
        <v>3217</v>
      </c>
      <c r="C461" s="702" t="s">
        <v>3237</v>
      </c>
      <c r="D461" s="702" t="s">
        <v>3238</v>
      </c>
      <c r="E461" s="703">
        <f t="shared" ref="E461:L461" si="81">SUM(E452+E460)</f>
        <v>0</v>
      </c>
      <c r="F461" s="703">
        <f t="shared" si="81"/>
        <v>0</v>
      </c>
      <c r="G461" s="703">
        <f t="shared" si="81"/>
        <v>0</v>
      </c>
      <c r="H461" s="703">
        <f t="shared" si="81"/>
        <v>0</v>
      </c>
      <c r="I461" s="703">
        <f t="shared" si="81"/>
        <v>0</v>
      </c>
      <c r="J461" s="703">
        <f t="shared" si="81"/>
        <v>0</v>
      </c>
      <c r="K461" s="703">
        <f t="shared" si="81"/>
        <v>0</v>
      </c>
      <c r="L461" s="703">
        <f t="shared" si="81"/>
        <v>0</v>
      </c>
      <c r="M461" s="704" t="s">
        <v>3165</v>
      </c>
    </row>
    <row r="462" spans="2:13" ht="20.149999999999999" customHeight="1" thickTop="1" thickBot="1" x14ac:dyDescent="0.4">
      <c r="B462" s="709" t="s">
        <v>3276</v>
      </c>
      <c r="C462" s="710"/>
      <c r="D462" s="710"/>
      <c r="E462" s="710"/>
      <c r="F462" s="710"/>
      <c r="G462" s="710"/>
      <c r="H462" s="710"/>
      <c r="I462" s="710"/>
      <c r="J462" s="710"/>
      <c r="K462" s="710"/>
      <c r="L462" s="710"/>
      <c r="M462" s="710"/>
    </row>
    <row r="463" spans="2:13" ht="20.149999999999999" customHeight="1" thickTop="1" x14ac:dyDescent="0.35">
      <c r="B463" s="711" t="s">
        <v>3671</v>
      </c>
      <c r="C463" s="712" t="s">
        <v>3156</v>
      </c>
      <c r="D463" s="712" t="s">
        <v>3157</v>
      </c>
      <c r="E463" s="712" t="s">
        <v>23</v>
      </c>
      <c r="F463" s="712" t="s">
        <v>1798</v>
      </c>
      <c r="G463" s="712" t="s">
        <v>1799</v>
      </c>
      <c r="H463" s="712" t="s">
        <v>1800</v>
      </c>
      <c r="I463" s="712" t="s">
        <v>1801</v>
      </c>
      <c r="J463" s="712" t="s">
        <v>1802</v>
      </c>
      <c r="K463" s="712" t="s">
        <v>1803</v>
      </c>
      <c r="L463" s="713" t="s">
        <v>1804</v>
      </c>
      <c r="M463" s="714" t="s">
        <v>3158</v>
      </c>
    </row>
    <row r="464" spans="2:13" ht="20.149999999999999" customHeight="1" x14ac:dyDescent="0.35">
      <c r="B464" s="715" t="s">
        <v>3672</v>
      </c>
      <c r="C464" s="716" t="s">
        <v>3275</v>
      </c>
      <c r="D464" s="717" t="s">
        <v>3276</v>
      </c>
      <c r="E464" s="718">
        <f>IFERROR(VLOOKUP($B464,costs!$A$2:$J$2968,E$2,FALSE),0)</f>
        <v>0</v>
      </c>
      <c r="F464" s="718">
        <f>IFERROR(VLOOKUP($B464,costs!$A$2:$J$2968,F$2,FALSE),0)</f>
        <v>0</v>
      </c>
      <c r="G464" s="718">
        <f>IFERROR(VLOOKUP($B464,costs!$A$2:$J$2968,G$2,FALSE),0)</f>
        <v>0</v>
      </c>
      <c r="H464" s="718">
        <f>IFERROR(VLOOKUP($B464,costs!$A$2:$J$2968,H$2,FALSE),0)</f>
        <v>0</v>
      </c>
      <c r="I464" s="718">
        <f>IFERROR(VLOOKUP($B464,costs!$A$2:$J$2968,I$2,FALSE),0)</f>
        <v>0</v>
      </c>
      <c r="J464" s="718">
        <f>IFERROR(VLOOKUP($B464,costs!$A$2:$J$2968,J$2,FALSE),0)</f>
        <v>0</v>
      </c>
      <c r="K464" s="718">
        <f>IFERROR(VLOOKUP($B464,costs!$A$2:$J$2968,K$2,FALSE),0)</f>
        <v>0</v>
      </c>
      <c r="L464" s="718">
        <f>IFERROR(VLOOKUP($B464,costs!$A$2:$J$2968,L$2,FALSE),0)</f>
        <v>0</v>
      </c>
      <c r="M464" s="719" t="s">
        <v>3277</v>
      </c>
    </row>
    <row r="465" spans="2:13" ht="20.149999999999999" customHeight="1" x14ac:dyDescent="0.35">
      <c r="B465" s="715" t="s">
        <v>3673</v>
      </c>
      <c r="C465" s="716" t="s">
        <v>3275</v>
      </c>
      <c r="D465" s="717" t="s">
        <v>3276</v>
      </c>
      <c r="E465" s="718">
        <f>IFERROR(VLOOKUP($B465,costs!$A$2:$J$2968,E$2,FALSE),0)</f>
        <v>0</v>
      </c>
      <c r="F465" s="718">
        <f>IFERROR(VLOOKUP($B465,costs!$A$2:$J$2968,F$2,FALSE),0)</f>
        <v>0</v>
      </c>
      <c r="G465" s="718">
        <f>IFERROR(VLOOKUP($B465,costs!$A$2:$J$2968,G$2,FALSE),0)</f>
        <v>0</v>
      </c>
      <c r="H465" s="718">
        <f>IFERROR(VLOOKUP($B465,costs!$A$2:$J$2968,H$2,FALSE),0)</f>
        <v>0</v>
      </c>
      <c r="I465" s="718">
        <f>IFERROR(VLOOKUP($B465,costs!$A$2:$J$2968,I$2,FALSE),0)</f>
        <v>0</v>
      </c>
      <c r="J465" s="718">
        <f>IFERROR(VLOOKUP($B465,costs!$A$2:$J$2968,J$2,FALSE),0)</f>
        <v>0</v>
      </c>
      <c r="K465" s="718">
        <f>IFERROR(VLOOKUP($B465,costs!$A$2:$J$2968,K$2,FALSE),0)</f>
        <v>0</v>
      </c>
      <c r="L465" s="720">
        <f>IFERROR(VLOOKUP($B465,costs!$A$2:$J$2968,L$2,FALSE),0)</f>
        <v>0</v>
      </c>
      <c r="M465" s="719" t="s">
        <v>3277</v>
      </c>
    </row>
    <row r="466" spans="2:13" ht="20.149999999999999" customHeight="1" x14ac:dyDescent="0.35">
      <c r="B466" s="715" t="s">
        <v>3674</v>
      </c>
      <c r="C466" s="716" t="s">
        <v>3275</v>
      </c>
      <c r="D466" s="717" t="s">
        <v>3276</v>
      </c>
      <c r="E466" s="718">
        <f>IFERROR(VLOOKUP($B466,costs!$A$2:$J$2968,E$2,FALSE),0)</f>
        <v>0</v>
      </c>
      <c r="F466" s="718">
        <f>IFERROR(VLOOKUP($B466,costs!$A$2:$J$2968,F$2,FALSE),0)</f>
        <v>0</v>
      </c>
      <c r="G466" s="718">
        <f>IFERROR(VLOOKUP($B466,costs!$A$2:$J$2968,G$2,FALSE),0)</f>
        <v>0</v>
      </c>
      <c r="H466" s="718">
        <f>IFERROR(VLOOKUP($B466,costs!$A$2:$J$2968,H$2,FALSE),0)</f>
        <v>0</v>
      </c>
      <c r="I466" s="718">
        <f>IFERROR(VLOOKUP($B466,costs!$A$2:$J$2968,I$2,FALSE),0)</f>
        <v>0</v>
      </c>
      <c r="J466" s="718">
        <f>IFERROR(VLOOKUP($B466,costs!$A$2:$J$2968,J$2,FALSE),0)</f>
        <v>0</v>
      </c>
      <c r="K466" s="718">
        <f>IFERROR(VLOOKUP($B466,costs!$A$2:$J$2968,K$2,FALSE),0)</f>
        <v>0</v>
      </c>
      <c r="L466" s="720">
        <f>IFERROR(VLOOKUP($B466,costs!$A$2:$J$2968,L$2,FALSE),0)</f>
        <v>0</v>
      </c>
      <c r="M466" s="719" t="s">
        <v>3277</v>
      </c>
    </row>
    <row r="467" spans="2:13" ht="20.149999999999999" customHeight="1" x14ac:dyDescent="0.35">
      <c r="B467" s="715" t="s">
        <v>3675</v>
      </c>
      <c r="C467" s="716" t="s">
        <v>3275</v>
      </c>
      <c r="D467" s="717" t="s">
        <v>3276</v>
      </c>
      <c r="E467" s="718">
        <f>IFERROR(VLOOKUP($B467,costs!$A$2:$J$2968,E$2,FALSE),0)</f>
        <v>0</v>
      </c>
      <c r="F467" s="718">
        <f>IFERROR(VLOOKUP($B467,costs!$A$2:$J$2968,F$2,FALSE),0)</f>
        <v>0</v>
      </c>
      <c r="G467" s="718">
        <f>IFERROR(VLOOKUP($B467,costs!$A$2:$J$2968,G$2,FALSE),0)</f>
        <v>0</v>
      </c>
      <c r="H467" s="718">
        <f>IFERROR(VLOOKUP($B467,costs!$A$2:$J$2968,H$2,FALSE),0)</f>
        <v>0</v>
      </c>
      <c r="I467" s="718">
        <f>IFERROR(VLOOKUP($B467,costs!$A$2:$J$2968,I$2,FALSE),0)</f>
        <v>0</v>
      </c>
      <c r="J467" s="718">
        <f>IFERROR(VLOOKUP($B467,costs!$A$2:$J$2968,J$2,FALSE),0)</f>
        <v>0</v>
      </c>
      <c r="K467" s="718">
        <f>IFERROR(VLOOKUP($B467,costs!$A$2:$J$2968,K$2,FALSE),0)</f>
        <v>0</v>
      </c>
      <c r="L467" s="720">
        <f>IFERROR(VLOOKUP($B467,costs!$A$2:$J$2968,L$2,FALSE),0)</f>
        <v>0</v>
      </c>
      <c r="M467" s="719" t="s">
        <v>3277</v>
      </c>
    </row>
    <row r="468" spans="2:13" ht="20.149999999999999" customHeight="1" x14ac:dyDescent="0.35">
      <c r="B468" s="715" t="s">
        <v>3676</v>
      </c>
      <c r="C468" s="716" t="s">
        <v>3275</v>
      </c>
      <c r="D468" s="717" t="s">
        <v>3276</v>
      </c>
      <c r="E468" s="718">
        <f>IFERROR(VLOOKUP($B468,costs!$A$2:$J$2968,E$2,FALSE),0)</f>
        <v>0</v>
      </c>
      <c r="F468" s="718">
        <f>IFERROR(VLOOKUP($B468,costs!$A$2:$J$2968,F$2,FALSE),0)</f>
        <v>0</v>
      </c>
      <c r="G468" s="718">
        <f>IFERROR(VLOOKUP($B468,costs!$A$2:$J$2968,G$2,FALSE),0)</f>
        <v>0</v>
      </c>
      <c r="H468" s="718">
        <f>IFERROR(VLOOKUP($B468,costs!$A$2:$J$2968,H$2,FALSE),0)</f>
        <v>0</v>
      </c>
      <c r="I468" s="718">
        <f>IFERROR(VLOOKUP($B468,costs!$A$2:$J$2968,I$2,FALSE),0)</f>
        <v>0</v>
      </c>
      <c r="J468" s="718">
        <f>IFERROR(VLOOKUP($B468,costs!$A$2:$J$2968,J$2,FALSE),0)</f>
        <v>0</v>
      </c>
      <c r="K468" s="718">
        <f>IFERROR(VLOOKUP($B468,costs!$A$2:$J$2968,K$2,FALSE),0)</f>
        <v>0</v>
      </c>
      <c r="L468" s="720">
        <f>IFERROR(VLOOKUP($B468,costs!$A$2:$J$2968,L$2,FALSE),0)</f>
        <v>0</v>
      </c>
      <c r="M468" s="719" t="s">
        <v>3277</v>
      </c>
    </row>
    <row r="469" spans="2:13" ht="20.149999999999999" customHeight="1" x14ac:dyDescent="0.35">
      <c r="B469" s="715" t="s">
        <v>3677</v>
      </c>
      <c r="C469" s="716" t="s">
        <v>3275</v>
      </c>
      <c r="D469" s="717" t="s">
        <v>3276</v>
      </c>
      <c r="E469" s="718">
        <f>IFERROR(VLOOKUP($B469,costs!$A$2:$J$2968,E$2,FALSE),0)</f>
        <v>0</v>
      </c>
      <c r="F469" s="718">
        <f>IFERROR(VLOOKUP($B469,costs!$A$2:$J$2968,F$2,FALSE),0)</f>
        <v>0</v>
      </c>
      <c r="G469" s="718">
        <f>IFERROR(VLOOKUP($B469,costs!$A$2:$J$2968,G$2,FALSE),0)</f>
        <v>0</v>
      </c>
      <c r="H469" s="718">
        <f>IFERROR(VLOOKUP($B469,costs!$A$2:$J$2968,H$2,FALSE),0)</f>
        <v>0</v>
      </c>
      <c r="I469" s="718">
        <f>IFERROR(VLOOKUP($B469,costs!$A$2:$J$2968,I$2,FALSE),0)</f>
        <v>0</v>
      </c>
      <c r="J469" s="718">
        <f>IFERROR(VLOOKUP($B469,costs!$A$2:$J$2968,J$2,FALSE),0)</f>
        <v>0</v>
      </c>
      <c r="K469" s="718">
        <f>IFERROR(VLOOKUP($B469,costs!$A$2:$J$2968,K$2,FALSE),0)</f>
        <v>0</v>
      </c>
      <c r="L469" s="718">
        <f>IFERROR(VLOOKUP($B469,costs!$A$2:$J$2968,L$2,FALSE),0)</f>
        <v>0</v>
      </c>
      <c r="M469" s="719" t="s">
        <v>3277</v>
      </c>
    </row>
    <row r="470" spans="2:13" ht="20.149999999999999" customHeight="1" x14ac:dyDescent="0.35">
      <c r="B470" s="717" t="s">
        <v>3678</v>
      </c>
      <c r="C470" s="716" t="s">
        <v>3275</v>
      </c>
      <c r="D470" s="717" t="s">
        <v>3276</v>
      </c>
      <c r="E470" s="718">
        <f>IFERROR(VLOOKUP($B470,costs!$A$2:$J$2968,E$2,FALSE),0)</f>
        <v>0</v>
      </c>
      <c r="F470" s="718">
        <f>IFERROR(VLOOKUP($B470,costs!$A$2:$J$2968,F$2,FALSE),0)</f>
        <v>0</v>
      </c>
      <c r="G470" s="718">
        <f>IFERROR(VLOOKUP($B470,costs!$A$2:$J$2968,G$2,FALSE),0)</f>
        <v>0</v>
      </c>
      <c r="H470" s="718">
        <f>IFERROR(VLOOKUP($B470,costs!$A$2:$J$2968,H$2,FALSE),0)</f>
        <v>0</v>
      </c>
      <c r="I470" s="718">
        <f>IFERROR(VLOOKUP($B470,costs!$A$2:$J$2968,I$2,FALSE),0)</f>
        <v>0</v>
      </c>
      <c r="J470" s="718">
        <f>IFERROR(VLOOKUP($B470,costs!$A$2:$J$2968,J$2,FALSE),0)</f>
        <v>0</v>
      </c>
      <c r="K470" s="718">
        <f>IFERROR(VLOOKUP($B470,costs!$A$2:$J$2968,K$2,FALSE),0)</f>
        <v>0</v>
      </c>
      <c r="L470" s="718">
        <f>IFERROR(VLOOKUP($B470,costs!$A$2:$J$2968,L$2,FALSE),0)</f>
        <v>0</v>
      </c>
      <c r="M470" s="719" t="s">
        <v>3277</v>
      </c>
    </row>
    <row r="471" spans="2:13" ht="20.149999999999999" customHeight="1" x14ac:dyDescent="0.35">
      <c r="B471" s="717" t="s">
        <v>3679</v>
      </c>
      <c r="C471" s="716" t="s">
        <v>3275</v>
      </c>
      <c r="D471" s="717" t="s">
        <v>3276</v>
      </c>
      <c r="E471" s="718">
        <f>IFERROR(VLOOKUP($B471,costs!$A$2:$J$2968,E$2,FALSE),0)</f>
        <v>0</v>
      </c>
      <c r="F471" s="718">
        <f>IFERROR(VLOOKUP($B471,costs!$A$2:$J$2968,F$2,FALSE),0)</f>
        <v>0</v>
      </c>
      <c r="G471" s="718">
        <f>IFERROR(VLOOKUP($B471,costs!$A$2:$J$2968,G$2,FALSE),0)</f>
        <v>0</v>
      </c>
      <c r="H471" s="718">
        <f>IFERROR(VLOOKUP($B471,costs!$A$2:$J$2968,H$2,FALSE),0)</f>
        <v>0</v>
      </c>
      <c r="I471" s="718">
        <f>IFERROR(VLOOKUP($B471,costs!$A$2:$J$2968,I$2,FALSE),0)</f>
        <v>0</v>
      </c>
      <c r="J471" s="718">
        <f>IFERROR(VLOOKUP($B471,costs!$A$2:$J$2968,J$2,FALSE),0)</f>
        <v>0</v>
      </c>
      <c r="K471" s="718">
        <f>IFERROR(VLOOKUP($B471,costs!$A$2:$J$2968,K$2,FALSE),0)</f>
        <v>0</v>
      </c>
      <c r="L471" s="718">
        <f>IFERROR(VLOOKUP($B471,costs!$A$2:$J$2968,L$2,FALSE),0)</f>
        <v>0</v>
      </c>
      <c r="M471" s="719" t="s">
        <v>3277</v>
      </c>
    </row>
    <row r="472" spans="2:13" ht="20.149999999999999" customHeight="1" x14ac:dyDescent="0.35">
      <c r="B472" s="717" t="s">
        <v>3680</v>
      </c>
      <c r="C472" s="716" t="s">
        <v>3275</v>
      </c>
      <c r="D472" s="717" t="s">
        <v>3276</v>
      </c>
      <c r="E472" s="718">
        <f>IFERROR(VLOOKUP($B472,costs!$A$2:$J$2968,E$2,FALSE),0)</f>
        <v>0</v>
      </c>
      <c r="F472" s="718">
        <f>IFERROR(VLOOKUP($B472,costs!$A$2:$J$2968,F$2,FALSE),0)</f>
        <v>0</v>
      </c>
      <c r="G472" s="718">
        <f>IFERROR(VLOOKUP($B472,costs!$A$2:$J$2968,G$2,FALSE),0)</f>
        <v>0</v>
      </c>
      <c r="H472" s="718">
        <f>IFERROR(VLOOKUP($B472,costs!$A$2:$J$2968,H$2,FALSE),0)</f>
        <v>0</v>
      </c>
      <c r="I472" s="718">
        <f>IFERROR(VLOOKUP($B472,costs!$A$2:$J$2968,I$2,FALSE),0)</f>
        <v>0</v>
      </c>
      <c r="J472" s="718">
        <f>IFERROR(VLOOKUP($B472,costs!$A$2:$J$2968,J$2,FALSE),0)</f>
        <v>0</v>
      </c>
      <c r="K472" s="718">
        <f>IFERROR(VLOOKUP($B472,costs!$A$2:$J$2968,K$2,FALSE),0)</f>
        <v>0</v>
      </c>
      <c r="L472" s="718">
        <f>IFERROR(VLOOKUP($B472,costs!$A$2:$J$2968,L$2,FALSE),0)</f>
        <v>0</v>
      </c>
      <c r="M472" s="719" t="s">
        <v>3277</v>
      </c>
    </row>
    <row r="473" spans="2:13" ht="20.149999999999999" customHeight="1" x14ac:dyDescent="0.35">
      <c r="B473" s="715" t="s">
        <v>3681</v>
      </c>
      <c r="C473" s="716" t="s">
        <v>3275</v>
      </c>
      <c r="D473" s="717" t="s">
        <v>3276</v>
      </c>
      <c r="E473" s="718">
        <f>IFERROR(VLOOKUP($B473,costs!$A$2:$J$2968,E$2,FALSE),0)</f>
        <v>0</v>
      </c>
      <c r="F473" s="718">
        <f>IFERROR(VLOOKUP($B473,costs!$A$2:$J$2968,F$2,FALSE),0)</f>
        <v>0</v>
      </c>
      <c r="G473" s="718">
        <f>IFERROR(VLOOKUP($B473,costs!$A$2:$J$2968,G$2,FALSE),0)</f>
        <v>0</v>
      </c>
      <c r="H473" s="718">
        <f>IFERROR(VLOOKUP($B473,costs!$A$2:$J$2968,H$2,FALSE),0)</f>
        <v>0</v>
      </c>
      <c r="I473" s="718">
        <f>IFERROR(VLOOKUP($B473,costs!$A$2:$J$2968,I$2,FALSE),0)</f>
        <v>0</v>
      </c>
      <c r="J473" s="718">
        <f>IFERROR(VLOOKUP($B473,costs!$A$2:$J$2968,J$2,FALSE),0)</f>
        <v>0</v>
      </c>
      <c r="K473" s="718">
        <f>IFERROR(VLOOKUP($B473,costs!$A$2:$J$2968,K$2,FALSE),0)</f>
        <v>0</v>
      </c>
      <c r="L473" s="718">
        <f>IFERROR(VLOOKUP($B473,costs!$A$2:$J$2968,L$2,FALSE),0)</f>
        <v>0</v>
      </c>
      <c r="M473" s="719" t="s">
        <v>3277</v>
      </c>
    </row>
    <row r="474" spans="2:13" ht="20.149999999999999" customHeight="1" x14ac:dyDescent="0.35">
      <c r="B474" s="715" t="s">
        <v>3682</v>
      </c>
      <c r="C474" s="716" t="s">
        <v>3275</v>
      </c>
      <c r="D474" s="717" t="s">
        <v>3276</v>
      </c>
      <c r="E474" s="718">
        <f>IFERROR(VLOOKUP($B474,costs!$A$2:$J$2968,E$2,FALSE),0)</f>
        <v>0</v>
      </c>
      <c r="F474" s="718">
        <f>IFERROR(VLOOKUP($B474,costs!$A$2:$J$2968,F$2,FALSE),0)</f>
        <v>0</v>
      </c>
      <c r="G474" s="718">
        <f>IFERROR(VLOOKUP($B474,costs!$A$2:$J$2968,G$2,FALSE),0)</f>
        <v>0</v>
      </c>
      <c r="H474" s="718">
        <f>IFERROR(VLOOKUP($B474,costs!$A$2:$J$2968,H$2,FALSE),0)</f>
        <v>0</v>
      </c>
      <c r="I474" s="718">
        <f>IFERROR(VLOOKUP($B474,costs!$A$2:$J$2968,I$2,FALSE),0)</f>
        <v>0</v>
      </c>
      <c r="J474" s="718">
        <f>IFERROR(VLOOKUP($B474,costs!$A$2:$J$2968,J$2,FALSE),0)</f>
        <v>0</v>
      </c>
      <c r="K474" s="718">
        <f>IFERROR(VLOOKUP($B474,costs!$A$2:$J$2968,K$2,FALSE),0)</f>
        <v>0</v>
      </c>
      <c r="L474" s="718">
        <f>IFERROR(VLOOKUP($B474,costs!$A$2:$J$2968,L$2,FALSE),0)</f>
        <v>0</v>
      </c>
      <c r="M474" s="719" t="s">
        <v>3277</v>
      </c>
    </row>
    <row r="475" spans="2:13" ht="20.149999999999999" customHeight="1" x14ac:dyDescent="0.35">
      <c r="B475" s="715" t="s">
        <v>3683</v>
      </c>
      <c r="C475" s="716" t="s">
        <v>3275</v>
      </c>
      <c r="D475" s="717" t="s">
        <v>3276</v>
      </c>
      <c r="E475" s="718">
        <f>IFERROR(VLOOKUP($B475,costs!$A$2:$J$2968,E$2,FALSE),0)</f>
        <v>0</v>
      </c>
      <c r="F475" s="718">
        <f>IFERROR(VLOOKUP($B475,costs!$A$2:$J$2968,F$2,FALSE),0)</f>
        <v>0</v>
      </c>
      <c r="G475" s="718">
        <f>IFERROR(VLOOKUP($B475,costs!$A$2:$J$2968,G$2,FALSE),0)</f>
        <v>0</v>
      </c>
      <c r="H475" s="718">
        <f>IFERROR(VLOOKUP($B475,costs!$A$2:$J$2968,H$2,FALSE),0)</f>
        <v>0</v>
      </c>
      <c r="I475" s="718">
        <f>IFERROR(VLOOKUP($B475,costs!$A$2:$J$2968,I$2,FALSE),0)</f>
        <v>0</v>
      </c>
      <c r="J475" s="718">
        <f>IFERROR(VLOOKUP($B475,costs!$A$2:$J$2968,J$2,FALSE),0)</f>
        <v>0</v>
      </c>
      <c r="K475" s="718">
        <f>IFERROR(VLOOKUP($B475,costs!$A$2:$J$2968,K$2,FALSE),0)</f>
        <v>0</v>
      </c>
      <c r="L475" s="718">
        <f>IFERROR(VLOOKUP($B475,costs!$A$2:$J$2968,L$2,FALSE),0)</f>
        <v>0</v>
      </c>
      <c r="M475" s="719" t="s">
        <v>3277</v>
      </c>
    </row>
    <row r="476" spans="2:13" ht="20.149999999999999" customHeight="1" x14ac:dyDescent="0.35">
      <c r="B476" s="715" t="s">
        <v>3684</v>
      </c>
      <c r="C476" s="716" t="s">
        <v>3275</v>
      </c>
      <c r="D476" s="717" t="s">
        <v>3276</v>
      </c>
      <c r="E476" s="718">
        <f>IFERROR(VLOOKUP($B476,costs!$A$2:$J$2968,E$2,FALSE),0)</f>
        <v>0</v>
      </c>
      <c r="F476" s="718">
        <f>IFERROR(VLOOKUP($B476,costs!$A$2:$J$2968,F$2,FALSE),0)</f>
        <v>0</v>
      </c>
      <c r="G476" s="718">
        <f>IFERROR(VLOOKUP($B476,costs!$A$2:$J$2968,G$2,FALSE),0)</f>
        <v>0</v>
      </c>
      <c r="H476" s="718">
        <f>IFERROR(VLOOKUP($B476,costs!$A$2:$J$2968,H$2,FALSE),0)</f>
        <v>0</v>
      </c>
      <c r="I476" s="718">
        <f>IFERROR(VLOOKUP($B476,costs!$A$2:$J$2968,I$2,FALSE),0)</f>
        <v>0</v>
      </c>
      <c r="J476" s="718">
        <f>IFERROR(VLOOKUP($B476,costs!$A$2:$J$2968,J$2,FALSE),0)</f>
        <v>0</v>
      </c>
      <c r="K476" s="718">
        <f>IFERROR(VLOOKUP($B476,costs!$A$2:$J$2968,K$2,FALSE),0)</f>
        <v>0</v>
      </c>
      <c r="L476" s="718">
        <f>IFERROR(VLOOKUP($B476,costs!$A$2:$J$2968,L$2,FALSE),0)</f>
        <v>0</v>
      </c>
      <c r="M476" s="719" t="s">
        <v>3277</v>
      </c>
    </row>
    <row r="477" spans="2:13" ht="20.149999999999999" customHeight="1" x14ac:dyDescent="0.35">
      <c r="B477" s="715" t="s">
        <v>3685</v>
      </c>
      <c r="C477" s="716" t="s">
        <v>3275</v>
      </c>
      <c r="D477" s="717" t="s">
        <v>3276</v>
      </c>
      <c r="E477" s="718">
        <f>IFERROR(VLOOKUP($B477,costs!$A$2:$J$2968,E$2,FALSE),0)</f>
        <v>0</v>
      </c>
      <c r="F477" s="718">
        <f>IFERROR(VLOOKUP($B477,costs!$A$2:$J$2968,F$2,FALSE),0)</f>
        <v>0</v>
      </c>
      <c r="G477" s="718">
        <f>IFERROR(VLOOKUP($B477,costs!$A$2:$J$2968,G$2,FALSE),0)</f>
        <v>0</v>
      </c>
      <c r="H477" s="718">
        <f>IFERROR(VLOOKUP($B477,costs!$A$2:$J$2968,H$2,FALSE),0)</f>
        <v>0</v>
      </c>
      <c r="I477" s="718">
        <f>IFERROR(VLOOKUP($B477,costs!$A$2:$J$2968,I$2,FALSE),0)</f>
        <v>0</v>
      </c>
      <c r="J477" s="718">
        <f>IFERROR(VLOOKUP($B477,costs!$A$2:$J$2968,J$2,FALSE),0)</f>
        <v>0</v>
      </c>
      <c r="K477" s="718">
        <f>IFERROR(VLOOKUP($B477,costs!$A$2:$J$2968,K$2,FALSE),0)</f>
        <v>0</v>
      </c>
      <c r="L477" s="718">
        <f>IFERROR(VLOOKUP($B477,costs!$A$2:$J$2968,L$2,FALSE),0)</f>
        <v>0</v>
      </c>
      <c r="M477" s="719" t="s">
        <v>3277</v>
      </c>
    </row>
    <row r="478" spans="2:13" ht="20.149999999999999" customHeight="1" x14ac:dyDescent="0.35">
      <c r="B478" s="715" t="s">
        <v>3686</v>
      </c>
      <c r="C478" s="716" t="s">
        <v>3275</v>
      </c>
      <c r="D478" s="717" t="s">
        <v>3276</v>
      </c>
      <c r="E478" s="718">
        <f>IFERROR(VLOOKUP($B478,costs!$A$2:$J$2968,E$2,FALSE),0)</f>
        <v>0</v>
      </c>
      <c r="F478" s="718">
        <f>IFERROR(VLOOKUP($B478,costs!$A$2:$J$2968,F$2,FALSE),0)</f>
        <v>0</v>
      </c>
      <c r="G478" s="718">
        <f>IFERROR(VLOOKUP($B478,costs!$A$2:$J$2968,G$2,FALSE),0)</f>
        <v>0</v>
      </c>
      <c r="H478" s="718">
        <f>IFERROR(VLOOKUP($B478,costs!$A$2:$J$2968,H$2,FALSE),0)</f>
        <v>0</v>
      </c>
      <c r="I478" s="718">
        <f>IFERROR(VLOOKUP($B478,costs!$A$2:$J$2968,I$2,FALSE),0)</f>
        <v>0</v>
      </c>
      <c r="J478" s="718">
        <f>IFERROR(VLOOKUP($B478,costs!$A$2:$J$2968,J$2,FALSE),0)</f>
        <v>0</v>
      </c>
      <c r="K478" s="718">
        <f>IFERROR(VLOOKUP($B478,costs!$A$2:$J$2968,K$2,FALSE),0)</f>
        <v>0</v>
      </c>
      <c r="L478" s="718">
        <f>IFERROR(VLOOKUP($B478,costs!$A$2:$J$2968,L$2,FALSE),0)</f>
        <v>0</v>
      </c>
      <c r="M478" s="719" t="s">
        <v>3277</v>
      </c>
    </row>
    <row r="479" spans="2:13" ht="20.149999999999999" customHeight="1" x14ac:dyDescent="0.35">
      <c r="B479" s="717" t="s">
        <v>3687</v>
      </c>
      <c r="C479" s="716" t="s">
        <v>3275</v>
      </c>
      <c r="D479" s="717" t="s">
        <v>3276</v>
      </c>
      <c r="E479" s="718">
        <f>IFERROR(VLOOKUP($B479,costs!$A$2:$J$2968,E$2,FALSE),0)</f>
        <v>0</v>
      </c>
      <c r="F479" s="718">
        <f>IFERROR(VLOOKUP($B479,costs!$A$2:$J$2968,F$2,FALSE),0)</f>
        <v>0</v>
      </c>
      <c r="G479" s="718">
        <f>IFERROR(VLOOKUP($B479,costs!$A$2:$J$2968,G$2,FALSE),0)</f>
        <v>0</v>
      </c>
      <c r="H479" s="718">
        <f>IFERROR(VLOOKUP($B479,costs!$A$2:$J$2968,H$2,FALSE),0)</f>
        <v>0</v>
      </c>
      <c r="I479" s="718">
        <f>IFERROR(VLOOKUP($B479,costs!$A$2:$J$2968,I$2,FALSE),0)</f>
        <v>0</v>
      </c>
      <c r="J479" s="718">
        <f>IFERROR(VLOOKUP($B479,costs!$A$2:$J$2968,J$2,FALSE),0)</f>
        <v>0</v>
      </c>
      <c r="K479" s="718">
        <f>IFERROR(VLOOKUP($B479,costs!$A$2:$J$2968,K$2,FALSE),0)</f>
        <v>0</v>
      </c>
      <c r="L479" s="718">
        <f>IFERROR(VLOOKUP($B479,costs!$A$2:$J$2968,L$2,FALSE),0)</f>
        <v>0</v>
      </c>
      <c r="M479" s="719" t="s">
        <v>3277</v>
      </c>
    </row>
    <row r="480" spans="2:13" ht="20.149999999999999" customHeight="1" x14ac:dyDescent="0.35">
      <c r="B480" s="717" t="s">
        <v>3688</v>
      </c>
      <c r="C480" s="716" t="s">
        <v>3275</v>
      </c>
      <c r="D480" s="717" t="s">
        <v>3276</v>
      </c>
      <c r="E480" s="718">
        <f>IFERROR(VLOOKUP($B480,costs!$A$2:$J$2968,E$2,FALSE),0)</f>
        <v>0</v>
      </c>
      <c r="F480" s="718">
        <f>IFERROR(VLOOKUP($B480,costs!$A$2:$J$2968,F$2,FALSE),0)</f>
        <v>0</v>
      </c>
      <c r="G480" s="718">
        <f>IFERROR(VLOOKUP($B480,costs!$A$2:$J$2968,G$2,FALSE),0)</f>
        <v>0</v>
      </c>
      <c r="H480" s="718">
        <f>IFERROR(VLOOKUP($B480,costs!$A$2:$J$2968,H$2,FALSE),0)</f>
        <v>0</v>
      </c>
      <c r="I480" s="718">
        <f>IFERROR(VLOOKUP($B480,costs!$A$2:$J$2968,I$2,FALSE),0)</f>
        <v>0</v>
      </c>
      <c r="J480" s="718">
        <f>IFERROR(VLOOKUP($B480,costs!$A$2:$J$2968,J$2,FALSE),0)</f>
        <v>0</v>
      </c>
      <c r="K480" s="718">
        <f>IFERROR(VLOOKUP($B480,costs!$A$2:$J$2968,K$2,FALSE),0)</f>
        <v>0</v>
      </c>
      <c r="L480" s="718">
        <f>IFERROR(VLOOKUP($B480,costs!$A$2:$J$2968,L$2,FALSE),0)</f>
        <v>0</v>
      </c>
      <c r="M480" s="719" t="s">
        <v>3277</v>
      </c>
    </row>
    <row r="481" spans="2:13" ht="20.149999999999999" customHeight="1" x14ac:dyDescent="0.35">
      <c r="B481" s="717" t="s">
        <v>3689</v>
      </c>
      <c r="C481" s="716" t="s">
        <v>3275</v>
      </c>
      <c r="D481" s="717" t="s">
        <v>3276</v>
      </c>
      <c r="E481" s="718">
        <f>IFERROR(VLOOKUP($B481,costs!$A$2:$J$2968,E$2,FALSE),0)</f>
        <v>0</v>
      </c>
      <c r="F481" s="718">
        <f>IFERROR(VLOOKUP($B481,costs!$A$2:$J$2968,F$2,FALSE),0)</f>
        <v>0</v>
      </c>
      <c r="G481" s="718">
        <f>IFERROR(VLOOKUP($B481,costs!$A$2:$J$2968,G$2,FALSE),0)</f>
        <v>0</v>
      </c>
      <c r="H481" s="718">
        <f>IFERROR(VLOOKUP($B481,costs!$A$2:$J$2968,H$2,FALSE),0)</f>
        <v>0</v>
      </c>
      <c r="I481" s="718">
        <f>IFERROR(VLOOKUP($B481,costs!$A$2:$J$2968,I$2,FALSE),0)</f>
        <v>0</v>
      </c>
      <c r="J481" s="718">
        <f>IFERROR(VLOOKUP($B481,costs!$A$2:$J$2968,J$2,FALSE),0)</f>
        <v>0</v>
      </c>
      <c r="K481" s="718">
        <f>IFERROR(VLOOKUP($B481,costs!$A$2:$J$2968,K$2,FALSE),0)</f>
        <v>0</v>
      </c>
      <c r="L481" s="718">
        <f>IFERROR(VLOOKUP($B481,costs!$A$2:$J$2968,L$2,FALSE),0)</f>
        <v>0</v>
      </c>
      <c r="M481" s="719" t="s">
        <v>3277</v>
      </c>
    </row>
    <row r="482" spans="2:13" ht="20.149999999999999" customHeight="1" x14ac:dyDescent="0.35">
      <c r="B482" s="721" t="s">
        <v>3690</v>
      </c>
      <c r="C482" s="722" t="s">
        <v>3691</v>
      </c>
      <c r="D482" s="723" t="s">
        <v>3692</v>
      </c>
      <c r="E482" s="724">
        <f t="shared" ref="E482:L482" si="82">SUM(E464:E481)</f>
        <v>0</v>
      </c>
      <c r="F482" s="724">
        <f t="shared" si="82"/>
        <v>0</v>
      </c>
      <c r="G482" s="724">
        <f t="shared" si="82"/>
        <v>0</v>
      </c>
      <c r="H482" s="724">
        <f t="shared" si="82"/>
        <v>0</v>
      </c>
      <c r="I482" s="724">
        <f t="shared" si="82"/>
        <v>0</v>
      </c>
      <c r="J482" s="724">
        <f t="shared" si="82"/>
        <v>0</v>
      </c>
      <c r="K482" s="724">
        <f t="shared" si="82"/>
        <v>0</v>
      </c>
      <c r="L482" s="724">
        <f t="shared" si="82"/>
        <v>0</v>
      </c>
      <c r="M482" s="725" t="s">
        <v>3277</v>
      </c>
    </row>
    <row r="483" spans="2:13" ht="20.149999999999999" customHeight="1" x14ac:dyDescent="0.35">
      <c r="B483" s="715" t="s">
        <v>3693</v>
      </c>
      <c r="C483" s="716" t="s">
        <v>3275</v>
      </c>
      <c r="D483" s="717" t="s">
        <v>3276</v>
      </c>
      <c r="E483" s="718">
        <f>IFERROR(VLOOKUP($B483,costs!$A$2:$J$2968,E$2,FALSE),0)</f>
        <v>0</v>
      </c>
      <c r="F483" s="718">
        <f>IFERROR(VLOOKUP($B483,costs!$A$2:$J$2968,F$2,FALSE),0)</f>
        <v>0</v>
      </c>
      <c r="G483" s="718">
        <f>IFERROR(VLOOKUP($B483,costs!$A$2:$J$2968,G$2,FALSE),0)</f>
        <v>0</v>
      </c>
      <c r="H483" s="718">
        <f>IFERROR(VLOOKUP($B483,costs!$A$2:$J$2968,H$2,FALSE),0)</f>
        <v>0</v>
      </c>
      <c r="I483" s="718">
        <f>IFERROR(VLOOKUP($B483,costs!$A$2:$J$2968,I$2,FALSE),0)</f>
        <v>0</v>
      </c>
      <c r="J483" s="718">
        <f>IFERROR(VLOOKUP($B483,costs!$A$2:$J$2968,J$2,FALSE),0)</f>
        <v>0</v>
      </c>
      <c r="K483" s="718">
        <f>IFERROR(VLOOKUP($B483,costs!$A$2:$J$2968,K$2,FALSE),0)</f>
        <v>0</v>
      </c>
      <c r="L483" s="718">
        <f>IFERROR(VLOOKUP($B483,costs!$A$2:$J$2968,L$2,FALSE),0)</f>
        <v>0</v>
      </c>
      <c r="M483" s="719" t="s">
        <v>3277</v>
      </c>
    </row>
    <row r="484" spans="2:13" ht="20.149999999999999" customHeight="1" x14ac:dyDescent="0.35">
      <c r="B484" s="715" t="s">
        <v>3694</v>
      </c>
      <c r="C484" s="716" t="s">
        <v>3275</v>
      </c>
      <c r="D484" s="717" t="s">
        <v>3276</v>
      </c>
      <c r="E484" s="718">
        <f>IFERROR(VLOOKUP($B484,costs!$A$2:$J$2968,E$2,FALSE),0)</f>
        <v>0</v>
      </c>
      <c r="F484" s="718">
        <f>IFERROR(VLOOKUP($B484,costs!$A$2:$J$2968,F$2,FALSE),0)</f>
        <v>0</v>
      </c>
      <c r="G484" s="718">
        <f>IFERROR(VLOOKUP($B484,costs!$A$2:$J$2968,G$2,FALSE),0)</f>
        <v>0</v>
      </c>
      <c r="H484" s="718">
        <f>IFERROR(VLOOKUP($B484,costs!$A$2:$J$2968,H$2,FALSE),0)</f>
        <v>0</v>
      </c>
      <c r="I484" s="718">
        <f>IFERROR(VLOOKUP($B484,costs!$A$2:$J$2968,I$2,FALSE),0)</f>
        <v>0</v>
      </c>
      <c r="J484" s="718">
        <f>IFERROR(VLOOKUP($B484,costs!$A$2:$J$2968,J$2,FALSE),0)</f>
        <v>0</v>
      </c>
      <c r="K484" s="718">
        <f>IFERROR(VLOOKUP($B484,costs!$A$2:$J$2968,K$2,FALSE),0)</f>
        <v>0</v>
      </c>
      <c r="L484" s="720">
        <f>IFERROR(VLOOKUP($B484,costs!$A$2:$J$2968,L$2,FALSE),0)</f>
        <v>0</v>
      </c>
      <c r="M484" s="719" t="s">
        <v>3277</v>
      </c>
    </row>
    <row r="485" spans="2:13" ht="20.149999999999999" customHeight="1" x14ac:dyDescent="0.35">
      <c r="B485" s="715" t="s">
        <v>3695</v>
      </c>
      <c r="C485" s="716" t="s">
        <v>3275</v>
      </c>
      <c r="D485" s="717" t="s">
        <v>3276</v>
      </c>
      <c r="E485" s="718">
        <f>IFERROR(VLOOKUP($B485,costs!$A$2:$J$2968,E$2,FALSE),0)</f>
        <v>0</v>
      </c>
      <c r="F485" s="718">
        <f>IFERROR(VLOOKUP($B485,costs!$A$2:$J$2968,F$2,FALSE),0)</f>
        <v>0</v>
      </c>
      <c r="G485" s="718">
        <f>IFERROR(VLOOKUP($B485,costs!$A$2:$J$2968,G$2,FALSE),0)</f>
        <v>0</v>
      </c>
      <c r="H485" s="718">
        <f>IFERROR(VLOOKUP($B485,costs!$A$2:$J$2968,H$2,FALSE),0)</f>
        <v>0</v>
      </c>
      <c r="I485" s="718">
        <f>IFERROR(VLOOKUP($B485,costs!$A$2:$J$2968,I$2,FALSE),0)</f>
        <v>0</v>
      </c>
      <c r="J485" s="718">
        <f>IFERROR(VLOOKUP($B485,costs!$A$2:$J$2968,J$2,FALSE),0)</f>
        <v>0</v>
      </c>
      <c r="K485" s="718">
        <f>IFERROR(VLOOKUP($B485,costs!$A$2:$J$2968,K$2,FALSE),0)</f>
        <v>0</v>
      </c>
      <c r="L485" s="720">
        <f>IFERROR(VLOOKUP($B485,costs!$A$2:$J$2968,L$2,FALSE),0)</f>
        <v>0</v>
      </c>
      <c r="M485" s="719" t="s">
        <v>3277</v>
      </c>
    </row>
    <row r="486" spans="2:13" ht="20.149999999999999" customHeight="1" x14ac:dyDescent="0.35">
      <c r="B486" s="715" t="s">
        <v>3696</v>
      </c>
      <c r="C486" s="716" t="s">
        <v>3275</v>
      </c>
      <c r="D486" s="717" t="s">
        <v>3276</v>
      </c>
      <c r="E486" s="718">
        <f>IFERROR(VLOOKUP($B486,costs!$A$2:$J$2968,E$2,FALSE),0)</f>
        <v>0</v>
      </c>
      <c r="F486" s="718">
        <f>IFERROR(VLOOKUP($B486,costs!$A$2:$J$2968,F$2,FALSE),0)</f>
        <v>0</v>
      </c>
      <c r="G486" s="718">
        <f>IFERROR(VLOOKUP($B486,costs!$A$2:$J$2968,G$2,FALSE),0)</f>
        <v>0</v>
      </c>
      <c r="H486" s="718">
        <f>IFERROR(VLOOKUP($B486,costs!$A$2:$J$2968,H$2,FALSE),0)</f>
        <v>0</v>
      </c>
      <c r="I486" s="718">
        <f>IFERROR(VLOOKUP($B486,costs!$A$2:$J$2968,I$2,FALSE),0)</f>
        <v>0</v>
      </c>
      <c r="J486" s="718">
        <f>IFERROR(VLOOKUP($B486,costs!$A$2:$J$2968,J$2,FALSE),0)</f>
        <v>0</v>
      </c>
      <c r="K486" s="718">
        <f>IFERROR(VLOOKUP($B486,costs!$A$2:$J$2968,K$2,FALSE),0)</f>
        <v>0</v>
      </c>
      <c r="L486" s="720">
        <f>IFERROR(VLOOKUP($B486,costs!$A$2:$J$2968,L$2,FALSE),0)</f>
        <v>0</v>
      </c>
      <c r="M486" s="719" t="s">
        <v>3277</v>
      </c>
    </row>
    <row r="487" spans="2:13" ht="20.149999999999999" customHeight="1" x14ac:dyDescent="0.35">
      <c r="B487" s="715" t="s">
        <v>3697</v>
      </c>
      <c r="C487" s="716" t="s">
        <v>3275</v>
      </c>
      <c r="D487" s="717" t="s">
        <v>3276</v>
      </c>
      <c r="E487" s="718">
        <f>IFERROR(VLOOKUP($B487,costs!$A$2:$J$2968,E$2,FALSE),0)</f>
        <v>0</v>
      </c>
      <c r="F487" s="718">
        <f>IFERROR(VLOOKUP($B487,costs!$A$2:$J$2968,F$2,FALSE),0)</f>
        <v>0</v>
      </c>
      <c r="G487" s="718">
        <f>IFERROR(VLOOKUP($B487,costs!$A$2:$J$2968,G$2,FALSE),0)</f>
        <v>0</v>
      </c>
      <c r="H487" s="718">
        <f>IFERROR(VLOOKUP($B487,costs!$A$2:$J$2968,H$2,FALSE),0)</f>
        <v>0</v>
      </c>
      <c r="I487" s="718">
        <f>IFERROR(VLOOKUP($B487,costs!$A$2:$J$2968,I$2,FALSE),0)</f>
        <v>0</v>
      </c>
      <c r="J487" s="718">
        <f>IFERROR(VLOOKUP($B487,costs!$A$2:$J$2968,J$2,FALSE),0)</f>
        <v>0</v>
      </c>
      <c r="K487" s="718">
        <f>IFERROR(VLOOKUP($B487,costs!$A$2:$J$2968,K$2,FALSE),0)</f>
        <v>0</v>
      </c>
      <c r="L487" s="720">
        <f>IFERROR(VLOOKUP($B487,costs!$A$2:$J$2968,L$2,FALSE),0)</f>
        <v>0</v>
      </c>
      <c r="M487" s="719" t="s">
        <v>3277</v>
      </c>
    </row>
    <row r="488" spans="2:13" ht="20.149999999999999" customHeight="1" x14ac:dyDescent="0.35">
      <c r="B488" s="715" t="s">
        <v>3698</v>
      </c>
      <c r="C488" s="716" t="s">
        <v>3275</v>
      </c>
      <c r="D488" s="717" t="s">
        <v>3276</v>
      </c>
      <c r="E488" s="718">
        <f>IFERROR(VLOOKUP($B488,costs!$A$2:$J$2968,E$2,FALSE),0)</f>
        <v>0</v>
      </c>
      <c r="F488" s="718">
        <f>IFERROR(VLOOKUP($B488,costs!$A$2:$J$2968,F$2,FALSE),0)</f>
        <v>0</v>
      </c>
      <c r="G488" s="718">
        <f>IFERROR(VLOOKUP($B488,costs!$A$2:$J$2968,G$2,FALSE),0)</f>
        <v>0</v>
      </c>
      <c r="H488" s="718">
        <f>IFERROR(VLOOKUP($B488,costs!$A$2:$J$2968,H$2,FALSE),0)</f>
        <v>0</v>
      </c>
      <c r="I488" s="718">
        <f>IFERROR(VLOOKUP($B488,costs!$A$2:$J$2968,I$2,FALSE),0)</f>
        <v>0</v>
      </c>
      <c r="J488" s="718">
        <f>IFERROR(VLOOKUP($B488,costs!$A$2:$J$2968,J$2,FALSE),0)</f>
        <v>0</v>
      </c>
      <c r="K488" s="718">
        <f>IFERROR(VLOOKUP($B488,costs!$A$2:$J$2968,K$2,FALSE),0)</f>
        <v>0</v>
      </c>
      <c r="L488" s="718">
        <f>IFERROR(VLOOKUP($B488,costs!$A$2:$J$2968,L$2,FALSE),0)</f>
        <v>0</v>
      </c>
      <c r="M488" s="719" t="s">
        <v>3277</v>
      </c>
    </row>
    <row r="489" spans="2:13" ht="20.149999999999999" customHeight="1" x14ac:dyDescent="0.35">
      <c r="B489" s="717" t="s">
        <v>3699</v>
      </c>
      <c r="C489" s="716" t="s">
        <v>3275</v>
      </c>
      <c r="D489" s="717" t="s">
        <v>3276</v>
      </c>
      <c r="E489" s="718">
        <f>IFERROR(VLOOKUP($B489,costs!$A$2:$J$2968,E$2,FALSE),0)</f>
        <v>0</v>
      </c>
      <c r="F489" s="718">
        <f>IFERROR(VLOOKUP($B489,costs!$A$2:$J$2968,F$2,FALSE),0)</f>
        <v>0</v>
      </c>
      <c r="G489" s="718">
        <f>IFERROR(VLOOKUP($B489,costs!$A$2:$J$2968,G$2,FALSE),0)</f>
        <v>0</v>
      </c>
      <c r="H489" s="718">
        <f>IFERROR(VLOOKUP($B489,costs!$A$2:$J$2968,H$2,FALSE),0)</f>
        <v>0</v>
      </c>
      <c r="I489" s="718">
        <f>IFERROR(VLOOKUP($B489,costs!$A$2:$J$2968,I$2,FALSE),0)</f>
        <v>0</v>
      </c>
      <c r="J489" s="718">
        <f>IFERROR(VLOOKUP($B489,costs!$A$2:$J$2968,J$2,FALSE),0)</f>
        <v>0</v>
      </c>
      <c r="K489" s="718">
        <f>IFERROR(VLOOKUP($B489,costs!$A$2:$J$2968,K$2,FALSE),0)</f>
        <v>0</v>
      </c>
      <c r="L489" s="718">
        <f>IFERROR(VLOOKUP($B489,costs!$A$2:$J$2968,L$2,FALSE),0)</f>
        <v>0</v>
      </c>
      <c r="M489" s="719" t="s">
        <v>3277</v>
      </c>
    </row>
    <row r="490" spans="2:13" ht="20.149999999999999" customHeight="1" x14ac:dyDescent="0.35">
      <c r="B490" s="717" t="s">
        <v>3700</v>
      </c>
      <c r="C490" s="716" t="s">
        <v>3275</v>
      </c>
      <c r="D490" s="717" t="s">
        <v>3276</v>
      </c>
      <c r="E490" s="718">
        <f>IFERROR(VLOOKUP($B490,costs!$A$2:$J$2968,E$2,FALSE),0)</f>
        <v>0</v>
      </c>
      <c r="F490" s="718">
        <f>IFERROR(VLOOKUP($B490,costs!$A$2:$J$2968,F$2,FALSE),0)</f>
        <v>0</v>
      </c>
      <c r="G490" s="718">
        <f>IFERROR(VLOOKUP($B490,costs!$A$2:$J$2968,G$2,FALSE),0)</f>
        <v>0</v>
      </c>
      <c r="H490" s="718">
        <f>IFERROR(VLOOKUP($B490,costs!$A$2:$J$2968,H$2,FALSE),0)</f>
        <v>0</v>
      </c>
      <c r="I490" s="718">
        <f>IFERROR(VLOOKUP($B490,costs!$A$2:$J$2968,I$2,FALSE),0)</f>
        <v>0</v>
      </c>
      <c r="J490" s="718">
        <f>IFERROR(VLOOKUP($B490,costs!$A$2:$J$2968,J$2,FALSE),0)</f>
        <v>0</v>
      </c>
      <c r="K490" s="718">
        <f>IFERROR(VLOOKUP($B490,costs!$A$2:$J$2968,K$2,FALSE),0)</f>
        <v>0</v>
      </c>
      <c r="L490" s="718">
        <f>IFERROR(VLOOKUP($B490,costs!$A$2:$J$2968,L$2,FALSE),0)</f>
        <v>0</v>
      </c>
      <c r="M490" s="719" t="s">
        <v>3277</v>
      </c>
    </row>
    <row r="491" spans="2:13" ht="20.149999999999999" customHeight="1" x14ac:dyDescent="0.35">
      <c r="B491" s="717" t="s">
        <v>3701</v>
      </c>
      <c r="C491" s="716" t="s">
        <v>3275</v>
      </c>
      <c r="D491" s="717" t="s">
        <v>3276</v>
      </c>
      <c r="E491" s="718">
        <f>IFERROR(VLOOKUP($B491,costs!$A$2:$J$2968,E$2,FALSE),0)</f>
        <v>0</v>
      </c>
      <c r="F491" s="718">
        <f>IFERROR(VLOOKUP($B491,costs!$A$2:$J$2968,F$2,FALSE),0)</f>
        <v>0</v>
      </c>
      <c r="G491" s="718">
        <f>IFERROR(VLOOKUP($B491,costs!$A$2:$J$2968,G$2,FALSE),0)</f>
        <v>0</v>
      </c>
      <c r="H491" s="718">
        <f>IFERROR(VLOOKUP($B491,costs!$A$2:$J$2968,H$2,FALSE),0)</f>
        <v>0</v>
      </c>
      <c r="I491" s="718">
        <f>IFERROR(VLOOKUP($B491,costs!$A$2:$J$2968,I$2,FALSE),0)</f>
        <v>0</v>
      </c>
      <c r="J491" s="718">
        <f>IFERROR(VLOOKUP($B491,costs!$A$2:$J$2968,J$2,FALSE),0)</f>
        <v>0</v>
      </c>
      <c r="K491" s="718">
        <f>IFERROR(VLOOKUP($B491,costs!$A$2:$J$2968,K$2,FALSE),0)</f>
        <v>0</v>
      </c>
      <c r="L491" s="718">
        <f>IFERROR(VLOOKUP($B491,costs!$A$2:$J$2968,L$2,FALSE),0)</f>
        <v>0</v>
      </c>
      <c r="M491" s="719" t="s">
        <v>3277</v>
      </c>
    </row>
    <row r="492" spans="2:13" ht="20.149999999999999" customHeight="1" x14ac:dyDescent="0.35">
      <c r="B492" s="715" t="s">
        <v>3702</v>
      </c>
      <c r="C492" s="716" t="s">
        <v>3275</v>
      </c>
      <c r="D492" s="717" t="s">
        <v>3276</v>
      </c>
      <c r="E492" s="718">
        <f>IFERROR(VLOOKUP($B492,costs!$A$2:$J$2968,E$2,FALSE),0)</f>
        <v>0</v>
      </c>
      <c r="F492" s="718">
        <f>IFERROR(VLOOKUP($B492,costs!$A$2:$J$2968,F$2,FALSE),0)</f>
        <v>0</v>
      </c>
      <c r="G492" s="718">
        <f>IFERROR(VLOOKUP($B492,costs!$A$2:$J$2968,G$2,FALSE),0)</f>
        <v>0</v>
      </c>
      <c r="H492" s="718">
        <f>IFERROR(VLOOKUP($B492,costs!$A$2:$J$2968,H$2,FALSE),0)</f>
        <v>0</v>
      </c>
      <c r="I492" s="718">
        <f>IFERROR(VLOOKUP($B492,costs!$A$2:$J$2968,I$2,FALSE),0)</f>
        <v>0</v>
      </c>
      <c r="J492" s="718">
        <f>IFERROR(VLOOKUP($B492,costs!$A$2:$J$2968,J$2,FALSE),0)</f>
        <v>0</v>
      </c>
      <c r="K492" s="718">
        <f>IFERROR(VLOOKUP($B492,costs!$A$2:$J$2968,K$2,FALSE),0)</f>
        <v>0</v>
      </c>
      <c r="L492" s="718">
        <f>IFERROR(VLOOKUP($B492,costs!$A$2:$J$2968,L$2,FALSE),0)</f>
        <v>0</v>
      </c>
      <c r="M492" s="719" t="s">
        <v>3277</v>
      </c>
    </row>
    <row r="493" spans="2:13" ht="20.149999999999999" customHeight="1" x14ac:dyDescent="0.35">
      <c r="B493" s="715" t="s">
        <v>3703</v>
      </c>
      <c r="C493" s="716" t="s">
        <v>3275</v>
      </c>
      <c r="D493" s="717" t="s">
        <v>3276</v>
      </c>
      <c r="E493" s="718">
        <f>IFERROR(VLOOKUP($B493,costs!$A$2:$J$2968,E$2,FALSE),0)</f>
        <v>0</v>
      </c>
      <c r="F493" s="718">
        <f>IFERROR(VLOOKUP($B493,costs!$A$2:$J$2968,F$2,FALSE),0)</f>
        <v>0</v>
      </c>
      <c r="G493" s="718">
        <f>IFERROR(VLOOKUP($B493,costs!$A$2:$J$2968,G$2,FALSE),0)</f>
        <v>0</v>
      </c>
      <c r="H493" s="718">
        <f>IFERROR(VLOOKUP($B493,costs!$A$2:$J$2968,H$2,FALSE),0)</f>
        <v>0</v>
      </c>
      <c r="I493" s="718">
        <f>IFERROR(VLOOKUP($B493,costs!$A$2:$J$2968,I$2,FALSE),0)</f>
        <v>0</v>
      </c>
      <c r="J493" s="718">
        <f>IFERROR(VLOOKUP($B493,costs!$A$2:$J$2968,J$2,FALSE),0)</f>
        <v>0</v>
      </c>
      <c r="K493" s="718">
        <f>IFERROR(VLOOKUP($B493,costs!$A$2:$J$2968,K$2,FALSE),0)</f>
        <v>0</v>
      </c>
      <c r="L493" s="718">
        <f>IFERROR(VLOOKUP($B493,costs!$A$2:$J$2968,L$2,FALSE),0)</f>
        <v>0</v>
      </c>
      <c r="M493" s="719" t="s">
        <v>3277</v>
      </c>
    </row>
    <row r="494" spans="2:13" ht="20.149999999999999" customHeight="1" x14ac:dyDescent="0.35">
      <c r="B494" s="715" t="s">
        <v>3704</v>
      </c>
      <c r="C494" s="716" t="s">
        <v>3275</v>
      </c>
      <c r="D494" s="717" t="s">
        <v>3276</v>
      </c>
      <c r="E494" s="718">
        <f>IFERROR(VLOOKUP($B494,costs!$A$2:$J$2968,E$2,FALSE),0)</f>
        <v>0</v>
      </c>
      <c r="F494" s="718">
        <f>IFERROR(VLOOKUP($B494,costs!$A$2:$J$2968,F$2,FALSE),0)</f>
        <v>0</v>
      </c>
      <c r="G494" s="718">
        <f>IFERROR(VLOOKUP($B494,costs!$A$2:$J$2968,G$2,FALSE),0)</f>
        <v>0</v>
      </c>
      <c r="H494" s="718">
        <f>IFERROR(VLOOKUP($B494,costs!$A$2:$J$2968,H$2,FALSE),0)</f>
        <v>0</v>
      </c>
      <c r="I494" s="718">
        <f>IFERROR(VLOOKUP($B494,costs!$A$2:$J$2968,I$2,FALSE),0)</f>
        <v>0</v>
      </c>
      <c r="J494" s="718">
        <f>IFERROR(VLOOKUP($B494,costs!$A$2:$J$2968,J$2,FALSE),0)</f>
        <v>0</v>
      </c>
      <c r="K494" s="718">
        <f>IFERROR(VLOOKUP($B494,costs!$A$2:$J$2968,K$2,FALSE),0)</f>
        <v>0</v>
      </c>
      <c r="L494" s="718">
        <f>IFERROR(VLOOKUP($B494,costs!$A$2:$J$2968,L$2,FALSE),0)</f>
        <v>0</v>
      </c>
      <c r="M494" s="719" t="s">
        <v>3277</v>
      </c>
    </row>
    <row r="495" spans="2:13" ht="20.149999999999999" customHeight="1" x14ac:dyDescent="0.35">
      <c r="B495" s="715" t="s">
        <v>3705</v>
      </c>
      <c r="C495" s="716" t="s">
        <v>3275</v>
      </c>
      <c r="D495" s="717" t="s">
        <v>3276</v>
      </c>
      <c r="E495" s="718">
        <f>IFERROR(VLOOKUP($B495,costs!$A$2:$J$2968,E$2,FALSE),0)</f>
        <v>0</v>
      </c>
      <c r="F495" s="718">
        <f>IFERROR(VLOOKUP($B495,costs!$A$2:$J$2968,F$2,FALSE),0)</f>
        <v>0</v>
      </c>
      <c r="G495" s="718">
        <f>IFERROR(VLOOKUP($B495,costs!$A$2:$J$2968,G$2,FALSE),0)</f>
        <v>0</v>
      </c>
      <c r="H495" s="718">
        <f>IFERROR(VLOOKUP($B495,costs!$A$2:$J$2968,H$2,FALSE),0)</f>
        <v>0</v>
      </c>
      <c r="I495" s="718">
        <f>IFERROR(VLOOKUP($B495,costs!$A$2:$J$2968,I$2,FALSE),0)</f>
        <v>0</v>
      </c>
      <c r="J495" s="718">
        <f>IFERROR(VLOOKUP($B495,costs!$A$2:$J$2968,J$2,FALSE),0)</f>
        <v>0</v>
      </c>
      <c r="K495" s="718">
        <f>IFERROR(VLOOKUP($B495,costs!$A$2:$J$2968,K$2,FALSE),0)</f>
        <v>0</v>
      </c>
      <c r="L495" s="718">
        <f>IFERROR(VLOOKUP($B495,costs!$A$2:$J$2968,L$2,FALSE),0)</f>
        <v>0</v>
      </c>
      <c r="M495" s="719" t="s">
        <v>3277</v>
      </c>
    </row>
    <row r="496" spans="2:13" ht="20.149999999999999" customHeight="1" x14ac:dyDescent="0.35">
      <c r="B496" s="715" t="s">
        <v>3706</v>
      </c>
      <c r="C496" s="716" t="s">
        <v>3275</v>
      </c>
      <c r="D496" s="717" t="s">
        <v>3276</v>
      </c>
      <c r="E496" s="718">
        <f>IFERROR(VLOOKUP($B496,costs!$A$2:$J$2968,E$2,FALSE),0)</f>
        <v>0</v>
      </c>
      <c r="F496" s="718">
        <f>IFERROR(VLOOKUP($B496,costs!$A$2:$J$2968,F$2,FALSE),0)</f>
        <v>0</v>
      </c>
      <c r="G496" s="718">
        <f>IFERROR(VLOOKUP($B496,costs!$A$2:$J$2968,G$2,FALSE),0)</f>
        <v>0</v>
      </c>
      <c r="H496" s="718">
        <f>IFERROR(VLOOKUP($B496,costs!$A$2:$J$2968,H$2,FALSE),0)</f>
        <v>0</v>
      </c>
      <c r="I496" s="718">
        <f>IFERROR(VLOOKUP($B496,costs!$A$2:$J$2968,I$2,FALSE),0)</f>
        <v>0</v>
      </c>
      <c r="J496" s="718">
        <f>IFERROR(VLOOKUP($B496,costs!$A$2:$J$2968,J$2,FALSE),0)</f>
        <v>0</v>
      </c>
      <c r="K496" s="718">
        <f>IFERROR(VLOOKUP($B496,costs!$A$2:$J$2968,K$2,FALSE),0)</f>
        <v>0</v>
      </c>
      <c r="L496" s="718">
        <f>IFERROR(VLOOKUP($B496,costs!$A$2:$J$2968,L$2,FALSE),0)</f>
        <v>0</v>
      </c>
      <c r="M496" s="719" t="s">
        <v>3277</v>
      </c>
    </row>
    <row r="497" spans="2:13" ht="20.149999999999999" customHeight="1" x14ac:dyDescent="0.35">
      <c r="B497" s="715" t="s">
        <v>3707</v>
      </c>
      <c r="C497" s="716" t="s">
        <v>3275</v>
      </c>
      <c r="D497" s="717" t="s">
        <v>3276</v>
      </c>
      <c r="E497" s="718">
        <f>IFERROR(VLOOKUP($B497,costs!$A$2:$J$2968,E$2,FALSE),0)</f>
        <v>0</v>
      </c>
      <c r="F497" s="718">
        <f>IFERROR(VLOOKUP($B497,costs!$A$2:$J$2968,F$2,FALSE),0)</f>
        <v>0</v>
      </c>
      <c r="G497" s="718">
        <f>IFERROR(VLOOKUP($B497,costs!$A$2:$J$2968,G$2,FALSE),0)</f>
        <v>0</v>
      </c>
      <c r="H497" s="718">
        <f>IFERROR(VLOOKUP($B497,costs!$A$2:$J$2968,H$2,FALSE),0)</f>
        <v>0</v>
      </c>
      <c r="I497" s="718">
        <f>IFERROR(VLOOKUP($B497,costs!$A$2:$J$2968,I$2,FALSE),0)</f>
        <v>0</v>
      </c>
      <c r="J497" s="718">
        <f>IFERROR(VLOOKUP($B497,costs!$A$2:$J$2968,J$2,FALSE),0)</f>
        <v>0</v>
      </c>
      <c r="K497" s="718">
        <f>IFERROR(VLOOKUP($B497,costs!$A$2:$J$2968,K$2,FALSE),0)</f>
        <v>0</v>
      </c>
      <c r="L497" s="718">
        <f>IFERROR(VLOOKUP($B497,costs!$A$2:$J$2968,L$2,FALSE),0)</f>
        <v>0</v>
      </c>
      <c r="M497" s="719" t="s">
        <v>3277</v>
      </c>
    </row>
    <row r="498" spans="2:13" ht="20.149999999999999" customHeight="1" x14ac:dyDescent="0.35">
      <c r="B498" s="717" t="s">
        <v>3708</v>
      </c>
      <c r="C498" s="716" t="s">
        <v>3275</v>
      </c>
      <c r="D498" s="717" t="s">
        <v>3276</v>
      </c>
      <c r="E498" s="718">
        <f>IFERROR(VLOOKUP($B498,costs!$A$2:$J$2968,E$2,FALSE),0)</f>
        <v>0</v>
      </c>
      <c r="F498" s="718">
        <f>IFERROR(VLOOKUP($B498,costs!$A$2:$J$2968,F$2,FALSE),0)</f>
        <v>0</v>
      </c>
      <c r="G498" s="718">
        <f>IFERROR(VLOOKUP($B498,costs!$A$2:$J$2968,G$2,FALSE),0)</f>
        <v>0</v>
      </c>
      <c r="H498" s="718">
        <f>IFERROR(VLOOKUP($B498,costs!$A$2:$J$2968,H$2,FALSE),0)</f>
        <v>0</v>
      </c>
      <c r="I498" s="718">
        <f>IFERROR(VLOOKUP($B498,costs!$A$2:$J$2968,I$2,FALSE),0)</f>
        <v>0</v>
      </c>
      <c r="J498" s="718">
        <f>IFERROR(VLOOKUP($B498,costs!$A$2:$J$2968,J$2,FALSE),0)</f>
        <v>0</v>
      </c>
      <c r="K498" s="718">
        <f>IFERROR(VLOOKUP($B498,costs!$A$2:$J$2968,K$2,FALSE),0)</f>
        <v>0</v>
      </c>
      <c r="L498" s="718">
        <f>IFERROR(VLOOKUP($B498,costs!$A$2:$J$2968,L$2,FALSE),0)</f>
        <v>0</v>
      </c>
      <c r="M498" s="719" t="s">
        <v>3277</v>
      </c>
    </row>
    <row r="499" spans="2:13" ht="20.149999999999999" customHeight="1" x14ac:dyDescent="0.35">
      <c r="B499" s="717" t="s">
        <v>3709</v>
      </c>
      <c r="C499" s="716" t="s">
        <v>3275</v>
      </c>
      <c r="D499" s="717" t="s">
        <v>3276</v>
      </c>
      <c r="E499" s="718">
        <f>IFERROR(VLOOKUP($B499,costs!$A$2:$J$2968,E$2,FALSE),0)</f>
        <v>0</v>
      </c>
      <c r="F499" s="718">
        <f>IFERROR(VLOOKUP($B499,costs!$A$2:$J$2968,F$2,FALSE),0)</f>
        <v>0</v>
      </c>
      <c r="G499" s="718">
        <f>IFERROR(VLOOKUP($B499,costs!$A$2:$J$2968,G$2,FALSE),0)</f>
        <v>0</v>
      </c>
      <c r="H499" s="718">
        <f>IFERROR(VLOOKUP($B499,costs!$A$2:$J$2968,H$2,FALSE),0)</f>
        <v>0</v>
      </c>
      <c r="I499" s="718">
        <f>IFERROR(VLOOKUP($B499,costs!$A$2:$J$2968,I$2,FALSE),0)</f>
        <v>0</v>
      </c>
      <c r="J499" s="718">
        <f>IFERROR(VLOOKUP($B499,costs!$A$2:$J$2968,J$2,FALSE),0)</f>
        <v>0</v>
      </c>
      <c r="K499" s="718">
        <f>IFERROR(VLOOKUP($B499,costs!$A$2:$J$2968,K$2,FALSE),0)</f>
        <v>0</v>
      </c>
      <c r="L499" s="718">
        <f>IFERROR(VLOOKUP($B499,costs!$A$2:$J$2968,L$2,FALSE),0)</f>
        <v>0</v>
      </c>
      <c r="M499" s="719" t="s">
        <v>3277</v>
      </c>
    </row>
    <row r="500" spans="2:13" ht="20.149999999999999" customHeight="1" x14ac:dyDescent="0.35">
      <c r="B500" s="717" t="s">
        <v>3710</v>
      </c>
      <c r="C500" s="716" t="s">
        <v>3275</v>
      </c>
      <c r="D500" s="717" t="s">
        <v>3276</v>
      </c>
      <c r="E500" s="718">
        <f>IFERROR(VLOOKUP($B500,costs!$A$2:$J$2968,E$2,FALSE),0)</f>
        <v>0</v>
      </c>
      <c r="F500" s="718">
        <f>IFERROR(VLOOKUP($B500,costs!$A$2:$J$2968,F$2,FALSE),0)</f>
        <v>0</v>
      </c>
      <c r="G500" s="718">
        <f>IFERROR(VLOOKUP($B500,costs!$A$2:$J$2968,G$2,FALSE),0)</f>
        <v>0</v>
      </c>
      <c r="H500" s="718">
        <f>IFERROR(VLOOKUP($B500,costs!$A$2:$J$2968,H$2,FALSE),0)</f>
        <v>0</v>
      </c>
      <c r="I500" s="718">
        <f>IFERROR(VLOOKUP($B500,costs!$A$2:$J$2968,I$2,FALSE),0)</f>
        <v>0</v>
      </c>
      <c r="J500" s="718">
        <f>IFERROR(VLOOKUP($B500,costs!$A$2:$J$2968,J$2,FALSE),0)</f>
        <v>0</v>
      </c>
      <c r="K500" s="718">
        <f>IFERROR(VLOOKUP($B500,costs!$A$2:$J$2968,K$2,FALSE),0)</f>
        <v>0</v>
      </c>
      <c r="L500" s="718">
        <f>IFERROR(VLOOKUP($B500,costs!$A$2:$J$2968,L$2,FALSE),0)</f>
        <v>0</v>
      </c>
      <c r="M500" s="719" t="s">
        <v>3277</v>
      </c>
    </row>
    <row r="501" spans="2:13" ht="20.149999999999999" customHeight="1" x14ac:dyDescent="0.35">
      <c r="B501" s="721" t="s">
        <v>3690</v>
      </c>
      <c r="C501" s="722" t="s">
        <v>3691</v>
      </c>
      <c r="D501" s="723" t="s">
        <v>3692</v>
      </c>
      <c r="E501" s="724">
        <f t="shared" ref="E501:L501" si="83">SUM(E483:E500)</f>
        <v>0</v>
      </c>
      <c r="F501" s="724">
        <f t="shared" si="83"/>
        <v>0</v>
      </c>
      <c r="G501" s="724">
        <f t="shared" si="83"/>
        <v>0</v>
      </c>
      <c r="H501" s="724">
        <f t="shared" si="83"/>
        <v>0</v>
      </c>
      <c r="I501" s="724">
        <f t="shared" si="83"/>
        <v>0</v>
      </c>
      <c r="J501" s="724">
        <f t="shared" si="83"/>
        <v>0</v>
      </c>
      <c r="K501" s="724">
        <f t="shared" si="83"/>
        <v>0</v>
      </c>
      <c r="L501" s="724">
        <f t="shared" si="83"/>
        <v>0</v>
      </c>
      <c r="M501" s="725" t="s">
        <v>3277</v>
      </c>
    </row>
    <row r="502" spans="2:13" ht="20.149999999999999" customHeight="1" x14ac:dyDescent="0.35">
      <c r="B502" s="715" t="s">
        <v>3711</v>
      </c>
      <c r="C502" s="716" t="s">
        <v>3275</v>
      </c>
      <c r="D502" s="717" t="s">
        <v>3276</v>
      </c>
      <c r="E502" s="718">
        <f>IFERROR(VLOOKUP($B502,costs!$A$2:$J$2968,E$2,FALSE),0)</f>
        <v>0</v>
      </c>
      <c r="F502" s="718">
        <f>IFERROR(VLOOKUP($B502,costs!$A$2:$J$2968,F$2,FALSE),0)</f>
        <v>0</v>
      </c>
      <c r="G502" s="718">
        <f>IFERROR(VLOOKUP($B502,costs!$A$2:$J$2968,G$2,FALSE),0)</f>
        <v>0</v>
      </c>
      <c r="H502" s="718">
        <f>IFERROR(VLOOKUP($B502,costs!$A$2:$J$2968,H$2,FALSE),0)</f>
        <v>0</v>
      </c>
      <c r="I502" s="718">
        <f>IFERROR(VLOOKUP($B502,costs!$A$2:$J$2968,I$2,FALSE),0)</f>
        <v>0</v>
      </c>
      <c r="J502" s="718">
        <f>IFERROR(VLOOKUP($B502,costs!$A$2:$J$2968,J$2,FALSE),0)</f>
        <v>0</v>
      </c>
      <c r="K502" s="718">
        <f>IFERROR(VLOOKUP($B502,costs!$A$2:$J$2968,K$2,FALSE),0)</f>
        <v>0</v>
      </c>
      <c r="L502" s="718">
        <f>IFERROR(VLOOKUP($B502,costs!$A$2:$J$2968,L$2,FALSE),0)</f>
        <v>0</v>
      </c>
      <c r="M502" s="719" t="s">
        <v>3277</v>
      </c>
    </row>
    <row r="503" spans="2:13" ht="20.149999999999999" customHeight="1" x14ac:dyDescent="0.35">
      <c r="B503" s="715" t="s">
        <v>3712</v>
      </c>
      <c r="C503" s="716" t="s">
        <v>3275</v>
      </c>
      <c r="D503" s="717" t="s">
        <v>3276</v>
      </c>
      <c r="E503" s="718">
        <f>IFERROR(VLOOKUP($B503,costs!$A$2:$J$2968,E$2,FALSE),0)</f>
        <v>0</v>
      </c>
      <c r="F503" s="718">
        <f>IFERROR(VLOOKUP($B503,costs!$A$2:$J$2968,F$2,FALSE),0)</f>
        <v>0</v>
      </c>
      <c r="G503" s="718">
        <f>IFERROR(VLOOKUP($B503,costs!$A$2:$J$2968,G$2,FALSE),0)</f>
        <v>0</v>
      </c>
      <c r="H503" s="718">
        <f>IFERROR(VLOOKUP($B503,costs!$A$2:$J$2968,H$2,FALSE),0)</f>
        <v>0</v>
      </c>
      <c r="I503" s="718">
        <f>IFERROR(VLOOKUP($B503,costs!$A$2:$J$2968,I$2,FALSE),0)</f>
        <v>0</v>
      </c>
      <c r="J503" s="718">
        <f>IFERROR(VLOOKUP($B503,costs!$A$2:$J$2968,J$2,FALSE),0)</f>
        <v>0</v>
      </c>
      <c r="K503" s="718">
        <f>IFERROR(VLOOKUP($B503,costs!$A$2:$J$2968,K$2,FALSE),0)</f>
        <v>0</v>
      </c>
      <c r="L503" s="720">
        <f>IFERROR(VLOOKUP($B503,costs!$A$2:$J$2968,L$2,FALSE),0)</f>
        <v>0</v>
      </c>
      <c r="M503" s="719" t="s">
        <v>3277</v>
      </c>
    </row>
    <row r="504" spans="2:13" ht="20.149999999999999" customHeight="1" x14ac:dyDescent="0.35">
      <c r="B504" s="715" t="s">
        <v>3713</v>
      </c>
      <c r="C504" s="716" t="s">
        <v>3275</v>
      </c>
      <c r="D504" s="717" t="s">
        <v>3276</v>
      </c>
      <c r="E504" s="718">
        <f>IFERROR(VLOOKUP($B504,costs!$A$2:$J$2968,E$2,FALSE),0)</f>
        <v>0</v>
      </c>
      <c r="F504" s="718">
        <f>IFERROR(VLOOKUP($B504,costs!$A$2:$J$2968,F$2,FALSE),0)</f>
        <v>0</v>
      </c>
      <c r="G504" s="718">
        <f>IFERROR(VLOOKUP($B504,costs!$A$2:$J$2968,G$2,FALSE),0)</f>
        <v>0</v>
      </c>
      <c r="H504" s="718">
        <f>IFERROR(VLOOKUP($B504,costs!$A$2:$J$2968,H$2,FALSE),0)</f>
        <v>0</v>
      </c>
      <c r="I504" s="718">
        <f>IFERROR(VLOOKUP($B504,costs!$A$2:$J$2968,I$2,FALSE),0)</f>
        <v>0</v>
      </c>
      <c r="J504" s="718">
        <f>IFERROR(VLOOKUP($B504,costs!$A$2:$J$2968,J$2,FALSE),0)</f>
        <v>0</v>
      </c>
      <c r="K504" s="718">
        <f>IFERROR(VLOOKUP($B504,costs!$A$2:$J$2968,K$2,FALSE),0)</f>
        <v>0</v>
      </c>
      <c r="L504" s="720">
        <f>IFERROR(VLOOKUP($B504,costs!$A$2:$J$2968,L$2,FALSE),0)</f>
        <v>0</v>
      </c>
      <c r="M504" s="719" t="s">
        <v>3277</v>
      </c>
    </row>
    <row r="505" spans="2:13" ht="20.149999999999999" customHeight="1" x14ac:dyDescent="0.35">
      <c r="B505" s="715" t="s">
        <v>3714</v>
      </c>
      <c r="C505" s="716" t="s">
        <v>3275</v>
      </c>
      <c r="D505" s="717" t="s">
        <v>3276</v>
      </c>
      <c r="E505" s="718">
        <f>IFERROR(VLOOKUP($B505,costs!$A$2:$J$2968,E$2,FALSE),0)</f>
        <v>0</v>
      </c>
      <c r="F505" s="718">
        <f>IFERROR(VLOOKUP($B505,costs!$A$2:$J$2968,F$2,FALSE),0)</f>
        <v>0</v>
      </c>
      <c r="G505" s="718">
        <f>IFERROR(VLOOKUP($B505,costs!$A$2:$J$2968,G$2,FALSE),0)</f>
        <v>0</v>
      </c>
      <c r="H505" s="718">
        <f>IFERROR(VLOOKUP($B505,costs!$A$2:$J$2968,H$2,FALSE),0)</f>
        <v>0</v>
      </c>
      <c r="I505" s="718">
        <f>IFERROR(VLOOKUP($B505,costs!$A$2:$J$2968,I$2,FALSE),0)</f>
        <v>0</v>
      </c>
      <c r="J505" s="718">
        <f>IFERROR(VLOOKUP($B505,costs!$A$2:$J$2968,J$2,FALSE),0)</f>
        <v>0</v>
      </c>
      <c r="K505" s="718">
        <f>IFERROR(VLOOKUP($B505,costs!$A$2:$J$2968,K$2,FALSE),0)</f>
        <v>0</v>
      </c>
      <c r="L505" s="720">
        <f>IFERROR(VLOOKUP($B505,costs!$A$2:$J$2968,L$2,FALSE),0)</f>
        <v>0</v>
      </c>
      <c r="M505" s="719" t="s">
        <v>3277</v>
      </c>
    </row>
    <row r="506" spans="2:13" ht="20.149999999999999" customHeight="1" x14ac:dyDescent="0.35">
      <c r="B506" s="715" t="s">
        <v>3715</v>
      </c>
      <c r="C506" s="716" t="s">
        <v>3275</v>
      </c>
      <c r="D506" s="717" t="s">
        <v>3276</v>
      </c>
      <c r="E506" s="718">
        <f>IFERROR(VLOOKUP($B506,costs!$A$2:$J$2968,E$2,FALSE),0)</f>
        <v>0</v>
      </c>
      <c r="F506" s="718">
        <f>IFERROR(VLOOKUP($B506,costs!$A$2:$J$2968,F$2,FALSE),0)</f>
        <v>0</v>
      </c>
      <c r="G506" s="718">
        <f>IFERROR(VLOOKUP($B506,costs!$A$2:$J$2968,G$2,FALSE),0)</f>
        <v>0</v>
      </c>
      <c r="H506" s="718">
        <f>IFERROR(VLOOKUP($B506,costs!$A$2:$J$2968,H$2,FALSE),0)</f>
        <v>0</v>
      </c>
      <c r="I506" s="718">
        <f>IFERROR(VLOOKUP($B506,costs!$A$2:$J$2968,I$2,FALSE),0)</f>
        <v>0</v>
      </c>
      <c r="J506" s="718">
        <f>IFERROR(VLOOKUP($B506,costs!$A$2:$J$2968,J$2,FALSE),0)</f>
        <v>0</v>
      </c>
      <c r="K506" s="718">
        <f>IFERROR(VLOOKUP($B506,costs!$A$2:$J$2968,K$2,FALSE),0)</f>
        <v>0</v>
      </c>
      <c r="L506" s="720">
        <f>IFERROR(VLOOKUP($B506,costs!$A$2:$J$2968,L$2,FALSE),0)</f>
        <v>0</v>
      </c>
      <c r="M506" s="719" t="s">
        <v>3277</v>
      </c>
    </row>
    <row r="507" spans="2:13" ht="20.149999999999999" customHeight="1" x14ac:dyDescent="0.35">
      <c r="B507" s="715" t="s">
        <v>3716</v>
      </c>
      <c r="C507" s="716" t="s">
        <v>3275</v>
      </c>
      <c r="D507" s="717" t="s">
        <v>3276</v>
      </c>
      <c r="E507" s="718">
        <f>IFERROR(VLOOKUP($B507,costs!$A$2:$J$2968,E$2,FALSE),0)</f>
        <v>0</v>
      </c>
      <c r="F507" s="718">
        <f>IFERROR(VLOOKUP($B507,costs!$A$2:$J$2968,F$2,FALSE),0)</f>
        <v>0</v>
      </c>
      <c r="G507" s="718">
        <f>IFERROR(VLOOKUP($B507,costs!$A$2:$J$2968,G$2,FALSE),0)</f>
        <v>0</v>
      </c>
      <c r="H507" s="718">
        <f>IFERROR(VLOOKUP($B507,costs!$A$2:$J$2968,H$2,FALSE),0)</f>
        <v>0</v>
      </c>
      <c r="I507" s="718">
        <f>IFERROR(VLOOKUP($B507,costs!$A$2:$J$2968,I$2,FALSE),0)</f>
        <v>0</v>
      </c>
      <c r="J507" s="718">
        <f>IFERROR(VLOOKUP($B507,costs!$A$2:$J$2968,J$2,FALSE),0)</f>
        <v>0</v>
      </c>
      <c r="K507" s="718">
        <f>IFERROR(VLOOKUP($B507,costs!$A$2:$J$2968,K$2,FALSE),0)</f>
        <v>0</v>
      </c>
      <c r="L507" s="718">
        <f>IFERROR(VLOOKUP($B507,costs!$A$2:$J$2968,L$2,FALSE),0)</f>
        <v>0</v>
      </c>
      <c r="M507" s="719" t="s">
        <v>3277</v>
      </c>
    </row>
    <row r="508" spans="2:13" ht="20.149999999999999" customHeight="1" x14ac:dyDescent="0.35">
      <c r="B508" s="717" t="s">
        <v>3717</v>
      </c>
      <c r="C508" s="716" t="s">
        <v>3275</v>
      </c>
      <c r="D508" s="717" t="s">
        <v>3276</v>
      </c>
      <c r="E508" s="718">
        <f>IFERROR(VLOOKUP($B508,costs!$A$2:$J$2968,E$2,FALSE),0)</f>
        <v>0</v>
      </c>
      <c r="F508" s="718">
        <f>IFERROR(VLOOKUP($B508,costs!$A$2:$J$2968,F$2,FALSE),0)</f>
        <v>0</v>
      </c>
      <c r="G508" s="718">
        <f>IFERROR(VLOOKUP($B508,costs!$A$2:$J$2968,G$2,FALSE),0)</f>
        <v>0</v>
      </c>
      <c r="H508" s="718">
        <f>IFERROR(VLOOKUP($B508,costs!$A$2:$J$2968,H$2,FALSE),0)</f>
        <v>0</v>
      </c>
      <c r="I508" s="718">
        <f>IFERROR(VLOOKUP($B508,costs!$A$2:$J$2968,I$2,FALSE),0)</f>
        <v>0</v>
      </c>
      <c r="J508" s="718">
        <f>IFERROR(VLOOKUP($B508,costs!$A$2:$J$2968,J$2,FALSE),0)</f>
        <v>0</v>
      </c>
      <c r="K508" s="718">
        <f>IFERROR(VLOOKUP($B508,costs!$A$2:$J$2968,K$2,FALSE),0)</f>
        <v>0</v>
      </c>
      <c r="L508" s="718">
        <f>IFERROR(VLOOKUP($B508,costs!$A$2:$J$2968,L$2,FALSE),0)</f>
        <v>0</v>
      </c>
      <c r="M508" s="719" t="s">
        <v>3277</v>
      </c>
    </row>
    <row r="509" spans="2:13" ht="20.149999999999999" customHeight="1" x14ac:dyDescent="0.35">
      <c r="B509" s="717" t="s">
        <v>3718</v>
      </c>
      <c r="C509" s="716" t="s">
        <v>3275</v>
      </c>
      <c r="D509" s="717" t="s">
        <v>3276</v>
      </c>
      <c r="E509" s="718">
        <f>IFERROR(VLOOKUP($B509,costs!$A$2:$J$2968,E$2,FALSE),0)</f>
        <v>0</v>
      </c>
      <c r="F509" s="718">
        <f>IFERROR(VLOOKUP($B509,costs!$A$2:$J$2968,F$2,FALSE),0)</f>
        <v>0</v>
      </c>
      <c r="G509" s="718">
        <f>IFERROR(VLOOKUP($B509,costs!$A$2:$J$2968,G$2,FALSE),0)</f>
        <v>0</v>
      </c>
      <c r="H509" s="718">
        <f>IFERROR(VLOOKUP($B509,costs!$A$2:$J$2968,H$2,FALSE),0)</f>
        <v>0</v>
      </c>
      <c r="I509" s="718">
        <f>IFERROR(VLOOKUP($B509,costs!$A$2:$J$2968,I$2,FALSE),0)</f>
        <v>0</v>
      </c>
      <c r="J509" s="718">
        <f>IFERROR(VLOOKUP($B509,costs!$A$2:$J$2968,J$2,FALSE),0)</f>
        <v>0</v>
      </c>
      <c r="K509" s="718">
        <f>IFERROR(VLOOKUP($B509,costs!$A$2:$J$2968,K$2,FALSE),0)</f>
        <v>0</v>
      </c>
      <c r="L509" s="718">
        <f>IFERROR(VLOOKUP($B509,costs!$A$2:$J$2968,L$2,FALSE),0)</f>
        <v>0</v>
      </c>
      <c r="M509" s="719" t="s">
        <v>3277</v>
      </c>
    </row>
    <row r="510" spans="2:13" ht="20.149999999999999" customHeight="1" x14ac:dyDescent="0.35">
      <c r="B510" s="717" t="s">
        <v>3719</v>
      </c>
      <c r="C510" s="716" t="s">
        <v>3275</v>
      </c>
      <c r="D510" s="717" t="s">
        <v>3276</v>
      </c>
      <c r="E510" s="718">
        <f>IFERROR(VLOOKUP($B510,costs!$A$2:$J$2968,E$2,FALSE),0)</f>
        <v>0</v>
      </c>
      <c r="F510" s="718">
        <f>IFERROR(VLOOKUP($B510,costs!$A$2:$J$2968,F$2,FALSE),0)</f>
        <v>0</v>
      </c>
      <c r="G510" s="718">
        <f>IFERROR(VLOOKUP($B510,costs!$A$2:$J$2968,G$2,FALSE),0)</f>
        <v>0</v>
      </c>
      <c r="H510" s="718">
        <f>IFERROR(VLOOKUP($B510,costs!$A$2:$J$2968,H$2,FALSE),0)</f>
        <v>0</v>
      </c>
      <c r="I510" s="718">
        <f>IFERROR(VLOOKUP($B510,costs!$A$2:$J$2968,I$2,FALSE),0)</f>
        <v>0</v>
      </c>
      <c r="J510" s="718">
        <f>IFERROR(VLOOKUP($B510,costs!$A$2:$J$2968,J$2,FALSE),0)</f>
        <v>0</v>
      </c>
      <c r="K510" s="718">
        <f>IFERROR(VLOOKUP($B510,costs!$A$2:$J$2968,K$2,FALSE),0)</f>
        <v>0</v>
      </c>
      <c r="L510" s="718">
        <f>IFERROR(VLOOKUP($B510,costs!$A$2:$J$2968,L$2,FALSE),0)</f>
        <v>0</v>
      </c>
      <c r="M510" s="719" t="s">
        <v>3277</v>
      </c>
    </row>
    <row r="511" spans="2:13" ht="20.149999999999999" customHeight="1" x14ac:dyDescent="0.35">
      <c r="B511" s="715" t="s">
        <v>3720</v>
      </c>
      <c r="C511" s="716" t="s">
        <v>3275</v>
      </c>
      <c r="D511" s="717" t="s">
        <v>3276</v>
      </c>
      <c r="E511" s="718">
        <f>IFERROR(VLOOKUP($B511,costs!$A$2:$J$2968,E$2,FALSE),0)</f>
        <v>0</v>
      </c>
      <c r="F511" s="718">
        <f>IFERROR(VLOOKUP($B511,costs!$A$2:$J$2968,F$2,FALSE),0)</f>
        <v>0</v>
      </c>
      <c r="G511" s="718">
        <f>IFERROR(VLOOKUP($B511,costs!$A$2:$J$2968,G$2,FALSE),0)</f>
        <v>0</v>
      </c>
      <c r="H511" s="718">
        <f>IFERROR(VLOOKUP($B511,costs!$A$2:$J$2968,H$2,FALSE),0)</f>
        <v>0</v>
      </c>
      <c r="I511" s="718">
        <f>IFERROR(VLOOKUP($B511,costs!$A$2:$J$2968,I$2,FALSE),0)</f>
        <v>0</v>
      </c>
      <c r="J511" s="718">
        <f>IFERROR(VLOOKUP($B511,costs!$A$2:$J$2968,J$2,FALSE),0)</f>
        <v>0</v>
      </c>
      <c r="K511" s="718">
        <f>IFERROR(VLOOKUP($B511,costs!$A$2:$J$2968,K$2,FALSE),0)</f>
        <v>0</v>
      </c>
      <c r="L511" s="718">
        <f>IFERROR(VLOOKUP($B511,costs!$A$2:$J$2968,L$2,FALSE),0)</f>
        <v>0</v>
      </c>
      <c r="M511" s="719" t="s">
        <v>3277</v>
      </c>
    </row>
    <row r="512" spans="2:13" ht="20.149999999999999" customHeight="1" x14ac:dyDescent="0.35">
      <c r="B512" s="715" t="s">
        <v>3721</v>
      </c>
      <c r="C512" s="716" t="s">
        <v>3275</v>
      </c>
      <c r="D512" s="717" t="s">
        <v>3276</v>
      </c>
      <c r="E512" s="718">
        <f>IFERROR(VLOOKUP($B512,costs!$A$2:$J$2968,E$2,FALSE),0)</f>
        <v>0</v>
      </c>
      <c r="F512" s="718">
        <f>IFERROR(VLOOKUP($B512,costs!$A$2:$J$2968,F$2,FALSE),0)</f>
        <v>0</v>
      </c>
      <c r="G512" s="718">
        <f>IFERROR(VLOOKUP($B512,costs!$A$2:$J$2968,G$2,FALSE),0)</f>
        <v>0</v>
      </c>
      <c r="H512" s="718">
        <f>IFERROR(VLOOKUP($B512,costs!$A$2:$J$2968,H$2,FALSE),0)</f>
        <v>0</v>
      </c>
      <c r="I512" s="718">
        <f>IFERROR(VLOOKUP($B512,costs!$A$2:$J$2968,I$2,FALSE),0)</f>
        <v>0</v>
      </c>
      <c r="J512" s="718">
        <f>IFERROR(VLOOKUP($B512,costs!$A$2:$J$2968,J$2,FALSE),0)</f>
        <v>0</v>
      </c>
      <c r="K512" s="718">
        <f>IFERROR(VLOOKUP($B512,costs!$A$2:$J$2968,K$2,FALSE),0)</f>
        <v>0</v>
      </c>
      <c r="L512" s="718">
        <f>IFERROR(VLOOKUP($B512,costs!$A$2:$J$2968,L$2,FALSE),0)</f>
        <v>0</v>
      </c>
      <c r="M512" s="719" t="s">
        <v>3277</v>
      </c>
    </row>
    <row r="513" spans="2:13" ht="20.149999999999999" customHeight="1" x14ac:dyDescent="0.35">
      <c r="B513" s="715" t="s">
        <v>3722</v>
      </c>
      <c r="C513" s="716" t="s">
        <v>3275</v>
      </c>
      <c r="D513" s="717" t="s">
        <v>3276</v>
      </c>
      <c r="E513" s="718">
        <f>IFERROR(VLOOKUP($B513,costs!$A$2:$J$2968,E$2,FALSE),0)</f>
        <v>0</v>
      </c>
      <c r="F513" s="718">
        <f>IFERROR(VLOOKUP($B513,costs!$A$2:$J$2968,F$2,FALSE),0)</f>
        <v>0</v>
      </c>
      <c r="G513" s="718">
        <f>IFERROR(VLOOKUP($B513,costs!$A$2:$J$2968,G$2,FALSE),0)</f>
        <v>0</v>
      </c>
      <c r="H513" s="718">
        <f>IFERROR(VLOOKUP($B513,costs!$A$2:$J$2968,H$2,FALSE),0)</f>
        <v>0</v>
      </c>
      <c r="I513" s="718">
        <f>IFERROR(VLOOKUP($B513,costs!$A$2:$J$2968,I$2,FALSE),0)</f>
        <v>0</v>
      </c>
      <c r="J513" s="718">
        <f>IFERROR(VLOOKUP($B513,costs!$A$2:$J$2968,J$2,FALSE),0)</f>
        <v>0</v>
      </c>
      <c r="K513" s="718">
        <f>IFERROR(VLOOKUP($B513,costs!$A$2:$J$2968,K$2,FALSE),0)</f>
        <v>0</v>
      </c>
      <c r="L513" s="718">
        <f>IFERROR(VLOOKUP($B513,costs!$A$2:$J$2968,L$2,FALSE),0)</f>
        <v>0</v>
      </c>
      <c r="M513" s="719" t="s">
        <v>3277</v>
      </c>
    </row>
    <row r="514" spans="2:13" ht="20.149999999999999" customHeight="1" x14ac:dyDescent="0.35">
      <c r="B514" s="715" t="s">
        <v>3723</v>
      </c>
      <c r="C514" s="716" t="s">
        <v>3275</v>
      </c>
      <c r="D514" s="717" t="s">
        <v>3276</v>
      </c>
      <c r="E514" s="718">
        <f>IFERROR(VLOOKUP($B514,costs!$A$2:$J$2968,E$2,FALSE),0)</f>
        <v>0</v>
      </c>
      <c r="F514" s="718">
        <f>IFERROR(VLOOKUP($B514,costs!$A$2:$J$2968,F$2,FALSE),0)</f>
        <v>0</v>
      </c>
      <c r="G514" s="718">
        <f>IFERROR(VLOOKUP($B514,costs!$A$2:$J$2968,G$2,FALSE),0)</f>
        <v>0</v>
      </c>
      <c r="H514" s="718">
        <f>IFERROR(VLOOKUP($B514,costs!$A$2:$J$2968,H$2,FALSE),0)</f>
        <v>0</v>
      </c>
      <c r="I514" s="718">
        <f>IFERROR(VLOOKUP($B514,costs!$A$2:$J$2968,I$2,FALSE),0)</f>
        <v>0</v>
      </c>
      <c r="J514" s="718">
        <f>IFERROR(VLOOKUP($B514,costs!$A$2:$J$2968,J$2,FALSE),0)</f>
        <v>0</v>
      </c>
      <c r="K514" s="718">
        <f>IFERROR(VLOOKUP($B514,costs!$A$2:$J$2968,K$2,FALSE),0)</f>
        <v>0</v>
      </c>
      <c r="L514" s="718">
        <f>IFERROR(VLOOKUP($B514,costs!$A$2:$J$2968,L$2,FALSE),0)</f>
        <v>0</v>
      </c>
      <c r="M514" s="719" t="s">
        <v>3277</v>
      </c>
    </row>
    <row r="515" spans="2:13" ht="20.149999999999999" customHeight="1" x14ac:dyDescent="0.35">
      <c r="B515" s="715" t="s">
        <v>3724</v>
      </c>
      <c r="C515" s="716" t="s">
        <v>3275</v>
      </c>
      <c r="D515" s="717" t="s">
        <v>3276</v>
      </c>
      <c r="E515" s="718">
        <f>IFERROR(VLOOKUP($B515,costs!$A$2:$J$2968,E$2,FALSE),0)</f>
        <v>0</v>
      </c>
      <c r="F515" s="718">
        <f>IFERROR(VLOOKUP($B515,costs!$A$2:$J$2968,F$2,FALSE),0)</f>
        <v>0</v>
      </c>
      <c r="G515" s="718">
        <f>IFERROR(VLOOKUP($B515,costs!$A$2:$J$2968,G$2,FALSE),0)</f>
        <v>0</v>
      </c>
      <c r="H515" s="718">
        <f>IFERROR(VLOOKUP($B515,costs!$A$2:$J$2968,H$2,FALSE),0)</f>
        <v>0</v>
      </c>
      <c r="I515" s="718">
        <f>IFERROR(VLOOKUP($B515,costs!$A$2:$J$2968,I$2,FALSE),0)</f>
        <v>0</v>
      </c>
      <c r="J515" s="718">
        <f>IFERROR(VLOOKUP($B515,costs!$A$2:$J$2968,J$2,FALSE),0)</f>
        <v>0</v>
      </c>
      <c r="K515" s="718">
        <f>IFERROR(VLOOKUP($B515,costs!$A$2:$J$2968,K$2,FALSE),0)</f>
        <v>0</v>
      </c>
      <c r="L515" s="718">
        <f>IFERROR(VLOOKUP($B515,costs!$A$2:$J$2968,L$2,FALSE),0)</f>
        <v>0</v>
      </c>
      <c r="M515" s="719" t="s">
        <v>3277</v>
      </c>
    </row>
    <row r="516" spans="2:13" ht="20.149999999999999" customHeight="1" x14ac:dyDescent="0.35">
      <c r="B516" s="715" t="s">
        <v>3725</v>
      </c>
      <c r="C516" s="716" t="s">
        <v>3275</v>
      </c>
      <c r="D516" s="717" t="s">
        <v>3276</v>
      </c>
      <c r="E516" s="718">
        <f>IFERROR(VLOOKUP($B516,costs!$A$2:$J$2968,E$2,FALSE),0)</f>
        <v>0</v>
      </c>
      <c r="F516" s="718">
        <f>IFERROR(VLOOKUP($B516,costs!$A$2:$J$2968,F$2,FALSE),0)</f>
        <v>0</v>
      </c>
      <c r="G516" s="718">
        <f>IFERROR(VLOOKUP($B516,costs!$A$2:$J$2968,G$2,FALSE),0)</f>
        <v>0</v>
      </c>
      <c r="H516" s="718">
        <f>IFERROR(VLOOKUP($B516,costs!$A$2:$J$2968,H$2,FALSE),0)</f>
        <v>0</v>
      </c>
      <c r="I516" s="718">
        <f>IFERROR(VLOOKUP($B516,costs!$A$2:$J$2968,I$2,FALSE),0)</f>
        <v>0</v>
      </c>
      <c r="J516" s="718">
        <f>IFERROR(VLOOKUP($B516,costs!$A$2:$J$2968,J$2,FALSE),0)</f>
        <v>0</v>
      </c>
      <c r="K516" s="718">
        <f>IFERROR(VLOOKUP($B516,costs!$A$2:$J$2968,K$2,FALSE),0)</f>
        <v>0</v>
      </c>
      <c r="L516" s="718">
        <f>IFERROR(VLOOKUP($B516,costs!$A$2:$J$2968,L$2,FALSE),0)</f>
        <v>0</v>
      </c>
      <c r="M516" s="719" t="s">
        <v>3277</v>
      </c>
    </row>
    <row r="517" spans="2:13" ht="20.149999999999999" customHeight="1" x14ac:dyDescent="0.35">
      <c r="B517" s="717" t="s">
        <v>3726</v>
      </c>
      <c r="C517" s="716" t="s">
        <v>3275</v>
      </c>
      <c r="D517" s="717" t="s">
        <v>3276</v>
      </c>
      <c r="E517" s="718">
        <f>IFERROR(VLOOKUP($B517,costs!$A$2:$J$2968,E$2,FALSE),0)</f>
        <v>0</v>
      </c>
      <c r="F517" s="718">
        <f>IFERROR(VLOOKUP($B517,costs!$A$2:$J$2968,F$2,FALSE),0)</f>
        <v>0</v>
      </c>
      <c r="G517" s="718">
        <f>IFERROR(VLOOKUP($B517,costs!$A$2:$J$2968,G$2,FALSE),0)</f>
        <v>0</v>
      </c>
      <c r="H517" s="718">
        <f>IFERROR(VLOOKUP($B517,costs!$A$2:$J$2968,H$2,FALSE),0)</f>
        <v>0</v>
      </c>
      <c r="I517" s="718">
        <f>IFERROR(VLOOKUP($B517,costs!$A$2:$J$2968,I$2,FALSE),0)</f>
        <v>0</v>
      </c>
      <c r="J517" s="718">
        <f>IFERROR(VLOOKUP($B517,costs!$A$2:$J$2968,J$2,FALSE),0)</f>
        <v>0</v>
      </c>
      <c r="K517" s="718">
        <f>IFERROR(VLOOKUP($B517,costs!$A$2:$J$2968,K$2,FALSE),0)</f>
        <v>0</v>
      </c>
      <c r="L517" s="718">
        <f>IFERROR(VLOOKUP($B517,costs!$A$2:$J$2968,L$2,FALSE),0)</f>
        <v>0</v>
      </c>
      <c r="M517" s="719" t="s">
        <v>3277</v>
      </c>
    </row>
    <row r="518" spans="2:13" ht="20.149999999999999" customHeight="1" x14ac:dyDescent="0.35">
      <c r="B518" s="717" t="s">
        <v>3727</v>
      </c>
      <c r="C518" s="716" t="s">
        <v>3275</v>
      </c>
      <c r="D518" s="717" t="s">
        <v>3276</v>
      </c>
      <c r="E518" s="718">
        <f>IFERROR(VLOOKUP($B518,costs!$A$2:$J$2968,E$2,FALSE),0)</f>
        <v>0</v>
      </c>
      <c r="F518" s="718">
        <f>IFERROR(VLOOKUP($B518,costs!$A$2:$J$2968,F$2,FALSE),0)</f>
        <v>0</v>
      </c>
      <c r="G518" s="718">
        <f>IFERROR(VLOOKUP($B518,costs!$A$2:$J$2968,G$2,FALSE),0)</f>
        <v>0</v>
      </c>
      <c r="H518" s="718">
        <f>IFERROR(VLOOKUP($B518,costs!$A$2:$J$2968,H$2,FALSE),0)</f>
        <v>0</v>
      </c>
      <c r="I518" s="718">
        <f>IFERROR(VLOOKUP($B518,costs!$A$2:$J$2968,I$2,FALSE),0)</f>
        <v>0</v>
      </c>
      <c r="J518" s="718">
        <f>IFERROR(VLOOKUP($B518,costs!$A$2:$J$2968,J$2,FALSE),0)</f>
        <v>0</v>
      </c>
      <c r="K518" s="718">
        <f>IFERROR(VLOOKUP($B518,costs!$A$2:$J$2968,K$2,FALSE),0)</f>
        <v>0</v>
      </c>
      <c r="L518" s="718">
        <f>IFERROR(VLOOKUP($B518,costs!$A$2:$J$2968,L$2,FALSE),0)</f>
        <v>0</v>
      </c>
      <c r="M518" s="719" t="s">
        <v>3277</v>
      </c>
    </row>
    <row r="519" spans="2:13" ht="20.149999999999999" customHeight="1" x14ac:dyDescent="0.35">
      <c r="B519" s="717" t="s">
        <v>3728</v>
      </c>
      <c r="C519" s="716" t="s">
        <v>3275</v>
      </c>
      <c r="D519" s="717" t="s">
        <v>3276</v>
      </c>
      <c r="E519" s="718">
        <f>IFERROR(VLOOKUP($B519,costs!$A$2:$J$2968,E$2,FALSE),0)</f>
        <v>0</v>
      </c>
      <c r="F519" s="718">
        <f>IFERROR(VLOOKUP($B519,costs!$A$2:$J$2968,F$2,FALSE),0)</f>
        <v>0</v>
      </c>
      <c r="G519" s="718">
        <f>IFERROR(VLOOKUP($B519,costs!$A$2:$J$2968,G$2,FALSE),0)</f>
        <v>0</v>
      </c>
      <c r="H519" s="718">
        <f>IFERROR(VLOOKUP($B519,costs!$A$2:$J$2968,H$2,FALSE),0)</f>
        <v>0</v>
      </c>
      <c r="I519" s="718">
        <f>IFERROR(VLOOKUP($B519,costs!$A$2:$J$2968,I$2,FALSE),0)</f>
        <v>0</v>
      </c>
      <c r="J519" s="718">
        <f>IFERROR(VLOOKUP($B519,costs!$A$2:$J$2968,J$2,FALSE),0)</f>
        <v>0</v>
      </c>
      <c r="K519" s="718">
        <f>IFERROR(VLOOKUP($B519,costs!$A$2:$J$2968,K$2,FALSE),0)</f>
        <v>0</v>
      </c>
      <c r="L519" s="718">
        <f>IFERROR(VLOOKUP($B519,costs!$A$2:$J$2968,L$2,FALSE),0)</f>
        <v>0</v>
      </c>
      <c r="M519" s="719" t="s">
        <v>3277</v>
      </c>
    </row>
    <row r="520" spans="2:13" ht="20.149999999999999" customHeight="1" x14ac:dyDescent="0.35">
      <c r="B520" s="721" t="s">
        <v>3690</v>
      </c>
      <c r="C520" s="722" t="s">
        <v>3691</v>
      </c>
      <c r="D520" s="723" t="s">
        <v>3692</v>
      </c>
      <c r="E520" s="724">
        <f t="shared" ref="E520:L520" si="84">SUM(E502:E519)</f>
        <v>0</v>
      </c>
      <c r="F520" s="724">
        <f t="shared" si="84"/>
        <v>0</v>
      </c>
      <c r="G520" s="724">
        <f t="shared" si="84"/>
        <v>0</v>
      </c>
      <c r="H520" s="724">
        <f t="shared" si="84"/>
        <v>0</v>
      </c>
      <c r="I520" s="724">
        <f t="shared" si="84"/>
        <v>0</v>
      </c>
      <c r="J520" s="724">
        <f t="shared" si="84"/>
        <v>0</v>
      </c>
      <c r="K520" s="724">
        <f t="shared" si="84"/>
        <v>0</v>
      </c>
      <c r="L520" s="724">
        <f t="shared" si="84"/>
        <v>0</v>
      </c>
      <c r="M520" s="725" t="s">
        <v>3277</v>
      </c>
    </row>
    <row r="521" spans="2:13" ht="20.149999999999999" customHeight="1" x14ac:dyDescent="0.35">
      <c r="B521" s="715" t="s">
        <v>3729</v>
      </c>
      <c r="C521" s="716" t="s">
        <v>3275</v>
      </c>
      <c r="D521" s="717" t="s">
        <v>3276</v>
      </c>
      <c r="E521" s="718">
        <f>IFERROR(VLOOKUP($B521,costs!$A$2:$J$2968,E$2,FALSE),0)</f>
        <v>0</v>
      </c>
      <c r="F521" s="718">
        <f>IFERROR(VLOOKUP($B521,costs!$A$2:$J$2968,F$2,FALSE),0)</f>
        <v>0</v>
      </c>
      <c r="G521" s="718">
        <f>IFERROR(VLOOKUP($B521,costs!$A$2:$J$2968,G$2,FALSE),0)</f>
        <v>0</v>
      </c>
      <c r="H521" s="718">
        <f>IFERROR(VLOOKUP($B521,costs!$A$2:$J$2968,H$2,FALSE),0)</f>
        <v>0</v>
      </c>
      <c r="I521" s="718">
        <f>IFERROR(VLOOKUP($B521,costs!$A$2:$J$2968,I$2,FALSE),0)</f>
        <v>0</v>
      </c>
      <c r="J521" s="718">
        <f>IFERROR(VLOOKUP($B521,costs!$A$2:$J$2968,J$2,FALSE),0)</f>
        <v>0</v>
      </c>
      <c r="K521" s="718">
        <f>IFERROR(VLOOKUP($B521,costs!$A$2:$J$2968,K$2,FALSE),0)</f>
        <v>0</v>
      </c>
      <c r="L521" s="718">
        <f>IFERROR(VLOOKUP($B521,costs!$A$2:$J$2968,L$2,FALSE),0)</f>
        <v>0</v>
      </c>
      <c r="M521" s="719" t="s">
        <v>3277</v>
      </c>
    </row>
    <row r="522" spans="2:13" ht="20.149999999999999" customHeight="1" x14ac:dyDescent="0.35">
      <c r="B522" s="715" t="s">
        <v>3730</v>
      </c>
      <c r="C522" s="716" t="s">
        <v>3275</v>
      </c>
      <c r="D522" s="717" t="s">
        <v>3276</v>
      </c>
      <c r="E522" s="718">
        <f>IFERROR(VLOOKUP($B522,costs!$A$2:$J$2968,E$2,FALSE),0)</f>
        <v>0</v>
      </c>
      <c r="F522" s="718">
        <f>IFERROR(VLOOKUP($B522,costs!$A$2:$J$2968,F$2,FALSE),0)</f>
        <v>0</v>
      </c>
      <c r="G522" s="718">
        <f>IFERROR(VLOOKUP($B522,costs!$A$2:$J$2968,G$2,FALSE),0)</f>
        <v>0</v>
      </c>
      <c r="H522" s="718">
        <f>IFERROR(VLOOKUP($B522,costs!$A$2:$J$2968,H$2,FALSE),0)</f>
        <v>0</v>
      </c>
      <c r="I522" s="718">
        <f>IFERROR(VLOOKUP($B522,costs!$A$2:$J$2968,I$2,FALSE),0)</f>
        <v>0</v>
      </c>
      <c r="J522" s="718">
        <f>IFERROR(VLOOKUP($B522,costs!$A$2:$J$2968,J$2,FALSE),0)</f>
        <v>0</v>
      </c>
      <c r="K522" s="718">
        <f>IFERROR(VLOOKUP($B522,costs!$A$2:$J$2968,K$2,FALSE),0)</f>
        <v>0</v>
      </c>
      <c r="L522" s="720">
        <f>IFERROR(VLOOKUP($B522,costs!$A$2:$J$2968,L$2,FALSE),0)</f>
        <v>0</v>
      </c>
      <c r="M522" s="719" t="s">
        <v>3277</v>
      </c>
    </row>
    <row r="523" spans="2:13" ht="20.149999999999999" customHeight="1" x14ac:dyDescent="0.35">
      <c r="B523" s="715" t="s">
        <v>3731</v>
      </c>
      <c r="C523" s="716" t="s">
        <v>3275</v>
      </c>
      <c r="D523" s="717" t="s">
        <v>3276</v>
      </c>
      <c r="E523" s="718">
        <f>IFERROR(VLOOKUP($B523,costs!$A$2:$J$2968,E$2,FALSE),0)</f>
        <v>0</v>
      </c>
      <c r="F523" s="718">
        <f>IFERROR(VLOOKUP($B523,costs!$A$2:$J$2968,F$2,FALSE),0)</f>
        <v>0</v>
      </c>
      <c r="G523" s="718">
        <f>IFERROR(VLOOKUP($B523,costs!$A$2:$J$2968,G$2,FALSE),0)</f>
        <v>0</v>
      </c>
      <c r="H523" s="718">
        <f>IFERROR(VLOOKUP($B523,costs!$A$2:$J$2968,H$2,FALSE),0)</f>
        <v>0</v>
      </c>
      <c r="I523" s="718">
        <f>IFERROR(VLOOKUP($B523,costs!$A$2:$J$2968,I$2,FALSE),0)</f>
        <v>0</v>
      </c>
      <c r="J523" s="718">
        <f>IFERROR(VLOOKUP($B523,costs!$A$2:$J$2968,J$2,FALSE),0)</f>
        <v>0</v>
      </c>
      <c r="K523" s="718">
        <f>IFERROR(VLOOKUP($B523,costs!$A$2:$J$2968,K$2,FALSE),0)</f>
        <v>0</v>
      </c>
      <c r="L523" s="720">
        <f>IFERROR(VLOOKUP($B523,costs!$A$2:$J$2968,L$2,FALSE),0)</f>
        <v>0</v>
      </c>
      <c r="M523" s="719" t="s">
        <v>3277</v>
      </c>
    </row>
    <row r="524" spans="2:13" ht="20.149999999999999" customHeight="1" x14ac:dyDescent="0.35">
      <c r="B524" s="715" t="s">
        <v>3732</v>
      </c>
      <c r="C524" s="716" t="s">
        <v>3275</v>
      </c>
      <c r="D524" s="717" t="s">
        <v>3276</v>
      </c>
      <c r="E524" s="718">
        <f>IFERROR(VLOOKUP($B524,costs!$A$2:$J$2968,E$2,FALSE),0)</f>
        <v>0</v>
      </c>
      <c r="F524" s="718">
        <f>IFERROR(VLOOKUP($B524,costs!$A$2:$J$2968,F$2,FALSE),0)</f>
        <v>0</v>
      </c>
      <c r="G524" s="718">
        <f>IFERROR(VLOOKUP($B524,costs!$A$2:$J$2968,G$2,FALSE),0)</f>
        <v>0</v>
      </c>
      <c r="H524" s="718">
        <f>IFERROR(VLOOKUP($B524,costs!$A$2:$J$2968,H$2,FALSE),0)</f>
        <v>0</v>
      </c>
      <c r="I524" s="718">
        <f>IFERROR(VLOOKUP($B524,costs!$A$2:$J$2968,I$2,FALSE),0)</f>
        <v>0</v>
      </c>
      <c r="J524" s="718">
        <f>IFERROR(VLOOKUP($B524,costs!$A$2:$J$2968,J$2,FALSE),0)</f>
        <v>0</v>
      </c>
      <c r="K524" s="718">
        <f>IFERROR(VLOOKUP($B524,costs!$A$2:$J$2968,K$2,FALSE),0)</f>
        <v>0</v>
      </c>
      <c r="L524" s="720">
        <f>IFERROR(VLOOKUP($B524,costs!$A$2:$J$2968,L$2,FALSE),0)</f>
        <v>0</v>
      </c>
      <c r="M524" s="719" t="s">
        <v>3277</v>
      </c>
    </row>
    <row r="525" spans="2:13" ht="20.149999999999999" customHeight="1" x14ac:dyDescent="0.35">
      <c r="B525" s="715" t="s">
        <v>3733</v>
      </c>
      <c r="C525" s="716" t="s">
        <v>3275</v>
      </c>
      <c r="D525" s="717" t="s">
        <v>3276</v>
      </c>
      <c r="E525" s="718">
        <f>IFERROR(VLOOKUP($B525,costs!$A$2:$J$2968,E$2,FALSE),0)</f>
        <v>0</v>
      </c>
      <c r="F525" s="718">
        <f>IFERROR(VLOOKUP($B525,costs!$A$2:$J$2968,F$2,FALSE),0)</f>
        <v>0</v>
      </c>
      <c r="G525" s="718">
        <f>IFERROR(VLOOKUP($B525,costs!$A$2:$J$2968,G$2,FALSE),0)</f>
        <v>0</v>
      </c>
      <c r="H525" s="718">
        <f>IFERROR(VLOOKUP($B525,costs!$A$2:$J$2968,H$2,FALSE),0)</f>
        <v>0</v>
      </c>
      <c r="I525" s="718">
        <f>IFERROR(VLOOKUP($B525,costs!$A$2:$J$2968,I$2,FALSE),0)</f>
        <v>0</v>
      </c>
      <c r="J525" s="718">
        <f>IFERROR(VLOOKUP($B525,costs!$A$2:$J$2968,J$2,FALSE),0)</f>
        <v>0</v>
      </c>
      <c r="K525" s="718">
        <f>IFERROR(VLOOKUP($B525,costs!$A$2:$J$2968,K$2,FALSE),0)</f>
        <v>0</v>
      </c>
      <c r="L525" s="720">
        <f>IFERROR(VLOOKUP($B525,costs!$A$2:$J$2968,L$2,FALSE),0)</f>
        <v>0</v>
      </c>
      <c r="M525" s="719" t="s">
        <v>3277</v>
      </c>
    </row>
    <row r="526" spans="2:13" ht="20.149999999999999" customHeight="1" x14ac:dyDescent="0.35">
      <c r="B526" s="715" t="s">
        <v>3734</v>
      </c>
      <c r="C526" s="716" t="s">
        <v>3275</v>
      </c>
      <c r="D526" s="717" t="s">
        <v>3276</v>
      </c>
      <c r="E526" s="718">
        <f>IFERROR(VLOOKUP($B526,costs!$A$2:$J$2968,E$2,FALSE),0)</f>
        <v>0</v>
      </c>
      <c r="F526" s="718">
        <f>IFERROR(VLOOKUP($B526,costs!$A$2:$J$2968,F$2,FALSE),0)</f>
        <v>0</v>
      </c>
      <c r="G526" s="718">
        <f>IFERROR(VLOOKUP($B526,costs!$A$2:$J$2968,G$2,FALSE),0)</f>
        <v>0</v>
      </c>
      <c r="H526" s="718">
        <f>IFERROR(VLOOKUP($B526,costs!$A$2:$J$2968,H$2,FALSE),0)</f>
        <v>0</v>
      </c>
      <c r="I526" s="718">
        <f>IFERROR(VLOOKUP($B526,costs!$A$2:$J$2968,I$2,FALSE),0)</f>
        <v>0</v>
      </c>
      <c r="J526" s="718">
        <f>IFERROR(VLOOKUP($B526,costs!$A$2:$J$2968,J$2,FALSE),0)</f>
        <v>0</v>
      </c>
      <c r="K526" s="718">
        <f>IFERROR(VLOOKUP($B526,costs!$A$2:$J$2968,K$2,FALSE),0)</f>
        <v>0</v>
      </c>
      <c r="L526" s="718">
        <f>IFERROR(VLOOKUP($B526,costs!$A$2:$J$2968,L$2,FALSE),0)</f>
        <v>0</v>
      </c>
      <c r="M526" s="719" t="s">
        <v>3277</v>
      </c>
    </row>
    <row r="527" spans="2:13" ht="20.149999999999999" customHeight="1" x14ac:dyDescent="0.35">
      <c r="B527" s="717" t="s">
        <v>3735</v>
      </c>
      <c r="C527" s="716" t="s">
        <v>3275</v>
      </c>
      <c r="D527" s="717" t="s">
        <v>3276</v>
      </c>
      <c r="E527" s="718">
        <f>IFERROR(VLOOKUP($B527,costs!$A$2:$J$2968,E$2,FALSE),0)</f>
        <v>0</v>
      </c>
      <c r="F527" s="718">
        <f>IFERROR(VLOOKUP($B527,costs!$A$2:$J$2968,F$2,FALSE),0)</f>
        <v>0</v>
      </c>
      <c r="G527" s="718">
        <f>IFERROR(VLOOKUP($B527,costs!$A$2:$J$2968,G$2,FALSE),0)</f>
        <v>0</v>
      </c>
      <c r="H527" s="718">
        <f>IFERROR(VLOOKUP($B527,costs!$A$2:$J$2968,H$2,FALSE),0)</f>
        <v>0</v>
      </c>
      <c r="I527" s="718">
        <f>IFERROR(VLOOKUP($B527,costs!$A$2:$J$2968,I$2,FALSE),0)</f>
        <v>0</v>
      </c>
      <c r="J527" s="718">
        <f>IFERROR(VLOOKUP($B527,costs!$A$2:$J$2968,J$2,FALSE),0)</f>
        <v>0</v>
      </c>
      <c r="K527" s="718">
        <f>IFERROR(VLOOKUP($B527,costs!$A$2:$J$2968,K$2,FALSE),0)</f>
        <v>0</v>
      </c>
      <c r="L527" s="718">
        <f>IFERROR(VLOOKUP($B527,costs!$A$2:$J$2968,L$2,FALSE),0)</f>
        <v>0</v>
      </c>
      <c r="M527" s="719" t="s">
        <v>3277</v>
      </c>
    </row>
    <row r="528" spans="2:13" ht="20.149999999999999" customHeight="1" x14ac:dyDescent="0.35">
      <c r="B528" s="717" t="s">
        <v>3736</v>
      </c>
      <c r="C528" s="716" t="s">
        <v>3275</v>
      </c>
      <c r="D528" s="717" t="s">
        <v>3276</v>
      </c>
      <c r="E528" s="718">
        <f>IFERROR(VLOOKUP($B528,costs!$A$2:$J$2968,E$2,FALSE),0)</f>
        <v>0</v>
      </c>
      <c r="F528" s="718">
        <f>IFERROR(VLOOKUP($B528,costs!$A$2:$J$2968,F$2,FALSE),0)</f>
        <v>0</v>
      </c>
      <c r="G528" s="718">
        <f>IFERROR(VLOOKUP($B528,costs!$A$2:$J$2968,G$2,FALSE),0)</f>
        <v>0</v>
      </c>
      <c r="H528" s="718">
        <f>IFERROR(VLOOKUP($B528,costs!$A$2:$J$2968,H$2,FALSE),0)</f>
        <v>0</v>
      </c>
      <c r="I528" s="718">
        <f>IFERROR(VLOOKUP($B528,costs!$A$2:$J$2968,I$2,FALSE),0)</f>
        <v>0</v>
      </c>
      <c r="J528" s="718">
        <f>IFERROR(VLOOKUP($B528,costs!$A$2:$J$2968,J$2,FALSE),0)</f>
        <v>0</v>
      </c>
      <c r="K528" s="718">
        <f>IFERROR(VLOOKUP($B528,costs!$A$2:$J$2968,K$2,FALSE),0)</f>
        <v>0</v>
      </c>
      <c r="L528" s="718">
        <f>IFERROR(VLOOKUP($B528,costs!$A$2:$J$2968,L$2,FALSE),0)</f>
        <v>0</v>
      </c>
      <c r="M528" s="719" t="s">
        <v>3277</v>
      </c>
    </row>
    <row r="529" spans="2:25" ht="20.149999999999999" customHeight="1" x14ac:dyDescent="0.35">
      <c r="B529" s="717" t="s">
        <v>3737</v>
      </c>
      <c r="C529" s="716" t="s">
        <v>3275</v>
      </c>
      <c r="D529" s="717" t="s">
        <v>3276</v>
      </c>
      <c r="E529" s="718">
        <f>IFERROR(VLOOKUP($B529,costs!$A$2:$J$2968,E$2,FALSE),0)</f>
        <v>0</v>
      </c>
      <c r="F529" s="718">
        <f>IFERROR(VLOOKUP($B529,costs!$A$2:$J$2968,F$2,FALSE),0)</f>
        <v>0</v>
      </c>
      <c r="G529" s="718">
        <f>IFERROR(VLOOKUP($B529,costs!$A$2:$J$2968,G$2,FALSE),0)</f>
        <v>0</v>
      </c>
      <c r="H529" s="718">
        <f>IFERROR(VLOOKUP($B529,costs!$A$2:$J$2968,H$2,FALSE),0)</f>
        <v>0</v>
      </c>
      <c r="I529" s="718">
        <f>IFERROR(VLOOKUP($B529,costs!$A$2:$J$2968,I$2,FALSE),0)</f>
        <v>0</v>
      </c>
      <c r="J529" s="718">
        <f>IFERROR(VLOOKUP($B529,costs!$A$2:$J$2968,J$2,FALSE),0)</f>
        <v>0</v>
      </c>
      <c r="K529" s="718">
        <f>IFERROR(VLOOKUP($B529,costs!$A$2:$J$2968,K$2,FALSE),0)</f>
        <v>0</v>
      </c>
      <c r="L529" s="718">
        <f>IFERROR(VLOOKUP($B529,costs!$A$2:$J$2968,L$2,FALSE),0)</f>
        <v>0</v>
      </c>
      <c r="M529" s="719" t="s">
        <v>3277</v>
      </c>
    </row>
    <row r="530" spans="2:25" ht="20.149999999999999" customHeight="1" x14ac:dyDescent="0.35">
      <c r="B530" s="715" t="s">
        <v>3738</v>
      </c>
      <c r="C530" s="716" t="s">
        <v>3275</v>
      </c>
      <c r="D530" s="717" t="s">
        <v>3276</v>
      </c>
      <c r="E530" s="718">
        <f>IFERROR(VLOOKUP($B530,costs!$A$2:$J$2968,E$2,FALSE),0)</f>
        <v>0</v>
      </c>
      <c r="F530" s="718">
        <f>IFERROR(VLOOKUP($B530,costs!$A$2:$J$2968,F$2,FALSE),0)</f>
        <v>0</v>
      </c>
      <c r="G530" s="718">
        <f>IFERROR(VLOOKUP($B530,costs!$A$2:$J$2968,G$2,FALSE),0)</f>
        <v>0</v>
      </c>
      <c r="H530" s="718">
        <f>IFERROR(VLOOKUP($B530,costs!$A$2:$J$2968,H$2,FALSE),0)</f>
        <v>0</v>
      </c>
      <c r="I530" s="718">
        <f>IFERROR(VLOOKUP($B530,costs!$A$2:$J$2968,I$2,FALSE),0)</f>
        <v>0</v>
      </c>
      <c r="J530" s="718">
        <f>IFERROR(VLOOKUP($B530,costs!$A$2:$J$2968,J$2,FALSE),0)</f>
        <v>0</v>
      </c>
      <c r="K530" s="718">
        <f>IFERROR(VLOOKUP($B530,costs!$A$2:$J$2968,K$2,FALSE),0)</f>
        <v>0</v>
      </c>
      <c r="L530" s="718">
        <f>IFERROR(VLOOKUP($B530,costs!$A$2:$J$2968,L$2,FALSE),0)</f>
        <v>0</v>
      </c>
      <c r="M530" s="719" t="s">
        <v>3277</v>
      </c>
    </row>
    <row r="531" spans="2:25" ht="20.149999999999999" customHeight="1" x14ac:dyDescent="0.35">
      <c r="B531" s="715" t="s">
        <v>3739</v>
      </c>
      <c r="C531" s="716" t="s">
        <v>3275</v>
      </c>
      <c r="D531" s="717" t="s">
        <v>3276</v>
      </c>
      <c r="E531" s="718">
        <f>IFERROR(VLOOKUP($B531,costs!$A$2:$J$2968,E$2,FALSE),0)</f>
        <v>0</v>
      </c>
      <c r="F531" s="718">
        <f>IFERROR(VLOOKUP($B531,costs!$A$2:$J$2968,F$2,FALSE),0)</f>
        <v>0</v>
      </c>
      <c r="G531" s="718">
        <f>IFERROR(VLOOKUP($B531,costs!$A$2:$J$2968,G$2,FALSE),0)</f>
        <v>0</v>
      </c>
      <c r="H531" s="718">
        <f>IFERROR(VLOOKUP($B531,costs!$A$2:$J$2968,H$2,FALSE),0)</f>
        <v>0</v>
      </c>
      <c r="I531" s="718">
        <f>IFERROR(VLOOKUP($B531,costs!$A$2:$J$2968,I$2,FALSE),0)</f>
        <v>0</v>
      </c>
      <c r="J531" s="718">
        <f>IFERROR(VLOOKUP($B531,costs!$A$2:$J$2968,J$2,FALSE),0)</f>
        <v>0</v>
      </c>
      <c r="K531" s="718">
        <f>IFERROR(VLOOKUP($B531,costs!$A$2:$J$2968,K$2,FALSE),0)</f>
        <v>0</v>
      </c>
      <c r="L531" s="718">
        <f>IFERROR(VLOOKUP($B531,costs!$A$2:$J$2968,L$2,FALSE),0)</f>
        <v>0</v>
      </c>
      <c r="M531" s="719" t="s">
        <v>3277</v>
      </c>
    </row>
    <row r="532" spans="2:25" ht="20.149999999999999" customHeight="1" x14ac:dyDescent="0.35">
      <c r="B532" s="715" t="s">
        <v>3740</v>
      </c>
      <c r="C532" s="716" t="s">
        <v>3275</v>
      </c>
      <c r="D532" s="717" t="s">
        <v>3276</v>
      </c>
      <c r="E532" s="718">
        <f>IFERROR(VLOOKUP($B532,costs!$A$2:$J$2968,E$2,FALSE),0)</f>
        <v>0</v>
      </c>
      <c r="F532" s="718">
        <f>IFERROR(VLOOKUP($B532,costs!$A$2:$J$2968,F$2,FALSE),0)</f>
        <v>0</v>
      </c>
      <c r="G532" s="718">
        <f>IFERROR(VLOOKUP($B532,costs!$A$2:$J$2968,G$2,FALSE),0)</f>
        <v>0</v>
      </c>
      <c r="H532" s="718">
        <f>IFERROR(VLOOKUP($B532,costs!$A$2:$J$2968,H$2,FALSE),0)</f>
        <v>0</v>
      </c>
      <c r="I532" s="718">
        <f>IFERROR(VLOOKUP($B532,costs!$A$2:$J$2968,I$2,FALSE),0)</f>
        <v>0</v>
      </c>
      <c r="J532" s="718">
        <f>IFERROR(VLOOKUP($B532,costs!$A$2:$J$2968,J$2,FALSE),0)</f>
        <v>0</v>
      </c>
      <c r="K532" s="718">
        <f>IFERROR(VLOOKUP($B532,costs!$A$2:$J$2968,K$2,FALSE),0)</f>
        <v>0</v>
      </c>
      <c r="L532" s="718">
        <f>IFERROR(VLOOKUP($B532,costs!$A$2:$J$2968,L$2,FALSE),0)</f>
        <v>0</v>
      </c>
      <c r="M532" s="719" t="s">
        <v>3277</v>
      </c>
    </row>
    <row r="533" spans="2:25" ht="20.149999999999999" customHeight="1" x14ac:dyDescent="0.35">
      <c r="B533" s="715" t="s">
        <v>3741</v>
      </c>
      <c r="C533" s="716" t="s">
        <v>3275</v>
      </c>
      <c r="D533" s="717" t="s">
        <v>3276</v>
      </c>
      <c r="E533" s="718">
        <f>IFERROR(VLOOKUP($B533,costs!$A$2:$J$2968,E$2,FALSE),0)</f>
        <v>0</v>
      </c>
      <c r="F533" s="718">
        <f>IFERROR(VLOOKUP($B533,costs!$A$2:$J$2968,F$2,FALSE),0)</f>
        <v>0</v>
      </c>
      <c r="G533" s="718">
        <f>IFERROR(VLOOKUP($B533,costs!$A$2:$J$2968,G$2,FALSE),0)</f>
        <v>0</v>
      </c>
      <c r="H533" s="718">
        <f>IFERROR(VLOOKUP($B533,costs!$A$2:$J$2968,H$2,FALSE),0)</f>
        <v>0</v>
      </c>
      <c r="I533" s="718">
        <f>IFERROR(VLOOKUP($B533,costs!$A$2:$J$2968,I$2,FALSE),0)</f>
        <v>0</v>
      </c>
      <c r="J533" s="718">
        <f>IFERROR(VLOOKUP($B533,costs!$A$2:$J$2968,J$2,FALSE),0)</f>
        <v>0</v>
      </c>
      <c r="K533" s="718">
        <f>IFERROR(VLOOKUP($B533,costs!$A$2:$J$2968,K$2,FALSE),0)</f>
        <v>0</v>
      </c>
      <c r="L533" s="718">
        <f>IFERROR(VLOOKUP($B533,costs!$A$2:$J$2968,L$2,FALSE),0)</f>
        <v>0</v>
      </c>
      <c r="M533" s="719" t="s">
        <v>3277</v>
      </c>
    </row>
    <row r="534" spans="2:25" ht="20.149999999999999" customHeight="1" x14ac:dyDescent="0.35">
      <c r="B534" s="715" t="s">
        <v>3742</v>
      </c>
      <c r="C534" s="716" t="s">
        <v>3275</v>
      </c>
      <c r="D534" s="717" t="s">
        <v>3276</v>
      </c>
      <c r="E534" s="718">
        <f>IFERROR(VLOOKUP($B534,costs!$A$2:$J$2968,E$2,FALSE),0)</f>
        <v>0</v>
      </c>
      <c r="F534" s="718">
        <f>IFERROR(VLOOKUP($B534,costs!$A$2:$J$2968,F$2,FALSE),0)</f>
        <v>0</v>
      </c>
      <c r="G534" s="718">
        <f>IFERROR(VLOOKUP($B534,costs!$A$2:$J$2968,G$2,FALSE),0)</f>
        <v>0</v>
      </c>
      <c r="H534" s="718">
        <f>IFERROR(VLOOKUP($B534,costs!$A$2:$J$2968,H$2,FALSE),0)</f>
        <v>0</v>
      </c>
      <c r="I534" s="718">
        <f>IFERROR(VLOOKUP($B534,costs!$A$2:$J$2968,I$2,FALSE),0)</f>
        <v>0</v>
      </c>
      <c r="J534" s="718">
        <f>IFERROR(VLOOKUP($B534,costs!$A$2:$J$2968,J$2,FALSE),0)</f>
        <v>0</v>
      </c>
      <c r="K534" s="718">
        <f>IFERROR(VLOOKUP($B534,costs!$A$2:$J$2968,K$2,FALSE),0)</f>
        <v>0</v>
      </c>
      <c r="L534" s="718">
        <f>IFERROR(VLOOKUP($B534,costs!$A$2:$J$2968,L$2,FALSE),0)</f>
        <v>0</v>
      </c>
      <c r="M534" s="719" t="s">
        <v>3277</v>
      </c>
    </row>
    <row r="535" spans="2:25" ht="20.149999999999999" customHeight="1" x14ac:dyDescent="0.35">
      <c r="B535" s="715" t="s">
        <v>3743</v>
      </c>
      <c r="C535" s="716" t="s">
        <v>3275</v>
      </c>
      <c r="D535" s="717" t="s">
        <v>3276</v>
      </c>
      <c r="E535" s="718">
        <f>IFERROR(VLOOKUP($B535,costs!$A$2:$J$2968,E$2,FALSE),0)</f>
        <v>0</v>
      </c>
      <c r="F535" s="718">
        <f>IFERROR(VLOOKUP($B535,costs!$A$2:$J$2968,F$2,FALSE),0)</f>
        <v>0</v>
      </c>
      <c r="G535" s="718">
        <f>IFERROR(VLOOKUP($B535,costs!$A$2:$J$2968,G$2,FALSE),0)</f>
        <v>0</v>
      </c>
      <c r="H535" s="718">
        <f>IFERROR(VLOOKUP($B535,costs!$A$2:$J$2968,H$2,FALSE),0)</f>
        <v>0</v>
      </c>
      <c r="I535" s="718">
        <f>IFERROR(VLOOKUP($B535,costs!$A$2:$J$2968,I$2,FALSE),0)</f>
        <v>0</v>
      </c>
      <c r="J535" s="718">
        <f>IFERROR(VLOOKUP($B535,costs!$A$2:$J$2968,J$2,FALSE),0)</f>
        <v>0</v>
      </c>
      <c r="K535" s="718">
        <f>IFERROR(VLOOKUP($B535,costs!$A$2:$J$2968,K$2,FALSE),0)</f>
        <v>0</v>
      </c>
      <c r="L535" s="718">
        <f>IFERROR(VLOOKUP($B535,costs!$A$2:$J$2968,L$2,FALSE),0)</f>
        <v>0</v>
      </c>
      <c r="M535" s="719" t="s">
        <v>3277</v>
      </c>
    </row>
    <row r="536" spans="2:25" ht="20.149999999999999" customHeight="1" x14ac:dyDescent="0.35">
      <c r="B536" s="717" t="s">
        <v>3744</v>
      </c>
      <c r="C536" s="716" t="s">
        <v>3275</v>
      </c>
      <c r="D536" s="717" t="s">
        <v>3276</v>
      </c>
      <c r="E536" s="718">
        <f>IFERROR(VLOOKUP($B536,costs!$A$2:$J$2968,E$2,FALSE),0)</f>
        <v>0</v>
      </c>
      <c r="F536" s="718">
        <f>IFERROR(VLOOKUP($B536,costs!$A$2:$J$2968,F$2,FALSE),0)</f>
        <v>0</v>
      </c>
      <c r="G536" s="718">
        <f>IFERROR(VLOOKUP($B536,costs!$A$2:$J$2968,G$2,FALSE),0)</f>
        <v>0</v>
      </c>
      <c r="H536" s="718">
        <f>IFERROR(VLOOKUP($B536,costs!$A$2:$J$2968,H$2,FALSE),0)</f>
        <v>0</v>
      </c>
      <c r="I536" s="718">
        <f>IFERROR(VLOOKUP($B536,costs!$A$2:$J$2968,I$2,FALSE),0)</f>
        <v>0</v>
      </c>
      <c r="J536" s="718">
        <f>IFERROR(VLOOKUP($B536,costs!$A$2:$J$2968,J$2,FALSE),0)</f>
        <v>0</v>
      </c>
      <c r="K536" s="718">
        <f>IFERROR(VLOOKUP($B536,costs!$A$2:$J$2968,K$2,FALSE),0)</f>
        <v>0</v>
      </c>
      <c r="L536" s="718">
        <f>IFERROR(VLOOKUP($B536,costs!$A$2:$J$2968,L$2,FALSE),0)</f>
        <v>0</v>
      </c>
      <c r="M536" s="719" t="s">
        <v>3277</v>
      </c>
    </row>
    <row r="537" spans="2:25" ht="20.149999999999999" customHeight="1" x14ac:dyDescent="0.35">
      <c r="B537" s="717" t="s">
        <v>3745</v>
      </c>
      <c r="C537" s="716" t="s">
        <v>3275</v>
      </c>
      <c r="D537" s="717" t="s">
        <v>3276</v>
      </c>
      <c r="E537" s="718">
        <f>IFERROR(VLOOKUP($B537,costs!$A$2:$J$2968,E$2,FALSE),0)</f>
        <v>0</v>
      </c>
      <c r="F537" s="718">
        <f>IFERROR(VLOOKUP($B537,costs!$A$2:$J$2968,F$2,FALSE),0)</f>
        <v>0</v>
      </c>
      <c r="G537" s="718">
        <f>IFERROR(VLOOKUP($B537,costs!$A$2:$J$2968,G$2,FALSE),0)</f>
        <v>0</v>
      </c>
      <c r="H537" s="718">
        <f>IFERROR(VLOOKUP($B537,costs!$A$2:$J$2968,H$2,FALSE),0)</f>
        <v>0</v>
      </c>
      <c r="I537" s="718">
        <f>IFERROR(VLOOKUP($B537,costs!$A$2:$J$2968,I$2,FALSE),0)</f>
        <v>0</v>
      </c>
      <c r="J537" s="718">
        <f>IFERROR(VLOOKUP($B537,costs!$A$2:$J$2968,J$2,FALSE),0)</f>
        <v>0</v>
      </c>
      <c r="K537" s="718">
        <f>IFERROR(VLOOKUP($B537,costs!$A$2:$J$2968,K$2,FALSE),0)</f>
        <v>0</v>
      </c>
      <c r="L537" s="718">
        <f>IFERROR(VLOOKUP($B537,costs!$A$2:$J$2968,L$2,FALSE),0)</f>
        <v>0</v>
      </c>
      <c r="M537" s="719" t="s">
        <v>3277</v>
      </c>
    </row>
    <row r="538" spans="2:25" ht="20.149999999999999" customHeight="1" x14ac:dyDescent="0.35">
      <c r="B538" s="717" t="s">
        <v>3746</v>
      </c>
      <c r="C538" s="716" t="s">
        <v>3275</v>
      </c>
      <c r="D538" s="717" t="s">
        <v>3276</v>
      </c>
      <c r="E538" s="718">
        <f>IFERROR(VLOOKUP($B538,costs!$A$2:$J$2968,E$2,FALSE),0)</f>
        <v>0</v>
      </c>
      <c r="F538" s="718">
        <f>IFERROR(VLOOKUP($B538,costs!$A$2:$J$2968,F$2,FALSE),0)</f>
        <v>0</v>
      </c>
      <c r="G538" s="718">
        <f>IFERROR(VLOOKUP($B538,costs!$A$2:$J$2968,G$2,FALSE),0)</f>
        <v>0</v>
      </c>
      <c r="H538" s="718">
        <f>IFERROR(VLOOKUP($B538,costs!$A$2:$J$2968,H$2,FALSE),0)</f>
        <v>0</v>
      </c>
      <c r="I538" s="718">
        <f>IFERROR(VLOOKUP($B538,costs!$A$2:$J$2968,I$2,FALSE),0)</f>
        <v>0</v>
      </c>
      <c r="J538" s="718">
        <f>IFERROR(VLOOKUP($B538,costs!$A$2:$J$2968,J$2,FALSE),0)</f>
        <v>0</v>
      </c>
      <c r="K538" s="718">
        <f>IFERROR(VLOOKUP($B538,costs!$A$2:$J$2968,K$2,FALSE),0)</f>
        <v>0</v>
      </c>
      <c r="L538" s="718">
        <f>IFERROR(VLOOKUP($B538,costs!$A$2:$J$2968,L$2,FALSE),0)</f>
        <v>0</v>
      </c>
      <c r="M538" s="719" t="s">
        <v>3277</v>
      </c>
    </row>
    <row r="539" spans="2:25" ht="20.149999999999999" customHeight="1" x14ac:dyDescent="0.35">
      <c r="B539" s="721" t="s">
        <v>3690</v>
      </c>
      <c r="C539" s="722" t="s">
        <v>3691</v>
      </c>
      <c r="D539" s="723" t="s">
        <v>3692</v>
      </c>
      <c r="E539" s="724">
        <f t="shared" ref="E539:L539" si="85">SUM(E521:E538)</f>
        <v>0</v>
      </c>
      <c r="F539" s="724">
        <f t="shared" si="85"/>
        <v>0</v>
      </c>
      <c r="G539" s="724">
        <f t="shared" si="85"/>
        <v>0</v>
      </c>
      <c r="H539" s="724">
        <f t="shared" si="85"/>
        <v>0</v>
      </c>
      <c r="I539" s="724">
        <f t="shared" si="85"/>
        <v>0</v>
      </c>
      <c r="J539" s="724">
        <f t="shared" si="85"/>
        <v>0</v>
      </c>
      <c r="K539" s="724">
        <f t="shared" si="85"/>
        <v>0</v>
      </c>
      <c r="L539" s="724">
        <f t="shared" si="85"/>
        <v>0</v>
      </c>
      <c r="M539" s="725" t="s">
        <v>3277</v>
      </c>
    </row>
    <row r="540" spans="2:25" ht="20.149999999999999" customHeight="1" x14ac:dyDescent="0.35">
      <c r="B540" s="726" t="s">
        <v>3747</v>
      </c>
      <c r="C540" s="727" t="s">
        <v>3691</v>
      </c>
      <c r="D540" s="728" t="s">
        <v>3748</v>
      </c>
      <c r="E540" s="729">
        <f>SUM(E482+E501+E520+E539)</f>
        <v>0</v>
      </c>
      <c r="F540" s="729">
        <f t="shared" ref="F540:L540" si="86">SUM(F482+F501+F520+F539)</f>
        <v>0</v>
      </c>
      <c r="G540" s="729">
        <f t="shared" si="86"/>
        <v>0</v>
      </c>
      <c r="H540" s="729">
        <f t="shared" si="86"/>
        <v>0</v>
      </c>
      <c r="I540" s="729">
        <f t="shared" si="86"/>
        <v>0</v>
      </c>
      <c r="J540" s="729">
        <f t="shared" si="86"/>
        <v>0</v>
      </c>
      <c r="K540" s="729">
        <f t="shared" si="86"/>
        <v>0</v>
      </c>
      <c r="L540" s="729">
        <f t="shared" si="86"/>
        <v>0</v>
      </c>
      <c r="M540" s="730" t="s">
        <v>3277</v>
      </c>
    </row>
    <row r="541" spans="2:25" ht="20.149999999999999" customHeight="1" x14ac:dyDescent="0.35">
      <c r="B541"/>
      <c r="C541"/>
      <c r="D541"/>
      <c r="E541"/>
      <c r="F541"/>
      <c r="G541"/>
      <c r="H541"/>
      <c r="I541"/>
      <c r="J541"/>
      <c r="K541"/>
      <c r="L541"/>
      <c r="M541"/>
      <c r="N541"/>
    </row>
    <row r="542" spans="2:25" ht="20.149999999999999" customHeight="1" x14ac:dyDescent="0.35">
      <c r="B542" s="843" t="s">
        <v>3699</v>
      </c>
      <c r="C542" s="843"/>
      <c r="D542" s="843"/>
      <c r="E542" s="92" t="e">
        <f>VLOOKUP($B542,'CO2'!$A$2:$J$1909,E$2,FALSE)</f>
        <v>#N/A</v>
      </c>
      <c r="F542" s="92" t="e">
        <f>VLOOKUP($B542,'CO2'!$A$2:$J$1909,F$2,FALSE)</f>
        <v>#N/A</v>
      </c>
      <c r="G542" s="92" t="e">
        <f>VLOOKUP($B542,'CO2'!$A$2:$J$1909,G$2,FALSE)</f>
        <v>#N/A</v>
      </c>
      <c r="H542" s="92" t="e">
        <f>VLOOKUP($B542,'CO2'!$A$2:$J$1909,H$2,FALSE)</f>
        <v>#N/A</v>
      </c>
      <c r="I542" s="92" t="e">
        <f>VLOOKUP($B542,'CO2'!$A$2:$J$1909,I$2,FALSE)</f>
        <v>#N/A</v>
      </c>
      <c r="J542" s="92" t="e">
        <f>VLOOKUP($B542,'CO2'!$A$2:$J$1909,J$2,FALSE)</f>
        <v>#N/A</v>
      </c>
      <c r="K542" s="92" t="e">
        <f>VLOOKUP($B542,'CO2'!$A$2:$J$1909,K$2,FALSE)</f>
        <v>#N/A</v>
      </c>
      <c r="L542" s="92" t="e">
        <f>VLOOKUP($B542,'CO2'!$A$2:$J$1909,L$2,FALSE)</f>
        <v>#N/A</v>
      </c>
      <c r="M542" s="92"/>
      <c r="N542"/>
    </row>
    <row r="543" spans="2:25" ht="20.149999999999999" customHeight="1" x14ac:dyDescent="0.35">
      <c r="B543" s="843" t="s">
        <v>3708</v>
      </c>
      <c r="C543" s="843"/>
      <c r="D543" s="843"/>
      <c r="E543" s="92" t="e">
        <f>VLOOKUP($B543,'CO2'!$A$2:$J$1909,E$2,FALSE)</f>
        <v>#N/A</v>
      </c>
      <c r="F543" s="92" t="e">
        <f>VLOOKUP($B543,'CO2'!$A$2:$J$1909,F$2,FALSE)</f>
        <v>#N/A</v>
      </c>
      <c r="G543" s="92" t="e">
        <f>VLOOKUP($B543,'CO2'!$A$2:$J$1909,G$2,FALSE)</f>
        <v>#N/A</v>
      </c>
      <c r="H543" s="92" t="e">
        <f>VLOOKUP($B543,'CO2'!$A$2:$J$1909,H$2,FALSE)</f>
        <v>#N/A</v>
      </c>
      <c r="I543" s="92" t="e">
        <f>VLOOKUP($B543,'CO2'!$A$2:$J$1909,I$2,FALSE)</f>
        <v>#N/A</v>
      </c>
      <c r="J543" s="92" t="e">
        <f>VLOOKUP($B543,'CO2'!$A$2:$J$1909,J$2,FALSE)</f>
        <v>#N/A</v>
      </c>
      <c r="K543" s="92" t="e">
        <f>VLOOKUP($B543,'CO2'!$A$2:$J$1909,K$2,FALSE)</f>
        <v>#N/A</v>
      </c>
      <c r="L543" s="92" t="e">
        <f>VLOOKUP($B543,'CO2'!$A$2:$J$1909,L$2,FALSE)</f>
        <v>#N/A</v>
      </c>
      <c r="M543" s="843"/>
      <c r="N543"/>
      <c r="O543"/>
      <c r="P543"/>
      <c r="Q543"/>
      <c r="R543"/>
      <c r="S543"/>
      <c r="T543"/>
      <c r="U543"/>
      <c r="V543"/>
      <c r="W543"/>
      <c r="X543"/>
      <c r="Y543"/>
    </row>
    <row r="544" spans="2:25" ht="20.149999999999999" customHeight="1" x14ac:dyDescent="0.35">
      <c r="B544" s="843" t="s">
        <v>3693</v>
      </c>
      <c r="C544" s="843"/>
      <c r="D544" s="843"/>
      <c r="E544" s="92" t="e">
        <f>VLOOKUP($B544,'CO2'!$A$2:$J$1909,E$2,FALSE)</f>
        <v>#N/A</v>
      </c>
      <c r="F544" s="92" t="e">
        <f>VLOOKUP($B544,'CO2'!$A$2:$J$1909,F$2,FALSE)</f>
        <v>#N/A</v>
      </c>
      <c r="G544" s="92" t="e">
        <f>VLOOKUP($B544,'CO2'!$A$2:$J$1909,G$2,FALSE)</f>
        <v>#N/A</v>
      </c>
      <c r="H544" s="92" t="e">
        <f>VLOOKUP($B544,'CO2'!$A$2:$J$1909,H$2,FALSE)</f>
        <v>#N/A</v>
      </c>
      <c r="I544" s="92" t="e">
        <f>VLOOKUP($B544,'CO2'!$A$2:$J$1909,I$2,FALSE)</f>
        <v>#N/A</v>
      </c>
      <c r="J544" s="92" t="e">
        <f>VLOOKUP($B544,'CO2'!$A$2:$J$1909,J$2,FALSE)</f>
        <v>#N/A</v>
      </c>
      <c r="K544" s="92" t="e">
        <f>VLOOKUP($B544,'CO2'!$A$2:$J$1909,K$2,FALSE)</f>
        <v>#N/A</v>
      </c>
      <c r="L544" s="92" t="e">
        <f>VLOOKUP($B544,'CO2'!$A$2:$J$1909,L$2,FALSE)</f>
        <v>#N/A</v>
      </c>
      <c r="M544" s="843"/>
      <c r="N544"/>
      <c r="O544"/>
      <c r="P544"/>
      <c r="Q544"/>
      <c r="R544"/>
      <c r="S544"/>
      <c r="T544"/>
      <c r="U544"/>
      <c r="V544"/>
      <c r="W544"/>
      <c r="X544"/>
      <c r="Y544"/>
    </row>
    <row r="545" spans="2:25" ht="20.149999999999999" customHeight="1" x14ac:dyDescent="0.35">
      <c r="B545" s="843" t="s">
        <v>3702</v>
      </c>
      <c r="C545" s="843"/>
      <c r="D545" s="843"/>
      <c r="E545" s="92" t="e">
        <f>VLOOKUP($B545,'CO2'!$A$2:$J$1909,E$2,FALSE)</f>
        <v>#N/A</v>
      </c>
      <c r="F545" s="92" t="e">
        <f>VLOOKUP($B545,'CO2'!$A$2:$J$1909,F$2,FALSE)</f>
        <v>#N/A</v>
      </c>
      <c r="G545" s="92" t="e">
        <f>VLOOKUP($B545,'CO2'!$A$2:$J$1909,G$2,FALSE)</f>
        <v>#N/A</v>
      </c>
      <c r="H545" s="92" t="e">
        <f>VLOOKUP($B545,'CO2'!$A$2:$J$1909,H$2,FALSE)</f>
        <v>#N/A</v>
      </c>
      <c r="I545" s="92" t="e">
        <f>VLOOKUP($B545,'CO2'!$A$2:$J$1909,I$2,FALSE)</f>
        <v>#N/A</v>
      </c>
      <c r="J545" s="92" t="e">
        <f>VLOOKUP($B545,'CO2'!$A$2:$J$1909,J$2,FALSE)</f>
        <v>#N/A</v>
      </c>
      <c r="K545" s="92" t="e">
        <f>VLOOKUP($B545,'CO2'!$A$2:$J$1909,K$2,FALSE)</f>
        <v>#N/A</v>
      </c>
      <c r="L545" s="92" t="e">
        <f>VLOOKUP($B545,'CO2'!$A$2:$J$1909,L$2,FALSE)</f>
        <v>#N/A</v>
      </c>
      <c r="M545" s="843"/>
      <c r="N545"/>
      <c r="O545"/>
      <c r="P545"/>
      <c r="Q545"/>
      <c r="R545"/>
      <c r="S545"/>
      <c r="T545"/>
      <c r="U545"/>
      <c r="V545"/>
      <c r="W545"/>
      <c r="X545"/>
      <c r="Y545"/>
    </row>
    <row r="546" spans="2:25" ht="20.149999999999999" customHeight="1" x14ac:dyDescent="0.35">
      <c r="B546" s="843" t="s">
        <v>3694</v>
      </c>
      <c r="C546" s="843"/>
      <c r="D546" s="843"/>
      <c r="E546" s="92" t="e">
        <f>VLOOKUP($B546,'CO2'!$A$2:$J$1909,E$2,FALSE)</f>
        <v>#N/A</v>
      </c>
      <c r="F546" s="92" t="e">
        <f>VLOOKUP($B546,'CO2'!$A$2:$J$1909,F$2,FALSE)</f>
        <v>#N/A</v>
      </c>
      <c r="G546" s="92" t="e">
        <f>VLOOKUP($B546,'CO2'!$A$2:$J$1909,G$2,FALSE)</f>
        <v>#N/A</v>
      </c>
      <c r="H546" s="92" t="e">
        <f>VLOOKUP($B546,'CO2'!$A$2:$J$1909,H$2,FALSE)</f>
        <v>#N/A</v>
      </c>
      <c r="I546" s="92" t="e">
        <f>VLOOKUP($B546,'CO2'!$A$2:$J$1909,I$2,FALSE)</f>
        <v>#N/A</v>
      </c>
      <c r="J546" s="92" t="e">
        <f>VLOOKUP($B546,'CO2'!$A$2:$J$1909,J$2,FALSE)</f>
        <v>#N/A</v>
      </c>
      <c r="K546" s="92" t="e">
        <f>VLOOKUP($B546,'CO2'!$A$2:$J$1909,K$2,FALSE)</f>
        <v>#N/A</v>
      </c>
      <c r="L546" s="92" t="e">
        <f>VLOOKUP($B546,'CO2'!$A$2:$J$1909,L$2,FALSE)</f>
        <v>#N/A</v>
      </c>
      <c r="M546" s="843"/>
      <c r="N546"/>
      <c r="O546"/>
      <c r="P546"/>
      <c r="Q546"/>
      <c r="R546"/>
      <c r="S546"/>
      <c r="T546"/>
      <c r="U546"/>
      <c r="V546"/>
      <c r="W546"/>
      <c r="X546"/>
      <c r="Y546"/>
    </row>
    <row r="547" spans="2:25" ht="20.149999999999999" customHeight="1" x14ac:dyDescent="0.35">
      <c r="B547" s="843" t="s">
        <v>3703</v>
      </c>
      <c r="C547" s="843"/>
      <c r="D547" s="843"/>
      <c r="E547" s="92" t="e">
        <f>VLOOKUP($B547,'CO2'!$A$2:$J$1909,E$2,FALSE)</f>
        <v>#N/A</v>
      </c>
      <c r="F547" s="92" t="e">
        <f>VLOOKUP($B547,'CO2'!$A$2:$J$1909,F$2,FALSE)</f>
        <v>#N/A</v>
      </c>
      <c r="G547" s="92" t="e">
        <f>VLOOKUP($B547,'CO2'!$A$2:$J$1909,G$2,FALSE)</f>
        <v>#N/A</v>
      </c>
      <c r="H547" s="92" t="e">
        <f>VLOOKUP($B547,'CO2'!$A$2:$J$1909,H$2,FALSE)</f>
        <v>#N/A</v>
      </c>
      <c r="I547" s="92" t="e">
        <f>VLOOKUP($B547,'CO2'!$A$2:$J$1909,I$2,FALSE)</f>
        <v>#N/A</v>
      </c>
      <c r="J547" s="92" t="e">
        <f>VLOOKUP($B547,'CO2'!$A$2:$J$1909,J$2,FALSE)</f>
        <v>#N/A</v>
      </c>
      <c r="K547" s="92" t="e">
        <f>VLOOKUP($B547,'CO2'!$A$2:$J$1909,K$2,FALSE)</f>
        <v>#N/A</v>
      </c>
      <c r="L547" s="92" t="e">
        <f>VLOOKUP($B547,'CO2'!$A$2:$J$1909,L$2,FALSE)</f>
        <v>#N/A</v>
      </c>
      <c r="M547" s="843"/>
      <c r="N547"/>
      <c r="O547"/>
      <c r="P547"/>
      <c r="Q547"/>
      <c r="R547"/>
      <c r="S547"/>
      <c r="T547"/>
      <c r="U547"/>
      <c r="V547"/>
      <c r="W547"/>
      <c r="X547"/>
      <c r="Y547"/>
    </row>
    <row r="548" spans="2:25" ht="20.149999999999999" customHeight="1" x14ac:dyDescent="0.35">
      <c r="B548" s="843" t="s">
        <v>3695</v>
      </c>
      <c r="C548" s="843"/>
      <c r="D548" s="843"/>
      <c r="E548" s="92" t="e">
        <f>VLOOKUP($B548,'CO2'!$A$2:$J$1909,E$2,FALSE)</f>
        <v>#N/A</v>
      </c>
      <c r="F548" s="92" t="e">
        <f>VLOOKUP($B548,'CO2'!$A$2:$J$1909,F$2,FALSE)</f>
        <v>#N/A</v>
      </c>
      <c r="G548" s="92" t="e">
        <f>VLOOKUP($B548,'CO2'!$A$2:$J$1909,G$2,FALSE)</f>
        <v>#N/A</v>
      </c>
      <c r="H548" s="92" t="e">
        <f>VLOOKUP($B548,'CO2'!$A$2:$J$1909,H$2,FALSE)</f>
        <v>#N/A</v>
      </c>
      <c r="I548" s="92" t="e">
        <f>VLOOKUP($B548,'CO2'!$A$2:$J$1909,I$2,FALSE)</f>
        <v>#N/A</v>
      </c>
      <c r="J548" s="92" t="e">
        <f>VLOOKUP($B548,'CO2'!$A$2:$J$1909,J$2,FALSE)</f>
        <v>#N/A</v>
      </c>
      <c r="K548" s="92" t="e">
        <f>VLOOKUP($B548,'CO2'!$A$2:$J$1909,K$2,FALSE)</f>
        <v>#N/A</v>
      </c>
      <c r="L548" s="92" t="e">
        <f>VLOOKUP($B548,'CO2'!$A$2:$J$1909,L$2,FALSE)</f>
        <v>#N/A</v>
      </c>
      <c r="M548" s="843"/>
      <c r="N548"/>
      <c r="O548"/>
      <c r="P548"/>
      <c r="Q548"/>
      <c r="R548"/>
      <c r="S548"/>
      <c r="T548"/>
      <c r="U548"/>
      <c r="V548"/>
      <c r="W548"/>
      <c r="X548"/>
      <c r="Y548"/>
    </row>
    <row r="549" spans="2:25" ht="20.149999999999999" customHeight="1" x14ac:dyDescent="0.35">
      <c r="B549" s="843" t="s">
        <v>3704</v>
      </c>
      <c r="C549" s="843"/>
      <c r="D549" s="843"/>
      <c r="E549" s="92" t="e">
        <f>VLOOKUP($B549,'CO2'!$A$2:$J$1909,E$2,FALSE)</f>
        <v>#N/A</v>
      </c>
      <c r="F549" s="92" t="e">
        <f>VLOOKUP($B549,'CO2'!$A$2:$J$1909,F$2,FALSE)</f>
        <v>#N/A</v>
      </c>
      <c r="G549" s="92" t="e">
        <f>VLOOKUP($B549,'CO2'!$A$2:$J$1909,G$2,FALSE)</f>
        <v>#N/A</v>
      </c>
      <c r="H549" s="92" t="e">
        <f>VLOOKUP($B549,'CO2'!$A$2:$J$1909,H$2,FALSE)</f>
        <v>#N/A</v>
      </c>
      <c r="I549" s="92" t="e">
        <f>VLOOKUP($B549,'CO2'!$A$2:$J$1909,I$2,FALSE)</f>
        <v>#N/A</v>
      </c>
      <c r="J549" s="92" t="e">
        <f>VLOOKUP($B549,'CO2'!$A$2:$J$1909,J$2,FALSE)</f>
        <v>#N/A</v>
      </c>
      <c r="K549" s="92" t="e">
        <f>VLOOKUP($B549,'CO2'!$A$2:$J$1909,K$2,FALSE)</f>
        <v>#N/A</v>
      </c>
      <c r="L549" s="92" t="e">
        <f>VLOOKUP($B549,'CO2'!$A$2:$J$1909,L$2,FALSE)</f>
        <v>#N/A</v>
      </c>
      <c r="M549" s="843"/>
      <c r="N549"/>
      <c r="O549"/>
      <c r="P549"/>
      <c r="Q549"/>
      <c r="R549"/>
      <c r="S549"/>
      <c r="T549"/>
      <c r="U549"/>
      <c r="V549"/>
      <c r="W549"/>
      <c r="X549"/>
      <c r="Y549"/>
    </row>
    <row r="550" spans="2:25" ht="20.149999999999999" customHeight="1" x14ac:dyDescent="0.35">
      <c r="B550" s="843" t="s">
        <v>3700</v>
      </c>
      <c r="C550" s="843"/>
      <c r="D550" s="843"/>
      <c r="E550" s="92" t="e">
        <f>VLOOKUP($B550,'CO2'!$A$2:$J$1909,E$2,FALSE)</f>
        <v>#N/A</v>
      </c>
      <c r="F550" s="92" t="e">
        <f>VLOOKUP($B550,'CO2'!$A$2:$J$1909,F$2,FALSE)</f>
        <v>#N/A</v>
      </c>
      <c r="G550" s="92" t="e">
        <f>VLOOKUP($B550,'CO2'!$A$2:$J$1909,G$2,FALSE)</f>
        <v>#N/A</v>
      </c>
      <c r="H550" s="92" t="e">
        <f>VLOOKUP($B550,'CO2'!$A$2:$J$1909,H$2,FALSE)</f>
        <v>#N/A</v>
      </c>
      <c r="I550" s="92" t="e">
        <f>VLOOKUP($B550,'CO2'!$A$2:$J$1909,I$2,FALSE)</f>
        <v>#N/A</v>
      </c>
      <c r="J550" s="92" t="e">
        <f>VLOOKUP($B550,'CO2'!$A$2:$J$1909,J$2,FALSE)</f>
        <v>#N/A</v>
      </c>
      <c r="K550" s="92" t="e">
        <f>VLOOKUP($B550,'CO2'!$A$2:$J$1909,K$2,FALSE)</f>
        <v>#N/A</v>
      </c>
      <c r="L550" s="92" t="e">
        <f>VLOOKUP($B550,'CO2'!$A$2:$J$1909,L$2,FALSE)</f>
        <v>#N/A</v>
      </c>
      <c r="M550" s="843"/>
      <c r="N550"/>
      <c r="O550"/>
      <c r="P550"/>
      <c r="Q550"/>
      <c r="R550"/>
      <c r="S550"/>
      <c r="T550"/>
      <c r="U550"/>
      <c r="V550"/>
      <c r="W550"/>
      <c r="X550"/>
      <c r="Y550"/>
    </row>
    <row r="551" spans="2:25" ht="20.149999999999999" customHeight="1" x14ac:dyDescent="0.35">
      <c r="B551" s="843" t="s">
        <v>3709</v>
      </c>
      <c r="C551" s="843"/>
      <c r="D551" s="843"/>
      <c r="E551" s="92" t="e">
        <f>VLOOKUP($B551,'CO2'!$A$2:$J$1909,E$2,FALSE)</f>
        <v>#N/A</v>
      </c>
      <c r="F551" s="92" t="e">
        <f>VLOOKUP($B551,'CO2'!$A$2:$J$1909,F$2,FALSE)</f>
        <v>#N/A</v>
      </c>
      <c r="G551" s="92" t="e">
        <f>VLOOKUP($B551,'CO2'!$A$2:$J$1909,G$2,FALSE)</f>
        <v>#N/A</v>
      </c>
      <c r="H551" s="92" t="e">
        <f>VLOOKUP($B551,'CO2'!$A$2:$J$1909,H$2,FALSE)</f>
        <v>#N/A</v>
      </c>
      <c r="I551" s="92" t="e">
        <f>VLOOKUP($B551,'CO2'!$A$2:$J$1909,I$2,FALSE)</f>
        <v>#N/A</v>
      </c>
      <c r="J551" s="92" t="e">
        <f>VLOOKUP($B551,'CO2'!$A$2:$J$1909,J$2,FALSE)</f>
        <v>#N/A</v>
      </c>
      <c r="K551" s="92" t="e">
        <f>VLOOKUP($B551,'CO2'!$A$2:$J$1909,K$2,FALSE)</f>
        <v>#N/A</v>
      </c>
      <c r="L551" s="92" t="e">
        <f>VLOOKUP($B551,'CO2'!$A$2:$J$1909,L$2,FALSE)</f>
        <v>#N/A</v>
      </c>
      <c r="M551" s="843"/>
      <c r="N551"/>
      <c r="O551"/>
      <c r="P551"/>
      <c r="Q551"/>
      <c r="R551"/>
      <c r="S551"/>
      <c r="T551"/>
      <c r="U551"/>
      <c r="V551"/>
      <c r="W551"/>
      <c r="X551"/>
      <c r="Y551"/>
    </row>
    <row r="552" spans="2:25" ht="20.149999999999999" customHeight="1" x14ac:dyDescent="0.35">
      <c r="B552" s="843" t="s">
        <v>3696</v>
      </c>
      <c r="C552" s="843"/>
      <c r="D552" s="843"/>
      <c r="E552" s="92" t="e">
        <f>VLOOKUP($B552,'CO2'!$A$2:$J$1909,E$2,FALSE)</f>
        <v>#N/A</v>
      </c>
      <c r="F552" s="92" t="e">
        <f>VLOOKUP($B552,'CO2'!$A$2:$J$1909,F$2,FALSE)</f>
        <v>#N/A</v>
      </c>
      <c r="G552" s="92" t="e">
        <f>VLOOKUP($B552,'CO2'!$A$2:$J$1909,G$2,FALSE)</f>
        <v>#N/A</v>
      </c>
      <c r="H552" s="92" t="e">
        <f>VLOOKUP($B552,'CO2'!$A$2:$J$1909,H$2,FALSE)</f>
        <v>#N/A</v>
      </c>
      <c r="I552" s="92" t="e">
        <f>VLOOKUP($B552,'CO2'!$A$2:$J$1909,I$2,FALSE)</f>
        <v>#N/A</v>
      </c>
      <c r="J552" s="92" t="e">
        <f>VLOOKUP($B552,'CO2'!$A$2:$J$1909,J$2,FALSE)</f>
        <v>#N/A</v>
      </c>
      <c r="K552" s="92" t="e">
        <f>VLOOKUP($B552,'CO2'!$A$2:$J$1909,K$2,FALSE)</f>
        <v>#N/A</v>
      </c>
      <c r="L552" s="92" t="e">
        <f>VLOOKUP($B552,'CO2'!$A$2:$J$1909,L$2,FALSE)</f>
        <v>#N/A</v>
      </c>
      <c r="M552" s="843"/>
      <c r="N552"/>
      <c r="O552"/>
      <c r="P552"/>
      <c r="Q552"/>
      <c r="R552"/>
      <c r="S552"/>
      <c r="T552"/>
      <c r="U552"/>
      <c r="V552"/>
      <c r="W552"/>
      <c r="X552"/>
      <c r="Y552"/>
    </row>
    <row r="553" spans="2:25" ht="20.149999999999999" customHeight="1" x14ac:dyDescent="0.35">
      <c r="B553" s="843" t="s">
        <v>3705</v>
      </c>
      <c r="C553" s="843"/>
      <c r="D553" s="843"/>
      <c r="E553" s="92" t="e">
        <f>VLOOKUP($B553,'CO2'!$A$2:$J$1909,E$2,FALSE)</f>
        <v>#N/A</v>
      </c>
      <c r="F553" s="92" t="e">
        <f>VLOOKUP($B553,'CO2'!$A$2:$J$1909,F$2,FALSE)</f>
        <v>#N/A</v>
      </c>
      <c r="G553" s="92" t="e">
        <f>VLOOKUP($B553,'CO2'!$A$2:$J$1909,G$2,FALSE)</f>
        <v>#N/A</v>
      </c>
      <c r="H553" s="92" t="e">
        <f>VLOOKUP($B553,'CO2'!$A$2:$J$1909,H$2,FALSE)</f>
        <v>#N/A</v>
      </c>
      <c r="I553" s="92" t="e">
        <f>VLOOKUP($B553,'CO2'!$A$2:$J$1909,I$2,FALSE)</f>
        <v>#N/A</v>
      </c>
      <c r="J553" s="92" t="e">
        <f>VLOOKUP($B553,'CO2'!$A$2:$J$1909,J$2,FALSE)</f>
        <v>#N/A</v>
      </c>
      <c r="K553" s="92" t="e">
        <f>VLOOKUP($B553,'CO2'!$A$2:$J$1909,K$2,FALSE)</f>
        <v>#N/A</v>
      </c>
      <c r="L553" s="92" t="e">
        <f>VLOOKUP($B553,'CO2'!$A$2:$J$1909,L$2,FALSE)</f>
        <v>#N/A</v>
      </c>
      <c r="M553" s="843"/>
      <c r="N553"/>
      <c r="O553"/>
      <c r="P553"/>
      <c r="Q553"/>
      <c r="R553"/>
      <c r="S553"/>
      <c r="T553"/>
      <c r="U553"/>
      <c r="V553"/>
      <c r="W553"/>
      <c r="X553"/>
      <c r="Y553"/>
    </row>
    <row r="554" spans="2:25" ht="20.149999999999999" customHeight="1" x14ac:dyDescent="0.35">
      <c r="B554" s="843" t="s">
        <v>3697</v>
      </c>
      <c r="C554" s="843"/>
      <c r="D554" s="843"/>
      <c r="E554" s="92" t="e">
        <f>VLOOKUP($B554,'CO2'!$A$2:$J$1909,E$2,FALSE)</f>
        <v>#N/A</v>
      </c>
      <c r="F554" s="92" t="e">
        <f>VLOOKUP($B554,'CO2'!$A$2:$J$1909,F$2,FALSE)</f>
        <v>#N/A</v>
      </c>
      <c r="G554" s="92" t="e">
        <f>VLOOKUP($B554,'CO2'!$A$2:$J$1909,G$2,FALSE)</f>
        <v>#N/A</v>
      </c>
      <c r="H554" s="92" t="e">
        <f>VLOOKUP($B554,'CO2'!$A$2:$J$1909,H$2,FALSE)</f>
        <v>#N/A</v>
      </c>
      <c r="I554" s="92" t="e">
        <f>VLOOKUP($B554,'CO2'!$A$2:$J$1909,I$2,FALSE)</f>
        <v>#N/A</v>
      </c>
      <c r="J554" s="92" t="e">
        <f>VLOOKUP($B554,'CO2'!$A$2:$J$1909,J$2,FALSE)</f>
        <v>#N/A</v>
      </c>
      <c r="K554" s="92" t="e">
        <f>VLOOKUP($B554,'CO2'!$A$2:$J$1909,K$2,FALSE)</f>
        <v>#N/A</v>
      </c>
      <c r="L554" s="92" t="e">
        <f>VLOOKUP($B554,'CO2'!$A$2:$J$1909,L$2,FALSE)</f>
        <v>#N/A</v>
      </c>
      <c r="M554" s="843"/>
      <c r="N554"/>
      <c r="O554"/>
      <c r="P554"/>
      <c r="Q554"/>
      <c r="R554"/>
      <c r="S554"/>
      <c r="T554"/>
      <c r="U554"/>
      <c r="V554"/>
      <c r="W554"/>
      <c r="X554"/>
      <c r="Y554"/>
    </row>
    <row r="555" spans="2:25" ht="20.149999999999999" customHeight="1" x14ac:dyDescent="0.35">
      <c r="B555" s="843" t="s">
        <v>3706</v>
      </c>
      <c r="C555" s="843"/>
      <c r="D555" s="843"/>
      <c r="E555" s="92" t="e">
        <f>VLOOKUP($B555,'CO2'!$A$2:$J$1909,E$2,FALSE)</f>
        <v>#N/A</v>
      </c>
      <c r="F555" s="92" t="e">
        <f>VLOOKUP($B555,'CO2'!$A$2:$J$1909,F$2,FALSE)</f>
        <v>#N/A</v>
      </c>
      <c r="G555" s="92" t="e">
        <f>VLOOKUP($B555,'CO2'!$A$2:$J$1909,G$2,FALSE)</f>
        <v>#N/A</v>
      </c>
      <c r="H555" s="92" t="e">
        <f>VLOOKUP($B555,'CO2'!$A$2:$J$1909,H$2,FALSE)</f>
        <v>#N/A</v>
      </c>
      <c r="I555" s="92" t="e">
        <f>VLOOKUP($B555,'CO2'!$A$2:$J$1909,I$2,FALSE)</f>
        <v>#N/A</v>
      </c>
      <c r="J555" s="92" t="e">
        <f>VLOOKUP($B555,'CO2'!$A$2:$J$1909,J$2,FALSE)</f>
        <v>#N/A</v>
      </c>
      <c r="K555" s="92" t="e">
        <f>VLOOKUP($B555,'CO2'!$A$2:$J$1909,K$2,FALSE)</f>
        <v>#N/A</v>
      </c>
      <c r="L555" s="92" t="e">
        <f>VLOOKUP($B555,'CO2'!$A$2:$J$1909,L$2,FALSE)</f>
        <v>#N/A</v>
      </c>
      <c r="M555" s="843"/>
      <c r="N555"/>
      <c r="O555"/>
      <c r="P555"/>
      <c r="Q555"/>
      <c r="R555"/>
      <c r="S555"/>
      <c r="T555"/>
      <c r="U555"/>
      <c r="V555"/>
      <c r="W555"/>
      <c r="X555"/>
      <c r="Y555"/>
    </row>
    <row r="556" spans="2:25" ht="20.149999999999999" customHeight="1" x14ac:dyDescent="0.35">
      <c r="B556" s="843" t="s">
        <v>3698</v>
      </c>
      <c r="C556" s="843"/>
      <c r="D556" s="843"/>
      <c r="E556" s="92" t="e">
        <f>VLOOKUP($B556,'CO2'!$A$2:$J$1909,E$2,FALSE)</f>
        <v>#N/A</v>
      </c>
      <c r="F556" s="92" t="e">
        <f>VLOOKUP($B556,'CO2'!$A$2:$J$1909,F$2,FALSE)</f>
        <v>#N/A</v>
      </c>
      <c r="G556" s="92" t="e">
        <f>VLOOKUP($B556,'CO2'!$A$2:$J$1909,G$2,FALSE)</f>
        <v>#N/A</v>
      </c>
      <c r="H556" s="92" t="e">
        <f>VLOOKUP($B556,'CO2'!$A$2:$J$1909,H$2,FALSE)</f>
        <v>#N/A</v>
      </c>
      <c r="I556" s="92" t="e">
        <f>VLOOKUP($B556,'CO2'!$A$2:$J$1909,I$2,FALSE)</f>
        <v>#N/A</v>
      </c>
      <c r="J556" s="92" t="e">
        <f>VLOOKUP($B556,'CO2'!$A$2:$J$1909,J$2,FALSE)</f>
        <v>#N/A</v>
      </c>
      <c r="K556" s="92" t="e">
        <f>VLOOKUP($B556,'CO2'!$A$2:$J$1909,K$2,FALSE)</f>
        <v>#N/A</v>
      </c>
      <c r="L556" s="92" t="e">
        <f>VLOOKUP($B556,'CO2'!$A$2:$J$1909,L$2,FALSE)</f>
        <v>#N/A</v>
      </c>
      <c r="M556" s="843"/>
      <c r="N556"/>
      <c r="O556"/>
      <c r="P556"/>
      <c r="Q556"/>
      <c r="R556"/>
      <c r="S556"/>
      <c r="T556"/>
      <c r="U556"/>
      <c r="V556"/>
      <c r="W556"/>
      <c r="X556"/>
      <c r="Y556"/>
    </row>
    <row r="557" spans="2:25" ht="20.149999999999999" customHeight="1" x14ac:dyDescent="0.35">
      <c r="B557" s="843" t="s">
        <v>3707</v>
      </c>
      <c r="C557" s="843"/>
      <c r="D557" s="843"/>
      <c r="E557" s="92" t="e">
        <f>VLOOKUP($B557,'CO2'!$A$2:$J$1909,E$2,FALSE)</f>
        <v>#N/A</v>
      </c>
      <c r="F557" s="92" t="e">
        <f>VLOOKUP($B557,'CO2'!$A$2:$J$1909,F$2,FALSE)</f>
        <v>#N/A</v>
      </c>
      <c r="G557" s="92" t="e">
        <f>VLOOKUP($B557,'CO2'!$A$2:$J$1909,G$2,FALSE)</f>
        <v>#N/A</v>
      </c>
      <c r="H557" s="92" t="e">
        <f>VLOOKUP($B557,'CO2'!$A$2:$J$1909,H$2,FALSE)</f>
        <v>#N/A</v>
      </c>
      <c r="I557" s="92" t="e">
        <f>VLOOKUP($B557,'CO2'!$A$2:$J$1909,I$2,FALSE)</f>
        <v>#N/A</v>
      </c>
      <c r="J557" s="92" t="e">
        <f>VLOOKUP($B557,'CO2'!$A$2:$J$1909,J$2,FALSE)</f>
        <v>#N/A</v>
      </c>
      <c r="K557" s="92" t="e">
        <f>VLOOKUP($B557,'CO2'!$A$2:$J$1909,K$2,FALSE)</f>
        <v>#N/A</v>
      </c>
      <c r="L557" s="92" t="e">
        <f>VLOOKUP($B557,'CO2'!$A$2:$J$1909,L$2,FALSE)</f>
        <v>#N/A</v>
      </c>
      <c r="M557" s="843"/>
      <c r="O557"/>
      <c r="P557"/>
      <c r="Q557"/>
      <c r="R557"/>
      <c r="S557"/>
      <c r="T557"/>
      <c r="U557"/>
      <c r="V557"/>
      <c r="W557"/>
      <c r="X557"/>
      <c r="Y557"/>
    </row>
    <row r="558" spans="2:25" ht="20.149999999999999" customHeight="1" x14ac:dyDescent="0.35">
      <c r="B558" s="843" t="s">
        <v>3701</v>
      </c>
      <c r="C558" s="843"/>
      <c r="D558" s="843"/>
      <c r="E558" s="92" t="e">
        <f>VLOOKUP($B558,'CO2'!$A$2:$J$1909,E$2,FALSE)</f>
        <v>#N/A</v>
      </c>
      <c r="F558" s="92" t="e">
        <f>VLOOKUP($B558,'CO2'!$A$2:$J$1909,F$2,FALSE)</f>
        <v>#N/A</v>
      </c>
      <c r="G558" s="92" t="e">
        <f>VLOOKUP($B558,'CO2'!$A$2:$J$1909,G$2,FALSE)</f>
        <v>#N/A</v>
      </c>
      <c r="H558" s="92" t="e">
        <f>VLOOKUP($B558,'CO2'!$A$2:$J$1909,H$2,FALSE)</f>
        <v>#N/A</v>
      </c>
      <c r="I558" s="92" t="e">
        <f>VLOOKUP($B558,'CO2'!$A$2:$J$1909,I$2,FALSE)</f>
        <v>#N/A</v>
      </c>
      <c r="J558" s="92" t="e">
        <f>VLOOKUP($B558,'CO2'!$A$2:$J$1909,J$2,FALSE)</f>
        <v>#N/A</v>
      </c>
      <c r="K558" s="92" t="e">
        <f>VLOOKUP($B558,'CO2'!$A$2:$J$1909,K$2,FALSE)</f>
        <v>#N/A</v>
      </c>
      <c r="L558" s="92" t="e">
        <f>VLOOKUP($B558,'CO2'!$A$2:$J$1909,L$2,FALSE)</f>
        <v>#N/A</v>
      </c>
      <c r="M558" s="843"/>
      <c r="O558"/>
      <c r="P558"/>
      <c r="Q558"/>
      <c r="R558"/>
      <c r="S558"/>
      <c r="T558"/>
      <c r="U558"/>
      <c r="V558"/>
      <c r="W558"/>
      <c r="X558"/>
      <c r="Y558"/>
    </row>
    <row r="559" spans="2:25" ht="20.149999999999999" customHeight="1" x14ac:dyDescent="0.35">
      <c r="B559" s="843" t="s">
        <v>3710</v>
      </c>
      <c r="C559" s="843"/>
      <c r="D559" s="843"/>
      <c r="E559" s="92" t="e">
        <f>VLOOKUP($B559,'CO2'!$A$2:$J$1909,E$2,FALSE)</f>
        <v>#N/A</v>
      </c>
      <c r="F559" s="92" t="e">
        <f>VLOOKUP($B559,'CO2'!$A$2:$J$1909,F$2,FALSE)</f>
        <v>#N/A</v>
      </c>
      <c r="G559" s="92" t="e">
        <f>VLOOKUP($B559,'CO2'!$A$2:$J$1909,G$2,FALSE)</f>
        <v>#N/A</v>
      </c>
      <c r="H559" s="92" t="e">
        <f>VLOOKUP($B559,'CO2'!$A$2:$J$1909,H$2,FALSE)</f>
        <v>#N/A</v>
      </c>
      <c r="I559" s="92" t="e">
        <f>VLOOKUP($B559,'CO2'!$A$2:$J$1909,I$2,FALSE)</f>
        <v>#N/A</v>
      </c>
      <c r="J559" s="92" t="e">
        <f>VLOOKUP($B559,'CO2'!$A$2:$J$1909,J$2,FALSE)</f>
        <v>#N/A</v>
      </c>
      <c r="K559" s="92" t="e">
        <f>VLOOKUP($B559,'CO2'!$A$2:$J$1909,K$2,FALSE)</f>
        <v>#N/A</v>
      </c>
      <c r="L559" s="92" t="e">
        <f>VLOOKUP($B559,'CO2'!$A$2:$J$1909,L$2,FALSE)</f>
        <v>#N/A</v>
      </c>
      <c r="M559" s="843"/>
    </row>
    <row r="560" spans="2:25" ht="20.149999999999999" customHeight="1" x14ac:dyDescent="0.35">
      <c r="B560" s="843" t="s">
        <v>3717</v>
      </c>
      <c r="C560" s="843"/>
      <c r="D560" s="843"/>
      <c r="E560" s="92" t="e">
        <f>VLOOKUP($B560,'CO2'!$A$2:$J$1909,E$2,FALSE)</f>
        <v>#N/A</v>
      </c>
      <c r="F560" s="92" t="e">
        <f>VLOOKUP($B560,'CO2'!$A$2:$J$1909,F$2,FALSE)</f>
        <v>#N/A</v>
      </c>
      <c r="G560" s="92" t="e">
        <f>VLOOKUP($B560,'CO2'!$A$2:$J$1909,G$2,FALSE)</f>
        <v>#N/A</v>
      </c>
      <c r="H560" s="92" t="e">
        <f>VLOOKUP($B560,'CO2'!$A$2:$J$1909,H$2,FALSE)</f>
        <v>#N/A</v>
      </c>
      <c r="I560" s="92" t="e">
        <f>VLOOKUP($B560,'CO2'!$A$2:$J$1909,I$2,FALSE)</f>
        <v>#N/A</v>
      </c>
      <c r="J560" s="92" t="e">
        <f>VLOOKUP($B560,'CO2'!$A$2:$J$1909,J$2,FALSE)</f>
        <v>#N/A</v>
      </c>
      <c r="K560" s="92" t="e">
        <f>VLOOKUP($B560,'CO2'!$A$2:$J$1909,K$2,FALSE)</f>
        <v>#N/A</v>
      </c>
      <c r="L560" s="92" t="e">
        <f>VLOOKUP($B560,'CO2'!$A$2:$J$1909,L$2,FALSE)</f>
        <v>#N/A</v>
      </c>
      <c r="M560" s="843"/>
    </row>
    <row r="561" spans="2:13" ht="20.149999999999999" customHeight="1" x14ac:dyDescent="0.35">
      <c r="B561" s="843" t="s">
        <v>3726</v>
      </c>
      <c r="C561" s="843"/>
      <c r="D561" s="843"/>
      <c r="E561" s="92" t="e">
        <f>VLOOKUP($B561,'CO2'!$A$2:$J$1909,E$2,FALSE)</f>
        <v>#N/A</v>
      </c>
      <c r="F561" s="92" t="e">
        <f>VLOOKUP($B561,'CO2'!$A$2:$J$1909,F$2,FALSE)</f>
        <v>#N/A</v>
      </c>
      <c r="G561" s="92" t="e">
        <f>VLOOKUP($B561,'CO2'!$A$2:$J$1909,G$2,FALSE)</f>
        <v>#N/A</v>
      </c>
      <c r="H561" s="92" t="e">
        <f>VLOOKUP($B561,'CO2'!$A$2:$J$1909,H$2,FALSE)</f>
        <v>#N/A</v>
      </c>
      <c r="I561" s="92" t="e">
        <f>VLOOKUP($B561,'CO2'!$A$2:$J$1909,I$2,FALSE)</f>
        <v>#N/A</v>
      </c>
      <c r="J561" s="92" t="e">
        <f>VLOOKUP($B561,'CO2'!$A$2:$J$1909,J$2,FALSE)</f>
        <v>#N/A</v>
      </c>
      <c r="K561" s="92" t="e">
        <f>VLOOKUP($B561,'CO2'!$A$2:$J$1909,K$2,FALSE)</f>
        <v>#N/A</v>
      </c>
      <c r="L561" s="92" t="e">
        <f>VLOOKUP($B561,'CO2'!$A$2:$J$1909,L$2,FALSE)</f>
        <v>#N/A</v>
      </c>
      <c r="M561" s="843"/>
    </row>
    <row r="562" spans="2:13" ht="20.149999999999999" customHeight="1" x14ac:dyDescent="0.35">
      <c r="B562" s="843" t="s">
        <v>3711</v>
      </c>
      <c r="C562" s="843"/>
      <c r="D562" s="843"/>
      <c r="E562" s="92" t="e">
        <f>VLOOKUP($B562,'CO2'!$A$2:$J$1909,E$2,FALSE)</f>
        <v>#N/A</v>
      </c>
      <c r="F562" s="92" t="e">
        <f>VLOOKUP($B562,'CO2'!$A$2:$J$1909,F$2,FALSE)</f>
        <v>#N/A</v>
      </c>
      <c r="G562" s="92" t="e">
        <f>VLOOKUP($B562,'CO2'!$A$2:$J$1909,G$2,FALSE)</f>
        <v>#N/A</v>
      </c>
      <c r="H562" s="92" t="e">
        <f>VLOOKUP($B562,'CO2'!$A$2:$J$1909,H$2,FALSE)</f>
        <v>#N/A</v>
      </c>
      <c r="I562" s="92" t="e">
        <f>VLOOKUP($B562,'CO2'!$A$2:$J$1909,I$2,FALSE)</f>
        <v>#N/A</v>
      </c>
      <c r="J562" s="92" t="e">
        <f>VLOOKUP($B562,'CO2'!$A$2:$J$1909,J$2,FALSE)</f>
        <v>#N/A</v>
      </c>
      <c r="K562" s="92" t="e">
        <f>VLOOKUP($B562,'CO2'!$A$2:$J$1909,K$2,FALSE)</f>
        <v>#N/A</v>
      </c>
      <c r="L562" s="92" t="e">
        <f>VLOOKUP($B562,'CO2'!$A$2:$J$1909,L$2,FALSE)</f>
        <v>#N/A</v>
      </c>
      <c r="M562" s="843"/>
    </row>
    <row r="563" spans="2:13" ht="20.149999999999999" customHeight="1" x14ac:dyDescent="0.35">
      <c r="B563" s="843" t="s">
        <v>3720</v>
      </c>
      <c r="C563" s="843"/>
      <c r="D563" s="843"/>
      <c r="E563" s="92" t="e">
        <f>VLOOKUP($B563,'CO2'!$A$2:$J$1909,E$2,FALSE)</f>
        <v>#N/A</v>
      </c>
      <c r="F563" s="92" t="e">
        <f>VLOOKUP($B563,'CO2'!$A$2:$J$1909,F$2,FALSE)</f>
        <v>#N/A</v>
      </c>
      <c r="G563" s="92" t="e">
        <f>VLOOKUP($B563,'CO2'!$A$2:$J$1909,G$2,FALSE)</f>
        <v>#N/A</v>
      </c>
      <c r="H563" s="92" t="e">
        <f>VLOOKUP($B563,'CO2'!$A$2:$J$1909,H$2,FALSE)</f>
        <v>#N/A</v>
      </c>
      <c r="I563" s="92" t="e">
        <f>VLOOKUP($B563,'CO2'!$A$2:$J$1909,I$2,FALSE)</f>
        <v>#N/A</v>
      </c>
      <c r="J563" s="92" t="e">
        <f>VLOOKUP($B563,'CO2'!$A$2:$J$1909,J$2,FALSE)</f>
        <v>#N/A</v>
      </c>
      <c r="K563" s="92" t="e">
        <f>VLOOKUP($B563,'CO2'!$A$2:$J$1909,K$2,FALSE)</f>
        <v>#N/A</v>
      </c>
      <c r="L563" s="92" t="e">
        <f>VLOOKUP($B563,'CO2'!$A$2:$J$1909,L$2,FALSE)</f>
        <v>#N/A</v>
      </c>
      <c r="M563" s="843"/>
    </row>
    <row r="564" spans="2:13" ht="20.149999999999999" customHeight="1" x14ac:dyDescent="0.35">
      <c r="B564" s="843" t="s">
        <v>3712</v>
      </c>
      <c r="C564" s="843"/>
      <c r="D564" s="843"/>
      <c r="E564" s="92" t="e">
        <f>VLOOKUP($B564,'CO2'!$A$2:$J$1909,E$2,FALSE)</f>
        <v>#N/A</v>
      </c>
      <c r="F564" s="92" t="e">
        <f>VLOOKUP($B564,'CO2'!$A$2:$J$1909,F$2,FALSE)</f>
        <v>#N/A</v>
      </c>
      <c r="G564" s="92" t="e">
        <f>VLOOKUP($B564,'CO2'!$A$2:$J$1909,G$2,FALSE)</f>
        <v>#N/A</v>
      </c>
      <c r="H564" s="92" t="e">
        <f>VLOOKUP($B564,'CO2'!$A$2:$J$1909,H$2,FALSE)</f>
        <v>#N/A</v>
      </c>
      <c r="I564" s="92" t="e">
        <f>VLOOKUP($B564,'CO2'!$A$2:$J$1909,I$2,FALSE)</f>
        <v>#N/A</v>
      </c>
      <c r="J564" s="92" t="e">
        <f>VLOOKUP($B564,'CO2'!$A$2:$J$1909,J$2,FALSE)</f>
        <v>#N/A</v>
      </c>
      <c r="K564" s="92" t="e">
        <f>VLOOKUP($B564,'CO2'!$A$2:$J$1909,K$2,FALSE)</f>
        <v>#N/A</v>
      </c>
      <c r="L564" s="92" t="e">
        <f>VLOOKUP($B564,'CO2'!$A$2:$J$1909,L$2,FALSE)</f>
        <v>#N/A</v>
      </c>
      <c r="M564" s="843"/>
    </row>
    <row r="565" spans="2:13" ht="20.149999999999999" customHeight="1" x14ac:dyDescent="0.35">
      <c r="B565" s="843" t="s">
        <v>3721</v>
      </c>
      <c r="C565" s="843"/>
      <c r="D565" s="843"/>
      <c r="E565" s="92" t="e">
        <f>VLOOKUP($B565,'CO2'!$A$2:$J$1909,E$2,FALSE)</f>
        <v>#N/A</v>
      </c>
      <c r="F565" s="92" t="e">
        <f>VLOOKUP($B565,'CO2'!$A$2:$J$1909,F$2,FALSE)</f>
        <v>#N/A</v>
      </c>
      <c r="G565" s="92" t="e">
        <f>VLOOKUP($B565,'CO2'!$A$2:$J$1909,G$2,FALSE)</f>
        <v>#N/A</v>
      </c>
      <c r="H565" s="92" t="e">
        <f>VLOOKUP($B565,'CO2'!$A$2:$J$1909,H$2,FALSE)</f>
        <v>#N/A</v>
      </c>
      <c r="I565" s="92" t="e">
        <f>VLOOKUP($B565,'CO2'!$A$2:$J$1909,I$2,FALSE)</f>
        <v>#N/A</v>
      </c>
      <c r="J565" s="92" t="e">
        <f>VLOOKUP($B565,'CO2'!$A$2:$J$1909,J$2,FALSE)</f>
        <v>#N/A</v>
      </c>
      <c r="K565" s="92" t="e">
        <f>VLOOKUP($B565,'CO2'!$A$2:$J$1909,K$2,FALSE)</f>
        <v>#N/A</v>
      </c>
      <c r="L565" s="92" t="e">
        <f>VLOOKUP($B565,'CO2'!$A$2:$J$1909,L$2,FALSE)</f>
        <v>#N/A</v>
      </c>
      <c r="M565" s="843"/>
    </row>
    <row r="566" spans="2:13" ht="20.149999999999999" customHeight="1" x14ac:dyDescent="0.35">
      <c r="B566" s="843" t="s">
        <v>3713</v>
      </c>
      <c r="C566" s="843"/>
      <c r="D566" s="843"/>
      <c r="E566" s="92" t="e">
        <f>VLOOKUP($B566,'CO2'!$A$2:$J$1909,E$2,FALSE)</f>
        <v>#N/A</v>
      </c>
      <c r="F566" s="92" t="e">
        <f>VLOOKUP($B566,'CO2'!$A$2:$J$1909,F$2,FALSE)</f>
        <v>#N/A</v>
      </c>
      <c r="G566" s="92" t="e">
        <f>VLOOKUP($B566,'CO2'!$A$2:$J$1909,G$2,FALSE)</f>
        <v>#N/A</v>
      </c>
      <c r="H566" s="92" t="e">
        <f>VLOOKUP($B566,'CO2'!$A$2:$J$1909,H$2,FALSE)</f>
        <v>#N/A</v>
      </c>
      <c r="I566" s="92" t="e">
        <f>VLOOKUP($B566,'CO2'!$A$2:$J$1909,I$2,FALSE)</f>
        <v>#N/A</v>
      </c>
      <c r="J566" s="92" t="e">
        <f>VLOOKUP($B566,'CO2'!$A$2:$J$1909,J$2,FALSE)</f>
        <v>#N/A</v>
      </c>
      <c r="K566" s="92" t="e">
        <f>VLOOKUP($B566,'CO2'!$A$2:$J$1909,K$2,FALSE)</f>
        <v>#N/A</v>
      </c>
      <c r="L566" s="92" t="e">
        <f>VLOOKUP($B566,'CO2'!$A$2:$J$1909,L$2,FALSE)</f>
        <v>#N/A</v>
      </c>
      <c r="M566" s="843"/>
    </row>
    <row r="567" spans="2:13" ht="20.149999999999999" customHeight="1" x14ac:dyDescent="0.35">
      <c r="B567" s="843" t="s">
        <v>3722</v>
      </c>
      <c r="C567" s="843"/>
      <c r="D567" s="843"/>
      <c r="E567" s="92" t="e">
        <f>VLOOKUP($B567,'CO2'!$A$2:$J$1909,E$2,FALSE)</f>
        <v>#N/A</v>
      </c>
      <c r="F567" s="92" t="e">
        <f>VLOOKUP($B567,'CO2'!$A$2:$J$1909,F$2,FALSE)</f>
        <v>#N/A</v>
      </c>
      <c r="G567" s="92" t="e">
        <f>VLOOKUP($B567,'CO2'!$A$2:$J$1909,G$2,FALSE)</f>
        <v>#N/A</v>
      </c>
      <c r="H567" s="92" t="e">
        <f>VLOOKUP($B567,'CO2'!$A$2:$J$1909,H$2,FALSE)</f>
        <v>#N/A</v>
      </c>
      <c r="I567" s="92" t="e">
        <f>VLOOKUP($B567,'CO2'!$A$2:$J$1909,I$2,FALSE)</f>
        <v>#N/A</v>
      </c>
      <c r="J567" s="92" t="e">
        <f>VLOOKUP($B567,'CO2'!$A$2:$J$1909,J$2,FALSE)</f>
        <v>#N/A</v>
      </c>
      <c r="K567" s="92" t="e">
        <f>VLOOKUP($B567,'CO2'!$A$2:$J$1909,K$2,FALSE)</f>
        <v>#N/A</v>
      </c>
      <c r="L567" s="92" t="e">
        <f>VLOOKUP($B567,'CO2'!$A$2:$J$1909,L$2,FALSE)</f>
        <v>#N/A</v>
      </c>
      <c r="M567" s="843"/>
    </row>
    <row r="568" spans="2:13" ht="20.149999999999999" customHeight="1" x14ac:dyDescent="0.35">
      <c r="B568" s="843" t="s">
        <v>3718</v>
      </c>
      <c r="C568" s="843"/>
      <c r="D568" s="843"/>
      <c r="E568" s="92" t="e">
        <f>VLOOKUP($B568,'CO2'!$A$2:$J$1909,E$2,FALSE)</f>
        <v>#N/A</v>
      </c>
      <c r="F568" s="92" t="e">
        <f>VLOOKUP($B568,'CO2'!$A$2:$J$1909,F$2,FALSE)</f>
        <v>#N/A</v>
      </c>
      <c r="G568" s="92" t="e">
        <f>VLOOKUP($B568,'CO2'!$A$2:$J$1909,G$2,FALSE)</f>
        <v>#N/A</v>
      </c>
      <c r="H568" s="92" t="e">
        <f>VLOOKUP($B568,'CO2'!$A$2:$J$1909,H$2,FALSE)</f>
        <v>#N/A</v>
      </c>
      <c r="I568" s="92" t="e">
        <f>VLOOKUP($B568,'CO2'!$A$2:$J$1909,I$2,FALSE)</f>
        <v>#N/A</v>
      </c>
      <c r="J568" s="92" t="e">
        <f>VLOOKUP($B568,'CO2'!$A$2:$J$1909,J$2,FALSE)</f>
        <v>#N/A</v>
      </c>
      <c r="K568" s="92" t="e">
        <f>VLOOKUP($B568,'CO2'!$A$2:$J$1909,K$2,FALSE)</f>
        <v>#N/A</v>
      </c>
      <c r="L568" s="92" t="e">
        <f>VLOOKUP($B568,'CO2'!$A$2:$J$1909,L$2,FALSE)</f>
        <v>#N/A</v>
      </c>
      <c r="M568" s="843"/>
    </row>
    <row r="569" spans="2:13" ht="20.149999999999999" customHeight="1" x14ac:dyDescent="0.35">
      <c r="B569" s="843" t="s">
        <v>3727</v>
      </c>
      <c r="C569" s="843"/>
      <c r="D569" s="843"/>
      <c r="E569" s="92" t="e">
        <f>VLOOKUP($B569,'CO2'!$A$2:$J$1909,E$2,FALSE)</f>
        <v>#N/A</v>
      </c>
      <c r="F569" s="92" t="e">
        <f>VLOOKUP($B569,'CO2'!$A$2:$J$1909,F$2,FALSE)</f>
        <v>#N/A</v>
      </c>
      <c r="G569" s="92" t="e">
        <f>VLOOKUP($B569,'CO2'!$A$2:$J$1909,G$2,FALSE)</f>
        <v>#N/A</v>
      </c>
      <c r="H569" s="92" t="e">
        <f>VLOOKUP($B569,'CO2'!$A$2:$J$1909,H$2,FALSE)</f>
        <v>#N/A</v>
      </c>
      <c r="I569" s="92" t="e">
        <f>VLOOKUP($B569,'CO2'!$A$2:$J$1909,I$2,FALSE)</f>
        <v>#N/A</v>
      </c>
      <c r="J569" s="92" t="e">
        <f>VLOOKUP($B569,'CO2'!$A$2:$J$1909,J$2,FALSE)</f>
        <v>#N/A</v>
      </c>
      <c r="K569" s="92" t="e">
        <f>VLOOKUP($B569,'CO2'!$A$2:$J$1909,K$2,FALSE)</f>
        <v>#N/A</v>
      </c>
      <c r="L569" s="92" t="e">
        <f>VLOOKUP($B569,'CO2'!$A$2:$J$1909,L$2,FALSE)</f>
        <v>#N/A</v>
      </c>
      <c r="M569" s="843"/>
    </row>
    <row r="570" spans="2:13" ht="20.149999999999999" customHeight="1" x14ac:dyDescent="0.35">
      <c r="B570" s="843" t="s">
        <v>3716</v>
      </c>
      <c r="C570" s="843"/>
      <c r="D570" s="843"/>
      <c r="E570" s="92" t="e">
        <f>VLOOKUP($B570,'CO2'!$A$2:$J$1909,E$2,FALSE)</f>
        <v>#N/A</v>
      </c>
      <c r="F570" s="92" t="e">
        <f>VLOOKUP($B570,'CO2'!$A$2:$J$1909,F$2,FALSE)</f>
        <v>#N/A</v>
      </c>
      <c r="G570" s="92" t="e">
        <f>VLOOKUP($B570,'CO2'!$A$2:$J$1909,G$2,FALSE)</f>
        <v>#N/A</v>
      </c>
      <c r="H570" s="92" t="e">
        <f>VLOOKUP($B570,'CO2'!$A$2:$J$1909,H$2,FALSE)</f>
        <v>#N/A</v>
      </c>
      <c r="I570" s="92" t="e">
        <f>VLOOKUP($B570,'CO2'!$A$2:$J$1909,I$2,FALSE)</f>
        <v>#N/A</v>
      </c>
      <c r="J570" s="92" t="e">
        <f>VLOOKUP($B570,'CO2'!$A$2:$J$1909,J$2,FALSE)</f>
        <v>#N/A</v>
      </c>
      <c r="K570" s="92" t="e">
        <f>VLOOKUP($B570,'CO2'!$A$2:$J$1909,K$2,FALSE)</f>
        <v>#N/A</v>
      </c>
      <c r="L570" s="92" t="e">
        <f>VLOOKUP($B570,'CO2'!$A$2:$J$1909,L$2,FALSE)</f>
        <v>#N/A</v>
      </c>
      <c r="M570" s="843"/>
    </row>
    <row r="571" spans="2:13" ht="20.149999999999999" customHeight="1" x14ac:dyDescent="0.35">
      <c r="B571" s="843" t="s">
        <v>3725</v>
      </c>
      <c r="C571" s="843"/>
      <c r="D571" s="843"/>
      <c r="E571" s="92" t="e">
        <f>VLOOKUP($B571,'CO2'!$A$2:$J$1909,E$2,FALSE)</f>
        <v>#N/A</v>
      </c>
      <c r="F571" s="92" t="e">
        <f>VLOOKUP($B571,'CO2'!$A$2:$J$1909,F$2,FALSE)</f>
        <v>#N/A</v>
      </c>
      <c r="G571" s="92" t="e">
        <f>VLOOKUP($B571,'CO2'!$A$2:$J$1909,G$2,FALSE)</f>
        <v>#N/A</v>
      </c>
      <c r="H571" s="92" t="e">
        <f>VLOOKUP($B571,'CO2'!$A$2:$J$1909,H$2,FALSE)</f>
        <v>#N/A</v>
      </c>
      <c r="I571" s="92" t="e">
        <f>VLOOKUP($B571,'CO2'!$A$2:$J$1909,I$2,FALSE)</f>
        <v>#N/A</v>
      </c>
      <c r="J571" s="92" t="e">
        <f>VLOOKUP($B571,'CO2'!$A$2:$J$1909,J$2,FALSE)</f>
        <v>#N/A</v>
      </c>
      <c r="K571" s="92" t="e">
        <f>VLOOKUP($B571,'CO2'!$A$2:$J$1909,K$2,FALSE)</f>
        <v>#N/A</v>
      </c>
      <c r="L571" s="92" t="e">
        <f>VLOOKUP($B571,'CO2'!$A$2:$J$1909,L$2,FALSE)</f>
        <v>#N/A</v>
      </c>
      <c r="M571" s="843"/>
    </row>
    <row r="572" spans="2:13" ht="20.149999999999999" customHeight="1" x14ac:dyDescent="0.35">
      <c r="B572" s="843" t="s">
        <v>3719</v>
      </c>
      <c r="C572" s="843"/>
      <c r="D572" s="843"/>
      <c r="E572" s="92" t="e">
        <f>VLOOKUP($B572,'CO2'!$A$2:$J$1909,E$2,FALSE)</f>
        <v>#N/A</v>
      </c>
      <c r="F572" s="92" t="e">
        <f>VLOOKUP($B572,'CO2'!$A$2:$J$1909,F$2,FALSE)</f>
        <v>#N/A</v>
      </c>
      <c r="G572" s="92" t="e">
        <f>VLOOKUP($B572,'CO2'!$A$2:$J$1909,G$2,FALSE)</f>
        <v>#N/A</v>
      </c>
      <c r="H572" s="92" t="e">
        <f>VLOOKUP($B572,'CO2'!$A$2:$J$1909,H$2,FALSE)</f>
        <v>#N/A</v>
      </c>
      <c r="I572" s="92" t="e">
        <f>VLOOKUP($B572,'CO2'!$A$2:$J$1909,I$2,FALSE)</f>
        <v>#N/A</v>
      </c>
      <c r="J572" s="92" t="e">
        <f>VLOOKUP($B572,'CO2'!$A$2:$J$1909,J$2,FALSE)</f>
        <v>#N/A</v>
      </c>
      <c r="K572" s="92" t="e">
        <f>VLOOKUP($B572,'CO2'!$A$2:$J$1909,K$2,FALSE)</f>
        <v>#N/A</v>
      </c>
      <c r="L572" s="92" t="e">
        <f>VLOOKUP($B572,'CO2'!$A$2:$J$1909,L$2,FALSE)</f>
        <v>#N/A</v>
      </c>
      <c r="M572" s="843"/>
    </row>
    <row r="573" spans="2:13" ht="20.149999999999999" customHeight="1" x14ac:dyDescent="0.35">
      <c r="B573" s="843" t="s">
        <v>3728</v>
      </c>
      <c r="C573" s="843"/>
      <c r="D573" s="843"/>
      <c r="E573" s="92" t="e">
        <f>VLOOKUP($B573,'CO2'!$A$2:$J$1909,E$2,FALSE)</f>
        <v>#N/A</v>
      </c>
      <c r="F573" s="92" t="e">
        <f>VLOOKUP($B573,'CO2'!$A$2:$J$1909,F$2,FALSE)</f>
        <v>#N/A</v>
      </c>
      <c r="G573" s="92" t="e">
        <f>VLOOKUP($B573,'CO2'!$A$2:$J$1909,G$2,FALSE)</f>
        <v>#N/A</v>
      </c>
      <c r="H573" s="92" t="e">
        <f>VLOOKUP($B573,'CO2'!$A$2:$J$1909,H$2,FALSE)</f>
        <v>#N/A</v>
      </c>
      <c r="I573" s="92" t="e">
        <f>VLOOKUP($B573,'CO2'!$A$2:$J$1909,I$2,FALSE)</f>
        <v>#N/A</v>
      </c>
      <c r="J573" s="92" t="e">
        <f>VLOOKUP($B573,'CO2'!$A$2:$J$1909,J$2,FALSE)</f>
        <v>#N/A</v>
      </c>
      <c r="K573" s="92" t="e">
        <f>VLOOKUP($B573,'CO2'!$A$2:$J$1909,K$2,FALSE)</f>
        <v>#N/A</v>
      </c>
      <c r="L573" s="92" t="e">
        <f>VLOOKUP($B573,'CO2'!$A$2:$J$1909,L$2,FALSE)</f>
        <v>#N/A</v>
      </c>
      <c r="M573" s="843"/>
    </row>
    <row r="574" spans="2:13" ht="20.149999999999999" customHeight="1" x14ac:dyDescent="0.35">
      <c r="B574" s="843" t="s">
        <v>3678</v>
      </c>
      <c r="C574" s="843"/>
      <c r="D574" s="843"/>
      <c r="E574" s="92" t="e">
        <f>VLOOKUP($B574,'CO2'!$A$2:$J$1909,E$2,FALSE)</f>
        <v>#N/A</v>
      </c>
      <c r="F574" s="92" t="e">
        <f>VLOOKUP($B574,'CO2'!$A$2:$J$1909,F$2,FALSE)</f>
        <v>#N/A</v>
      </c>
      <c r="G574" s="92" t="e">
        <f>VLOOKUP($B574,'CO2'!$A$2:$J$1909,G$2,FALSE)</f>
        <v>#N/A</v>
      </c>
      <c r="H574" s="92" t="e">
        <f>VLOOKUP($B574,'CO2'!$A$2:$J$1909,H$2,FALSE)</f>
        <v>#N/A</v>
      </c>
      <c r="I574" s="92" t="e">
        <f>VLOOKUP($B574,'CO2'!$A$2:$J$1909,I$2,FALSE)</f>
        <v>#N/A</v>
      </c>
      <c r="J574" s="92" t="e">
        <f>VLOOKUP($B574,'CO2'!$A$2:$J$1909,J$2,FALSE)</f>
        <v>#N/A</v>
      </c>
      <c r="K574" s="92" t="e">
        <f>VLOOKUP($B574,'CO2'!$A$2:$J$1909,K$2,FALSE)</f>
        <v>#N/A</v>
      </c>
      <c r="L574" s="92" t="e">
        <f>VLOOKUP($B574,'CO2'!$A$2:$J$1909,L$2,FALSE)</f>
        <v>#N/A</v>
      </c>
      <c r="M574" s="843"/>
    </row>
    <row r="575" spans="2:13" ht="20.149999999999999" customHeight="1" x14ac:dyDescent="0.35">
      <c r="B575" s="843" t="s">
        <v>3687</v>
      </c>
      <c r="C575" s="843"/>
      <c r="D575" s="843"/>
      <c r="E575" s="92" t="e">
        <f>VLOOKUP($B575,'CO2'!$A$2:$J$1909,E$2,FALSE)</f>
        <v>#N/A</v>
      </c>
      <c r="F575" s="92" t="e">
        <f>VLOOKUP($B575,'CO2'!$A$2:$J$1909,F$2,FALSE)</f>
        <v>#N/A</v>
      </c>
      <c r="G575" s="92" t="e">
        <f>VLOOKUP($B575,'CO2'!$A$2:$J$1909,G$2,FALSE)</f>
        <v>#N/A</v>
      </c>
      <c r="H575" s="92" t="e">
        <f>VLOOKUP($B575,'CO2'!$A$2:$J$1909,H$2,FALSE)</f>
        <v>#N/A</v>
      </c>
      <c r="I575" s="92" t="e">
        <f>VLOOKUP($B575,'CO2'!$A$2:$J$1909,I$2,FALSE)</f>
        <v>#N/A</v>
      </c>
      <c r="J575" s="92" t="e">
        <f>VLOOKUP($B575,'CO2'!$A$2:$J$1909,J$2,FALSE)</f>
        <v>#N/A</v>
      </c>
      <c r="K575" s="92" t="e">
        <f>VLOOKUP($B575,'CO2'!$A$2:$J$1909,K$2,FALSE)</f>
        <v>#N/A</v>
      </c>
      <c r="L575" s="92" t="e">
        <f>VLOOKUP($B575,'CO2'!$A$2:$J$1909,L$2,FALSE)</f>
        <v>#N/A</v>
      </c>
      <c r="M575" s="843"/>
    </row>
    <row r="576" spans="2:13" ht="20.149999999999999" customHeight="1" x14ac:dyDescent="0.35">
      <c r="B576" s="843" t="s">
        <v>3672</v>
      </c>
      <c r="C576" s="843"/>
      <c r="D576" s="843"/>
      <c r="E576" s="92" t="e">
        <f>VLOOKUP($B576,'CO2'!$A$2:$J$1909,E$2,FALSE)</f>
        <v>#N/A</v>
      </c>
      <c r="F576" s="92" t="e">
        <f>VLOOKUP($B576,'CO2'!$A$2:$J$1909,F$2,FALSE)</f>
        <v>#N/A</v>
      </c>
      <c r="G576" s="92" t="e">
        <f>VLOOKUP($B576,'CO2'!$A$2:$J$1909,G$2,FALSE)</f>
        <v>#N/A</v>
      </c>
      <c r="H576" s="92" t="e">
        <f>VLOOKUP($B576,'CO2'!$A$2:$J$1909,H$2,FALSE)</f>
        <v>#N/A</v>
      </c>
      <c r="I576" s="92" t="e">
        <f>VLOOKUP($B576,'CO2'!$A$2:$J$1909,I$2,FALSE)</f>
        <v>#N/A</v>
      </c>
      <c r="J576" s="92" t="e">
        <f>VLOOKUP($B576,'CO2'!$A$2:$J$1909,J$2,FALSE)</f>
        <v>#N/A</v>
      </c>
      <c r="K576" s="92" t="e">
        <f>VLOOKUP($B576,'CO2'!$A$2:$J$1909,K$2,FALSE)</f>
        <v>#N/A</v>
      </c>
      <c r="L576" s="92" t="e">
        <f>VLOOKUP($B576,'CO2'!$A$2:$J$1909,L$2,FALSE)</f>
        <v>#N/A</v>
      </c>
      <c r="M576" s="843"/>
    </row>
    <row r="577" spans="2:13" ht="20.149999999999999" customHeight="1" x14ac:dyDescent="0.35">
      <c r="B577" s="843" t="s">
        <v>3681</v>
      </c>
      <c r="C577" s="843"/>
      <c r="D577" s="843"/>
      <c r="E577" s="92" t="e">
        <f>VLOOKUP($B577,'CO2'!$A$2:$J$1909,E$2,FALSE)</f>
        <v>#N/A</v>
      </c>
      <c r="F577" s="92" t="e">
        <f>VLOOKUP($B577,'CO2'!$A$2:$J$1909,F$2,FALSE)</f>
        <v>#N/A</v>
      </c>
      <c r="G577" s="92" t="e">
        <f>VLOOKUP($B577,'CO2'!$A$2:$J$1909,G$2,FALSE)</f>
        <v>#N/A</v>
      </c>
      <c r="H577" s="92" t="e">
        <f>VLOOKUP($B577,'CO2'!$A$2:$J$1909,H$2,FALSE)</f>
        <v>#N/A</v>
      </c>
      <c r="I577" s="92" t="e">
        <f>VLOOKUP($B577,'CO2'!$A$2:$J$1909,I$2,FALSE)</f>
        <v>#N/A</v>
      </c>
      <c r="J577" s="92" t="e">
        <f>VLOOKUP($B577,'CO2'!$A$2:$J$1909,J$2,FALSE)</f>
        <v>#N/A</v>
      </c>
      <c r="K577" s="92" t="e">
        <f>VLOOKUP($B577,'CO2'!$A$2:$J$1909,K$2,FALSE)</f>
        <v>#N/A</v>
      </c>
      <c r="L577" s="92" t="e">
        <f>VLOOKUP($B577,'CO2'!$A$2:$J$1909,L$2,FALSE)</f>
        <v>#N/A</v>
      </c>
      <c r="M577" s="843"/>
    </row>
    <row r="578" spans="2:13" ht="20.149999999999999" customHeight="1" x14ac:dyDescent="0.35">
      <c r="B578" s="843" t="s">
        <v>3673</v>
      </c>
      <c r="C578" s="843"/>
      <c r="D578" s="843"/>
      <c r="E578" s="92" t="e">
        <f>VLOOKUP($B578,'CO2'!$A$2:$J$1909,E$2,FALSE)</f>
        <v>#N/A</v>
      </c>
      <c r="F578" s="92" t="e">
        <f>VLOOKUP($B578,'CO2'!$A$2:$J$1909,F$2,FALSE)</f>
        <v>#N/A</v>
      </c>
      <c r="G578" s="92" t="e">
        <f>VLOOKUP($B578,'CO2'!$A$2:$J$1909,G$2,FALSE)</f>
        <v>#N/A</v>
      </c>
      <c r="H578" s="92" t="e">
        <f>VLOOKUP($B578,'CO2'!$A$2:$J$1909,H$2,FALSE)</f>
        <v>#N/A</v>
      </c>
      <c r="I578" s="92" t="e">
        <f>VLOOKUP($B578,'CO2'!$A$2:$J$1909,I$2,FALSE)</f>
        <v>#N/A</v>
      </c>
      <c r="J578" s="92" t="e">
        <f>VLOOKUP($B578,'CO2'!$A$2:$J$1909,J$2,FALSE)</f>
        <v>#N/A</v>
      </c>
      <c r="K578" s="92" t="e">
        <f>VLOOKUP($B578,'CO2'!$A$2:$J$1909,K$2,FALSE)</f>
        <v>#N/A</v>
      </c>
      <c r="L578" s="92" t="e">
        <f>VLOOKUP($B578,'CO2'!$A$2:$J$1909,L$2,FALSE)</f>
        <v>#N/A</v>
      </c>
      <c r="M578" s="843"/>
    </row>
    <row r="579" spans="2:13" ht="20.149999999999999" customHeight="1" x14ac:dyDescent="0.35">
      <c r="B579" s="843" t="s">
        <v>3682</v>
      </c>
      <c r="C579" s="843"/>
      <c r="D579" s="843"/>
      <c r="E579" s="92" t="e">
        <f>VLOOKUP($B579,'CO2'!$A$2:$J$1909,E$2,FALSE)</f>
        <v>#N/A</v>
      </c>
      <c r="F579" s="92" t="e">
        <f>VLOOKUP($B579,'CO2'!$A$2:$J$1909,F$2,FALSE)</f>
        <v>#N/A</v>
      </c>
      <c r="G579" s="92" t="e">
        <f>VLOOKUP($B579,'CO2'!$A$2:$J$1909,G$2,FALSE)</f>
        <v>#N/A</v>
      </c>
      <c r="H579" s="92" t="e">
        <f>VLOOKUP($B579,'CO2'!$A$2:$J$1909,H$2,FALSE)</f>
        <v>#N/A</v>
      </c>
      <c r="I579" s="92" t="e">
        <f>VLOOKUP($B579,'CO2'!$A$2:$J$1909,I$2,FALSE)</f>
        <v>#N/A</v>
      </c>
      <c r="J579" s="92" t="e">
        <f>VLOOKUP($B579,'CO2'!$A$2:$J$1909,J$2,FALSE)</f>
        <v>#N/A</v>
      </c>
      <c r="K579" s="92" t="e">
        <f>VLOOKUP($B579,'CO2'!$A$2:$J$1909,K$2,FALSE)</f>
        <v>#N/A</v>
      </c>
      <c r="L579" s="92" t="e">
        <f>VLOOKUP($B579,'CO2'!$A$2:$J$1909,L$2,FALSE)</f>
        <v>#N/A</v>
      </c>
      <c r="M579" s="843"/>
    </row>
    <row r="580" spans="2:13" ht="20.149999999999999" customHeight="1" x14ac:dyDescent="0.35">
      <c r="B580" s="843" t="s">
        <v>3674</v>
      </c>
      <c r="C580" s="843"/>
      <c r="D580" s="843"/>
      <c r="E580" s="92" t="e">
        <f>VLOOKUP($B580,'CO2'!$A$2:$J$1909,E$2,FALSE)</f>
        <v>#N/A</v>
      </c>
      <c r="F580" s="92" t="e">
        <f>VLOOKUP($B580,'CO2'!$A$2:$J$1909,F$2,FALSE)</f>
        <v>#N/A</v>
      </c>
      <c r="G580" s="92" t="e">
        <f>VLOOKUP($B580,'CO2'!$A$2:$J$1909,G$2,FALSE)</f>
        <v>#N/A</v>
      </c>
      <c r="H580" s="92" t="e">
        <f>VLOOKUP($B580,'CO2'!$A$2:$J$1909,H$2,FALSE)</f>
        <v>#N/A</v>
      </c>
      <c r="I580" s="92" t="e">
        <f>VLOOKUP($B580,'CO2'!$A$2:$J$1909,I$2,FALSE)</f>
        <v>#N/A</v>
      </c>
      <c r="J580" s="92" t="e">
        <f>VLOOKUP($B580,'CO2'!$A$2:$J$1909,J$2,FALSE)</f>
        <v>#N/A</v>
      </c>
      <c r="K580" s="92" t="e">
        <f>VLOOKUP($B580,'CO2'!$A$2:$J$1909,K$2,FALSE)</f>
        <v>#N/A</v>
      </c>
      <c r="L580" s="92" t="e">
        <f>VLOOKUP($B580,'CO2'!$A$2:$J$1909,L$2,FALSE)</f>
        <v>#N/A</v>
      </c>
      <c r="M580" s="843"/>
    </row>
    <row r="581" spans="2:13" ht="20.149999999999999" customHeight="1" x14ac:dyDescent="0.35">
      <c r="B581" s="843" t="s">
        <v>3683</v>
      </c>
      <c r="C581" s="843"/>
      <c r="D581" s="843"/>
      <c r="E581" s="92" t="e">
        <f>VLOOKUP($B581,'CO2'!$A$2:$J$1909,E$2,FALSE)</f>
        <v>#N/A</v>
      </c>
      <c r="F581" s="92" t="e">
        <f>VLOOKUP($B581,'CO2'!$A$2:$J$1909,F$2,FALSE)</f>
        <v>#N/A</v>
      </c>
      <c r="G581" s="92" t="e">
        <f>VLOOKUP($B581,'CO2'!$A$2:$J$1909,G$2,FALSE)</f>
        <v>#N/A</v>
      </c>
      <c r="H581" s="92" t="e">
        <f>VLOOKUP($B581,'CO2'!$A$2:$J$1909,H$2,FALSE)</f>
        <v>#N/A</v>
      </c>
      <c r="I581" s="92" t="e">
        <f>VLOOKUP($B581,'CO2'!$A$2:$J$1909,I$2,FALSE)</f>
        <v>#N/A</v>
      </c>
      <c r="J581" s="92" t="e">
        <f>VLOOKUP($B581,'CO2'!$A$2:$J$1909,J$2,FALSE)</f>
        <v>#N/A</v>
      </c>
      <c r="K581" s="92" t="e">
        <f>VLOOKUP($B581,'CO2'!$A$2:$J$1909,K$2,FALSE)</f>
        <v>#N/A</v>
      </c>
      <c r="L581" s="92" t="e">
        <f>VLOOKUP($B581,'CO2'!$A$2:$J$1909,L$2,FALSE)</f>
        <v>#N/A</v>
      </c>
      <c r="M581" s="843"/>
    </row>
    <row r="582" spans="2:13" ht="20.149999999999999" customHeight="1" x14ac:dyDescent="0.35">
      <c r="B582" s="843" t="s">
        <v>3679</v>
      </c>
      <c r="C582" s="843"/>
      <c r="D582" s="843"/>
      <c r="E582" s="92" t="e">
        <f>VLOOKUP($B582,'CO2'!$A$2:$J$1909,E$2,FALSE)</f>
        <v>#N/A</v>
      </c>
      <c r="F582" s="92" t="e">
        <f>VLOOKUP($B582,'CO2'!$A$2:$J$1909,F$2,FALSE)</f>
        <v>#N/A</v>
      </c>
      <c r="G582" s="92" t="e">
        <f>VLOOKUP($B582,'CO2'!$A$2:$J$1909,G$2,FALSE)</f>
        <v>#N/A</v>
      </c>
      <c r="H582" s="92" t="e">
        <f>VLOOKUP($B582,'CO2'!$A$2:$J$1909,H$2,FALSE)</f>
        <v>#N/A</v>
      </c>
      <c r="I582" s="92" t="e">
        <f>VLOOKUP($B582,'CO2'!$A$2:$J$1909,I$2,FALSE)</f>
        <v>#N/A</v>
      </c>
      <c r="J582" s="92" t="e">
        <f>VLOOKUP($B582,'CO2'!$A$2:$J$1909,J$2,FALSE)</f>
        <v>#N/A</v>
      </c>
      <c r="K582" s="92" t="e">
        <f>VLOOKUP($B582,'CO2'!$A$2:$J$1909,K$2,FALSE)</f>
        <v>#N/A</v>
      </c>
      <c r="L582" s="92" t="e">
        <f>VLOOKUP($B582,'CO2'!$A$2:$J$1909,L$2,FALSE)</f>
        <v>#N/A</v>
      </c>
      <c r="M582" s="843"/>
    </row>
    <row r="583" spans="2:13" ht="20.149999999999999" customHeight="1" x14ac:dyDescent="0.35">
      <c r="B583" s="843" t="s">
        <v>3688</v>
      </c>
      <c r="C583" s="843"/>
      <c r="D583" s="843"/>
      <c r="E583" s="92" t="e">
        <f>VLOOKUP($B583,'CO2'!$A$2:$J$1909,E$2,FALSE)</f>
        <v>#N/A</v>
      </c>
      <c r="F583" s="92" t="e">
        <f>VLOOKUP($B583,'CO2'!$A$2:$J$1909,F$2,FALSE)</f>
        <v>#N/A</v>
      </c>
      <c r="G583" s="92" t="e">
        <f>VLOOKUP($B583,'CO2'!$A$2:$J$1909,G$2,FALSE)</f>
        <v>#N/A</v>
      </c>
      <c r="H583" s="92" t="e">
        <f>VLOOKUP($B583,'CO2'!$A$2:$J$1909,H$2,FALSE)</f>
        <v>#N/A</v>
      </c>
      <c r="I583" s="92" t="e">
        <f>VLOOKUP($B583,'CO2'!$A$2:$J$1909,I$2,FALSE)</f>
        <v>#N/A</v>
      </c>
      <c r="J583" s="92" t="e">
        <f>VLOOKUP($B583,'CO2'!$A$2:$J$1909,J$2,FALSE)</f>
        <v>#N/A</v>
      </c>
      <c r="K583" s="92" t="e">
        <f>VLOOKUP($B583,'CO2'!$A$2:$J$1909,K$2,FALSE)</f>
        <v>#N/A</v>
      </c>
      <c r="L583" s="92" t="e">
        <f>VLOOKUP($B583,'CO2'!$A$2:$J$1909,L$2,FALSE)</f>
        <v>#N/A</v>
      </c>
      <c r="M583" s="843"/>
    </row>
    <row r="584" spans="2:13" ht="20.149999999999999" customHeight="1" x14ac:dyDescent="0.35">
      <c r="B584" s="843" t="s">
        <v>3675</v>
      </c>
      <c r="C584" s="843"/>
      <c r="D584" s="843"/>
      <c r="E584" s="92" t="e">
        <f>VLOOKUP($B584,'CO2'!$A$2:$J$1909,E$2,FALSE)</f>
        <v>#N/A</v>
      </c>
      <c r="F584" s="92" t="e">
        <f>VLOOKUP($B584,'CO2'!$A$2:$J$1909,F$2,FALSE)</f>
        <v>#N/A</v>
      </c>
      <c r="G584" s="92" t="e">
        <f>VLOOKUP($B584,'CO2'!$A$2:$J$1909,G$2,FALSE)</f>
        <v>#N/A</v>
      </c>
      <c r="H584" s="92" t="e">
        <f>VLOOKUP($B584,'CO2'!$A$2:$J$1909,H$2,FALSE)</f>
        <v>#N/A</v>
      </c>
      <c r="I584" s="92" t="e">
        <f>VLOOKUP($B584,'CO2'!$A$2:$J$1909,I$2,FALSE)</f>
        <v>#N/A</v>
      </c>
      <c r="J584" s="92" t="e">
        <f>VLOOKUP($B584,'CO2'!$A$2:$J$1909,J$2,FALSE)</f>
        <v>#N/A</v>
      </c>
      <c r="K584" s="92" t="e">
        <f>VLOOKUP($B584,'CO2'!$A$2:$J$1909,K$2,FALSE)</f>
        <v>#N/A</v>
      </c>
      <c r="L584" s="92" t="e">
        <f>VLOOKUP($B584,'CO2'!$A$2:$J$1909,L$2,FALSE)</f>
        <v>#N/A</v>
      </c>
      <c r="M584" s="843"/>
    </row>
    <row r="585" spans="2:13" ht="20.149999999999999" customHeight="1" x14ac:dyDescent="0.35">
      <c r="B585" s="843" t="s">
        <v>3684</v>
      </c>
      <c r="C585" s="843"/>
      <c r="D585" s="843"/>
      <c r="E585" s="92" t="e">
        <f>VLOOKUP($B585,'CO2'!$A$2:$J$1909,E$2,FALSE)</f>
        <v>#N/A</v>
      </c>
      <c r="F585" s="92" t="e">
        <f>VLOOKUP($B585,'CO2'!$A$2:$J$1909,F$2,FALSE)</f>
        <v>#N/A</v>
      </c>
      <c r="G585" s="92" t="e">
        <f>VLOOKUP($B585,'CO2'!$A$2:$J$1909,G$2,FALSE)</f>
        <v>#N/A</v>
      </c>
      <c r="H585" s="92" t="e">
        <f>VLOOKUP($B585,'CO2'!$A$2:$J$1909,H$2,FALSE)</f>
        <v>#N/A</v>
      </c>
      <c r="I585" s="92" t="e">
        <f>VLOOKUP($B585,'CO2'!$A$2:$J$1909,I$2,FALSE)</f>
        <v>#N/A</v>
      </c>
      <c r="J585" s="92" t="e">
        <f>VLOOKUP($B585,'CO2'!$A$2:$J$1909,J$2,FALSE)</f>
        <v>#N/A</v>
      </c>
      <c r="K585" s="92" t="e">
        <f>VLOOKUP($B585,'CO2'!$A$2:$J$1909,K$2,FALSE)</f>
        <v>#N/A</v>
      </c>
      <c r="L585" s="92" t="e">
        <f>VLOOKUP($B585,'CO2'!$A$2:$J$1909,L$2,FALSE)</f>
        <v>#N/A</v>
      </c>
      <c r="M585" s="843"/>
    </row>
    <row r="586" spans="2:13" ht="20.149999999999999" customHeight="1" x14ac:dyDescent="0.35">
      <c r="B586" s="843" t="s">
        <v>3676</v>
      </c>
      <c r="C586" s="843"/>
      <c r="D586" s="843"/>
      <c r="E586" s="92" t="e">
        <f>VLOOKUP($B586,'CO2'!$A$2:$J$1909,E$2,FALSE)</f>
        <v>#N/A</v>
      </c>
      <c r="F586" s="92" t="e">
        <f>VLOOKUP($B586,'CO2'!$A$2:$J$1909,F$2,FALSE)</f>
        <v>#N/A</v>
      </c>
      <c r="G586" s="92" t="e">
        <f>VLOOKUP($B586,'CO2'!$A$2:$J$1909,G$2,FALSE)</f>
        <v>#N/A</v>
      </c>
      <c r="H586" s="92" t="e">
        <f>VLOOKUP($B586,'CO2'!$A$2:$J$1909,H$2,FALSE)</f>
        <v>#N/A</v>
      </c>
      <c r="I586" s="92" t="e">
        <f>VLOOKUP($B586,'CO2'!$A$2:$J$1909,I$2,FALSE)</f>
        <v>#N/A</v>
      </c>
      <c r="J586" s="92" t="e">
        <f>VLOOKUP($B586,'CO2'!$A$2:$J$1909,J$2,FALSE)</f>
        <v>#N/A</v>
      </c>
      <c r="K586" s="92" t="e">
        <f>VLOOKUP($B586,'CO2'!$A$2:$J$1909,K$2,FALSE)</f>
        <v>#N/A</v>
      </c>
      <c r="L586" s="92" t="e">
        <f>VLOOKUP($B586,'CO2'!$A$2:$J$1909,L$2,FALSE)</f>
        <v>#N/A</v>
      </c>
      <c r="M586" s="843"/>
    </row>
    <row r="587" spans="2:13" ht="20.149999999999999" customHeight="1" x14ac:dyDescent="0.35">
      <c r="B587" s="843" t="s">
        <v>3685</v>
      </c>
      <c r="C587" s="843"/>
      <c r="D587" s="843"/>
      <c r="E587" s="92" t="e">
        <f>VLOOKUP($B587,'CO2'!$A$2:$J$1909,E$2,FALSE)</f>
        <v>#N/A</v>
      </c>
      <c r="F587" s="92" t="e">
        <f>VLOOKUP($B587,'CO2'!$A$2:$J$1909,F$2,FALSE)</f>
        <v>#N/A</v>
      </c>
      <c r="G587" s="92" t="e">
        <f>VLOOKUP($B587,'CO2'!$A$2:$J$1909,G$2,FALSE)</f>
        <v>#N/A</v>
      </c>
      <c r="H587" s="92" t="e">
        <f>VLOOKUP($B587,'CO2'!$A$2:$J$1909,H$2,FALSE)</f>
        <v>#N/A</v>
      </c>
      <c r="I587" s="92" t="e">
        <f>VLOOKUP($B587,'CO2'!$A$2:$J$1909,I$2,FALSE)</f>
        <v>#N/A</v>
      </c>
      <c r="J587" s="92" t="e">
        <f>VLOOKUP($B587,'CO2'!$A$2:$J$1909,J$2,FALSE)</f>
        <v>#N/A</v>
      </c>
      <c r="K587" s="92" t="e">
        <f>VLOOKUP($B587,'CO2'!$A$2:$J$1909,K$2,FALSE)</f>
        <v>#N/A</v>
      </c>
      <c r="L587" s="92" t="e">
        <f>VLOOKUP($B587,'CO2'!$A$2:$J$1909,L$2,FALSE)</f>
        <v>#N/A</v>
      </c>
      <c r="M587" s="843"/>
    </row>
    <row r="588" spans="2:13" ht="20.149999999999999" customHeight="1" x14ac:dyDescent="0.35">
      <c r="B588" s="843" t="s">
        <v>3677</v>
      </c>
      <c r="C588" s="843"/>
      <c r="D588" s="843"/>
      <c r="E588" s="92" t="e">
        <f>VLOOKUP($B588,'CO2'!$A$2:$J$1909,E$2,FALSE)</f>
        <v>#N/A</v>
      </c>
      <c r="F588" s="92" t="e">
        <f>VLOOKUP($B588,'CO2'!$A$2:$J$1909,F$2,FALSE)</f>
        <v>#N/A</v>
      </c>
      <c r="G588" s="92" t="e">
        <f>VLOOKUP($B588,'CO2'!$A$2:$J$1909,G$2,FALSE)</f>
        <v>#N/A</v>
      </c>
      <c r="H588" s="92" t="e">
        <f>VLOOKUP($B588,'CO2'!$A$2:$J$1909,H$2,FALSE)</f>
        <v>#N/A</v>
      </c>
      <c r="I588" s="92" t="e">
        <f>VLOOKUP($B588,'CO2'!$A$2:$J$1909,I$2,FALSE)</f>
        <v>#N/A</v>
      </c>
      <c r="J588" s="92" t="e">
        <f>VLOOKUP($B588,'CO2'!$A$2:$J$1909,J$2,FALSE)</f>
        <v>#N/A</v>
      </c>
      <c r="K588" s="92" t="e">
        <f>VLOOKUP($B588,'CO2'!$A$2:$J$1909,K$2,FALSE)</f>
        <v>#N/A</v>
      </c>
      <c r="L588" s="92" t="e">
        <f>VLOOKUP($B588,'CO2'!$A$2:$J$1909,L$2,FALSE)</f>
        <v>#N/A</v>
      </c>
      <c r="M588" s="843"/>
    </row>
    <row r="589" spans="2:13" ht="20.149999999999999" customHeight="1" x14ac:dyDescent="0.35">
      <c r="B589" s="843" t="s">
        <v>3686</v>
      </c>
      <c r="C589" s="843"/>
      <c r="D589" s="843"/>
      <c r="E589" s="92" t="e">
        <f>VLOOKUP($B589,'CO2'!$A$2:$J$1909,E$2,FALSE)</f>
        <v>#N/A</v>
      </c>
      <c r="F589" s="92" t="e">
        <f>VLOOKUP($B589,'CO2'!$A$2:$J$1909,F$2,FALSE)</f>
        <v>#N/A</v>
      </c>
      <c r="G589" s="92" t="e">
        <f>VLOOKUP($B589,'CO2'!$A$2:$J$1909,G$2,FALSE)</f>
        <v>#N/A</v>
      </c>
      <c r="H589" s="92" t="e">
        <f>VLOOKUP($B589,'CO2'!$A$2:$J$1909,H$2,FALSE)</f>
        <v>#N/A</v>
      </c>
      <c r="I589" s="92" t="e">
        <f>VLOOKUP($B589,'CO2'!$A$2:$J$1909,I$2,FALSE)</f>
        <v>#N/A</v>
      </c>
      <c r="J589" s="92" t="e">
        <f>VLOOKUP($B589,'CO2'!$A$2:$J$1909,J$2,FALSE)</f>
        <v>#N/A</v>
      </c>
      <c r="K589" s="92" t="e">
        <f>VLOOKUP($B589,'CO2'!$A$2:$J$1909,K$2,FALSE)</f>
        <v>#N/A</v>
      </c>
      <c r="L589" s="92" t="e">
        <f>VLOOKUP($B589,'CO2'!$A$2:$J$1909,L$2,FALSE)</f>
        <v>#N/A</v>
      </c>
      <c r="M589" s="843"/>
    </row>
    <row r="590" spans="2:13" ht="20.149999999999999" customHeight="1" x14ac:dyDescent="0.35">
      <c r="B590" s="843" t="s">
        <v>3680</v>
      </c>
      <c r="C590" s="843"/>
      <c r="D590" s="843"/>
      <c r="E590" s="92" t="e">
        <f>VLOOKUP($B590,'CO2'!$A$2:$J$1909,E$2,FALSE)</f>
        <v>#N/A</v>
      </c>
      <c r="F590" s="92" t="e">
        <f>VLOOKUP($B590,'CO2'!$A$2:$J$1909,F$2,FALSE)</f>
        <v>#N/A</v>
      </c>
      <c r="G590" s="92" t="e">
        <f>VLOOKUP($B590,'CO2'!$A$2:$J$1909,G$2,FALSE)</f>
        <v>#N/A</v>
      </c>
      <c r="H590" s="92" t="e">
        <f>VLOOKUP($B590,'CO2'!$A$2:$J$1909,H$2,FALSE)</f>
        <v>#N/A</v>
      </c>
      <c r="I590" s="92" t="e">
        <f>VLOOKUP($B590,'CO2'!$A$2:$J$1909,I$2,FALSE)</f>
        <v>#N/A</v>
      </c>
      <c r="J590" s="92" t="e">
        <f>VLOOKUP($B590,'CO2'!$A$2:$J$1909,J$2,FALSE)</f>
        <v>#N/A</v>
      </c>
      <c r="K590" s="92" t="e">
        <f>VLOOKUP($B590,'CO2'!$A$2:$J$1909,K$2,FALSE)</f>
        <v>#N/A</v>
      </c>
      <c r="L590" s="92" t="e">
        <f>VLOOKUP($B590,'CO2'!$A$2:$J$1909,L$2,FALSE)</f>
        <v>#N/A</v>
      </c>
      <c r="M590" s="843"/>
    </row>
    <row r="591" spans="2:13" ht="20.149999999999999" customHeight="1" x14ac:dyDescent="0.35">
      <c r="B591" s="843" t="s">
        <v>3689</v>
      </c>
      <c r="C591" s="843"/>
      <c r="D591" s="843"/>
      <c r="E591" s="92" t="e">
        <f>VLOOKUP($B591,'CO2'!$A$2:$J$1909,E$2,FALSE)</f>
        <v>#N/A</v>
      </c>
      <c r="F591" s="92" t="e">
        <f>VLOOKUP($B591,'CO2'!$A$2:$J$1909,F$2,FALSE)</f>
        <v>#N/A</v>
      </c>
      <c r="G591" s="92" t="e">
        <f>VLOOKUP($B591,'CO2'!$A$2:$J$1909,G$2,FALSE)</f>
        <v>#N/A</v>
      </c>
      <c r="H591" s="92" t="e">
        <f>VLOOKUP($B591,'CO2'!$A$2:$J$1909,H$2,FALSE)</f>
        <v>#N/A</v>
      </c>
      <c r="I591" s="92" t="e">
        <f>VLOOKUP($B591,'CO2'!$A$2:$J$1909,I$2,FALSE)</f>
        <v>#N/A</v>
      </c>
      <c r="J591" s="92" t="e">
        <f>VLOOKUP($B591,'CO2'!$A$2:$J$1909,J$2,FALSE)</f>
        <v>#N/A</v>
      </c>
      <c r="K591" s="92" t="e">
        <f>VLOOKUP($B591,'CO2'!$A$2:$J$1909,K$2,FALSE)</f>
        <v>#N/A</v>
      </c>
      <c r="L591" s="92" t="e">
        <f>VLOOKUP($B591,'CO2'!$A$2:$J$1909,L$2,FALSE)</f>
        <v>#N/A</v>
      </c>
      <c r="M591" s="843"/>
    </row>
    <row r="592" spans="2:13" ht="20.149999999999999" customHeight="1" x14ac:dyDescent="0.35">
      <c r="B592" s="843" t="s">
        <v>3735</v>
      </c>
      <c r="C592" s="843"/>
      <c r="D592" s="843"/>
      <c r="E592" s="92" t="e">
        <f>VLOOKUP($B592,'CO2'!$A$2:$J$1909,E$2,FALSE)</f>
        <v>#N/A</v>
      </c>
      <c r="F592" s="92" t="e">
        <f>VLOOKUP($B592,'CO2'!$A$2:$J$1909,F$2,FALSE)</f>
        <v>#N/A</v>
      </c>
      <c r="G592" s="92" t="e">
        <f>VLOOKUP($B592,'CO2'!$A$2:$J$1909,G$2,FALSE)</f>
        <v>#N/A</v>
      </c>
      <c r="H592" s="92" t="e">
        <f>VLOOKUP($B592,'CO2'!$A$2:$J$1909,H$2,FALSE)</f>
        <v>#N/A</v>
      </c>
      <c r="I592" s="92" t="e">
        <f>VLOOKUP($B592,'CO2'!$A$2:$J$1909,I$2,FALSE)</f>
        <v>#N/A</v>
      </c>
      <c r="J592" s="92" t="e">
        <f>VLOOKUP($B592,'CO2'!$A$2:$J$1909,J$2,FALSE)</f>
        <v>#N/A</v>
      </c>
      <c r="K592" s="92" t="e">
        <f>VLOOKUP($B592,'CO2'!$A$2:$J$1909,K$2,FALSE)</f>
        <v>#N/A</v>
      </c>
      <c r="L592" s="92" t="e">
        <f>VLOOKUP($B592,'CO2'!$A$2:$J$1909,L$2,FALSE)</f>
        <v>#N/A</v>
      </c>
      <c r="M592" s="843"/>
    </row>
    <row r="593" spans="2:14" ht="20.149999999999999" customHeight="1" x14ac:dyDescent="0.35">
      <c r="B593" s="843" t="s">
        <v>3744</v>
      </c>
      <c r="C593" s="843"/>
      <c r="D593" s="843"/>
      <c r="E593" s="92" t="e">
        <f>VLOOKUP($B593,'CO2'!$A$2:$J$1909,E$2,FALSE)</f>
        <v>#N/A</v>
      </c>
      <c r="F593" s="92" t="e">
        <f>VLOOKUP($B593,'CO2'!$A$2:$J$1909,F$2,FALSE)</f>
        <v>#N/A</v>
      </c>
      <c r="G593" s="92" t="e">
        <f>VLOOKUP($B593,'CO2'!$A$2:$J$1909,G$2,FALSE)</f>
        <v>#N/A</v>
      </c>
      <c r="H593" s="92" t="e">
        <f>VLOOKUP($B593,'CO2'!$A$2:$J$1909,H$2,FALSE)</f>
        <v>#N/A</v>
      </c>
      <c r="I593" s="92" t="e">
        <f>VLOOKUP($B593,'CO2'!$A$2:$J$1909,I$2,FALSE)</f>
        <v>#N/A</v>
      </c>
      <c r="J593" s="92" t="e">
        <f>VLOOKUP($B593,'CO2'!$A$2:$J$1909,J$2,FALSE)</f>
        <v>#N/A</v>
      </c>
      <c r="K593" s="92" t="e">
        <f>VLOOKUP($B593,'CO2'!$A$2:$J$1909,K$2,FALSE)</f>
        <v>#N/A</v>
      </c>
      <c r="L593" s="92" t="e">
        <f>VLOOKUP($B593,'CO2'!$A$2:$J$1909,L$2,FALSE)</f>
        <v>#N/A</v>
      </c>
      <c r="M593" s="843"/>
    </row>
    <row r="594" spans="2:14" ht="20.149999999999999" customHeight="1" x14ac:dyDescent="0.35">
      <c r="B594" s="843" t="s">
        <v>3729</v>
      </c>
      <c r="C594" s="843"/>
      <c r="D594" s="843"/>
      <c r="E594" s="92" t="e">
        <f>VLOOKUP($B594,'CO2'!$A$2:$J$1909,E$2,FALSE)</f>
        <v>#N/A</v>
      </c>
      <c r="F594" s="92" t="e">
        <f>VLOOKUP($B594,'CO2'!$A$2:$J$1909,F$2,FALSE)</f>
        <v>#N/A</v>
      </c>
      <c r="G594" s="92" t="e">
        <f>VLOOKUP($B594,'CO2'!$A$2:$J$1909,G$2,FALSE)</f>
        <v>#N/A</v>
      </c>
      <c r="H594" s="92" t="e">
        <f>VLOOKUP($B594,'CO2'!$A$2:$J$1909,H$2,FALSE)</f>
        <v>#N/A</v>
      </c>
      <c r="I594" s="92" t="e">
        <f>VLOOKUP($B594,'CO2'!$A$2:$J$1909,I$2,FALSE)</f>
        <v>#N/A</v>
      </c>
      <c r="J594" s="92" t="e">
        <f>VLOOKUP($B594,'CO2'!$A$2:$J$1909,J$2,FALSE)</f>
        <v>#N/A</v>
      </c>
      <c r="K594" s="92" t="e">
        <f>VLOOKUP($B594,'CO2'!$A$2:$J$1909,K$2,FALSE)</f>
        <v>#N/A</v>
      </c>
      <c r="L594" s="92" t="e">
        <f>VLOOKUP($B594,'CO2'!$A$2:$J$1909,L$2,FALSE)</f>
        <v>#N/A</v>
      </c>
      <c r="M594" s="843"/>
    </row>
    <row r="595" spans="2:14" ht="20.149999999999999" customHeight="1" x14ac:dyDescent="0.35">
      <c r="B595" s="843" t="s">
        <v>3738</v>
      </c>
      <c r="C595" s="843"/>
      <c r="D595" s="843"/>
      <c r="E595" s="92" t="e">
        <f>VLOOKUP($B595,'CO2'!$A$2:$J$1909,E$2,FALSE)</f>
        <v>#N/A</v>
      </c>
      <c r="F595" s="92" t="e">
        <f>VLOOKUP($B595,'CO2'!$A$2:$J$1909,F$2,FALSE)</f>
        <v>#N/A</v>
      </c>
      <c r="G595" s="92" t="e">
        <f>VLOOKUP($B595,'CO2'!$A$2:$J$1909,G$2,FALSE)</f>
        <v>#N/A</v>
      </c>
      <c r="H595" s="92" t="e">
        <f>VLOOKUP($B595,'CO2'!$A$2:$J$1909,H$2,FALSE)</f>
        <v>#N/A</v>
      </c>
      <c r="I595" s="92" t="e">
        <f>VLOOKUP($B595,'CO2'!$A$2:$J$1909,I$2,FALSE)</f>
        <v>#N/A</v>
      </c>
      <c r="J595" s="92" t="e">
        <f>VLOOKUP($B595,'CO2'!$A$2:$J$1909,J$2,FALSE)</f>
        <v>#N/A</v>
      </c>
      <c r="K595" s="92" t="e">
        <f>VLOOKUP($B595,'CO2'!$A$2:$J$1909,K$2,FALSE)</f>
        <v>#N/A</v>
      </c>
      <c r="L595" s="92" t="e">
        <f>VLOOKUP($B595,'CO2'!$A$2:$J$1909,L$2,FALSE)</f>
        <v>#N/A</v>
      </c>
      <c r="M595" s="843"/>
    </row>
    <row r="596" spans="2:14" ht="20.149999999999999" customHeight="1" x14ac:dyDescent="0.35">
      <c r="B596" t="s">
        <v>3730</v>
      </c>
      <c r="C596"/>
      <c r="D596"/>
      <c r="E596" s="92" t="e">
        <f>VLOOKUP($B596,'CO2'!$A$2:$J$1909,E$2,FALSE)</f>
        <v>#N/A</v>
      </c>
      <c r="F596" s="92" t="e">
        <f>VLOOKUP($B596,'CO2'!$A$2:$J$1909,F$2,FALSE)</f>
        <v>#N/A</v>
      </c>
      <c r="G596" s="92" t="e">
        <f>VLOOKUP($B596,'CO2'!$A$2:$J$1909,G$2,FALSE)</f>
        <v>#N/A</v>
      </c>
      <c r="H596" s="92" t="e">
        <f>VLOOKUP($B596,'CO2'!$A$2:$J$1909,H$2,FALSE)</f>
        <v>#N/A</v>
      </c>
      <c r="I596" s="92" t="e">
        <f>VLOOKUP($B596,'CO2'!$A$2:$J$1909,I$2,FALSE)</f>
        <v>#N/A</v>
      </c>
      <c r="J596" s="92" t="e">
        <f>VLOOKUP($B596,'CO2'!$A$2:$J$1909,J$2,FALSE)</f>
        <v>#N/A</v>
      </c>
      <c r="K596" s="92" t="e">
        <f>VLOOKUP($B596,'CO2'!$A$2:$J$1909,K$2,FALSE)</f>
        <v>#N/A</v>
      </c>
      <c r="L596" s="92" t="e">
        <f>VLOOKUP($B596,'CO2'!$A$2:$J$1909,L$2,FALSE)</f>
        <v>#N/A</v>
      </c>
      <c r="M596"/>
    </row>
    <row r="597" spans="2:14" ht="20.149999999999999" customHeight="1" x14ac:dyDescent="0.35">
      <c r="B597" t="s">
        <v>3739</v>
      </c>
      <c r="C597"/>
      <c r="D597"/>
      <c r="E597" s="92" t="e">
        <f>VLOOKUP($B597,'CO2'!$A$2:$J$1909,E$2,FALSE)</f>
        <v>#N/A</v>
      </c>
      <c r="F597" s="92" t="e">
        <f>VLOOKUP($B597,'CO2'!$A$2:$J$1909,F$2,FALSE)</f>
        <v>#N/A</v>
      </c>
      <c r="G597" s="92" t="e">
        <f>VLOOKUP($B597,'CO2'!$A$2:$J$1909,G$2,FALSE)</f>
        <v>#N/A</v>
      </c>
      <c r="H597" s="92" t="e">
        <f>VLOOKUP($B597,'CO2'!$A$2:$J$1909,H$2,FALSE)</f>
        <v>#N/A</v>
      </c>
      <c r="I597" s="92" t="e">
        <f>VLOOKUP($B597,'CO2'!$A$2:$J$1909,I$2,FALSE)</f>
        <v>#N/A</v>
      </c>
      <c r="J597" s="92" t="e">
        <f>VLOOKUP($B597,'CO2'!$A$2:$J$1909,J$2,FALSE)</f>
        <v>#N/A</v>
      </c>
      <c r="K597" s="92" t="e">
        <f>VLOOKUP($B597,'CO2'!$A$2:$J$1909,K$2,FALSE)</f>
        <v>#N/A</v>
      </c>
      <c r="L597" s="92" t="e">
        <f>VLOOKUP($B597,'CO2'!$A$2:$J$1909,L$2,FALSE)</f>
        <v>#N/A</v>
      </c>
      <c r="M597"/>
    </row>
    <row r="598" spans="2:14" ht="20.149999999999999" customHeight="1" x14ac:dyDescent="0.35">
      <c r="B598" t="s">
        <v>3731</v>
      </c>
      <c r="C598"/>
      <c r="D598"/>
      <c r="E598" s="92" t="e">
        <f>VLOOKUP($B598,'CO2'!$A$2:$J$1909,E$2,FALSE)</f>
        <v>#N/A</v>
      </c>
      <c r="F598" s="92" t="e">
        <f>VLOOKUP($B598,'CO2'!$A$2:$J$1909,F$2,FALSE)</f>
        <v>#N/A</v>
      </c>
      <c r="G598" s="92" t="e">
        <f>VLOOKUP($B598,'CO2'!$A$2:$J$1909,G$2,FALSE)</f>
        <v>#N/A</v>
      </c>
      <c r="H598" s="92" t="e">
        <f>VLOOKUP($B598,'CO2'!$A$2:$J$1909,H$2,FALSE)</f>
        <v>#N/A</v>
      </c>
      <c r="I598" s="92" t="e">
        <f>VLOOKUP($B598,'CO2'!$A$2:$J$1909,I$2,FALSE)</f>
        <v>#N/A</v>
      </c>
      <c r="J598" s="92" t="e">
        <f>VLOOKUP($B598,'CO2'!$A$2:$J$1909,J$2,FALSE)</f>
        <v>#N/A</v>
      </c>
      <c r="K598" s="92" t="e">
        <f>VLOOKUP($B598,'CO2'!$A$2:$J$1909,K$2,FALSE)</f>
        <v>#N/A</v>
      </c>
      <c r="L598" s="92" t="e">
        <f>VLOOKUP($B598,'CO2'!$A$2:$J$1909,L$2,FALSE)</f>
        <v>#N/A</v>
      </c>
      <c r="M598"/>
    </row>
    <row r="599" spans="2:14" ht="20.149999999999999" customHeight="1" x14ac:dyDescent="0.35">
      <c r="B599" t="s">
        <v>3740</v>
      </c>
      <c r="C599"/>
      <c r="D599"/>
      <c r="E599" s="92" t="e">
        <f>VLOOKUP($B599,'CO2'!$A$2:$J$1909,E$2,FALSE)</f>
        <v>#N/A</v>
      </c>
      <c r="F599" s="92" t="e">
        <f>VLOOKUP($B599,'CO2'!$A$2:$J$1909,F$2,FALSE)</f>
        <v>#N/A</v>
      </c>
      <c r="G599" s="92" t="e">
        <f>VLOOKUP($B599,'CO2'!$A$2:$J$1909,G$2,FALSE)</f>
        <v>#N/A</v>
      </c>
      <c r="H599" s="92" t="e">
        <f>VLOOKUP($B599,'CO2'!$A$2:$J$1909,H$2,FALSE)</f>
        <v>#N/A</v>
      </c>
      <c r="I599" s="92" t="e">
        <f>VLOOKUP($B599,'CO2'!$A$2:$J$1909,I$2,FALSE)</f>
        <v>#N/A</v>
      </c>
      <c r="J599" s="92" t="e">
        <f>VLOOKUP($B599,'CO2'!$A$2:$J$1909,J$2,FALSE)</f>
        <v>#N/A</v>
      </c>
      <c r="K599" s="92" t="e">
        <f>VLOOKUP($B599,'CO2'!$A$2:$J$1909,K$2,FALSE)</f>
        <v>#N/A</v>
      </c>
      <c r="L599" s="92" t="e">
        <f>VLOOKUP($B599,'CO2'!$A$2:$J$1909,L$2,FALSE)</f>
        <v>#N/A</v>
      </c>
      <c r="M599"/>
    </row>
    <row r="600" spans="2:14" ht="20.149999999999999" customHeight="1" x14ac:dyDescent="0.4">
      <c r="B600" t="s">
        <v>3736</v>
      </c>
      <c r="C600"/>
      <c r="D600"/>
      <c r="E600" s="92" t="e">
        <f>VLOOKUP($B600,'CO2'!$A$2:$J$1909,E$2,FALSE)</f>
        <v>#N/A</v>
      </c>
      <c r="F600" s="92" t="e">
        <f>VLOOKUP($B600,'CO2'!$A$2:$J$1909,F$2,FALSE)</f>
        <v>#N/A</v>
      </c>
      <c r="G600" s="92" t="e">
        <f>VLOOKUP($B600,'CO2'!$A$2:$J$1909,G$2,FALSE)</f>
        <v>#N/A</v>
      </c>
      <c r="H600" s="92" t="e">
        <f>VLOOKUP($B600,'CO2'!$A$2:$J$1909,H$2,FALSE)</f>
        <v>#N/A</v>
      </c>
      <c r="I600" s="92" t="e">
        <f>VLOOKUP($B600,'CO2'!$A$2:$J$1909,I$2,FALSE)</f>
        <v>#N/A</v>
      </c>
      <c r="J600" s="92" t="e">
        <f>VLOOKUP($B600,'CO2'!$A$2:$J$1909,J$2,FALSE)</f>
        <v>#N/A</v>
      </c>
      <c r="K600" s="92" t="e">
        <f>VLOOKUP($B600,'CO2'!$A$2:$J$1909,K$2,FALSE)</f>
        <v>#N/A</v>
      </c>
      <c r="L600" s="92" t="e">
        <f>VLOOKUP($B600,'CO2'!$A$2:$J$1909,L$2,FALSE)</f>
        <v>#N/A</v>
      </c>
      <c r="M600"/>
      <c r="N600" s="736" t="s">
        <v>3866</v>
      </c>
    </row>
    <row r="601" spans="2:14" ht="20.149999999999999" customHeight="1" x14ac:dyDescent="0.35">
      <c r="B601" t="s">
        <v>3745</v>
      </c>
      <c r="C601"/>
      <c r="D601"/>
      <c r="E601" s="92" t="e">
        <f>VLOOKUP($B601,'CO2'!$A$2:$J$1909,E$2,FALSE)</f>
        <v>#N/A</v>
      </c>
      <c r="F601" s="92" t="e">
        <f>VLOOKUP($B601,'CO2'!$A$2:$J$1909,F$2,FALSE)</f>
        <v>#N/A</v>
      </c>
      <c r="G601" s="92" t="e">
        <f>VLOOKUP($B601,'CO2'!$A$2:$J$1909,G$2,FALSE)</f>
        <v>#N/A</v>
      </c>
      <c r="H601" s="92" t="e">
        <f>VLOOKUP($B601,'CO2'!$A$2:$J$1909,H$2,FALSE)</f>
        <v>#N/A</v>
      </c>
      <c r="I601" s="92" t="e">
        <f>VLOOKUP($B601,'CO2'!$A$2:$J$1909,I$2,FALSE)</f>
        <v>#N/A</v>
      </c>
      <c r="J601" s="92" t="e">
        <f>VLOOKUP($B601,'CO2'!$A$2:$J$1909,J$2,FALSE)</f>
        <v>#N/A</v>
      </c>
      <c r="K601" s="92" t="e">
        <f>VLOOKUP($B601,'CO2'!$A$2:$J$1909,K$2,FALSE)</f>
        <v>#N/A</v>
      </c>
      <c r="L601" s="92" t="e">
        <f>VLOOKUP($B601,'CO2'!$A$2:$J$1909,L$2,FALSE)</f>
        <v>#N/A</v>
      </c>
      <c r="M601"/>
      <c r="N601" s="491" t="s">
        <v>3867</v>
      </c>
    </row>
    <row r="602" spans="2:14" ht="20.149999999999999" customHeight="1" x14ac:dyDescent="0.35">
      <c r="B602" t="s">
        <v>3734</v>
      </c>
      <c r="C602"/>
      <c r="D602"/>
      <c r="E602" s="92" t="e">
        <f>VLOOKUP($B602,'CO2'!$A$2:$J$1909,E$2,FALSE)</f>
        <v>#N/A</v>
      </c>
      <c r="F602" s="92" t="e">
        <f>VLOOKUP($B602,'CO2'!$A$2:$J$1909,F$2,FALSE)</f>
        <v>#N/A</v>
      </c>
      <c r="G602" s="92" t="e">
        <f>VLOOKUP($B602,'CO2'!$A$2:$J$1909,G$2,FALSE)</f>
        <v>#N/A</v>
      </c>
      <c r="H602" s="92" t="e">
        <f>VLOOKUP($B602,'CO2'!$A$2:$J$1909,H$2,FALSE)</f>
        <v>#N/A</v>
      </c>
      <c r="I602" s="92" t="e">
        <f>VLOOKUP($B602,'CO2'!$A$2:$J$1909,I$2,FALSE)</f>
        <v>#N/A</v>
      </c>
      <c r="J602" s="92" t="e">
        <f>VLOOKUP($B602,'CO2'!$A$2:$J$1909,J$2,FALSE)</f>
        <v>#N/A</v>
      </c>
      <c r="K602" s="92" t="e">
        <f>VLOOKUP($B602,'CO2'!$A$2:$J$1909,K$2,FALSE)</f>
        <v>#N/A</v>
      </c>
      <c r="L602" s="92" t="e">
        <f>VLOOKUP($B602,'CO2'!$A$2:$J$1909,L$2,FALSE)</f>
        <v>#N/A</v>
      </c>
      <c r="M602"/>
    </row>
    <row r="603" spans="2:14" ht="20.149999999999999" customHeight="1" x14ac:dyDescent="0.35">
      <c r="B603" t="s">
        <v>3743</v>
      </c>
      <c r="C603"/>
      <c r="D603"/>
      <c r="E603" s="92" t="e">
        <f>VLOOKUP($B603,'CO2'!$A$2:$J$1909,E$2,FALSE)</f>
        <v>#N/A</v>
      </c>
      <c r="F603" s="92" t="e">
        <f>VLOOKUP($B603,'CO2'!$A$2:$J$1909,F$2,FALSE)</f>
        <v>#N/A</v>
      </c>
      <c r="G603" s="92" t="e">
        <f>VLOOKUP($B603,'CO2'!$A$2:$J$1909,G$2,FALSE)</f>
        <v>#N/A</v>
      </c>
      <c r="H603" s="92" t="e">
        <f>VLOOKUP($B603,'CO2'!$A$2:$J$1909,H$2,FALSE)</f>
        <v>#N/A</v>
      </c>
      <c r="I603" s="92" t="e">
        <f>VLOOKUP($B603,'CO2'!$A$2:$J$1909,I$2,FALSE)</f>
        <v>#N/A</v>
      </c>
      <c r="J603" s="92" t="e">
        <f>VLOOKUP($B603,'CO2'!$A$2:$J$1909,J$2,FALSE)</f>
        <v>#N/A</v>
      </c>
      <c r="K603" s="92" t="e">
        <f>VLOOKUP($B603,'CO2'!$A$2:$J$1909,K$2,FALSE)</f>
        <v>#N/A</v>
      </c>
      <c r="L603" s="92" t="e">
        <f>VLOOKUP($B603,'CO2'!$A$2:$J$1909,L$2,FALSE)</f>
        <v>#N/A</v>
      </c>
      <c r="M603"/>
    </row>
    <row r="604" spans="2:14" ht="20.149999999999999" customHeight="1" x14ac:dyDescent="0.35">
      <c r="B604" t="s">
        <v>3737</v>
      </c>
      <c r="C604"/>
      <c r="D604"/>
      <c r="E604" s="92" t="e">
        <f>VLOOKUP($B604,'CO2'!$A$2:$J$1909,E$2,FALSE)</f>
        <v>#N/A</v>
      </c>
      <c r="F604" s="92" t="e">
        <f>VLOOKUP($B604,'CO2'!$A$2:$J$1909,F$2,FALSE)</f>
        <v>#N/A</v>
      </c>
      <c r="G604" s="92" t="e">
        <f>VLOOKUP($B604,'CO2'!$A$2:$J$1909,G$2,FALSE)</f>
        <v>#N/A</v>
      </c>
      <c r="H604" s="92" t="e">
        <f>VLOOKUP($B604,'CO2'!$A$2:$J$1909,H$2,FALSE)</f>
        <v>#N/A</v>
      </c>
      <c r="I604" s="92" t="e">
        <f>VLOOKUP($B604,'CO2'!$A$2:$J$1909,I$2,FALSE)</f>
        <v>#N/A</v>
      </c>
      <c r="J604" s="92" t="e">
        <f>VLOOKUP($B604,'CO2'!$A$2:$J$1909,J$2,FALSE)</f>
        <v>#N/A</v>
      </c>
      <c r="K604" s="92" t="e">
        <f>VLOOKUP($B604,'CO2'!$A$2:$J$1909,K$2,FALSE)</f>
        <v>#N/A</v>
      </c>
      <c r="L604" s="92" t="e">
        <f>VLOOKUP($B604,'CO2'!$A$2:$J$1909,L$2,FALSE)</f>
        <v>#N/A</v>
      </c>
      <c r="M604"/>
    </row>
    <row r="605" spans="2:14" ht="20.149999999999999" customHeight="1" thickBot="1" x14ac:dyDescent="0.4">
      <c r="B605" t="s">
        <v>3746</v>
      </c>
      <c r="C605"/>
      <c r="D605"/>
      <c r="E605" s="92" t="e">
        <f>VLOOKUP($B605,'CO2'!$A$2:$J$1909,E$2,FALSE)</f>
        <v>#N/A</v>
      </c>
      <c r="F605" s="92" t="e">
        <f>VLOOKUP($B605,'CO2'!$A$2:$J$1909,F$2,FALSE)</f>
        <v>#N/A</v>
      </c>
      <c r="G605" s="92" t="e">
        <f>VLOOKUP($B605,'CO2'!$A$2:$J$1909,G$2,FALSE)</f>
        <v>#N/A</v>
      </c>
      <c r="H605" s="92" t="e">
        <f>VLOOKUP($B605,'CO2'!$A$2:$J$1909,H$2,FALSE)</f>
        <v>#N/A</v>
      </c>
      <c r="I605" s="92" t="e">
        <f>VLOOKUP($B605,'CO2'!$A$2:$J$1909,I$2,FALSE)</f>
        <v>#N/A</v>
      </c>
      <c r="J605" s="92" t="e">
        <f>VLOOKUP($B605,'CO2'!$A$2:$J$1909,J$2,FALSE)</f>
        <v>#N/A</v>
      </c>
      <c r="K605" s="92" t="e">
        <f>VLOOKUP($B605,'CO2'!$A$2:$J$1909,K$2,FALSE)</f>
        <v>#N/A</v>
      </c>
      <c r="L605" s="92" t="e">
        <f>VLOOKUP($B605,'CO2'!$A$2:$J$1909,L$2,FALSE)</f>
        <v>#N/A</v>
      </c>
      <c r="M605"/>
    </row>
    <row r="606" spans="2:14" ht="20.149999999999999" customHeight="1" thickTop="1" x14ac:dyDescent="0.35">
      <c r="B606" s="711" t="s">
        <v>3671</v>
      </c>
      <c r="C606" s="712" t="s">
        <v>3156</v>
      </c>
      <c r="D606" s="712" t="s">
        <v>3157</v>
      </c>
      <c r="E606" s="712" t="s">
        <v>23</v>
      </c>
      <c r="F606" s="712" t="s">
        <v>1798</v>
      </c>
      <c r="G606" s="712" t="s">
        <v>1799</v>
      </c>
      <c r="H606" s="712" t="s">
        <v>1800</v>
      </c>
      <c r="I606" s="712" t="s">
        <v>1801</v>
      </c>
      <c r="J606" s="712" t="s">
        <v>1802</v>
      </c>
      <c r="K606" s="712" t="s">
        <v>1803</v>
      </c>
      <c r="L606" s="713" t="s">
        <v>1804</v>
      </c>
      <c r="M606" s="714" t="s">
        <v>3158</v>
      </c>
    </row>
    <row r="607" spans="2:14" ht="20.149999999999999" customHeight="1" x14ac:dyDescent="0.35">
      <c r="B607" s="731" t="s">
        <v>3749</v>
      </c>
      <c r="C607" s="732" t="s">
        <v>3691</v>
      </c>
      <c r="D607" s="733" t="s">
        <v>3164</v>
      </c>
      <c r="E607" s="734">
        <f t="shared" ref="E607:L615" si="87">SUM(E464+E473+E483+E492+E502+E511+E521+E530)</f>
        <v>0</v>
      </c>
      <c r="F607" s="734">
        <f t="shared" si="87"/>
        <v>0</v>
      </c>
      <c r="G607" s="734">
        <f t="shared" si="87"/>
        <v>0</v>
      </c>
      <c r="H607" s="734">
        <f t="shared" si="87"/>
        <v>0</v>
      </c>
      <c r="I607" s="734">
        <f t="shared" si="87"/>
        <v>0</v>
      </c>
      <c r="J607" s="734">
        <f t="shared" si="87"/>
        <v>0</v>
      </c>
      <c r="K607" s="734">
        <f t="shared" si="87"/>
        <v>0</v>
      </c>
      <c r="L607" s="734">
        <f t="shared" si="87"/>
        <v>0</v>
      </c>
      <c r="M607" s="719" t="s">
        <v>3277</v>
      </c>
    </row>
    <row r="608" spans="2:14" ht="20.149999999999999" customHeight="1" x14ac:dyDescent="0.35">
      <c r="B608" s="731" t="s">
        <v>3750</v>
      </c>
      <c r="C608" s="732" t="s">
        <v>3691</v>
      </c>
      <c r="D608" s="733" t="s">
        <v>2266</v>
      </c>
      <c r="E608" s="734">
        <f t="shared" si="87"/>
        <v>0</v>
      </c>
      <c r="F608" s="734">
        <f t="shared" si="87"/>
        <v>0</v>
      </c>
      <c r="G608" s="734">
        <f t="shared" si="87"/>
        <v>0</v>
      </c>
      <c r="H608" s="734">
        <f t="shared" si="87"/>
        <v>0</v>
      </c>
      <c r="I608" s="734">
        <f t="shared" si="87"/>
        <v>0</v>
      </c>
      <c r="J608" s="734">
        <f t="shared" si="87"/>
        <v>0</v>
      </c>
      <c r="K608" s="734">
        <f t="shared" si="87"/>
        <v>0</v>
      </c>
      <c r="L608" s="734">
        <f t="shared" si="87"/>
        <v>0</v>
      </c>
      <c r="M608" s="719" t="s">
        <v>3277</v>
      </c>
    </row>
    <row r="609" spans="2:21" ht="20.149999999999999" customHeight="1" x14ac:dyDescent="0.35">
      <c r="B609" s="731" t="s">
        <v>3751</v>
      </c>
      <c r="C609" s="732" t="s">
        <v>3691</v>
      </c>
      <c r="D609" s="733" t="s">
        <v>3175</v>
      </c>
      <c r="E609" s="734">
        <f t="shared" si="87"/>
        <v>0</v>
      </c>
      <c r="F609" s="734">
        <f t="shared" si="87"/>
        <v>0</v>
      </c>
      <c r="G609" s="734">
        <f t="shared" si="87"/>
        <v>0</v>
      </c>
      <c r="H609" s="734">
        <f t="shared" si="87"/>
        <v>0</v>
      </c>
      <c r="I609" s="734">
        <f t="shared" si="87"/>
        <v>0</v>
      </c>
      <c r="J609" s="734">
        <f t="shared" si="87"/>
        <v>0</v>
      </c>
      <c r="K609" s="734">
        <f t="shared" si="87"/>
        <v>0</v>
      </c>
      <c r="L609" s="734">
        <f t="shared" si="87"/>
        <v>0</v>
      </c>
      <c r="M609" s="719" t="s">
        <v>3277</v>
      </c>
    </row>
    <row r="610" spans="2:21" ht="20.149999999999999" customHeight="1" thickBot="1" x14ac:dyDescent="0.4">
      <c r="B610" s="731" t="s">
        <v>3752</v>
      </c>
      <c r="C610" s="732" t="s">
        <v>3691</v>
      </c>
      <c r="D610" s="733" t="s">
        <v>3181</v>
      </c>
      <c r="E610" s="734">
        <f t="shared" si="87"/>
        <v>0</v>
      </c>
      <c r="F610" s="734">
        <f t="shared" si="87"/>
        <v>0</v>
      </c>
      <c r="G610" s="734">
        <f t="shared" si="87"/>
        <v>0</v>
      </c>
      <c r="H610" s="734">
        <f t="shared" si="87"/>
        <v>0</v>
      </c>
      <c r="I610" s="734">
        <f t="shared" si="87"/>
        <v>0</v>
      </c>
      <c r="J610" s="734">
        <f t="shared" si="87"/>
        <v>0</v>
      </c>
      <c r="K610" s="734">
        <f t="shared" si="87"/>
        <v>0</v>
      </c>
      <c r="L610" s="734">
        <f t="shared" si="87"/>
        <v>0</v>
      </c>
      <c r="M610" s="719" t="s">
        <v>3277</v>
      </c>
    </row>
    <row r="611" spans="2:21" ht="20.149999999999999" customHeight="1" thickTop="1" x14ac:dyDescent="0.35">
      <c r="B611" s="731" t="s">
        <v>3753</v>
      </c>
      <c r="C611" s="732" t="s">
        <v>3691</v>
      </c>
      <c r="D611" s="733" t="s">
        <v>3187</v>
      </c>
      <c r="E611" s="734">
        <f t="shared" si="87"/>
        <v>0</v>
      </c>
      <c r="F611" s="734">
        <f t="shared" si="87"/>
        <v>0</v>
      </c>
      <c r="G611" s="734">
        <f t="shared" si="87"/>
        <v>0</v>
      </c>
      <c r="H611" s="734">
        <f t="shared" si="87"/>
        <v>0</v>
      </c>
      <c r="I611" s="734">
        <f t="shared" si="87"/>
        <v>0</v>
      </c>
      <c r="J611" s="734">
        <f t="shared" si="87"/>
        <v>0</v>
      </c>
      <c r="K611" s="734">
        <f t="shared" si="87"/>
        <v>0</v>
      </c>
      <c r="L611" s="734">
        <f t="shared" si="87"/>
        <v>0</v>
      </c>
      <c r="M611" s="719" t="s">
        <v>3277</v>
      </c>
      <c r="O611" s="712" t="s">
        <v>1798</v>
      </c>
      <c r="P611" s="712" t="s">
        <v>1799</v>
      </c>
      <c r="Q611" s="712" t="s">
        <v>1800</v>
      </c>
      <c r="R611" s="712" t="s">
        <v>1801</v>
      </c>
      <c r="S611" s="712" t="s">
        <v>1802</v>
      </c>
      <c r="T611" s="712" t="s">
        <v>1803</v>
      </c>
      <c r="U611" s="713" t="s">
        <v>1804</v>
      </c>
    </row>
    <row r="612" spans="2:21" ht="20.149999999999999" customHeight="1" x14ac:dyDescent="0.35">
      <c r="B612" s="731" t="s">
        <v>3754</v>
      </c>
      <c r="C612" s="732" t="s">
        <v>3691</v>
      </c>
      <c r="D612" s="733" t="s">
        <v>3192</v>
      </c>
      <c r="E612" s="734">
        <f t="shared" si="87"/>
        <v>0</v>
      </c>
      <c r="F612" s="734">
        <f t="shared" si="87"/>
        <v>0</v>
      </c>
      <c r="G612" s="734">
        <f t="shared" si="87"/>
        <v>0</v>
      </c>
      <c r="H612" s="734">
        <f t="shared" si="87"/>
        <v>0</v>
      </c>
      <c r="I612" s="734">
        <f t="shared" si="87"/>
        <v>0</v>
      </c>
      <c r="J612" s="734">
        <f t="shared" si="87"/>
        <v>0</v>
      </c>
      <c r="K612" s="734">
        <f t="shared" si="87"/>
        <v>0</v>
      </c>
      <c r="L612" s="734">
        <f t="shared" si="87"/>
        <v>0</v>
      </c>
      <c r="M612" s="719" t="s">
        <v>3277</v>
      </c>
      <c r="O612" s="348" t="e">
        <f t="shared" ref="O612:U612" si="88">F709/F689</f>
        <v>#N/A</v>
      </c>
      <c r="P612" s="348" t="e">
        <f t="shared" si="88"/>
        <v>#N/A</v>
      </c>
      <c r="Q612" s="348" t="e">
        <f t="shared" si="88"/>
        <v>#N/A</v>
      </c>
      <c r="R612" s="348" t="e">
        <f t="shared" si="88"/>
        <v>#N/A</v>
      </c>
      <c r="S612" s="348" t="e">
        <f t="shared" si="88"/>
        <v>#N/A</v>
      </c>
      <c r="T612" s="348" t="e">
        <f t="shared" si="88"/>
        <v>#N/A</v>
      </c>
      <c r="U612" s="348" t="e">
        <f t="shared" si="88"/>
        <v>#N/A</v>
      </c>
    </row>
    <row r="613" spans="2:21" ht="20.149999999999999" customHeight="1" x14ac:dyDescent="0.35">
      <c r="B613" s="731" t="s">
        <v>3755</v>
      </c>
      <c r="C613" s="732" t="s">
        <v>3691</v>
      </c>
      <c r="D613" s="733" t="s">
        <v>3198</v>
      </c>
      <c r="E613" s="734">
        <f t="shared" si="87"/>
        <v>0</v>
      </c>
      <c r="F613" s="734">
        <f t="shared" si="87"/>
        <v>0</v>
      </c>
      <c r="G613" s="734">
        <f t="shared" si="87"/>
        <v>0</v>
      </c>
      <c r="H613" s="734">
        <f t="shared" si="87"/>
        <v>0</v>
      </c>
      <c r="I613" s="734">
        <f t="shared" si="87"/>
        <v>0</v>
      </c>
      <c r="J613" s="734">
        <f t="shared" si="87"/>
        <v>0</v>
      </c>
      <c r="K613" s="734">
        <f t="shared" si="87"/>
        <v>0</v>
      </c>
      <c r="L613" s="734">
        <f t="shared" si="87"/>
        <v>0</v>
      </c>
      <c r="M613" s="719" t="s">
        <v>3277</v>
      </c>
    </row>
    <row r="614" spans="2:21" ht="20.149999999999999" customHeight="1" x14ac:dyDescent="0.35">
      <c r="B614" s="731" t="s">
        <v>3756</v>
      </c>
      <c r="C614" s="732" t="s">
        <v>3691</v>
      </c>
      <c r="D614" s="733" t="s">
        <v>3757</v>
      </c>
      <c r="E614" s="734">
        <f t="shared" si="87"/>
        <v>0</v>
      </c>
      <c r="F614" s="734">
        <f t="shared" si="87"/>
        <v>0</v>
      </c>
      <c r="G614" s="734">
        <f t="shared" si="87"/>
        <v>0</v>
      </c>
      <c r="H614" s="734">
        <f t="shared" si="87"/>
        <v>0</v>
      </c>
      <c r="I614" s="734">
        <f t="shared" si="87"/>
        <v>0</v>
      </c>
      <c r="J614" s="734">
        <f t="shared" si="87"/>
        <v>0</v>
      </c>
      <c r="K614" s="734">
        <f t="shared" si="87"/>
        <v>0</v>
      </c>
      <c r="L614" s="734">
        <f t="shared" si="87"/>
        <v>0</v>
      </c>
      <c r="M614" s="719" t="s">
        <v>3277</v>
      </c>
    </row>
    <row r="615" spans="2:21" ht="20.149999999999999" customHeight="1" thickBot="1" x14ac:dyDescent="0.4">
      <c r="B615" s="731" t="s">
        <v>3758</v>
      </c>
      <c r="C615" s="732" t="s">
        <v>3691</v>
      </c>
      <c r="D615" s="733" t="s">
        <v>3206</v>
      </c>
      <c r="E615" s="734">
        <f t="shared" si="87"/>
        <v>0</v>
      </c>
      <c r="F615" s="734">
        <f t="shared" si="87"/>
        <v>0</v>
      </c>
      <c r="G615" s="734">
        <f t="shared" si="87"/>
        <v>0</v>
      </c>
      <c r="H615" s="734">
        <f t="shared" si="87"/>
        <v>0</v>
      </c>
      <c r="I615" s="734">
        <f t="shared" si="87"/>
        <v>0</v>
      </c>
      <c r="J615" s="734">
        <f t="shared" si="87"/>
        <v>0</v>
      </c>
      <c r="K615" s="734">
        <f t="shared" si="87"/>
        <v>0</v>
      </c>
      <c r="L615" s="734">
        <f t="shared" si="87"/>
        <v>0</v>
      </c>
      <c r="M615" s="719" t="s">
        <v>3277</v>
      </c>
    </row>
    <row r="616" spans="2:21" ht="20.149999999999999" customHeight="1" thickTop="1" x14ac:dyDescent="0.35">
      <c r="B616" s="711" t="s">
        <v>3671</v>
      </c>
      <c r="C616" s="712" t="s">
        <v>3156</v>
      </c>
      <c r="D616" s="712" t="s">
        <v>3157</v>
      </c>
      <c r="E616" s="712" t="s">
        <v>23</v>
      </c>
      <c r="F616" s="712" t="s">
        <v>1798</v>
      </c>
      <c r="G616" s="712" t="s">
        <v>1799</v>
      </c>
      <c r="H616" s="712" t="s">
        <v>1800</v>
      </c>
      <c r="I616" s="712" t="s">
        <v>1801</v>
      </c>
      <c r="J616" s="712" t="s">
        <v>1802</v>
      </c>
      <c r="K616" s="712" t="s">
        <v>1803</v>
      </c>
      <c r="L616" s="713" t="s">
        <v>1804</v>
      </c>
      <c r="M616" s="714" t="s">
        <v>3158</v>
      </c>
    </row>
    <row r="617" spans="2:21" ht="20.149999999999999" customHeight="1" x14ac:dyDescent="0.35">
      <c r="B617" s="715" t="s">
        <v>3759</v>
      </c>
      <c r="C617" s="716" t="s">
        <v>3760</v>
      </c>
      <c r="D617" s="717" t="s">
        <v>3761</v>
      </c>
      <c r="E617" s="735">
        <f>IFERROR(VLOOKUP($B617,costs!$A$2:$J$2968,E$2,FALSE),0)</f>
        <v>0</v>
      </c>
      <c r="F617" s="735">
        <f>IFERROR(VLOOKUP($B617,costs!$A$2:$J$2968,F$2,FALSE),0)</f>
        <v>0</v>
      </c>
      <c r="G617" s="735">
        <f>IFERROR(VLOOKUP($B617,costs!$A$2:$J$2968,G$2,FALSE),0)</f>
        <v>0</v>
      </c>
      <c r="H617" s="735">
        <f>IFERROR(VLOOKUP($B617,costs!$A$2:$J$2968,H$2,FALSE),0)</f>
        <v>0</v>
      </c>
      <c r="I617" s="735">
        <f>IFERROR(VLOOKUP($B617,costs!$A$2:$J$2968,I$2,FALSE),0)</f>
        <v>0</v>
      </c>
      <c r="J617" s="735">
        <f>IFERROR(VLOOKUP($B617,costs!$A$2:$J$2968,J$2,FALSE),0)</f>
        <v>0</v>
      </c>
      <c r="K617" s="735">
        <f>IFERROR(VLOOKUP($B617,costs!$A$2:$J$2968,K$2,FALSE),0)</f>
        <v>0</v>
      </c>
      <c r="L617" s="735">
        <f>IFERROR(VLOOKUP($B617,costs!$A$2:$J$2968,L$2,FALSE),0)</f>
        <v>0</v>
      </c>
      <c r="M617" s="719" t="s">
        <v>3277</v>
      </c>
    </row>
    <row r="618" spans="2:21" ht="20.149999999999999" customHeight="1" x14ac:dyDescent="0.35">
      <c r="B618" s="715" t="s">
        <v>3762</v>
      </c>
      <c r="C618" s="716" t="s">
        <v>3763</v>
      </c>
      <c r="D618" s="717" t="s">
        <v>3764</v>
      </c>
      <c r="E618" s="735">
        <f>IFERROR(VLOOKUP($B618,costs!$A$2:$J$2968,E$2,FALSE),0)</f>
        <v>0</v>
      </c>
      <c r="F618" s="735">
        <f>IFERROR(VLOOKUP($B618,costs!$A$2:$J$2968,F$2,FALSE),0)</f>
        <v>0</v>
      </c>
      <c r="G618" s="735">
        <f>IFERROR(VLOOKUP($B618,costs!$A$2:$J$2968,G$2,FALSE),0)</f>
        <v>0</v>
      </c>
      <c r="H618" s="735">
        <f>IFERROR(VLOOKUP($B618,costs!$A$2:$J$2968,H$2,FALSE),0)</f>
        <v>0</v>
      </c>
      <c r="I618" s="735">
        <f>IFERROR(VLOOKUP($B618,costs!$A$2:$J$2968,I$2,FALSE),0)</f>
        <v>0</v>
      </c>
      <c r="J618" s="735">
        <f>IFERROR(VLOOKUP($B618,costs!$A$2:$J$2968,J$2,FALSE),0)</f>
        <v>0</v>
      </c>
      <c r="K618" s="735">
        <f>IFERROR(VLOOKUP($B618,costs!$A$2:$J$2968,K$2,FALSE),0)</f>
        <v>0</v>
      </c>
      <c r="L618" s="735">
        <f>IFERROR(VLOOKUP($B618,costs!$A$2:$J$2968,L$2,FALSE),0)</f>
        <v>0</v>
      </c>
      <c r="M618" s="719" t="s">
        <v>3277</v>
      </c>
    </row>
    <row r="619" spans="2:21" ht="20.149999999999999" customHeight="1" x14ac:dyDescent="0.35">
      <c r="B619" s="715" t="s">
        <v>3765</v>
      </c>
      <c r="C619" s="716" t="s">
        <v>3766</v>
      </c>
      <c r="D619" s="717" t="s">
        <v>3767</v>
      </c>
      <c r="E619" s="735">
        <f>IFERROR(VLOOKUP($B619,costs!$A$2:$J$2968,E$2,FALSE),0)</f>
        <v>0</v>
      </c>
      <c r="F619" s="735">
        <f>IFERROR(VLOOKUP($B619,costs!$A$2:$J$2968,F$2,FALSE),0)</f>
        <v>0</v>
      </c>
      <c r="G619" s="735">
        <f>IFERROR(VLOOKUP($B619,costs!$A$2:$J$2968,G$2,FALSE),0)</f>
        <v>0</v>
      </c>
      <c r="H619" s="735">
        <f>IFERROR(VLOOKUP($B619,costs!$A$2:$J$2968,H$2,FALSE),0)</f>
        <v>0</v>
      </c>
      <c r="I619" s="735">
        <f>IFERROR(VLOOKUP($B619,costs!$A$2:$J$2968,I$2,FALSE),0)</f>
        <v>0</v>
      </c>
      <c r="J619" s="735">
        <f>IFERROR(VLOOKUP($B619,costs!$A$2:$J$2968,J$2,FALSE),0)</f>
        <v>0</v>
      </c>
      <c r="K619" s="735">
        <f>IFERROR(VLOOKUP($B619,costs!$A$2:$J$2968,K$2,FALSE),0)</f>
        <v>0</v>
      </c>
      <c r="L619" s="735">
        <f>IFERROR(VLOOKUP($B619,costs!$A$2:$J$2968,L$2,FALSE),0)</f>
        <v>0</v>
      </c>
      <c r="M619" s="719" t="s">
        <v>3277</v>
      </c>
    </row>
    <row r="620" spans="2:21" ht="20.149999999999999" customHeight="1" x14ac:dyDescent="0.35">
      <c r="B620" s="717" t="s">
        <v>3768</v>
      </c>
      <c r="C620" s="716" t="s">
        <v>3769</v>
      </c>
      <c r="D620" s="717" t="s">
        <v>3770</v>
      </c>
      <c r="E620" s="735">
        <f>IFERROR(VLOOKUP($B620,costs!$A$2:$J$2968,E$2,FALSE),0)</f>
        <v>0</v>
      </c>
      <c r="F620" s="735">
        <f>IFERROR(VLOOKUP($B620,costs!$A$2:$J$2968,F$2,FALSE),0)</f>
        <v>0</v>
      </c>
      <c r="G620" s="735">
        <f>IFERROR(VLOOKUP($B620,costs!$A$2:$J$2968,G$2,FALSE),0)</f>
        <v>0</v>
      </c>
      <c r="H620" s="735">
        <f>IFERROR(VLOOKUP($B620,costs!$A$2:$J$2968,H$2,FALSE),0)</f>
        <v>0</v>
      </c>
      <c r="I620" s="735">
        <f>IFERROR(VLOOKUP($B620,costs!$A$2:$J$2968,I$2,FALSE),0)</f>
        <v>0</v>
      </c>
      <c r="J620" s="735">
        <f>IFERROR(VLOOKUP($B620,costs!$A$2:$J$2968,J$2,FALSE),0)</f>
        <v>0</v>
      </c>
      <c r="K620" s="735">
        <f>IFERROR(VLOOKUP($B620,costs!$A$2:$J$2968,K$2,FALSE),0)</f>
        <v>0</v>
      </c>
      <c r="L620" s="735">
        <f>IFERROR(VLOOKUP($B620,costs!$A$2:$J$2968,L$2,FALSE),0)</f>
        <v>0</v>
      </c>
      <c r="M620" s="719" t="s">
        <v>3277</v>
      </c>
    </row>
    <row r="621" spans="2:21" ht="20.149999999999999" customHeight="1" x14ac:dyDescent="0.35">
      <c r="B621" s="736" t="s">
        <v>3771</v>
      </c>
      <c r="C621" s="716" t="s">
        <v>3772</v>
      </c>
      <c r="D621" s="717" t="s">
        <v>3773</v>
      </c>
      <c r="E621" s="735">
        <f>IFERROR(VLOOKUP($B621,costs!$A$2:$J$2968,E$2,FALSE),0)</f>
        <v>0</v>
      </c>
      <c r="F621" s="735">
        <f>IFERROR(VLOOKUP($B621,costs!$A$2:$J$2968,F$2,FALSE),0)</f>
        <v>0</v>
      </c>
      <c r="G621" s="735">
        <f>IFERROR(VLOOKUP($B621,costs!$A$2:$J$2968,G$2,FALSE),0)</f>
        <v>0</v>
      </c>
      <c r="H621" s="735">
        <f>IFERROR(VLOOKUP($B621,costs!$A$2:$J$2968,H$2,FALSE),0)</f>
        <v>0</v>
      </c>
      <c r="I621" s="735">
        <f>IFERROR(VLOOKUP($B621,costs!$A$2:$J$2968,I$2,FALSE),0)</f>
        <v>0</v>
      </c>
      <c r="J621" s="735">
        <f>IFERROR(VLOOKUP($B621,costs!$A$2:$J$2968,J$2,FALSE),0)</f>
        <v>0</v>
      </c>
      <c r="K621" s="735">
        <f>IFERROR(VLOOKUP($B621,costs!$A$2:$J$2968,K$2,FALSE),0)</f>
        <v>0</v>
      </c>
      <c r="L621" s="735">
        <f>IFERROR(VLOOKUP($B621,costs!$A$2:$J$2968,L$2,FALSE),0)</f>
        <v>0</v>
      </c>
      <c r="M621" s="719" t="s">
        <v>3277</v>
      </c>
    </row>
    <row r="622" spans="2:21" ht="20.149999999999999" customHeight="1" x14ac:dyDescent="0.35">
      <c r="B622" s="736" t="s">
        <v>3774</v>
      </c>
      <c r="C622" s="716" t="s">
        <v>3775</v>
      </c>
      <c r="D622" s="717" t="s">
        <v>3776</v>
      </c>
      <c r="E622" s="735">
        <f t="shared" ref="E622:L623" si="89">SUM(E617+E619)</f>
        <v>0</v>
      </c>
      <c r="F622" s="735">
        <f t="shared" si="89"/>
        <v>0</v>
      </c>
      <c r="G622" s="735">
        <f t="shared" si="89"/>
        <v>0</v>
      </c>
      <c r="H622" s="735">
        <f t="shared" si="89"/>
        <v>0</v>
      </c>
      <c r="I622" s="735">
        <f t="shared" si="89"/>
        <v>0</v>
      </c>
      <c r="J622" s="735">
        <f t="shared" si="89"/>
        <v>0</v>
      </c>
      <c r="K622" s="735">
        <f t="shared" si="89"/>
        <v>0</v>
      </c>
      <c r="L622" s="735">
        <f t="shared" si="89"/>
        <v>0</v>
      </c>
      <c r="M622" s="719" t="s">
        <v>3277</v>
      </c>
    </row>
    <row r="623" spans="2:21" ht="20.149999999999999" customHeight="1" x14ac:dyDescent="0.35">
      <c r="B623" s="736" t="s">
        <v>3777</v>
      </c>
      <c r="C623" s="716" t="s">
        <v>3778</v>
      </c>
      <c r="D623" s="717" t="s">
        <v>3779</v>
      </c>
      <c r="E623" s="735">
        <f t="shared" si="89"/>
        <v>0</v>
      </c>
      <c r="F623" s="735">
        <f t="shared" si="89"/>
        <v>0</v>
      </c>
      <c r="G623" s="735">
        <f t="shared" si="89"/>
        <v>0</v>
      </c>
      <c r="H623" s="735">
        <f t="shared" si="89"/>
        <v>0</v>
      </c>
      <c r="I623" s="735">
        <f t="shared" si="89"/>
        <v>0</v>
      </c>
      <c r="J623" s="735">
        <f t="shared" si="89"/>
        <v>0</v>
      </c>
      <c r="K623" s="735">
        <f t="shared" si="89"/>
        <v>0</v>
      </c>
      <c r="L623" s="735">
        <f t="shared" si="89"/>
        <v>0</v>
      </c>
      <c r="M623" s="719" t="s">
        <v>3277</v>
      </c>
    </row>
    <row r="624" spans="2:21" ht="20.149999999999999" customHeight="1" x14ac:dyDescent="0.35">
      <c r="B624" s="736" t="s">
        <v>3780</v>
      </c>
      <c r="C624" s="716" t="s">
        <v>3781</v>
      </c>
      <c r="D624" s="736" t="s">
        <v>3780</v>
      </c>
      <c r="E624" s="735">
        <f t="shared" ref="E624:L624" si="90">E622/E666*1000</f>
        <v>0</v>
      </c>
      <c r="F624" s="735">
        <f t="shared" si="90"/>
        <v>0</v>
      </c>
      <c r="G624" s="735">
        <f t="shared" si="90"/>
        <v>0</v>
      </c>
      <c r="H624" s="735">
        <f t="shared" si="90"/>
        <v>0</v>
      </c>
      <c r="I624" s="735">
        <f t="shared" si="90"/>
        <v>0</v>
      </c>
      <c r="J624" s="735">
        <f t="shared" si="90"/>
        <v>0</v>
      </c>
      <c r="K624" s="735">
        <f t="shared" si="90"/>
        <v>0</v>
      </c>
      <c r="L624" s="735" t="e">
        <f t="shared" si="90"/>
        <v>#DIV/0!</v>
      </c>
      <c r="M624" s="719" t="s">
        <v>3782</v>
      </c>
    </row>
    <row r="625" spans="2:13" ht="20.149999999999999" customHeight="1" x14ac:dyDescent="0.35">
      <c r="B625" s="736" t="s">
        <v>3783</v>
      </c>
      <c r="C625" s="716" t="s">
        <v>3781</v>
      </c>
      <c r="D625" s="736" t="s">
        <v>3783</v>
      </c>
      <c r="E625" s="735">
        <f t="shared" ref="E625:L625" si="91">E623/(E667+E668)*1000</f>
        <v>0</v>
      </c>
      <c r="F625" s="735">
        <f t="shared" si="91"/>
        <v>0</v>
      </c>
      <c r="G625" s="735">
        <f t="shared" si="91"/>
        <v>0</v>
      </c>
      <c r="H625" s="735">
        <f t="shared" si="91"/>
        <v>0</v>
      </c>
      <c r="I625" s="735">
        <f t="shared" si="91"/>
        <v>0</v>
      </c>
      <c r="J625" s="735">
        <f t="shared" si="91"/>
        <v>0</v>
      </c>
      <c r="K625" s="735">
        <f t="shared" si="91"/>
        <v>0</v>
      </c>
      <c r="L625" s="735" t="e">
        <f t="shared" si="91"/>
        <v>#DIV/0!</v>
      </c>
      <c r="M625" s="719" t="s">
        <v>3782</v>
      </c>
    </row>
    <row r="626" spans="2:13" ht="20.149999999999999" customHeight="1" thickBot="1" x14ac:dyDescent="0.4">
      <c r="B626" s="715" t="s">
        <v>3784</v>
      </c>
      <c r="C626" s="716" t="s">
        <v>3785</v>
      </c>
      <c r="D626" s="717" t="s">
        <v>3786</v>
      </c>
      <c r="E626" s="735">
        <f>IFERROR(VLOOKUP($B626,costs!$A$2:$J$2968,E$2,FALSE),0)</f>
        <v>0</v>
      </c>
      <c r="F626" s="735">
        <f>IFERROR(VLOOKUP($B626,costs!$A$2:$J$2968,F$2,FALSE),0)</f>
        <v>0</v>
      </c>
      <c r="G626" s="735">
        <f>IFERROR(VLOOKUP($B626,costs!$A$2:$J$2968,G$2,FALSE),0)</f>
        <v>0</v>
      </c>
      <c r="H626" s="735">
        <f>IFERROR(VLOOKUP($B626,costs!$A$2:$J$2968,H$2,FALSE),0)</f>
        <v>0</v>
      </c>
      <c r="I626" s="735">
        <f>IFERROR(VLOOKUP($B626,costs!$A$2:$J$2968,I$2,FALSE),0)</f>
        <v>0</v>
      </c>
      <c r="J626" s="735">
        <f>IFERROR(VLOOKUP($B626,costs!$A$2:$J$2968,J$2,FALSE),0)</f>
        <v>0</v>
      </c>
      <c r="K626" s="735">
        <f>IFERROR(VLOOKUP($B626,costs!$A$2:$J$2968,K$2,FALSE),0)</f>
        <v>0</v>
      </c>
      <c r="L626" s="735">
        <f>IFERROR(VLOOKUP($B626,costs!$A$2:$J$2968,L$2,FALSE),0)</f>
        <v>0</v>
      </c>
      <c r="M626" s="719" t="s">
        <v>3277</v>
      </c>
    </row>
    <row r="627" spans="2:13" ht="20.149999999999999" customHeight="1" thickTop="1" x14ac:dyDescent="0.35">
      <c r="B627" s="711" t="s">
        <v>3671</v>
      </c>
      <c r="C627" s="712" t="s">
        <v>3156</v>
      </c>
      <c r="D627" s="712" t="s">
        <v>3157</v>
      </c>
      <c r="E627" s="712" t="s">
        <v>23</v>
      </c>
      <c r="F627" s="712" t="s">
        <v>1798</v>
      </c>
      <c r="G627" s="712" t="s">
        <v>1799</v>
      </c>
      <c r="H627" s="712" t="s">
        <v>1800</v>
      </c>
      <c r="I627" s="712" t="s">
        <v>1801</v>
      </c>
      <c r="J627" s="712" t="s">
        <v>1802</v>
      </c>
      <c r="K627" s="712" t="s">
        <v>1803</v>
      </c>
      <c r="L627" s="713" t="s">
        <v>1804</v>
      </c>
      <c r="M627" s="714" t="s">
        <v>3158</v>
      </c>
    </row>
    <row r="628" spans="2:13" ht="20.149999999999999" customHeight="1" x14ac:dyDescent="0.35">
      <c r="B628" s="737" t="s">
        <v>3787</v>
      </c>
      <c r="C628" s="738" t="s">
        <v>3163</v>
      </c>
      <c r="D628" s="739" t="s">
        <v>3164</v>
      </c>
      <c r="E628" s="740">
        <f t="shared" ref="E628:L630" si="92">SUM(E5+E15+E27+E37+E50+E58+E68+E76)</f>
        <v>7586.8198539492005</v>
      </c>
      <c r="F628" s="740">
        <f t="shared" si="92"/>
        <v>275.37751254004604</v>
      </c>
      <c r="G628" s="740">
        <f t="shared" si="92"/>
        <v>42.59367694143895</v>
      </c>
      <c r="H628" s="740">
        <f t="shared" si="92"/>
        <v>386.71128623799785</v>
      </c>
      <c r="I628" s="740">
        <f t="shared" si="92"/>
        <v>1362.535039299569</v>
      </c>
      <c r="J628" s="740">
        <f t="shared" si="92"/>
        <v>3174.5207221683495</v>
      </c>
      <c r="K628" s="740">
        <f t="shared" si="92"/>
        <v>7586.8362088391887</v>
      </c>
      <c r="L628" s="740">
        <f t="shared" si="92"/>
        <v>0</v>
      </c>
      <c r="M628" s="741" t="s">
        <v>3165</v>
      </c>
    </row>
    <row r="629" spans="2:13" ht="20.149999999999999" customHeight="1" x14ac:dyDescent="0.35">
      <c r="B629" s="737" t="s">
        <v>3787</v>
      </c>
      <c r="C629" s="738" t="s">
        <v>3169</v>
      </c>
      <c r="D629" s="739" t="s">
        <v>2266</v>
      </c>
      <c r="E629" s="740">
        <f t="shared" si="92"/>
        <v>0.10756676573521827</v>
      </c>
      <c r="F629" s="740">
        <f t="shared" si="92"/>
        <v>1737.838909837192</v>
      </c>
      <c r="G629" s="740">
        <f t="shared" si="92"/>
        <v>2367.8043916469301</v>
      </c>
      <c r="H629" s="740">
        <f t="shared" si="92"/>
        <v>3091.5082000951347</v>
      </c>
      <c r="I629" s="740">
        <f t="shared" si="92"/>
        <v>1851.4549424126446</v>
      </c>
      <c r="J629" s="740">
        <f t="shared" si="92"/>
        <v>1719.6372447215231</v>
      </c>
      <c r="K629" s="740">
        <f t="shared" si="92"/>
        <v>1.0623652630128212E-3</v>
      </c>
      <c r="L629" s="740">
        <f t="shared" si="92"/>
        <v>0</v>
      </c>
      <c r="M629" s="741" t="s">
        <v>3165</v>
      </c>
    </row>
    <row r="630" spans="2:13" ht="20.149999999999999" customHeight="1" x14ac:dyDescent="0.35">
      <c r="B630" s="737" t="s">
        <v>3787</v>
      </c>
      <c r="C630" s="738" t="s">
        <v>3788</v>
      </c>
      <c r="D630" s="739" t="s">
        <v>3175</v>
      </c>
      <c r="E630" s="740">
        <f t="shared" si="92"/>
        <v>0.11580720184872392</v>
      </c>
      <c r="F630" s="740">
        <f t="shared" si="92"/>
        <v>3937.4583220136328</v>
      </c>
      <c r="G630" s="740">
        <f t="shared" si="92"/>
        <v>3494.2670101390363</v>
      </c>
      <c r="H630" s="740">
        <f t="shared" si="92"/>
        <v>2378.9147986013722</v>
      </c>
      <c r="I630" s="740">
        <f t="shared" si="92"/>
        <v>1866.0593011884018</v>
      </c>
      <c r="J630" s="740">
        <f t="shared" si="92"/>
        <v>741.97125755042225</v>
      </c>
      <c r="K630" s="740">
        <f t="shared" si="92"/>
        <v>0.12516000551541331</v>
      </c>
      <c r="L630" s="740">
        <f t="shared" si="92"/>
        <v>0</v>
      </c>
      <c r="M630" s="741" t="s">
        <v>3165</v>
      </c>
    </row>
    <row r="631" spans="2:13" ht="20.149999999999999" customHeight="1" x14ac:dyDescent="0.35">
      <c r="B631" s="737" t="s">
        <v>3787</v>
      </c>
      <c r="C631" s="738" t="s">
        <v>3180</v>
      </c>
      <c r="D631" s="739" t="s">
        <v>3181</v>
      </c>
      <c r="E631" s="740">
        <f t="shared" ref="E631:L632" si="93">SUM(E8+E18+E30+E40)</f>
        <v>1.177040674472871E-2</v>
      </c>
      <c r="F631" s="740">
        <f t="shared" si="93"/>
        <v>177.41884591853315</v>
      </c>
      <c r="G631" s="740">
        <f t="shared" si="93"/>
        <v>68.042365086040675</v>
      </c>
      <c r="H631" s="740">
        <f t="shared" si="93"/>
        <v>1.5964384523343349</v>
      </c>
      <c r="I631" s="740">
        <f t="shared" si="93"/>
        <v>0.68901500398297044</v>
      </c>
      <c r="J631" s="740">
        <f t="shared" si="93"/>
        <v>6.5778357123821146E-4</v>
      </c>
      <c r="K631" s="740">
        <f t="shared" si="93"/>
        <v>3.9518859139926882E-5</v>
      </c>
      <c r="L631" s="740">
        <f t="shared" si="93"/>
        <v>0</v>
      </c>
      <c r="M631" s="741" t="s">
        <v>3165</v>
      </c>
    </row>
    <row r="632" spans="2:13" ht="20.149999999999999" customHeight="1" x14ac:dyDescent="0.35">
      <c r="B632" s="737" t="s">
        <v>3787</v>
      </c>
      <c r="C632" s="738" t="s">
        <v>3186</v>
      </c>
      <c r="D632" s="739" t="s">
        <v>3187</v>
      </c>
      <c r="E632" s="740">
        <f t="shared" si="93"/>
        <v>1.2999298890403667E-2</v>
      </c>
      <c r="F632" s="740">
        <f t="shared" si="93"/>
        <v>438.4179366566263</v>
      </c>
      <c r="G632" s="740">
        <f t="shared" si="93"/>
        <v>56.939224006210807</v>
      </c>
      <c r="H632" s="740">
        <f t="shared" si="93"/>
        <v>2.1996108647884705</v>
      </c>
      <c r="I632" s="740">
        <f t="shared" si="93"/>
        <v>0.59832863437625206</v>
      </c>
      <c r="J632" s="740">
        <f t="shared" si="93"/>
        <v>6.5103813717327713E-4</v>
      </c>
      <c r="K632" s="740">
        <f t="shared" si="93"/>
        <v>4.3508708453636675E-5</v>
      </c>
      <c r="L632" s="740">
        <f t="shared" si="93"/>
        <v>0</v>
      </c>
      <c r="M632" s="741" t="s">
        <v>3165</v>
      </c>
    </row>
    <row r="633" spans="2:13" ht="20.149999999999999" customHeight="1" x14ac:dyDescent="0.35">
      <c r="B633" s="737" t="s">
        <v>3787</v>
      </c>
      <c r="C633" s="738" t="s">
        <v>3191</v>
      </c>
      <c r="D633" s="739" t="s">
        <v>3192</v>
      </c>
      <c r="E633" s="740">
        <f t="shared" ref="E633:L636" si="94">SUM(E10+E20+E32+E42+E53+E61+E71+E79)</f>
        <v>8.7420078172763954E-2</v>
      </c>
      <c r="F633" s="740">
        <f t="shared" si="94"/>
        <v>310.8968901139591</v>
      </c>
      <c r="G633" s="740">
        <f t="shared" si="94"/>
        <v>187.03377924653563</v>
      </c>
      <c r="H633" s="740">
        <f t="shared" si="94"/>
        <v>342.03368694133832</v>
      </c>
      <c r="I633" s="740">
        <f t="shared" si="94"/>
        <v>411.22028563460771</v>
      </c>
      <c r="J633" s="740">
        <f t="shared" si="94"/>
        <v>476.84968696742936</v>
      </c>
      <c r="K633" s="740">
        <f t="shared" si="94"/>
        <v>4.851156766969173E-4</v>
      </c>
      <c r="L633" s="740">
        <f t="shared" si="94"/>
        <v>0</v>
      </c>
      <c r="M633" s="741" t="s">
        <v>3165</v>
      </c>
    </row>
    <row r="634" spans="2:13" ht="20.149999999999999" customHeight="1" x14ac:dyDescent="0.35">
      <c r="B634" s="737" t="s">
        <v>3787</v>
      </c>
      <c r="C634" s="738" t="s">
        <v>3197</v>
      </c>
      <c r="D634" s="739" t="s">
        <v>3198</v>
      </c>
      <c r="E634" s="740">
        <f t="shared" si="94"/>
        <v>0.11741654384048249</v>
      </c>
      <c r="F634" s="740">
        <f t="shared" si="94"/>
        <v>0</v>
      </c>
      <c r="G634" s="740">
        <f t="shared" si="94"/>
        <v>291.90828489879812</v>
      </c>
      <c r="H634" s="740">
        <f t="shared" si="94"/>
        <v>237.59717846647632</v>
      </c>
      <c r="I634" s="740">
        <f t="shared" si="94"/>
        <v>272.33952669677552</v>
      </c>
      <c r="J634" s="740">
        <f t="shared" si="94"/>
        <v>3.2492248024055107E-3</v>
      </c>
      <c r="K634" s="740">
        <f t="shared" si="94"/>
        <v>3.977599455495612E-4</v>
      </c>
      <c r="L634" s="740">
        <f t="shared" si="94"/>
        <v>0</v>
      </c>
      <c r="M634" s="741" t="s">
        <v>3165</v>
      </c>
    </row>
    <row r="635" spans="2:13" ht="20.149999999999999" customHeight="1" x14ac:dyDescent="0.35">
      <c r="B635" s="737" t="s">
        <v>3787</v>
      </c>
      <c r="C635" s="738" t="s">
        <v>3202</v>
      </c>
      <c r="D635" s="739" t="s">
        <v>3757</v>
      </c>
      <c r="E635" s="740">
        <f t="shared" si="94"/>
        <v>0.12227218625642301</v>
      </c>
      <c r="F635" s="740">
        <f t="shared" si="94"/>
        <v>0</v>
      </c>
      <c r="G635" s="740">
        <f t="shared" si="94"/>
        <v>4.6330414471830883</v>
      </c>
      <c r="H635" s="740">
        <f t="shared" si="94"/>
        <v>1.1270165506166661E-2</v>
      </c>
      <c r="I635" s="740">
        <f t="shared" si="94"/>
        <v>1.1154051146575496E-2</v>
      </c>
      <c r="J635" s="740">
        <f t="shared" si="94"/>
        <v>7.7147585433554652E-4</v>
      </c>
      <c r="K635" s="740">
        <f t="shared" si="94"/>
        <v>3.7838417496649171E-4</v>
      </c>
      <c r="L635" s="740">
        <f t="shared" si="94"/>
        <v>0</v>
      </c>
      <c r="M635" s="741" t="s">
        <v>3165</v>
      </c>
    </row>
    <row r="636" spans="2:13" ht="20.149999999999999" customHeight="1" x14ac:dyDescent="0.35">
      <c r="B636" s="737" t="s">
        <v>3787</v>
      </c>
      <c r="C636" s="738" t="s">
        <v>3205</v>
      </c>
      <c r="D636" s="739" t="s">
        <v>3206</v>
      </c>
      <c r="E636" s="740">
        <f t="shared" si="94"/>
        <v>206.04920302874572</v>
      </c>
      <c r="F636" s="740">
        <f t="shared" si="94"/>
        <v>0</v>
      </c>
      <c r="G636" s="740">
        <f t="shared" si="94"/>
        <v>18.119318547726206</v>
      </c>
      <c r="H636" s="740">
        <f t="shared" si="94"/>
        <v>43.834635711518708</v>
      </c>
      <c r="I636" s="740">
        <f t="shared" si="94"/>
        <v>383.92181224235401</v>
      </c>
      <c r="J636" s="740">
        <f t="shared" si="94"/>
        <v>471.27844466584475</v>
      </c>
      <c r="K636" s="740">
        <f t="shared" si="94"/>
        <v>205.9208038599177</v>
      </c>
      <c r="L636" s="740">
        <f t="shared" si="94"/>
        <v>0</v>
      </c>
      <c r="M636" s="741" t="s">
        <v>3165</v>
      </c>
    </row>
    <row r="637" spans="2:13" ht="20.149999999999999" customHeight="1" x14ac:dyDescent="0.35">
      <c r="B637" s="737" t="s">
        <v>3787</v>
      </c>
      <c r="C637" s="738" t="s">
        <v>3789</v>
      </c>
      <c r="D637" s="739" t="s">
        <v>3790</v>
      </c>
      <c r="E637" s="742">
        <f>SUM(E628:E636)</f>
        <v>7793.4443094594353</v>
      </c>
      <c r="F637" s="742">
        <f t="shared" ref="F637:L637" si="95">SUM(F628:F636)</f>
        <v>6877.4084170799888</v>
      </c>
      <c r="G637" s="742">
        <f t="shared" si="95"/>
        <v>6531.3410919598982</v>
      </c>
      <c r="H637" s="742">
        <f t="shared" si="95"/>
        <v>6484.4071055364666</v>
      </c>
      <c r="I637" s="742">
        <f t="shared" si="95"/>
        <v>6148.8294051638568</v>
      </c>
      <c r="J637" s="742">
        <f t="shared" si="95"/>
        <v>6584.2626855959334</v>
      </c>
      <c r="K637" s="742">
        <f t="shared" si="95"/>
        <v>7792.88457935725</v>
      </c>
      <c r="L637" s="742">
        <f t="shared" si="95"/>
        <v>0</v>
      </c>
      <c r="M637" s="741" t="s">
        <v>3165</v>
      </c>
    </row>
    <row r="638" spans="2:13" ht="20.149999999999999" customHeight="1" thickBot="1" x14ac:dyDescent="0.4">
      <c r="B638" s="737" t="s">
        <v>3787</v>
      </c>
      <c r="C638" s="738" t="s">
        <v>3791</v>
      </c>
      <c r="D638" s="739" t="s">
        <v>3792</v>
      </c>
      <c r="E638" s="742">
        <f t="shared" ref="E638:L638" si="96">E637+E406+E427+E444+E461</f>
        <v>7793.4443094594353</v>
      </c>
      <c r="F638" s="742">
        <f t="shared" si="96"/>
        <v>6877.4084170799888</v>
      </c>
      <c r="G638" s="742">
        <f t="shared" si="96"/>
        <v>6531.3410919598982</v>
      </c>
      <c r="H638" s="742">
        <f t="shared" si="96"/>
        <v>6484.4071055364666</v>
      </c>
      <c r="I638" s="742">
        <f t="shared" si="96"/>
        <v>6148.8294051638568</v>
      </c>
      <c r="J638" s="742">
        <f t="shared" si="96"/>
        <v>6584.2626855959334</v>
      </c>
      <c r="K638" s="742">
        <f t="shared" si="96"/>
        <v>7792.88457935725</v>
      </c>
      <c r="L638" s="742">
        <f t="shared" si="96"/>
        <v>0</v>
      </c>
      <c r="M638" s="741" t="s">
        <v>3165</v>
      </c>
    </row>
    <row r="639" spans="2:13" ht="20.149999999999999" customHeight="1" thickTop="1" x14ac:dyDescent="0.35">
      <c r="B639" s="711" t="s">
        <v>3671</v>
      </c>
      <c r="C639" s="712" t="s">
        <v>3156</v>
      </c>
      <c r="D639" s="712" t="s">
        <v>3157</v>
      </c>
      <c r="E639" s="712" t="s">
        <v>23</v>
      </c>
      <c r="F639" s="712" t="s">
        <v>1798</v>
      </c>
      <c r="G639" s="712" t="s">
        <v>1799</v>
      </c>
      <c r="H639" s="712" t="s">
        <v>1800</v>
      </c>
      <c r="I639" s="712" t="s">
        <v>1801</v>
      </c>
      <c r="J639" s="712" t="s">
        <v>1802</v>
      </c>
      <c r="K639" s="712" t="s">
        <v>1803</v>
      </c>
      <c r="L639" s="713" t="s">
        <v>1804</v>
      </c>
      <c r="M639" s="714" t="s">
        <v>3158</v>
      </c>
    </row>
    <row r="640" spans="2:13" ht="20.149999999999999" customHeight="1" x14ac:dyDescent="0.35">
      <c r="B640" s="715" t="s">
        <v>3787</v>
      </c>
      <c r="C640" s="716" t="s">
        <v>1167</v>
      </c>
      <c r="D640" s="717" t="s">
        <v>3793</v>
      </c>
      <c r="E640" s="742" t="e">
        <f>SUMIF($C$88:$C$226,$C$88,E$88:E$226)*(1-Erdgas!F16)</f>
        <v>#N/A</v>
      </c>
      <c r="F640" s="742" t="e">
        <f>SUMIF($C$88:$C$226,$C$88,F$88:F$226)*(1-Erdgas!G16)</f>
        <v>#N/A</v>
      </c>
      <c r="G640" s="742" t="e">
        <f>SUMIF($C$88:$C$226,$C$88,G$88:G$226)*(1-Erdgas!H16)</f>
        <v>#N/A</v>
      </c>
      <c r="H640" s="742" t="e">
        <f>SUMIF($C$88:$C$226,$C$88,H$88:H$226)*(1-Erdgas!I16)</f>
        <v>#N/A</v>
      </c>
      <c r="I640" s="742" t="e">
        <f>SUMIF($C$88:$C$226,$C$88,I$88:I$226)*(1-Erdgas!J16)</f>
        <v>#N/A</v>
      </c>
      <c r="J640" s="742" t="e">
        <f>SUMIF($C$88:$C$226,$C$88,J$88:J$226)*(1-Erdgas!K16)</f>
        <v>#N/A</v>
      </c>
      <c r="K640" s="742" t="e">
        <f>SUMIF($C$88:$C$226,$C$88,K$88:K$226)*(1-Erdgas!L16)</f>
        <v>#N/A</v>
      </c>
      <c r="L640" s="742" t="e">
        <f>SUMIF($C$88:$C$226,$C$88,L$88:L$226)*(1-Erdgas!M16)</f>
        <v>#N/A</v>
      </c>
      <c r="M640" s="741" t="s">
        <v>3794</v>
      </c>
    </row>
    <row r="641" spans="2:13" ht="20.149999999999999" customHeight="1" x14ac:dyDescent="0.35">
      <c r="B641" s="715"/>
      <c r="C641" s="716" t="s">
        <v>1413</v>
      </c>
      <c r="D641" s="717" t="s">
        <v>4069</v>
      </c>
      <c r="E641" s="742" t="e">
        <f>SUMIF($C$88:$C$226,$C$88,E$88:E$226)*Erdgas!F16</f>
        <v>#N/A</v>
      </c>
      <c r="F641" s="742" t="e">
        <f>SUMIF($C$88:$C$226,$C$88,F$88:F$226)*Erdgas!G16</f>
        <v>#N/A</v>
      </c>
      <c r="G641" s="742" t="e">
        <f>SUMIF($C$88:$C$226,$C$88,G$88:G$226)*Erdgas!H16</f>
        <v>#N/A</v>
      </c>
      <c r="H641" s="742" t="e">
        <f>SUMIF($C$88:$C$226,$C$88,H$88:H$226)*Erdgas!I16</f>
        <v>#N/A</v>
      </c>
      <c r="I641" s="742" t="e">
        <f>SUMIF($C$88:$C$226,$C$88,I$88:I$226)*Erdgas!J16</f>
        <v>#N/A</v>
      </c>
      <c r="J641" s="742" t="e">
        <f>SUMIF($C$88:$C$226,$C$88,J$88:J$226)*Erdgas!K16</f>
        <v>#N/A</v>
      </c>
      <c r="K641" s="742" t="e">
        <f>SUMIF($C$88:$C$226,$C$88,K$88:K$226)*Erdgas!L16</f>
        <v>#N/A</v>
      </c>
      <c r="L641" s="742" t="e">
        <f>SUMIF($C$88:$C$226,$C$88,L$88:L$226)*Erdgas!M16</f>
        <v>#N/A</v>
      </c>
      <c r="M641" s="741" t="s">
        <v>3794</v>
      </c>
    </row>
    <row r="642" spans="2:13" ht="20.149999999999999" customHeight="1" x14ac:dyDescent="0.35">
      <c r="B642" s="715" t="s">
        <v>3787</v>
      </c>
      <c r="C642" s="716" t="s">
        <v>1160</v>
      </c>
      <c r="D642" s="717" t="s">
        <v>3795</v>
      </c>
      <c r="E642" s="742">
        <f t="shared" ref="E642:L642" si="97">SUMIF($C$88:$C$226,$C$132,E$88:E$226)</f>
        <v>8739.8214268714528</v>
      </c>
      <c r="F642" s="742">
        <f t="shared" si="97"/>
        <v>955.60756391407494</v>
      </c>
      <c r="G642" s="742">
        <f t="shared" si="97"/>
        <v>590.41079993558969</v>
      </c>
      <c r="H642" s="742">
        <f t="shared" si="97"/>
        <v>926.8501846280742</v>
      </c>
      <c r="I642" s="742">
        <f t="shared" si="97"/>
        <v>2388.2611111495407</v>
      </c>
      <c r="J642" s="742">
        <f t="shared" si="97"/>
        <v>4360.6593201656979</v>
      </c>
      <c r="K642" s="742">
        <f t="shared" si="97"/>
        <v>8739.7086826049963</v>
      </c>
      <c r="L642" s="742">
        <f t="shared" si="97"/>
        <v>0</v>
      </c>
      <c r="M642" s="741" t="s">
        <v>3794</v>
      </c>
    </row>
    <row r="643" spans="2:13" ht="20.149999999999999" customHeight="1" x14ac:dyDescent="0.35">
      <c r="B643" s="715" t="s">
        <v>3787</v>
      </c>
      <c r="C643" s="716" t="s">
        <v>2267</v>
      </c>
      <c r="D643" s="717" t="s">
        <v>3437</v>
      </c>
      <c r="E643" s="742">
        <f t="shared" ref="E643:L643" si="98">SUMIF($C$88:$C$226,$C$190,E$88:E$226)</f>
        <v>3.9445121921887476E-2</v>
      </c>
      <c r="F643" s="742">
        <f t="shared" si="98"/>
        <v>975.60783925022679</v>
      </c>
      <c r="G643" s="742">
        <f t="shared" si="98"/>
        <v>196.77838065972102</v>
      </c>
      <c r="H643" s="742">
        <f t="shared" si="98"/>
        <v>7.6615005867522381</v>
      </c>
      <c r="I643" s="742">
        <f t="shared" si="98"/>
        <v>2.2114956559131413</v>
      </c>
      <c r="J643" s="742">
        <f t="shared" si="98"/>
        <v>2.0299415545680499E-3</v>
      </c>
      <c r="K643" s="742">
        <f t="shared" si="98"/>
        <v>1.3241033757220837E-4</v>
      </c>
      <c r="L643" s="742">
        <f t="shared" si="98"/>
        <v>0</v>
      </c>
      <c r="M643" s="741" t="s">
        <v>3794</v>
      </c>
    </row>
    <row r="644" spans="2:13" ht="15" x14ac:dyDescent="0.35">
      <c r="B644" s="715" t="s">
        <v>3787</v>
      </c>
      <c r="C644" s="743" t="s">
        <v>1162</v>
      </c>
      <c r="D644" s="744" t="s">
        <v>3447</v>
      </c>
      <c r="E644" s="742">
        <f>SUMIF($C$88:$C$226,$C$200,E$88:E$226)</f>
        <v>0.28147051885882707</v>
      </c>
      <c r="F644" s="742">
        <f t="shared" ref="F644:L644" si="99">SUMIF($C$88:$C$226,$C$200,F$88:F$226)</f>
        <v>0</v>
      </c>
      <c r="G644" s="742">
        <f t="shared" si="99"/>
        <v>62.126159477568152</v>
      </c>
      <c r="H644" s="742">
        <f t="shared" si="99"/>
        <v>38.376061177381892</v>
      </c>
      <c r="I644" s="742">
        <f t="shared" si="99"/>
        <v>47.245522251308195</v>
      </c>
      <c r="J644" s="742">
        <f t="shared" si="99"/>
        <v>2.2420790991307909E-3</v>
      </c>
      <c r="K644" s="742">
        <f t="shared" si="99"/>
        <v>9.2715329084526151E-4</v>
      </c>
      <c r="L644" s="742">
        <f t="shared" si="99"/>
        <v>0</v>
      </c>
      <c r="M644" s="741" t="s">
        <v>3794</v>
      </c>
    </row>
    <row r="645" spans="2:13" ht="15" x14ac:dyDescent="0.35">
      <c r="B645" s="745" t="s">
        <v>3787</v>
      </c>
      <c r="C645" s="743" t="s">
        <v>4050</v>
      </c>
      <c r="D645" s="744" t="s">
        <v>3797</v>
      </c>
      <c r="E645" s="742" t="e">
        <f t="shared" ref="E645:L645" si="100">SUM(E640:E644)</f>
        <v>#N/A</v>
      </c>
      <c r="F645" s="742" t="e">
        <f t="shared" si="100"/>
        <v>#N/A</v>
      </c>
      <c r="G645" s="742" t="e">
        <f t="shared" si="100"/>
        <v>#N/A</v>
      </c>
      <c r="H645" s="742" t="e">
        <f t="shared" si="100"/>
        <v>#N/A</v>
      </c>
      <c r="I645" s="742" t="e">
        <f t="shared" si="100"/>
        <v>#N/A</v>
      </c>
      <c r="J645" s="742" t="e">
        <f t="shared" si="100"/>
        <v>#N/A</v>
      </c>
      <c r="K645" s="742" t="e">
        <f t="shared" si="100"/>
        <v>#N/A</v>
      </c>
      <c r="L645" s="742" t="e">
        <f t="shared" si="100"/>
        <v>#N/A</v>
      </c>
      <c r="M645" s="741" t="s">
        <v>3794</v>
      </c>
    </row>
    <row r="646" spans="2:13" ht="15.5" thickBot="1" x14ac:dyDescent="0.4">
      <c r="B646" s="745" t="s">
        <v>3787</v>
      </c>
      <c r="C646" s="743" t="s">
        <v>3796</v>
      </c>
      <c r="D646" s="744" t="s">
        <v>3798</v>
      </c>
      <c r="E646" s="746" t="e">
        <f>E645/0.766</f>
        <v>#N/A</v>
      </c>
      <c r="F646" s="746" t="e">
        <f t="shared" ref="F646:L646" si="101">F645/0.766</f>
        <v>#N/A</v>
      </c>
      <c r="G646" s="746" t="e">
        <f t="shared" si="101"/>
        <v>#N/A</v>
      </c>
      <c r="H646" s="746" t="e">
        <f t="shared" si="101"/>
        <v>#N/A</v>
      </c>
      <c r="I646" s="746" t="e">
        <f t="shared" si="101"/>
        <v>#N/A</v>
      </c>
      <c r="J646" s="746" t="e">
        <f t="shared" si="101"/>
        <v>#N/A</v>
      </c>
      <c r="K646" s="746" t="e">
        <f t="shared" si="101"/>
        <v>#N/A</v>
      </c>
      <c r="L646" s="746" t="e">
        <f t="shared" si="101"/>
        <v>#N/A</v>
      </c>
      <c r="M646" s="741" t="s">
        <v>3794</v>
      </c>
    </row>
    <row r="647" spans="2:13" ht="15.5" thickTop="1" x14ac:dyDescent="0.35">
      <c r="B647" s="711" t="s">
        <v>3671</v>
      </c>
      <c r="C647" s="712" t="s">
        <v>3156</v>
      </c>
      <c r="D647" s="712" t="s">
        <v>3157</v>
      </c>
      <c r="E647" s="712" t="s">
        <v>23</v>
      </c>
      <c r="F647" s="712" t="s">
        <v>1798</v>
      </c>
      <c r="G647" s="712" t="s">
        <v>1799</v>
      </c>
      <c r="H647" s="712" t="s">
        <v>1800</v>
      </c>
      <c r="I647" s="712" t="s">
        <v>1801</v>
      </c>
      <c r="J647" s="712" t="s">
        <v>1802</v>
      </c>
      <c r="K647" s="712" t="s">
        <v>1803</v>
      </c>
      <c r="L647" s="713" t="s">
        <v>1804</v>
      </c>
      <c r="M647" s="714" t="s">
        <v>3158</v>
      </c>
    </row>
    <row r="648" spans="2:13" ht="15" x14ac:dyDescent="0.35">
      <c r="B648" s="745" t="s">
        <v>3787</v>
      </c>
      <c r="C648" s="716" t="s">
        <v>3799</v>
      </c>
      <c r="D648" s="717" t="s">
        <v>3800</v>
      </c>
      <c r="E648" s="742">
        <f t="shared" ref="E648:L648" si="102">SUM(E88:E97,E132:E145,E190:E193,E200:E205)</f>
        <v>5098.0134704802467</v>
      </c>
      <c r="F648" s="742">
        <f t="shared" si="102"/>
        <v>6649.7610777323516</v>
      </c>
      <c r="G648" s="742">
        <f t="shared" si="102"/>
        <v>5963.7422101673601</v>
      </c>
      <c r="H648" s="742">
        <f t="shared" si="102"/>
        <v>5551.8907590361487</v>
      </c>
      <c r="I648" s="742">
        <f t="shared" si="102"/>
        <v>4659.9071024072628</v>
      </c>
      <c r="J648" s="742">
        <f t="shared" si="102"/>
        <v>4672.843609499917</v>
      </c>
      <c r="K648" s="742">
        <f t="shared" si="102"/>
        <v>5097.3212593344851</v>
      </c>
      <c r="L648" s="742">
        <f t="shared" si="102"/>
        <v>0</v>
      </c>
      <c r="M648" s="741" t="s">
        <v>3794</v>
      </c>
    </row>
    <row r="649" spans="2:13" ht="15" x14ac:dyDescent="0.35">
      <c r="B649" s="745" t="s">
        <v>3787</v>
      </c>
      <c r="C649" s="743" t="s">
        <v>3801</v>
      </c>
      <c r="D649" s="744" t="s">
        <v>3802</v>
      </c>
      <c r="E649" s="742">
        <f t="shared" ref="E649:L649" si="103">SUM(E99:E108,E147:E160,E195:E198,E207:E212)</f>
        <v>3206.0201549654785</v>
      </c>
      <c r="F649" s="742">
        <f t="shared" si="103"/>
        <v>4753.4457302610499</v>
      </c>
      <c r="G649" s="742">
        <f t="shared" si="103"/>
        <v>4879.7803878269997</v>
      </c>
      <c r="H649" s="742">
        <f t="shared" si="103"/>
        <v>4815.0925562626353</v>
      </c>
      <c r="I649" s="742">
        <f t="shared" si="103"/>
        <v>4366.2941835909614</v>
      </c>
      <c r="J649" s="742">
        <f t="shared" si="103"/>
        <v>4009.2614164568076</v>
      </c>
      <c r="K649" s="742">
        <f t="shared" si="103"/>
        <v>3205.808243486405</v>
      </c>
      <c r="L649" s="742">
        <f t="shared" si="103"/>
        <v>0</v>
      </c>
      <c r="M649" s="741" t="s">
        <v>3794</v>
      </c>
    </row>
    <row r="650" spans="2:13" ht="15" x14ac:dyDescent="0.35">
      <c r="B650" s="745" t="s">
        <v>3787</v>
      </c>
      <c r="C650" s="743" t="s">
        <v>3803</v>
      </c>
      <c r="D650" s="744" t="s">
        <v>3804</v>
      </c>
      <c r="E650" s="742">
        <f t="shared" ref="E650:L650" si="104">SUM(E110:E119,E162:E175,E214:E219)</f>
        <v>532.15308396268915</v>
      </c>
      <c r="F650" s="742">
        <f t="shared" si="104"/>
        <v>826.88880473077893</v>
      </c>
      <c r="G650" s="742">
        <f t="shared" si="104"/>
        <v>899.68719849396496</v>
      </c>
      <c r="H650" s="742">
        <f t="shared" si="104"/>
        <v>785.37867954573449</v>
      </c>
      <c r="I650" s="742">
        <f t="shared" si="104"/>
        <v>663.34957120244235</v>
      </c>
      <c r="J650" s="742">
        <f t="shared" si="104"/>
        <v>664.92597264168887</v>
      </c>
      <c r="K650" s="742">
        <f t="shared" si="104"/>
        <v>532.08242408994352</v>
      </c>
      <c r="L650" s="742">
        <f t="shared" si="104"/>
        <v>0</v>
      </c>
      <c r="M650" s="741" t="s">
        <v>3794</v>
      </c>
    </row>
    <row r="651" spans="2:13" ht="15" x14ac:dyDescent="0.35">
      <c r="B651" s="745" t="s">
        <v>3787</v>
      </c>
      <c r="C651" s="743" t="s">
        <v>3805</v>
      </c>
      <c r="D651" s="744" t="s">
        <v>3806</v>
      </c>
      <c r="E651" s="742">
        <f t="shared" ref="E651:L651" si="105">SUM(E121:E130,E177:E188,E221:E226)</f>
        <v>0</v>
      </c>
      <c r="F651" s="742">
        <f t="shared" si="105"/>
        <v>0</v>
      </c>
      <c r="G651" s="742">
        <f t="shared" si="105"/>
        <v>0</v>
      </c>
      <c r="H651" s="742">
        <f t="shared" si="105"/>
        <v>0</v>
      </c>
      <c r="I651" s="742">
        <f t="shared" si="105"/>
        <v>0</v>
      </c>
      <c r="J651" s="742">
        <f t="shared" si="105"/>
        <v>0</v>
      </c>
      <c r="K651" s="742">
        <f t="shared" si="105"/>
        <v>0</v>
      </c>
      <c r="L651" s="742">
        <f t="shared" si="105"/>
        <v>0</v>
      </c>
      <c r="M651" s="741" t="s">
        <v>3794</v>
      </c>
    </row>
    <row r="652" spans="2:13" ht="15" x14ac:dyDescent="0.35">
      <c r="B652" s="745" t="s">
        <v>3787</v>
      </c>
      <c r="C652" s="716" t="s">
        <v>3799</v>
      </c>
      <c r="D652" s="717" t="s">
        <v>3807</v>
      </c>
      <c r="E652" s="742">
        <f t="shared" ref="E652:L652" si="106">E648/0.75</f>
        <v>6797.351293973662</v>
      </c>
      <c r="F652" s="742">
        <f t="shared" si="106"/>
        <v>8866.3481036431349</v>
      </c>
      <c r="G652" s="742">
        <f t="shared" si="106"/>
        <v>7951.6562802231465</v>
      </c>
      <c r="H652" s="742">
        <f t="shared" si="106"/>
        <v>7402.5210120481979</v>
      </c>
      <c r="I652" s="742">
        <f t="shared" si="106"/>
        <v>6213.2094698763503</v>
      </c>
      <c r="J652" s="742">
        <f t="shared" si="106"/>
        <v>6230.458145999889</v>
      </c>
      <c r="K652" s="742">
        <f t="shared" si="106"/>
        <v>6796.4283457793135</v>
      </c>
      <c r="L652" s="742">
        <f t="shared" si="106"/>
        <v>0</v>
      </c>
      <c r="M652" s="741" t="s">
        <v>3794</v>
      </c>
    </row>
    <row r="653" spans="2:13" ht="15" x14ac:dyDescent="0.35">
      <c r="B653" s="745" t="s">
        <v>3787</v>
      </c>
      <c r="C653" s="743" t="s">
        <v>3801</v>
      </c>
      <c r="D653" s="744" t="s">
        <v>3808</v>
      </c>
      <c r="E653" s="742">
        <f t="shared" ref="E653:L653" si="107">E649/0.778</f>
        <v>4120.8485282332631</v>
      </c>
      <c r="F653" s="742">
        <f t="shared" si="107"/>
        <v>6109.8274167879817</v>
      </c>
      <c r="G653" s="742">
        <f t="shared" si="107"/>
        <v>6272.2112954074546</v>
      </c>
      <c r="H653" s="742">
        <f t="shared" si="107"/>
        <v>6189.0649823427184</v>
      </c>
      <c r="I653" s="742">
        <f t="shared" si="107"/>
        <v>5612.2033208110042</v>
      </c>
      <c r="J653" s="742">
        <f t="shared" si="107"/>
        <v>5153.2923090704471</v>
      </c>
      <c r="K653" s="742">
        <f t="shared" si="107"/>
        <v>4120.5761484401091</v>
      </c>
      <c r="L653" s="742">
        <f t="shared" si="107"/>
        <v>0</v>
      </c>
      <c r="M653" s="741" t="s">
        <v>3794</v>
      </c>
    </row>
    <row r="654" spans="2:13" ht="15" x14ac:dyDescent="0.35">
      <c r="B654" s="745" t="s">
        <v>3787</v>
      </c>
      <c r="C654" s="743" t="s">
        <v>3803</v>
      </c>
      <c r="D654" s="744" t="s">
        <v>3809</v>
      </c>
      <c r="E654" s="742">
        <f t="shared" ref="E654:L654" si="108">E650/0.854</f>
        <v>623.13007489776248</v>
      </c>
      <c r="F654" s="742">
        <f t="shared" si="108"/>
        <v>968.25386970817203</v>
      </c>
      <c r="G654" s="742">
        <f t="shared" si="108"/>
        <v>1053.4978905081557</v>
      </c>
      <c r="H654" s="742">
        <f t="shared" si="108"/>
        <v>919.64716574441979</v>
      </c>
      <c r="I654" s="742">
        <f t="shared" si="108"/>
        <v>776.75593817616198</v>
      </c>
      <c r="J654" s="742">
        <f t="shared" si="108"/>
        <v>778.6018415008067</v>
      </c>
      <c r="K654" s="742">
        <f t="shared" si="108"/>
        <v>623.04733499993392</v>
      </c>
      <c r="L654" s="742">
        <f t="shared" si="108"/>
        <v>0</v>
      </c>
      <c r="M654" s="741" t="s">
        <v>3794</v>
      </c>
    </row>
    <row r="655" spans="2:13" ht="15" x14ac:dyDescent="0.35">
      <c r="B655" s="745" t="s">
        <v>3787</v>
      </c>
      <c r="C655" s="743" t="s">
        <v>3805</v>
      </c>
      <c r="D655" s="744" t="s">
        <v>3810</v>
      </c>
      <c r="E655" s="742">
        <f t="shared" ref="E655:L655" si="109">E651/0.8</f>
        <v>0</v>
      </c>
      <c r="F655" s="742">
        <f t="shared" si="109"/>
        <v>0</v>
      </c>
      <c r="G655" s="742">
        <f t="shared" si="109"/>
        <v>0</v>
      </c>
      <c r="H655" s="742">
        <f t="shared" si="109"/>
        <v>0</v>
      </c>
      <c r="I655" s="742">
        <f t="shared" si="109"/>
        <v>0</v>
      </c>
      <c r="J655" s="742">
        <f t="shared" si="109"/>
        <v>0</v>
      </c>
      <c r="K655" s="742">
        <f t="shared" si="109"/>
        <v>0</v>
      </c>
      <c r="L655" s="742">
        <f t="shared" si="109"/>
        <v>0</v>
      </c>
      <c r="M655" s="741" t="s">
        <v>3794</v>
      </c>
    </row>
    <row r="656" spans="2:13" ht="15" x14ac:dyDescent="0.35">
      <c r="B656" s="745" t="s">
        <v>3811</v>
      </c>
      <c r="C656" s="716" t="s">
        <v>3799</v>
      </c>
      <c r="D656" s="717" t="s">
        <v>3812</v>
      </c>
      <c r="E656" s="747">
        <f t="shared" ref="E656:L656" si="110">E648/E25</f>
        <v>1.0282727239725269</v>
      </c>
      <c r="F656" s="747">
        <f t="shared" si="110"/>
        <v>1.5197701662492213</v>
      </c>
      <c r="G656" s="747">
        <f t="shared" si="110"/>
        <v>1.5041920314758923</v>
      </c>
      <c r="H656" s="747">
        <f t="shared" si="110"/>
        <v>1.4405503259005201</v>
      </c>
      <c r="I656" s="747">
        <f t="shared" si="110"/>
        <v>1.3502361864691412</v>
      </c>
      <c r="J656" s="747">
        <f t="shared" si="110"/>
        <v>1.2234616100980114</v>
      </c>
      <c r="K656" s="747">
        <f t="shared" si="110"/>
        <v>1.0282486683447924</v>
      </c>
      <c r="L656" s="747" t="e">
        <f t="shared" si="110"/>
        <v>#DIV/0!</v>
      </c>
      <c r="M656" s="741" t="s">
        <v>3813</v>
      </c>
    </row>
    <row r="657" spans="2:13" ht="15" x14ac:dyDescent="0.35">
      <c r="B657" s="745" t="s">
        <v>3811</v>
      </c>
      <c r="C657" s="716" t="s">
        <v>3801</v>
      </c>
      <c r="D657" s="717" t="s">
        <v>3814</v>
      </c>
      <c r="E657" s="747">
        <f t="shared" ref="E657:L657" si="111">E649/E48</f>
        <v>1.3285340603106111</v>
      </c>
      <c r="F657" s="747">
        <f t="shared" si="111"/>
        <v>2.2320794235600125</v>
      </c>
      <c r="G657" s="747">
        <f t="shared" si="111"/>
        <v>2.2341160882304574</v>
      </c>
      <c r="H657" s="747">
        <f t="shared" si="111"/>
        <v>2.150939064218699</v>
      </c>
      <c r="I657" s="747">
        <f t="shared" si="111"/>
        <v>1.9018616683959453</v>
      </c>
      <c r="J657" s="747">
        <f t="shared" si="111"/>
        <v>1.7038935008396681</v>
      </c>
      <c r="K657" s="747">
        <f t="shared" si="111"/>
        <v>1.328446974169087</v>
      </c>
      <c r="L657" s="747" t="e">
        <f t="shared" si="111"/>
        <v>#DIV/0!</v>
      </c>
      <c r="M657" s="741" t="s">
        <v>3813</v>
      </c>
    </row>
    <row r="658" spans="2:13" ht="15" x14ac:dyDescent="0.35">
      <c r="B658" s="745" t="s">
        <v>3811</v>
      </c>
      <c r="C658" s="743" t="s">
        <v>3803</v>
      </c>
      <c r="D658" s="744" t="s">
        <v>3815</v>
      </c>
      <c r="E658" s="747">
        <f t="shared" ref="E658:L658" si="112">E650/E66</f>
        <v>1.2598285151755306</v>
      </c>
      <c r="F658" s="747">
        <f t="shared" si="112"/>
        <v>2.2210294585778234</v>
      </c>
      <c r="G658" s="747">
        <f t="shared" si="112"/>
        <v>2.3528466021835208</v>
      </c>
      <c r="H658" s="747">
        <f t="shared" si="112"/>
        <v>2.0045390998552541</v>
      </c>
      <c r="I658" s="747">
        <f t="shared" si="112"/>
        <v>1.6507389574540601</v>
      </c>
      <c r="J658" s="747">
        <f t="shared" si="112"/>
        <v>1.6142897940073162</v>
      </c>
      <c r="K658" s="747">
        <f t="shared" si="112"/>
        <v>1.2596648187393455</v>
      </c>
      <c r="L658" s="747" t="e">
        <f t="shared" si="112"/>
        <v>#DIV/0!</v>
      </c>
      <c r="M658" s="741" t="s">
        <v>3813</v>
      </c>
    </row>
    <row r="659" spans="2:13" ht="15" x14ac:dyDescent="0.35">
      <c r="B659" s="745" t="s">
        <v>3811</v>
      </c>
      <c r="C659" s="743" t="s">
        <v>3805</v>
      </c>
      <c r="D659" s="744" t="s">
        <v>3816</v>
      </c>
      <c r="E659" s="747" t="e">
        <f t="shared" ref="E659:L659" si="113">E651/E84</f>
        <v>#DIV/0!</v>
      </c>
      <c r="F659" s="747" t="e">
        <f t="shared" si="113"/>
        <v>#DIV/0!</v>
      </c>
      <c r="G659" s="747" t="e">
        <f t="shared" si="113"/>
        <v>#DIV/0!</v>
      </c>
      <c r="H659" s="747" t="e">
        <f t="shared" si="113"/>
        <v>#DIV/0!</v>
      </c>
      <c r="I659" s="747" t="e">
        <f t="shared" si="113"/>
        <v>#DIV/0!</v>
      </c>
      <c r="J659" s="747" t="e">
        <f t="shared" si="113"/>
        <v>#DIV/0!</v>
      </c>
      <c r="K659" s="747" t="e">
        <f t="shared" si="113"/>
        <v>#DIV/0!</v>
      </c>
      <c r="L659" s="747" t="e">
        <f t="shared" si="113"/>
        <v>#DIV/0!</v>
      </c>
      <c r="M659" s="741" t="s">
        <v>3813</v>
      </c>
    </row>
    <row r="660" spans="2:13" ht="15" x14ac:dyDescent="0.35">
      <c r="B660" s="745" t="s">
        <v>3817</v>
      </c>
      <c r="C660" s="743" t="s">
        <v>3799</v>
      </c>
      <c r="D660" s="744" t="s">
        <v>3818</v>
      </c>
      <c r="E660" s="747">
        <f t="shared" ref="E660:L660" si="114">E648/(E25+E406)</f>
        <v>1.0282727239725269</v>
      </c>
      <c r="F660" s="747">
        <f t="shared" si="114"/>
        <v>1.5197701662492213</v>
      </c>
      <c r="G660" s="747">
        <f t="shared" si="114"/>
        <v>1.5041920314758923</v>
      </c>
      <c r="H660" s="747">
        <f t="shared" si="114"/>
        <v>1.4405503259005201</v>
      </c>
      <c r="I660" s="747">
        <f t="shared" si="114"/>
        <v>1.3502361864691412</v>
      </c>
      <c r="J660" s="747">
        <f t="shared" si="114"/>
        <v>1.2234616100980114</v>
      </c>
      <c r="K660" s="747">
        <f t="shared" si="114"/>
        <v>1.0282486683447924</v>
      </c>
      <c r="L660" s="747" t="e">
        <f t="shared" si="114"/>
        <v>#DIV/0!</v>
      </c>
      <c r="M660" s="741" t="s">
        <v>3813</v>
      </c>
    </row>
    <row r="661" spans="2:13" ht="15" x14ac:dyDescent="0.35">
      <c r="B661" s="745" t="s">
        <v>3817</v>
      </c>
      <c r="C661" s="743" t="s">
        <v>3801</v>
      </c>
      <c r="D661" s="744" t="s">
        <v>3819</v>
      </c>
      <c r="E661" s="747">
        <f t="shared" ref="E661:L661" si="115">E649/(E48+E427)</f>
        <v>1.3285340603106111</v>
      </c>
      <c r="F661" s="747">
        <f t="shared" si="115"/>
        <v>2.2320794235600125</v>
      </c>
      <c r="G661" s="747">
        <f t="shared" si="115"/>
        <v>2.2341160882304574</v>
      </c>
      <c r="H661" s="747">
        <f t="shared" si="115"/>
        <v>2.150939064218699</v>
      </c>
      <c r="I661" s="747">
        <f t="shared" si="115"/>
        <v>1.9018616683959453</v>
      </c>
      <c r="J661" s="747">
        <f t="shared" si="115"/>
        <v>1.7038935008396681</v>
      </c>
      <c r="K661" s="747">
        <f t="shared" si="115"/>
        <v>1.328446974169087</v>
      </c>
      <c r="L661" s="747" t="e">
        <f t="shared" si="115"/>
        <v>#DIV/0!</v>
      </c>
      <c r="M661" s="741" t="s">
        <v>3813</v>
      </c>
    </row>
    <row r="662" spans="2:13" ht="15" x14ac:dyDescent="0.35">
      <c r="B662" s="745" t="s">
        <v>3817</v>
      </c>
      <c r="C662" s="743" t="s">
        <v>3803</v>
      </c>
      <c r="D662" s="744" t="s">
        <v>3820</v>
      </c>
      <c r="E662" s="747">
        <f t="shared" ref="E662:L662" si="116">E650/(E66+E444)</f>
        <v>1.2598285151755306</v>
      </c>
      <c r="F662" s="747">
        <f t="shared" si="116"/>
        <v>2.2210294585778234</v>
      </c>
      <c r="G662" s="747">
        <f t="shared" si="116"/>
        <v>2.3528466021835208</v>
      </c>
      <c r="H662" s="747">
        <f t="shared" si="116"/>
        <v>2.0045390998552541</v>
      </c>
      <c r="I662" s="747">
        <f t="shared" si="116"/>
        <v>1.6507389574540601</v>
      </c>
      <c r="J662" s="747">
        <f t="shared" si="116"/>
        <v>1.6142897940073162</v>
      </c>
      <c r="K662" s="747">
        <f t="shared" si="116"/>
        <v>1.2596648187393455</v>
      </c>
      <c r="L662" s="747" t="e">
        <f t="shared" si="116"/>
        <v>#DIV/0!</v>
      </c>
      <c r="M662" s="741" t="s">
        <v>3813</v>
      </c>
    </row>
    <row r="663" spans="2:13" ht="15.5" thickBot="1" x14ac:dyDescent="0.4">
      <c r="B663" s="745" t="s">
        <v>3817</v>
      </c>
      <c r="C663" s="743" t="s">
        <v>3805</v>
      </c>
      <c r="D663" s="744" t="s">
        <v>3821</v>
      </c>
      <c r="E663" s="747" t="e">
        <f t="shared" ref="E663:L663" si="117">E651/(E84+E461)</f>
        <v>#DIV/0!</v>
      </c>
      <c r="F663" s="747" t="e">
        <f t="shared" si="117"/>
        <v>#DIV/0!</v>
      </c>
      <c r="G663" s="747" t="e">
        <f t="shared" si="117"/>
        <v>#DIV/0!</v>
      </c>
      <c r="H663" s="747" t="e">
        <f t="shared" si="117"/>
        <v>#DIV/0!</v>
      </c>
      <c r="I663" s="747" t="e">
        <f t="shared" si="117"/>
        <v>#DIV/0!</v>
      </c>
      <c r="J663" s="747" t="e">
        <f t="shared" si="117"/>
        <v>#DIV/0!</v>
      </c>
      <c r="K663" s="747" t="e">
        <f t="shared" si="117"/>
        <v>#DIV/0!</v>
      </c>
      <c r="L663" s="747" t="e">
        <f t="shared" si="117"/>
        <v>#DIV/0!</v>
      </c>
      <c r="M663" s="741" t="s">
        <v>3813</v>
      </c>
    </row>
    <row r="664" spans="2:13" ht="15.5" thickTop="1" x14ac:dyDescent="0.35">
      <c r="B664" s="711" t="s">
        <v>3671</v>
      </c>
      <c r="C664" s="712" t="s">
        <v>3156</v>
      </c>
      <c r="D664" s="712" t="s">
        <v>3157</v>
      </c>
      <c r="E664" s="712" t="s">
        <v>23</v>
      </c>
      <c r="F664" s="712" t="s">
        <v>1798</v>
      </c>
      <c r="G664" s="712" t="s">
        <v>1799</v>
      </c>
      <c r="H664" s="712" t="s">
        <v>1800</v>
      </c>
      <c r="I664" s="712" t="s">
        <v>1801</v>
      </c>
      <c r="J664" s="712" t="s">
        <v>1802</v>
      </c>
      <c r="K664" s="712" t="s">
        <v>1803</v>
      </c>
      <c r="L664" s="713" t="s">
        <v>1804</v>
      </c>
      <c r="M664" s="714" t="s">
        <v>3158</v>
      </c>
    </row>
    <row r="665" spans="2:13" ht="15" x14ac:dyDescent="0.35">
      <c r="B665" s="745" t="s">
        <v>3822</v>
      </c>
      <c r="C665" s="743" t="s">
        <v>3823</v>
      </c>
      <c r="D665" s="744" t="s">
        <v>3824</v>
      </c>
      <c r="E665" s="748">
        <f>IFERROR(VLOOKUP($B665,flows!$A$2:$J$2950,E$2,FALSE),0)</f>
        <v>0</v>
      </c>
      <c r="F665" s="748">
        <f>IFERROR(VLOOKUP($B665,flows!$A$2:$J$2950,F$2,FALSE),0)</f>
        <v>0</v>
      </c>
      <c r="G665" s="748">
        <f>IFERROR(VLOOKUP($B665,flows!$A$2:$J$2950,G$2,FALSE),0)</f>
        <v>0</v>
      </c>
      <c r="H665" s="748">
        <f>IFERROR(VLOOKUP($B665,flows!$A$2:$J$2950,H$2,FALSE),0)</f>
        <v>0</v>
      </c>
      <c r="I665" s="748">
        <f>IFERROR(VLOOKUP($B665,flows!$A$2:$J$2950,I$2,FALSE),0)</f>
        <v>0</v>
      </c>
      <c r="J665" s="748">
        <f>IFERROR(VLOOKUP($B665,flows!$A$2:$J$2950,J$2,FALSE),0)</f>
        <v>0</v>
      </c>
      <c r="K665" s="748">
        <f>IFERROR(VLOOKUP($B665,flows!$A$2:$J$2950,K$2,FALSE),0)</f>
        <v>0</v>
      </c>
      <c r="L665" s="748">
        <f>IFERROR(VLOOKUP($B665,flows!$A$2:$J$2950,L$2,FALSE),0)</f>
        <v>0</v>
      </c>
      <c r="M665" s="741" t="s">
        <v>3165</v>
      </c>
    </row>
    <row r="666" spans="2:13" ht="15" x14ac:dyDescent="0.35">
      <c r="B666" s="745" t="s">
        <v>3825</v>
      </c>
      <c r="C666" s="743" t="s">
        <v>3826</v>
      </c>
      <c r="D666" s="744" t="s">
        <v>3827</v>
      </c>
      <c r="E666" s="748">
        <f>IFERROR(VLOOKUP($B666,flows!$A$2:$J$2950,E$2,FALSE),0)</f>
        <v>491.28051906870189</v>
      </c>
      <c r="F666" s="748">
        <f>IFERROR(VLOOKUP($B666,flows!$A$2:$J$2950,F$2,FALSE),0)</f>
        <v>9.3703713341061118E-2</v>
      </c>
      <c r="G666" s="748">
        <f>IFERROR(VLOOKUP($B666,flows!$A$2:$J$2950,G$2,FALSE),0)</f>
        <v>9.4404295471221111</v>
      </c>
      <c r="H666" s="748">
        <f>IFERROR(VLOOKUP($B666,flows!$A$2:$J$2950,H$2,FALSE),0)</f>
        <v>103.03623694788349</v>
      </c>
      <c r="I666" s="748">
        <f>IFERROR(VLOOKUP($B666,flows!$A$2:$J$2950,I$2,FALSE),0)</f>
        <v>369.15369913867278</v>
      </c>
      <c r="J666" s="748">
        <f>IFERROR(VLOOKUP($B666,flows!$A$2:$J$2950,J$2,FALSE),0)</f>
        <v>417.13656673722562</v>
      </c>
      <c r="K666" s="748">
        <f>IFERROR(VLOOKUP($B666,flows!$A$2:$J$2950,K$2,FALSE),0)</f>
        <v>491.29003134542188</v>
      </c>
      <c r="L666" s="748">
        <f>IFERROR(VLOOKUP($B666,flows!$A$2:$J$2950,L$2,FALSE),0)</f>
        <v>0</v>
      </c>
      <c r="M666" s="741" t="s">
        <v>3165</v>
      </c>
    </row>
    <row r="667" spans="2:13" ht="15" x14ac:dyDescent="0.35">
      <c r="B667" s="745" t="s">
        <v>3828</v>
      </c>
      <c r="C667" s="743" t="s">
        <v>3829</v>
      </c>
      <c r="D667" s="744" t="s">
        <v>3830</v>
      </c>
      <c r="E667" s="748">
        <f>IFERROR(VLOOKUP($B667,flows!$A$2:$J$2950,E$2,FALSE),0)</f>
        <v>683.8135877079244</v>
      </c>
      <c r="F667" s="748">
        <f>IFERROR(VLOOKUP($B667,flows!$A$2:$J$2950,F$2,FALSE),0)</f>
        <v>519.41559309244406</v>
      </c>
      <c r="G667" s="748">
        <f>IFERROR(VLOOKUP($B667,flows!$A$2:$J$2950,G$2,FALSE),0)</f>
        <v>540.95921291756451</v>
      </c>
      <c r="H667" s="748">
        <f>IFERROR(VLOOKUP($B667,flows!$A$2:$J$2950,H$2,FALSE),0)</f>
        <v>634.07182806481774</v>
      </c>
      <c r="I667" s="748">
        <f>IFERROR(VLOOKUP($B667,flows!$A$2:$J$2950,I$2,FALSE),0)</f>
        <v>650.53787405873334</v>
      </c>
      <c r="J667" s="748">
        <f>IFERROR(VLOOKUP($B667,flows!$A$2:$J$2950,J$2,FALSE),0)</f>
        <v>667.00311831459408</v>
      </c>
      <c r="K667" s="748">
        <f>IFERROR(VLOOKUP($B667,flows!$A$2:$J$2950,K$2,FALSE),0)</f>
        <v>683.81834171809464</v>
      </c>
      <c r="L667" s="748">
        <f>IFERROR(VLOOKUP($B667,flows!$A$2:$J$2950,L$2,FALSE),0)</f>
        <v>0</v>
      </c>
      <c r="M667" s="741" t="s">
        <v>3165</v>
      </c>
    </row>
    <row r="668" spans="2:13" ht="15" x14ac:dyDescent="0.35">
      <c r="B668" s="745" t="s">
        <v>3831</v>
      </c>
      <c r="C668" s="743" t="s">
        <v>3832</v>
      </c>
      <c r="D668" s="744" t="s">
        <v>3833</v>
      </c>
      <c r="E668" s="748">
        <f>IFERROR(VLOOKUP($B668,flows!$A$2:$J$2950,E$2,FALSE),0)</f>
        <v>4973.1897287849042</v>
      </c>
      <c r="F668" s="748">
        <f>IFERROR(VLOOKUP($B668,flows!$A$2:$J$2950,F$2,FALSE),0)</f>
        <v>3777.56794976323</v>
      </c>
      <c r="G668" s="748">
        <f>IFERROR(VLOOKUP($B668,flows!$A$2:$J$2950,G$2,FALSE),0)</f>
        <v>3934.2488212186508</v>
      </c>
      <c r="H668" s="748">
        <f>IFERROR(VLOOKUP($B668,flows!$A$2:$J$2950,H$2,FALSE),0)</f>
        <v>4611.4314768350378</v>
      </c>
      <c r="I668" s="748">
        <f>IFERROR(VLOOKUP($B668,flows!$A$2:$J$2950,I$2,FALSE),0)</f>
        <v>4731.1845386089699</v>
      </c>
      <c r="J668" s="748">
        <f>IFERROR(VLOOKUP($B668,flows!$A$2:$J$2950,J$2,FALSE),0)</f>
        <v>4850.9317695606842</v>
      </c>
      <c r="K668" s="748">
        <f>IFERROR(VLOOKUP($B668,flows!$A$2:$J$2950,K$2,FALSE),0)</f>
        <v>4973.2243034043258</v>
      </c>
      <c r="L668" s="748">
        <f>IFERROR(VLOOKUP($B668,flows!$A$2:$J$2950,L$2,FALSE),0)</f>
        <v>0</v>
      </c>
      <c r="M668" s="741" t="s">
        <v>3165</v>
      </c>
    </row>
    <row r="669" spans="2:13" ht="15" x14ac:dyDescent="0.35">
      <c r="B669" s="745" t="s">
        <v>3238</v>
      </c>
      <c r="C669" s="743" t="s">
        <v>3834</v>
      </c>
      <c r="D669" s="744" t="s">
        <v>3835</v>
      </c>
      <c r="E669" s="748">
        <f t="shared" ref="E669:L669" si="118">SUM(E666:E668)</f>
        <v>6148.2838355615304</v>
      </c>
      <c r="F669" s="748">
        <f t="shared" si="118"/>
        <v>4297.0772465690152</v>
      </c>
      <c r="G669" s="748">
        <f t="shared" si="118"/>
        <v>4484.6484636833375</v>
      </c>
      <c r="H669" s="748">
        <f t="shared" si="118"/>
        <v>5348.5395418477392</v>
      </c>
      <c r="I669" s="748">
        <f t="shared" si="118"/>
        <v>5750.8761118063758</v>
      </c>
      <c r="J669" s="748">
        <f t="shared" si="118"/>
        <v>5935.0714546125037</v>
      </c>
      <c r="K669" s="748">
        <f t="shared" si="118"/>
        <v>6148.3326764678422</v>
      </c>
      <c r="L669" s="748">
        <f t="shared" si="118"/>
        <v>0</v>
      </c>
      <c r="M669" s="741" t="s">
        <v>3165</v>
      </c>
    </row>
    <row r="670" spans="2:13" ht="15" x14ac:dyDescent="0.35">
      <c r="B670" s="745" t="s">
        <v>3238</v>
      </c>
      <c r="C670" s="743" t="s">
        <v>3836</v>
      </c>
      <c r="D670" s="744" t="s">
        <v>3837</v>
      </c>
      <c r="E670" s="748">
        <f t="shared" ref="E670:L670" si="119">E669+E406+E427+E444+E461</f>
        <v>6148.2838355615304</v>
      </c>
      <c r="F670" s="748">
        <f t="shared" si="119"/>
        <v>4297.0772465690152</v>
      </c>
      <c r="G670" s="748">
        <f t="shared" si="119"/>
        <v>4484.6484636833375</v>
      </c>
      <c r="H670" s="748">
        <f t="shared" si="119"/>
        <v>5348.5395418477392</v>
      </c>
      <c r="I670" s="748">
        <f t="shared" si="119"/>
        <v>5750.8761118063758</v>
      </c>
      <c r="J670" s="748">
        <f t="shared" si="119"/>
        <v>5935.0714546125037</v>
      </c>
      <c r="K670" s="748">
        <f t="shared" si="119"/>
        <v>6148.3326764678422</v>
      </c>
      <c r="L670" s="748">
        <f t="shared" si="119"/>
        <v>0</v>
      </c>
      <c r="M670" s="741" t="s">
        <v>3165</v>
      </c>
    </row>
    <row r="671" spans="2:13" ht="15" x14ac:dyDescent="0.35">
      <c r="B671" s="745" t="s">
        <v>3838</v>
      </c>
      <c r="C671" s="743" t="s">
        <v>3839</v>
      </c>
      <c r="D671" s="744" t="s">
        <v>3840</v>
      </c>
      <c r="E671" s="749">
        <f t="shared" ref="E671:L671" si="120">E670/(E665+E670)</f>
        <v>1</v>
      </c>
      <c r="F671" s="749">
        <f t="shared" si="120"/>
        <v>1</v>
      </c>
      <c r="G671" s="749">
        <f t="shared" si="120"/>
        <v>1</v>
      </c>
      <c r="H671" s="749">
        <f t="shared" si="120"/>
        <v>1</v>
      </c>
      <c r="I671" s="749">
        <f t="shared" si="120"/>
        <v>1</v>
      </c>
      <c r="J671" s="749">
        <f t="shared" si="120"/>
        <v>1</v>
      </c>
      <c r="K671" s="749">
        <f t="shared" si="120"/>
        <v>1</v>
      </c>
      <c r="L671" s="749" t="e">
        <f t="shared" si="120"/>
        <v>#DIV/0!</v>
      </c>
      <c r="M671" s="741" t="s">
        <v>3841</v>
      </c>
    </row>
    <row r="672" spans="2:13" ht="15" x14ac:dyDescent="0.35">
      <c r="B672" s="745" t="s">
        <v>3838</v>
      </c>
      <c r="C672" s="743" t="s">
        <v>3842</v>
      </c>
      <c r="D672" s="744" t="s">
        <v>3843</v>
      </c>
      <c r="E672" s="749">
        <f t="shared" ref="E672:L672" si="121">100%-E671</f>
        <v>0</v>
      </c>
      <c r="F672" s="749">
        <f t="shared" si="121"/>
        <v>0</v>
      </c>
      <c r="G672" s="749">
        <f t="shared" si="121"/>
        <v>0</v>
      </c>
      <c r="H672" s="749">
        <f t="shared" si="121"/>
        <v>0</v>
      </c>
      <c r="I672" s="749">
        <f t="shared" si="121"/>
        <v>0</v>
      </c>
      <c r="J672" s="749">
        <f t="shared" si="121"/>
        <v>0</v>
      </c>
      <c r="K672" s="749">
        <f t="shared" si="121"/>
        <v>0</v>
      </c>
      <c r="L672" s="749" t="e">
        <f t="shared" si="121"/>
        <v>#DIV/0!</v>
      </c>
      <c r="M672" s="741" t="s">
        <v>3841</v>
      </c>
    </row>
    <row r="673" spans="2:13" ht="15" x14ac:dyDescent="0.35">
      <c r="B673" s="745" t="s">
        <v>3838</v>
      </c>
      <c r="C673" s="743" t="s">
        <v>3839</v>
      </c>
      <c r="D673" s="744" t="s">
        <v>3844</v>
      </c>
      <c r="E673" s="749">
        <f t="shared" ref="E673:L673" si="122">(E670)/((E665/1.2)+E670)</f>
        <v>1</v>
      </c>
      <c r="F673" s="749">
        <f t="shared" si="122"/>
        <v>1</v>
      </c>
      <c r="G673" s="749">
        <f t="shared" si="122"/>
        <v>1</v>
      </c>
      <c r="H673" s="749">
        <f t="shared" si="122"/>
        <v>1</v>
      </c>
      <c r="I673" s="749">
        <f t="shared" si="122"/>
        <v>1</v>
      </c>
      <c r="J673" s="749">
        <f t="shared" si="122"/>
        <v>1</v>
      </c>
      <c r="K673" s="749">
        <f t="shared" si="122"/>
        <v>1</v>
      </c>
      <c r="L673" s="749" t="e">
        <f t="shared" si="122"/>
        <v>#DIV/0!</v>
      </c>
      <c r="M673" s="741" t="s">
        <v>3841</v>
      </c>
    </row>
    <row r="674" spans="2:13" ht="15" x14ac:dyDescent="0.35">
      <c r="B674" s="745" t="s">
        <v>3838</v>
      </c>
      <c r="C674" s="743" t="s">
        <v>3842</v>
      </c>
      <c r="D674" s="744" t="s">
        <v>3845</v>
      </c>
      <c r="E674" s="749">
        <f t="shared" ref="E674:L674" si="123">100%-E673</f>
        <v>0</v>
      </c>
      <c r="F674" s="749">
        <f t="shared" si="123"/>
        <v>0</v>
      </c>
      <c r="G674" s="749">
        <f t="shared" si="123"/>
        <v>0</v>
      </c>
      <c r="H674" s="749">
        <f t="shared" si="123"/>
        <v>0</v>
      </c>
      <c r="I674" s="749">
        <f t="shared" si="123"/>
        <v>0</v>
      </c>
      <c r="J674" s="749">
        <f t="shared" si="123"/>
        <v>0</v>
      </c>
      <c r="K674" s="749">
        <f t="shared" si="123"/>
        <v>0</v>
      </c>
      <c r="L674" s="749" t="e">
        <f t="shared" si="123"/>
        <v>#DIV/0!</v>
      </c>
      <c r="M674" s="741" t="s">
        <v>3841</v>
      </c>
    </row>
    <row r="675" spans="2:13" ht="15" x14ac:dyDescent="0.35">
      <c r="B675" s="745" t="s">
        <v>3238</v>
      </c>
      <c r="C675" s="743" t="s">
        <v>3846</v>
      </c>
      <c r="D675" s="744" t="s">
        <v>3847</v>
      </c>
      <c r="E675" s="750">
        <f t="shared" ref="E675:L676" si="124">E669*1.2</f>
        <v>7377.9406026738361</v>
      </c>
      <c r="F675" s="750">
        <f t="shared" si="124"/>
        <v>5156.4926958828182</v>
      </c>
      <c r="G675" s="750">
        <f t="shared" si="124"/>
        <v>5381.5781564200051</v>
      </c>
      <c r="H675" s="750">
        <f t="shared" si="124"/>
        <v>6418.2474502172872</v>
      </c>
      <c r="I675" s="750">
        <f t="shared" si="124"/>
        <v>6901.0513341676506</v>
      </c>
      <c r="J675" s="750">
        <f t="shared" si="124"/>
        <v>7122.0857455350042</v>
      </c>
      <c r="K675" s="750">
        <f t="shared" si="124"/>
        <v>7377.9992117614102</v>
      </c>
      <c r="L675" s="750">
        <f t="shared" si="124"/>
        <v>0</v>
      </c>
      <c r="M675" s="741" t="s">
        <v>3165</v>
      </c>
    </row>
    <row r="676" spans="2:13" ht="15.5" thickBot="1" x14ac:dyDescent="0.4">
      <c r="B676" s="745" t="s">
        <v>3238</v>
      </c>
      <c r="C676" s="743" t="s">
        <v>3846</v>
      </c>
      <c r="D676" s="744" t="s">
        <v>3848</v>
      </c>
      <c r="E676" s="750">
        <f t="shared" si="124"/>
        <v>7377.9406026738361</v>
      </c>
      <c r="F676" s="750">
        <f t="shared" si="124"/>
        <v>5156.4926958828182</v>
      </c>
      <c r="G676" s="750">
        <f t="shared" si="124"/>
        <v>5381.5781564200051</v>
      </c>
      <c r="H676" s="750">
        <f t="shared" si="124"/>
        <v>6418.2474502172872</v>
      </c>
      <c r="I676" s="750">
        <f t="shared" si="124"/>
        <v>6901.0513341676506</v>
      </c>
      <c r="J676" s="750">
        <f t="shared" si="124"/>
        <v>7122.0857455350042</v>
      </c>
      <c r="K676" s="750">
        <f t="shared" si="124"/>
        <v>7377.9992117614102</v>
      </c>
      <c r="L676" s="750">
        <f t="shared" si="124"/>
        <v>0</v>
      </c>
      <c r="M676" s="741" t="s">
        <v>3165</v>
      </c>
    </row>
    <row r="677" spans="2:13" ht="15.5" thickTop="1" x14ac:dyDescent="0.35">
      <c r="B677" s="711" t="s">
        <v>3671</v>
      </c>
      <c r="C677" s="712" t="s">
        <v>3156</v>
      </c>
      <c r="D677" s="712" t="s">
        <v>3157</v>
      </c>
      <c r="E677" s="712" t="s">
        <v>23</v>
      </c>
      <c r="F677" s="712" t="s">
        <v>1798</v>
      </c>
      <c r="G677" s="712" t="s">
        <v>1799</v>
      </c>
      <c r="H677" s="712" t="s">
        <v>1800</v>
      </c>
      <c r="I677" s="712" t="s">
        <v>1801</v>
      </c>
      <c r="J677" s="712" t="s">
        <v>1802</v>
      </c>
      <c r="K677" s="712" t="s">
        <v>1803</v>
      </c>
      <c r="L677" s="713" t="s">
        <v>1804</v>
      </c>
      <c r="M677" s="714" t="s">
        <v>3158</v>
      </c>
    </row>
    <row r="678" spans="2:13" ht="15" x14ac:dyDescent="0.35">
      <c r="B678" s="745" t="s">
        <v>3849</v>
      </c>
      <c r="C678" s="743" t="s">
        <v>3850</v>
      </c>
      <c r="D678" s="744" t="s">
        <v>3851</v>
      </c>
      <c r="E678" s="751" t="e">
        <f t="shared" ref="E678:L678" si="125">E645/E637</f>
        <v>#N/A</v>
      </c>
      <c r="F678" s="751" t="e">
        <f t="shared" si="125"/>
        <v>#N/A</v>
      </c>
      <c r="G678" s="751" t="e">
        <f t="shared" si="125"/>
        <v>#N/A</v>
      </c>
      <c r="H678" s="751" t="e">
        <f t="shared" si="125"/>
        <v>#N/A</v>
      </c>
      <c r="I678" s="751" t="e">
        <f t="shared" si="125"/>
        <v>#N/A</v>
      </c>
      <c r="J678" s="751" t="e">
        <f t="shared" si="125"/>
        <v>#N/A</v>
      </c>
      <c r="K678" s="751" t="e">
        <f t="shared" si="125"/>
        <v>#N/A</v>
      </c>
      <c r="L678" s="751" t="e">
        <f t="shared" si="125"/>
        <v>#N/A</v>
      </c>
      <c r="M678" s="752" t="s">
        <v>3813</v>
      </c>
    </row>
    <row r="679" spans="2:13" ht="15" x14ac:dyDescent="0.35">
      <c r="B679" s="715" t="s">
        <v>3852</v>
      </c>
      <c r="C679" s="716" t="s">
        <v>3799</v>
      </c>
      <c r="D679" s="717" t="s">
        <v>3853</v>
      </c>
      <c r="E679" s="753">
        <f t="shared" ref="E679:L679" si="126">E328/(E328+E250)</f>
        <v>0.89999561402877248</v>
      </c>
      <c r="F679" s="753">
        <f t="shared" si="126"/>
        <v>0.60000000000000009</v>
      </c>
      <c r="G679" s="753">
        <f t="shared" si="126"/>
        <v>0.70034171276827051</v>
      </c>
      <c r="H679" s="753">
        <f t="shared" si="126"/>
        <v>0.82674335018747946</v>
      </c>
      <c r="I679" s="753">
        <f t="shared" si="126"/>
        <v>0.88968003727059408</v>
      </c>
      <c r="J679" s="753">
        <f t="shared" si="126"/>
        <v>0.89394532561484319</v>
      </c>
      <c r="K679" s="753">
        <f t="shared" si="126"/>
        <v>0.89999998709806561</v>
      </c>
      <c r="L679" s="753" t="e">
        <f t="shared" si="126"/>
        <v>#DIV/0!</v>
      </c>
      <c r="M679" s="754" t="s">
        <v>3854</v>
      </c>
    </row>
    <row r="680" spans="2:13" ht="15" x14ac:dyDescent="0.35">
      <c r="B680" s="715" t="s">
        <v>3852</v>
      </c>
      <c r="C680" s="716" t="s">
        <v>3801</v>
      </c>
      <c r="D680" s="717" t="s">
        <v>3855</v>
      </c>
      <c r="E680" s="753">
        <f t="shared" ref="E680:L680" si="127">E349/(E349+E271)</f>
        <v>0.23235821880764523</v>
      </c>
      <c r="F680" s="753">
        <f t="shared" si="127"/>
        <v>0.2</v>
      </c>
      <c r="G680" s="753">
        <f t="shared" si="127"/>
        <v>0.20306304261569602</v>
      </c>
      <c r="H680" s="753">
        <f t="shared" si="127"/>
        <v>0.23226072603463843</v>
      </c>
      <c r="I680" s="753">
        <f t="shared" si="127"/>
        <v>0.23235518674138861</v>
      </c>
      <c r="J680" s="753">
        <f t="shared" si="127"/>
        <v>0.23244477511917691</v>
      </c>
      <c r="K680" s="753">
        <f t="shared" si="127"/>
        <v>0.23235995330966294</v>
      </c>
      <c r="L680" s="753" t="e">
        <f t="shared" si="127"/>
        <v>#DIV/0!</v>
      </c>
      <c r="M680" s="754" t="s">
        <v>3854</v>
      </c>
    </row>
    <row r="681" spans="2:13" ht="15" x14ac:dyDescent="0.35">
      <c r="B681" s="715" t="s">
        <v>3852</v>
      </c>
      <c r="C681" s="716" t="s">
        <v>3803</v>
      </c>
      <c r="D681" s="717" t="s">
        <v>3856</v>
      </c>
      <c r="E681" s="753">
        <f t="shared" ref="E681:L681" si="128">E366/(E366+E288)</f>
        <v>0.7999360058767736</v>
      </c>
      <c r="F681" s="753">
        <f t="shared" si="128"/>
        <v>0.4</v>
      </c>
      <c r="G681" s="753">
        <f t="shared" si="128"/>
        <v>0.58949775064668253</v>
      </c>
      <c r="H681" s="753">
        <f t="shared" si="128"/>
        <v>0.72886275100667142</v>
      </c>
      <c r="I681" s="753">
        <f t="shared" si="128"/>
        <v>0.68493531061761115</v>
      </c>
      <c r="J681" s="753">
        <f t="shared" si="128"/>
        <v>0.73368850825841314</v>
      </c>
      <c r="K681" s="753">
        <f t="shared" si="128"/>
        <v>0.79995991193673033</v>
      </c>
      <c r="L681" s="753" t="e">
        <f t="shared" si="128"/>
        <v>#DIV/0!</v>
      </c>
      <c r="M681" s="754" t="s">
        <v>3854</v>
      </c>
    </row>
    <row r="682" spans="2:13" ht="15" x14ac:dyDescent="0.35">
      <c r="B682" s="745" t="s">
        <v>3852</v>
      </c>
      <c r="C682" s="743" t="s">
        <v>3805</v>
      </c>
      <c r="D682" s="744" t="s">
        <v>3857</v>
      </c>
      <c r="E682" s="755" t="e">
        <f t="shared" ref="E682:L682" si="129">E383/(E383+E305)</f>
        <v>#DIV/0!</v>
      </c>
      <c r="F682" s="755" t="e">
        <f t="shared" si="129"/>
        <v>#DIV/0!</v>
      </c>
      <c r="G682" s="755" t="e">
        <f t="shared" si="129"/>
        <v>#DIV/0!</v>
      </c>
      <c r="H682" s="755" t="e">
        <f t="shared" si="129"/>
        <v>#DIV/0!</v>
      </c>
      <c r="I682" s="755" t="e">
        <f t="shared" si="129"/>
        <v>#DIV/0!</v>
      </c>
      <c r="J682" s="755" t="e">
        <f t="shared" si="129"/>
        <v>#DIV/0!</v>
      </c>
      <c r="K682" s="755" t="e">
        <f t="shared" si="129"/>
        <v>#DIV/0!</v>
      </c>
      <c r="L682" s="755" t="e">
        <f t="shared" si="129"/>
        <v>#DIV/0!</v>
      </c>
      <c r="M682" s="756" t="s">
        <v>3854</v>
      </c>
    </row>
    <row r="683" spans="2:13" ht="15.5" thickBot="1" x14ac:dyDescent="0.4">
      <c r="B683" s="759"/>
      <c r="C683" s="760"/>
      <c r="D683" s="759"/>
      <c r="E683" s="761"/>
      <c r="F683" s="761"/>
      <c r="G683" s="761"/>
      <c r="H683" s="761"/>
      <c r="I683" s="761"/>
      <c r="J683" s="761"/>
      <c r="K683" s="761"/>
      <c r="L683" s="761"/>
      <c r="M683" s="762"/>
    </row>
    <row r="684" spans="2:13" ht="15" x14ac:dyDescent="0.35">
      <c r="B684" s="771" t="s">
        <v>3671</v>
      </c>
      <c r="C684" s="772" t="s">
        <v>3156</v>
      </c>
      <c r="D684" s="772" t="s">
        <v>3157</v>
      </c>
      <c r="E684" s="772" t="s">
        <v>23</v>
      </c>
      <c r="F684" s="772" t="s">
        <v>1798</v>
      </c>
      <c r="G684" s="772" t="s">
        <v>1799</v>
      </c>
      <c r="H684" s="772" t="s">
        <v>1800</v>
      </c>
      <c r="I684" s="772" t="s">
        <v>1801</v>
      </c>
      <c r="J684" s="772" t="s">
        <v>1802</v>
      </c>
      <c r="K684" s="772" t="s">
        <v>1803</v>
      </c>
      <c r="L684" s="772" t="s">
        <v>1804</v>
      </c>
      <c r="M684" s="773" t="s">
        <v>3158</v>
      </c>
    </row>
    <row r="685" spans="2:13" ht="15" x14ac:dyDescent="0.35">
      <c r="B685" s="774" t="s">
        <v>3858</v>
      </c>
      <c r="C685" s="760" t="s">
        <v>3799</v>
      </c>
      <c r="D685" s="759" t="s">
        <v>3859</v>
      </c>
      <c r="E685" s="763" t="e">
        <f t="shared" ref="E685:L685" si="130">SUM(E574:E591)</f>
        <v>#N/A</v>
      </c>
      <c r="F685" s="763" t="e">
        <f t="shared" si="130"/>
        <v>#N/A</v>
      </c>
      <c r="G685" s="763" t="e">
        <f t="shared" si="130"/>
        <v>#N/A</v>
      </c>
      <c r="H685" s="763" t="e">
        <f t="shared" si="130"/>
        <v>#N/A</v>
      </c>
      <c r="I685" s="763" t="e">
        <f t="shared" si="130"/>
        <v>#N/A</v>
      </c>
      <c r="J685" s="763" t="e">
        <f t="shared" si="130"/>
        <v>#N/A</v>
      </c>
      <c r="K685" s="763" t="e">
        <f t="shared" si="130"/>
        <v>#N/A</v>
      </c>
      <c r="L685" s="763" t="e">
        <f t="shared" si="130"/>
        <v>#N/A</v>
      </c>
      <c r="M685" s="775" t="s">
        <v>3165</v>
      </c>
    </row>
    <row r="686" spans="2:13" ht="15" x14ac:dyDescent="0.35">
      <c r="B686" s="774" t="s">
        <v>3858</v>
      </c>
      <c r="C686" s="760" t="s">
        <v>3801</v>
      </c>
      <c r="D686" s="759" t="s">
        <v>3860</v>
      </c>
      <c r="E686" s="763" t="e">
        <f t="shared" ref="E686:L686" si="131">SUM(E542:E559)</f>
        <v>#N/A</v>
      </c>
      <c r="F686" s="763" t="e">
        <f t="shared" si="131"/>
        <v>#N/A</v>
      </c>
      <c r="G686" s="763" t="e">
        <f t="shared" si="131"/>
        <v>#N/A</v>
      </c>
      <c r="H686" s="763" t="e">
        <f t="shared" si="131"/>
        <v>#N/A</v>
      </c>
      <c r="I686" s="763" t="e">
        <f t="shared" si="131"/>
        <v>#N/A</v>
      </c>
      <c r="J686" s="763" t="e">
        <f t="shared" si="131"/>
        <v>#N/A</v>
      </c>
      <c r="K686" s="763" t="e">
        <f t="shared" si="131"/>
        <v>#N/A</v>
      </c>
      <c r="L686" s="763" t="e">
        <f t="shared" si="131"/>
        <v>#N/A</v>
      </c>
      <c r="M686" s="775" t="s">
        <v>3165</v>
      </c>
    </row>
    <row r="687" spans="2:13" ht="15" x14ac:dyDescent="0.35">
      <c r="B687" s="774" t="s">
        <v>3858</v>
      </c>
      <c r="C687" s="760" t="s">
        <v>3803</v>
      </c>
      <c r="D687" s="759" t="s">
        <v>3861</v>
      </c>
      <c r="E687" s="763" t="e">
        <f t="shared" ref="E687:L687" si="132">SUM(E560:E573)</f>
        <v>#N/A</v>
      </c>
      <c r="F687" s="763" t="e">
        <f t="shared" si="132"/>
        <v>#N/A</v>
      </c>
      <c r="G687" s="763" t="e">
        <f t="shared" si="132"/>
        <v>#N/A</v>
      </c>
      <c r="H687" s="763" t="e">
        <f t="shared" si="132"/>
        <v>#N/A</v>
      </c>
      <c r="I687" s="763" t="e">
        <f t="shared" si="132"/>
        <v>#N/A</v>
      </c>
      <c r="J687" s="763" t="e">
        <f t="shared" si="132"/>
        <v>#N/A</v>
      </c>
      <c r="K687" s="763" t="e">
        <f t="shared" si="132"/>
        <v>#N/A</v>
      </c>
      <c r="L687" s="763" t="e">
        <f t="shared" si="132"/>
        <v>#N/A</v>
      </c>
      <c r="M687" s="775" t="s">
        <v>3165</v>
      </c>
    </row>
    <row r="688" spans="2:13" ht="15" x14ac:dyDescent="0.35">
      <c r="B688" s="774" t="s">
        <v>3858</v>
      </c>
      <c r="C688" s="760" t="s">
        <v>3805</v>
      </c>
      <c r="D688" s="759" t="s">
        <v>3862</v>
      </c>
      <c r="E688" s="763" t="e">
        <f t="shared" ref="E688:L688" si="133">SUM(E592:E605)</f>
        <v>#N/A</v>
      </c>
      <c r="F688" s="763" t="e">
        <f t="shared" si="133"/>
        <v>#N/A</v>
      </c>
      <c r="G688" s="763" t="e">
        <f t="shared" si="133"/>
        <v>#N/A</v>
      </c>
      <c r="H688" s="763" t="e">
        <f t="shared" si="133"/>
        <v>#N/A</v>
      </c>
      <c r="I688" s="763" t="e">
        <f t="shared" si="133"/>
        <v>#N/A</v>
      </c>
      <c r="J688" s="763" t="e">
        <f t="shared" si="133"/>
        <v>#N/A</v>
      </c>
      <c r="K688" s="763" t="e">
        <f t="shared" si="133"/>
        <v>#N/A</v>
      </c>
      <c r="L688" s="763" t="e">
        <f t="shared" si="133"/>
        <v>#N/A</v>
      </c>
      <c r="M688" s="775" t="s">
        <v>3165</v>
      </c>
    </row>
    <row r="689" spans="2:13" ht="16" x14ac:dyDescent="0.4">
      <c r="B689" s="774" t="s">
        <v>3858</v>
      </c>
      <c r="C689" s="760" t="s">
        <v>1229</v>
      </c>
      <c r="D689" s="759" t="s">
        <v>3863</v>
      </c>
      <c r="E689" s="764" t="e">
        <f>SUM(E685:E688)</f>
        <v>#N/A</v>
      </c>
      <c r="F689" s="764" t="e">
        <f t="shared" ref="F689:K689" si="134">SUM(F685:F688)</f>
        <v>#N/A</v>
      </c>
      <c r="G689" s="764" t="e">
        <f t="shared" si="134"/>
        <v>#N/A</v>
      </c>
      <c r="H689" s="764" t="e">
        <f t="shared" si="134"/>
        <v>#N/A</v>
      </c>
      <c r="I689" s="764" t="e">
        <f t="shared" si="134"/>
        <v>#N/A</v>
      </c>
      <c r="J689" s="764" t="e">
        <f t="shared" si="134"/>
        <v>#N/A</v>
      </c>
      <c r="K689" s="764" t="e">
        <f t="shared" si="134"/>
        <v>#N/A</v>
      </c>
      <c r="L689" s="764" t="e">
        <f>SUM(L685:L688)</f>
        <v>#N/A</v>
      </c>
      <c r="M689" s="775" t="s">
        <v>3165</v>
      </c>
    </row>
    <row r="690" spans="2:13" ht="15" x14ac:dyDescent="0.35">
      <c r="B690" s="774" t="s">
        <v>3864</v>
      </c>
      <c r="C690" s="760" t="s">
        <v>3799</v>
      </c>
      <c r="D690" s="759" t="s">
        <v>3859</v>
      </c>
      <c r="E690" s="765" t="e">
        <f t="shared" ref="E690:L690" si="135">E685/E25</f>
        <v>#N/A</v>
      </c>
      <c r="F690" s="765" t="e">
        <f t="shared" si="135"/>
        <v>#N/A</v>
      </c>
      <c r="G690" s="765" t="e">
        <f t="shared" si="135"/>
        <v>#N/A</v>
      </c>
      <c r="H690" s="765" t="e">
        <f t="shared" si="135"/>
        <v>#N/A</v>
      </c>
      <c r="I690" s="765" t="e">
        <f t="shared" si="135"/>
        <v>#N/A</v>
      </c>
      <c r="J690" s="765" t="e">
        <f t="shared" si="135"/>
        <v>#N/A</v>
      </c>
      <c r="K690" s="765" t="e">
        <f t="shared" si="135"/>
        <v>#N/A</v>
      </c>
      <c r="L690" s="765" t="e">
        <f t="shared" si="135"/>
        <v>#N/A</v>
      </c>
      <c r="M690" s="775" t="s">
        <v>3865</v>
      </c>
    </row>
    <row r="691" spans="2:13" ht="15" x14ac:dyDescent="0.35">
      <c r="B691" s="774" t="s">
        <v>3864</v>
      </c>
      <c r="C691" s="760" t="s">
        <v>3801</v>
      </c>
      <c r="D691" s="759" t="s">
        <v>3860</v>
      </c>
      <c r="E691" s="765" t="e">
        <f t="shared" ref="E691:L691" si="136">E686/E48</f>
        <v>#N/A</v>
      </c>
      <c r="F691" s="765" t="e">
        <f t="shared" si="136"/>
        <v>#N/A</v>
      </c>
      <c r="G691" s="765" t="e">
        <f t="shared" si="136"/>
        <v>#N/A</v>
      </c>
      <c r="H691" s="765" t="e">
        <f t="shared" si="136"/>
        <v>#N/A</v>
      </c>
      <c r="I691" s="765" t="e">
        <f t="shared" si="136"/>
        <v>#N/A</v>
      </c>
      <c r="J691" s="765" t="e">
        <f t="shared" si="136"/>
        <v>#N/A</v>
      </c>
      <c r="K691" s="765" t="e">
        <f t="shared" si="136"/>
        <v>#N/A</v>
      </c>
      <c r="L691" s="765" t="e">
        <f t="shared" si="136"/>
        <v>#N/A</v>
      </c>
      <c r="M691" s="775" t="s">
        <v>3865</v>
      </c>
    </row>
    <row r="692" spans="2:13" ht="15" x14ac:dyDescent="0.35">
      <c r="B692" s="774" t="s">
        <v>3864</v>
      </c>
      <c r="C692" s="760" t="s">
        <v>3803</v>
      </c>
      <c r="D692" s="759" t="s">
        <v>3861</v>
      </c>
      <c r="E692" s="765" t="e">
        <f t="shared" ref="E692:L692" si="137">E687/E66</f>
        <v>#N/A</v>
      </c>
      <c r="F692" s="765" t="e">
        <f t="shared" si="137"/>
        <v>#N/A</v>
      </c>
      <c r="G692" s="765" t="e">
        <f t="shared" si="137"/>
        <v>#N/A</v>
      </c>
      <c r="H692" s="765" t="e">
        <f t="shared" si="137"/>
        <v>#N/A</v>
      </c>
      <c r="I692" s="765" t="e">
        <f t="shared" si="137"/>
        <v>#N/A</v>
      </c>
      <c r="J692" s="765" t="e">
        <f t="shared" si="137"/>
        <v>#N/A</v>
      </c>
      <c r="K692" s="765" t="e">
        <f t="shared" si="137"/>
        <v>#N/A</v>
      </c>
      <c r="L692" s="765" t="e">
        <f t="shared" si="137"/>
        <v>#N/A</v>
      </c>
      <c r="M692" s="775" t="s">
        <v>3865</v>
      </c>
    </row>
    <row r="693" spans="2:13" ht="15" x14ac:dyDescent="0.35">
      <c r="B693" s="774" t="s">
        <v>3864</v>
      </c>
      <c r="C693" s="760" t="s">
        <v>3805</v>
      </c>
      <c r="D693" s="759" t="s">
        <v>3862</v>
      </c>
      <c r="E693" s="765" t="e">
        <f t="shared" ref="E693:L693" si="138">E688/E84</f>
        <v>#N/A</v>
      </c>
      <c r="F693" s="765" t="e">
        <f t="shared" si="138"/>
        <v>#N/A</v>
      </c>
      <c r="G693" s="765" t="e">
        <f t="shared" si="138"/>
        <v>#N/A</v>
      </c>
      <c r="H693" s="765" t="e">
        <f t="shared" si="138"/>
        <v>#N/A</v>
      </c>
      <c r="I693" s="765" t="e">
        <f t="shared" si="138"/>
        <v>#N/A</v>
      </c>
      <c r="J693" s="765" t="e">
        <f t="shared" si="138"/>
        <v>#N/A</v>
      </c>
      <c r="K693" s="765" t="e">
        <f t="shared" si="138"/>
        <v>#N/A</v>
      </c>
      <c r="L693" s="765" t="e">
        <f t="shared" si="138"/>
        <v>#N/A</v>
      </c>
      <c r="M693" s="775" t="s">
        <v>3865</v>
      </c>
    </row>
    <row r="694" spans="2:13" ht="15" x14ac:dyDescent="0.35">
      <c r="B694" s="774" t="s">
        <v>3864</v>
      </c>
      <c r="C694" s="760" t="s">
        <v>3868</v>
      </c>
      <c r="D694" s="759" t="s">
        <v>3869</v>
      </c>
      <c r="E694" s="765" t="e">
        <f t="shared" ref="E694:L694" si="139">E689/E637</f>
        <v>#N/A</v>
      </c>
      <c r="F694" s="765" t="e">
        <f t="shared" si="139"/>
        <v>#N/A</v>
      </c>
      <c r="G694" s="765" t="e">
        <f t="shared" si="139"/>
        <v>#N/A</v>
      </c>
      <c r="H694" s="765" t="e">
        <f t="shared" si="139"/>
        <v>#N/A</v>
      </c>
      <c r="I694" s="765" t="e">
        <f t="shared" si="139"/>
        <v>#N/A</v>
      </c>
      <c r="J694" s="765" t="e">
        <f t="shared" si="139"/>
        <v>#N/A</v>
      </c>
      <c r="K694" s="765" t="e">
        <f t="shared" si="139"/>
        <v>#N/A</v>
      </c>
      <c r="L694" s="765" t="e">
        <f t="shared" si="139"/>
        <v>#N/A</v>
      </c>
      <c r="M694" s="775" t="s">
        <v>3865</v>
      </c>
    </row>
    <row r="695" spans="2:13" ht="15" x14ac:dyDescent="0.35">
      <c r="B695" s="774" t="s">
        <v>3870</v>
      </c>
      <c r="C695" s="760" t="s">
        <v>3871</v>
      </c>
      <c r="D695" s="759" t="s">
        <v>3872</v>
      </c>
      <c r="E695" s="766" t="e">
        <f t="shared" ref="E695:L695" si="140">1-(E694/$C$714)</f>
        <v>#N/A</v>
      </c>
      <c r="F695" s="766" t="e">
        <f t="shared" si="140"/>
        <v>#N/A</v>
      </c>
      <c r="G695" s="766" t="e">
        <f t="shared" si="140"/>
        <v>#N/A</v>
      </c>
      <c r="H695" s="766" t="e">
        <f t="shared" si="140"/>
        <v>#N/A</v>
      </c>
      <c r="I695" s="766" t="e">
        <f t="shared" si="140"/>
        <v>#N/A</v>
      </c>
      <c r="J695" s="766" t="e">
        <f t="shared" si="140"/>
        <v>#N/A</v>
      </c>
      <c r="K695" s="766" t="e">
        <f t="shared" si="140"/>
        <v>#N/A</v>
      </c>
      <c r="L695" s="766" t="e">
        <f t="shared" si="140"/>
        <v>#N/A</v>
      </c>
      <c r="M695" s="775" t="s">
        <v>3873</v>
      </c>
    </row>
    <row r="696" spans="2:13" ht="15" x14ac:dyDescent="0.35">
      <c r="B696" s="774" t="s">
        <v>3874</v>
      </c>
      <c r="C696" s="760" t="s">
        <v>3799</v>
      </c>
      <c r="D696" s="759" t="s">
        <v>3859</v>
      </c>
      <c r="E696" s="765" t="e">
        <f>E690/0.75</f>
        <v>#N/A</v>
      </c>
      <c r="F696" s="765" t="e">
        <f t="shared" ref="F696:L696" si="141">F690/0.75</f>
        <v>#N/A</v>
      </c>
      <c r="G696" s="765" t="e">
        <f t="shared" si="141"/>
        <v>#N/A</v>
      </c>
      <c r="H696" s="765" t="e">
        <f t="shared" si="141"/>
        <v>#N/A</v>
      </c>
      <c r="I696" s="765" t="e">
        <f t="shared" si="141"/>
        <v>#N/A</v>
      </c>
      <c r="J696" s="765" t="e">
        <f t="shared" si="141"/>
        <v>#N/A</v>
      </c>
      <c r="K696" s="765" t="e">
        <f t="shared" si="141"/>
        <v>#N/A</v>
      </c>
      <c r="L696" s="765" t="e">
        <f t="shared" si="141"/>
        <v>#N/A</v>
      </c>
      <c r="M696" s="775" t="s">
        <v>3865</v>
      </c>
    </row>
    <row r="697" spans="2:13" ht="15" x14ac:dyDescent="0.35">
      <c r="B697" s="774" t="s">
        <v>3874</v>
      </c>
      <c r="C697" s="760" t="s">
        <v>3801</v>
      </c>
      <c r="D697" s="759" t="s">
        <v>3860</v>
      </c>
      <c r="E697" s="765" t="e">
        <f t="shared" ref="E697:L697" si="142">E691/0.778</f>
        <v>#N/A</v>
      </c>
      <c r="F697" s="765" t="e">
        <f t="shared" si="142"/>
        <v>#N/A</v>
      </c>
      <c r="G697" s="765" t="e">
        <f t="shared" si="142"/>
        <v>#N/A</v>
      </c>
      <c r="H697" s="765" t="e">
        <f t="shared" si="142"/>
        <v>#N/A</v>
      </c>
      <c r="I697" s="765" t="e">
        <f t="shared" si="142"/>
        <v>#N/A</v>
      </c>
      <c r="J697" s="765" t="e">
        <f t="shared" si="142"/>
        <v>#N/A</v>
      </c>
      <c r="K697" s="765" t="e">
        <f t="shared" si="142"/>
        <v>#N/A</v>
      </c>
      <c r="L697" s="765" t="e">
        <f t="shared" si="142"/>
        <v>#N/A</v>
      </c>
      <c r="M697" s="775" t="s">
        <v>3865</v>
      </c>
    </row>
    <row r="698" spans="2:13" ht="15" x14ac:dyDescent="0.35">
      <c r="B698" s="774" t="s">
        <v>3874</v>
      </c>
      <c r="C698" s="760" t="s">
        <v>3803</v>
      </c>
      <c r="D698" s="759" t="s">
        <v>3861</v>
      </c>
      <c r="E698" s="765" t="e">
        <f t="shared" ref="E698:L698" si="143">E692/0.854</f>
        <v>#N/A</v>
      </c>
      <c r="F698" s="765" t="e">
        <f t="shared" si="143"/>
        <v>#N/A</v>
      </c>
      <c r="G698" s="765" t="e">
        <f t="shared" si="143"/>
        <v>#N/A</v>
      </c>
      <c r="H698" s="765" t="e">
        <f t="shared" si="143"/>
        <v>#N/A</v>
      </c>
      <c r="I698" s="765" t="e">
        <f t="shared" si="143"/>
        <v>#N/A</v>
      </c>
      <c r="J698" s="765" t="e">
        <f t="shared" si="143"/>
        <v>#N/A</v>
      </c>
      <c r="K698" s="765" t="e">
        <f t="shared" si="143"/>
        <v>#N/A</v>
      </c>
      <c r="L698" s="765" t="e">
        <f t="shared" si="143"/>
        <v>#N/A</v>
      </c>
      <c r="M698" s="775" t="s">
        <v>3865</v>
      </c>
    </row>
    <row r="699" spans="2:13" ht="15" x14ac:dyDescent="0.35">
      <c r="B699" s="774" t="s">
        <v>3874</v>
      </c>
      <c r="C699" s="760" t="s">
        <v>3805</v>
      </c>
      <c r="D699" s="759" t="s">
        <v>3862</v>
      </c>
      <c r="E699" s="765" t="e">
        <f t="shared" ref="E699:L699" si="144">E693/0.8</f>
        <v>#N/A</v>
      </c>
      <c r="F699" s="765" t="e">
        <f t="shared" si="144"/>
        <v>#N/A</v>
      </c>
      <c r="G699" s="765" t="e">
        <f t="shared" si="144"/>
        <v>#N/A</v>
      </c>
      <c r="H699" s="765" t="e">
        <f t="shared" si="144"/>
        <v>#N/A</v>
      </c>
      <c r="I699" s="765" t="e">
        <f t="shared" si="144"/>
        <v>#N/A</v>
      </c>
      <c r="J699" s="765" t="e">
        <f t="shared" si="144"/>
        <v>#N/A</v>
      </c>
      <c r="K699" s="765" t="e">
        <f t="shared" si="144"/>
        <v>#N/A</v>
      </c>
      <c r="L699" s="765" t="e">
        <f t="shared" si="144"/>
        <v>#N/A</v>
      </c>
      <c r="M699" s="775" t="s">
        <v>3865</v>
      </c>
    </row>
    <row r="700" spans="2:13" ht="15" x14ac:dyDescent="0.35">
      <c r="B700" s="774" t="s">
        <v>3874</v>
      </c>
      <c r="C700" s="760" t="s">
        <v>3868</v>
      </c>
      <c r="D700" s="759" t="s">
        <v>3869</v>
      </c>
      <c r="E700" s="765" t="e">
        <f t="shared" ref="E700:L700" si="145">E694/0.766</f>
        <v>#N/A</v>
      </c>
      <c r="F700" s="765" t="e">
        <f t="shared" si="145"/>
        <v>#N/A</v>
      </c>
      <c r="G700" s="765" t="e">
        <f t="shared" si="145"/>
        <v>#N/A</v>
      </c>
      <c r="H700" s="765" t="e">
        <f t="shared" si="145"/>
        <v>#N/A</v>
      </c>
      <c r="I700" s="765" t="e">
        <f t="shared" si="145"/>
        <v>#N/A</v>
      </c>
      <c r="J700" s="765" t="e">
        <f t="shared" si="145"/>
        <v>#N/A</v>
      </c>
      <c r="K700" s="765" t="e">
        <f t="shared" si="145"/>
        <v>#N/A</v>
      </c>
      <c r="L700" s="765" t="e">
        <f t="shared" si="145"/>
        <v>#N/A</v>
      </c>
      <c r="M700" s="775" t="s">
        <v>3865</v>
      </c>
    </row>
    <row r="701" spans="2:13" ht="15" x14ac:dyDescent="0.35">
      <c r="B701" s="774" t="s">
        <v>3874</v>
      </c>
      <c r="C701" s="760" t="s">
        <v>1229</v>
      </c>
      <c r="D701" s="759" t="s">
        <v>1408</v>
      </c>
      <c r="E701" s="764" t="e">
        <f t="shared" ref="E701:L701" si="146">E689/0.766</f>
        <v>#N/A</v>
      </c>
      <c r="F701" s="764" t="e">
        <f t="shared" si="146"/>
        <v>#N/A</v>
      </c>
      <c r="G701" s="764" t="e">
        <f t="shared" si="146"/>
        <v>#N/A</v>
      </c>
      <c r="H701" s="764" t="e">
        <f t="shared" si="146"/>
        <v>#N/A</v>
      </c>
      <c r="I701" s="764" t="e">
        <f t="shared" si="146"/>
        <v>#N/A</v>
      </c>
      <c r="J701" s="764" t="e">
        <f t="shared" si="146"/>
        <v>#N/A</v>
      </c>
      <c r="K701" s="764" t="e">
        <f t="shared" si="146"/>
        <v>#N/A</v>
      </c>
      <c r="L701" s="764" t="e">
        <f t="shared" si="146"/>
        <v>#N/A</v>
      </c>
      <c r="M701" s="775" t="s">
        <v>3165</v>
      </c>
    </row>
    <row r="702" spans="2:13" ht="15" x14ac:dyDescent="0.35">
      <c r="B702" s="774" t="s">
        <v>3875</v>
      </c>
      <c r="C702" s="760" t="s">
        <v>3871</v>
      </c>
      <c r="D702" s="759" t="s">
        <v>3872</v>
      </c>
      <c r="E702" s="766" t="e">
        <f t="shared" ref="E702:L702" si="147">1-(E700/$C$714)</f>
        <v>#N/A</v>
      </c>
      <c r="F702" s="766" t="e">
        <f t="shared" si="147"/>
        <v>#N/A</v>
      </c>
      <c r="G702" s="766" t="e">
        <f t="shared" si="147"/>
        <v>#N/A</v>
      </c>
      <c r="H702" s="766" t="e">
        <f t="shared" si="147"/>
        <v>#N/A</v>
      </c>
      <c r="I702" s="766" t="e">
        <f t="shared" si="147"/>
        <v>#N/A</v>
      </c>
      <c r="J702" s="766" t="e">
        <f t="shared" si="147"/>
        <v>#N/A</v>
      </c>
      <c r="K702" s="766" t="e">
        <f t="shared" si="147"/>
        <v>#N/A</v>
      </c>
      <c r="L702" s="766" t="e">
        <f t="shared" si="147"/>
        <v>#N/A</v>
      </c>
      <c r="M702" s="775" t="s">
        <v>3873</v>
      </c>
    </row>
    <row r="703" spans="2:13" ht="15" x14ac:dyDescent="0.35">
      <c r="B703" s="774" t="s">
        <v>3876</v>
      </c>
      <c r="C703" s="760" t="s">
        <v>3877</v>
      </c>
      <c r="D703" s="759" t="s">
        <v>3878</v>
      </c>
      <c r="E703" s="767" t="e">
        <f>95%-E702</f>
        <v>#N/A</v>
      </c>
      <c r="F703" s="767" t="e">
        <f>40%-F702</f>
        <v>#N/A</v>
      </c>
      <c r="G703" s="768"/>
      <c r="H703" s="767" t="e">
        <f>55%-H702</f>
        <v>#N/A</v>
      </c>
      <c r="I703" s="768"/>
      <c r="J703" s="767" t="e">
        <f>70%-J702</f>
        <v>#N/A</v>
      </c>
      <c r="K703" s="768"/>
      <c r="L703" s="767" t="e">
        <f>95%-L702</f>
        <v>#N/A</v>
      </c>
      <c r="M703" s="775" t="s">
        <v>3873</v>
      </c>
    </row>
    <row r="704" spans="2:13" ht="15" x14ac:dyDescent="0.35">
      <c r="B704" s="774" t="s">
        <v>3879</v>
      </c>
      <c r="C704" s="760" t="s">
        <v>3799</v>
      </c>
      <c r="D704" s="759" t="s">
        <v>3859</v>
      </c>
      <c r="E704" s="764" t="e">
        <f>E685-((E14*0.077)+(E24*0.019))</f>
        <v>#N/A</v>
      </c>
      <c r="F704" s="764" t="e">
        <f t="shared" ref="F704:L704" si="148">F$685-((F14*0.077)+(F24*0.019))</f>
        <v>#N/A</v>
      </c>
      <c r="G704" s="764" t="e">
        <f t="shared" si="148"/>
        <v>#N/A</v>
      </c>
      <c r="H704" s="764" t="e">
        <f t="shared" si="148"/>
        <v>#N/A</v>
      </c>
      <c r="I704" s="764" t="e">
        <f t="shared" si="148"/>
        <v>#N/A</v>
      </c>
      <c r="J704" s="764" t="e">
        <f t="shared" si="148"/>
        <v>#N/A</v>
      </c>
      <c r="K704" s="764" t="e">
        <f t="shared" si="148"/>
        <v>#N/A</v>
      </c>
      <c r="L704" s="764" t="e">
        <f t="shared" si="148"/>
        <v>#N/A</v>
      </c>
      <c r="M704" s="775" t="s">
        <v>3165</v>
      </c>
    </row>
    <row r="705" spans="2:13" ht="15" x14ac:dyDescent="0.35">
      <c r="B705" s="774" t="s">
        <v>3879</v>
      </c>
      <c r="C705" s="760" t="s">
        <v>3801</v>
      </c>
      <c r="D705" s="759" t="s">
        <v>3860</v>
      </c>
      <c r="E705" s="764" t="e">
        <f t="shared" ref="E705:L705" si="149">E686-((E36*0.166)+(E47*0.125))</f>
        <v>#N/A</v>
      </c>
      <c r="F705" s="764" t="e">
        <f t="shared" si="149"/>
        <v>#N/A</v>
      </c>
      <c r="G705" s="764" t="e">
        <f t="shared" si="149"/>
        <v>#N/A</v>
      </c>
      <c r="H705" s="764" t="e">
        <f t="shared" si="149"/>
        <v>#N/A</v>
      </c>
      <c r="I705" s="764" t="e">
        <f t="shared" si="149"/>
        <v>#N/A</v>
      </c>
      <c r="J705" s="764" t="e">
        <f t="shared" si="149"/>
        <v>#N/A</v>
      </c>
      <c r="K705" s="764" t="e">
        <f t="shared" si="149"/>
        <v>#N/A</v>
      </c>
      <c r="L705" s="764" t="e">
        <f t="shared" si="149"/>
        <v>#N/A</v>
      </c>
      <c r="M705" s="775" t="s">
        <v>3165</v>
      </c>
    </row>
    <row r="706" spans="2:13" ht="15" x14ac:dyDescent="0.35">
      <c r="B706" s="774" t="s">
        <v>3879</v>
      </c>
      <c r="C706" s="760" t="s">
        <v>3803</v>
      </c>
      <c r="D706" s="759" t="s">
        <v>3861</v>
      </c>
      <c r="E706" s="764" t="e">
        <f t="shared" ref="E706:L706" si="150">E687-((E57*0.119)+(E65*0.04))</f>
        <v>#N/A</v>
      </c>
      <c r="F706" s="764" t="e">
        <f t="shared" si="150"/>
        <v>#N/A</v>
      </c>
      <c r="G706" s="764" t="e">
        <f t="shared" si="150"/>
        <v>#N/A</v>
      </c>
      <c r="H706" s="764" t="e">
        <f t="shared" si="150"/>
        <v>#N/A</v>
      </c>
      <c r="I706" s="764" t="e">
        <f t="shared" si="150"/>
        <v>#N/A</v>
      </c>
      <c r="J706" s="764" t="e">
        <f t="shared" si="150"/>
        <v>#N/A</v>
      </c>
      <c r="K706" s="764" t="e">
        <f t="shared" si="150"/>
        <v>#N/A</v>
      </c>
      <c r="L706" s="764" t="e">
        <f t="shared" si="150"/>
        <v>#N/A</v>
      </c>
      <c r="M706" s="775" t="s">
        <v>3165</v>
      </c>
    </row>
    <row r="707" spans="2:13" ht="15" x14ac:dyDescent="0.35">
      <c r="B707" s="774" t="s">
        <v>3879</v>
      </c>
      <c r="C707" s="760" t="s">
        <v>3805</v>
      </c>
      <c r="D707" s="759" t="s">
        <v>3862</v>
      </c>
      <c r="E707" s="764" t="e">
        <f t="shared" ref="E707:L707" si="151">E688-((E75*0.079)+(E83*0.057))</f>
        <v>#N/A</v>
      </c>
      <c r="F707" s="764" t="e">
        <f t="shared" si="151"/>
        <v>#N/A</v>
      </c>
      <c r="G707" s="764" t="e">
        <f t="shared" si="151"/>
        <v>#N/A</v>
      </c>
      <c r="H707" s="764" t="e">
        <f t="shared" si="151"/>
        <v>#N/A</v>
      </c>
      <c r="I707" s="764" t="e">
        <f t="shared" si="151"/>
        <v>#N/A</v>
      </c>
      <c r="J707" s="764" t="e">
        <f t="shared" si="151"/>
        <v>#N/A</v>
      </c>
      <c r="K707" s="764" t="e">
        <f t="shared" si="151"/>
        <v>#N/A</v>
      </c>
      <c r="L707" s="764" t="e">
        <f t="shared" si="151"/>
        <v>#N/A</v>
      </c>
      <c r="M707" s="775" t="s">
        <v>3165</v>
      </c>
    </row>
    <row r="708" spans="2:13" ht="15" x14ac:dyDescent="0.35">
      <c r="B708" s="774" t="s">
        <v>3879</v>
      </c>
      <c r="C708" s="760" t="s">
        <v>3868</v>
      </c>
      <c r="D708" s="759" t="s">
        <v>3869</v>
      </c>
      <c r="E708" s="769" t="e">
        <f t="shared" ref="E708:L708" si="152">E709/E637</f>
        <v>#N/A</v>
      </c>
      <c r="F708" s="769" t="e">
        <f t="shared" si="152"/>
        <v>#N/A</v>
      </c>
      <c r="G708" s="769" t="e">
        <f t="shared" si="152"/>
        <v>#N/A</v>
      </c>
      <c r="H708" s="769" t="e">
        <f t="shared" si="152"/>
        <v>#N/A</v>
      </c>
      <c r="I708" s="769" t="e">
        <f t="shared" si="152"/>
        <v>#N/A</v>
      </c>
      <c r="J708" s="769" t="e">
        <f t="shared" si="152"/>
        <v>#N/A</v>
      </c>
      <c r="K708" s="769" t="e">
        <f t="shared" si="152"/>
        <v>#N/A</v>
      </c>
      <c r="L708" s="769" t="e">
        <f t="shared" si="152"/>
        <v>#N/A</v>
      </c>
      <c r="M708" s="775" t="s">
        <v>3865</v>
      </c>
    </row>
    <row r="709" spans="2:13" ht="16" x14ac:dyDescent="0.4">
      <c r="B709" s="774" t="s">
        <v>3880</v>
      </c>
      <c r="C709" s="760" t="s">
        <v>1229</v>
      </c>
      <c r="D709" s="759" t="s">
        <v>3881</v>
      </c>
      <c r="E709" s="763" t="e">
        <f t="shared" ref="E709:L709" si="153">SUM(E704:E707)</f>
        <v>#N/A</v>
      </c>
      <c r="F709" s="763" t="e">
        <f t="shared" si="153"/>
        <v>#N/A</v>
      </c>
      <c r="G709" s="763" t="e">
        <f t="shared" si="153"/>
        <v>#N/A</v>
      </c>
      <c r="H709" s="763" t="e">
        <f t="shared" si="153"/>
        <v>#N/A</v>
      </c>
      <c r="I709" s="763" t="e">
        <f t="shared" si="153"/>
        <v>#N/A</v>
      </c>
      <c r="J709" s="763" t="e">
        <f t="shared" si="153"/>
        <v>#N/A</v>
      </c>
      <c r="K709" s="763" t="e">
        <f t="shared" si="153"/>
        <v>#N/A</v>
      </c>
      <c r="L709" s="763" t="e">
        <f t="shared" si="153"/>
        <v>#N/A</v>
      </c>
      <c r="M709" s="775" t="s">
        <v>3165</v>
      </c>
    </row>
    <row r="710" spans="2:13" ht="16" x14ac:dyDescent="0.4">
      <c r="B710" s="774" t="s">
        <v>3880</v>
      </c>
      <c r="C710" s="760" t="s">
        <v>1229</v>
      </c>
      <c r="D710" s="759" t="s">
        <v>3882</v>
      </c>
      <c r="E710" s="763" t="e">
        <f t="shared" ref="E710:L710" si="154">E689-E709</f>
        <v>#N/A</v>
      </c>
      <c r="F710" s="763" t="e">
        <f t="shared" si="154"/>
        <v>#N/A</v>
      </c>
      <c r="G710" s="763" t="e">
        <f t="shared" si="154"/>
        <v>#N/A</v>
      </c>
      <c r="H710" s="763" t="e">
        <f t="shared" si="154"/>
        <v>#N/A</v>
      </c>
      <c r="I710" s="763" t="e">
        <f t="shared" si="154"/>
        <v>#N/A</v>
      </c>
      <c r="J710" s="763" t="e">
        <f t="shared" si="154"/>
        <v>#N/A</v>
      </c>
      <c r="K710" s="763" t="e">
        <f t="shared" si="154"/>
        <v>#N/A</v>
      </c>
      <c r="L710" s="763" t="e">
        <f t="shared" si="154"/>
        <v>#N/A</v>
      </c>
      <c r="M710" s="775" t="s">
        <v>3165</v>
      </c>
    </row>
    <row r="711" spans="2:13" ht="15" x14ac:dyDescent="0.35">
      <c r="B711" s="774" t="s">
        <v>3875</v>
      </c>
      <c r="C711" s="760" t="s">
        <v>3871</v>
      </c>
      <c r="D711" s="759" t="s">
        <v>3872</v>
      </c>
      <c r="E711" s="766" t="e">
        <f t="shared" ref="E711:L711" si="155">1-(E708/$C$714)</f>
        <v>#N/A</v>
      </c>
      <c r="F711" s="766" t="e">
        <f t="shared" si="155"/>
        <v>#N/A</v>
      </c>
      <c r="G711" s="766" t="e">
        <f t="shared" si="155"/>
        <v>#N/A</v>
      </c>
      <c r="H711" s="766" t="e">
        <f t="shared" si="155"/>
        <v>#N/A</v>
      </c>
      <c r="I711" s="766" t="e">
        <f t="shared" si="155"/>
        <v>#N/A</v>
      </c>
      <c r="J711" s="766" t="e">
        <f t="shared" si="155"/>
        <v>#N/A</v>
      </c>
      <c r="K711" s="766" t="e">
        <f t="shared" si="155"/>
        <v>#N/A</v>
      </c>
      <c r="L711" s="766" t="e">
        <f t="shared" si="155"/>
        <v>#N/A</v>
      </c>
      <c r="M711" s="775" t="s">
        <v>3873</v>
      </c>
    </row>
    <row r="712" spans="2:13" ht="15" x14ac:dyDescent="0.35">
      <c r="B712" s="774" t="s">
        <v>3876</v>
      </c>
      <c r="C712" s="760" t="s">
        <v>3877</v>
      </c>
      <c r="D712" s="759" t="s">
        <v>3878</v>
      </c>
      <c r="E712" s="767" t="e">
        <f>95%-E711</f>
        <v>#N/A</v>
      </c>
      <c r="F712" s="767" t="e">
        <f>40%-F711</f>
        <v>#N/A</v>
      </c>
      <c r="G712" s="768"/>
      <c r="H712" s="767" t="e">
        <f>55%-H711</f>
        <v>#N/A</v>
      </c>
      <c r="I712" s="768"/>
      <c r="J712" s="767" t="e">
        <f>70%-J711</f>
        <v>#N/A</v>
      </c>
      <c r="K712" s="768"/>
      <c r="L712" s="767" t="e">
        <f>95%-L711</f>
        <v>#N/A</v>
      </c>
      <c r="M712" s="775" t="s">
        <v>3873</v>
      </c>
    </row>
    <row r="713" spans="2:13" ht="15" x14ac:dyDescent="0.35">
      <c r="B713" s="774"/>
      <c r="C713" s="760"/>
      <c r="D713" s="759"/>
      <c r="E713" s="767"/>
      <c r="F713" s="767"/>
      <c r="G713" s="770"/>
      <c r="H713" s="770"/>
      <c r="I713" s="770"/>
      <c r="J713" s="770"/>
      <c r="K713" s="770"/>
      <c r="L713" s="767"/>
      <c r="M713" s="775"/>
    </row>
    <row r="714" spans="2:13" ht="15.5" thickBot="1" x14ac:dyDescent="0.4">
      <c r="B714" s="776" t="s">
        <v>3883</v>
      </c>
      <c r="C714" s="777">
        <v>1.071</v>
      </c>
      <c r="D714" s="778" t="s">
        <v>3865</v>
      </c>
      <c r="E714" s="778"/>
      <c r="F714" s="779"/>
      <c r="G714" s="777"/>
      <c r="H714" s="778"/>
      <c r="I714" s="778"/>
      <c r="J714" s="778"/>
      <c r="K714" s="778"/>
      <c r="L714" s="778"/>
      <c r="M714" s="780"/>
    </row>
    <row r="715" spans="2:13" x14ac:dyDescent="0.35">
      <c r="M715" s="757"/>
    </row>
    <row r="716" spans="2:13" x14ac:dyDescent="0.35">
      <c r="E716" s="129"/>
      <c r="F716" s="129"/>
      <c r="G716" s="129"/>
      <c r="H716" s="129"/>
      <c r="I716" s="129"/>
      <c r="J716" s="129"/>
      <c r="M716" s="757"/>
    </row>
    <row r="717" spans="2:13" x14ac:dyDescent="0.35">
      <c r="E717" s="129"/>
      <c r="F717" s="129"/>
      <c r="G717" s="129"/>
      <c r="H717" s="129"/>
      <c r="I717" s="129"/>
      <c r="J717" s="129"/>
      <c r="M717" s="757"/>
    </row>
    <row r="718" spans="2:13" x14ac:dyDescent="0.35">
      <c r="E718" s="129"/>
      <c r="F718" s="129"/>
      <c r="G718" s="129"/>
      <c r="H718" s="129"/>
      <c r="J718" s="129"/>
      <c r="M718" s="757"/>
    </row>
    <row r="719" spans="2:13" x14ac:dyDescent="0.35">
      <c r="E719" s="129"/>
      <c r="F719" s="129"/>
      <c r="G719" s="129"/>
      <c r="H719" s="129"/>
      <c r="I719" s="129"/>
      <c r="J719" s="129"/>
      <c r="M719" s="757"/>
    </row>
    <row r="720" spans="2:13" x14ac:dyDescent="0.35">
      <c r="E720" s="129"/>
      <c r="F720" s="129"/>
      <c r="G720" s="129"/>
      <c r="H720" s="129"/>
      <c r="I720" s="129"/>
      <c r="J720" s="129"/>
    </row>
    <row r="721" spans="5:10" x14ac:dyDescent="0.35">
      <c r="E721" s="129"/>
      <c r="F721" s="129"/>
      <c r="G721" s="129"/>
      <c r="H721" s="129"/>
      <c r="I721" s="129"/>
      <c r="J721" s="129"/>
    </row>
  </sheetData>
  <conditionalFormatting sqref="O5:Z11 O14:Q14 O15:Y15 O17:O19 O24:Q25 P17:Q17 O27:O29 P28:Z29 O30:Z36 Q80:Q84">
    <cfRule type="expression" dxfId="159" priority="168">
      <formula>MOD(ROW(),2)=0</formula>
    </cfRule>
  </conditionalFormatting>
  <conditionalFormatting sqref="G714">
    <cfRule type="expression" dxfId="158" priority="167">
      <formula>MOD(ROW(),2)=0</formula>
    </cfRule>
  </conditionalFormatting>
  <conditionalFormatting sqref="F714">
    <cfRule type="expression" dxfId="157" priority="166">
      <formula>MOD(ROW(),2)=0</formula>
    </cfRule>
  </conditionalFormatting>
  <conditionalFormatting sqref="H714:M714">
    <cfRule type="expression" dxfId="156" priority="165">
      <formula>MOD(ROW(),2)=0</formula>
    </cfRule>
  </conditionalFormatting>
  <conditionalFormatting sqref="O72:Z72 O79:Z79 O85:Z85 O80:P84 R80:Z84">
    <cfRule type="expression" dxfId="155" priority="164">
      <formula>MOD(ROW(),2)=0</formula>
    </cfRule>
  </conditionalFormatting>
  <conditionalFormatting sqref="O27:Q27">
    <cfRule type="expression" dxfId="154" priority="84">
      <formula>MOD(ROW(),2)=0</formula>
    </cfRule>
  </conditionalFormatting>
  <conditionalFormatting sqref="Q37:Z37 O38:Z38 R39:Z39">
    <cfRule type="expression" dxfId="153" priority="163">
      <formula>MOD(ROW(),2)=0</formula>
    </cfRule>
  </conditionalFormatting>
  <conditionalFormatting sqref="O13:Q13 Z13:Z15 Z24:Z25 Z17:Z19 Z27:Z29">
    <cfRule type="expression" dxfId="152" priority="162">
      <formula>MOD(ROW(),2)=0</formula>
    </cfRule>
  </conditionalFormatting>
  <conditionalFormatting sqref="R13:Y14">
    <cfRule type="expression" dxfId="151" priority="161">
      <formula>MOD(ROW(),2)=0</formula>
    </cfRule>
  </conditionalFormatting>
  <conditionalFormatting sqref="P18">
    <cfRule type="expression" dxfId="150" priority="160">
      <formula>MOD(ROW(),2)=0</formula>
    </cfRule>
  </conditionalFormatting>
  <conditionalFormatting sqref="P17">
    <cfRule type="expression" dxfId="149" priority="159">
      <formula>MOD(ROW(),2)=0</formula>
    </cfRule>
  </conditionalFormatting>
  <conditionalFormatting sqref="Q18">
    <cfRule type="expression" dxfId="148" priority="158">
      <formula>MOD(ROW(),2)=0</formula>
    </cfRule>
  </conditionalFormatting>
  <conditionalFormatting sqref="Q17">
    <cfRule type="expression" dxfId="147" priority="157">
      <formula>MOD(ROW(),2)=0</formula>
    </cfRule>
  </conditionalFormatting>
  <conditionalFormatting sqref="R17:Y19">
    <cfRule type="expression" dxfId="146" priority="156">
      <formula>MOD(ROW(),2)=0</formula>
    </cfRule>
  </conditionalFormatting>
  <conditionalFormatting sqref="O19:Y19">
    <cfRule type="expression" dxfId="145" priority="155">
      <formula>MOD(ROW(),2)=0</formula>
    </cfRule>
  </conditionalFormatting>
  <conditionalFormatting sqref="Z19">
    <cfRule type="expression" dxfId="144" priority="154">
      <formula>MOD(ROW(),2)=0</formula>
    </cfRule>
  </conditionalFormatting>
  <conditionalFormatting sqref="O20 O22:O24">
    <cfRule type="expression" dxfId="143" priority="153">
      <formula>MOD(ROW(),2)=0</formula>
    </cfRule>
  </conditionalFormatting>
  <conditionalFormatting sqref="P20:Q20">
    <cfRule type="expression" dxfId="142" priority="152">
      <formula>MOD(ROW(),2)=0</formula>
    </cfRule>
  </conditionalFormatting>
  <conditionalFormatting sqref="Z20 Z22:Z24">
    <cfRule type="expression" dxfId="141" priority="151">
      <formula>MOD(ROW(),2)=0</formula>
    </cfRule>
  </conditionalFormatting>
  <conditionalFormatting sqref="P22">
    <cfRule type="expression" dxfId="140" priority="150">
      <formula>MOD(ROW(),2)=0</formula>
    </cfRule>
  </conditionalFormatting>
  <conditionalFormatting sqref="Z27">
    <cfRule type="expression" dxfId="139" priority="141">
      <formula>MOD(ROW(),2)=0</formula>
    </cfRule>
  </conditionalFormatting>
  <conditionalFormatting sqref="Q22">
    <cfRule type="expression" dxfId="138" priority="149">
      <formula>MOD(ROW(),2)=0</formula>
    </cfRule>
  </conditionalFormatting>
  <conditionalFormatting sqref="R20:Y20 R22:Y24">
    <cfRule type="expression" dxfId="137" priority="148">
      <formula>MOD(ROW(),2)=0</formula>
    </cfRule>
  </conditionalFormatting>
  <conditionalFormatting sqref="P23:Y23">
    <cfRule type="expression" dxfId="136" priority="147">
      <formula>MOD(ROW(),2)=0</formula>
    </cfRule>
  </conditionalFormatting>
  <conditionalFormatting sqref="Z23">
    <cfRule type="expression" dxfId="135" priority="146">
      <formula>MOD(ROW(),2)=0</formula>
    </cfRule>
  </conditionalFormatting>
  <conditionalFormatting sqref="O23">
    <cfRule type="expression" dxfId="134" priority="145">
      <formula>MOD(ROW(),2)=0</formula>
    </cfRule>
  </conditionalFormatting>
  <conditionalFormatting sqref="O25:Q25">
    <cfRule type="expression" dxfId="133" priority="144">
      <formula>MOD(ROW(),2)=0</formula>
    </cfRule>
  </conditionalFormatting>
  <conditionalFormatting sqref="R24:Y25 R27:Y29">
    <cfRule type="expression" dxfId="132" priority="143">
      <formula>MOD(ROW(),2)=0</formula>
    </cfRule>
  </conditionalFormatting>
  <conditionalFormatting sqref="P27:Y27">
    <cfRule type="expression" dxfId="131" priority="142">
      <formula>MOD(ROW(),2)=0</formula>
    </cfRule>
  </conditionalFormatting>
  <conditionalFormatting sqref="O27">
    <cfRule type="expression" dxfId="130" priority="140">
      <formula>MOD(ROW(),2)=0</formula>
    </cfRule>
  </conditionalFormatting>
  <conditionalFormatting sqref="O70:Q72 Z70:Z72 O73:Z73 Z91:Z96 O91:Q92 O93:P93">
    <cfRule type="expression" dxfId="129" priority="139">
      <formula>MOD(ROW(),2)=0</formula>
    </cfRule>
  </conditionalFormatting>
  <conditionalFormatting sqref="O61 R61:Y61">
    <cfRule type="expression" dxfId="128" priority="138">
      <formula>MOD(ROW(),2)=0</formula>
    </cfRule>
  </conditionalFormatting>
  <conditionalFormatting sqref="O27">
    <cfRule type="expression" dxfId="127" priority="137">
      <formula>MOD(ROW(),2)=0</formula>
    </cfRule>
  </conditionalFormatting>
  <conditionalFormatting sqref="P19">
    <cfRule type="expression" dxfId="126" priority="136">
      <formula>MOD(ROW(),2)=0</formula>
    </cfRule>
  </conditionalFormatting>
  <conditionalFormatting sqref="P18">
    <cfRule type="expression" dxfId="125" priority="135">
      <formula>MOD(ROW(),2)=0</formula>
    </cfRule>
  </conditionalFormatting>
  <conditionalFormatting sqref="Q19">
    <cfRule type="expression" dxfId="124" priority="134">
      <formula>MOD(ROW(),2)=0</formula>
    </cfRule>
  </conditionalFormatting>
  <conditionalFormatting sqref="Q18">
    <cfRule type="expression" dxfId="123" priority="133">
      <formula>MOD(ROW(),2)=0</formula>
    </cfRule>
  </conditionalFormatting>
  <conditionalFormatting sqref="O20:Y20">
    <cfRule type="expression" dxfId="122" priority="132">
      <formula>MOD(ROW(),2)=0</formula>
    </cfRule>
  </conditionalFormatting>
  <conditionalFormatting sqref="Z20">
    <cfRule type="expression" dxfId="121" priority="131">
      <formula>MOD(ROW(),2)=0</formula>
    </cfRule>
  </conditionalFormatting>
  <conditionalFormatting sqref="P28:Y28">
    <cfRule type="expression" dxfId="120" priority="121">
      <formula>MOD(ROW(),2)=0</formula>
    </cfRule>
  </conditionalFormatting>
  <conditionalFormatting sqref="P23">
    <cfRule type="expression" dxfId="119" priority="130">
      <formula>MOD(ROW(),2)=0</formula>
    </cfRule>
  </conditionalFormatting>
  <conditionalFormatting sqref="P22">
    <cfRule type="expression" dxfId="118" priority="129">
      <formula>MOD(ROW(),2)=0</formula>
    </cfRule>
  </conditionalFormatting>
  <conditionalFormatting sqref="Q23">
    <cfRule type="expression" dxfId="117" priority="128">
      <formula>MOD(ROW(),2)=0</formula>
    </cfRule>
  </conditionalFormatting>
  <conditionalFormatting sqref="Q22">
    <cfRule type="expression" dxfId="116" priority="127">
      <formula>MOD(ROW(),2)=0</formula>
    </cfRule>
  </conditionalFormatting>
  <conditionalFormatting sqref="P24:Y24">
    <cfRule type="expression" dxfId="115" priority="126">
      <formula>MOD(ROW(),2)=0</formula>
    </cfRule>
  </conditionalFormatting>
  <conditionalFormatting sqref="Z24">
    <cfRule type="expression" dxfId="114" priority="125">
      <formula>MOD(ROW(),2)=0</formula>
    </cfRule>
  </conditionalFormatting>
  <conditionalFormatting sqref="O24">
    <cfRule type="expression" dxfId="113" priority="124">
      <formula>MOD(ROW(),2)=0</formula>
    </cfRule>
  </conditionalFormatting>
  <conditionalFormatting sqref="P27">
    <cfRule type="expression" dxfId="112" priority="123">
      <formula>MOD(ROW(),2)=0</formula>
    </cfRule>
  </conditionalFormatting>
  <conditionalFormatting sqref="Q27">
    <cfRule type="expression" dxfId="111" priority="122">
      <formula>MOD(ROW(),2)=0</formula>
    </cfRule>
  </conditionalFormatting>
  <conditionalFormatting sqref="P23">
    <cfRule type="expression" dxfId="110" priority="118">
      <formula>MOD(ROW(),2)=0</formula>
    </cfRule>
  </conditionalFormatting>
  <conditionalFormatting sqref="Z28">
    <cfRule type="expression" dxfId="109" priority="120">
      <formula>MOD(ROW(),2)=0</formula>
    </cfRule>
  </conditionalFormatting>
  <conditionalFormatting sqref="O28">
    <cfRule type="expression" dxfId="108" priority="119">
      <formula>MOD(ROW(),2)=0</formula>
    </cfRule>
  </conditionalFormatting>
  <conditionalFormatting sqref="P22">
    <cfRule type="expression" dxfId="107" priority="117">
      <formula>MOD(ROW(),2)=0</formula>
    </cfRule>
  </conditionalFormatting>
  <conditionalFormatting sqref="Q23">
    <cfRule type="expression" dxfId="106" priority="116">
      <formula>MOD(ROW(),2)=0</formula>
    </cfRule>
  </conditionalFormatting>
  <conditionalFormatting sqref="Q22">
    <cfRule type="expression" dxfId="105" priority="115">
      <formula>MOD(ROW(),2)=0</formula>
    </cfRule>
  </conditionalFormatting>
  <conditionalFormatting sqref="P24:Y24">
    <cfRule type="expression" dxfId="104" priority="114">
      <formula>MOD(ROW(),2)=0</formula>
    </cfRule>
  </conditionalFormatting>
  <conditionalFormatting sqref="Z24">
    <cfRule type="expression" dxfId="103" priority="113">
      <formula>MOD(ROW(),2)=0</formula>
    </cfRule>
  </conditionalFormatting>
  <conditionalFormatting sqref="O24">
    <cfRule type="expression" dxfId="102" priority="112">
      <formula>MOD(ROW(),2)=0</formula>
    </cfRule>
  </conditionalFormatting>
  <conditionalFormatting sqref="P27">
    <cfRule type="expression" dxfId="101" priority="111">
      <formula>MOD(ROW(),2)=0</formula>
    </cfRule>
  </conditionalFormatting>
  <conditionalFormatting sqref="Q27">
    <cfRule type="expression" dxfId="100" priority="110">
      <formula>MOD(ROW(),2)=0</formula>
    </cfRule>
  </conditionalFormatting>
  <conditionalFormatting sqref="P28:Y28">
    <cfRule type="expression" dxfId="99" priority="109">
      <formula>MOD(ROW(),2)=0</formula>
    </cfRule>
  </conditionalFormatting>
  <conditionalFormatting sqref="Z28">
    <cfRule type="expression" dxfId="98" priority="108">
      <formula>MOD(ROW(),2)=0</formula>
    </cfRule>
  </conditionalFormatting>
  <conditionalFormatting sqref="O28">
    <cfRule type="expression" dxfId="97" priority="107">
      <formula>MOD(ROW(),2)=0</formula>
    </cfRule>
  </conditionalFormatting>
  <conditionalFormatting sqref="O28">
    <cfRule type="expression" dxfId="96" priority="106">
      <formula>MOD(ROW(),2)=0</formula>
    </cfRule>
  </conditionalFormatting>
  <conditionalFormatting sqref="P22:Q22">
    <cfRule type="expression" dxfId="95" priority="105">
      <formula>MOD(ROW(),2)=0</formula>
    </cfRule>
  </conditionalFormatting>
  <conditionalFormatting sqref="P24">
    <cfRule type="expression" dxfId="94" priority="104">
      <formula>MOD(ROW(),2)=0</formula>
    </cfRule>
  </conditionalFormatting>
  <conditionalFormatting sqref="P23">
    <cfRule type="expression" dxfId="93" priority="103">
      <formula>MOD(ROW(),2)=0</formula>
    </cfRule>
  </conditionalFormatting>
  <conditionalFormatting sqref="Q24">
    <cfRule type="expression" dxfId="92" priority="102">
      <formula>MOD(ROW(),2)=0</formula>
    </cfRule>
  </conditionalFormatting>
  <conditionalFormatting sqref="Q23">
    <cfRule type="expression" dxfId="91" priority="101">
      <formula>MOD(ROW(),2)=0</formula>
    </cfRule>
  </conditionalFormatting>
  <conditionalFormatting sqref="P25:Y25">
    <cfRule type="expression" dxfId="90" priority="100">
      <formula>MOD(ROW(),2)=0</formula>
    </cfRule>
  </conditionalFormatting>
  <conditionalFormatting sqref="Z25">
    <cfRule type="expression" dxfId="89" priority="99">
      <formula>MOD(ROW(),2)=0</formula>
    </cfRule>
  </conditionalFormatting>
  <conditionalFormatting sqref="O25">
    <cfRule type="expression" dxfId="88" priority="98">
      <formula>MOD(ROW(),2)=0</formula>
    </cfRule>
  </conditionalFormatting>
  <conditionalFormatting sqref="O27:Q27">
    <cfRule type="expression" dxfId="87" priority="97">
      <formula>MOD(ROW(),2)=0</formula>
    </cfRule>
  </conditionalFormatting>
  <conditionalFormatting sqref="P28">
    <cfRule type="expression" dxfId="86" priority="96">
      <formula>MOD(ROW(),2)=0</formula>
    </cfRule>
  </conditionalFormatting>
  <conditionalFormatting sqref="Q28">
    <cfRule type="expression" dxfId="85" priority="95">
      <formula>MOD(ROW(),2)=0</formula>
    </cfRule>
  </conditionalFormatting>
  <conditionalFormatting sqref="P29:Y29">
    <cfRule type="expression" dxfId="84" priority="94">
      <formula>MOD(ROW(),2)=0</formula>
    </cfRule>
  </conditionalFormatting>
  <conditionalFormatting sqref="Z29">
    <cfRule type="expression" dxfId="83" priority="93">
      <formula>MOD(ROW(),2)=0</formula>
    </cfRule>
  </conditionalFormatting>
  <conditionalFormatting sqref="O29">
    <cfRule type="expression" dxfId="82" priority="92">
      <formula>MOD(ROW(),2)=0</formula>
    </cfRule>
  </conditionalFormatting>
  <conditionalFormatting sqref="O27:Q27">
    <cfRule type="expression" dxfId="81" priority="91">
      <formula>MOD(ROW(),2)=0</formula>
    </cfRule>
  </conditionalFormatting>
  <conditionalFormatting sqref="P27">
    <cfRule type="expression" dxfId="80" priority="90">
      <formula>MOD(ROW(),2)=0</formula>
    </cfRule>
  </conditionalFormatting>
  <conditionalFormatting sqref="Q27">
    <cfRule type="expression" dxfId="79" priority="89">
      <formula>MOD(ROW(),2)=0</formula>
    </cfRule>
  </conditionalFormatting>
  <conditionalFormatting sqref="P28:Y28">
    <cfRule type="expression" dxfId="78" priority="88">
      <formula>MOD(ROW(),2)=0</formula>
    </cfRule>
  </conditionalFormatting>
  <conditionalFormatting sqref="Z28">
    <cfRule type="expression" dxfId="77" priority="87">
      <formula>MOD(ROW(),2)=0</formula>
    </cfRule>
  </conditionalFormatting>
  <conditionalFormatting sqref="O28">
    <cfRule type="expression" dxfId="76" priority="86">
      <formula>MOD(ROW(),2)=0</formula>
    </cfRule>
  </conditionalFormatting>
  <conditionalFormatting sqref="O28">
    <cfRule type="expression" dxfId="75" priority="85">
      <formula>MOD(ROW(),2)=0</formula>
    </cfRule>
  </conditionalFormatting>
  <conditionalFormatting sqref="P29:Y29">
    <cfRule type="expression" dxfId="74" priority="81">
      <formula>MOD(ROW(),2)=0</formula>
    </cfRule>
  </conditionalFormatting>
  <conditionalFormatting sqref="P28">
    <cfRule type="expression" dxfId="73" priority="83">
      <formula>MOD(ROW(),2)=0</formula>
    </cfRule>
  </conditionalFormatting>
  <conditionalFormatting sqref="Q28">
    <cfRule type="expression" dxfId="72" priority="82">
      <formula>MOD(ROW(),2)=0</formula>
    </cfRule>
  </conditionalFormatting>
  <conditionalFormatting sqref="Z29">
    <cfRule type="expression" dxfId="71" priority="80">
      <formula>MOD(ROW(),2)=0</formula>
    </cfRule>
  </conditionalFormatting>
  <conditionalFormatting sqref="O29">
    <cfRule type="expression" dxfId="70" priority="79">
      <formula>MOD(ROW(),2)=0</formula>
    </cfRule>
  </conditionalFormatting>
  <conditionalFormatting sqref="O27:Q27">
    <cfRule type="expression" dxfId="69" priority="78">
      <formula>MOD(ROW(),2)=0</formula>
    </cfRule>
  </conditionalFormatting>
  <conditionalFormatting sqref="P28">
    <cfRule type="expression" dxfId="68" priority="77">
      <formula>MOD(ROW(),2)=0</formula>
    </cfRule>
  </conditionalFormatting>
  <conditionalFormatting sqref="Q28">
    <cfRule type="expression" dxfId="67" priority="76">
      <formula>MOD(ROW(),2)=0</formula>
    </cfRule>
  </conditionalFormatting>
  <conditionalFormatting sqref="P29:Y29">
    <cfRule type="expression" dxfId="66" priority="75">
      <formula>MOD(ROW(),2)=0</formula>
    </cfRule>
  </conditionalFormatting>
  <conditionalFormatting sqref="Z29">
    <cfRule type="expression" dxfId="65" priority="74">
      <formula>MOD(ROW(),2)=0</formula>
    </cfRule>
  </conditionalFormatting>
  <conditionalFormatting sqref="O29">
    <cfRule type="expression" dxfId="64" priority="73">
      <formula>MOD(ROW(),2)=0</formula>
    </cfRule>
  </conditionalFormatting>
  <conditionalFormatting sqref="O29">
    <cfRule type="expression" dxfId="63" priority="72">
      <formula>MOD(ROW(),2)=0</formula>
    </cfRule>
  </conditionalFormatting>
  <conditionalFormatting sqref="O28:Q28">
    <cfRule type="expression" dxfId="62" priority="71">
      <formula>MOD(ROW(),2)=0</formula>
    </cfRule>
  </conditionalFormatting>
  <conditionalFormatting sqref="P29">
    <cfRule type="expression" dxfId="61" priority="70">
      <formula>MOD(ROW(),2)=0</formula>
    </cfRule>
  </conditionalFormatting>
  <conditionalFormatting sqref="Q29">
    <cfRule type="expression" dxfId="60" priority="69">
      <formula>MOD(ROW(),2)=0</formula>
    </cfRule>
  </conditionalFormatting>
  <conditionalFormatting sqref="P36:Y36 Q37">
    <cfRule type="expression" dxfId="59" priority="68">
      <formula>MOD(ROW(),2)=0</formula>
    </cfRule>
  </conditionalFormatting>
  <conditionalFormatting sqref="Z36:Z39">
    <cfRule type="expression" dxfId="58" priority="67">
      <formula>MOD(ROW(),2)=0</formula>
    </cfRule>
  </conditionalFormatting>
  <conditionalFormatting sqref="O36">
    <cfRule type="expression" dxfId="57" priority="66">
      <formula>MOD(ROW(),2)=0</formula>
    </cfRule>
  </conditionalFormatting>
  <conditionalFormatting sqref="O37">
    <cfRule type="expression" dxfId="56" priority="65">
      <formula>MOD(ROW(),2)=0</formula>
    </cfRule>
  </conditionalFormatting>
  <conditionalFormatting sqref="P37">
    <cfRule type="expression" dxfId="55" priority="64">
      <formula>MOD(ROW(),2)=0</formula>
    </cfRule>
  </conditionalFormatting>
  <conditionalFormatting sqref="Q37">
    <cfRule type="expression" dxfId="54" priority="63">
      <formula>MOD(ROW(),2)=0</formula>
    </cfRule>
  </conditionalFormatting>
  <conditionalFormatting sqref="Q39">
    <cfRule type="expression" dxfId="53" priority="62">
      <formula>MOD(ROW(),2)=0</formula>
    </cfRule>
  </conditionalFormatting>
  <conditionalFormatting sqref="Q39">
    <cfRule type="expression" dxfId="52" priority="61">
      <formula>MOD(ROW(),2)=0</formula>
    </cfRule>
  </conditionalFormatting>
  <conditionalFormatting sqref="O39">
    <cfRule type="expression" dxfId="51" priority="60">
      <formula>MOD(ROW(),2)=0</formula>
    </cfRule>
  </conditionalFormatting>
  <conditionalFormatting sqref="P39">
    <cfRule type="expression" dxfId="50" priority="59">
      <formula>MOD(ROW(),2)=0</formula>
    </cfRule>
  </conditionalFormatting>
  <conditionalFormatting sqref="Q39">
    <cfRule type="expression" dxfId="49" priority="58">
      <formula>MOD(ROW(),2)=0</formula>
    </cfRule>
  </conditionalFormatting>
  <conditionalFormatting sqref="O41:Z45 P46:Z49">
    <cfRule type="expression" dxfId="48" priority="57">
      <formula>MOD(ROW(),2)=0</formula>
    </cfRule>
  </conditionalFormatting>
  <conditionalFormatting sqref="O66:Z71 O65:Q65 Z65">
    <cfRule type="expression" dxfId="47" priority="56">
      <formula>MOD(ROW(),2)=0</formula>
    </cfRule>
  </conditionalFormatting>
  <conditionalFormatting sqref="O46:O49">
    <cfRule type="expression" dxfId="46" priority="55">
      <formula>MOD(ROW(),2)=0</formula>
    </cfRule>
  </conditionalFormatting>
  <conditionalFormatting sqref="O52:Z55 P61:Q61 Z61 O57:Z60">
    <cfRule type="expression" dxfId="45" priority="54">
      <formula>MOD(ROW(),2)=0</formula>
    </cfRule>
  </conditionalFormatting>
  <conditionalFormatting sqref="D714">
    <cfRule type="expression" dxfId="44" priority="53">
      <formula>MOD(ROW(),2)=0</formula>
    </cfRule>
  </conditionalFormatting>
  <conditionalFormatting sqref="C714">
    <cfRule type="expression" dxfId="43" priority="52">
      <formula>MOD(ROW(),2)=0</formula>
    </cfRule>
  </conditionalFormatting>
  <conditionalFormatting sqref="E714">
    <cfRule type="expression" dxfId="42" priority="51">
      <formula>MOD(ROW(),2)=0</formula>
    </cfRule>
  </conditionalFormatting>
  <conditionalFormatting sqref="C714">
    <cfRule type="expression" dxfId="41" priority="50">
      <formula>MOD(ROW(),2)=0</formula>
    </cfRule>
  </conditionalFormatting>
  <conditionalFormatting sqref="B714">
    <cfRule type="expression" dxfId="40" priority="49">
      <formula>MOD(ROW(),2)=0</formula>
    </cfRule>
  </conditionalFormatting>
  <conditionalFormatting sqref="D714">
    <cfRule type="expression" dxfId="39" priority="48">
      <formula>MOD(ROW(),2)=0</formula>
    </cfRule>
  </conditionalFormatting>
  <conditionalFormatting sqref="B464:M481 B483:M519 B521:M539 B683:M683 B640:M646">
    <cfRule type="expression" dxfId="38" priority="47">
      <formula>MOD(ROW(),2)=0</formula>
    </cfRule>
  </conditionalFormatting>
  <conditionalFormatting sqref="B607:M615">
    <cfRule type="expression" dxfId="37" priority="46">
      <formula>MOD(ROW(),2)=0</formula>
    </cfRule>
  </conditionalFormatting>
  <conditionalFormatting sqref="B617:M626">
    <cfRule type="expression" dxfId="36" priority="45">
      <formula>MOD(ROW(),2)=0</formula>
    </cfRule>
  </conditionalFormatting>
  <conditionalFormatting sqref="B628:M638">
    <cfRule type="expression" dxfId="35" priority="43">
      <formula>MOD(ROW(),2)=0</formula>
    </cfRule>
    <cfRule type="expression" dxfId="34" priority="44">
      <formula>"""=REST(ZEILE();2)=0"</formula>
    </cfRule>
  </conditionalFormatting>
  <conditionalFormatting sqref="B648:M663">
    <cfRule type="expression" dxfId="33" priority="41">
      <formula>MOD(ROW(),2)=0</formula>
    </cfRule>
  </conditionalFormatting>
  <conditionalFormatting sqref="B665:M676">
    <cfRule type="expression" dxfId="32" priority="40">
      <formula>MOD(ROW(),2)=0</formula>
    </cfRule>
  </conditionalFormatting>
  <conditionalFormatting sqref="B678:M682">
    <cfRule type="expression" dxfId="31" priority="39">
      <formula>MOD(ROW(),2)=0</formula>
    </cfRule>
  </conditionalFormatting>
  <conditionalFormatting sqref="B685:M713">
    <cfRule type="expression" dxfId="30" priority="38">
      <formula>MOD(ROW(),2)=0</formula>
    </cfRule>
  </conditionalFormatting>
  <conditionalFormatting sqref="E695:L69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02:L70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03:L703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1:L71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12:L712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1:Y91">
    <cfRule type="expression" dxfId="29" priority="32">
      <formula>MOD(ROW(),2)=0</formula>
    </cfRule>
  </conditionalFormatting>
  <conditionalFormatting sqref="S96:Z96 O96:Q96">
    <cfRule type="expression" dxfId="28" priority="31">
      <formula>MOD(ROW(),2)=0</formula>
    </cfRule>
  </conditionalFormatting>
  <conditionalFormatting sqref="R96:Y96">
    <cfRule type="expression" dxfId="27" priority="30">
      <formula>MOD(ROW(),2)=0</formula>
    </cfRule>
  </conditionalFormatting>
  <conditionalFormatting sqref="O66:Z68 O65:Q65 Z65">
    <cfRule type="expression" dxfId="26" priority="29">
      <formula>MOD(ROW(),2)=0</formula>
    </cfRule>
  </conditionalFormatting>
  <conditionalFormatting sqref="R70:Y72">
    <cfRule type="expression" dxfId="25" priority="28">
      <formula>MOD(ROW(),2)=0</formula>
    </cfRule>
  </conditionalFormatting>
  <conditionalFormatting sqref="O70:Z70">
    <cfRule type="expression" dxfId="24" priority="27">
      <formula>MOD(ROW(),2)=0</formula>
    </cfRule>
  </conditionalFormatting>
  <conditionalFormatting sqref="O75:Q78 Z75:Z78 O86:Z86 O90:Z90 Z91:Z96 O91:Q91 S91:Y91 O92:Y92 O93:P93 R93:Y93">
    <cfRule type="expression" dxfId="23" priority="26">
      <formula>MOD(ROW(),2)=0</formula>
    </cfRule>
  </conditionalFormatting>
  <conditionalFormatting sqref="O76:Z78 O75:Q75 Z75">
    <cfRule type="expression" dxfId="22" priority="25">
      <formula>MOD(ROW(),2)=0</formula>
    </cfRule>
  </conditionalFormatting>
  <conditionalFormatting sqref="R90:Y90 R92:Y92 S91:Y91">
    <cfRule type="expression" dxfId="21" priority="24">
      <formula>MOD(ROW(),2)=0</formula>
    </cfRule>
  </conditionalFormatting>
  <conditionalFormatting sqref="R76:Y78">
    <cfRule type="expression" dxfId="20" priority="23">
      <formula>MOD(ROW(),2)=0</formula>
    </cfRule>
  </conditionalFormatting>
  <conditionalFormatting sqref="O90:Q92 S90:Y92 Z90:Z96">
    <cfRule type="expression" dxfId="19" priority="22">
      <formula>MOD(ROW(),2)=0</formula>
    </cfRule>
  </conditionalFormatting>
  <conditionalFormatting sqref="R90 R92">
    <cfRule type="expression" dxfId="18" priority="21">
      <formula>MOD(ROW(),2)=0</formula>
    </cfRule>
  </conditionalFormatting>
  <conditionalFormatting sqref="P92:Q92 P94:Q94 P93">
    <cfRule type="expression" dxfId="17" priority="20">
      <formula>MOD(ROW(),2)=0</formula>
    </cfRule>
  </conditionalFormatting>
  <conditionalFormatting sqref="O92:O95">
    <cfRule type="expression" dxfId="16" priority="19">
      <formula>MOD(ROW(),2)=0</formula>
    </cfRule>
  </conditionalFormatting>
  <conditionalFormatting sqref="O92:O95">
    <cfRule type="expression" dxfId="15" priority="18">
      <formula>MOD(ROW(),2)=0</formula>
    </cfRule>
  </conditionalFormatting>
  <conditionalFormatting sqref="R92:Y96">
    <cfRule type="expression" dxfId="14" priority="17">
      <formula>MOD(ROW(),2)=0</formula>
    </cfRule>
  </conditionalFormatting>
  <conditionalFormatting sqref="R92:Y96">
    <cfRule type="expression" dxfId="13" priority="16">
      <formula>MOD(ROW(),2)=0</formula>
    </cfRule>
  </conditionalFormatting>
  <conditionalFormatting sqref="R92:Y92">
    <cfRule type="expression" dxfId="12" priority="15">
      <formula>MOD(ROW(),2)=0</formula>
    </cfRule>
  </conditionalFormatting>
  <conditionalFormatting sqref="R92:Y92">
    <cfRule type="expression" dxfId="11" priority="14">
      <formula>MOD(ROW(),2)=0</formula>
    </cfRule>
  </conditionalFormatting>
  <conditionalFormatting sqref="R93:Y93">
    <cfRule type="expression" dxfId="10" priority="13">
      <formula>MOD(ROW(),2)=0</formula>
    </cfRule>
  </conditionalFormatting>
  <conditionalFormatting sqref="O88:Z88">
    <cfRule type="expression" dxfId="9" priority="12">
      <formula>MOD(ROW(),2)=0</formula>
    </cfRule>
  </conditionalFormatting>
  <conditionalFormatting sqref="Z88">
    <cfRule type="expression" dxfId="8" priority="11">
      <formula>MOD(ROW(),2)=0</formula>
    </cfRule>
  </conditionalFormatting>
  <conditionalFormatting sqref="R91">
    <cfRule type="expression" dxfId="7" priority="10">
      <formula>MOD(ROW(),2)=0</formula>
    </cfRule>
  </conditionalFormatting>
  <conditionalFormatting sqref="P93">
    <cfRule type="expression" dxfId="6" priority="9">
      <formula>MOD(ROW(),2)=0</formula>
    </cfRule>
  </conditionalFormatting>
  <conditionalFormatting sqref="Q93">
    <cfRule type="expression" dxfId="5" priority="8">
      <formula>MOD(ROW(),2)=0</formula>
    </cfRule>
  </conditionalFormatting>
  <conditionalFormatting sqref="P95:Q95">
    <cfRule type="expression" dxfId="4" priority="7">
      <formula>MOD(ROW(),2)=0</formula>
    </cfRule>
  </conditionalFormatting>
  <conditionalFormatting sqref="O98:Q99 Z98:Z100 O100:Y100 O101:Z102">
    <cfRule type="expression" dxfId="3" priority="6">
      <formula>MOD(ROW(),2)=0</formula>
    </cfRule>
  </conditionalFormatting>
  <conditionalFormatting sqref="R98:Y98">
    <cfRule type="expression" dxfId="2" priority="5">
      <formula>MOD(ROW(),2)=0</formula>
    </cfRule>
  </conditionalFormatting>
  <conditionalFormatting sqref="R99:Y99">
    <cfRule type="expression" dxfId="1" priority="4">
      <formula>MOD(ROW(),2)=0</formula>
    </cfRule>
  </conditionalFormatting>
  <conditionalFormatting sqref="N600">
    <cfRule type="expression" dxfId="0" priority="2">
      <formula>MOD(ROW(),2)=0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/>
  </sheetPr>
  <dimension ref="B1:K13"/>
  <sheetViews>
    <sheetView zoomScale="70" zoomScaleNormal="70" workbookViewId="0">
      <selection activeCell="M9" sqref="M9"/>
    </sheetView>
  </sheetViews>
  <sheetFormatPr baseColWidth="10" defaultColWidth="11.453125" defaultRowHeight="14.5" x14ac:dyDescent="0.35"/>
  <cols>
    <col min="1" max="1" width="11.453125" style="1"/>
    <col min="2" max="2" width="38.54296875" style="1" bestFit="1" customWidth="1"/>
    <col min="3" max="3" width="12.453125" style="190" bestFit="1" customWidth="1"/>
    <col min="4" max="4" width="23.1796875" style="1" bestFit="1" customWidth="1"/>
    <col min="5" max="16384" width="11.453125" style="1"/>
  </cols>
  <sheetData>
    <row r="1" spans="2:11" ht="15" thickBot="1" x14ac:dyDescent="0.4">
      <c r="B1" s="133" t="s">
        <v>4027</v>
      </c>
    </row>
    <row r="2" spans="2:11" x14ac:dyDescent="0.35">
      <c r="B2" s="25" t="s">
        <v>1320</v>
      </c>
      <c r="C2" s="214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</row>
    <row r="3" spans="2:11" x14ac:dyDescent="0.35">
      <c r="B3" s="205" t="s">
        <v>1157</v>
      </c>
      <c r="C3" s="210"/>
      <c r="D3" s="365" t="s">
        <v>23</v>
      </c>
      <c r="E3" s="365" t="s">
        <v>1798</v>
      </c>
      <c r="F3" s="365" t="s">
        <v>1799</v>
      </c>
      <c r="G3" s="365" t="s">
        <v>1800</v>
      </c>
      <c r="H3" s="365" t="s">
        <v>1801</v>
      </c>
      <c r="I3" s="365" t="s">
        <v>1802</v>
      </c>
      <c r="J3" s="365" t="s">
        <v>1803</v>
      </c>
      <c r="K3" s="93" t="s">
        <v>4477</v>
      </c>
    </row>
    <row r="4" spans="2:11" x14ac:dyDescent="0.35">
      <c r="B4" s="198" t="s">
        <v>1161</v>
      </c>
      <c r="C4" s="199" t="s">
        <v>1340</v>
      </c>
      <c r="D4" s="56" t="e">
        <f>('Wärme - Erzeugung'!BP32+'Wärme - Erzeugung'!BP33+('Wärme - Erzeugung'!BC31*'Wärme - Erzeugung'!BC19)+('Wärme - Erzeugung'!AP28+'Wärme - Erzeugung'!AP29)*'Wärme - Erzeugung'!AP14)*(1-Erdgas!F16)</f>
        <v>#N/A</v>
      </c>
      <c r="E4" s="56" t="e">
        <f>('Wärme - Erzeugung'!BQ32+'Wärme - Erzeugung'!BQ33+('Wärme - Erzeugung'!BD31*'Wärme - Erzeugung'!BD19)+('Wärme - Erzeugung'!AQ28+'Wärme - Erzeugung'!AQ29)*'Wärme - Erzeugung'!AQ14)*(1-Erdgas!G16)</f>
        <v>#N/A</v>
      </c>
      <c r="F4" s="56" t="e">
        <f>('Wärme - Erzeugung'!BR32+'Wärme - Erzeugung'!BR33+('Wärme - Erzeugung'!BE31*'Wärme - Erzeugung'!BE19)+('Wärme - Erzeugung'!AR28+'Wärme - Erzeugung'!AR29)*'Wärme - Erzeugung'!AR14)*(1-Erdgas!H16)</f>
        <v>#N/A</v>
      </c>
      <c r="G4" s="56" t="e">
        <f>('Wärme - Erzeugung'!BS32+'Wärme - Erzeugung'!BS33+('Wärme - Erzeugung'!BF31*'Wärme - Erzeugung'!BF19)+('Wärme - Erzeugung'!AS28+'Wärme - Erzeugung'!AS29)*'Wärme - Erzeugung'!AS14)*(1-Erdgas!I16)</f>
        <v>#N/A</v>
      </c>
      <c r="H4" s="56" t="e">
        <f>('Wärme - Erzeugung'!BT32+'Wärme - Erzeugung'!BT33+('Wärme - Erzeugung'!BG31*'Wärme - Erzeugung'!BG19)+('Wärme - Erzeugung'!AT28+'Wärme - Erzeugung'!AT29)*'Wärme - Erzeugung'!AT14)*(1-Erdgas!J16)</f>
        <v>#N/A</v>
      </c>
      <c r="I4" s="56" t="e">
        <f>('Wärme - Erzeugung'!BU32+'Wärme - Erzeugung'!BU33+('Wärme - Erzeugung'!BH31*'Wärme - Erzeugung'!BH19)+('Wärme - Erzeugung'!AU28+'Wärme - Erzeugung'!AU29)*'Wärme - Erzeugung'!AU14)*(1-Erdgas!K16)</f>
        <v>#N/A</v>
      </c>
      <c r="J4" s="56" t="e">
        <f>('Wärme - Erzeugung'!BV32+'Wärme - Erzeugung'!BV33+('Wärme - Erzeugung'!BI31*'Wärme - Erzeugung'!BI19)+('Wärme - Erzeugung'!AV28+'Wärme - Erzeugung'!AV29)*'Wärme - Erzeugung'!AV14)*(1-Erdgas!L16)</f>
        <v>#N/A</v>
      </c>
      <c r="K4" s="904">
        <v>1.0634056857922373E-2</v>
      </c>
    </row>
    <row r="5" spans="2:11" x14ac:dyDescent="0.35">
      <c r="B5" s="198" t="s">
        <v>1206</v>
      </c>
      <c r="C5" s="199" t="s">
        <v>1342</v>
      </c>
      <c r="D5" s="56" t="e">
        <f>'Wärme - Erzeugung'!AP26*'Wärme - Erzeugung'!AP14</f>
        <v>#N/A</v>
      </c>
      <c r="E5" s="56" t="e">
        <f>'Wärme - Erzeugung'!AQ26*'Wärme - Erzeugung'!AQ14</f>
        <v>#N/A</v>
      </c>
      <c r="F5" s="56" t="e">
        <f>'Wärme - Erzeugung'!AR26*'Wärme - Erzeugung'!AR14</f>
        <v>#N/A</v>
      </c>
      <c r="G5" s="56" t="e">
        <f>'Wärme - Erzeugung'!AS26*'Wärme - Erzeugung'!AS14</f>
        <v>#N/A</v>
      </c>
      <c r="H5" s="56" t="e">
        <f>'Wärme - Erzeugung'!AT26*'Wärme - Erzeugung'!AT14</f>
        <v>#N/A</v>
      </c>
      <c r="I5" s="56" t="e">
        <f>'Wärme - Erzeugung'!AU26*'Wärme - Erzeugung'!AU14</f>
        <v>#N/A</v>
      </c>
      <c r="J5" s="56" t="e">
        <f>'Wärme - Erzeugung'!AV26*'Wärme - Erzeugung'!AV14</f>
        <v>#N/A</v>
      </c>
      <c r="K5" s="904">
        <v>0</v>
      </c>
    </row>
    <row r="6" spans="2:11" x14ac:dyDescent="0.35">
      <c r="B6" s="198" t="s">
        <v>1310</v>
      </c>
      <c r="C6" s="199" t="s">
        <v>1343</v>
      </c>
      <c r="D6" s="56" t="e">
        <f>'Wärme - Erzeugung'!AP27*'Wärme - Erzeugung'!AP14</f>
        <v>#N/A</v>
      </c>
      <c r="E6" s="56" t="e">
        <f>'Wärme - Erzeugung'!AQ27*'Wärme - Erzeugung'!AQ14</f>
        <v>#N/A</v>
      </c>
      <c r="F6" s="56" t="e">
        <f>'Wärme - Erzeugung'!AR27*'Wärme - Erzeugung'!AR14</f>
        <v>#N/A</v>
      </c>
      <c r="G6" s="56" t="e">
        <f>'Wärme - Erzeugung'!AS27*'Wärme - Erzeugung'!AS14</f>
        <v>#N/A</v>
      </c>
      <c r="H6" s="56" t="e">
        <f>'Wärme - Erzeugung'!AT27*'Wärme - Erzeugung'!AT14</f>
        <v>#N/A</v>
      </c>
      <c r="I6" s="56" t="e">
        <f>'Wärme - Erzeugung'!AU27*'Wärme - Erzeugung'!AU14</f>
        <v>#N/A</v>
      </c>
      <c r="J6" s="56" t="e">
        <f>'Wärme - Erzeugung'!AV27*'Wärme - Erzeugung'!AV14</f>
        <v>#N/A</v>
      </c>
      <c r="K6" s="904">
        <v>0</v>
      </c>
    </row>
    <row r="7" spans="2:11" x14ac:dyDescent="0.35">
      <c r="B7" s="198" t="s">
        <v>1207</v>
      </c>
      <c r="C7" s="199" t="s">
        <v>1884</v>
      </c>
      <c r="D7" s="56" t="e">
        <f>'Wärme - Erzeugung'!BP37+'Wärme - Erzeugung'!BP38</f>
        <v>#N/A</v>
      </c>
      <c r="E7" s="56" t="e">
        <f>'Wärme - Erzeugung'!BQ37+'Wärme - Erzeugung'!BQ38</f>
        <v>#N/A</v>
      </c>
      <c r="F7" s="56" t="e">
        <f>'Wärme - Erzeugung'!BR37+'Wärme - Erzeugung'!BR38</f>
        <v>#N/A</v>
      </c>
      <c r="G7" s="56" t="e">
        <f>'Wärme - Erzeugung'!BS37+'Wärme - Erzeugung'!BS38</f>
        <v>#N/A</v>
      </c>
      <c r="H7" s="56" t="e">
        <f>'Wärme - Erzeugung'!BT37+'Wärme - Erzeugung'!BT38</f>
        <v>#N/A</v>
      </c>
      <c r="I7" s="56" t="e">
        <f>'Wärme - Erzeugung'!BU37+'Wärme - Erzeugung'!BU38</f>
        <v>#N/A</v>
      </c>
      <c r="J7" s="56" t="e">
        <f>'Wärme - Erzeugung'!BV37+'Wärme - Erzeugung'!BV38</f>
        <v>#N/A</v>
      </c>
      <c r="K7" s="904">
        <v>0.13425801362291626</v>
      </c>
    </row>
    <row r="8" spans="2:11" x14ac:dyDescent="0.35">
      <c r="B8" s="203" t="s">
        <v>1162</v>
      </c>
      <c r="C8" s="204" t="s">
        <v>1816</v>
      </c>
      <c r="D8" s="56" t="e">
        <f>'Wärme - Erzeugung'!BP31+'Wärme - Erzeugung'!BP41+'Wärme - Erzeugung'!BP40+('Wärme - Erzeugung'!BC30+'Wärme - Erzeugung'!BC39+'Wärme - Erzeugung'!BC38)*'Wärme - Erzeugung'!BC19+'Wärme - Erzeugung'!AP33*'Wärme - Erzeugung'!AP14</f>
        <v>#N/A</v>
      </c>
      <c r="E8" s="56" t="e">
        <f>'Wärme - Erzeugung'!BQ31+'Wärme - Erzeugung'!BQ41+'Wärme - Erzeugung'!BQ40+('Wärme - Erzeugung'!BD30+'Wärme - Erzeugung'!BD39+'Wärme - Erzeugung'!BD38)*'Wärme - Erzeugung'!BD19+'Wärme - Erzeugung'!AQ33*'Wärme - Erzeugung'!AQ14</f>
        <v>#N/A</v>
      </c>
      <c r="F8" s="56" t="e">
        <f>'Wärme - Erzeugung'!BR31+'Wärme - Erzeugung'!BR41+'Wärme - Erzeugung'!BR40+('Wärme - Erzeugung'!BE30+'Wärme - Erzeugung'!BE39+'Wärme - Erzeugung'!BE38)*'Wärme - Erzeugung'!BE19+'Wärme - Erzeugung'!AR33*'Wärme - Erzeugung'!AR14</f>
        <v>#N/A</v>
      </c>
      <c r="G8" s="56" t="e">
        <f>'Wärme - Erzeugung'!BS31+'Wärme - Erzeugung'!BS41+'Wärme - Erzeugung'!BS40+('Wärme - Erzeugung'!BF30+'Wärme - Erzeugung'!BF39+'Wärme - Erzeugung'!BF38)*'Wärme - Erzeugung'!BF19+'Wärme - Erzeugung'!AS33*'Wärme - Erzeugung'!AS14</f>
        <v>#N/A</v>
      </c>
      <c r="H8" s="56" t="e">
        <f>'Wärme - Erzeugung'!BT31+'Wärme - Erzeugung'!BT41+'Wärme - Erzeugung'!BT40+('Wärme - Erzeugung'!BG30+'Wärme - Erzeugung'!BG39+'Wärme - Erzeugung'!BG38)*'Wärme - Erzeugung'!BG19+'Wärme - Erzeugung'!AT33*'Wärme - Erzeugung'!AT14</f>
        <v>#N/A</v>
      </c>
      <c r="I8" s="56" t="e">
        <f>'Wärme - Erzeugung'!BU31+'Wärme - Erzeugung'!BU41+'Wärme - Erzeugung'!BU40+('Wärme - Erzeugung'!BH30+'Wärme - Erzeugung'!BH39+'Wärme - Erzeugung'!BH38)*'Wärme - Erzeugung'!BH19+'Wärme - Erzeugung'!AU33*'Wärme - Erzeugung'!AU14</f>
        <v>#N/A</v>
      </c>
      <c r="J8" s="56" t="e">
        <f>'Wärme - Erzeugung'!BV31+'Wärme - Erzeugung'!BV41+'Wärme - Erzeugung'!BV40+('Wärme - Erzeugung'!BI30+'Wärme - Erzeugung'!BI39+'Wärme - Erzeugung'!BI38)*'Wärme - Erzeugung'!BI19+'Wärme - Erzeugung'!AV33*'Wärme - Erzeugung'!AV14</f>
        <v>#N/A</v>
      </c>
      <c r="K8" s="904">
        <v>72270.846731819343</v>
      </c>
    </row>
    <row r="9" spans="2:11" x14ac:dyDescent="0.35">
      <c r="B9" s="203" t="s">
        <v>1160</v>
      </c>
      <c r="C9" s="204" t="s">
        <v>1815</v>
      </c>
      <c r="D9" s="56" t="e">
        <f>('Wärme - Erzeugung'!BC28+'Wärme - Erzeugung'!BC29+'Wärme - Erzeugung'!BC37)*'Wärme - Erzeugung'!BC19+'Wärme - Erzeugung'!BP28+'Wärme - Erzeugung'!BP29+'Wärme - Erzeugung'!BP30</f>
        <v>#N/A</v>
      </c>
      <c r="E9" s="56" t="e">
        <f>('Wärme - Erzeugung'!BD28+'Wärme - Erzeugung'!BD29+'Wärme - Erzeugung'!BD37)*'Wärme - Erzeugung'!BD19+'Wärme - Erzeugung'!BQ28+'Wärme - Erzeugung'!BQ29+'Wärme - Erzeugung'!BQ30</f>
        <v>#N/A</v>
      </c>
      <c r="F9" s="56" t="e">
        <f>('Wärme - Erzeugung'!BE28+'Wärme - Erzeugung'!BE29+'Wärme - Erzeugung'!BE37)*'Wärme - Erzeugung'!BE19+'Wärme - Erzeugung'!BR28+'Wärme - Erzeugung'!BR29+'Wärme - Erzeugung'!BR30</f>
        <v>#N/A</v>
      </c>
      <c r="G9" s="56" t="e">
        <f>('Wärme - Erzeugung'!BF28+'Wärme - Erzeugung'!BF29+'Wärme - Erzeugung'!BF37)*'Wärme - Erzeugung'!BF19+'Wärme - Erzeugung'!BS28+'Wärme - Erzeugung'!BS29+'Wärme - Erzeugung'!BS30</f>
        <v>#N/A</v>
      </c>
      <c r="H9" s="56" t="e">
        <f>('Wärme - Erzeugung'!BG28+'Wärme - Erzeugung'!BG29+'Wärme - Erzeugung'!BG37)*'Wärme - Erzeugung'!BG19+'Wärme - Erzeugung'!BT28+'Wärme - Erzeugung'!BT29+'Wärme - Erzeugung'!BT30</f>
        <v>#N/A</v>
      </c>
      <c r="I9" s="56" t="e">
        <f>('Wärme - Erzeugung'!BH28+'Wärme - Erzeugung'!BH29+'Wärme - Erzeugung'!BH37)*'Wärme - Erzeugung'!BH19+'Wärme - Erzeugung'!BU28+'Wärme - Erzeugung'!BU29+'Wärme - Erzeugung'!BU30</f>
        <v>#N/A</v>
      </c>
      <c r="J9" s="56" t="e">
        <f>('Wärme - Erzeugung'!BI28+'Wärme - Erzeugung'!BI29+'Wärme - Erzeugung'!BI37)*'Wärme - Erzeugung'!BI19+'Wärme - Erzeugung'!BV28+'Wärme - Erzeugung'!BV29+'Wärme - Erzeugung'!BV30</f>
        <v>#N/A</v>
      </c>
      <c r="K9" s="904">
        <v>142921.1403559265</v>
      </c>
    </row>
    <row r="10" spans="2:11" x14ac:dyDescent="0.35">
      <c r="B10" s="203" t="s">
        <v>1208</v>
      </c>
      <c r="C10" s="204" t="s">
        <v>1524</v>
      </c>
      <c r="D10" s="56" t="e">
        <f>'Wärme - Erzeugung'!AP32*'Wärme - Erzeugung'!AP14</f>
        <v>#N/A</v>
      </c>
      <c r="E10" s="56" t="e">
        <f>'Wärme - Erzeugung'!AQ32*'Wärme - Erzeugung'!AQ14</f>
        <v>#N/A</v>
      </c>
      <c r="F10" s="56" t="e">
        <f>'Wärme - Erzeugung'!AR32*'Wärme - Erzeugung'!AR14</f>
        <v>#N/A</v>
      </c>
      <c r="G10" s="56" t="e">
        <f>'Wärme - Erzeugung'!AS32*'Wärme - Erzeugung'!AS14</f>
        <v>#N/A</v>
      </c>
      <c r="H10" s="56" t="e">
        <f>'Wärme - Erzeugung'!AT32*'Wärme - Erzeugung'!AT14</f>
        <v>#N/A</v>
      </c>
      <c r="I10" s="56" t="e">
        <f>'Wärme - Erzeugung'!AU32*'Wärme - Erzeugung'!AU14</f>
        <v>#N/A</v>
      </c>
      <c r="J10" s="56" t="e">
        <f>'Wärme - Erzeugung'!AV32*'Wärme - Erzeugung'!AV14</f>
        <v>#N/A</v>
      </c>
      <c r="K10" s="904">
        <v>7747.8960320831502</v>
      </c>
    </row>
    <row r="11" spans="2:11" x14ac:dyDescent="0.35">
      <c r="B11" s="203" t="s">
        <v>1209</v>
      </c>
      <c r="C11" s="204" t="s">
        <v>1885</v>
      </c>
      <c r="D11" s="56" t="e">
        <f>(('Wärme - Erzeugung'!AP30+'Wärme - Erzeugung'!AP31)*'Wärme - Erzeugung'!AP14+(SUM('Wärme - Erzeugung'!BC32:BC36)+'Wärme - Erzeugung'!BC40)*'Wärme - Erzeugung'!BC19+SUM('Wärme - Erzeugung'!BP34:BP36))+(('Wärme - Erzeugung'!BP32+'Wärme - Erzeugung'!BP33+('Wärme - Erzeugung'!BC31*'Wärme - Erzeugung'!BC19)+('Wärme - Erzeugung'!AP28+'Wärme - Erzeugung'!AP29)*'Wärme - Erzeugung'!AP14)*Erdgas!F16)</f>
        <v>#N/A</v>
      </c>
      <c r="E11" s="56" t="e">
        <f>(('Wärme - Erzeugung'!AQ30+'Wärme - Erzeugung'!AQ31)*'Wärme - Erzeugung'!AQ14+(SUM('Wärme - Erzeugung'!BD32:BD36)+'Wärme - Erzeugung'!BD40)*'Wärme - Erzeugung'!BD19+SUM('Wärme - Erzeugung'!BQ34:BQ36))+(('Wärme - Erzeugung'!BQ32+'Wärme - Erzeugung'!BQ33+('Wärme - Erzeugung'!BD31*'Wärme - Erzeugung'!BD19)+('Wärme - Erzeugung'!AQ28+'Wärme - Erzeugung'!AQ29)*'Wärme - Erzeugung'!AQ14)*Erdgas!G16)</f>
        <v>#N/A</v>
      </c>
      <c r="F11" s="56" t="e">
        <f>(('Wärme - Erzeugung'!AR30+'Wärme - Erzeugung'!AR31)*'Wärme - Erzeugung'!AR14+(SUM('Wärme - Erzeugung'!BE32:BE36)+'Wärme - Erzeugung'!BE40)*'Wärme - Erzeugung'!BE19+SUM('Wärme - Erzeugung'!BR34:BR36))+(('Wärme - Erzeugung'!BR32+'Wärme - Erzeugung'!BR33+('Wärme - Erzeugung'!BE31*'Wärme - Erzeugung'!BE19)+('Wärme - Erzeugung'!AR28+'Wärme - Erzeugung'!AR29)*'Wärme - Erzeugung'!AR14)*Erdgas!H16)</f>
        <v>#N/A</v>
      </c>
      <c r="G11" s="56" t="e">
        <f>(('Wärme - Erzeugung'!AS30+'Wärme - Erzeugung'!AS31)*'Wärme - Erzeugung'!AS14+(SUM('Wärme - Erzeugung'!BF32:BF36)+'Wärme - Erzeugung'!BF40)*'Wärme - Erzeugung'!BF19+SUM('Wärme - Erzeugung'!BS34:BS36))+(('Wärme - Erzeugung'!BS32+'Wärme - Erzeugung'!BS33+('Wärme - Erzeugung'!BF31*'Wärme - Erzeugung'!BF19)+('Wärme - Erzeugung'!AS28+'Wärme - Erzeugung'!AS29)*'Wärme - Erzeugung'!AS14)*Erdgas!I16)</f>
        <v>#N/A</v>
      </c>
      <c r="H11" s="56" t="e">
        <f>(('Wärme - Erzeugung'!AT30+'Wärme - Erzeugung'!AT31)*'Wärme - Erzeugung'!AT14+(SUM('Wärme - Erzeugung'!BG32:BG36)+'Wärme - Erzeugung'!BG40)*'Wärme - Erzeugung'!BG19+SUM('Wärme - Erzeugung'!BT34:BT36))+(('Wärme - Erzeugung'!BT32+'Wärme - Erzeugung'!BT33+('Wärme - Erzeugung'!BG31*'Wärme - Erzeugung'!BG19)+('Wärme - Erzeugung'!AT28+'Wärme - Erzeugung'!AT29)*'Wärme - Erzeugung'!AT14)*Erdgas!J16)</f>
        <v>#N/A</v>
      </c>
      <c r="I11" s="56" t="e">
        <f>(('Wärme - Erzeugung'!AU30+'Wärme - Erzeugung'!AU31)*'Wärme - Erzeugung'!AU14+(SUM('Wärme - Erzeugung'!BH32:BH36)+'Wärme - Erzeugung'!BH40)*'Wärme - Erzeugung'!BH19+SUM('Wärme - Erzeugung'!BU34:BU36))+(('Wärme - Erzeugung'!BU32+'Wärme - Erzeugung'!BU33+('Wärme - Erzeugung'!BH31*'Wärme - Erzeugung'!BH19)+('Wärme - Erzeugung'!AU28+'Wärme - Erzeugung'!AU29)*'Wärme - Erzeugung'!AU14)*Erdgas!K16)</f>
        <v>#N/A</v>
      </c>
      <c r="J11" s="56" t="e">
        <f>(('Wärme - Erzeugung'!AV30+'Wärme - Erzeugung'!AV31)*'Wärme - Erzeugung'!AV14+(SUM('Wärme - Erzeugung'!BI32:BI36)+'Wärme - Erzeugung'!BI40)*'Wärme - Erzeugung'!BI19+SUM('Wärme - Erzeugung'!BV34:BV36))+(('Wärme - Erzeugung'!BV32+'Wärme - Erzeugung'!BV33+('Wärme - Erzeugung'!BI31*'Wärme - Erzeugung'!BI19)+('Wärme - Erzeugung'!AV28+'Wärme - Erzeugung'!AV29)*'Wärme - Erzeugung'!AV14)*Erdgas!L16)</f>
        <v>#N/A</v>
      </c>
      <c r="K11" s="904">
        <v>38313.010369808544</v>
      </c>
    </row>
    <row r="12" spans="2:11" ht="15" thickBot="1" x14ac:dyDescent="0.4">
      <c r="B12" s="14" t="s">
        <v>1210</v>
      </c>
      <c r="C12" s="35" t="s">
        <v>1210</v>
      </c>
      <c r="D12" s="59" t="e">
        <f>'Wärme - Erzeugung'!BP39</f>
        <v>#N/A</v>
      </c>
      <c r="E12" s="59" t="e">
        <f>'Wärme - Erzeugung'!BQ39</f>
        <v>#N/A</v>
      </c>
      <c r="F12" s="59" t="e">
        <f>'Wärme - Erzeugung'!BR39</f>
        <v>#N/A</v>
      </c>
      <c r="G12" s="59" t="e">
        <f>'Wärme - Erzeugung'!BS39</f>
        <v>#N/A</v>
      </c>
      <c r="H12" s="59" t="e">
        <f>'Wärme - Erzeugung'!BT39</f>
        <v>#N/A</v>
      </c>
      <c r="I12" s="59" t="e">
        <f>'Wärme - Erzeugung'!BU39</f>
        <v>#N/A</v>
      </c>
      <c r="J12" s="59" t="e">
        <f>'Wärme - Erzeugung'!BV39</f>
        <v>#N/A</v>
      </c>
      <c r="K12" s="972">
        <v>2235.3808780035779</v>
      </c>
    </row>
    <row r="13" spans="2:11" x14ac:dyDescent="0.35">
      <c r="C13" s="204" t="s">
        <v>2357</v>
      </c>
      <c r="D13" s="355" t="e">
        <f>D9/SUM(D4:D12)</f>
        <v>#N/A</v>
      </c>
      <c r="E13" s="355" t="e">
        <f t="shared" ref="E13:J13" si="0">E9/SUM(E4:E12)</f>
        <v>#N/A</v>
      </c>
      <c r="F13" s="355" t="e">
        <f t="shared" si="0"/>
        <v>#N/A</v>
      </c>
      <c r="G13" s="355" t="e">
        <f t="shared" si="0"/>
        <v>#N/A</v>
      </c>
      <c r="H13" s="355" t="e">
        <f t="shared" si="0"/>
        <v>#N/A</v>
      </c>
      <c r="I13" s="355" t="e">
        <f t="shared" si="0"/>
        <v>#N/A</v>
      </c>
      <c r="J13" s="355" t="e">
        <f t="shared" si="0"/>
        <v>#N/A</v>
      </c>
      <c r="K13" s="355">
        <f>K9/SUM(K4:K12)</f>
        <v>0.54241905871033358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/>
  </sheetPr>
  <dimension ref="B1:BF22"/>
  <sheetViews>
    <sheetView zoomScale="70" zoomScaleNormal="70" workbookViewId="0">
      <selection activeCell="Y85" sqref="Y85"/>
    </sheetView>
  </sheetViews>
  <sheetFormatPr baseColWidth="10" defaultColWidth="11.453125" defaultRowHeight="14" x14ac:dyDescent="0.35"/>
  <cols>
    <col min="1" max="1" width="11.453125" style="2"/>
    <col min="2" max="2" width="38.54296875" style="2" bestFit="1" customWidth="1"/>
    <col min="3" max="3" width="38.54296875" style="2" customWidth="1"/>
    <col min="4" max="4" width="19.54296875" style="2" bestFit="1" customWidth="1"/>
    <col min="5" max="13" width="11.453125" style="2"/>
    <col min="14" max="14" width="38.54296875" style="2" bestFit="1" customWidth="1"/>
    <col min="15" max="15" width="22.54296875" style="2" bestFit="1" customWidth="1"/>
    <col min="16" max="24" width="11.453125" style="2"/>
    <col min="25" max="25" width="38.54296875" style="2" bestFit="1" customWidth="1"/>
    <col min="26" max="26" width="22.54296875" style="2" bestFit="1" customWidth="1"/>
    <col min="27" max="36" width="11.453125" style="2"/>
    <col min="37" max="37" width="38.54296875" style="2" bestFit="1" customWidth="1"/>
    <col min="38" max="38" width="22.54296875" style="2" bestFit="1" customWidth="1"/>
    <col min="39" max="40" width="11.453125" style="2"/>
    <col min="41" max="41" width="11.54296875" style="2" bestFit="1" customWidth="1"/>
    <col min="42" max="42" width="14" style="2" bestFit="1" customWidth="1"/>
    <col min="43" max="43" width="12.81640625" style="2" bestFit="1" customWidth="1"/>
    <col min="44" max="44" width="11.453125" style="2"/>
    <col min="45" max="46" width="14" style="2" bestFit="1" customWidth="1"/>
    <col min="47" max="48" width="11.453125" style="2"/>
    <col min="49" max="49" width="26.54296875" style="2" bestFit="1" customWidth="1"/>
    <col min="50" max="50" width="22.54296875" style="2" bestFit="1" customWidth="1"/>
    <col min="51" max="16384" width="11.453125" style="2"/>
  </cols>
  <sheetData>
    <row r="1" spans="2:58" ht="14.5" thickBot="1" x14ac:dyDescent="0.4"/>
    <row r="2" spans="2:58" ht="14.5" x14ac:dyDescent="0.35">
      <c r="B2" s="3" t="s">
        <v>1225</v>
      </c>
      <c r="C2" s="29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N2" s="3" t="s">
        <v>1226</v>
      </c>
      <c r="O2" s="29"/>
      <c r="P2" s="89">
        <v>2</v>
      </c>
      <c r="Q2" s="89">
        <v>3</v>
      </c>
      <c r="R2" s="89">
        <v>4</v>
      </c>
      <c r="S2" s="89">
        <v>5</v>
      </c>
      <c r="T2" s="89">
        <v>6</v>
      </c>
      <c r="U2" s="89">
        <v>7</v>
      </c>
      <c r="V2" s="89">
        <v>8</v>
      </c>
      <c r="W2" s="89">
        <v>9</v>
      </c>
      <c r="Y2" s="3" t="s">
        <v>1227</v>
      </c>
      <c r="Z2" s="29"/>
      <c r="AA2" s="89">
        <v>2</v>
      </c>
      <c r="AB2" s="89">
        <v>3</v>
      </c>
      <c r="AC2" s="89">
        <v>4</v>
      </c>
      <c r="AD2" s="89">
        <v>5</v>
      </c>
      <c r="AE2" s="89">
        <v>6</v>
      </c>
      <c r="AF2" s="89">
        <v>7</v>
      </c>
      <c r="AG2" s="89">
        <v>8</v>
      </c>
      <c r="AH2" s="89">
        <v>9</v>
      </c>
      <c r="AK2" s="3" t="s">
        <v>1246</v>
      </c>
      <c r="AL2" s="29"/>
      <c r="AM2" s="89">
        <v>2</v>
      </c>
      <c r="AN2" s="89">
        <v>3</v>
      </c>
      <c r="AO2" s="89">
        <v>4</v>
      </c>
      <c r="AP2" s="89">
        <v>5</v>
      </c>
      <c r="AQ2" s="89">
        <v>6</v>
      </c>
      <c r="AR2" s="89">
        <v>7</v>
      </c>
      <c r="AS2" s="89">
        <v>8</v>
      </c>
      <c r="AT2" s="89">
        <v>9</v>
      </c>
      <c r="AW2" s="3" t="s">
        <v>1228</v>
      </c>
      <c r="AX2" s="29"/>
      <c r="AY2" s="89">
        <v>2</v>
      </c>
      <c r="AZ2" s="89">
        <v>3</v>
      </c>
      <c r="BA2" s="89">
        <v>4</v>
      </c>
      <c r="BB2" s="89">
        <v>5</v>
      </c>
      <c r="BC2" s="89">
        <v>6</v>
      </c>
      <c r="BD2" s="89">
        <v>7</v>
      </c>
      <c r="BE2" s="89">
        <v>8</v>
      </c>
      <c r="BF2" s="89">
        <v>9</v>
      </c>
    </row>
    <row r="3" spans="2:58" ht="14.5" x14ac:dyDescent="0.35">
      <c r="B3" s="23" t="s">
        <v>1258</v>
      </c>
      <c r="C3" s="30" t="s">
        <v>1259</v>
      </c>
      <c r="D3" s="365" t="s">
        <v>23</v>
      </c>
      <c r="E3" s="365" t="s">
        <v>1798</v>
      </c>
      <c r="F3" s="365" t="s">
        <v>1799</v>
      </c>
      <c r="G3" s="365" t="s">
        <v>1800</v>
      </c>
      <c r="H3" s="365" t="s">
        <v>1801</v>
      </c>
      <c r="I3" s="365" t="s">
        <v>1802</v>
      </c>
      <c r="J3" s="365" t="s">
        <v>1803</v>
      </c>
      <c r="K3" s="93" t="s">
        <v>1804</v>
      </c>
      <c r="N3" s="23" t="s">
        <v>1258</v>
      </c>
      <c r="O3" s="30" t="s">
        <v>1259</v>
      </c>
      <c r="P3" s="365" t="s">
        <v>23</v>
      </c>
      <c r="Q3" s="365" t="s">
        <v>1798</v>
      </c>
      <c r="R3" s="365" t="s">
        <v>1799</v>
      </c>
      <c r="S3" s="365" t="s">
        <v>1800</v>
      </c>
      <c r="T3" s="365" t="s">
        <v>1801</v>
      </c>
      <c r="U3" s="365" t="s">
        <v>1802</v>
      </c>
      <c r="V3" s="365" t="s">
        <v>1803</v>
      </c>
      <c r="W3" s="93" t="s">
        <v>1804</v>
      </c>
      <c r="Y3" s="23" t="s">
        <v>1258</v>
      </c>
      <c r="Z3" s="30" t="s">
        <v>1259</v>
      </c>
      <c r="AA3" s="365" t="s">
        <v>23</v>
      </c>
      <c r="AB3" s="365" t="s">
        <v>1798</v>
      </c>
      <c r="AC3" s="365" t="s">
        <v>1799</v>
      </c>
      <c r="AD3" s="365" t="s">
        <v>1800</v>
      </c>
      <c r="AE3" s="365" t="s">
        <v>1801</v>
      </c>
      <c r="AF3" s="365" t="s">
        <v>1802</v>
      </c>
      <c r="AG3" s="365" t="s">
        <v>1803</v>
      </c>
      <c r="AH3" s="93" t="s">
        <v>1804</v>
      </c>
      <c r="AK3" s="23" t="s">
        <v>1258</v>
      </c>
      <c r="AL3" s="30" t="s">
        <v>1259</v>
      </c>
      <c r="AM3" s="365" t="s">
        <v>23</v>
      </c>
      <c r="AN3" s="365" t="s">
        <v>1798</v>
      </c>
      <c r="AO3" s="365" t="s">
        <v>1799</v>
      </c>
      <c r="AP3" s="365" t="s">
        <v>1800</v>
      </c>
      <c r="AQ3" s="365" t="s">
        <v>1801</v>
      </c>
      <c r="AR3" s="365" t="s">
        <v>1802</v>
      </c>
      <c r="AS3" s="365" t="s">
        <v>1803</v>
      </c>
      <c r="AT3" s="93" t="s">
        <v>1804</v>
      </c>
      <c r="AW3" s="23" t="s">
        <v>1258</v>
      </c>
      <c r="AX3" s="30" t="s">
        <v>1259</v>
      </c>
      <c r="AY3" s="365" t="s">
        <v>23</v>
      </c>
      <c r="AZ3" s="365" t="s">
        <v>1798</v>
      </c>
      <c r="BA3" s="365" t="s">
        <v>1799</v>
      </c>
      <c r="BB3" s="365" t="s">
        <v>1800</v>
      </c>
      <c r="BC3" s="365" t="s">
        <v>1801</v>
      </c>
      <c r="BD3" s="365" t="s">
        <v>1802</v>
      </c>
      <c r="BE3" s="365" t="s">
        <v>1803</v>
      </c>
      <c r="BF3" s="93" t="s">
        <v>1804</v>
      </c>
    </row>
    <row r="4" spans="2:58" x14ac:dyDescent="0.35">
      <c r="B4" s="26" t="s">
        <v>667</v>
      </c>
      <c r="C4" s="31" t="s">
        <v>1197</v>
      </c>
      <c r="D4" s="16" t="e">
        <f>VLOOKUP($B4,flows!$A$2:$J$4985,D$2,FALSE)</f>
        <v>#N/A</v>
      </c>
      <c r="E4" s="346" t="e">
        <f>VLOOKUP($B4,flows!$A$2:$J$4985,E$2,FALSE)</f>
        <v>#N/A</v>
      </c>
      <c r="F4" s="346" t="e">
        <f>VLOOKUP($B4,flows!$A$2:$J$4985,F$2,FALSE)</f>
        <v>#N/A</v>
      </c>
      <c r="G4" s="346" t="e">
        <f>VLOOKUP($B4,flows!$A$2:$J$4985,G$2,FALSE)</f>
        <v>#N/A</v>
      </c>
      <c r="H4" s="346" t="e">
        <f>VLOOKUP($B4,flows!$A$2:$J$4985,H$2,FALSE)</f>
        <v>#N/A</v>
      </c>
      <c r="I4" s="346" t="e">
        <f>VLOOKUP($B4,flows!$A$2:$J$4985,I$2,FALSE)</f>
        <v>#N/A</v>
      </c>
      <c r="J4" s="346" t="e">
        <f>VLOOKUP($B4,flows!$A$2:$J$4985,J$2,FALSE)</f>
        <v>#N/A</v>
      </c>
      <c r="K4" s="346" t="e">
        <f>VLOOKUP($B4,flows!$A$2:$J$4985,K$2,FALSE)</f>
        <v>#N/A</v>
      </c>
      <c r="N4" s="26" t="s">
        <v>868</v>
      </c>
      <c r="O4" s="31" t="s">
        <v>1197</v>
      </c>
      <c r="P4" s="346" t="e">
        <f>VLOOKUP($N4,flows!$A$2:$J$4985,P$2,FALSE)</f>
        <v>#N/A</v>
      </c>
      <c r="Q4" s="346" t="e">
        <f>VLOOKUP($N4,flows!$A$2:$J$4985,Q$2,FALSE)</f>
        <v>#N/A</v>
      </c>
      <c r="R4" s="346" t="e">
        <f>VLOOKUP($N4,flows!$A$2:$J$4985,R$2,FALSE)</f>
        <v>#N/A</v>
      </c>
      <c r="S4" s="346" t="e">
        <f>VLOOKUP($N4,flows!$A$2:$J$4985,S$2,FALSE)</f>
        <v>#N/A</v>
      </c>
      <c r="T4" s="346" t="e">
        <f>VLOOKUP($N4,flows!$A$2:$J$4985,T$2,FALSE)</f>
        <v>#N/A</v>
      </c>
      <c r="U4" s="346" t="e">
        <f>VLOOKUP($N4,flows!$A$2:$J$4985,U$2,FALSE)</f>
        <v>#N/A</v>
      </c>
      <c r="V4" s="346" t="e">
        <f>VLOOKUP($N4,flows!$A$2:$J$4985,V$2,FALSE)</f>
        <v>#N/A</v>
      </c>
      <c r="W4" s="346" t="e">
        <f>VLOOKUP($N4,flows!$A$2:$J$4985,W$2,FALSE)</f>
        <v>#N/A</v>
      </c>
      <c r="Y4" s="26" t="s">
        <v>658</v>
      </c>
      <c r="Z4" s="31" t="s">
        <v>1197</v>
      </c>
      <c r="AA4" s="346" t="e">
        <f>VLOOKUP($Y4,flows!$A$2:$J$4985,AA$2,FALSE)</f>
        <v>#N/A</v>
      </c>
      <c r="AB4" s="346" t="e">
        <f>VLOOKUP($Y4,flows!$A$2:$J$4985,AB$2,FALSE)</f>
        <v>#N/A</v>
      </c>
      <c r="AC4" s="346" t="e">
        <f>VLOOKUP($Y4,flows!$A$2:$J$4985,AC$2,FALSE)</f>
        <v>#N/A</v>
      </c>
      <c r="AD4" s="346" t="e">
        <f>VLOOKUP($Y4,flows!$A$2:$J$4985,AD$2,FALSE)</f>
        <v>#N/A</v>
      </c>
      <c r="AE4" s="346" t="e">
        <f>VLOOKUP($Y4,flows!$A$2:$J$4985,AE$2,FALSE)</f>
        <v>#N/A</v>
      </c>
      <c r="AF4" s="346" t="e">
        <f>VLOOKUP($Y4,flows!$A$2:$J$4985,AF$2,FALSE)</f>
        <v>#N/A</v>
      </c>
      <c r="AG4" s="346" t="e">
        <f>VLOOKUP($Y4,flows!$A$2:$J$4985,AG$2,FALSE)</f>
        <v>#N/A</v>
      </c>
      <c r="AH4" s="346" t="e">
        <f>VLOOKUP($Y4,flows!$A$2:$J$4985,AH$2,FALSE)</f>
        <v>#N/A</v>
      </c>
      <c r="AK4" s="26" t="s">
        <v>1270</v>
      </c>
      <c r="AL4" s="31" t="s">
        <v>1197</v>
      </c>
      <c r="AM4" s="346" t="e">
        <f>VLOOKUP($AK4,flows!$A$2:$J$4985,AM$2,FALSE)</f>
        <v>#N/A</v>
      </c>
      <c r="AN4" s="346" t="e">
        <f>VLOOKUP($AK4,flows!$A$2:$J$4985,AN$2,FALSE)</f>
        <v>#N/A</v>
      </c>
      <c r="AO4" s="346" t="e">
        <f>VLOOKUP($AK4,flows!$A$2:$J$4985,AO$2,FALSE)</f>
        <v>#N/A</v>
      </c>
      <c r="AP4" s="346" t="e">
        <f>VLOOKUP($AK4,flows!$A$2:$J$4985,AP$2,FALSE)</f>
        <v>#N/A</v>
      </c>
      <c r="AQ4" s="346" t="e">
        <f>VLOOKUP($AK4,flows!$A$2:$J$4985,AQ$2,FALSE)</f>
        <v>#N/A</v>
      </c>
      <c r="AR4" s="346" t="e">
        <f>VLOOKUP($AK4,flows!$A$2:$J$4985,AR$2,FALSE)</f>
        <v>#N/A</v>
      </c>
      <c r="AS4" s="346" t="e">
        <f>VLOOKUP($AK4,flows!$A$2:$J$4985,AS$2,FALSE)</f>
        <v>#N/A</v>
      </c>
      <c r="AT4" s="346" t="e">
        <f>VLOOKUP($AK4,flows!$A$2:$J$4985,AT$2,FALSE)</f>
        <v>#N/A</v>
      </c>
      <c r="AW4" s="26"/>
      <c r="AX4" s="31" t="s">
        <v>1197</v>
      </c>
      <c r="AY4" s="16" t="e">
        <f>D4+P4+AA4</f>
        <v>#N/A</v>
      </c>
      <c r="AZ4" s="16" t="e">
        <f t="shared" ref="AY4:BF10" si="0">E4+Q4+AB4</f>
        <v>#N/A</v>
      </c>
      <c r="BA4" s="16" t="e">
        <f t="shared" si="0"/>
        <v>#N/A</v>
      </c>
      <c r="BB4" s="16" t="e">
        <f t="shared" si="0"/>
        <v>#N/A</v>
      </c>
      <c r="BC4" s="16" t="e">
        <f t="shared" si="0"/>
        <v>#N/A</v>
      </c>
      <c r="BD4" s="16" t="e">
        <f t="shared" si="0"/>
        <v>#N/A</v>
      </c>
      <c r="BE4" s="16" t="e">
        <f t="shared" si="0"/>
        <v>#N/A</v>
      </c>
      <c r="BF4" s="16" t="e">
        <f t="shared" si="0"/>
        <v>#N/A</v>
      </c>
    </row>
    <row r="5" spans="2:58" x14ac:dyDescent="0.35">
      <c r="B5" s="26" t="s">
        <v>668</v>
      </c>
      <c r="C5" s="31" t="s">
        <v>1197</v>
      </c>
      <c r="D5" s="346" t="e">
        <f>VLOOKUP($B5,flows!$A$2:$J$4985,D$2,FALSE)</f>
        <v>#N/A</v>
      </c>
      <c r="E5" s="346" t="e">
        <f>VLOOKUP($B5,flows!$A$2:$J$4985,E$2,FALSE)</f>
        <v>#N/A</v>
      </c>
      <c r="F5" s="346" t="e">
        <f>VLOOKUP($B5,flows!$A$2:$J$4985,F$2,FALSE)</f>
        <v>#N/A</v>
      </c>
      <c r="G5" s="346" t="e">
        <f>VLOOKUP($B5,flows!$A$2:$J$4985,G$2,FALSE)</f>
        <v>#N/A</v>
      </c>
      <c r="H5" s="346" t="e">
        <f>VLOOKUP($B5,flows!$A$2:$J$4985,H$2,FALSE)</f>
        <v>#N/A</v>
      </c>
      <c r="I5" s="346" t="e">
        <f>VLOOKUP($B5,flows!$A$2:$J$4985,I$2,FALSE)</f>
        <v>#N/A</v>
      </c>
      <c r="J5" s="346" t="e">
        <f>VLOOKUP($B5,flows!$A$2:$J$4985,J$2,FALSE)</f>
        <v>#N/A</v>
      </c>
      <c r="K5" s="346" t="e">
        <f>VLOOKUP($B5,flows!$A$2:$J$4985,K$2,FALSE)</f>
        <v>#N/A</v>
      </c>
      <c r="N5" s="26" t="s">
        <v>869</v>
      </c>
      <c r="O5" s="31" t="s">
        <v>1197</v>
      </c>
      <c r="P5" s="346" t="e">
        <f>VLOOKUP($N5,flows!$A$2:$J$4985,P$2,FALSE)</f>
        <v>#N/A</v>
      </c>
      <c r="Q5" s="346" t="e">
        <f>VLOOKUP($N5,flows!$A$2:$J$4985,Q$2,FALSE)</f>
        <v>#N/A</v>
      </c>
      <c r="R5" s="346" t="e">
        <f>VLOOKUP($N5,flows!$A$2:$J$4985,R$2,FALSE)</f>
        <v>#N/A</v>
      </c>
      <c r="S5" s="346" t="e">
        <f>VLOOKUP($N5,flows!$A$2:$J$4985,S$2,FALSE)</f>
        <v>#N/A</v>
      </c>
      <c r="T5" s="346" t="e">
        <f>VLOOKUP($N5,flows!$A$2:$J$4985,T$2,FALSE)</f>
        <v>#N/A</v>
      </c>
      <c r="U5" s="346" t="e">
        <f>VLOOKUP($N5,flows!$A$2:$J$4985,U$2,FALSE)</f>
        <v>#N/A</v>
      </c>
      <c r="V5" s="346" t="e">
        <f>VLOOKUP($N5,flows!$A$2:$J$4985,V$2,FALSE)</f>
        <v>#N/A</v>
      </c>
      <c r="W5" s="346" t="e">
        <f>VLOOKUP($N5,flows!$A$2:$J$4985,W$2,FALSE)</f>
        <v>#N/A</v>
      </c>
      <c r="Y5" s="26" t="s">
        <v>659</v>
      </c>
      <c r="Z5" s="31" t="s">
        <v>1197</v>
      </c>
      <c r="AA5" s="346" t="e">
        <f>VLOOKUP($Y5,flows!$A$2:$J$4985,AA$2,FALSE)</f>
        <v>#N/A</v>
      </c>
      <c r="AB5" s="346" t="e">
        <f>VLOOKUP($Y5,flows!$A$2:$J$4985,AB$2,FALSE)</f>
        <v>#N/A</v>
      </c>
      <c r="AC5" s="346" t="e">
        <f>VLOOKUP($Y5,flows!$A$2:$J$4985,AC$2,FALSE)</f>
        <v>#N/A</v>
      </c>
      <c r="AD5" s="346" t="e">
        <f>VLOOKUP($Y5,flows!$A$2:$J$4985,AD$2,FALSE)</f>
        <v>#N/A</v>
      </c>
      <c r="AE5" s="346" t="e">
        <f>VLOOKUP($Y5,flows!$A$2:$J$4985,AE$2,FALSE)</f>
        <v>#N/A</v>
      </c>
      <c r="AF5" s="346" t="e">
        <f>VLOOKUP($Y5,flows!$A$2:$J$4985,AF$2,FALSE)</f>
        <v>#N/A</v>
      </c>
      <c r="AG5" s="346" t="e">
        <f>VLOOKUP($Y5,flows!$A$2:$J$4985,AG$2,FALSE)</f>
        <v>#N/A</v>
      </c>
      <c r="AH5" s="346" t="e">
        <f>VLOOKUP($Y5,flows!$A$2:$J$4985,AH$2,FALSE)</f>
        <v>#N/A</v>
      </c>
      <c r="AK5" s="26" t="s">
        <v>624</v>
      </c>
      <c r="AL5" s="31" t="s">
        <v>1197</v>
      </c>
      <c r="AM5" s="346" t="e">
        <f>VLOOKUP($AK5,flows!$A$2:$J$4985,AM$2,FALSE)</f>
        <v>#N/A</v>
      </c>
      <c r="AN5" s="346" t="e">
        <f>VLOOKUP($AK5,flows!$A$2:$J$4985,AN$2,FALSE)</f>
        <v>#N/A</v>
      </c>
      <c r="AO5" s="346" t="e">
        <f>VLOOKUP($AK5,flows!$A$2:$J$4985,AO$2,FALSE)</f>
        <v>#N/A</v>
      </c>
      <c r="AP5" s="346" t="e">
        <f>VLOOKUP($AK5,flows!$A$2:$J$4985,AP$2,FALSE)</f>
        <v>#N/A</v>
      </c>
      <c r="AQ5" s="346" t="e">
        <f>VLOOKUP($AK5,flows!$A$2:$J$4985,AQ$2,FALSE)</f>
        <v>#N/A</v>
      </c>
      <c r="AR5" s="346" t="e">
        <f>VLOOKUP($AK5,flows!$A$2:$J$4985,AR$2,FALSE)</f>
        <v>#N/A</v>
      </c>
      <c r="AS5" s="346" t="e">
        <f>VLOOKUP($AK5,flows!$A$2:$J$4985,AS$2,FALSE)</f>
        <v>#N/A</v>
      </c>
      <c r="AT5" s="346" t="e">
        <f>VLOOKUP($AK5,flows!$A$2:$J$4985,AT$2,FALSE)</f>
        <v>#N/A</v>
      </c>
      <c r="AW5" s="26"/>
      <c r="AX5" s="31" t="s">
        <v>1197</v>
      </c>
      <c r="AY5" s="16" t="e">
        <f t="shared" si="0"/>
        <v>#N/A</v>
      </c>
      <c r="AZ5" s="16" t="e">
        <f t="shared" si="0"/>
        <v>#N/A</v>
      </c>
      <c r="BA5" s="16" t="e">
        <f t="shared" si="0"/>
        <v>#N/A</v>
      </c>
      <c r="BB5" s="16" t="e">
        <f t="shared" si="0"/>
        <v>#N/A</v>
      </c>
      <c r="BC5" s="16" t="e">
        <f t="shared" si="0"/>
        <v>#N/A</v>
      </c>
      <c r="BD5" s="16" t="e">
        <f t="shared" si="0"/>
        <v>#N/A</v>
      </c>
      <c r="BE5" s="16" t="e">
        <f t="shared" si="0"/>
        <v>#N/A</v>
      </c>
      <c r="BF5" s="16" t="e">
        <f t="shared" si="0"/>
        <v>#N/A</v>
      </c>
    </row>
    <row r="6" spans="2:58" x14ac:dyDescent="0.35">
      <c r="B6" s="26" t="s">
        <v>671</v>
      </c>
      <c r="C6" s="31" t="s">
        <v>1198</v>
      </c>
      <c r="D6" s="346" t="e">
        <f>VLOOKUP($B6,flows!$A$2:$J$4985,D$2,FALSE)</f>
        <v>#N/A</v>
      </c>
      <c r="E6" s="346" t="e">
        <f>VLOOKUP($B6,flows!$A$2:$J$4985,E$2,FALSE)</f>
        <v>#N/A</v>
      </c>
      <c r="F6" s="346" t="e">
        <f>VLOOKUP($B6,flows!$A$2:$J$4985,F$2,FALSE)</f>
        <v>#N/A</v>
      </c>
      <c r="G6" s="346" t="e">
        <f>VLOOKUP($B6,flows!$A$2:$J$4985,G$2,FALSE)</f>
        <v>#N/A</v>
      </c>
      <c r="H6" s="346" t="e">
        <f>VLOOKUP($B6,flows!$A$2:$J$4985,H$2,FALSE)</f>
        <v>#N/A</v>
      </c>
      <c r="I6" s="346" t="e">
        <f>VLOOKUP($B6,flows!$A$2:$J$4985,I$2,FALSE)</f>
        <v>#N/A</v>
      </c>
      <c r="J6" s="346" t="e">
        <f>VLOOKUP($B6,flows!$A$2:$J$4985,J$2,FALSE)</f>
        <v>#N/A</v>
      </c>
      <c r="K6" s="346" t="e">
        <f>VLOOKUP($B6,flows!$A$2:$J$4985,K$2,FALSE)</f>
        <v>#N/A</v>
      </c>
      <c r="N6" s="26" t="s">
        <v>872</v>
      </c>
      <c r="O6" s="31" t="s">
        <v>1198</v>
      </c>
      <c r="P6" s="346" t="e">
        <f>VLOOKUP($N6,flows!$A$2:$J$4985,P$2,FALSE)</f>
        <v>#N/A</v>
      </c>
      <c r="Q6" s="346" t="e">
        <f>VLOOKUP($N6,flows!$A$2:$J$4985,Q$2,FALSE)</f>
        <v>#N/A</v>
      </c>
      <c r="R6" s="346" t="e">
        <f>VLOOKUP($N6,flows!$A$2:$J$4985,R$2,FALSE)</f>
        <v>#N/A</v>
      </c>
      <c r="S6" s="346" t="e">
        <f>VLOOKUP($N6,flows!$A$2:$J$4985,S$2,FALSE)</f>
        <v>#N/A</v>
      </c>
      <c r="T6" s="346" t="e">
        <f>VLOOKUP($N6,flows!$A$2:$J$4985,T$2,FALSE)</f>
        <v>#N/A</v>
      </c>
      <c r="U6" s="346" t="e">
        <f>VLOOKUP($N6,flows!$A$2:$J$4985,U$2,FALSE)</f>
        <v>#N/A</v>
      </c>
      <c r="V6" s="346" t="e">
        <f>VLOOKUP($N6,flows!$A$2:$J$4985,V$2,FALSE)</f>
        <v>#N/A</v>
      </c>
      <c r="W6" s="346" t="e">
        <f>VLOOKUP($N6,flows!$A$2:$J$4985,W$2,FALSE)</f>
        <v>#N/A</v>
      </c>
      <c r="Y6" s="26" t="s">
        <v>661</v>
      </c>
      <c r="Z6" s="31" t="s">
        <v>1198</v>
      </c>
      <c r="AA6" s="346" t="e">
        <f>VLOOKUP($Y6,flows!$A$2:$J$4985,AA$2,FALSE)</f>
        <v>#N/A</v>
      </c>
      <c r="AB6" s="346" t="e">
        <f>VLOOKUP($Y6,flows!$A$2:$J$4985,AB$2,FALSE)</f>
        <v>#N/A</v>
      </c>
      <c r="AC6" s="346" t="e">
        <f>VLOOKUP($Y6,flows!$A$2:$J$4985,AC$2,FALSE)</f>
        <v>#N/A</v>
      </c>
      <c r="AD6" s="346" t="e">
        <f>VLOOKUP($Y6,flows!$A$2:$J$4985,AD$2,FALSE)</f>
        <v>#N/A</v>
      </c>
      <c r="AE6" s="346" t="e">
        <f>VLOOKUP($Y6,flows!$A$2:$J$4985,AE$2,FALSE)</f>
        <v>#N/A</v>
      </c>
      <c r="AF6" s="346" t="e">
        <f>VLOOKUP($Y6,flows!$A$2:$J$4985,AF$2,FALSE)</f>
        <v>#N/A</v>
      </c>
      <c r="AG6" s="346" t="e">
        <f>VLOOKUP($Y6,flows!$A$2:$J$4985,AG$2,FALSE)</f>
        <v>#N/A</v>
      </c>
      <c r="AH6" s="346" t="e">
        <f>VLOOKUP($Y6,flows!$A$2:$J$4985,AH$2,FALSE)</f>
        <v>#N/A</v>
      </c>
      <c r="AK6" s="26" t="s">
        <v>626</v>
      </c>
      <c r="AL6" s="31" t="s">
        <v>1198</v>
      </c>
      <c r="AM6" s="346" t="e">
        <f>VLOOKUP($AK6,flows!$A$2:$J$4985,AM$2,FALSE)</f>
        <v>#N/A</v>
      </c>
      <c r="AN6" s="346" t="e">
        <f>VLOOKUP($AK6,flows!$A$2:$J$4985,AN$2,FALSE)</f>
        <v>#N/A</v>
      </c>
      <c r="AO6" s="346" t="e">
        <f>VLOOKUP($AK6,flows!$A$2:$J$4985,AO$2,FALSE)</f>
        <v>#N/A</v>
      </c>
      <c r="AP6" s="346" t="e">
        <f>VLOOKUP($AK6,flows!$A$2:$J$4985,AP$2,FALSE)</f>
        <v>#N/A</v>
      </c>
      <c r="AQ6" s="346" t="e">
        <f>VLOOKUP($AK6,flows!$A$2:$J$4985,AQ$2,FALSE)</f>
        <v>#N/A</v>
      </c>
      <c r="AR6" s="346" t="e">
        <f>VLOOKUP($AK6,flows!$A$2:$J$4985,AR$2,FALSE)</f>
        <v>#N/A</v>
      </c>
      <c r="AS6" s="346" t="e">
        <f>VLOOKUP($AK6,flows!$A$2:$J$4985,AS$2,FALSE)</f>
        <v>#N/A</v>
      </c>
      <c r="AT6" s="346" t="e">
        <f>VLOOKUP($AK6,flows!$A$2:$J$4985,AT$2,FALSE)</f>
        <v>#N/A</v>
      </c>
      <c r="AW6" s="26"/>
      <c r="AX6" s="31" t="s">
        <v>1198</v>
      </c>
      <c r="AY6" s="16" t="e">
        <f t="shared" si="0"/>
        <v>#N/A</v>
      </c>
      <c r="AZ6" s="16" t="e">
        <f t="shared" si="0"/>
        <v>#N/A</v>
      </c>
      <c r="BA6" s="16" t="e">
        <f t="shared" si="0"/>
        <v>#N/A</v>
      </c>
      <c r="BB6" s="16" t="e">
        <f t="shared" si="0"/>
        <v>#N/A</v>
      </c>
      <c r="BC6" s="16" t="e">
        <f t="shared" si="0"/>
        <v>#N/A</v>
      </c>
      <c r="BD6" s="16" t="e">
        <f t="shared" si="0"/>
        <v>#N/A</v>
      </c>
      <c r="BE6" s="16" t="e">
        <f t="shared" si="0"/>
        <v>#N/A</v>
      </c>
      <c r="BF6" s="16" t="e">
        <f t="shared" si="0"/>
        <v>#N/A</v>
      </c>
    </row>
    <row r="7" spans="2:58" x14ac:dyDescent="0.35">
      <c r="B7" s="26" t="s">
        <v>672</v>
      </c>
      <c r="C7" s="31" t="s">
        <v>1198</v>
      </c>
      <c r="D7" s="346" t="e">
        <f>VLOOKUP($B7,flows!$A$2:$J$4985,D$2,FALSE)</f>
        <v>#N/A</v>
      </c>
      <c r="E7" s="346" t="e">
        <f>VLOOKUP($B7,flows!$A$2:$J$4985,E$2,FALSE)</f>
        <v>#N/A</v>
      </c>
      <c r="F7" s="346" t="e">
        <f>VLOOKUP($B7,flows!$A$2:$J$4985,F$2,FALSE)</f>
        <v>#N/A</v>
      </c>
      <c r="G7" s="346" t="e">
        <f>VLOOKUP($B7,flows!$A$2:$J$4985,G$2,FALSE)</f>
        <v>#N/A</v>
      </c>
      <c r="H7" s="346" t="e">
        <f>VLOOKUP($B7,flows!$A$2:$J$4985,H$2,FALSE)</f>
        <v>#N/A</v>
      </c>
      <c r="I7" s="346" t="e">
        <f>VLOOKUP($B7,flows!$A$2:$J$4985,I$2,FALSE)</f>
        <v>#N/A</v>
      </c>
      <c r="J7" s="346" t="e">
        <f>VLOOKUP($B7,flows!$A$2:$J$4985,J$2,FALSE)</f>
        <v>#N/A</v>
      </c>
      <c r="K7" s="346" t="e">
        <f>VLOOKUP($B7,flows!$A$2:$J$4985,K$2,FALSE)</f>
        <v>#N/A</v>
      </c>
      <c r="N7" s="26" t="s">
        <v>873</v>
      </c>
      <c r="O7" s="31" t="s">
        <v>1198</v>
      </c>
      <c r="P7" s="346" t="e">
        <f>VLOOKUP($N7,flows!$A$2:$J$4985,P$2,FALSE)</f>
        <v>#N/A</v>
      </c>
      <c r="Q7" s="346" t="e">
        <f>VLOOKUP($N7,flows!$A$2:$J$4985,Q$2,FALSE)</f>
        <v>#N/A</v>
      </c>
      <c r="R7" s="346" t="e">
        <f>VLOOKUP($N7,flows!$A$2:$J$4985,R$2,FALSE)</f>
        <v>#N/A</v>
      </c>
      <c r="S7" s="346" t="e">
        <f>VLOOKUP($N7,flows!$A$2:$J$4985,S$2,FALSE)</f>
        <v>#N/A</v>
      </c>
      <c r="T7" s="346" t="e">
        <f>VLOOKUP($N7,flows!$A$2:$J$4985,T$2,FALSE)</f>
        <v>#N/A</v>
      </c>
      <c r="U7" s="346" t="e">
        <f>VLOOKUP($N7,flows!$A$2:$J$4985,U$2,FALSE)</f>
        <v>#N/A</v>
      </c>
      <c r="V7" s="346" t="e">
        <f>VLOOKUP($N7,flows!$A$2:$J$4985,V$2,FALSE)</f>
        <v>#N/A</v>
      </c>
      <c r="W7" s="346" t="e">
        <f>VLOOKUP($N7,flows!$A$2:$J$4985,W$2,FALSE)</f>
        <v>#N/A</v>
      </c>
      <c r="Y7" s="26" t="s">
        <v>662</v>
      </c>
      <c r="Z7" s="31" t="s">
        <v>1198</v>
      </c>
      <c r="AA7" s="346" t="e">
        <f>VLOOKUP($Y7,flows!$A$2:$J$4985,AA$2,FALSE)</f>
        <v>#N/A</v>
      </c>
      <c r="AB7" s="346" t="e">
        <f>VLOOKUP($Y7,flows!$A$2:$J$4985,AB$2,FALSE)</f>
        <v>#N/A</v>
      </c>
      <c r="AC7" s="346" t="e">
        <f>VLOOKUP($Y7,flows!$A$2:$J$4985,AC$2,FALSE)</f>
        <v>#N/A</v>
      </c>
      <c r="AD7" s="346" t="e">
        <f>VLOOKUP($Y7,flows!$A$2:$J$4985,AD$2,FALSE)</f>
        <v>#N/A</v>
      </c>
      <c r="AE7" s="346" t="e">
        <f>VLOOKUP($Y7,flows!$A$2:$J$4985,AE$2,FALSE)</f>
        <v>#N/A</v>
      </c>
      <c r="AF7" s="346" t="e">
        <f>VLOOKUP($Y7,flows!$A$2:$J$4985,AF$2,FALSE)</f>
        <v>#N/A</v>
      </c>
      <c r="AG7" s="346" t="e">
        <f>VLOOKUP($Y7,flows!$A$2:$J$4985,AG$2,FALSE)</f>
        <v>#N/A</v>
      </c>
      <c r="AH7" s="346" t="e">
        <f>VLOOKUP($Y7,flows!$A$2:$J$4985,AH$2,FALSE)</f>
        <v>#N/A</v>
      </c>
      <c r="AK7" s="26" t="s">
        <v>627</v>
      </c>
      <c r="AL7" s="31" t="s">
        <v>1198</v>
      </c>
      <c r="AM7" s="346" t="e">
        <f>VLOOKUP($AK7,flows!$A$2:$J$4985,AM$2,FALSE)</f>
        <v>#N/A</v>
      </c>
      <c r="AN7" s="346" t="e">
        <f>VLOOKUP($AK7,flows!$A$2:$J$4985,AN$2,FALSE)</f>
        <v>#N/A</v>
      </c>
      <c r="AO7" s="346" t="e">
        <f>VLOOKUP($AK7,flows!$A$2:$J$4985,AO$2,FALSE)</f>
        <v>#N/A</v>
      </c>
      <c r="AP7" s="346" t="e">
        <f>VLOOKUP($AK7,flows!$A$2:$J$4985,AP$2,FALSE)</f>
        <v>#N/A</v>
      </c>
      <c r="AQ7" s="346" t="e">
        <f>VLOOKUP($AK7,flows!$A$2:$J$4985,AQ$2,FALSE)</f>
        <v>#N/A</v>
      </c>
      <c r="AR7" s="346" t="e">
        <f>VLOOKUP($AK7,flows!$A$2:$J$4985,AR$2,FALSE)</f>
        <v>#N/A</v>
      </c>
      <c r="AS7" s="346" t="e">
        <f>VLOOKUP($AK7,flows!$A$2:$J$4985,AS$2,FALSE)</f>
        <v>#N/A</v>
      </c>
      <c r="AT7" s="346" t="e">
        <f>VLOOKUP($AK7,flows!$A$2:$J$4985,AT$2,FALSE)</f>
        <v>#N/A</v>
      </c>
      <c r="AW7" s="26"/>
      <c r="AX7" s="31" t="s">
        <v>1198</v>
      </c>
      <c r="AY7" s="16" t="e">
        <f t="shared" si="0"/>
        <v>#N/A</v>
      </c>
      <c r="AZ7" s="16" t="e">
        <f t="shared" si="0"/>
        <v>#N/A</v>
      </c>
      <c r="BA7" s="16" t="e">
        <f t="shared" si="0"/>
        <v>#N/A</v>
      </c>
      <c r="BB7" s="16" t="e">
        <f t="shared" si="0"/>
        <v>#N/A</v>
      </c>
      <c r="BC7" s="16" t="e">
        <f t="shared" si="0"/>
        <v>#N/A</v>
      </c>
      <c r="BD7" s="16" t="e">
        <f t="shared" si="0"/>
        <v>#N/A</v>
      </c>
      <c r="BE7" s="16" t="e">
        <f t="shared" si="0"/>
        <v>#N/A</v>
      </c>
      <c r="BF7" s="16" t="e">
        <f t="shared" si="0"/>
        <v>#N/A</v>
      </c>
    </row>
    <row r="8" spans="2:58" x14ac:dyDescent="0.35">
      <c r="B8" s="26" t="s">
        <v>669</v>
      </c>
      <c r="C8" s="31" t="s">
        <v>1199</v>
      </c>
      <c r="D8" s="346" t="e">
        <f>VLOOKUP($B8,flows!$A$2:$J$4985,D$2,FALSE)</f>
        <v>#N/A</v>
      </c>
      <c r="E8" s="346" t="e">
        <f>VLOOKUP($B8,flows!$A$2:$J$4985,E$2,FALSE)</f>
        <v>#N/A</v>
      </c>
      <c r="F8" s="346" t="e">
        <f>VLOOKUP($B8,flows!$A$2:$J$4985,F$2,FALSE)</f>
        <v>#N/A</v>
      </c>
      <c r="G8" s="346" t="e">
        <f>VLOOKUP($B8,flows!$A$2:$J$4985,G$2,FALSE)</f>
        <v>#N/A</v>
      </c>
      <c r="H8" s="346" t="e">
        <f>VLOOKUP($B8,flows!$A$2:$J$4985,H$2,FALSE)</f>
        <v>#N/A</v>
      </c>
      <c r="I8" s="346" t="e">
        <f>VLOOKUP($B8,flows!$A$2:$J$4985,I$2,FALSE)</f>
        <v>#N/A</v>
      </c>
      <c r="J8" s="346" t="e">
        <f>VLOOKUP($B8,flows!$A$2:$J$4985,J$2,FALSE)</f>
        <v>#N/A</v>
      </c>
      <c r="K8" s="346" t="e">
        <f>VLOOKUP($B8,flows!$A$2:$J$4985,K$2,FALSE)</f>
        <v>#N/A</v>
      </c>
      <c r="N8" s="26" t="s">
        <v>870</v>
      </c>
      <c r="O8" s="31" t="s">
        <v>1199</v>
      </c>
      <c r="P8" s="346" t="e">
        <f>VLOOKUP($N8,flows!$A$2:$J$4985,P$2,FALSE)</f>
        <v>#N/A</v>
      </c>
      <c r="Q8" s="346" t="e">
        <f>VLOOKUP($N8,flows!$A$2:$J$4985,Q$2,FALSE)</f>
        <v>#N/A</v>
      </c>
      <c r="R8" s="346" t="e">
        <f>VLOOKUP($N8,flows!$A$2:$J$4985,R$2,FALSE)</f>
        <v>#N/A</v>
      </c>
      <c r="S8" s="346" t="e">
        <f>VLOOKUP($N8,flows!$A$2:$J$4985,S$2,FALSE)</f>
        <v>#N/A</v>
      </c>
      <c r="T8" s="346" t="e">
        <f>VLOOKUP($N8,flows!$A$2:$J$4985,T$2,FALSE)</f>
        <v>#N/A</v>
      </c>
      <c r="U8" s="346" t="e">
        <f>VLOOKUP($N8,flows!$A$2:$J$4985,U$2,FALSE)</f>
        <v>#N/A</v>
      </c>
      <c r="V8" s="346" t="e">
        <f>VLOOKUP($N8,flows!$A$2:$J$4985,V$2,FALSE)</f>
        <v>#N/A</v>
      </c>
      <c r="W8" s="346" t="e">
        <f>VLOOKUP($N8,flows!$A$2:$J$4985,W$2,FALSE)</f>
        <v>#N/A</v>
      </c>
      <c r="Y8" s="26" t="s">
        <v>660</v>
      </c>
      <c r="Z8" s="31" t="s">
        <v>1199</v>
      </c>
      <c r="AA8" s="346" t="e">
        <f>VLOOKUP($Y8,flows!$A$2:$J$4985,AA$2,FALSE)</f>
        <v>#N/A</v>
      </c>
      <c r="AB8" s="346" t="e">
        <f>VLOOKUP($Y8,flows!$A$2:$J$4985,AB$2,FALSE)</f>
        <v>#N/A</v>
      </c>
      <c r="AC8" s="346" t="e">
        <f>VLOOKUP($Y8,flows!$A$2:$J$4985,AC$2,FALSE)</f>
        <v>#N/A</v>
      </c>
      <c r="AD8" s="346" t="e">
        <f>VLOOKUP($Y8,flows!$A$2:$J$4985,AD$2,FALSE)</f>
        <v>#N/A</v>
      </c>
      <c r="AE8" s="346" t="e">
        <f>VLOOKUP($Y8,flows!$A$2:$J$4985,AE$2,FALSE)</f>
        <v>#N/A</v>
      </c>
      <c r="AF8" s="346" t="e">
        <f>VLOOKUP($Y8,flows!$A$2:$J$4985,AF$2,FALSE)</f>
        <v>#N/A</v>
      </c>
      <c r="AG8" s="346" t="e">
        <f>VLOOKUP($Y8,flows!$A$2:$J$4985,AG$2,FALSE)</f>
        <v>#N/A</v>
      </c>
      <c r="AH8" s="346" t="e">
        <f>VLOOKUP($Y8,flows!$A$2:$J$4985,AH$2,FALSE)</f>
        <v>#N/A</v>
      </c>
      <c r="AK8" s="26" t="s">
        <v>625</v>
      </c>
      <c r="AL8" s="31" t="s">
        <v>1199</v>
      </c>
      <c r="AM8" s="346" t="e">
        <f>VLOOKUP($AK8,flows!$A$2:$J$4985,AM$2,FALSE)</f>
        <v>#N/A</v>
      </c>
      <c r="AN8" s="346" t="e">
        <f>VLOOKUP($AK8,flows!$A$2:$J$4985,AN$2,FALSE)</f>
        <v>#N/A</v>
      </c>
      <c r="AO8" s="346" t="e">
        <f>VLOOKUP($AK8,flows!$A$2:$J$4985,AO$2,FALSE)</f>
        <v>#N/A</v>
      </c>
      <c r="AP8" s="346" t="e">
        <f>VLOOKUP($AK8,flows!$A$2:$J$4985,AP$2,FALSE)</f>
        <v>#N/A</v>
      </c>
      <c r="AQ8" s="346" t="e">
        <f>VLOOKUP($AK8,flows!$A$2:$J$4985,AQ$2,FALSE)</f>
        <v>#N/A</v>
      </c>
      <c r="AR8" s="346" t="e">
        <f>VLOOKUP($AK8,flows!$A$2:$J$4985,AR$2,FALSE)</f>
        <v>#N/A</v>
      </c>
      <c r="AS8" s="346" t="e">
        <f>VLOOKUP($AK8,flows!$A$2:$J$4985,AS$2,FALSE)</f>
        <v>#N/A</v>
      </c>
      <c r="AT8" s="346" t="e">
        <f>VLOOKUP($AK8,flows!$A$2:$J$4985,AT$2,FALSE)</f>
        <v>#N/A</v>
      </c>
      <c r="AW8" s="26"/>
      <c r="AX8" s="31" t="s">
        <v>1199</v>
      </c>
      <c r="AY8" s="16" t="e">
        <f t="shared" si="0"/>
        <v>#N/A</v>
      </c>
      <c r="AZ8" s="16" t="e">
        <f t="shared" si="0"/>
        <v>#N/A</v>
      </c>
      <c r="BA8" s="16" t="e">
        <f t="shared" si="0"/>
        <v>#N/A</v>
      </c>
      <c r="BB8" s="16" t="e">
        <f t="shared" si="0"/>
        <v>#N/A</v>
      </c>
      <c r="BC8" s="16" t="e">
        <f t="shared" si="0"/>
        <v>#N/A</v>
      </c>
      <c r="BD8" s="16" t="e">
        <f t="shared" si="0"/>
        <v>#N/A</v>
      </c>
      <c r="BE8" s="16" t="e">
        <f t="shared" si="0"/>
        <v>#N/A</v>
      </c>
      <c r="BF8" s="16" t="e">
        <f t="shared" si="0"/>
        <v>#N/A</v>
      </c>
    </row>
    <row r="9" spans="2:58" x14ac:dyDescent="0.35">
      <c r="B9" s="26" t="s">
        <v>673</v>
      </c>
      <c r="C9" s="31" t="s">
        <v>1200</v>
      </c>
      <c r="D9" s="346" t="e">
        <f>VLOOKUP($B9,flows!$A$2:$J$4985,D$2,FALSE)</f>
        <v>#N/A</v>
      </c>
      <c r="E9" s="346" t="e">
        <f>VLOOKUP($B9,flows!$A$2:$J$4985,E$2,FALSE)</f>
        <v>#N/A</v>
      </c>
      <c r="F9" s="346" t="e">
        <f>VLOOKUP($B9,flows!$A$2:$J$4985,F$2,FALSE)</f>
        <v>#N/A</v>
      </c>
      <c r="G9" s="346" t="e">
        <f>VLOOKUP($B9,flows!$A$2:$J$4985,G$2,FALSE)</f>
        <v>#N/A</v>
      </c>
      <c r="H9" s="346" t="e">
        <f>VLOOKUP($B9,flows!$A$2:$J$4985,H$2,FALSE)</f>
        <v>#N/A</v>
      </c>
      <c r="I9" s="346" t="e">
        <f>VLOOKUP($B9,flows!$A$2:$J$4985,I$2,FALSE)</f>
        <v>#N/A</v>
      </c>
      <c r="J9" s="346" t="e">
        <f>VLOOKUP($B9,flows!$A$2:$J$4985,J$2,FALSE)</f>
        <v>#N/A</v>
      </c>
      <c r="K9" s="346" t="e">
        <f>VLOOKUP($B9,flows!$A$2:$J$4985,K$2,FALSE)</f>
        <v>#N/A</v>
      </c>
      <c r="N9" s="26" t="s">
        <v>874</v>
      </c>
      <c r="O9" s="31" t="s">
        <v>1200</v>
      </c>
      <c r="P9" s="346" t="e">
        <f>VLOOKUP($N9,flows!$A$2:$J$4985,P$2,FALSE)</f>
        <v>#N/A</v>
      </c>
      <c r="Q9" s="346" t="e">
        <f>VLOOKUP($N9,flows!$A$2:$J$4985,Q$2,FALSE)</f>
        <v>#N/A</v>
      </c>
      <c r="R9" s="346" t="e">
        <f>VLOOKUP($N9,flows!$A$2:$J$4985,R$2,FALSE)</f>
        <v>#N/A</v>
      </c>
      <c r="S9" s="346" t="e">
        <f>VLOOKUP($N9,flows!$A$2:$J$4985,S$2,FALSE)</f>
        <v>#N/A</v>
      </c>
      <c r="T9" s="346" t="e">
        <f>VLOOKUP($N9,flows!$A$2:$J$4985,T$2,FALSE)</f>
        <v>#N/A</v>
      </c>
      <c r="U9" s="346" t="e">
        <f>VLOOKUP($N9,flows!$A$2:$J$4985,U$2,FALSE)</f>
        <v>#N/A</v>
      </c>
      <c r="V9" s="346" t="e">
        <f>VLOOKUP($N9,flows!$A$2:$J$4985,V$2,FALSE)</f>
        <v>#N/A</v>
      </c>
      <c r="W9" s="346" t="e">
        <f>VLOOKUP($N9,flows!$A$2:$J$4985,W$2,FALSE)</f>
        <v>#N/A</v>
      </c>
      <c r="Y9" s="26" t="s">
        <v>663</v>
      </c>
      <c r="Z9" s="31" t="s">
        <v>1200</v>
      </c>
      <c r="AA9" s="346" t="e">
        <f>VLOOKUP($Y9,flows!$A$2:$J$4985,AA$2,FALSE)</f>
        <v>#N/A</v>
      </c>
      <c r="AB9" s="346" t="e">
        <f>VLOOKUP($Y9,flows!$A$2:$J$4985,AB$2,FALSE)</f>
        <v>#N/A</v>
      </c>
      <c r="AC9" s="346" t="e">
        <f>VLOOKUP($Y9,flows!$A$2:$J$4985,AC$2,FALSE)</f>
        <v>#N/A</v>
      </c>
      <c r="AD9" s="346" t="e">
        <f>VLOOKUP($Y9,flows!$A$2:$J$4985,AD$2,FALSE)</f>
        <v>#N/A</v>
      </c>
      <c r="AE9" s="346" t="e">
        <f>VLOOKUP($Y9,flows!$A$2:$J$4985,AE$2,FALSE)</f>
        <v>#N/A</v>
      </c>
      <c r="AF9" s="346" t="e">
        <f>VLOOKUP($Y9,flows!$A$2:$J$4985,AF$2,FALSE)</f>
        <v>#N/A</v>
      </c>
      <c r="AG9" s="346" t="e">
        <f>VLOOKUP($Y9,flows!$A$2:$J$4985,AG$2,FALSE)</f>
        <v>#N/A</v>
      </c>
      <c r="AH9" s="346" t="e">
        <f>VLOOKUP($Y9,flows!$A$2:$J$4985,AH$2,FALSE)</f>
        <v>#N/A</v>
      </c>
      <c r="AK9" s="26" t="s">
        <v>628</v>
      </c>
      <c r="AL9" s="31" t="s">
        <v>1200</v>
      </c>
      <c r="AM9" s="346" t="e">
        <f>VLOOKUP($AK9,flows!$A$2:$J$4985,AM$2,FALSE)</f>
        <v>#N/A</v>
      </c>
      <c r="AN9" s="346" t="e">
        <f>VLOOKUP($AK9,flows!$A$2:$J$4985,AN$2,FALSE)</f>
        <v>#N/A</v>
      </c>
      <c r="AO9" s="346" t="e">
        <f>VLOOKUP($AK9,flows!$A$2:$J$4985,AO$2,FALSE)</f>
        <v>#N/A</v>
      </c>
      <c r="AP9" s="346" t="e">
        <f>VLOOKUP($AK9,flows!$A$2:$J$4985,AP$2,FALSE)</f>
        <v>#N/A</v>
      </c>
      <c r="AQ9" s="346" t="e">
        <f>VLOOKUP($AK9,flows!$A$2:$J$4985,AQ$2,FALSE)</f>
        <v>#N/A</v>
      </c>
      <c r="AR9" s="346" t="e">
        <f>VLOOKUP($AK9,flows!$A$2:$J$4985,AR$2,FALSE)</f>
        <v>#N/A</v>
      </c>
      <c r="AS9" s="346" t="e">
        <f>VLOOKUP($AK9,flows!$A$2:$J$4985,AS$2,FALSE)</f>
        <v>#N/A</v>
      </c>
      <c r="AT9" s="346" t="e">
        <f>VLOOKUP($AK9,flows!$A$2:$J$4985,AT$2,FALSE)</f>
        <v>#N/A</v>
      </c>
      <c r="AW9" s="26"/>
      <c r="AX9" s="31" t="s">
        <v>1200</v>
      </c>
      <c r="AY9" s="16" t="e">
        <f t="shared" si="0"/>
        <v>#N/A</v>
      </c>
      <c r="AZ9" s="16" t="e">
        <f t="shared" si="0"/>
        <v>#N/A</v>
      </c>
      <c r="BA9" s="16" t="e">
        <f t="shared" si="0"/>
        <v>#N/A</v>
      </c>
      <c r="BB9" s="16" t="e">
        <f t="shared" si="0"/>
        <v>#N/A</v>
      </c>
      <c r="BC9" s="16" t="e">
        <f t="shared" si="0"/>
        <v>#N/A</v>
      </c>
      <c r="BD9" s="16" t="e">
        <f t="shared" si="0"/>
        <v>#N/A</v>
      </c>
      <c r="BE9" s="16" t="e">
        <f t="shared" si="0"/>
        <v>#N/A</v>
      </c>
      <c r="BF9" s="16" t="e">
        <f t="shared" si="0"/>
        <v>#N/A</v>
      </c>
    </row>
    <row r="10" spans="2:58" x14ac:dyDescent="0.35">
      <c r="B10" s="27" t="s">
        <v>674</v>
      </c>
      <c r="C10" s="32" t="s">
        <v>1200</v>
      </c>
      <c r="D10" s="346" t="e">
        <f>VLOOKUP($B10,flows!$A$2:$J$4985,D$2,FALSE)</f>
        <v>#N/A</v>
      </c>
      <c r="E10" s="346" t="e">
        <f>VLOOKUP($B10,flows!$A$2:$J$4985,E$2,FALSE)</f>
        <v>#N/A</v>
      </c>
      <c r="F10" s="346" t="e">
        <f>VLOOKUP($B10,flows!$A$2:$J$4985,F$2,FALSE)</f>
        <v>#N/A</v>
      </c>
      <c r="G10" s="346" t="e">
        <f>VLOOKUP($B10,flows!$A$2:$J$4985,G$2,FALSE)</f>
        <v>#N/A</v>
      </c>
      <c r="H10" s="346" t="e">
        <f>VLOOKUP($B10,flows!$A$2:$J$4985,H$2,FALSE)</f>
        <v>#N/A</v>
      </c>
      <c r="I10" s="346" t="e">
        <f>VLOOKUP($B10,flows!$A$2:$J$4985,I$2,FALSE)</f>
        <v>#N/A</v>
      </c>
      <c r="J10" s="346" t="e">
        <f>VLOOKUP($B10,flows!$A$2:$J$4985,J$2,FALSE)</f>
        <v>#N/A</v>
      </c>
      <c r="K10" s="346" t="e">
        <f>VLOOKUP($B10,flows!$A$2:$J$4985,K$2,FALSE)</f>
        <v>#N/A</v>
      </c>
      <c r="N10" s="27" t="s">
        <v>875</v>
      </c>
      <c r="O10" s="32" t="s">
        <v>1200</v>
      </c>
      <c r="P10" s="346" t="e">
        <f>VLOOKUP($N10,flows!$A$2:$J$4985,P$2,FALSE)</f>
        <v>#N/A</v>
      </c>
      <c r="Q10" s="346" t="e">
        <f>VLOOKUP($N10,flows!$A$2:$J$4985,Q$2,FALSE)</f>
        <v>#N/A</v>
      </c>
      <c r="R10" s="346" t="e">
        <f>VLOOKUP($N10,flows!$A$2:$J$4985,R$2,FALSE)</f>
        <v>#N/A</v>
      </c>
      <c r="S10" s="346" t="e">
        <f>VLOOKUP($N10,flows!$A$2:$J$4985,S$2,FALSE)</f>
        <v>#N/A</v>
      </c>
      <c r="T10" s="346" t="e">
        <f>VLOOKUP($N10,flows!$A$2:$J$4985,T$2,FALSE)</f>
        <v>#N/A</v>
      </c>
      <c r="U10" s="346" t="e">
        <f>VLOOKUP($N10,flows!$A$2:$J$4985,U$2,FALSE)</f>
        <v>#N/A</v>
      </c>
      <c r="V10" s="346" t="e">
        <f>VLOOKUP($N10,flows!$A$2:$J$4985,V$2,FALSE)</f>
        <v>#N/A</v>
      </c>
      <c r="W10" s="346" t="e">
        <f>VLOOKUP($N10,flows!$A$2:$J$4985,W$2,FALSE)</f>
        <v>#N/A</v>
      </c>
      <c r="Y10" s="27" t="s">
        <v>664</v>
      </c>
      <c r="Z10" s="32" t="s">
        <v>1200</v>
      </c>
      <c r="AA10" s="346" t="e">
        <f>VLOOKUP($Y10,flows!$A$2:$J$4985,AA$2,FALSE)</f>
        <v>#N/A</v>
      </c>
      <c r="AB10" s="346" t="e">
        <f>VLOOKUP($Y10,flows!$A$2:$J$4985,AB$2,FALSE)</f>
        <v>#N/A</v>
      </c>
      <c r="AC10" s="346" t="e">
        <f>VLOOKUP($Y10,flows!$A$2:$J$4985,AC$2,FALSE)</f>
        <v>#N/A</v>
      </c>
      <c r="AD10" s="346" t="e">
        <f>VLOOKUP($Y10,flows!$A$2:$J$4985,AD$2,FALSE)</f>
        <v>#N/A</v>
      </c>
      <c r="AE10" s="346" t="e">
        <f>VLOOKUP($Y10,flows!$A$2:$J$4985,AE$2,FALSE)</f>
        <v>#N/A</v>
      </c>
      <c r="AF10" s="346" t="e">
        <f>VLOOKUP($Y10,flows!$A$2:$J$4985,AF$2,FALSE)</f>
        <v>#N/A</v>
      </c>
      <c r="AG10" s="346" t="e">
        <f>VLOOKUP($Y10,flows!$A$2:$J$4985,AG$2,FALSE)</f>
        <v>#N/A</v>
      </c>
      <c r="AH10" s="346" t="e">
        <f>VLOOKUP($Y10,flows!$A$2:$J$4985,AH$2,FALSE)</f>
        <v>#N/A</v>
      </c>
      <c r="AK10" s="27" t="s">
        <v>629</v>
      </c>
      <c r="AL10" s="32" t="s">
        <v>1200</v>
      </c>
      <c r="AM10" s="346" t="e">
        <f>VLOOKUP($AK10,flows!$A$2:$J$4985,AM$2,FALSE)</f>
        <v>#N/A</v>
      </c>
      <c r="AN10" s="346" t="e">
        <f>VLOOKUP($AK10,flows!$A$2:$J$4985,AN$2,FALSE)</f>
        <v>#N/A</v>
      </c>
      <c r="AO10" s="346" t="e">
        <f>VLOOKUP($AK10,flows!$A$2:$J$4985,AO$2,FALSE)</f>
        <v>#N/A</v>
      </c>
      <c r="AP10" s="346" t="e">
        <f>VLOOKUP($AK10,flows!$A$2:$J$4985,AP$2,FALSE)</f>
        <v>#N/A</v>
      </c>
      <c r="AQ10" s="346" t="e">
        <f>VLOOKUP($AK10,flows!$A$2:$J$4985,AQ$2,FALSE)</f>
        <v>#N/A</v>
      </c>
      <c r="AR10" s="346" t="e">
        <f>VLOOKUP($AK10,flows!$A$2:$J$4985,AR$2,FALSE)</f>
        <v>#N/A</v>
      </c>
      <c r="AS10" s="346" t="e">
        <f>VLOOKUP($AK10,flows!$A$2:$J$4985,AS$2,FALSE)</f>
        <v>#N/A</v>
      </c>
      <c r="AT10" s="346" t="e">
        <f>VLOOKUP($AK10,flows!$A$2:$J$4985,AT$2,FALSE)</f>
        <v>#N/A</v>
      </c>
      <c r="AW10" s="27"/>
      <c r="AX10" s="32" t="s">
        <v>1200</v>
      </c>
      <c r="AY10" s="16" t="e">
        <f t="shared" si="0"/>
        <v>#N/A</v>
      </c>
      <c r="AZ10" s="16" t="e">
        <f t="shared" si="0"/>
        <v>#N/A</v>
      </c>
      <c r="BA10" s="16" t="e">
        <f t="shared" si="0"/>
        <v>#N/A</v>
      </c>
      <c r="BB10" s="16" t="e">
        <f t="shared" si="0"/>
        <v>#N/A</v>
      </c>
      <c r="BC10" s="16" t="e">
        <f t="shared" si="0"/>
        <v>#N/A</v>
      </c>
      <c r="BD10" s="16" t="e">
        <f t="shared" si="0"/>
        <v>#N/A</v>
      </c>
      <c r="BE10" s="16" t="e">
        <f t="shared" si="0"/>
        <v>#N/A</v>
      </c>
      <c r="BF10" s="16" t="e">
        <f t="shared" si="0"/>
        <v>#N/A</v>
      </c>
    </row>
    <row r="11" spans="2:58" x14ac:dyDescent="0.35">
      <c r="B11" s="26"/>
      <c r="C11" s="31"/>
      <c r="D11" s="13"/>
      <c r="E11" s="13"/>
      <c r="F11" s="13"/>
      <c r="G11" s="13"/>
      <c r="H11" s="13"/>
      <c r="I11" s="13"/>
      <c r="J11" s="13"/>
      <c r="K11" s="13"/>
      <c r="N11" s="5"/>
      <c r="O11" s="6"/>
      <c r="P11" s="13"/>
      <c r="Q11" s="13"/>
      <c r="R11" s="13"/>
      <c r="S11" s="13"/>
      <c r="T11" s="13"/>
      <c r="U11" s="13"/>
      <c r="V11" s="13"/>
      <c r="W11" s="13"/>
      <c r="Y11" s="5"/>
      <c r="Z11" s="6"/>
      <c r="AA11" s="13"/>
      <c r="AB11" s="13"/>
      <c r="AC11" s="13"/>
      <c r="AD11" s="13"/>
      <c r="AE11" s="13"/>
      <c r="AF11" s="13"/>
      <c r="AG11" s="13"/>
      <c r="AH11" s="13"/>
      <c r="AK11" s="5"/>
      <c r="AL11" s="6"/>
      <c r="AM11" s="13"/>
      <c r="AN11" s="13"/>
      <c r="AO11" s="13"/>
      <c r="AP11" s="13"/>
      <c r="AQ11" s="13"/>
      <c r="AR11" s="13"/>
      <c r="AS11" s="13"/>
      <c r="AT11" s="13"/>
      <c r="AW11" s="5"/>
      <c r="AX11" s="6"/>
      <c r="AY11" s="13"/>
      <c r="AZ11" s="13"/>
      <c r="BA11" s="13"/>
      <c r="BB11" s="13"/>
      <c r="BC11" s="13"/>
      <c r="BD11" s="13"/>
      <c r="BE11" s="13"/>
      <c r="BF11" s="13"/>
    </row>
    <row r="12" spans="2:58" x14ac:dyDescent="0.35">
      <c r="B12" s="26"/>
      <c r="C12" s="31"/>
      <c r="D12" s="13"/>
      <c r="E12" s="13"/>
      <c r="F12" s="13"/>
      <c r="G12" s="13"/>
      <c r="H12" s="13"/>
      <c r="I12" s="13"/>
      <c r="J12" s="13"/>
      <c r="K12" s="13"/>
      <c r="N12" s="26"/>
      <c r="O12" s="31"/>
      <c r="P12" s="13"/>
      <c r="Q12" s="13"/>
      <c r="R12" s="13"/>
      <c r="S12" s="13"/>
      <c r="T12" s="13"/>
      <c r="U12" s="13"/>
      <c r="V12" s="13"/>
      <c r="W12" s="13"/>
      <c r="Y12" s="26"/>
      <c r="Z12" s="31"/>
      <c r="AA12" s="13"/>
      <c r="AB12" s="13"/>
      <c r="AC12" s="13"/>
      <c r="AD12" s="13"/>
      <c r="AE12" s="13"/>
      <c r="AF12" s="13"/>
      <c r="AG12" s="13"/>
      <c r="AH12" s="13"/>
      <c r="AK12" s="26"/>
      <c r="AL12" s="31"/>
      <c r="AM12" s="13"/>
      <c r="AN12" s="13"/>
      <c r="AO12" s="13"/>
      <c r="AP12" s="13"/>
      <c r="AQ12" s="13"/>
      <c r="AR12" s="13"/>
      <c r="AS12" s="13"/>
      <c r="AT12" s="13"/>
      <c r="AW12" s="26"/>
      <c r="AX12" s="31"/>
      <c r="AY12" s="13"/>
      <c r="AZ12" s="13"/>
      <c r="BA12" s="13"/>
      <c r="BB12" s="13"/>
      <c r="BC12" s="13"/>
      <c r="BD12" s="13"/>
      <c r="BE12" s="13"/>
      <c r="BF12" s="13"/>
    </row>
    <row r="13" spans="2:58" x14ac:dyDescent="0.35">
      <c r="B13" s="26"/>
      <c r="C13" s="31" t="s">
        <v>1197</v>
      </c>
      <c r="D13" s="13" t="e">
        <f>D4+D5</f>
        <v>#N/A</v>
      </c>
      <c r="E13" s="13" t="e">
        <f t="shared" ref="E13:K13" si="1">E4+E5</f>
        <v>#N/A</v>
      </c>
      <c r="F13" s="13" t="e">
        <f t="shared" si="1"/>
        <v>#N/A</v>
      </c>
      <c r="G13" s="13" t="e">
        <f t="shared" si="1"/>
        <v>#N/A</v>
      </c>
      <c r="H13" s="13" t="e">
        <f t="shared" si="1"/>
        <v>#N/A</v>
      </c>
      <c r="I13" s="13" t="e">
        <f t="shared" si="1"/>
        <v>#N/A</v>
      </c>
      <c r="J13" s="13" t="e">
        <f t="shared" si="1"/>
        <v>#N/A</v>
      </c>
      <c r="K13" s="13" t="e">
        <f t="shared" si="1"/>
        <v>#N/A</v>
      </c>
      <c r="N13" s="26"/>
      <c r="O13" s="31" t="s">
        <v>1197</v>
      </c>
      <c r="P13" s="13" t="e">
        <f>P4+P5</f>
        <v>#N/A</v>
      </c>
      <c r="Q13" s="13" t="e">
        <f t="shared" ref="Q13:W13" si="2">Q4+Q5</f>
        <v>#N/A</v>
      </c>
      <c r="R13" s="13" t="e">
        <f t="shared" si="2"/>
        <v>#N/A</v>
      </c>
      <c r="S13" s="13" t="e">
        <f t="shared" si="2"/>
        <v>#N/A</v>
      </c>
      <c r="T13" s="13" t="e">
        <f t="shared" si="2"/>
        <v>#N/A</v>
      </c>
      <c r="U13" s="13" t="e">
        <f t="shared" si="2"/>
        <v>#N/A</v>
      </c>
      <c r="V13" s="13" t="e">
        <f t="shared" si="2"/>
        <v>#N/A</v>
      </c>
      <c r="W13" s="13" t="e">
        <f t="shared" si="2"/>
        <v>#N/A</v>
      </c>
      <c r="Y13" s="26"/>
      <c r="Z13" s="31" t="s">
        <v>1197</v>
      </c>
      <c r="AA13" s="13" t="e">
        <f>AA4+AA5</f>
        <v>#N/A</v>
      </c>
      <c r="AB13" s="13" t="e">
        <f t="shared" ref="AB13:AH13" si="3">AB4+AB5</f>
        <v>#N/A</v>
      </c>
      <c r="AC13" s="13" t="e">
        <f t="shared" si="3"/>
        <v>#N/A</v>
      </c>
      <c r="AD13" s="13" t="e">
        <f t="shared" si="3"/>
        <v>#N/A</v>
      </c>
      <c r="AE13" s="13" t="e">
        <f t="shared" si="3"/>
        <v>#N/A</v>
      </c>
      <c r="AF13" s="13" t="e">
        <f t="shared" si="3"/>
        <v>#N/A</v>
      </c>
      <c r="AG13" s="13" t="e">
        <f t="shared" si="3"/>
        <v>#N/A</v>
      </c>
      <c r="AH13" s="13" t="e">
        <f t="shared" si="3"/>
        <v>#N/A</v>
      </c>
      <c r="AK13" s="26"/>
      <c r="AL13" s="31" t="s">
        <v>1197</v>
      </c>
      <c r="AM13" s="13" t="e">
        <f>AM4+AM5</f>
        <v>#N/A</v>
      </c>
      <c r="AN13" s="13" t="e">
        <f t="shared" ref="AN13:AT13" si="4">AN4+AN5</f>
        <v>#N/A</v>
      </c>
      <c r="AO13" s="13" t="e">
        <f t="shared" si="4"/>
        <v>#N/A</v>
      </c>
      <c r="AP13" s="13" t="e">
        <f t="shared" si="4"/>
        <v>#N/A</v>
      </c>
      <c r="AQ13" s="13" t="e">
        <f t="shared" si="4"/>
        <v>#N/A</v>
      </c>
      <c r="AR13" s="13" t="e">
        <f t="shared" si="4"/>
        <v>#N/A</v>
      </c>
      <c r="AS13" s="13" t="e">
        <f t="shared" si="4"/>
        <v>#N/A</v>
      </c>
      <c r="AT13" s="13" t="e">
        <f t="shared" si="4"/>
        <v>#N/A</v>
      </c>
      <c r="AW13" s="26"/>
      <c r="AX13" s="31" t="s">
        <v>1197</v>
      </c>
      <c r="AY13" s="13" t="e">
        <f>AY4+AY5</f>
        <v>#N/A</v>
      </c>
      <c r="AZ13" s="13" t="e">
        <f t="shared" ref="AZ13:BF13" si="5">AZ4+AZ5</f>
        <v>#N/A</v>
      </c>
      <c r="BA13" s="13" t="e">
        <f t="shared" si="5"/>
        <v>#N/A</v>
      </c>
      <c r="BB13" s="13" t="e">
        <f t="shared" si="5"/>
        <v>#N/A</v>
      </c>
      <c r="BC13" s="13" t="e">
        <f t="shared" si="5"/>
        <v>#N/A</v>
      </c>
      <c r="BD13" s="13" t="e">
        <f t="shared" si="5"/>
        <v>#N/A</v>
      </c>
      <c r="BE13" s="13" t="e">
        <f t="shared" si="5"/>
        <v>#N/A</v>
      </c>
      <c r="BF13" s="13" t="e">
        <f t="shared" si="5"/>
        <v>#N/A</v>
      </c>
    </row>
    <row r="14" spans="2:58" x14ac:dyDescent="0.35">
      <c r="B14" s="26"/>
      <c r="C14" s="31" t="s">
        <v>1198</v>
      </c>
      <c r="D14" s="13" t="e">
        <f>D6+D7</f>
        <v>#N/A</v>
      </c>
      <c r="E14" s="13" t="e">
        <f t="shared" ref="E14:K14" si="6">E6+E7</f>
        <v>#N/A</v>
      </c>
      <c r="F14" s="13" t="e">
        <f t="shared" si="6"/>
        <v>#N/A</v>
      </c>
      <c r="G14" s="13" t="e">
        <f t="shared" si="6"/>
        <v>#N/A</v>
      </c>
      <c r="H14" s="13" t="e">
        <f t="shared" si="6"/>
        <v>#N/A</v>
      </c>
      <c r="I14" s="13" t="e">
        <f t="shared" si="6"/>
        <v>#N/A</v>
      </c>
      <c r="J14" s="13" t="e">
        <f t="shared" si="6"/>
        <v>#N/A</v>
      </c>
      <c r="K14" s="13" t="e">
        <f t="shared" si="6"/>
        <v>#N/A</v>
      </c>
      <c r="N14" s="26"/>
      <c r="O14" s="31" t="s">
        <v>1198</v>
      </c>
      <c r="P14" s="13" t="e">
        <f>P6+P7</f>
        <v>#N/A</v>
      </c>
      <c r="Q14" s="13" t="e">
        <f t="shared" ref="Q14:W14" si="7">Q6+Q7</f>
        <v>#N/A</v>
      </c>
      <c r="R14" s="13" t="e">
        <f t="shared" si="7"/>
        <v>#N/A</v>
      </c>
      <c r="S14" s="13" t="e">
        <f t="shared" si="7"/>
        <v>#N/A</v>
      </c>
      <c r="T14" s="13" t="e">
        <f t="shared" si="7"/>
        <v>#N/A</v>
      </c>
      <c r="U14" s="13" t="e">
        <f t="shared" si="7"/>
        <v>#N/A</v>
      </c>
      <c r="V14" s="13" t="e">
        <f t="shared" si="7"/>
        <v>#N/A</v>
      </c>
      <c r="W14" s="13" t="e">
        <f t="shared" si="7"/>
        <v>#N/A</v>
      </c>
      <c r="Y14" s="26"/>
      <c r="Z14" s="31" t="s">
        <v>1198</v>
      </c>
      <c r="AA14" s="13" t="e">
        <f>AA6+AA7</f>
        <v>#N/A</v>
      </c>
      <c r="AB14" s="13" t="e">
        <f t="shared" ref="AB14:AH14" si="8">AB6+AB7</f>
        <v>#N/A</v>
      </c>
      <c r="AC14" s="13" t="e">
        <f t="shared" si="8"/>
        <v>#N/A</v>
      </c>
      <c r="AD14" s="13" t="e">
        <f t="shared" si="8"/>
        <v>#N/A</v>
      </c>
      <c r="AE14" s="13" t="e">
        <f t="shared" si="8"/>
        <v>#N/A</v>
      </c>
      <c r="AF14" s="13" t="e">
        <f t="shared" si="8"/>
        <v>#N/A</v>
      </c>
      <c r="AG14" s="13" t="e">
        <f t="shared" si="8"/>
        <v>#N/A</v>
      </c>
      <c r="AH14" s="13" t="e">
        <f t="shared" si="8"/>
        <v>#N/A</v>
      </c>
      <c r="AK14" s="26"/>
      <c r="AL14" s="31" t="s">
        <v>1198</v>
      </c>
      <c r="AM14" s="13" t="e">
        <f>AM6+AM7</f>
        <v>#N/A</v>
      </c>
      <c r="AN14" s="13" t="e">
        <f t="shared" ref="AN14:AT14" si="9">AN6+AN7</f>
        <v>#N/A</v>
      </c>
      <c r="AO14" s="13" t="e">
        <f t="shared" si="9"/>
        <v>#N/A</v>
      </c>
      <c r="AP14" s="13" t="e">
        <f t="shared" si="9"/>
        <v>#N/A</v>
      </c>
      <c r="AQ14" s="13" t="e">
        <f t="shared" si="9"/>
        <v>#N/A</v>
      </c>
      <c r="AR14" s="13" t="e">
        <f t="shared" si="9"/>
        <v>#N/A</v>
      </c>
      <c r="AS14" s="13" t="e">
        <f t="shared" si="9"/>
        <v>#N/A</v>
      </c>
      <c r="AT14" s="13" t="e">
        <f t="shared" si="9"/>
        <v>#N/A</v>
      </c>
      <c r="AW14" s="26"/>
      <c r="AX14" s="31" t="s">
        <v>1198</v>
      </c>
      <c r="AY14" s="13" t="e">
        <f>AY6+AY7</f>
        <v>#N/A</v>
      </c>
      <c r="AZ14" s="13" t="e">
        <f t="shared" ref="AZ14:BF14" si="10">AZ6+AZ7</f>
        <v>#N/A</v>
      </c>
      <c r="BA14" s="13" t="e">
        <f t="shared" si="10"/>
        <v>#N/A</v>
      </c>
      <c r="BB14" s="13" t="e">
        <f t="shared" si="10"/>
        <v>#N/A</v>
      </c>
      <c r="BC14" s="13" t="e">
        <f t="shared" si="10"/>
        <v>#N/A</v>
      </c>
      <c r="BD14" s="13" t="e">
        <f t="shared" si="10"/>
        <v>#N/A</v>
      </c>
      <c r="BE14" s="13" t="e">
        <f t="shared" si="10"/>
        <v>#N/A</v>
      </c>
      <c r="BF14" s="13" t="e">
        <f t="shared" si="10"/>
        <v>#N/A</v>
      </c>
    </row>
    <row r="15" spans="2:58" x14ac:dyDescent="0.35">
      <c r="B15" s="26"/>
      <c r="C15" s="31" t="s">
        <v>1199</v>
      </c>
      <c r="D15" s="13" t="e">
        <f>D8</f>
        <v>#N/A</v>
      </c>
      <c r="E15" s="13" t="e">
        <f t="shared" ref="E15:K15" si="11">E8</f>
        <v>#N/A</v>
      </c>
      <c r="F15" s="13" t="e">
        <f t="shared" si="11"/>
        <v>#N/A</v>
      </c>
      <c r="G15" s="13" t="e">
        <f t="shared" si="11"/>
        <v>#N/A</v>
      </c>
      <c r="H15" s="13" t="e">
        <f t="shared" si="11"/>
        <v>#N/A</v>
      </c>
      <c r="I15" s="13" t="e">
        <f t="shared" si="11"/>
        <v>#N/A</v>
      </c>
      <c r="J15" s="13" t="e">
        <f t="shared" si="11"/>
        <v>#N/A</v>
      </c>
      <c r="K15" s="13" t="e">
        <f t="shared" si="11"/>
        <v>#N/A</v>
      </c>
      <c r="N15" s="26"/>
      <c r="O15" s="31" t="s">
        <v>1199</v>
      </c>
      <c r="P15" s="13" t="e">
        <f>P8</f>
        <v>#N/A</v>
      </c>
      <c r="Q15" s="13" t="e">
        <f t="shared" ref="Q15:W15" si="12">Q8</f>
        <v>#N/A</v>
      </c>
      <c r="R15" s="13" t="e">
        <f t="shared" si="12"/>
        <v>#N/A</v>
      </c>
      <c r="S15" s="13" t="e">
        <f t="shared" si="12"/>
        <v>#N/A</v>
      </c>
      <c r="T15" s="13" t="e">
        <f t="shared" si="12"/>
        <v>#N/A</v>
      </c>
      <c r="U15" s="13" t="e">
        <f t="shared" si="12"/>
        <v>#N/A</v>
      </c>
      <c r="V15" s="13" t="e">
        <f t="shared" si="12"/>
        <v>#N/A</v>
      </c>
      <c r="W15" s="13" t="e">
        <f t="shared" si="12"/>
        <v>#N/A</v>
      </c>
      <c r="Y15" s="26"/>
      <c r="Z15" s="31" t="s">
        <v>1199</v>
      </c>
      <c r="AA15" s="13" t="e">
        <f t="shared" ref="AA15:AH15" si="13">AA8</f>
        <v>#N/A</v>
      </c>
      <c r="AB15" s="13" t="e">
        <f t="shared" si="13"/>
        <v>#N/A</v>
      </c>
      <c r="AC15" s="13" t="e">
        <f t="shared" si="13"/>
        <v>#N/A</v>
      </c>
      <c r="AD15" s="13" t="e">
        <f t="shared" si="13"/>
        <v>#N/A</v>
      </c>
      <c r="AE15" s="13" t="e">
        <f t="shared" si="13"/>
        <v>#N/A</v>
      </c>
      <c r="AF15" s="13" t="e">
        <f t="shared" si="13"/>
        <v>#N/A</v>
      </c>
      <c r="AG15" s="13" t="e">
        <f t="shared" si="13"/>
        <v>#N/A</v>
      </c>
      <c r="AH15" s="13" t="e">
        <f t="shared" si="13"/>
        <v>#N/A</v>
      </c>
      <c r="AK15" s="26"/>
      <c r="AL15" s="31" t="s">
        <v>1199</v>
      </c>
      <c r="AM15" s="13" t="e">
        <f>AM8</f>
        <v>#N/A</v>
      </c>
      <c r="AN15" s="13" t="e">
        <f t="shared" ref="AN15:AT15" si="14">AN8</f>
        <v>#N/A</v>
      </c>
      <c r="AO15" s="13" t="e">
        <f t="shared" si="14"/>
        <v>#N/A</v>
      </c>
      <c r="AP15" s="13" t="e">
        <f t="shared" si="14"/>
        <v>#N/A</v>
      </c>
      <c r="AQ15" s="13" t="e">
        <f t="shared" si="14"/>
        <v>#N/A</v>
      </c>
      <c r="AR15" s="13" t="e">
        <f t="shared" si="14"/>
        <v>#N/A</v>
      </c>
      <c r="AS15" s="13" t="e">
        <f t="shared" si="14"/>
        <v>#N/A</v>
      </c>
      <c r="AT15" s="13" t="e">
        <f t="shared" si="14"/>
        <v>#N/A</v>
      </c>
      <c r="AW15" s="26"/>
      <c r="AX15" s="31" t="s">
        <v>1199</v>
      </c>
      <c r="AY15" s="13" t="e">
        <f>AY8</f>
        <v>#N/A</v>
      </c>
      <c r="AZ15" s="13" t="e">
        <f t="shared" ref="AZ15:BF15" si="15">AZ8</f>
        <v>#N/A</v>
      </c>
      <c r="BA15" s="13" t="e">
        <f t="shared" si="15"/>
        <v>#N/A</v>
      </c>
      <c r="BB15" s="13" t="e">
        <f t="shared" si="15"/>
        <v>#N/A</v>
      </c>
      <c r="BC15" s="13" t="e">
        <f t="shared" si="15"/>
        <v>#N/A</v>
      </c>
      <c r="BD15" s="13" t="e">
        <f t="shared" si="15"/>
        <v>#N/A</v>
      </c>
      <c r="BE15" s="13" t="e">
        <f t="shared" si="15"/>
        <v>#N/A</v>
      </c>
      <c r="BF15" s="13" t="e">
        <f t="shared" si="15"/>
        <v>#N/A</v>
      </c>
    </row>
    <row r="16" spans="2:58" x14ac:dyDescent="0.35">
      <c r="B16" s="26"/>
      <c r="C16" s="31" t="s">
        <v>1200</v>
      </c>
      <c r="D16" s="13" t="e">
        <f>D9+D10</f>
        <v>#N/A</v>
      </c>
      <c r="E16" s="13" t="e">
        <f t="shared" ref="E16:K16" si="16">E9+E10</f>
        <v>#N/A</v>
      </c>
      <c r="F16" s="13" t="e">
        <f t="shared" si="16"/>
        <v>#N/A</v>
      </c>
      <c r="G16" s="13" t="e">
        <f t="shared" si="16"/>
        <v>#N/A</v>
      </c>
      <c r="H16" s="13" t="e">
        <f t="shared" si="16"/>
        <v>#N/A</v>
      </c>
      <c r="I16" s="13" t="e">
        <f t="shared" si="16"/>
        <v>#N/A</v>
      </c>
      <c r="J16" s="13" t="e">
        <f t="shared" si="16"/>
        <v>#N/A</v>
      </c>
      <c r="K16" s="13" t="e">
        <f t="shared" si="16"/>
        <v>#N/A</v>
      </c>
      <c r="N16" s="26"/>
      <c r="O16" s="31" t="s">
        <v>1200</v>
      </c>
      <c r="P16" s="13" t="e">
        <f>P9+P10</f>
        <v>#N/A</v>
      </c>
      <c r="Q16" s="13" t="e">
        <f t="shared" ref="Q16:W16" si="17">Q9+Q10</f>
        <v>#N/A</v>
      </c>
      <c r="R16" s="13" t="e">
        <f t="shared" si="17"/>
        <v>#N/A</v>
      </c>
      <c r="S16" s="13" t="e">
        <f t="shared" si="17"/>
        <v>#N/A</v>
      </c>
      <c r="T16" s="13" t="e">
        <f t="shared" si="17"/>
        <v>#N/A</v>
      </c>
      <c r="U16" s="13" t="e">
        <f t="shared" si="17"/>
        <v>#N/A</v>
      </c>
      <c r="V16" s="13" t="e">
        <f t="shared" si="17"/>
        <v>#N/A</v>
      </c>
      <c r="W16" s="13" t="e">
        <f t="shared" si="17"/>
        <v>#N/A</v>
      </c>
      <c r="Y16" s="26"/>
      <c r="Z16" s="31" t="s">
        <v>1200</v>
      </c>
      <c r="AA16" s="13" t="e">
        <f>AA9+AA10</f>
        <v>#N/A</v>
      </c>
      <c r="AB16" s="13" t="e">
        <f t="shared" ref="AB16:AH16" si="18">AB9+AB10</f>
        <v>#N/A</v>
      </c>
      <c r="AC16" s="13" t="e">
        <f t="shared" si="18"/>
        <v>#N/A</v>
      </c>
      <c r="AD16" s="13" t="e">
        <f t="shared" si="18"/>
        <v>#N/A</v>
      </c>
      <c r="AE16" s="13" t="e">
        <f t="shared" si="18"/>
        <v>#N/A</v>
      </c>
      <c r="AF16" s="13" t="e">
        <f t="shared" si="18"/>
        <v>#N/A</v>
      </c>
      <c r="AG16" s="13" t="e">
        <f t="shared" si="18"/>
        <v>#N/A</v>
      </c>
      <c r="AH16" s="13" t="e">
        <f t="shared" si="18"/>
        <v>#N/A</v>
      </c>
      <c r="AK16" s="26"/>
      <c r="AL16" s="31" t="s">
        <v>1200</v>
      </c>
      <c r="AM16" s="13" t="e">
        <f>AM9+AM10</f>
        <v>#N/A</v>
      </c>
      <c r="AN16" s="13" t="e">
        <f t="shared" ref="AN16:AT16" si="19">AN9+AN10</f>
        <v>#N/A</v>
      </c>
      <c r="AO16" s="13" t="e">
        <f t="shared" si="19"/>
        <v>#N/A</v>
      </c>
      <c r="AP16" s="13" t="e">
        <f t="shared" si="19"/>
        <v>#N/A</v>
      </c>
      <c r="AQ16" s="13" t="e">
        <f t="shared" si="19"/>
        <v>#N/A</v>
      </c>
      <c r="AR16" s="13" t="e">
        <f t="shared" si="19"/>
        <v>#N/A</v>
      </c>
      <c r="AS16" s="13" t="e">
        <f t="shared" si="19"/>
        <v>#N/A</v>
      </c>
      <c r="AT16" s="13" t="e">
        <f t="shared" si="19"/>
        <v>#N/A</v>
      </c>
      <c r="AW16" s="26"/>
      <c r="AX16" s="31" t="s">
        <v>1200</v>
      </c>
      <c r="AY16" s="13" t="e">
        <f>AY9+AY10</f>
        <v>#N/A</v>
      </c>
      <c r="AZ16" s="13" t="e">
        <f t="shared" ref="AZ16:BF16" si="20">AZ9+AZ10</f>
        <v>#N/A</v>
      </c>
      <c r="BA16" s="13" t="e">
        <f t="shared" si="20"/>
        <v>#N/A</v>
      </c>
      <c r="BB16" s="13" t="e">
        <f t="shared" si="20"/>
        <v>#N/A</v>
      </c>
      <c r="BC16" s="13" t="e">
        <f t="shared" si="20"/>
        <v>#N/A</v>
      </c>
      <c r="BD16" s="13" t="e">
        <f t="shared" si="20"/>
        <v>#N/A</v>
      </c>
      <c r="BE16" s="13" t="e">
        <f t="shared" si="20"/>
        <v>#N/A</v>
      </c>
      <c r="BF16" s="13" t="e">
        <f t="shared" si="20"/>
        <v>#N/A</v>
      </c>
    </row>
    <row r="17" spans="2:58" x14ac:dyDescent="0.35">
      <c r="B17" s="26"/>
      <c r="C17" s="31"/>
      <c r="D17" s="13"/>
      <c r="E17" s="13"/>
      <c r="F17" s="13"/>
      <c r="G17" s="13"/>
      <c r="H17" s="13"/>
      <c r="I17" s="13"/>
      <c r="J17" s="13"/>
      <c r="K17" s="13"/>
      <c r="N17" s="26"/>
      <c r="O17" s="31"/>
      <c r="P17" s="13"/>
      <c r="Q17" s="13"/>
      <c r="R17" s="13"/>
      <c r="S17" s="13"/>
      <c r="T17" s="13"/>
      <c r="U17" s="13"/>
      <c r="V17" s="13"/>
      <c r="W17" s="13"/>
      <c r="Y17" s="26"/>
      <c r="Z17" s="31"/>
      <c r="AA17" s="13"/>
      <c r="AB17" s="13"/>
      <c r="AC17" s="13"/>
      <c r="AD17" s="13"/>
      <c r="AE17" s="13"/>
      <c r="AF17" s="13"/>
      <c r="AG17" s="13"/>
      <c r="AH17" s="13"/>
      <c r="AK17" s="26"/>
      <c r="AL17" s="31"/>
      <c r="AM17" s="13"/>
      <c r="AN17" s="13"/>
      <c r="AO17" s="13"/>
      <c r="AP17" s="13"/>
      <c r="AQ17" s="13"/>
      <c r="AR17" s="13"/>
      <c r="AS17" s="13"/>
      <c r="AT17" s="13"/>
      <c r="AW17" s="26"/>
      <c r="AX17" s="31"/>
      <c r="AY17" s="13"/>
      <c r="AZ17" s="13"/>
      <c r="BA17" s="13"/>
      <c r="BB17" s="13"/>
      <c r="BC17" s="13"/>
      <c r="BD17" s="13"/>
      <c r="BE17" s="13"/>
      <c r="BF17" s="13"/>
    </row>
    <row r="18" spans="2:58" x14ac:dyDescent="0.35">
      <c r="B18" s="26"/>
      <c r="C18" s="31"/>
      <c r="D18" s="13"/>
      <c r="E18" s="13"/>
      <c r="F18" s="13"/>
      <c r="G18" s="13"/>
      <c r="H18" s="13"/>
      <c r="I18" s="13"/>
      <c r="J18" s="13"/>
      <c r="K18" s="13"/>
      <c r="N18" s="26"/>
      <c r="O18" s="31"/>
      <c r="P18" s="13"/>
      <c r="Q18" s="13"/>
      <c r="R18" s="13"/>
      <c r="S18" s="13"/>
      <c r="T18" s="13"/>
      <c r="U18" s="13"/>
      <c r="V18" s="13"/>
      <c r="W18" s="13"/>
      <c r="Y18" s="26"/>
      <c r="Z18" s="31"/>
      <c r="AA18" s="13"/>
      <c r="AB18" s="13"/>
      <c r="AC18" s="13"/>
      <c r="AD18" s="13"/>
      <c r="AE18" s="13"/>
      <c r="AF18" s="13"/>
      <c r="AG18" s="13"/>
      <c r="AH18" s="13"/>
      <c r="AK18" s="26"/>
      <c r="AL18" s="31"/>
      <c r="AM18" s="13"/>
      <c r="AN18" s="13"/>
      <c r="AO18" s="13"/>
      <c r="AP18" s="13"/>
      <c r="AQ18" s="13"/>
      <c r="AR18" s="13"/>
      <c r="AS18" s="13"/>
      <c r="AT18" s="13"/>
      <c r="AW18" s="26"/>
      <c r="AY18" s="13"/>
      <c r="AZ18" s="13"/>
      <c r="BA18" s="13"/>
      <c r="BB18" s="13"/>
      <c r="BC18" s="13"/>
      <c r="BD18" s="13"/>
      <c r="BE18" s="13"/>
      <c r="BF18" s="13"/>
    </row>
    <row r="19" spans="2:58" ht="14.5" x14ac:dyDescent="0.35">
      <c r="B19" s="26"/>
      <c r="C19" s="31"/>
      <c r="D19" s="13"/>
      <c r="E19" s="13"/>
      <c r="F19" s="13"/>
      <c r="G19" s="13"/>
      <c r="H19" s="13"/>
      <c r="I19" s="13"/>
      <c r="J19" s="13"/>
      <c r="K19" s="13"/>
      <c r="N19" s="26"/>
      <c r="O19" s="24"/>
      <c r="P19" s="13"/>
      <c r="Q19" s="13"/>
      <c r="R19" s="13"/>
      <c r="S19" s="13"/>
      <c r="T19" s="13"/>
      <c r="U19" s="13"/>
      <c r="V19" s="13"/>
      <c r="W19" s="13"/>
      <c r="Y19" s="26"/>
      <c r="Z19" s="24"/>
      <c r="AA19" s="13"/>
      <c r="AB19" s="13"/>
      <c r="AC19" s="13"/>
      <c r="AD19" s="13"/>
      <c r="AE19" s="13"/>
      <c r="AF19" s="13"/>
      <c r="AG19" s="13"/>
      <c r="AH19" s="13"/>
      <c r="AK19" s="26"/>
      <c r="AL19" s="24"/>
      <c r="AM19" s="13"/>
      <c r="AN19" s="13"/>
      <c r="AO19" s="13"/>
      <c r="AP19" s="13"/>
      <c r="AQ19" s="13"/>
      <c r="AR19" s="13"/>
      <c r="AS19" s="13"/>
      <c r="AT19" s="13"/>
      <c r="AW19" s="26"/>
      <c r="AX19" s="24"/>
      <c r="AY19" s="13"/>
      <c r="AZ19" s="13"/>
      <c r="BA19" s="13"/>
      <c r="BB19" s="13"/>
      <c r="BC19" s="13"/>
      <c r="BD19" s="13"/>
      <c r="BE19" s="13"/>
      <c r="BF19" s="13"/>
    </row>
    <row r="20" spans="2:58" x14ac:dyDescent="0.35">
      <c r="B20" s="26"/>
      <c r="C20" s="31"/>
      <c r="D20" s="13"/>
      <c r="E20" s="13"/>
      <c r="F20" s="13"/>
      <c r="G20" s="13"/>
      <c r="H20" s="13"/>
      <c r="I20" s="13"/>
      <c r="J20" s="13"/>
      <c r="K20" s="13"/>
      <c r="N20" s="26"/>
      <c r="O20" s="31"/>
      <c r="P20" s="13"/>
      <c r="Q20" s="13"/>
      <c r="R20" s="13"/>
      <c r="S20" s="13"/>
      <c r="T20" s="13"/>
      <c r="U20" s="13"/>
      <c r="V20" s="13"/>
      <c r="W20" s="13"/>
      <c r="Y20" s="26"/>
      <c r="Z20" s="31"/>
      <c r="AA20" s="13"/>
      <c r="AB20" s="13"/>
      <c r="AC20" s="13"/>
      <c r="AD20" s="13"/>
      <c r="AE20" s="13"/>
      <c r="AF20" s="13"/>
      <c r="AG20" s="13"/>
      <c r="AH20" s="13"/>
      <c r="AK20" s="26"/>
      <c r="AL20" s="31"/>
      <c r="AM20" s="13"/>
      <c r="AN20" s="13"/>
      <c r="AO20" s="13"/>
      <c r="AP20" s="13"/>
      <c r="AQ20" s="13"/>
      <c r="AR20" s="13"/>
      <c r="AS20" s="13"/>
      <c r="AT20" s="13"/>
      <c r="AW20" s="26"/>
      <c r="AX20" s="31"/>
      <c r="AY20" s="13"/>
      <c r="AZ20" s="13"/>
      <c r="BA20" s="13"/>
      <c r="BB20" s="13"/>
      <c r="BC20" s="13"/>
      <c r="BD20" s="13"/>
      <c r="BE20" s="13"/>
      <c r="BF20" s="13"/>
    </row>
    <row r="21" spans="2:58" x14ac:dyDescent="0.35">
      <c r="B21" s="26"/>
      <c r="C21" s="31"/>
      <c r="D21" s="13"/>
      <c r="E21" s="13"/>
      <c r="F21" s="13"/>
      <c r="G21" s="13"/>
      <c r="H21" s="13"/>
      <c r="I21" s="13"/>
      <c r="J21" s="13"/>
      <c r="K21" s="13"/>
      <c r="N21" s="26"/>
      <c r="O21" s="31"/>
      <c r="P21" s="13"/>
      <c r="Q21" s="13"/>
      <c r="R21" s="13"/>
      <c r="S21" s="13"/>
      <c r="T21" s="13"/>
      <c r="U21" s="13"/>
      <c r="V21" s="13"/>
      <c r="W21" s="13"/>
      <c r="Y21" s="26"/>
      <c r="Z21" s="31"/>
      <c r="AA21" s="13"/>
      <c r="AB21" s="13"/>
      <c r="AC21" s="13"/>
      <c r="AD21" s="13"/>
      <c r="AE21" s="13"/>
      <c r="AF21" s="13"/>
      <c r="AG21" s="13"/>
      <c r="AH21" s="13"/>
      <c r="AK21" s="26"/>
      <c r="AL21" s="31"/>
      <c r="AM21" s="13"/>
      <c r="AN21" s="13"/>
      <c r="AO21" s="13"/>
      <c r="AP21" s="13"/>
      <c r="AQ21" s="13"/>
      <c r="AR21" s="13"/>
      <c r="AS21" s="13"/>
      <c r="AT21" s="13"/>
      <c r="AW21" s="26"/>
      <c r="AX21" s="31"/>
      <c r="AY21" s="13"/>
      <c r="AZ21" s="13"/>
      <c r="BA21" s="13"/>
      <c r="BB21" s="13"/>
      <c r="BC21" s="13"/>
      <c r="BD21" s="13"/>
      <c r="BE21" s="13"/>
      <c r="BF21" s="13"/>
    </row>
    <row r="22" spans="2:58" ht="14.5" thickBot="1" x14ac:dyDescent="0.4">
      <c r="B22" s="28"/>
      <c r="C22" s="33"/>
      <c r="D22" s="35"/>
      <c r="E22" s="35"/>
      <c r="F22" s="35"/>
      <c r="G22" s="35"/>
      <c r="H22" s="35"/>
      <c r="I22" s="35"/>
      <c r="J22" s="35"/>
      <c r="K22" s="35"/>
      <c r="N22" s="28"/>
      <c r="O22" s="33"/>
      <c r="P22" s="35"/>
      <c r="Q22" s="35"/>
      <c r="R22" s="35"/>
      <c r="S22" s="35"/>
      <c r="T22" s="35"/>
      <c r="U22" s="35"/>
      <c r="V22" s="35"/>
      <c r="W22" s="35"/>
      <c r="Y22" s="28"/>
      <c r="Z22" s="33"/>
      <c r="AA22" s="35"/>
      <c r="AB22" s="35"/>
      <c r="AC22" s="35"/>
      <c r="AD22" s="35"/>
      <c r="AE22" s="35"/>
      <c r="AF22" s="35"/>
      <c r="AG22" s="35"/>
      <c r="AH22" s="35"/>
      <c r="AK22" s="28"/>
      <c r="AL22" s="33"/>
      <c r="AM22" s="35"/>
      <c r="AN22" s="35"/>
      <c r="AO22" s="35"/>
      <c r="AP22" s="35"/>
      <c r="AQ22" s="35"/>
      <c r="AR22" s="35"/>
      <c r="AS22" s="35"/>
      <c r="AT22" s="35"/>
      <c r="AW22" s="28"/>
      <c r="AX22" s="33"/>
      <c r="AY22" s="35"/>
      <c r="AZ22" s="35"/>
      <c r="BA22" s="35"/>
      <c r="BB22" s="35"/>
      <c r="BC22" s="35"/>
      <c r="BD22" s="35"/>
      <c r="BE22" s="35"/>
      <c r="BF22" s="35"/>
    </row>
  </sheetData>
  <dataConsolidate/>
  <pageMargins left="0.7" right="0.7" top="0.78740157499999996" bottom="0.78740157499999996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8"/>
  </sheetPr>
  <dimension ref="B1:BG11"/>
  <sheetViews>
    <sheetView zoomScale="85" zoomScaleNormal="85" workbookViewId="0">
      <selection activeCell="B14" sqref="B14"/>
    </sheetView>
  </sheetViews>
  <sheetFormatPr baseColWidth="10" defaultColWidth="11.453125" defaultRowHeight="14" x14ac:dyDescent="0.3"/>
  <cols>
    <col min="1" max="1" width="11.453125" style="15"/>
    <col min="2" max="2" width="38.54296875" style="15" bestFit="1" customWidth="1"/>
    <col min="3" max="3" width="11.54296875" style="15" bestFit="1" customWidth="1"/>
    <col min="4" max="4" width="12" style="15" bestFit="1" customWidth="1"/>
    <col min="5" max="6" width="11.453125" style="15"/>
    <col min="7" max="7" width="12" style="15" bestFit="1" customWidth="1"/>
    <col min="8" max="13" width="11.453125" style="15"/>
    <col min="14" max="14" width="17.453125" style="15" bestFit="1" customWidth="1"/>
    <col min="15" max="15" width="17.453125" style="15" customWidth="1"/>
    <col min="16" max="25" width="11.453125" style="15"/>
    <col min="26" max="26" width="17.453125" style="15" bestFit="1" customWidth="1"/>
    <col min="27" max="27" width="17.453125" style="15" customWidth="1"/>
    <col min="28" max="37" width="11.453125" style="15"/>
    <col min="38" max="38" width="17.453125" style="15" bestFit="1" customWidth="1"/>
    <col min="39" max="39" width="17.453125" style="15" customWidth="1"/>
    <col min="40" max="49" width="11.453125" style="15"/>
    <col min="50" max="50" width="17.453125" style="15" bestFit="1" customWidth="1"/>
    <col min="51" max="51" width="17.453125" style="15" customWidth="1"/>
    <col min="52" max="16384" width="11.453125" style="15"/>
  </cols>
  <sheetData>
    <row r="1" spans="2:59" ht="14.5" thickBot="1" x14ac:dyDescent="0.35"/>
    <row r="2" spans="2:59" ht="14.5" x14ac:dyDescent="0.35">
      <c r="B2" s="3" t="s">
        <v>4031</v>
      </c>
      <c r="C2" s="209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N2" s="3" t="s">
        <v>1197</v>
      </c>
      <c r="O2" s="209"/>
      <c r="P2" s="89">
        <v>2</v>
      </c>
      <c r="Q2" s="89">
        <v>3</v>
      </c>
      <c r="R2" s="89">
        <v>4</v>
      </c>
      <c r="S2" s="89">
        <v>5</v>
      </c>
      <c r="T2" s="89">
        <v>6</v>
      </c>
      <c r="U2" s="89">
        <v>7</v>
      </c>
      <c r="V2" s="89">
        <v>8</v>
      </c>
      <c r="W2" s="89">
        <v>9</v>
      </c>
      <c r="Z2" s="3" t="s">
        <v>1198</v>
      </c>
      <c r="AA2" s="209"/>
      <c r="AB2" s="89">
        <v>2</v>
      </c>
      <c r="AC2" s="89">
        <v>3</v>
      </c>
      <c r="AD2" s="89">
        <v>4</v>
      </c>
      <c r="AE2" s="89">
        <v>5</v>
      </c>
      <c r="AF2" s="89">
        <v>6</v>
      </c>
      <c r="AG2" s="89">
        <v>7</v>
      </c>
      <c r="AH2" s="89">
        <v>8</v>
      </c>
      <c r="AI2" s="89">
        <v>9</v>
      </c>
      <c r="AL2" s="3" t="s">
        <v>1199</v>
      </c>
      <c r="AM2" s="209"/>
      <c r="AN2" s="89">
        <v>2</v>
      </c>
      <c r="AO2" s="89">
        <v>3</v>
      </c>
      <c r="AP2" s="89">
        <v>4</v>
      </c>
      <c r="AQ2" s="89">
        <v>5</v>
      </c>
      <c r="AR2" s="89">
        <v>6</v>
      </c>
      <c r="AS2" s="89">
        <v>7</v>
      </c>
      <c r="AT2" s="89">
        <v>8</v>
      </c>
      <c r="AU2" s="89">
        <v>9</v>
      </c>
      <c r="AX2" s="3" t="s">
        <v>1200</v>
      </c>
      <c r="AY2" s="209"/>
      <c r="AZ2" s="89">
        <v>2</v>
      </c>
      <c r="BA2" s="89">
        <v>3</v>
      </c>
      <c r="BB2" s="89">
        <v>4</v>
      </c>
      <c r="BC2" s="89">
        <v>5</v>
      </c>
      <c r="BD2" s="89">
        <v>6</v>
      </c>
      <c r="BE2" s="89">
        <v>7</v>
      </c>
      <c r="BF2" s="89">
        <v>8</v>
      </c>
      <c r="BG2" s="89">
        <v>9</v>
      </c>
    </row>
    <row r="3" spans="2:59" ht="14.5" x14ac:dyDescent="0.35">
      <c r="B3" s="23" t="s">
        <v>1157</v>
      </c>
      <c r="C3" s="210"/>
      <c r="D3" s="365" t="s">
        <v>23</v>
      </c>
      <c r="E3" s="365" t="s">
        <v>1798</v>
      </c>
      <c r="F3" s="365" t="s">
        <v>1799</v>
      </c>
      <c r="G3" s="365" t="s">
        <v>1800</v>
      </c>
      <c r="H3" s="365" t="s">
        <v>1801</v>
      </c>
      <c r="I3" s="365" t="s">
        <v>1802</v>
      </c>
      <c r="J3" s="365" t="s">
        <v>1803</v>
      </c>
      <c r="K3" s="93" t="s">
        <v>1804</v>
      </c>
      <c r="N3" s="23" t="s">
        <v>1157</v>
      </c>
      <c r="O3" s="210"/>
      <c r="P3" s="365" t="s">
        <v>23</v>
      </c>
      <c r="Q3" s="365" t="s">
        <v>1798</v>
      </c>
      <c r="R3" s="365" t="s">
        <v>1799</v>
      </c>
      <c r="S3" s="365" t="s">
        <v>1800</v>
      </c>
      <c r="T3" s="365" t="s">
        <v>1801</v>
      </c>
      <c r="U3" s="365" t="s">
        <v>1802</v>
      </c>
      <c r="V3" s="365" t="s">
        <v>1803</v>
      </c>
      <c r="W3" s="93" t="s">
        <v>1804</v>
      </c>
      <c r="Z3" s="23" t="s">
        <v>1157</v>
      </c>
      <c r="AA3" s="210"/>
      <c r="AB3" s="365" t="s">
        <v>23</v>
      </c>
      <c r="AC3" s="365" t="s">
        <v>1798</v>
      </c>
      <c r="AD3" s="365" t="s">
        <v>1799</v>
      </c>
      <c r="AE3" s="365" t="s">
        <v>1800</v>
      </c>
      <c r="AF3" s="365" t="s">
        <v>1801</v>
      </c>
      <c r="AG3" s="365" t="s">
        <v>1802</v>
      </c>
      <c r="AH3" s="365" t="s">
        <v>1803</v>
      </c>
      <c r="AI3" s="93" t="s">
        <v>1804</v>
      </c>
      <c r="AL3" s="23" t="s">
        <v>1157</v>
      </c>
      <c r="AM3" s="210"/>
      <c r="AN3" s="365" t="s">
        <v>23</v>
      </c>
      <c r="AO3" s="365" t="s">
        <v>1798</v>
      </c>
      <c r="AP3" s="365" t="s">
        <v>1799</v>
      </c>
      <c r="AQ3" s="365" t="s">
        <v>1800</v>
      </c>
      <c r="AR3" s="365" t="s">
        <v>1801</v>
      </c>
      <c r="AS3" s="365" t="s">
        <v>1802</v>
      </c>
      <c r="AT3" s="365" t="s">
        <v>1803</v>
      </c>
      <c r="AU3" s="93" t="s">
        <v>1804</v>
      </c>
      <c r="AX3" s="23" t="s">
        <v>1157</v>
      </c>
      <c r="AY3" s="210"/>
      <c r="AZ3" s="365" t="s">
        <v>23</v>
      </c>
      <c r="BA3" s="365" t="s">
        <v>1798</v>
      </c>
      <c r="BB3" s="365" t="s">
        <v>1799</v>
      </c>
      <c r="BC3" s="365" t="s">
        <v>1800</v>
      </c>
      <c r="BD3" s="365" t="s">
        <v>1801</v>
      </c>
      <c r="BE3" s="365" t="s">
        <v>1802</v>
      </c>
      <c r="BF3" s="365" t="s">
        <v>1803</v>
      </c>
      <c r="BG3" s="93" t="s">
        <v>1804</v>
      </c>
    </row>
    <row r="4" spans="2:59" x14ac:dyDescent="0.3">
      <c r="B4" s="5" t="s">
        <v>1194</v>
      </c>
      <c r="C4" s="199" t="s">
        <v>1345</v>
      </c>
      <c r="D4" s="16" t="e">
        <f>P4+AB4+AN4+AZ4</f>
        <v>#N/A</v>
      </c>
      <c r="E4" s="16" t="e">
        <f t="shared" ref="D4:K6" si="0">Q4+AC4+AO4+BA4</f>
        <v>#N/A</v>
      </c>
      <c r="F4" s="16" t="e">
        <f t="shared" si="0"/>
        <v>#N/A</v>
      </c>
      <c r="G4" s="16" t="e">
        <f t="shared" si="0"/>
        <v>#N/A</v>
      </c>
      <c r="H4" s="16" t="e">
        <f t="shared" si="0"/>
        <v>#N/A</v>
      </c>
      <c r="I4" s="16" t="e">
        <f t="shared" si="0"/>
        <v>#N/A</v>
      </c>
      <c r="J4" s="16" t="e">
        <f t="shared" si="0"/>
        <v>#N/A</v>
      </c>
      <c r="K4" s="16" t="e">
        <f t="shared" si="0"/>
        <v>#N/A</v>
      </c>
      <c r="N4" s="5" t="s">
        <v>1194</v>
      </c>
      <c r="O4" s="199" t="s">
        <v>1345</v>
      </c>
      <c r="P4" s="16" t="e">
        <f>'Gebäude - Wärmeverbrauch'!D13</f>
        <v>#N/A</v>
      </c>
      <c r="Q4" s="16" t="e">
        <f>'Gebäude - Wärmeverbrauch'!E13</f>
        <v>#N/A</v>
      </c>
      <c r="R4" s="16" t="e">
        <f>'Gebäude - Wärmeverbrauch'!F13</f>
        <v>#N/A</v>
      </c>
      <c r="S4" s="16" t="e">
        <f>'Gebäude - Wärmeverbrauch'!G13</f>
        <v>#N/A</v>
      </c>
      <c r="T4" s="16" t="e">
        <f>'Gebäude - Wärmeverbrauch'!H13</f>
        <v>#N/A</v>
      </c>
      <c r="U4" s="16" t="e">
        <f>'Gebäude - Wärmeverbrauch'!I13</f>
        <v>#N/A</v>
      </c>
      <c r="V4" s="16" t="e">
        <f>'Gebäude - Wärmeverbrauch'!J13</f>
        <v>#N/A</v>
      </c>
      <c r="W4" s="16" t="e">
        <f>'Gebäude - Wärmeverbrauch'!K13</f>
        <v>#N/A</v>
      </c>
      <c r="Z4" s="5" t="s">
        <v>1194</v>
      </c>
      <c r="AA4" s="199" t="s">
        <v>1345</v>
      </c>
      <c r="AB4" s="16" t="e">
        <f>'Gebäude - Wärmeverbrauch'!D14</f>
        <v>#N/A</v>
      </c>
      <c r="AC4" s="16" t="e">
        <f>'Gebäude - Wärmeverbrauch'!E14</f>
        <v>#N/A</v>
      </c>
      <c r="AD4" s="16" t="e">
        <f>'Gebäude - Wärmeverbrauch'!F14</f>
        <v>#N/A</v>
      </c>
      <c r="AE4" s="16" t="e">
        <f>'Gebäude - Wärmeverbrauch'!G14</f>
        <v>#N/A</v>
      </c>
      <c r="AF4" s="16" t="e">
        <f>'Gebäude - Wärmeverbrauch'!H14</f>
        <v>#N/A</v>
      </c>
      <c r="AG4" s="16" t="e">
        <f>'Gebäude - Wärmeverbrauch'!I14</f>
        <v>#N/A</v>
      </c>
      <c r="AH4" s="16" t="e">
        <f>'Gebäude - Wärmeverbrauch'!J14</f>
        <v>#N/A</v>
      </c>
      <c r="AI4" s="16" t="e">
        <f>'Gebäude - Wärmeverbrauch'!K14</f>
        <v>#N/A</v>
      </c>
      <c r="AL4" s="5" t="s">
        <v>1194</v>
      </c>
      <c r="AM4" s="199" t="s">
        <v>1345</v>
      </c>
      <c r="AN4" s="16" t="e">
        <f>'Gebäude - Wärmeverbrauch'!D15</f>
        <v>#N/A</v>
      </c>
      <c r="AO4" s="16" t="e">
        <f>'Gebäude - Wärmeverbrauch'!E15</f>
        <v>#N/A</v>
      </c>
      <c r="AP4" s="16" t="e">
        <f>'Gebäude - Wärmeverbrauch'!F15</f>
        <v>#N/A</v>
      </c>
      <c r="AQ4" s="16" t="e">
        <f>'Gebäude - Wärmeverbrauch'!G15</f>
        <v>#N/A</v>
      </c>
      <c r="AR4" s="16" t="e">
        <f>'Gebäude - Wärmeverbrauch'!H15</f>
        <v>#N/A</v>
      </c>
      <c r="AS4" s="16" t="e">
        <f>'Gebäude - Wärmeverbrauch'!I15</f>
        <v>#N/A</v>
      </c>
      <c r="AT4" s="16" t="e">
        <f>'Gebäude - Wärmeverbrauch'!J15</f>
        <v>#N/A</v>
      </c>
      <c r="AU4" s="16" t="e">
        <f>'Gebäude - Wärmeverbrauch'!K15</f>
        <v>#N/A</v>
      </c>
      <c r="AX4" s="5" t="s">
        <v>1194</v>
      </c>
      <c r="AY4" s="199" t="s">
        <v>1345</v>
      </c>
      <c r="AZ4" s="16" t="e">
        <f>'Gebäude - Wärmeverbrauch'!D16</f>
        <v>#N/A</v>
      </c>
      <c r="BA4" s="16" t="e">
        <f>'Gebäude - Wärmeverbrauch'!E16</f>
        <v>#N/A</v>
      </c>
      <c r="BB4" s="16" t="e">
        <f>'Gebäude - Wärmeverbrauch'!F16</f>
        <v>#N/A</v>
      </c>
      <c r="BC4" s="16" t="e">
        <f>'Gebäude - Wärmeverbrauch'!G16</f>
        <v>#N/A</v>
      </c>
      <c r="BD4" s="16" t="e">
        <f>'Gebäude - Wärmeverbrauch'!H16</f>
        <v>#N/A</v>
      </c>
      <c r="BE4" s="16" t="e">
        <f>'Gebäude - Wärmeverbrauch'!I16</f>
        <v>#N/A</v>
      </c>
      <c r="BF4" s="16" t="e">
        <f>'Gebäude - Wärmeverbrauch'!J16</f>
        <v>#N/A</v>
      </c>
      <c r="BG4" s="16" t="e">
        <f>'Gebäude - Wärmeverbrauch'!K16</f>
        <v>#N/A</v>
      </c>
    </row>
    <row r="5" spans="2:59" x14ac:dyDescent="0.3">
      <c r="B5" s="5" t="s">
        <v>1195</v>
      </c>
      <c r="C5" s="199" t="s">
        <v>1560</v>
      </c>
      <c r="D5" s="16" t="e">
        <f t="shared" si="0"/>
        <v>#N/A</v>
      </c>
      <c r="E5" s="16" t="e">
        <f t="shared" si="0"/>
        <v>#N/A</v>
      </c>
      <c r="F5" s="16" t="e">
        <f t="shared" si="0"/>
        <v>#N/A</v>
      </c>
      <c r="G5" s="16" t="e">
        <f t="shared" si="0"/>
        <v>#N/A</v>
      </c>
      <c r="H5" s="16" t="e">
        <f t="shared" si="0"/>
        <v>#N/A</v>
      </c>
      <c r="I5" s="16" t="e">
        <f t="shared" si="0"/>
        <v>#N/A</v>
      </c>
      <c r="J5" s="16" t="e">
        <f t="shared" si="0"/>
        <v>#N/A</v>
      </c>
      <c r="K5" s="16" t="e">
        <f t="shared" si="0"/>
        <v>#N/A</v>
      </c>
      <c r="N5" s="5" t="s">
        <v>1195</v>
      </c>
      <c r="O5" s="199" t="s">
        <v>1560</v>
      </c>
      <c r="P5" s="16" t="e">
        <f>'Gebäude - Wärmeverbrauch'!P13</f>
        <v>#N/A</v>
      </c>
      <c r="Q5" s="16" t="e">
        <f>'Gebäude - Wärmeverbrauch'!Q13</f>
        <v>#N/A</v>
      </c>
      <c r="R5" s="16" t="e">
        <f>'Gebäude - Wärmeverbrauch'!R13</f>
        <v>#N/A</v>
      </c>
      <c r="S5" s="16" t="e">
        <f>'Gebäude - Wärmeverbrauch'!S13</f>
        <v>#N/A</v>
      </c>
      <c r="T5" s="16" t="e">
        <f>'Gebäude - Wärmeverbrauch'!T13</f>
        <v>#N/A</v>
      </c>
      <c r="U5" s="16" t="e">
        <f>'Gebäude - Wärmeverbrauch'!U13</f>
        <v>#N/A</v>
      </c>
      <c r="V5" s="16" t="e">
        <f>'Gebäude - Wärmeverbrauch'!V13</f>
        <v>#N/A</v>
      </c>
      <c r="W5" s="16" t="e">
        <f>'Gebäude - Wärmeverbrauch'!W13</f>
        <v>#N/A</v>
      </c>
      <c r="Z5" s="5" t="s">
        <v>1195</v>
      </c>
      <c r="AA5" s="199" t="s">
        <v>1560</v>
      </c>
      <c r="AB5" s="16" t="e">
        <f>'Gebäude - Wärmeverbrauch'!P14</f>
        <v>#N/A</v>
      </c>
      <c r="AC5" s="16" t="e">
        <f>'Gebäude - Wärmeverbrauch'!Q14</f>
        <v>#N/A</v>
      </c>
      <c r="AD5" s="16" t="e">
        <f>'Gebäude - Wärmeverbrauch'!R14</f>
        <v>#N/A</v>
      </c>
      <c r="AE5" s="16" t="e">
        <f>'Gebäude - Wärmeverbrauch'!S14</f>
        <v>#N/A</v>
      </c>
      <c r="AF5" s="16" t="e">
        <f>'Gebäude - Wärmeverbrauch'!T14</f>
        <v>#N/A</v>
      </c>
      <c r="AG5" s="16" t="e">
        <f>'Gebäude - Wärmeverbrauch'!U14</f>
        <v>#N/A</v>
      </c>
      <c r="AH5" s="16" t="e">
        <f>'Gebäude - Wärmeverbrauch'!V14</f>
        <v>#N/A</v>
      </c>
      <c r="AI5" s="16" t="e">
        <f>'Gebäude - Wärmeverbrauch'!W14</f>
        <v>#N/A</v>
      </c>
      <c r="AL5" s="5" t="s">
        <v>1195</v>
      </c>
      <c r="AM5" s="199" t="s">
        <v>1560</v>
      </c>
      <c r="AN5" s="16" t="e">
        <f>'Gebäude - Wärmeverbrauch'!P15</f>
        <v>#N/A</v>
      </c>
      <c r="AO5" s="16" t="e">
        <f>'Gebäude - Wärmeverbrauch'!Q15</f>
        <v>#N/A</v>
      </c>
      <c r="AP5" s="16" t="e">
        <f>'Gebäude - Wärmeverbrauch'!R15</f>
        <v>#N/A</v>
      </c>
      <c r="AQ5" s="16" t="e">
        <f>'Gebäude - Wärmeverbrauch'!S15</f>
        <v>#N/A</v>
      </c>
      <c r="AR5" s="16" t="e">
        <f>'Gebäude - Wärmeverbrauch'!T15</f>
        <v>#N/A</v>
      </c>
      <c r="AS5" s="16" t="e">
        <f>'Gebäude - Wärmeverbrauch'!U15</f>
        <v>#N/A</v>
      </c>
      <c r="AT5" s="16" t="e">
        <f>'Gebäude - Wärmeverbrauch'!V15</f>
        <v>#N/A</v>
      </c>
      <c r="AU5" s="16" t="e">
        <f>'Gebäude - Wärmeverbrauch'!W15</f>
        <v>#N/A</v>
      </c>
      <c r="AX5" s="5" t="s">
        <v>1195</v>
      </c>
      <c r="AY5" s="199" t="s">
        <v>1560</v>
      </c>
      <c r="AZ5" s="16" t="e">
        <f>'Gebäude - Wärmeverbrauch'!P16</f>
        <v>#N/A</v>
      </c>
      <c r="BA5" s="16" t="e">
        <f>'Gebäude - Wärmeverbrauch'!Q16</f>
        <v>#N/A</v>
      </c>
      <c r="BB5" s="16" t="e">
        <f>'Gebäude - Wärmeverbrauch'!R16</f>
        <v>#N/A</v>
      </c>
      <c r="BC5" s="16" t="e">
        <f>'Gebäude - Wärmeverbrauch'!S16</f>
        <v>#N/A</v>
      </c>
      <c r="BD5" s="16" t="e">
        <f>'Gebäude - Wärmeverbrauch'!T16</f>
        <v>#N/A</v>
      </c>
      <c r="BE5" s="16" t="e">
        <f>'Gebäude - Wärmeverbrauch'!U16</f>
        <v>#N/A</v>
      </c>
      <c r="BF5" s="16" t="e">
        <f>'Gebäude - Wärmeverbrauch'!V16</f>
        <v>#N/A</v>
      </c>
      <c r="BG5" s="16" t="e">
        <f>'Gebäude - Wärmeverbrauch'!W16</f>
        <v>#N/A</v>
      </c>
    </row>
    <row r="6" spans="2:59" x14ac:dyDescent="0.3">
      <c r="B6" s="5" t="s">
        <v>1196</v>
      </c>
      <c r="C6" s="199" t="s">
        <v>1561</v>
      </c>
      <c r="D6" s="16" t="e">
        <f t="shared" si="0"/>
        <v>#N/A</v>
      </c>
      <c r="E6" s="16" t="e">
        <f t="shared" si="0"/>
        <v>#N/A</v>
      </c>
      <c r="F6" s="16" t="e">
        <f t="shared" si="0"/>
        <v>#N/A</v>
      </c>
      <c r="G6" s="16" t="e">
        <f t="shared" si="0"/>
        <v>#N/A</v>
      </c>
      <c r="H6" s="16" t="e">
        <f t="shared" si="0"/>
        <v>#N/A</v>
      </c>
      <c r="I6" s="16" t="e">
        <f t="shared" si="0"/>
        <v>#N/A</v>
      </c>
      <c r="J6" s="16" t="e">
        <f t="shared" si="0"/>
        <v>#N/A</v>
      </c>
      <c r="K6" s="16" t="e">
        <f t="shared" si="0"/>
        <v>#N/A</v>
      </c>
      <c r="N6" s="5" t="s">
        <v>1196</v>
      </c>
      <c r="O6" s="199" t="s">
        <v>1561</v>
      </c>
      <c r="P6" s="16" t="e">
        <f>'Gebäude - Wärmeverbrauch'!AA13</f>
        <v>#N/A</v>
      </c>
      <c r="Q6" s="16" t="e">
        <f>'Gebäude - Wärmeverbrauch'!AB13</f>
        <v>#N/A</v>
      </c>
      <c r="R6" s="16" t="e">
        <f>'Gebäude - Wärmeverbrauch'!AC13</f>
        <v>#N/A</v>
      </c>
      <c r="S6" s="16" t="e">
        <f>'Gebäude - Wärmeverbrauch'!AD13</f>
        <v>#N/A</v>
      </c>
      <c r="T6" s="16" t="e">
        <f>'Gebäude - Wärmeverbrauch'!AE13</f>
        <v>#N/A</v>
      </c>
      <c r="U6" s="16" t="e">
        <f>'Gebäude - Wärmeverbrauch'!AF13</f>
        <v>#N/A</v>
      </c>
      <c r="V6" s="16" t="e">
        <f>'Gebäude - Wärmeverbrauch'!AG13</f>
        <v>#N/A</v>
      </c>
      <c r="W6" s="16" t="e">
        <f>'Gebäude - Wärmeverbrauch'!AH13</f>
        <v>#N/A</v>
      </c>
      <c r="Z6" s="5" t="s">
        <v>1196</v>
      </c>
      <c r="AA6" s="199" t="s">
        <v>1561</v>
      </c>
      <c r="AB6" s="16" t="e">
        <f>'Gebäude - Wärmeverbrauch'!AA14</f>
        <v>#N/A</v>
      </c>
      <c r="AC6" s="16" t="e">
        <f>'Gebäude - Wärmeverbrauch'!AB14</f>
        <v>#N/A</v>
      </c>
      <c r="AD6" s="16" t="e">
        <f>'Gebäude - Wärmeverbrauch'!AC14</f>
        <v>#N/A</v>
      </c>
      <c r="AE6" s="16" t="e">
        <f>'Gebäude - Wärmeverbrauch'!AD14</f>
        <v>#N/A</v>
      </c>
      <c r="AF6" s="16" t="e">
        <f>'Gebäude - Wärmeverbrauch'!AE14</f>
        <v>#N/A</v>
      </c>
      <c r="AG6" s="16" t="e">
        <f>'Gebäude - Wärmeverbrauch'!AF14</f>
        <v>#N/A</v>
      </c>
      <c r="AH6" s="16" t="e">
        <f>'Gebäude - Wärmeverbrauch'!AG14</f>
        <v>#N/A</v>
      </c>
      <c r="AI6" s="16" t="e">
        <f>'Gebäude - Wärmeverbrauch'!AH14</f>
        <v>#N/A</v>
      </c>
      <c r="AL6" s="5" t="s">
        <v>1196</v>
      </c>
      <c r="AM6" s="199" t="s">
        <v>1561</v>
      </c>
      <c r="AN6" s="16" t="e">
        <f>'Gebäude - Wärmeverbrauch'!AA15</f>
        <v>#N/A</v>
      </c>
      <c r="AO6" s="16" t="e">
        <f>'Gebäude - Wärmeverbrauch'!AB15</f>
        <v>#N/A</v>
      </c>
      <c r="AP6" s="16" t="e">
        <f>'Gebäude - Wärmeverbrauch'!AC15</f>
        <v>#N/A</v>
      </c>
      <c r="AQ6" s="16" t="e">
        <f>'Gebäude - Wärmeverbrauch'!AD15</f>
        <v>#N/A</v>
      </c>
      <c r="AR6" s="16" t="e">
        <f>'Gebäude - Wärmeverbrauch'!AE15</f>
        <v>#N/A</v>
      </c>
      <c r="AS6" s="16" t="e">
        <f>'Gebäude - Wärmeverbrauch'!AF15</f>
        <v>#N/A</v>
      </c>
      <c r="AT6" s="16" t="e">
        <f>'Gebäude - Wärmeverbrauch'!AG15</f>
        <v>#N/A</v>
      </c>
      <c r="AU6" s="16" t="e">
        <f>'Gebäude - Wärmeverbrauch'!AH15</f>
        <v>#N/A</v>
      </c>
      <c r="AX6" s="5" t="s">
        <v>1196</v>
      </c>
      <c r="AY6" s="199" t="s">
        <v>1561</v>
      </c>
      <c r="AZ6" s="16" t="e">
        <f>'Gebäude - Wärmeverbrauch'!AA16</f>
        <v>#N/A</v>
      </c>
      <c r="BA6" s="16" t="e">
        <f>'Gebäude - Wärmeverbrauch'!AB16</f>
        <v>#N/A</v>
      </c>
      <c r="BB6" s="16" t="e">
        <f>'Gebäude - Wärmeverbrauch'!AC16</f>
        <v>#N/A</v>
      </c>
      <c r="BC6" s="16" t="e">
        <f>'Gebäude - Wärmeverbrauch'!AD16</f>
        <v>#N/A</v>
      </c>
      <c r="BD6" s="16" t="e">
        <f>'Gebäude - Wärmeverbrauch'!AE16</f>
        <v>#N/A</v>
      </c>
      <c r="BE6" s="16" t="e">
        <f>'Gebäude - Wärmeverbrauch'!AF16</f>
        <v>#N/A</v>
      </c>
      <c r="BF6" s="16" t="e">
        <f>'Gebäude - Wärmeverbrauch'!AG16</f>
        <v>#N/A</v>
      </c>
      <c r="BG6" s="16" t="e">
        <f>'Gebäude - Wärmeverbrauch'!AH16</f>
        <v>#N/A</v>
      </c>
    </row>
    <row r="7" spans="2:59" x14ac:dyDescent="0.3">
      <c r="B7" s="19"/>
      <c r="C7" s="38"/>
      <c r="D7" s="38"/>
      <c r="E7" s="38"/>
      <c r="F7" s="38"/>
      <c r="G7" s="38"/>
      <c r="H7" s="38"/>
      <c r="I7" s="38"/>
      <c r="J7" s="38"/>
      <c r="K7" s="38"/>
      <c r="N7" s="19"/>
      <c r="O7" s="38"/>
      <c r="P7" s="38"/>
      <c r="Q7" s="38"/>
      <c r="R7" s="38"/>
      <c r="S7" s="38"/>
      <c r="T7" s="38"/>
      <c r="U7" s="38"/>
      <c r="V7" s="38"/>
      <c r="W7" s="38"/>
      <c r="Z7" s="19"/>
      <c r="AA7" s="38"/>
      <c r="AB7" s="38"/>
      <c r="AC7" s="38"/>
      <c r="AD7" s="38"/>
      <c r="AE7" s="38"/>
      <c r="AF7" s="38"/>
      <c r="AG7" s="38"/>
      <c r="AH7" s="38"/>
      <c r="AI7" s="38"/>
      <c r="AL7" s="19"/>
      <c r="AM7" s="38"/>
      <c r="AN7" s="38"/>
      <c r="AO7" s="38"/>
      <c r="AP7" s="38"/>
      <c r="AQ7" s="38"/>
      <c r="AR7" s="38"/>
      <c r="AS7" s="38"/>
      <c r="AT7" s="38"/>
      <c r="AU7" s="38"/>
      <c r="AX7" s="19"/>
      <c r="AY7" s="38"/>
      <c r="AZ7" s="38"/>
      <c r="BA7" s="38"/>
      <c r="BB7" s="38"/>
      <c r="BC7" s="38"/>
      <c r="BD7" s="38"/>
      <c r="BE7" s="38"/>
      <c r="BF7" s="38"/>
      <c r="BG7" s="38"/>
    </row>
    <row r="8" spans="2:59" x14ac:dyDescent="0.3">
      <c r="B8" s="12" t="s">
        <v>1308</v>
      </c>
      <c r="C8" s="204"/>
      <c r="D8" s="38"/>
      <c r="E8" s="38"/>
      <c r="F8" s="38"/>
      <c r="G8" s="38"/>
      <c r="H8" s="38"/>
      <c r="I8" s="38"/>
      <c r="J8" s="38"/>
      <c r="K8" s="38"/>
      <c r="N8" s="12" t="s">
        <v>1308</v>
      </c>
      <c r="O8" s="204"/>
      <c r="P8" s="38"/>
      <c r="Q8" s="38"/>
      <c r="R8" s="38"/>
      <c r="S8" s="38"/>
      <c r="T8" s="38"/>
      <c r="U8" s="38"/>
      <c r="V8" s="38"/>
      <c r="W8" s="38"/>
      <c r="Z8" s="12" t="s">
        <v>1308</v>
      </c>
      <c r="AA8" s="204"/>
      <c r="AB8" s="38"/>
      <c r="AC8" s="38"/>
      <c r="AD8" s="38"/>
      <c r="AE8" s="38"/>
      <c r="AF8" s="38"/>
      <c r="AG8" s="38"/>
      <c r="AH8" s="38"/>
      <c r="AI8" s="38"/>
      <c r="AL8" s="12" t="s">
        <v>1308</v>
      </c>
      <c r="AM8" s="204"/>
      <c r="AN8" s="38"/>
      <c r="AO8" s="38"/>
      <c r="AP8" s="38"/>
      <c r="AQ8" s="38"/>
      <c r="AR8" s="38"/>
      <c r="AS8" s="38"/>
      <c r="AT8" s="38"/>
      <c r="AU8" s="38"/>
      <c r="AX8" s="12" t="s">
        <v>1308</v>
      </c>
      <c r="AY8" s="204"/>
      <c r="AZ8" s="38"/>
      <c r="BA8" s="38"/>
      <c r="BB8" s="38"/>
      <c r="BC8" s="38"/>
      <c r="BD8" s="38"/>
      <c r="BE8" s="38"/>
      <c r="BF8" s="38"/>
      <c r="BG8" s="38"/>
    </row>
    <row r="9" spans="2:59" x14ac:dyDescent="0.3">
      <c r="B9" s="5" t="s">
        <v>1194</v>
      </c>
      <c r="C9" s="199" t="s">
        <v>1345</v>
      </c>
      <c r="D9" s="47" t="e">
        <f>D4/SUM(D4:D6)</f>
        <v>#N/A</v>
      </c>
      <c r="E9" s="47" t="e">
        <f t="shared" ref="E9:K9" si="1">E4/SUM(E4:E6)</f>
        <v>#N/A</v>
      </c>
      <c r="F9" s="47" t="e">
        <f t="shared" si="1"/>
        <v>#N/A</v>
      </c>
      <c r="G9" s="47" t="e">
        <f t="shared" si="1"/>
        <v>#N/A</v>
      </c>
      <c r="H9" s="47" t="e">
        <f t="shared" si="1"/>
        <v>#N/A</v>
      </c>
      <c r="I9" s="47" t="e">
        <f t="shared" si="1"/>
        <v>#N/A</v>
      </c>
      <c r="J9" s="47" t="e">
        <f t="shared" si="1"/>
        <v>#N/A</v>
      </c>
      <c r="K9" s="47" t="e">
        <f t="shared" si="1"/>
        <v>#N/A</v>
      </c>
      <c r="N9" s="5" t="s">
        <v>1194</v>
      </c>
      <c r="O9" s="199" t="s">
        <v>1345</v>
      </c>
      <c r="P9" s="47" t="e">
        <f>P4/SUM(P4:P6)</f>
        <v>#N/A</v>
      </c>
      <c r="Q9" s="47" t="e">
        <f t="shared" ref="Q9:W9" si="2">Q4/SUM(Q4:Q6)</f>
        <v>#N/A</v>
      </c>
      <c r="R9" s="47" t="e">
        <f t="shared" si="2"/>
        <v>#N/A</v>
      </c>
      <c r="S9" s="47" t="e">
        <f t="shared" si="2"/>
        <v>#N/A</v>
      </c>
      <c r="T9" s="47" t="e">
        <f t="shared" si="2"/>
        <v>#N/A</v>
      </c>
      <c r="U9" s="47" t="e">
        <f t="shared" si="2"/>
        <v>#N/A</v>
      </c>
      <c r="V9" s="47" t="e">
        <f t="shared" si="2"/>
        <v>#N/A</v>
      </c>
      <c r="W9" s="47" t="e">
        <f t="shared" si="2"/>
        <v>#N/A</v>
      </c>
      <c r="Z9" s="5" t="s">
        <v>1194</v>
      </c>
      <c r="AA9" s="199" t="s">
        <v>1345</v>
      </c>
      <c r="AB9" s="47" t="e">
        <f>AB4/SUM(AB4:AB6)</f>
        <v>#N/A</v>
      </c>
      <c r="AC9" s="47" t="e">
        <f t="shared" ref="AC9:AI9" si="3">AC4/SUM(AC4:AC6)</f>
        <v>#N/A</v>
      </c>
      <c r="AD9" s="47" t="e">
        <f t="shared" si="3"/>
        <v>#N/A</v>
      </c>
      <c r="AE9" s="47" t="e">
        <f t="shared" si="3"/>
        <v>#N/A</v>
      </c>
      <c r="AF9" s="47" t="e">
        <f t="shared" si="3"/>
        <v>#N/A</v>
      </c>
      <c r="AG9" s="47" t="e">
        <f t="shared" si="3"/>
        <v>#N/A</v>
      </c>
      <c r="AH9" s="47" t="e">
        <f t="shared" si="3"/>
        <v>#N/A</v>
      </c>
      <c r="AI9" s="47" t="e">
        <f t="shared" si="3"/>
        <v>#N/A</v>
      </c>
      <c r="AL9" s="5" t="s">
        <v>1194</v>
      </c>
      <c r="AM9" s="199" t="s">
        <v>1345</v>
      </c>
      <c r="AN9" s="47" t="e">
        <f>AN4/SUM(AN4:AN6)</f>
        <v>#N/A</v>
      </c>
      <c r="AO9" s="47" t="e">
        <f t="shared" ref="AO9:AU9" si="4">AO4/SUM(AO4:AO6)</f>
        <v>#N/A</v>
      </c>
      <c r="AP9" s="47" t="e">
        <f t="shared" si="4"/>
        <v>#N/A</v>
      </c>
      <c r="AQ9" s="47" t="e">
        <f t="shared" si="4"/>
        <v>#N/A</v>
      </c>
      <c r="AR9" s="47" t="e">
        <f t="shared" si="4"/>
        <v>#N/A</v>
      </c>
      <c r="AS9" s="47" t="e">
        <f t="shared" si="4"/>
        <v>#N/A</v>
      </c>
      <c r="AT9" s="47" t="e">
        <f t="shared" si="4"/>
        <v>#N/A</v>
      </c>
      <c r="AU9" s="47" t="e">
        <f t="shared" si="4"/>
        <v>#N/A</v>
      </c>
      <c r="AX9" s="5" t="s">
        <v>1194</v>
      </c>
      <c r="AY9" s="199" t="s">
        <v>1345</v>
      </c>
      <c r="AZ9" s="47" t="e">
        <f>AZ4/SUM(AZ4:AZ6)</f>
        <v>#N/A</v>
      </c>
      <c r="BA9" s="47" t="e">
        <f t="shared" ref="BA9:BG9" si="5">BA4/SUM(BA4:BA6)</f>
        <v>#N/A</v>
      </c>
      <c r="BB9" s="47" t="e">
        <f t="shared" si="5"/>
        <v>#N/A</v>
      </c>
      <c r="BC9" s="47" t="e">
        <f t="shared" si="5"/>
        <v>#N/A</v>
      </c>
      <c r="BD9" s="47" t="e">
        <f t="shared" si="5"/>
        <v>#N/A</v>
      </c>
      <c r="BE9" s="47" t="e">
        <f t="shared" si="5"/>
        <v>#N/A</v>
      </c>
      <c r="BF9" s="47" t="e">
        <f t="shared" si="5"/>
        <v>#N/A</v>
      </c>
      <c r="BG9" s="47" t="e">
        <f t="shared" si="5"/>
        <v>#N/A</v>
      </c>
    </row>
    <row r="10" spans="2:59" x14ac:dyDescent="0.3">
      <c r="B10" s="5" t="s">
        <v>1195</v>
      </c>
      <c r="C10" s="199" t="s">
        <v>1560</v>
      </c>
      <c r="D10" s="47" t="e">
        <f>D5/SUM(D4:D6)</f>
        <v>#N/A</v>
      </c>
      <c r="E10" s="47" t="e">
        <f t="shared" ref="E10:K10" si="6">E5/SUM(E4:E6)</f>
        <v>#N/A</v>
      </c>
      <c r="F10" s="47" t="e">
        <f t="shared" si="6"/>
        <v>#N/A</v>
      </c>
      <c r="G10" s="47" t="e">
        <f t="shared" si="6"/>
        <v>#N/A</v>
      </c>
      <c r="H10" s="47" t="e">
        <f t="shared" si="6"/>
        <v>#N/A</v>
      </c>
      <c r="I10" s="47" t="e">
        <f t="shared" si="6"/>
        <v>#N/A</v>
      </c>
      <c r="J10" s="47" t="e">
        <f t="shared" si="6"/>
        <v>#N/A</v>
      </c>
      <c r="K10" s="47" t="e">
        <f t="shared" si="6"/>
        <v>#N/A</v>
      </c>
      <c r="N10" s="5" t="s">
        <v>1195</v>
      </c>
      <c r="O10" s="199" t="s">
        <v>1560</v>
      </c>
      <c r="P10" s="47" t="e">
        <f>P5/SUM(P4:P6)</f>
        <v>#N/A</v>
      </c>
      <c r="Q10" s="47" t="e">
        <f t="shared" ref="Q10:W10" si="7">Q5/SUM(Q4:Q6)</f>
        <v>#N/A</v>
      </c>
      <c r="R10" s="47" t="e">
        <f t="shared" si="7"/>
        <v>#N/A</v>
      </c>
      <c r="S10" s="47" t="e">
        <f t="shared" si="7"/>
        <v>#N/A</v>
      </c>
      <c r="T10" s="47" t="e">
        <f t="shared" si="7"/>
        <v>#N/A</v>
      </c>
      <c r="U10" s="47" t="e">
        <f t="shared" si="7"/>
        <v>#N/A</v>
      </c>
      <c r="V10" s="47" t="e">
        <f t="shared" si="7"/>
        <v>#N/A</v>
      </c>
      <c r="W10" s="47" t="e">
        <f t="shared" si="7"/>
        <v>#N/A</v>
      </c>
      <c r="Z10" s="5" t="s">
        <v>1195</v>
      </c>
      <c r="AA10" s="199" t="s">
        <v>1560</v>
      </c>
      <c r="AB10" s="47" t="e">
        <f>AB5/SUM(AB4:AB6)</f>
        <v>#N/A</v>
      </c>
      <c r="AC10" s="47" t="e">
        <f t="shared" ref="AC10:AI10" si="8">AC5/SUM(AC4:AC6)</f>
        <v>#N/A</v>
      </c>
      <c r="AD10" s="47" t="e">
        <f t="shared" si="8"/>
        <v>#N/A</v>
      </c>
      <c r="AE10" s="47" t="e">
        <f t="shared" si="8"/>
        <v>#N/A</v>
      </c>
      <c r="AF10" s="47" t="e">
        <f t="shared" si="8"/>
        <v>#N/A</v>
      </c>
      <c r="AG10" s="47" t="e">
        <f t="shared" si="8"/>
        <v>#N/A</v>
      </c>
      <c r="AH10" s="47" t="e">
        <f t="shared" si="8"/>
        <v>#N/A</v>
      </c>
      <c r="AI10" s="47" t="e">
        <f t="shared" si="8"/>
        <v>#N/A</v>
      </c>
      <c r="AL10" s="5" t="s">
        <v>1195</v>
      </c>
      <c r="AM10" s="199" t="s">
        <v>1560</v>
      </c>
      <c r="AN10" s="47" t="e">
        <f>AN5/SUM(AN4:AN6)</f>
        <v>#N/A</v>
      </c>
      <c r="AO10" s="47" t="e">
        <f t="shared" ref="AO10:AU10" si="9">AO5/SUM(AO4:AO6)</f>
        <v>#N/A</v>
      </c>
      <c r="AP10" s="47" t="e">
        <f t="shared" si="9"/>
        <v>#N/A</v>
      </c>
      <c r="AQ10" s="47" t="e">
        <f t="shared" si="9"/>
        <v>#N/A</v>
      </c>
      <c r="AR10" s="47" t="e">
        <f t="shared" si="9"/>
        <v>#N/A</v>
      </c>
      <c r="AS10" s="47" t="e">
        <f t="shared" si="9"/>
        <v>#N/A</v>
      </c>
      <c r="AT10" s="47" t="e">
        <f t="shared" si="9"/>
        <v>#N/A</v>
      </c>
      <c r="AU10" s="47" t="e">
        <f t="shared" si="9"/>
        <v>#N/A</v>
      </c>
      <c r="AX10" s="5" t="s">
        <v>1195</v>
      </c>
      <c r="AY10" s="199" t="s">
        <v>1560</v>
      </c>
      <c r="AZ10" s="47" t="e">
        <f>AZ5/SUM(AZ4:AZ6)</f>
        <v>#N/A</v>
      </c>
      <c r="BA10" s="47" t="e">
        <f t="shared" ref="BA10:BG10" si="10">BA5/SUM(BA4:BA6)</f>
        <v>#N/A</v>
      </c>
      <c r="BB10" s="47" t="e">
        <f t="shared" si="10"/>
        <v>#N/A</v>
      </c>
      <c r="BC10" s="47" t="e">
        <f t="shared" si="10"/>
        <v>#N/A</v>
      </c>
      <c r="BD10" s="47" t="e">
        <f t="shared" si="10"/>
        <v>#N/A</v>
      </c>
      <c r="BE10" s="47" t="e">
        <f t="shared" si="10"/>
        <v>#N/A</v>
      </c>
      <c r="BF10" s="47" t="e">
        <f t="shared" si="10"/>
        <v>#N/A</v>
      </c>
      <c r="BG10" s="47" t="e">
        <f t="shared" si="10"/>
        <v>#N/A</v>
      </c>
    </row>
    <row r="11" spans="2:59" ht="14.5" thickBot="1" x14ac:dyDescent="0.35">
      <c r="B11" s="8" t="s">
        <v>1196</v>
      </c>
      <c r="C11" s="211" t="s">
        <v>1561</v>
      </c>
      <c r="D11" s="48" t="e">
        <f>D6/SUM(D4:D6)</f>
        <v>#N/A</v>
      </c>
      <c r="E11" s="48" t="e">
        <f t="shared" ref="E11:K11" si="11">E6/SUM(E4:E6)</f>
        <v>#N/A</v>
      </c>
      <c r="F11" s="48" t="e">
        <f t="shared" si="11"/>
        <v>#N/A</v>
      </c>
      <c r="G11" s="48" t="e">
        <f t="shared" si="11"/>
        <v>#N/A</v>
      </c>
      <c r="H11" s="48" t="e">
        <f t="shared" si="11"/>
        <v>#N/A</v>
      </c>
      <c r="I11" s="48" t="e">
        <f t="shared" si="11"/>
        <v>#N/A</v>
      </c>
      <c r="J11" s="48" t="e">
        <f t="shared" si="11"/>
        <v>#N/A</v>
      </c>
      <c r="K11" s="48" t="e">
        <f t="shared" si="11"/>
        <v>#N/A</v>
      </c>
      <c r="N11" s="8" t="s">
        <v>1196</v>
      </c>
      <c r="O11" s="211" t="s">
        <v>1561</v>
      </c>
      <c r="P11" s="48" t="e">
        <f>P6/SUM(P4:P6)</f>
        <v>#N/A</v>
      </c>
      <c r="Q11" s="48" t="e">
        <f t="shared" ref="Q11:W11" si="12">Q6/SUM(Q4:Q6)</f>
        <v>#N/A</v>
      </c>
      <c r="R11" s="48" t="e">
        <f t="shared" si="12"/>
        <v>#N/A</v>
      </c>
      <c r="S11" s="48" t="e">
        <f t="shared" si="12"/>
        <v>#N/A</v>
      </c>
      <c r="T11" s="48" t="e">
        <f t="shared" si="12"/>
        <v>#N/A</v>
      </c>
      <c r="U11" s="48" t="e">
        <f t="shared" si="12"/>
        <v>#N/A</v>
      </c>
      <c r="V11" s="48" t="e">
        <f t="shared" si="12"/>
        <v>#N/A</v>
      </c>
      <c r="W11" s="48" t="e">
        <f t="shared" si="12"/>
        <v>#N/A</v>
      </c>
      <c r="Z11" s="8" t="s">
        <v>1196</v>
      </c>
      <c r="AA11" s="211" t="s">
        <v>1561</v>
      </c>
      <c r="AB11" s="48" t="e">
        <f>AB6/SUM(AB4:AB6)</f>
        <v>#N/A</v>
      </c>
      <c r="AC11" s="48" t="e">
        <f t="shared" ref="AC11:AI11" si="13">AC6/SUM(AC4:AC6)</f>
        <v>#N/A</v>
      </c>
      <c r="AD11" s="48" t="e">
        <f t="shared" si="13"/>
        <v>#N/A</v>
      </c>
      <c r="AE11" s="48" t="e">
        <f t="shared" si="13"/>
        <v>#N/A</v>
      </c>
      <c r="AF11" s="48" t="e">
        <f t="shared" si="13"/>
        <v>#N/A</v>
      </c>
      <c r="AG11" s="48" t="e">
        <f t="shared" si="13"/>
        <v>#N/A</v>
      </c>
      <c r="AH11" s="48" t="e">
        <f t="shared" si="13"/>
        <v>#N/A</v>
      </c>
      <c r="AI11" s="48" t="e">
        <f t="shared" si="13"/>
        <v>#N/A</v>
      </c>
      <c r="AL11" s="8" t="s">
        <v>1196</v>
      </c>
      <c r="AM11" s="211" t="s">
        <v>1561</v>
      </c>
      <c r="AN11" s="48" t="e">
        <f>AN6/SUM(AN4:AN6)</f>
        <v>#N/A</v>
      </c>
      <c r="AO11" s="48" t="e">
        <f t="shared" ref="AO11:AU11" si="14">AO6/SUM(AO4:AO6)</f>
        <v>#N/A</v>
      </c>
      <c r="AP11" s="48" t="e">
        <f t="shared" si="14"/>
        <v>#N/A</v>
      </c>
      <c r="AQ11" s="48" t="e">
        <f t="shared" si="14"/>
        <v>#N/A</v>
      </c>
      <c r="AR11" s="48" t="e">
        <f t="shared" si="14"/>
        <v>#N/A</v>
      </c>
      <c r="AS11" s="48" t="e">
        <f t="shared" si="14"/>
        <v>#N/A</v>
      </c>
      <c r="AT11" s="48" t="e">
        <f t="shared" si="14"/>
        <v>#N/A</v>
      </c>
      <c r="AU11" s="48" t="e">
        <f t="shared" si="14"/>
        <v>#N/A</v>
      </c>
      <c r="AX11" s="8" t="s">
        <v>1196</v>
      </c>
      <c r="AY11" s="211" t="s">
        <v>1561</v>
      </c>
      <c r="AZ11" s="48" t="e">
        <f>AZ6/SUM(AZ4:AZ6)</f>
        <v>#N/A</v>
      </c>
      <c r="BA11" s="48" t="e">
        <f t="shared" ref="BA11:BG11" si="15">BA6/SUM(BA4:BA6)</f>
        <v>#N/A</v>
      </c>
      <c r="BB11" s="48" t="e">
        <f t="shared" si="15"/>
        <v>#N/A</v>
      </c>
      <c r="BC11" s="48" t="e">
        <f t="shared" si="15"/>
        <v>#N/A</v>
      </c>
      <c r="BD11" s="48" t="e">
        <f t="shared" si="15"/>
        <v>#N/A</v>
      </c>
      <c r="BE11" s="48" t="e">
        <f t="shared" si="15"/>
        <v>#N/A</v>
      </c>
      <c r="BF11" s="48" t="e">
        <f t="shared" si="15"/>
        <v>#N/A</v>
      </c>
      <c r="BG11" s="48" t="e">
        <f t="shared" si="15"/>
        <v>#N/A</v>
      </c>
    </row>
  </sheetData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/>
  </sheetPr>
  <dimension ref="B1:AU19"/>
  <sheetViews>
    <sheetView zoomScale="85" zoomScaleNormal="85" workbookViewId="0">
      <selection activeCell="S71" sqref="S71"/>
    </sheetView>
  </sheetViews>
  <sheetFormatPr baseColWidth="10" defaultColWidth="11.453125" defaultRowHeight="14" x14ac:dyDescent="0.35"/>
  <cols>
    <col min="1" max="1" width="11.453125" style="2"/>
    <col min="2" max="2" width="38.54296875" style="2" bestFit="1" customWidth="1"/>
    <col min="3" max="3" width="38.54296875" style="2" customWidth="1"/>
    <col min="4" max="4" width="19.54296875" style="2" bestFit="1" customWidth="1"/>
    <col min="5" max="13" width="11.453125" style="2"/>
    <col min="14" max="14" width="38.54296875" style="2" bestFit="1" customWidth="1"/>
    <col min="15" max="15" width="22.54296875" style="2" bestFit="1" customWidth="1"/>
    <col min="16" max="25" width="11.453125" style="2"/>
    <col min="26" max="26" width="38.54296875" style="2" bestFit="1" customWidth="1"/>
    <col min="27" max="27" width="22.54296875" style="2" bestFit="1" customWidth="1"/>
    <col min="28" max="37" width="11.453125" style="2"/>
    <col min="38" max="38" width="38.54296875" style="2" bestFit="1" customWidth="1"/>
    <col min="39" max="39" width="22.54296875" style="2" bestFit="1" customWidth="1"/>
    <col min="40" max="41" width="11.453125" style="2"/>
    <col min="42" max="42" width="11.54296875" style="2" bestFit="1" customWidth="1"/>
    <col min="43" max="43" width="14" style="2" bestFit="1" customWidth="1"/>
    <col min="44" max="44" width="12.81640625" style="2" bestFit="1" customWidth="1"/>
    <col min="45" max="45" width="11.453125" style="2"/>
    <col min="46" max="47" width="14" style="2" bestFit="1" customWidth="1"/>
    <col min="48" max="16384" width="11.453125" style="2"/>
  </cols>
  <sheetData>
    <row r="1" spans="2:47" ht="14.5" thickBot="1" x14ac:dyDescent="0.4"/>
    <row r="2" spans="2:47" ht="14.5" x14ac:dyDescent="0.35">
      <c r="B2" s="3" t="s">
        <v>1225</v>
      </c>
      <c r="C2" s="29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N2" s="3" t="s">
        <v>1226</v>
      </c>
      <c r="O2" s="29"/>
      <c r="P2" s="89">
        <v>2</v>
      </c>
      <c r="Q2" s="89">
        <v>3</v>
      </c>
      <c r="R2" s="89">
        <v>4</v>
      </c>
      <c r="S2" s="89">
        <v>5</v>
      </c>
      <c r="T2" s="89">
        <v>6</v>
      </c>
      <c r="U2" s="89">
        <v>7</v>
      </c>
      <c r="V2" s="89">
        <v>8</v>
      </c>
      <c r="W2" s="89">
        <v>9</v>
      </c>
      <c r="Z2" s="3" t="s">
        <v>1227</v>
      </c>
      <c r="AA2" s="29"/>
      <c r="AB2" s="89">
        <v>2</v>
      </c>
      <c r="AC2" s="89">
        <v>3</v>
      </c>
      <c r="AD2" s="89">
        <v>4</v>
      </c>
      <c r="AE2" s="89">
        <v>5</v>
      </c>
      <c r="AF2" s="89">
        <v>6</v>
      </c>
      <c r="AG2" s="89">
        <v>7</v>
      </c>
      <c r="AH2" s="89">
        <v>8</v>
      </c>
      <c r="AI2" s="89">
        <v>9</v>
      </c>
      <c r="AL2" s="3" t="s">
        <v>1246</v>
      </c>
      <c r="AM2" s="29"/>
      <c r="AN2" s="89">
        <v>2</v>
      </c>
      <c r="AO2" s="89">
        <v>3</v>
      </c>
      <c r="AP2" s="89">
        <v>4</v>
      </c>
      <c r="AQ2" s="89">
        <v>5</v>
      </c>
      <c r="AR2" s="89">
        <v>6</v>
      </c>
      <c r="AS2" s="89">
        <v>7</v>
      </c>
      <c r="AT2" s="89">
        <v>8</v>
      </c>
      <c r="AU2" s="89">
        <v>9</v>
      </c>
    </row>
    <row r="3" spans="2:47" ht="14.5" x14ac:dyDescent="0.35">
      <c r="B3" s="23" t="s">
        <v>1258</v>
      </c>
      <c r="C3" s="30" t="s">
        <v>1259</v>
      </c>
      <c r="D3" s="365" t="s">
        <v>23</v>
      </c>
      <c r="E3" s="365" t="s">
        <v>1798</v>
      </c>
      <c r="F3" s="365" t="s">
        <v>1799</v>
      </c>
      <c r="G3" s="365" t="s">
        <v>1800</v>
      </c>
      <c r="H3" s="365" t="s">
        <v>1801</v>
      </c>
      <c r="I3" s="365" t="s">
        <v>1802</v>
      </c>
      <c r="J3" s="365" t="s">
        <v>1803</v>
      </c>
      <c r="K3" s="93" t="s">
        <v>1804</v>
      </c>
      <c r="N3" s="23" t="s">
        <v>1258</v>
      </c>
      <c r="O3" s="30" t="s">
        <v>1259</v>
      </c>
      <c r="P3" s="365" t="s">
        <v>23</v>
      </c>
      <c r="Q3" s="365" t="s">
        <v>1798</v>
      </c>
      <c r="R3" s="365" t="s">
        <v>1799</v>
      </c>
      <c r="S3" s="365" t="s">
        <v>1800</v>
      </c>
      <c r="T3" s="365" t="s">
        <v>1801</v>
      </c>
      <c r="U3" s="365" t="s">
        <v>1802</v>
      </c>
      <c r="V3" s="365" t="s">
        <v>1803</v>
      </c>
      <c r="W3" s="93" t="s">
        <v>1804</v>
      </c>
      <c r="Z3" s="23" t="s">
        <v>1258</v>
      </c>
      <c r="AA3" s="30" t="s">
        <v>1259</v>
      </c>
      <c r="AB3" s="365" t="s">
        <v>23</v>
      </c>
      <c r="AC3" s="365" t="s">
        <v>1798</v>
      </c>
      <c r="AD3" s="365" t="s">
        <v>1799</v>
      </c>
      <c r="AE3" s="365" t="s">
        <v>1800</v>
      </c>
      <c r="AF3" s="365" t="s">
        <v>1801</v>
      </c>
      <c r="AG3" s="365" t="s">
        <v>1802</v>
      </c>
      <c r="AH3" s="365" t="s">
        <v>1803</v>
      </c>
      <c r="AI3" s="93" t="s">
        <v>1804</v>
      </c>
      <c r="AL3" s="23" t="s">
        <v>1258</v>
      </c>
      <c r="AM3" s="30" t="s">
        <v>1259</v>
      </c>
      <c r="AN3" s="365" t="s">
        <v>23</v>
      </c>
      <c r="AO3" s="365" t="s">
        <v>1798</v>
      </c>
      <c r="AP3" s="365" t="s">
        <v>1799</v>
      </c>
      <c r="AQ3" s="365" t="s">
        <v>1800</v>
      </c>
      <c r="AR3" s="365" t="s">
        <v>1801</v>
      </c>
      <c r="AS3" s="365" t="s">
        <v>1802</v>
      </c>
      <c r="AT3" s="365" t="s">
        <v>1803</v>
      </c>
      <c r="AU3" s="93" t="s">
        <v>1804</v>
      </c>
    </row>
    <row r="4" spans="2:47" x14ac:dyDescent="0.35">
      <c r="B4" s="26" t="s">
        <v>213</v>
      </c>
      <c r="C4" s="31" t="s">
        <v>1197</v>
      </c>
      <c r="D4" s="16" t="e">
        <f>VLOOKUP($B4,capacities!$A$2:$J$2856,D$2,FALSE)</f>
        <v>#N/A</v>
      </c>
      <c r="E4" s="346" t="e">
        <f>VLOOKUP($B4,capacities!$A$2:$J$2856,E$2,FALSE)</f>
        <v>#N/A</v>
      </c>
      <c r="F4" s="346" t="e">
        <f>VLOOKUP($B4,capacities!$A$2:$J$2856,F$2,FALSE)</f>
        <v>#N/A</v>
      </c>
      <c r="G4" s="346" t="e">
        <f>VLOOKUP($B4,capacities!$A$2:$J$2856,G$2,FALSE)</f>
        <v>#N/A</v>
      </c>
      <c r="H4" s="346" t="e">
        <f>VLOOKUP($B4,capacities!$A$2:$J$2856,H$2,FALSE)</f>
        <v>#N/A</v>
      </c>
      <c r="I4" s="346" t="e">
        <f>VLOOKUP($B4,capacities!$A$2:$J$2856,I$2,FALSE)</f>
        <v>#N/A</v>
      </c>
      <c r="J4" s="346" t="e">
        <f>VLOOKUP($B4,capacities!$A$2:$J$2856,J$2,FALSE)</f>
        <v>#N/A</v>
      </c>
      <c r="K4" s="346" t="e">
        <f>VLOOKUP($B4,capacities!$A$2:$J$2856,K$2,FALSE)</f>
        <v>#N/A</v>
      </c>
      <c r="N4" s="26" t="s">
        <v>345</v>
      </c>
      <c r="O4" s="31" t="s">
        <v>1197</v>
      </c>
      <c r="P4" s="16" t="e">
        <f>VLOOKUP($N4,capacities!$A$2:$J$2856,P$2,FALSE)</f>
        <v>#N/A</v>
      </c>
      <c r="Q4" s="346" t="e">
        <f>VLOOKUP($N4,capacities!$A$2:$J$2856,Q$2,FALSE)</f>
        <v>#N/A</v>
      </c>
      <c r="R4" s="346" t="e">
        <f>VLOOKUP($N4,capacities!$A$2:$J$2856,R$2,FALSE)</f>
        <v>#N/A</v>
      </c>
      <c r="S4" s="346" t="e">
        <f>VLOOKUP($N4,capacities!$A$2:$J$2856,S$2,FALSE)</f>
        <v>#N/A</v>
      </c>
      <c r="T4" s="346" t="e">
        <f>VLOOKUP($N4,capacities!$A$2:$J$2856,T$2,FALSE)</f>
        <v>#N/A</v>
      </c>
      <c r="U4" s="346" t="e">
        <f>VLOOKUP($N4,capacities!$A$2:$J$2856,U$2,FALSE)</f>
        <v>#N/A</v>
      </c>
      <c r="V4" s="346" t="e">
        <f>VLOOKUP($N4,capacities!$A$2:$J$2856,V$2,FALSE)</f>
        <v>#N/A</v>
      </c>
      <c r="W4" s="346" t="e">
        <f>VLOOKUP($N4,capacities!$A$2:$J$2856,W$2,FALSE)</f>
        <v>#N/A</v>
      </c>
      <c r="Z4" s="26" t="s">
        <v>310</v>
      </c>
      <c r="AA4" s="31" t="s">
        <v>1197</v>
      </c>
      <c r="AB4" s="346" t="e">
        <f>VLOOKUP($Z4,capacities!$A$2:$J$2856,AB$2,FALSE)</f>
        <v>#N/A</v>
      </c>
      <c r="AC4" s="346" t="e">
        <f>VLOOKUP($Z4,capacities!$A$2:$J$2856,AC$2,FALSE)</f>
        <v>#N/A</v>
      </c>
      <c r="AD4" s="346" t="e">
        <f>VLOOKUP($Z4,capacities!$A$2:$J$2856,AD$2,FALSE)</f>
        <v>#N/A</v>
      </c>
      <c r="AE4" s="346" t="e">
        <f>VLOOKUP($Z4,capacities!$A$2:$J$2856,AE$2,FALSE)</f>
        <v>#N/A</v>
      </c>
      <c r="AF4" s="346" t="e">
        <f>VLOOKUP($Z4,capacities!$A$2:$J$2856,AF$2,FALSE)</f>
        <v>#N/A</v>
      </c>
      <c r="AG4" s="346" t="e">
        <f>VLOOKUP($Z4,capacities!$A$2:$J$2856,AG$2,FALSE)</f>
        <v>#N/A</v>
      </c>
      <c r="AH4" s="346" t="e">
        <f>VLOOKUP($Z4,capacities!$A$2:$J$2856,AH$2,FALSE)</f>
        <v>#N/A</v>
      </c>
      <c r="AI4" s="346" t="e">
        <f>VLOOKUP($Z4,capacities!$A$2:$J$2856,AI$2,FALSE)</f>
        <v>#N/A</v>
      </c>
      <c r="AL4" s="26" t="s">
        <v>1269</v>
      </c>
      <c r="AM4" s="31" t="s">
        <v>1197</v>
      </c>
      <c r="AN4" s="346" t="e">
        <f>VLOOKUP($AL4,capacities!$A$2:$J$2856,AN$2,FALSE)</f>
        <v>#N/A</v>
      </c>
      <c r="AO4" s="346" t="e">
        <f>VLOOKUP($AL4,capacities!$A$2:$J$2856,AO$2,FALSE)</f>
        <v>#N/A</v>
      </c>
      <c r="AP4" s="346" t="e">
        <f>VLOOKUP($AL4,capacities!$A$2:$J$2856,AP$2,FALSE)</f>
        <v>#N/A</v>
      </c>
      <c r="AQ4" s="346" t="e">
        <f>VLOOKUP($AL4,capacities!$A$2:$J$2856,AQ$2,FALSE)</f>
        <v>#N/A</v>
      </c>
      <c r="AR4" s="346" t="e">
        <f>VLOOKUP($AL4,capacities!$A$2:$J$2856,AR$2,FALSE)</f>
        <v>#N/A</v>
      </c>
      <c r="AS4" s="346" t="e">
        <f>VLOOKUP($AL4,capacities!$A$2:$J$2856,AS$2,FALSE)</f>
        <v>#N/A</v>
      </c>
      <c r="AT4" s="346" t="e">
        <f>VLOOKUP($AL4,capacities!$A$2:$J$2856,AT$2,FALSE)</f>
        <v>#N/A</v>
      </c>
      <c r="AU4" s="346" t="e">
        <f>VLOOKUP($AL4,capacities!$A$2:$J$2856,AU$2,FALSE)</f>
        <v>#N/A</v>
      </c>
    </row>
    <row r="5" spans="2:47" x14ac:dyDescent="0.35">
      <c r="B5" s="26" t="s">
        <v>214</v>
      </c>
      <c r="C5" s="31" t="s">
        <v>1197</v>
      </c>
      <c r="D5" s="346" t="e">
        <f>VLOOKUP($B5,capacities!$A$2:$J$2856,D$2,FALSE)</f>
        <v>#N/A</v>
      </c>
      <c r="E5" s="346" t="e">
        <f>VLOOKUP($B5,capacities!$A$2:$J$2856,E$2,FALSE)</f>
        <v>#N/A</v>
      </c>
      <c r="F5" s="346" t="e">
        <f>VLOOKUP($B5,capacities!$A$2:$J$2856,F$2,FALSE)</f>
        <v>#N/A</v>
      </c>
      <c r="G5" s="346" t="e">
        <f>VLOOKUP($B5,capacities!$A$2:$J$2856,G$2,FALSE)</f>
        <v>#N/A</v>
      </c>
      <c r="H5" s="346" t="e">
        <f>VLOOKUP($B5,capacities!$A$2:$J$2856,H$2,FALSE)</f>
        <v>#N/A</v>
      </c>
      <c r="I5" s="346" t="e">
        <f>VLOOKUP($B5,capacities!$A$2:$J$2856,I$2,FALSE)</f>
        <v>#N/A</v>
      </c>
      <c r="J5" s="346" t="e">
        <f>VLOOKUP($B5,capacities!$A$2:$J$2856,J$2,FALSE)</f>
        <v>#N/A</v>
      </c>
      <c r="K5" s="346" t="e">
        <f>VLOOKUP($B5,capacities!$A$2:$J$2856,K$2,FALSE)</f>
        <v>#N/A</v>
      </c>
      <c r="N5" s="26" t="s">
        <v>346</v>
      </c>
      <c r="O5" s="31" t="s">
        <v>1197</v>
      </c>
      <c r="P5" s="346" t="e">
        <f>VLOOKUP($N5,capacities!$A$2:$J$2856,P$2,FALSE)</f>
        <v>#N/A</v>
      </c>
      <c r="Q5" s="346" t="e">
        <f>VLOOKUP($N5,capacities!$A$2:$J$2856,Q$2,FALSE)</f>
        <v>#N/A</v>
      </c>
      <c r="R5" s="346" t="e">
        <f>VLOOKUP($N5,capacities!$A$2:$J$2856,R$2,FALSE)</f>
        <v>#N/A</v>
      </c>
      <c r="S5" s="346" t="e">
        <f>VLOOKUP($N5,capacities!$A$2:$J$2856,S$2,FALSE)</f>
        <v>#N/A</v>
      </c>
      <c r="T5" s="346" t="e">
        <f>VLOOKUP($N5,capacities!$A$2:$J$2856,T$2,FALSE)</f>
        <v>#N/A</v>
      </c>
      <c r="U5" s="346" t="e">
        <f>VLOOKUP($N5,capacities!$A$2:$J$2856,U$2,FALSE)</f>
        <v>#N/A</v>
      </c>
      <c r="V5" s="346" t="e">
        <f>VLOOKUP($N5,capacities!$A$2:$J$2856,V$2,FALSE)</f>
        <v>#N/A</v>
      </c>
      <c r="W5" s="346" t="e">
        <f>VLOOKUP($N5,capacities!$A$2:$J$2856,W$2,FALSE)</f>
        <v>#N/A</v>
      </c>
      <c r="Z5" s="26" t="s">
        <v>311</v>
      </c>
      <c r="AA5" s="31" t="s">
        <v>1197</v>
      </c>
      <c r="AB5" s="346" t="e">
        <f>VLOOKUP($Z5,capacities!$A$2:$J$2856,AB$2,FALSE)</f>
        <v>#N/A</v>
      </c>
      <c r="AC5" s="346" t="e">
        <f>VLOOKUP($Z5,capacities!$A$2:$J$2856,AC$2,FALSE)</f>
        <v>#N/A</v>
      </c>
      <c r="AD5" s="346" t="e">
        <f>VLOOKUP($Z5,capacities!$A$2:$J$2856,AD$2,FALSE)</f>
        <v>#N/A</v>
      </c>
      <c r="AE5" s="346" t="e">
        <f>VLOOKUP($Z5,capacities!$A$2:$J$2856,AE$2,FALSE)</f>
        <v>#N/A</v>
      </c>
      <c r="AF5" s="346" t="e">
        <f>VLOOKUP($Z5,capacities!$A$2:$J$2856,AF$2,FALSE)</f>
        <v>#N/A</v>
      </c>
      <c r="AG5" s="346" t="e">
        <f>VLOOKUP($Z5,capacities!$A$2:$J$2856,AG$2,FALSE)</f>
        <v>#N/A</v>
      </c>
      <c r="AH5" s="346" t="e">
        <f>VLOOKUP($Z5,capacities!$A$2:$J$2856,AH$2,FALSE)</f>
        <v>#N/A</v>
      </c>
      <c r="AI5" s="346" t="e">
        <f>VLOOKUP($Z5,capacities!$A$2:$J$2856,AI$2,FALSE)</f>
        <v>#N/A</v>
      </c>
      <c r="AL5" s="26" t="s">
        <v>303</v>
      </c>
      <c r="AM5" s="31" t="s">
        <v>1197</v>
      </c>
      <c r="AN5" s="346" t="e">
        <f>VLOOKUP($AL5,capacities!$A$2:$J$2856,AN$2,FALSE)</f>
        <v>#N/A</v>
      </c>
      <c r="AO5" s="346" t="e">
        <f>VLOOKUP($AL5,capacities!$A$2:$J$2856,AO$2,FALSE)</f>
        <v>#N/A</v>
      </c>
      <c r="AP5" s="346" t="e">
        <f>VLOOKUP($AL5,capacities!$A$2:$J$2856,AP$2,FALSE)</f>
        <v>#N/A</v>
      </c>
      <c r="AQ5" s="346" t="e">
        <f>VLOOKUP($AL5,capacities!$A$2:$J$2856,AQ$2,FALSE)</f>
        <v>#N/A</v>
      </c>
      <c r="AR5" s="346" t="e">
        <f>VLOOKUP($AL5,capacities!$A$2:$J$2856,AR$2,FALSE)</f>
        <v>#N/A</v>
      </c>
      <c r="AS5" s="346" t="e">
        <f>VLOOKUP($AL5,capacities!$A$2:$J$2856,AS$2,FALSE)</f>
        <v>#N/A</v>
      </c>
      <c r="AT5" s="346" t="e">
        <f>VLOOKUP($AL5,capacities!$A$2:$J$2856,AT$2,FALSE)</f>
        <v>#N/A</v>
      </c>
      <c r="AU5" s="346" t="e">
        <f>VLOOKUP($AL5,capacities!$A$2:$J$2856,AU$2,FALSE)</f>
        <v>#N/A</v>
      </c>
    </row>
    <row r="6" spans="2:47" x14ac:dyDescent="0.35">
      <c r="B6" s="26" t="s">
        <v>217</v>
      </c>
      <c r="C6" s="31" t="s">
        <v>1198</v>
      </c>
      <c r="D6" s="346" t="e">
        <f>VLOOKUP($B6,capacities!$A$2:$J$2856,D$2,FALSE)</f>
        <v>#N/A</v>
      </c>
      <c r="E6" s="346" t="e">
        <f>VLOOKUP($B6,capacities!$A$2:$J$2856,E$2,FALSE)</f>
        <v>#N/A</v>
      </c>
      <c r="F6" s="346" t="e">
        <f>VLOOKUP($B6,capacities!$A$2:$J$2856,F$2,FALSE)</f>
        <v>#N/A</v>
      </c>
      <c r="G6" s="346" t="e">
        <f>VLOOKUP($B6,capacities!$A$2:$J$2856,G$2,FALSE)</f>
        <v>#N/A</v>
      </c>
      <c r="H6" s="346" t="e">
        <f>VLOOKUP($B6,capacities!$A$2:$J$2856,H$2,FALSE)</f>
        <v>#N/A</v>
      </c>
      <c r="I6" s="346" t="e">
        <f>VLOOKUP($B6,capacities!$A$2:$J$2856,I$2,FALSE)</f>
        <v>#N/A</v>
      </c>
      <c r="J6" s="346" t="e">
        <f>VLOOKUP($B6,capacities!$A$2:$J$2856,J$2,FALSE)</f>
        <v>#N/A</v>
      </c>
      <c r="K6" s="346" t="e">
        <f>VLOOKUP($B6,capacities!$A$2:$J$2856,K$2,FALSE)</f>
        <v>#N/A</v>
      </c>
      <c r="N6" s="26" t="s">
        <v>349</v>
      </c>
      <c r="O6" s="31" t="s">
        <v>1198</v>
      </c>
      <c r="P6" s="346" t="e">
        <f>VLOOKUP($N6,capacities!$A$2:$J$2856,P$2,FALSE)</f>
        <v>#N/A</v>
      </c>
      <c r="Q6" s="346" t="e">
        <f>VLOOKUP($N6,capacities!$A$2:$J$2856,Q$2,FALSE)</f>
        <v>#N/A</v>
      </c>
      <c r="R6" s="346" t="e">
        <f>VLOOKUP($N6,capacities!$A$2:$J$2856,R$2,FALSE)</f>
        <v>#N/A</v>
      </c>
      <c r="S6" s="346" t="e">
        <f>VLOOKUP($N6,capacities!$A$2:$J$2856,S$2,FALSE)</f>
        <v>#N/A</v>
      </c>
      <c r="T6" s="346" t="e">
        <f>VLOOKUP($N6,capacities!$A$2:$J$2856,T$2,FALSE)</f>
        <v>#N/A</v>
      </c>
      <c r="U6" s="346" t="e">
        <f>VLOOKUP($N6,capacities!$A$2:$J$2856,U$2,FALSE)</f>
        <v>#N/A</v>
      </c>
      <c r="V6" s="346" t="e">
        <f>VLOOKUP($N6,capacities!$A$2:$J$2856,V$2,FALSE)</f>
        <v>#N/A</v>
      </c>
      <c r="W6" s="346" t="e">
        <f>VLOOKUP($N6,capacities!$A$2:$J$2856,W$2,FALSE)</f>
        <v>#N/A</v>
      </c>
      <c r="Z6" s="26" t="s">
        <v>313</v>
      </c>
      <c r="AA6" s="31" t="s">
        <v>1198</v>
      </c>
      <c r="AB6" s="346" t="e">
        <f>VLOOKUP($Z6,capacities!$A$2:$J$2856,AB$2,FALSE)</f>
        <v>#N/A</v>
      </c>
      <c r="AC6" s="346" t="e">
        <f>VLOOKUP($Z6,capacities!$A$2:$J$2856,AC$2,FALSE)</f>
        <v>#N/A</v>
      </c>
      <c r="AD6" s="346" t="e">
        <f>VLOOKUP($Z6,capacities!$A$2:$J$2856,AD$2,FALSE)</f>
        <v>#N/A</v>
      </c>
      <c r="AE6" s="346" t="e">
        <f>VLOOKUP($Z6,capacities!$A$2:$J$2856,AE$2,FALSE)</f>
        <v>#N/A</v>
      </c>
      <c r="AF6" s="346" t="e">
        <f>VLOOKUP($Z6,capacities!$A$2:$J$2856,AF$2,FALSE)</f>
        <v>#N/A</v>
      </c>
      <c r="AG6" s="346" t="e">
        <f>VLOOKUP($Z6,capacities!$A$2:$J$2856,AG$2,FALSE)</f>
        <v>#N/A</v>
      </c>
      <c r="AH6" s="346" t="e">
        <f>VLOOKUP($Z6,capacities!$A$2:$J$2856,AH$2,FALSE)</f>
        <v>#N/A</v>
      </c>
      <c r="AI6" s="346" t="e">
        <f>VLOOKUP($Z6,capacities!$A$2:$J$2856,AI$2,FALSE)</f>
        <v>#N/A</v>
      </c>
      <c r="AL6" s="26" t="s">
        <v>305</v>
      </c>
      <c r="AM6" s="31" t="s">
        <v>1198</v>
      </c>
      <c r="AN6" s="346" t="e">
        <f>VLOOKUP($AL6,capacities!$A$2:$J$2856,AN$2,FALSE)</f>
        <v>#N/A</v>
      </c>
      <c r="AO6" s="346" t="e">
        <f>VLOOKUP($AL6,capacities!$A$2:$J$2856,AO$2,FALSE)</f>
        <v>#N/A</v>
      </c>
      <c r="AP6" s="346" t="e">
        <f>VLOOKUP($AL6,capacities!$A$2:$J$2856,AP$2,FALSE)</f>
        <v>#N/A</v>
      </c>
      <c r="AQ6" s="346" t="e">
        <f>VLOOKUP($AL6,capacities!$A$2:$J$2856,AQ$2,FALSE)</f>
        <v>#N/A</v>
      </c>
      <c r="AR6" s="346" t="e">
        <f>VLOOKUP($AL6,capacities!$A$2:$J$2856,AR$2,FALSE)</f>
        <v>#N/A</v>
      </c>
      <c r="AS6" s="346" t="e">
        <f>VLOOKUP($AL6,capacities!$A$2:$J$2856,AS$2,FALSE)</f>
        <v>#N/A</v>
      </c>
      <c r="AT6" s="346" t="e">
        <f>VLOOKUP($AL6,capacities!$A$2:$J$2856,AT$2,FALSE)</f>
        <v>#N/A</v>
      </c>
      <c r="AU6" s="346" t="e">
        <f>VLOOKUP($AL6,capacities!$A$2:$J$2856,AU$2,FALSE)</f>
        <v>#N/A</v>
      </c>
    </row>
    <row r="7" spans="2:47" x14ac:dyDescent="0.35">
      <c r="B7" s="26" t="s">
        <v>218</v>
      </c>
      <c r="C7" s="31" t="s">
        <v>1198</v>
      </c>
      <c r="D7" s="346" t="e">
        <f>VLOOKUP($B7,capacities!$A$2:$J$2856,D$2,FALSE)</f>
        <v>#N/A</v>
      </c>
      <c r="E7" s="346" t="e">
        <f>VLOOKUP($B7,capacities!$A$2:$J$2856,E$2,FALSE)</f>
        <v>#N/A</v>
      </c>
      <c r="F7" s="346" t="e">
        <f>VLOOKUP($B7,capacities!$A$2:$J$2856,F$2,FALSE)</f>
        <v>#N/A</v>
      </c>
      <c r="G7" s="346" t="e">
        <f>VLOOKUP($B7,capacities!$A$2:$J$2856,G$2,FALSE)</f>
        <v>#N/A</v>
      </c>
      <c r="H7" s="346" t="e">
        <f>VLOOKUP($B7,capacities!$A$2:$J$2856,H$2,FALSE)</f>
        <v>#N/A</v>
      </c>
      <c r="I7" s="346" t="e">
        <f>VLOOKUP($B7,capacities!$A$2:$J$2856,I$2,FALSE)</f>
        <v>#N/A</v>
      </c>
      <c r="J7" s="346" t="e">
        <f>VLOOKUP($B7,capacities!$A$2:$J$2856,J$2,FALSE)</f>
        <v>#N/A</v>
      </c>
      <c r="K7" s="346" t="e">
        <f>VLOOKUP($B7,capacities!$A$2:$J$2856,K$2,FALSE)</f>
        <v>#N/A</v>
      </c>
      <c r="N7" s="26" t="s">
        <v>350</v>
      </c>
      <c r="O7" s="31" t="s">
        <v>1198</v>
      </c>
      <c r="P7" s="346" t="e">
        <f>VLOOKUP($N7,capacities!$A$2:$J$2856,P$2,FALSE)</f>
        <v>#N/A</v>
      </c>
      <c r="Q7" s="346" t="e">
        <f>VLOOKUP($N7,capacities!$A$2:$J$2856,Q$2,FALSE)</f>
        <v>#N/A</v>
      </c>
      <c r="R7" s="346" t="e">
        <f>VLOOKUP($N7,capacities!$A$2:$J$2856,R$2,FALSE)</f>
        <v>#N/A</v>
      </c>
      <c r="S7" s="346" t="e">
        <f>VLOOKUP($N7,capacities!$A$2:$J$2856,S$2,FALSE)</f>
        <v>#N/A</v>
      </c>
      <c r="T7" s="346" t="e">
        <f>VLOOKUP($N7,capacities!$A$2:$J$2856,T$2,FALSE)</f>
        <v>#N/A</v>
      </c>
      <c r="U7" s="346" t="e">
        <f>VLOOKUP($N7,capacities!$A$2:$J$2856,U$2,FALSE)</f>
        <v>#N/A</v>
      </c>
      <c r="V7" s="346" t="e">
        <f>VLOOKUP($N7,capacities!$A$2:$J$2856,V$2,FALSE)</f>
        <v>#N/A</v>
      </c>
      <c r="W7" s="346" t="e">
        <f>VLOOKUP($N7,capacities!$A$2:$J$2856,W$2,FALSE)</f>
        <v>#N/A</v>
      </c>
      <c r="Z7" s="26" t="s">
        <v>314</v>
      </c>
      <c r="AA7" s="31" t="s">
        <v>1198</v>
      </c>
      <c r="AB7" s="346" t="e">
        <f>VLOOKUP($Z7,capacities!$A$2:$J$2856,AB$2,FALSE)</f>
        <v>#N/A</v>
      </c>
      <c r="AC7" s="346" t="e">
        <f>VLOOKUP($Z7,capacities!$A$2:$J$2856,AC$2,FALSE)</f>
        <v>#N/A</v>
      </c>
      <c r="AD7" s="346" t="e">
        <f>VLOOKUP($Z7,capacities!$A$2:$J$2856,AD$2,FALSE)</f>
        <v>#N/A</v>
      </c>
      <c r="AE7" s="346" t="e">
        <f>VLOOKUP($Z7,capacities!$A$2:$J$2856,AE$2,FALSE)</f>
        <v>#N/A</v>
      </c>
      <c r="AF7" s="346" t="e">
        <f>VLOOKUP($Z7,capacities!$A$2:$J$2856,AF$2,FALSE)</f>
        <v>#N/A</v>
      </c>
      <c r="AG7" s="346" t="e">
        <f>VLOOKUP($Z7,capacities!$A$2:$J$2856,AG$2,FALSE)</f>
        <v>#N/A</v>
      </c>
      <c r="AH7" s="346" t="e">
        <f>VLOOKUP($Z7,capacities!$A$2:$J$2856,AH$2,FALSE)</f>
        <v>#N/A</v>
      </c>
      <c r="AI7" s="346" t="e">
        <f>VLOOKUP($Z7,capacities!$A$2:$J$2856,AI$2,FALSE)</f>
        <v>#N/A</v>
      </c>
      <c r="AL7" s="26" t="s">
        <v>306</v>
      </c>
      <c r="AM7" s="31" t="s">
        <v>1198</v>
      </c>
      <c r="AN7" s="346" t="e">
        <f>VLOOKUP($AL7,capacities!$A$2:$J$2856,AN$2,FALSE)</f>
        <v>#N/A</v>
      </c>
      <c r="AO7" s="346" t="e">
        <f>VLOOKUP($AL7,capacities!$A$2:$J$2856,AO$2,FALSE)</f>
        <v>#N/A</v>
      </c>
      <c r="AP7" s="346" t="e">
        <f>VLOOKUP($AL7,capacities!$A$2:$J$2856,AP$2,FALSE)</f>
        <v>#N/A</v>
      </c>
      <c r="AQ7" s="346" t="e">
        <f>VLOOKUP($AL7,capacities!$A$2:$J$2856,AQ$2,FALSE)</f>
        <v>#N/A</v>
      </c>
      <c r="AR7" s="346" t="e">
        <f>VLOOKUP($AL7,capacities!$A$2:$J$2856,AR$2,FALSE)</f>
        <v>#N/A</v>
      </c>
      <c r="AS7" s="346" t="e">
        <f>VLOOKUP($AL7,capacities!$A$2:$J$2856,AS$2,FALSE)</f>
        <v>#N/A</v>
      </c>
      <c r="AT7" s="346" t="e">
        <f>VLOOKUP($AL7,capacities!$A$2:$J$2856,AT$2,FALSE)</f>
        <v>#N/A</v>
      </c>
      <c r="AU7" s="346" t="e">
        <f>VLOOKUP($AL7,capacities!$A$2:$J$2856,AU$2,FALSE)</f>
        <v>#N/A</v>
      </c>
    </row>
    <row r="8" spans="2:47" x14ac:dyDescent="0.35">
      <c r="B8" s="26" t="s">
        <v>215</v>
      </c>
      <c r="C8" s="31" t="s">
        <v>1199</v>
      </c>
      <c r="D8" s="346" t="e">
        <f>VLOOKUP($B8,capacities!$A$2:$J$2856,D$2,FALSE)</f>
        <v>#N/A</v>
      </c>
      <c r="E8" s="346" t="e">
        <f>VLOOKUP($B8,capacities!$A$2:$J$2856,E$2,FALSE)</f>
        <v>#N/A</v>
      </c>
      <c r="F8" s="346" t="e">
        <f>VLOOKUP($B8,capacities!$A$2:$J$2856,F$2,FALSE)</f>
        <v>#N/A</v>
      </c>
      <c r="G8" s="346" t="e">
        <f>VLOOKUP($B8,capacities!$A$2:$J$2856,G$2,FALSE)</f>
        <v>#N/A</v>
      </c>
      <c r="H8" s="346" t="e">
        <f>VLOOKUP($B8,capacities!$A$2:$J$2856,H$2,FALSE)</f>
        <v>#N/A</v>
      </c>
      <c r="I8" s="346" t="e">
        <f>VLOOKUP($B8,capacities!$A$2:$J$2856,I$2,FALSE)</f>
        <v>#N/A</v>
      </c>
      <c r="J8" s="346" t="e">
        <f>VLOOKUP($B8,capacities!$A$2:$J$2856,J$2,FALSE)</f>
        <v>#N/A</v>
      </c>
      <c r="K8" s="346" t="e">
        <f>VLOOKUP($B8,capacities!$A$2:$J$2856,K$2,FALSE)</f>
        <v>#N/A</v>
      </c>
      <c r="N8" s="26" t="s">
        <v>347</v>
      </c>
      <c r="O8" s="31" t="s">
        <v>1199</v>
      </c>
      <c r="P8" s="346" t="e">
        <f>VLOOKUP($N8,capacities!$A$2:$J$2856,P$2,FALSE)</f>
        <v>#N/A</v>
      </c>
      <c r="Q8" s="346" t="e">
        <f>VLOOKUP($N8,capacities!$A$2:$J$2856,Q$2,FALSE)</f>
        <v>#N/A</v>
      </c>
      <c r="R8" s="346" t="e">
        <f>VLOOKUP($N8,capacities!$A$2:$J$2856,R$2,FALSE)</f>
        <v>#N/A</v>
      </c>
      <c r="S8" s="346" t="e">
        <f>VLOOKUP($N8,capacities!$A$2:$J$2856,S$2,FALSE)</f>
        <v>#N/A</v>
      </c>
      <c r="T8" s="346" t="e">
        <f>VLOOKUP($N8,capacities!$A$2:$J$2856,T$2,FALSE)</f>
        <v>#N/A</v>
      </c>
      <c r="U8" s="346" t="e">
        <f>VLOOKUP($N8,capacities!$A$2:$J$2856,U$2,FALSE)</f>
        <v>#N/A</v>
      </c>
      <c r="V8" s="346" t="e">
        <f>VLOOKUP($N8,capacities!$A$2:$J$2856,V$2,FALSE)</f>
        <v>#N/A</v>
      </c>
      <c r="W8" s="346" t="e">
        <f>VLOOKUP($N8,capacities!$A$2:$J$2856,W$2,FALSE)</f>
        <v>#N/A</v>
      </c>
      <c r="Z8" s="26" t="s">
        <v>312</v>
      </c>
      <c r="AA8" s="31" t="s">
        <v>1199</v>
      </c>
      <c r="AB8" s="346" t="e">
        <f>VLOOKUP($Z8,capacities!$A$2:$J$2856,AB$2,FALSE)</f>
        <v>#N/A</v>
      </c>
      <c r="AC8" s="346" t="e">
        <f>VLOOKUP($Z8,capacities!$A$2:$J$2856,AC$2,FALSE)</f>
        <v>#N/A</v>
      </c>
      <c r="AD8" s="346" t="e">
        <f>VLOOKUP($Z8,capacities!$A$2:$J$2856,AD$2,FALSE)</f>
        <v>#N/A</v>
      </c>
      <c r="AE8" s="346" t="e">
        <f>VLOOKUP($Z8,capacities!$A$2:$J$2856,AE$2,FALSE)</f>
        <v>#N/A</v>
      </c>
      <c r="AF8" s="346" t="e">
        <f>VLOOKUP($Z8,capacities!$A$2:$J$2856,AF$2,FALSE)</f>
        <v>#N/A</v>
      </c>
      <c r="AG8" s="346" t="e">
        <f>VLOOKUP($Z8,capacities!$A$2:$J$2856,AG$2,FALSE)</f>
        <v>#N/A</v>
      </c>
      <c r="AH8" s="346" t="e">
        <f>VLOOKUP($Z8,capacities!$A$2:$J$2856,AH$2,FALSE)</f>
        <v>#N/A</v>
      </c>
      <c r="AI8" s="346" t="e">
        <f>VLOOKUP($Z8,capacities!$A$2:$J$2856,AI$2,FALSE)</f>
        <v>#N/A</v>
      </c>
      <c r="AL8" s="26" t="s">
        <v>304</v>
      </c>
      <c r="AM8" s="31" t="s">
        <v>1199</v>
      </c>
      <c r="AN8" s="346" t="e">
        <f>VLOOKUP($AL8,capacities!$A$2:$J$2856,AN$2,FALSE)</f>
        <v>#N/A</v>
      </c>
      <c r="AO8" s="346" t="e">
        <f>VLOOKUP($AL8,capacities!$A$2:$J$2856,AO$2,FALSE)</f>
        <v>#N/A</v>
      </c>
      <c r="AP8" s="346" t="e">
        <f>VLOOKUP($AL8,capacities!$A$2:$J$2856,AP$2,FALSE)</f>
        <v>#N/A</v>
      </c>
      <c r="AQ8" s="346" t="e">
        <f>VLOOKUP($AL8,capacities!$A$2:$J$2856,AQ$2,FALSE)</f>
        <v>#N/A</v>
      </c>
      <c r="AR8" s="346" t="e">
        <f>VLOOKUP($AL8,capacities!$A$2:$J$2856,AR$2,FALSE)</f>
        <v>#N/A</v>
      </c>
      <c r="AS8" s="346" t="e">
        <f>VLOOKUP($AL8,capacities!$A$2:$J$2856,AS$2,FALSE)</f>
        <v>#N/A</v>
      </c>
      <c r="AT8" s="346" t="e">
        <f>VLOOKUP($AL8,capacities!$A$2:$J$2856,AT$2,FALSE)</f>
        <v>#N/A</v>
      </c>
      <c r="AU8" s="346" t="e">
        <f>VLOOKUP($AL8,capacities!$A$2:$J$2856,AU$2,FALSE)</f>
        <v>#N/A</v>
      </c>
    </row>
    <row r="9" spans="2:47" x14ac:dyDescent="0.35">
      <c r="B9" s="26" t="s">
        <v>219</v>
      </c>
      <c r="C9" s="31" t="s">
        <v>1200</v>
      </c>
      <c r="D9" s="346" t="e">
        <f>VLOOKUP($B9,capacities!$A$2:$J$2856,D$2,FALSE)</f>
        <v>#N/A</v>
      </c>
      <c r="E9" s="346" t="e">
        <f>VLOOKUP($B9,capacities!$A$2:$J$2856,E$2,FALSE)</f>
        <v>#N/A</v>
      </c>
      <c r="F9" s="346" t="e">
        <f>VLOOKUP($B9,capacities!$A$2:$J$2856,F$2,FALSE)</f>
        <v>#N/A</v>
      </c>
      <c r="G9" s="346" t="e">
        <f>VLOOKUP($B9,capacities!$A$2:$J$2856,G$2,FALSE)</f>
        <v>#N/A</v>
      </c>
      <c r="H9" s="346" t="e">
        <f>VLOOKUP($B9,capacities!$A$2:$J$2856,H$2,FALSE)</f>
        <v>#N/A</v>
      </c>
      <c r="I9" s="346" t="e">
        <f>VLOOKUP($B9,capacities!$A$2:$J$2856,I$2,FALSE)</f>
        <v>#N/A</v>
      </c>
      <c r="J9" s="346" t="e">
        <f>VLOOKUP($B9,capacities!$A$2:$J$2856,J$2,FALSE)</f>
        <v>#N/A</v>
      </c>
      <c r="K9" s="346" t="e">
        <f>VLOOKUP($B9,capacities!$A$2:$J$2856,K$2,FALSE)</f>
        <v>#N/A</v>
      </c>
      <c r="N9" s="26" t="s">
        <v>351</v>
      </c>
      <c r="O9" s="31" t="s">
        <v>1200</v>
      </c>
      <c r="P9" s="346" t="e">
        <f>VLOOKUP($N9,capacities!$A$2:$J$2856,P$2,FALSE)</f>
        <v>#N/A</v>
      </c>
      <c r="Q9" s="346" t="e">
        <f>VLOOKUP($N9,capacities!$A$2:$J$2856,Q$2,FALSE)</f>
        <v>#N/A</v>
      </c>
      <c r="R9" s="346" t="e">
        <f>VLOOKUP($N9,capacities!$A$2:$J$2856,R$2,FALSE)</f>
        <v>#N/A</v>
      </c>
      <c r="S9" s="346" t="e">
        <f>VLOOKUP($N9,capacities!$A$2:$J$2856,S$2,FALSE)</f>
        <v>#N/A</v>
      </c>
      <c r="T9" s="346" t="e">
        <f>VLOOKUP($N9,capacities!$A$2:$J$2856,T$2,FALSE)</f>
        <v>#N/A</v>
      </c>
      <c r="U9" s="346" t="e">
        <f>VLOOKUP($N9,capacities!$A$2:$J$2856,U$2,FALSE)</f>
        <v>#N/A</v>
      </c>
      <c r="V9" s="346" t="e">
        <f>VLOOKUP($N9,capacities!$A$2:$J$2856,V$2,FALSE)</f>
        <v>#N/A</v>
      </c>
      <c r="W9" s="346" t="e">
        <f>VLOOKUP($N9,capacities!$A$2:$J$2856,W$2,FALSE)</f>
        <v>#N/A</v>
      </c>
      <c r="Z9" s="26" t="s">
        <v>315</v>
      </c>
      <c r="AA9" s="31" t="s">
        <v>1200</v>
      </c>
      <c r="AB9" s="346" t="e">
        <f>VLOOKUP($Z9,capacities!$A$2:$J$2856,AB$2,FALSE)</f>
        <v>#N/A</v>
      </c>
      <c r="AC9" s="346" t="e">
        <f>VLOOKUP($Z9,capacities!$A$2:$J$2856,AC$2,FALSE)</f>
        <v>#N/A</v>
      </c>
      <c r="AD9" s="346" t="e">
        <f>VLOOKUP($Z9,capacities!$A$2:$J$2856,AD$2,FALSE)</f>
        <v>#N/A</v>
      </c>
      <c r="AE9" s="346" t="e">
        <f>VLOOKUP($Z9,capacities!$A$2:$J$2856,AE$2,FALSE)</f>
        <v>#N/A</v>
      </c>
      <c r="AF9" s="346" t="e">
        <f>VLOOKUP($Z9,capacities!$A$2:$J$2856,AF$2,FALSE)</f>
        <v>#N/A</v>
      </c>
      <c r="AG9" s="346" t="e">
        <f>VLOOKUP($Z9,capacities!$A$2:$J$2856,AG$2,FALSE)</f>
        <v>#N/A</v>
      </c>
      <c r="AH9" s="346" t="e">
        <f>VLOOKUP($Z9,capacities!$A$2:$J$2856,AH$2,FALSE)</f>
        <v>#N/A</v>
      </c>
      <c r="AI9" s="346" t="e">
        <f>VLOOKUP($Z9,capacities!$A$2:$J$2856,AI$2,FALSE)</f>
        <v>#N/A</v>
      </c>
      <c r="AL9" s="26" t="s">
        <v>307</v>
      </c>
      <c r="AM9" s="31" t="s">
        <v>1200</v>
      </c>
      <c r="AN9" s="346" t="e">
        <f>VLOOKUP($AL9,capacities!$A$2:$J$2856,AN$2,FALSE)</f>
        <v>#N/A</v>
      </c>
      <c r="AO9" s="346" t="e">
        <f>VLOOKUP($AL9,capacities!$A$2:$J$2856,AO$2,FALSE)</f>
        <v>#N/A</v>
      </c>
      <c r="AP9" s="346" t="e">
        <f>VLOOKUP($AL9,capacities!$A$2:$J$2856,AP$2,FALSE)</f>
        <v>#N/A</v>
      </c>
      <c r="AQ9" s="346" t="e">
        <f>VLOOKUP($AL9,capacities!$A$2:$J$2856,AQ$2,FALSE)</f>
        <v>#N/A</v>
      </c>
      <c r="AR9" s="346" t="e">
        <f>VLOOKUP($AL9,capacities!$A$2:$J$2856,AR$2,FALSE)</f>
        <v>#N/A</v>
      </c>
      <c r="AS9" s="346" t="e">
        <f>VLOOKUP($AL9,capacities!$A$2:$J$2856,AS$2,FALSE)</f>
        <v>#N/A</v>
      </c>
      <c r="AT9" s="346" t="e">
        <f>VLOOKUP($AL9,capacities!$A$2:$J$2856,AT$2,FALSE)</f>
        <v>#N/A</v>
      </c>
      <c r="AU9" s="346" t="e">
        <f>VLOOKUP($AL9,capacities!$A$2:$J$2856,AU$2,FALSE)</f>
        <v>#N/A</v>
      </c>
    </row>
    <row r="10" spans="2:47" x14ac:dyDescent="0.35">
      <c r="B10" s="27" t="s">
        <v>220</v>
      </c>
      <c r="C10" s="32" t="s">
        <v>1200</v>
      </c>
      <c r="D10" s="346" t="e">
        <f>VLOOKUP($B10,capacities!$A$2:$J$2856,D$2,FALSE)</f>
        <v>#N/A</v>
      </c>
      <c r="E10" s="346" t="e">
        <f>VLOOKUP($B10,capacities!$A$2:$J$2856,E$2,FALSE)</f>
        <v>#N/A</v>
      </c>
      <c r="F10" s="346" t="e">
        <f>VLOOKUP($B10,capacities!$A$2:$J$2856,F$2,FALSE)</f>
        <v>#N/A</v>
      </c>
      <c r="G10" s="346" t="e">
        <f>VLOOKUP($B10,capacities!$A$2:$J$2856,G$2,FALSE)</f>
        <v>#N/A</v>
      </c>
      <c r="H10" s="346" t="e">
        <f>VLOOKUP($B10,capacities!$A$2:$J$2856,H$2,FALSE)</f>
        <v>#N/A</v>
      </c>
      <c r="I10" s="346" t="e">
        <f>VLOOKUP($B10,capacities!$A$2:$J$2856,I$2,FALSE)</f>
        <v>#N/A</v>
      </c>
      <c r="J10" s="346" t="e">
        <f>VLOOKUP($B10,capacities!$A$2:$J$2856,J$2,FALSE)</f>
        <v>#N/A</v>
      </c>
      <c r="K10" s="346" t="e">
        <f>VLOOKUP($B10,capacities!$A$2:$J$2856,K$2,FALSE)</f>
        <v>#N/A</v>
      </c>
      <c r="N10" s="27" t="s">
        <v>352</v>
      </c>
      <c r="O10" s="32" t="s">
        <v>1200</v>
      </c>
      <c r="P10" s="346" t="e">
        <f>VLOOKUP($N10,capacities!$A$2:$J$2856,P$2,FALSE)</f>
        <v>#N/A</v>
      </c>
      <c r="Q10" s="346" t="e">
        <f>VLOOKUP($N10,capacities!$A$2:$J$2856,Q$2,FALSE)</f>
        <v>#N/A</v>
      </c>
      <c r="R10" s="346" t="e">
        <f>VLOOKUP($N10,capacities!$A$2:$J$2856,R$2,FALSE)</f>
        <v>#N/A</v>
      </c>
      <c r="S10" s="346" t="e">
        <f>VLOOKUP($N10,capacities!$A$2:$J$2856,S$2,FALSE)</f>
        <v>#N/A</v>
      </c>
      <c r="T10" s="346" t="e">
        <f>VLOOKUP($N10,capacities!$A$2:$J$2856,T$2,FALSE)</f>
        <v>#N/A</v>
      </c>
      <c r="U10" s="346" t="e">
        <f>VLOOKUP($N10,capacities!$A$2:$J$2856,U$2,FALSE)</f>
        <v>#N/A</v>
      </c>
      <c r="V10" s="346" t="e">
        <f>VLOOKUP($N10,capacities!$A$2:$J$2856,V$2,FALSE)</f>
        <v>#N/A</v>
      </c>
      <c r="W10" s="346" t="e">
        <f>VLOOKUP($N10,capacities!$A$2:$J$2856,W$2,FALSE)</f>
        <v>#N/A</v>
      </c>
      <c r="Z10" s="27" t="s">
        <v>316</v>
      </c>
      <c r="AA10" s="32" t="s">
        <v>1200</v>
      </c>
      <c r="AB10" s="346" t="e">
        <f>VLOOKUP($Z10,capacities!$A$2:$J$2856,AB$2,FALSE)</f>
        <v>#N/A</v>
      </c>
      <c r="AC10" s="346" t="e">
        <f>VLOOKUP($Z10,capacities!$A$2:$J$2856,AC$2,FALSE)</f>
        <v>#N/A</v>
      </c>
      <c r="AD10" s="346" t="e">
        <f>VLOOKUP($Z10,capacities!$A$2:$J$2856,AD$2,FALSE)</f>
        <v>#N/A</v>
      </c>
      <c r="AE10" s="346" t="e">
        <f>VLOOKUP($Z10,capacities!$A$2:$J$2856,AE$2,FALSE)</f>
        <v>#N/A</v>
      </c>
      <c r="AF10" s="346" t="e">
        <f>VLOOKUP($Z10,capacities!$A$2:$J$2856,AF$2,FALSE)</f>
        <v>#N/A</v>
      </c>
      <c r="AG10" s="346" t="e">
        <f>VLOOKUP($Z10,capacities!$A$2:$J$2856,AG$2,FALSE)</f>
        <v>#N/A</v>
      </c>
      <c r="AH10" s="346" t="e">
        <f>VLOOKUP($Z10,capacities!$A$2:$J$2856,AH$2,FALSE)</f>
        <v>#N/A</v>
      </c>
      <c r="AI10" s="346" t="e">
        <f>VLOOKUP($Z10,capacities!$A$2:$J$2856,AI$2,FALSE)</f>
        <v>#N/A</v>
      </c>
      <c r="AL10" s="27" t="s">
        <v>308</v>
      </c>
      <c r="AM10" s="32" t="s">
        <v>1200</v>
      </c>
      <c r="AN10" s="346" t="e">
        <f>VLOOKUP($AL10,capacities!$A$2:$J$2856,AN$2,FALSE)</f>
        <v>#N/A</v>
      </c>
      <c r="AO10" s="346" t="e">
        <f>VLOOKUP($AL10,capacities!$A$2:$J$2856,AO$2,FALSE)</f>
        <v>#N/A</v>
      </c>
      <c r="AP10" s="346" t="e">
        <f>VLOOKUP($AL10,capacities!$A$2:$J$2856,AP$2,FALSE)</f>
        <v>#N/A</v>
      </c>
      <c r="AQ10" s="346" t="e">
        <f>VLOOKUP($AL10,capacities!$A$2:$J$2856,AQ$2,FALSE)</f>
        <v>#N/A</v>
      </c>
      <c r="AR10" s="346" t="e">
        <f>VLOOKUP($AL10,capacities!$A$2:$J$2856,AR$2,FALSE)</f>
        <v>#N/A</v>
      </c>
      <c r="AS10" s="346" t="e">
        <f>VLOOKUP($AL10,capacities!$A$2:$J$2856,AS$2,FALSE)</f>
        <v>#N/A</v>
      </c>
      <c r="AT10" s="346" t="e">
        <f>VLOOKUP($AL10,capacities!$A$2:$J$2856,AT$2,FALSE)</f>
        <v>#N/A</v>
      </c>
      <c r="AU10" s="346" t="e">
        <f>VLOOKUP($AL10,capacities!$A$2:$J$2856,AU$2,FALSE)</f>
        <v>#N/A</v>
      </c>
    </row>
    <row r="11" spans="2:47" x14ac:dyDescent="0.35">
      <c r="B11" s="26"/>
      <c r="C11" s="31"/>
      <c r="D11" s="13"/>
      <c r="E11" s="13"/>
      <c r="F11" s="13"/>
      <c r="G11" s="13"/>
      <c r="H11" s="13"/>
      <c r="I11" s="13"/>
      <c r="J11" s="13"/>
      <c r="K11" s="13"/>
      <c r="N11" s="5"/>
      <c r="O11" s="6"/>
      <c r="P11" s="13"/>
      <c r="Q11" s="13"/>
      <c r="R11" s="13"/>
      <c r="S11" s="13"/>
      <c r="T11" s="13"/>
      <c r="U11" s="13"/>
      <c r="V11" s="13"/>
      <c r="W11" s="13"/>
      <c r="Z11" s="5"/>
      <c r="AA11" s="6"/>
      <c r="AB11" s="13"/>
      <c r="AC11" s="13"/>
      <c r="AD11" s="13"/>
      <c r="AE11" s="13"/>
      <c r="AF11" s="13"/>
      <c r="AG11" s="13"/>
      <c r="AH11" s="13"/>
      <c r="AI11" s="13"/>
      <c r="AL11" s="5"/>
      <c r="AM11" s="6"/>
      <c r="AN11" s="13"/>
      <c r="AO11" s="13"/>
      <c r="AP11" s="13"/>
      <c r="AQ11" s="13"/>
      <c r="AR11" s="13"/>
      <c r="AS11" s="13"/>
      <c r="AT11" s="13"/>
      <c r="AU11" s="13"/>
    </row>
    <row r="12" spans="2:47" x14ac:dyDescent="0.35">
      <c r="B12" s="26"/>
      <c r="C12" s="31"/>
      <c r="D12" s="13"/>
      <c r="E12" s="13"/>
      <c r="F12" s="13"/>
      <c r="G12" s="13"/>
      <c r="H12" s="13"/>
      <c r="I12" s="13"/>
      <c r="J12" s="13"/>
      <c r="K12" s="13"/>
      <c r="N12" s="26"/>
      <c r="O12" s="31"/>
      <c r="P12" s="13"/>
      <c r="Q12" s="13"/>
      <c r="R12" s="13"/>
      <c r="S12" s="13"/>
      <c r="T12" s="13"/>
      <c r="U12" s="13"/>
      <c r="V12" s="13"/>
      <c r="W12" s="13"/>
      <c r="Z12" s="26"/>
      <c r="AA12" s="31"/>
      <c r="AB12" s="13"/>
      <c r="AC12" s="13"/>
      <c r="AD12" s="13"/>
      <c r="AE12" s="13"/>
      <c r="AF12" s="13"/>
      <c r="AG12" s="13"/>
      <c r="AH12" s="13"/>
      <c r="AI12" s="13"/>
      <c r="AL12" s="26"/>
      <c r="AM12" s="31"/>
      <c r="AN12" s="13"/>
      <c r="AO12" s="13"/>
      <c r="AP12" s="13"/>
      <c r="AQ12" s="13"/>
      <c r="AR12" s="13"/>
      <c r="AS12" s="13"/>
      <c r="AT12" s="13"/>
      <c r="AU12" s="13"/>
    </row>
    <row r="13" spans="2:47" x14ac:dyDescent="0.35">
      <c r="B13" s="26"/>
      <c r="C13" s="31" t="s">
        <v>1197</v>
      </c>
      <c r="D13" s="13" t="e">
        <f>D4+D5</f>
        <v>#N/A</v>
      </c>
      <c r="E13" s="13" t="e">
        <f t="shared" ref="E13:K13" si="0">E4+E5</f>
        <v>#N/A</v>
      </c>
      <c r="F13" s="13" t="e">
        <f t="shared" si="0"/>
        <v>#N/A</v>
      </c>
      <c r="G13" s="13" t="e">
        <f t="shared" si="0"/>
        <v>#N/A</v>
      </c>
      <c r="H13" s="13" t="e">
        <f t="shared" si="0"/>
        <v>#N/A</v>
      </c>
      <c r="I13" s="13" t="e">
        <f t="shared" si="0"/>
        <v>#N/A</v>
      </c>
      <c r="J13" s="13" t="e">
        <f t="shared" si="0"/>
        <v>#N/A</v>
      </c>
      <c r="K13" s="13" t="e">
        <f t="shared" si="0"/>
        <v>#N/A</v>
      </c>
      <c r="N13" s="26"/>
      <c r="O13" s="31" t="s">
        <v>1197</v>
      </c>
      <c r="P13" s="13" t="e">
        <f>P4+P5</f>
        <v>#N/A</v>
      </c>
      <c r="Q13" s="13" t="e">
        <f t="shared" ref="Q13:W13" si="1">Q4+Q5</f>
        <v>#N/A</v>
      </c>
      <c r="R13" s="13" t="e">
        <f t="shared" si="1"/>
        <v>#N/A</v>
      </c>
      <c r="S13" s="13" t="e">
        <f t="shared" si="1"/>
        <v>#N/A</v>
      </c>
      <c r="T13" s="13" t="e">
        <f t="shared" si="1"/>
        <v>#N/A</v>
      </c>
      <c r="U13" s="13" t="e">
        <f t="shared" si="1"/>
        <v>#N/A</v>
      </c>
      <c r="V13" s="13" t="e">
        <f t="shared" si="1"/>
        <v>#N/A</v>
      </c>
      <c r="W13" s="13" t="e">
        <f t="shared" si="1"/>
        <v>#N/A</v>
      </c>
      <c r="Z13" s="26"/>
      <c r="AA13" s="31" t="s">
        <v>1197</v>
      </c>
      <c r="AB13" s="13" t="e">
        <f>AB4+AB5</f>
        <v>#N/A</v>
      </c>
      <c r="AC13" s="13" t="e">
        <f>AC4+AC5</f>
        <v>#N/A</v>
      </c>
      <c r="AD13" s="13" t="e">
        <f t="shared" ref="AD13:AI13" si="2">AD4+AD5</f>
        <v>#N/A</v>
      </c>
      <c r="AE13" s="13" t="e">
        <f t="shared" si="2"/>
        <v>#N/A</v>
      </c>
      <c r="AF13" s="13" t="e">
        <f t="shared" si="2"/>
        <v>#N/A</v>
      </c>
      <c r="AG13" s="13" t="e">
        <f t="shared" si="2"/>
        <v>#N/A</v>
      </c>
      <c r="AH13" s="13" t="e">
        <f t="shared" si="2"/>
        <v>#N/A</v>
      </c>
      <c r="AI13" s="13" t="e">
        <f t="shared" si="2"/>
        <v>#N/A</v>
      </c>
      <c r="AL13" s="26"/>
      <c r="AM13" s="31" t="s">
        <v>1197</v>
      </c>
      <c r="AN13" s="13" t="e">
        <f>AN4+AN5</f>
        <v>#N/A</v>
      </c>
      <c r="AO13" s="13" t="e">
        <f t="shared" ref="AO13:AU13" si="3">AO4+AO5</f>
        <v>#N/A</v>
      </c>
      <c r="AP13" s="13" t="e">
        <f t="shared" si="3"/>
        <v>#N/A</v>
      </c>
      <c r="AQ13" s="13" t="e">
        <f t="shared" si="3"/>
        <v>#N/A</v>
      </c>
      <c r="AR13" s="13" t="e">
        <f t="shared" si="3"/>
        <v>#N/A</v>
      </c>
      <c r="AS13" s="13" t="e">
        <f t="shared" si="3"/>
        <v>#N/A</v>
      </c>
      <c r="AT13" s="13" t="e">
        <f t="shared" si="3"/>
        <v>#N/A</v>
      </c>
      <c r="AU13" s="13" t="e">
        <f t="shared" si="3"/>
        <v>#N/A</v>
      </c>
    </row>
    <row r="14" spans="2:47" x14ac:dyDescent="0.35">
      <c r="B14" s="26"/>
      <c r="C14" s="31" t="s">
        <v>1198</v>
      </c>
      <c r="D14" s="13" t="e">
        <f>D6+D7</f>
        <v>#N/A</v>
      </c>
      <c r="E14" s="13" t="e">
        <f t="shared" ref="E14:K14" si="4">E6+E7</f>
        <v>#N/A</v>
      </c>
      <c r="F14" s="13" t="e">
        <f t="shared" si="4"/>
        <v>#N/A</v>
      </c>
      <c r="G14" s="13" t="e">
        <f t="shared" si="4"/>
        <v>#N/A</v>
      </c>
      <c r="H14" s="13" t="e">
        <f t="shared" si="4"/>
        <v>#N/A</v>
      </c>
      <c r="I14" s="13" t="e">
        <f t="shared" si="4"/>
        <v>#N/A</v>
      </c>
      <c r="J14" s="13" t="e">
        <f t="shared" si="4"/>
        <v>#N/A</v>
      </c>
      <c r="K14" s="13" t="e">
        <f t="shared" si="4"/>
        <v>#N/A</v>
      </c>
      <c r="N14" s="26"/>
      <c r="O14" s="31" t="s">
        <v>1198</v>
      </c>
      <c r="P14" s="13" t="e">
        <f>P6+P7</f>
        <v>#N/A</v>
      </c>
      <c r="Q14" s="13" t="e">
        <f t="shared" ref="Q14:W14" si="5">Q6+Q7</f>
        <v>#N/A</v>
      </c>
      <c r="R14" s="13" t="e">
        <f t="shared" si="5"/>
        <v>#N/A</v>
      </c>
      <c r="S14" s="13" t="e">
        <f t="shared" si="5"/>
        <v>#N/A</v>
      </c>
      <c r="T14" s="13" t="e">
        <f t="shared" si="5"/>
        <v>#N/A</v>
      </c>
      <c r="U14" s="13" t="e">
        <f t="shared" si="5"/>
        <v>#N/A</v>
      </c>
      <c r="V14" s="13" t="e">
        <f t="shared" si="5"/>
        <v>#N/A</v>
      </c>
      <c r="W14" s="13" t="e">
        <f t="shared" si="5"/>
        <v>#N/A</v>
      </c>
      <c r="Z14" s="26"/>
      <c r="AA14" s="31" t="s">
        <v>1198</v>
      </c>
      <c r="AB14" s="13" t="e">
        <f>AB6+AB7</f>
        <v>#N/A</v>
      </c>
      <c r="AC14" s="13" t="e">
        <f t="shared" ref="AC14:AI14" si="6">AC6+AC7</f>
        <v>#N/A</v>
      </c>
      <c r="AD14" s="13" t="e">
        <f t="shared" si="6"/>
        <v>#N/A</v>
      </c>
      <c r="AE14" s="13" t="e">
        <f t="shared" si="6"/>
        <v>#N/A</v>
      </c>
      <c r="AF14" s="13" t="e">
        <f t="shared" si="6"/>
        <v>#N/A</v>
      </c>
      <c r="AG14" s="13" t="e">
        <f t="shared" si="6"/>
        <v>#N/A</v>
      </c>
      <c r="AH14" s="13" t="e">
        <f t="shared" si="6"/>
        <v>#N/A</v>
      </c>
      <c r="AI14" s="13" t="e">
        <f t="shared" si="6"/>
        <v>#N/A</v>
      </c>
      <c r="AL14" s="26"/>
      <c r="AM14" s="31" t="s">
        <v>1198</v>
      </c>
      <c r="AN14" s="13" t="e">
        <f>AN6+AN7</f>
        <v>#N/A</v>
      </c>
      <c r="AO14" s="13" t="e">
        <f t="shared" ref="AO14:AU14" si="7">AO6+AO7</f>
        <v>#N/A</v>
      </c>
      <c r="AP14" s="13" t="e">
        <f t="shared" si="7"/>
        <v>#N/A</v>
      </c>
      <c r="AQ14" s="13" t="e">
        <f t="shared" si="7"/>
        <v>#N/A</v>
      </c>
      <c r="AR14" s="13" t="e">
        <f t="shared" si="7"/>
        <v>#N/A</v>
      </c>
      <c r="AS14" s="13" t="e">
        <f t="shared" si="7"/>
        <v>#N/A</v>
      </c>
      <c r="AT14" s="13" t="e">
        <f t="shared" si="7"/>
        <v>#N/A</v>
      </c>
      <c r="AU14" s="13" t="e">
        <f t="shared" si="7"/>
        <v>#N/A</v>
      </c>
    </row>
    <row r="15" spans="2:47" x14ac:dyDescent="0.35">
      <c r="B15" s="26"/>
      <c r="C15" s="31" t="s">
        <v>1199</v>
      </c>
      <c r="D15" s="13" t="e">
        <f>D8</f>
        <v>#N/A</v>
      </c>
      <c r="E15" s="13" t="e">
        <f t="shared" ref="E15:K15" si="8">E8</f>
        <v>#N/A</v>
      </c>
      <c r="F15" s="13" t="e">
        <f t="shared" si="8"/>
        <v>#N/A</v>
      </c>
      <c r="G15" s="13" t="e">
        <f t="shared" si="8"/>
        <v>#N/A</v>
      </c>
      <c r="H15" s="13" t="e">
        <f t="shared" si="8"/>
        <v>#N/A</v>
      </c>
      <c r="I15" s="13" t="e">
        <f t="shared" si="8"/>
        <v>#N/A</v>
      </c>
      <c r="J15" s="13" t="e">
        <f t="shared" si="8"/>
        <v>#N/A</v>
      </c>
      <c r="K15" s="13" t="e">
        <f t="shared" si="8"/>
        <v>#N/A</v>
      </c>
      <c r="N15" s="26"/>
      <c r="O15" s="31" t="s">
        <v>1199</v>
      </c>
      <c r="P15" s="13" t="e">
        <f>P8</f>
        <v>#N/A</v>
      </c>
      <c r="Q15" s="13" t="e">
        <f t="shared" ref="Q15:W15" si="9">Q8</f>
        <v>#N/A</v>
      </c>
      <c r="R15" s="13" t="e">
        <f t="shared" si="9"/>
        <v>#N/A</v>
      </c>
      <c r="S15" s="13" t="e">
        <f t="shared" si="9"/>
        <v>#N/A</v>
      </c>
      <c r="T15" s="13" t="e">
        <f t="shared" si="9"/>
        <v>#N/A</v>
      </c>
      <c r="U15" s="13" t="e">
        <f t="shared" si="9"/>
        <v>#N/A</v>
      </c>
      <c r="V15" s="13" t="e">
        <f t="shared" si="9"/>
        <v>#N/A</v>
      </c>
      <c r="W15" s="13" t="e">
        <f t="shared" si="9"/>
        <v>#N/A</v>
      </c>
      <c r="Z15" s="26"/>
      <c r="AA15" s="31" t="s">
        <v>1199</v>
      </c>
      <c r="AB15" s="13" t="e">
        <f>AB8</f>
        <v>#N/A</v>
      </c>
      <c r="AC15" s="13" t="e">
        <f t="shared" ref="AC15:AI15" si="10">AC8</f>
        <v>#N/A</v>
      </c>
      <c r="AD15" s="13" t="e">
        <f t="shared" si="10"/>
        <v>#N/A</v>
      </c>
      <c r="AE15" s="13" t="e">
        <f t="shared" si="10"/>
        <v>#N/A</v>
      </c>
      <c r="AF15" s="13" t="e">
        <f t="shared" si="10"/>
        <v>#N/A</v>
      </c>
      <c r="AG15" s="13" t="e">
        <f t="shared" si="10"/>
        <v>#N/A</v>
      </c>
      <c r="AH15" s="13" t="e">
        <f t="shared" si="10"/>
        <v>#N/A</v>
      </c>
      <c r="AI15" s="13" t="e">
        <f t="shared" si="10"/>
        <v>#N/A</v>
      </c>
      <c r="AL15" s="26"/>
      <c r="AM15" s="31" t="s">
        <v>1199</v>
      </c>
      <c r="AN15" s="13" t="e">
        <f>AN8</f>
        <v>#N/A</v>
      </c>
      <c r="AO15" s="13" t="e">
        <f t="shared" ref="AO15:AU15" si="11">AO8</f>
        <v>#N/A</v>
      </c>
      <c r="AP15" s="13" t="e">
        <f t="shared" si="11"/>
        <v>#N/A</v>
      </c>
      <c r="AQ15" s="13" t="e">
        <f t="shared" si="11"/>
        <v>#N/A</v>
      </c>
      <c r="AR15" s="13" t="e">
        <f t="shared" si="11"/>
        <v>#N/A</v>
      </c>
      <c r="AS15" s="13" t="e">
        <f t="shared" si="11"/>
        <v>#N/A</v>
      </c>
      <c r="AT15" s="13" t="e">
        <f t="shared" si="11"/>
        <v>#N/A</v>
      </c>
      <c r="AU15" s="13" t="e">
        <f t="shared" si="11"/>
        <v>#N/A</v>
      </c>
    </row>
    <row r="16" spans="2:47" x14ac:dyDescent="0.35">
      <c r="B16" s="26"/>
      <c r="C16" s="31" t="s">
        <v>1200</v>
      </c>
      <c r="D16" s="13" t="e">
        <f>D9+D10</f>
        <v>#N/A</v>
      </c>
      <c r="E16" s="13" t="e">
        <f t="shared" ref="E16:K16" si="12">E9+E10</f>
        <v>#N/A</v>
      </c>
      <c r="F16" s="13" t="e">
        <f t="shared" si="12"/>
        <v>#N/A</v>
      </c>
      <c r="G16" s="13" t="e">
        <f t="shared" si="12"/>
        <v>#N/A</v>
      </c>
      <c r="H16" s="13" t="e">
        <f t="shared" si="12"/>
        <v>#N/A</v>
      </c>
      <c r="I16" s="13" t="e">
        <f t="shared" si="12"/>
        <v>#N/A</v>
      </c>
      <c r="J16" s="13" t="e">
        <f t="shared" si="12"/>
        <v>#N/A</v>
      </c>
      <c r="K16" s="13" t="e">
        <f t="shared" si="12"/>
        <v>#N/A</v>
      </c>
      <c r="N16" s="26"/>
      <c r="O16" s="31" t="s">
        <v>1200</v>
      </c>
      <c r="P16" s="13" t="e">
        <f>P9+P10</f>
        <v>#N/A</v>
      </c>
      <c r="Q16" s="13" t="e">
        <f t="shared" ref="Q16:W16" si="13">Q9+Q10</f>
        <v>#N/A</v>
      </c>
      <c r="R16" s="13" t="e">
        <f t="shared" si="13"/>
        <v>#N/A</v>
      </c>
      <c r="S16" s="13" t="e">
        <f t="shared" si="13"/>
        <v>#N/A</v>
      </c>
      <c r="T16" s="13" t="e">
        <f t="shared" si="13"/>
        <v>#N/A</v>
      </c>
      <c r="U16" s="13" t="e">
        <f t="shared" si="13"/>
        <v>#N/A</v>
      </c>
      <c r="V16" s="13" t="e">
        <f t="shared" si="13"/>
        <v>#N/A</v>
      </c>
      <c r="W16" s="13" t="e">
        <f t="shared" si="13"/>
        <v>#N/A</v>
      </c>
      <c r="Z16" s="26"/>
      <c r="AA16" s="31" t="s">
        <v>1200</v>
      </c>
      <c r="AB16" s="13" t="e">
        <f>AB9+AB10</f>
        <v>#N/A</v>
      </c>
      <c r="AC16" s="13" t="e">
        <f t="shared" ref="AC16:AI16" si="14">AC9+AC10</f>
        <v>#N/A</v>
      </c>
      <c r="AD16" s="13" t="e">
        <f t="shared" si="14"/>
        <v>#N/A</v>
      </c>
      <c r="AE16" s="13" t="e">
        <f t="shared" si="14"/>
        <v>#N/A</v>
      </c>
      <c r="AF16" s="13" t="e">
        <f t="shared" si="14"/>
        <v>#N/A</v>
      </c>
      <c r="AG16" s="13" t="e">
        <f t="shared" si="14"/>
        <v>#N/A</v>
      </c>
      <c r="AH16" s="13" t="e">
        <f t="shared" si="14"/>
        <v>#N/A</v>
      </c>
      <c r="AI16" s="13" t="e">
        <f t="shared" si="14"/>
        <v>#N/A</v>
      </c>
      <c r="AL16" s="26"/>
      <c r="AM16" s="31" t="s">
        <v>1200</v>
      </c>
      <c r="AN16" s="13" t="e">
        <f>AN9+AN10</f>
        <v>#N/A</v>
      </c>
      <c r="AO16" s="13" t="e">
        <f t="shared" ref="AO16:AU16" si="15">AO9+AO10</f>
        <v>#N/A</v>
      </c>
      <c r="AP16" s="13" t="e">
        <f t="shared" si="15"/>
        <v>#N/A</v>
      </c>
      <c r="AQ16" s="13" t="e">
        <f t="shared" si="15"/>
        <v>#N/A</v>
      </c>
      <c r="AR16" s="13" t="e">
        <f t="shared" si="15"/>
        <v>#N/A</v>
      </c>
      <c r="AS16" s="13" t="e">
        <f t="shared" si="15"/>
        <v>#N/A</v>
      </c>
      <c r="AT16" s="13" t="e">
        <f t="shared" si="15"/>
        <v>#N/A</v>
      </c>
      <c r="AU16" s="13" t="e">
        <f t="shared" si="15"/>
        <v>#N/A</v>
      </c>
    </row>
    <row r="17" spans="2:47" ht="14.5" thickBot="1" x14ac:dyDescent="0.4">
      <c r="B17" s="28"/>
      <c r="C17" s="33"/>
      <c r="D17" s="35"/>
      <c r="E17" s="35"/>
      <c r="F17" s="35"/>
      <c r="G17" s="35"/>
      <c r="H17" s="35"/>
      <c r="I17" s="35"/>
      <c r="J17" s="35"/>
      <c r="K17" s="35"/>
      <c r="N17" s="26"/>
      <c r="O17" s="31"/>
      <c r="P17" s="13"/>
      <c r="Q17" s="13"/>
      <c r="R17" s="13"/>
      <c r="S17" s="13"/>
      <c r="T17" s="13"/>
      <c r="U17" s="13"/>
      <c r="V17" s="13"/>
      <c r="W17" s="13"/>
      <c r="Z17" s="26"/>
      <c r="AA17" s="31"/>
      <c r="AB17" s="13"/>
      <c r="AC17" s="13"/>
      <c r="AD17" s="13"/>
      <c r="AE17" s="13"/>
      <c r="AF17" s="13"/>
      <c r="AG17" s="13"/>
      <c r="AH17" s="13"/>
      <c r="AI17" s="13"/>
      <c r="AL17" s="28"/>
      <c r="AM17" s="33"/>
      <c r="AN17" s="35"/>
      <c r="AO17" s="35"/>
      <c r="AP17" s="35"/>
      <c r="AQ17" s="35"/>
      <c r="AR17" s="35"/>
      <c r="AS17" s="35"/>
      <c r="AT17" s="35"/>
      <c r="AU17" s="35"/>
    </row>
    <row r="18" spans="2:47" ht="14.5" x14ac:dyDescent="0.35">
      <c r="N18" s="26"/>
      <c r="O18" s="24" t="s">
        <v>1245</v>
      </c>
      <c r="P18" s="13"/>
      <c r="Q18" s="13"/>
      <c r="R18" s="13"/>
      <c r="S18" s="13"/>
      <c r="T18" s="13"/>
      <c r="U18" s="13"/>
      <c r="V18" s="13"/>
      <c r="W18" s="13"/>
      <c r="Z18" s="26"/>
      <c r="AA18" s="24" t="s">
        <v>1268</v>
      </c>
      <c r="AB18" s="13"/>
      <c r="AC18" s="13"/>
      <c r="AD18" s="13"/>
      <c r="AE18" s="13"/>
      <c r="AF18" s="13"/>
      <c r="AG18" s="13"/>
      <c r="AH18" s="13"/>
      <c r="AI18" s="13"/>
    </row>
    <row r="19" spans="2:47" ht="14.5" thickBot="1" x14ac:dyDescent="0.4">
      <c r="N19" s="28"/>
      <c r="O19" s="33"/>
      <c r="P19" s="35"/>
      <c r="Q19" s="35"/>
      <c r="R19" s="35"/>
      <c r="S19" s="35"/>
      <c r="T19" s="35"/>
      <c r="U19" s="35"/>
      <c r="V19" s="35"/>
      <c r="W19" s="35"/>
      <c r="Z19" s="28"/>
      <c r="AA19" s="33"/>
      <c r="AB19" s="35"/>
      <c r="AC19" s="35"/>
      <c r="AD19" s="35"/>
      <c r="AE19" s="35"/>
      <c r="AF19" s="35"/>
      <c r="AG19" s="35"/>
      <c r="AH19" s="35"/>
      <c r="AI19" s="35"/>
    </row>
  </sheetData>
  <dataConsolidate/>
  <pageMargins left="0.7" right="0.7" top="0.78740157499999996" bottom="0.78740157499999996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/>
  </sheetPr>
  <dimension ref="C1:BG249"/>
  <sheetViews>
    <sheetView zoomScale="70" zoomScaleNormal="70" workbookViewId="0">
      <selection activeCell="BB11" sqref="BB11"/>
    </sheetView>
  </sheetViews>
  <sheetFormatPr baseColWidth="10" defaultColWidth="11.453125" defaultRowHeight="14" x14ac:dyDescent="0.35"/>
  <cols>
    <col min="1" max="2" width="11.453125" style="2"/>
    <col min="3" max="3" width="38.54296875" style="2" bestFit="1" customWidth="1"/>
    <col min="4" max="4" width="38.54296875" style="2" customWidth="1"/>
    <col min="5" max="5" width="19.81640625" style="2" bestFit="1" customWidth="1"/>
    <col min="6" max="6" width="14.1796875" style="2" bestFit="1" customWidth="1"/>
    <col min="7" max="12" width="11.81640625" style="2" bestFit="1" customWidth="1"/>
    <col min="13" max="14" width="11.453125" style="2"/>
    <col min="15" max="15" width="38.54296875" style="2" bestFit="1" customWidth="1"/>
    <col min="16" max="16" width="22.54296875" style="2" bestFit="1" customWidth="1"/>
    <col min="17" max="17" width="12.81640625" style="2" bestFit="1" customWidth="1"/>
    <col min="18" max="25" width="11.453125" style="2"/>
    <col min="26" max="26" width="38.54296875" style="2" bestFit="1" customWidth="1"/>
    <col min="27" max="27" width="22.54296875" style="2" bestFit="1" customWidth="1"/>
    <col min="28" max="28" width="12.81640625" style="2" bestFit="1" customWidth="1"/>
    <col min="29" max="37" width="11.453125" style="2"/>
    <col min="38" max="38" width="38.54296875" style="2" bestFit="1" customWidth="1"/>
    <col min="39" max="39" width="22.54296875" style="2" bestFit="1" customWidth="1"/>
    <col min="40" max="41" width="11.453125" style="2"/>
    <col min="42" max="42" width="11.54296875" style="2" bestFit="1" customWidth="1"/>
    <col min="43" max="43" width="14" style="2" bestFit="1" customWidth="1"/>
    <col min="44" max="44" width="12.81640625" style="2" bestFit="1" customWidth="1"/>
    <col min="45" max="45" width="11.453125" style="2"/>
    <col min="46" max="47" width="14" style="2" bestFit="1" customWidth="1"/>
    <col min="48" max="49" width="11.453125" style="2"/>
    <col min="50" max="50" width="33.1796875" style="2" bestFit="1" customWidth="1"/>
    <col min="51" max="51" width="22.54296875" style="2" bestFit="1" customWidth="1"/>
    <col min="52" max="52" width="22.453125" style="2" bestFit="1" customWidth="1"/>
    <col min="53" max="61" width="11.453125" style="2"/>
    <col min="62" max="62" width="33.54296875" style="2" bestFit="1" customWidth="1"/>
    <col min="63" max="16384" width="11.453125" style="2"/>
  </cols>
  <sheetData>
    <row r="1" spans="3:59" ht="14.5" thickBot="1" x14ac:dyDescent="0.4"/>
    <row r="2" spans="3:59" ht="14.5" x14ac:dyDescent="0.35">
      <c r="C2" s="3" t="s">
        <v>1197</v>
      </c>
      <c r="D2" s="29"/>
      <c r="E2" s="89">
        <v>2</v>
      </c>
      <c r="F2" s="89">
        <v>3</v>
      </c>
      <c r="G2" s="89">
        <v>4</v>
      </c>
      <c r="H2" s="89">
        <v>5</v>
      </c>
      <c r="I2" s="89">
        <v>6</v>
      </c>
      <c r="J2" s="89">
        <v>7</v>
      </c>
      <c r="K2" s="89">
        <v>8</v>
      </c>
      <c r="L2" s="89">
        <v>9</v>
      </c>
      <c r="O2" s="3" t="s">
        <v>1198</v>
      </c>
      <c r="P2" s="29"/>
      <c r="Q2" s="89">
        <v>2</v>
      </c>
      <c r="R2" s="89">
        <v>3</v>
      </c>
      <c r="S2" s="89">
        <v>4</v>
      </c>
      <c r="T2" s="89">
        <v>5</v>
      </c>
      <c r="U2" s="89">
        <v>6</v>
      </c>
      <c r="V2" s="89">
        <v>7</v>
      </c>
      <c r="W2" s="89">
        <v>8</v>
      </c>
      <c r="X2" s="89">
        <v>9</v>
      </c>
      <c r="Z2" s="3" t="s">
        <v>1199</v>
      </c>
      <c r="AA2" s="29"/>
      <c r="AB2" s="89">
        <v>2</v>
      </c>
      <c r="AC2" s="89">
        <v>3</v>
      </c>
      <c r="AD2" s="89">
        <v>4</v>
      </c>
      <c r="AE2" s="89">
        <v>5</v>
      </c>
      <c r="AF2" s="89">
        <v>6</v>
      </c>
      <c r="AG2" s="89">
        <v>7</v>
      </c>
      <c r="AH2" s="89">
        <v>8</v>
      </c>
      <c r="AI2" s="89">
        <v>9</v>
      </c>
      <c r="AL2" s="3" t="s">
        <v>1200</v>
      </c>
      <c r="AM2" s="29"/>
      <c r="AN2" s="89">
        <v>2</v>
      </c>
      <c r="AO2" s="89">
        <v>3</v>
      </c>
      <c r="AP2" s="89">
        <v>4</v>
      </c>
      <c r="AQ2" s="89">
        <v>5</v>
      </c>
      <c r="AR2" s="89">
        <v>6</v>
      </c>
      <c r="AS2" s="89">
        <v>7</v>
      </c>
      <c r="AT2" s="89">
        <v>8</v>
      </c>
      <c r="AU2" s="89">
        <v>9</v>
      </c>
      <c r="AX2" s="3" t="s">
        <v>1390</v>
      </c>
      <c r="AY2" s="4"/>
      <c r="AZ2" s="89">
        <v>2</v>
      </c>
      <c r="BA2" s="89">
        <v>3</v>
      </c>
      <c r="BB2" s="89">
        <v>4</v>
      </c>
      <c r="BC2" s="89">
        <v>5</v>
      </c>
      <c r="BD2" s="89">
        <v>6</v>
      </c>
      <c r="BE2" s="89">
        <v>7</v>
      </c>
      <c r="BF2" s="89">
        <v>8</v>
      </c>
      <c r="BG2" s="89">
        <v>9</v>
      </c>
    </row>
    <row r="3" spans="3:59" ht="14.5" x14ac:dyDescent="0.35">
      <c r="C3" s="23" t="s">
        <v>1258</v>
      </c>
      <c r="D3" s="30" t="s">
        <v>1366</v>
      </c>
      <c r="E3" s="365" t="s">
        <v>23</v>
      </c>
      <c r="F3" s="365" t="s">
        <v>1798</v>
      </c>
      <c r="G3" s="365" t="s">
        <v>1799</v>
      </c>
      <c r="H3" s="365" t="s">
        <v>1800</v>
      </c>
      <c r="I3" s="365" t="s">
        <v>1801</v>
      </c>
      <c r="J3" s="365" t="s">
        <v>1802</v>
      </c>
      <c r="K3" s="365" t="s">
        <v>1803</v>
      </c>
      <c r="L3" s="93" t="s">
        <v>1804</v>
      </c>
      <c r="O3" s="23" t="s">
        <v>1258</v>
      </c>
      <c r="P3" s="30" t="s">
        <v>1366</v>
      </c>
      <c r="Q3" s="365" t="s">
        <v>23</v>
      </c>
      <c r="R3" s="365" t="s">
        <v>1798</v>
      </c>
      <c r="S3" s="365" t="s">
        <v>1799</v>
      </c>
      <c r="T3" s="365" t="s">
        <v>1800</v>
      </c>
      <c r="U3" s="365" t="s">
        <v>1801</v>
      </c>
      <c r="V3" s="365" t="s">
        <v>1802</v>
      </c>
      <c r="W3" s="365" t="s">
        <v>1803</v>
      </c>
      <c r="X3" s="93" t="s">
        <v>1804</v>
      </c>
      <c r="Z3" s="23" t="s">
        <v>1258</v>
      </c>
      <c r="AA3" s="30" t="s">
        <v>1366</v>
      </c>
      <c r="AB3" s="365" t="s">
        <v>23</v>
      </c>
      <c r="AC3" s="365" t="s">
        <v>1798</v>
      </c>
      <c r="AD3" s="365" t="s">
        <v>1799</v>
      </c>
      <c r="AE3" s="365" t="s">
        <v>1800</v>
      </c>
      <c r="AF3" s="365" t="s">
        <v>1801</v>
      </c>
      <c r="AG3" s="365" t="s">
        <v>1802</v>
      </c>
      <c r="AH3" s="365" t="s">
        <v>1803</v>
      </c>
      <c r="AI3" s="93" t="s">
        <v>1804</v>
      </c>
      <c r="AL3" s="23" t="s">
        <v>1258</v>
      </c>
      <c r="AM3" s="30" t="s">
        <v>1366</v>
      </c>
      <c r="AN3" s="365" t="s">
        <v>23</v>
      </c>
      <c r="AO3" s="365" t="s">
        <v>1798</v>
      </c>
      <c r="AP3" s="365" t="s">
        <v>1799</v>
      </c>
      <c r="AQ3" s="365" t="s">
        <v>1800</v>
      </c>
      <c r="AR3" s="365" t="s">
        <v>1801</v>
      </c>
      <c r="AS3" s="365" t="s">
        <v>1802</v>
      </c>
      <c r="AT3" s="365" t="s">
        <v>1803</v>
      </c>
      <c r="AU3" s="93" t="s">
        <v>1804</v>
      </c>
      <c r="AX3" s="5"/>
      <c r="AY3" s="6" t="s">
        <v>1347</v>
      </c>
      <c r="AZ3" s="365" t="s">
        <v>23</v>
      </c>
      <c r="BA3" s="365" t="s">
        <v>1798</v>
      </c>
      <c r="BB3" s="365" t="s">
        <v>1799</v>
      </c>
      <c r="BC3" s="365" t="s">
        <v>1800</v>
      </c>
      <c r="BD3" s="365" t="s">
        <v>1801</v>
      </c>
      <c r="BE3" s="365" t="s">
        <v>1802</v>
      </c>
      <c r="BF3" s="365" t="s">
        <v>1803</v>
      </c>
      <c r="BG3" s="93" t="s">
        <v>1804</v>
      </c>
    </row>
    <row r="4" spans="3:59" x14ac:dyDescent="0.35">
      <c r="C4" s="26" t="s">
        <v>717</v>
      </c>
      <c r="D4" s="31" t="s">
        <v>1367</v>
      </c>
      <c r="E4" s="16" t="e">
        <f>VLOOKUP($C4,flows!$A$2:$J$4985,E$2,FALSE)</f>
        <v>#N/A</v>
      </c>
      <c r="F4" s="346" t="e">
        <f>VLOOKUP($C4,flows!$A$2:$J$4985,F$2,FALSE)</f>
        <v>#N/A</v>
      </c>
      <c r="G4" s="346" t="e">
        <f>VLOOKUP($C4,flows!$A$2:$J$4985,G$2,FALSE)</f>
        <v>#N/A</v>
      </c>
      <c r="H4" s="346" t="e">
        <f>VLOOKUP($C4,flows!$A$2:$J$4985,H$2,FALSE)</f>
        <v>#N/A</v>
      </c>
      <c r="I4" s="346" t="e">
        <f>VLOOKUP($C4,flows!$A$2:$J$4985,I$2,FALSE)</f>
        <v>#N/A</v>
      </c>
      <c r="J4" s="346" t="e">
        <f>VLOOKUP($C4,flows!$A$2:$J$4985,J$2,FALSE)</f>
        <v>#N/A</v>
      </c>
      <c r="K4" s="346" t="e">
        <f>VLOOKUP($C4,flows!$A$2:$J$4985,K$2,FALSE)</f>
        <v>#N/A</v>
      </c>
      <c r="L4" s="346" t="e">
        <f>VLOOKUP($C4,flows!$A$2:$J$4985,L$2,FALSE)</f>
        <v>#N/A</v>
      </c>
      <c r="O4" s="26" t="s">
        <v>902</v>
      </c>
      <c r="P4" s="31" t="s">
        <v>1372</v>
      </c>
      <c r="Q4" s="346" t="e">
        <f>VLOOKUP($O4,flows!$A$2:$J$4985,Q$2,FALSE)</f>
        <v>#N/A</v>
      </c>
      <c r="R4" s="346" t="e">
        <f>VLOOKUP($O4,flows!$A$2:$J$4985,R$2,FALSE)</f>
        <v>#N/A</v>
      </c>
      <c r="S4" s="346" t="e">
        <f>VLOOKUP($O4,flows!$A$2:$J$4985,S$2,FALSE)</f>
        <v>#N/A</v>
      </c>
      <c r="T4" s="346" t="e">
        <f>VLOOKUP($O4,flows!$A$2:$J$4985,T$2,FALSE)</f>
        <v>#N/A</v>
      </c>
      <c r="U4" s="346" t="e">
        <f>VLOOKUP($O4,flows!$A$2:$J$4985,U$2,FALSE)</f>
        <v>#N/A</v>
      </c>
      <c r="V4" s="346" t="e">
        <f>VLOOKUP($O4,flows!$A$2:$J$4985,V$2,FALSE)</f>
        <v>#N/A</v>
      </c>
      <c r="W4" s="346" t="e">
        <f>VLOOKUP($O4,flows!$A$2:$J$4985,W$2,FALSE)</f>
        <v>#N/A</v>
      </c>
      <c r="X4" s="346" t="e">
        <f>VLOOKUP($O4,flows!$A$2:$J$4985,X$2,FALSE)</f>
        <v>#N/A</v>
      </c>
      <c r="Z4" s="26" t="s">
        <v>747</v>
      </c>
      <c r="AA4" s="31" t="s">
        <v>1374</v>
      </c>
      <c r="AB4" s="346" t="e">
        <f>VLOOKUP($Z4,flows!$A$2:$J$4985,AB$2,FALSE)</f>
        <v>#N/A</v>
      </c>
      <c r="AC4" s="346" t="e">
        <f>VLOOKUP($Z4,flows!$A$2:$J$4985,AC$2,FALSE)</f>
        <v>#N/A</v>
      </c>
      <c r="AD4" s="346" t="e">
        <f>VLOOKUP($Z4,flows!$A$2:$J$4985,AD$2,FALSE)</f>
        <v>#N/A</v>
      </c>
      <c r="AE4" s="346" t="e">
        <f>VLOOKUP($Z4,flows!$A$2:$J$4985,AE$2,FALSE)</f>
        <v>#N/A</v>
      </c>
      <c r="AF4" s="346" t="e">
        <f>VLOOKUP($Z4,flows!$A$2:$J$4985,AF$2,FALSE)</f>
        <v>#N/A</v>
      </c>
      <c r="AG4" s="346" t="e">
        <f>VLOOKUP($Z4,flows!$A$2:$J$4985,AG$2,FALSE)</f>
        <v>#N/A</v>
      </c>
      <c r="AH4" s="346" t="e">
        <f>VLOOKUP($Z4,flows!$A$2:$J$4985,AH$2,FALSE)</f>
        <v>#N/A</v>
      </c>
      <c r="AI4" s="346" t="e">
        <f>VLOOKUP($Z4,flows!$A$2:$J$4985,AI$2,FALSE)</f>
        <v>#N/A</v>
      </c>
      <c r="AL4" s="26" t="s">
        <v>927</v>
      </c>
      <c r="AM4" s="31" t="s">
        <v>1379</v>
      </c>
      <c r="AN4" s="346" t="e">
        <f>VLOOKUP($AL4,flows!$A$2:$J$4985,AN$2,FALSE)</f>
        <v>#N/A</v>
      </c>
      <c r="AO4" s="346" t="e">
        <f>VLOOKUP($AL4,flows!$A$2:$J$4985,AO$2,FALSE)</f>
        <v>#N/A</v>
      </c>
      <c r="AP4" s="346" t="e">
        <f>VLOOKUP($AL4,flows!$A$2:$J$4985,AP$2,FALSE)</f>
        <v>#N/A</v>
      </c>
      <c r="AQ4" s="346" t="e">
        <f>VLOOKUP($AL4,flows!$A$2:$J$4985,AQ$2,FALSE)</f>
        <v>#N/A</v>
      </c>
      <c r="AR4" s="346" t="e">
        <f>VLOOKUP($AL4,flows!$A$2:$J$4985,AR$2,FALSE)</f>
        <v>#N/A</v>
      </c>
      <c r="AS4" s="346" t="e">
        <f>VLOOKUP($AL4,flows!$A$2:$J$4985,AS$2,FALSE)</f>
        <v>#N/A</v>
      </c>
      <c r="AT4" s="346" t="e">
        <f>VLOOKUP($AL4,flows!$A$2:$J$4985,AT$2,FALSE)</f>
        <v>#N/A</v>
      </c>
      <c r="AU4" s="346" t="e">
        <f>VLOOKUP($AL4,flows!$A$2:$J$4985,AU$2,FALSE)</f>
        <v>#N/A</v>
      </c>
      <c r="AX4" s="191" t="s">
        <v>2223</v>
      </c>
      <c r="AY4" s="191" t="s">
        <v>2224</v>
      </c>
      <c r="AZ4" s="200" t="e">
        <f t="shared" ref="AZ4:BG7" si="0">E55+Q55+AB55</f>
        <v>#N/A</v>
      </c>
      <c r="BA4" s="200" t="e">
        <f t="shared" si="0"/>
        <v>#N/A</v>
      </c>
      <c r="BB4" s="200" t="e">
        <f t="shared" si="0"/>
        <v>#N/A</v>
      </c>
      <c r="BC4" s="200" t="e">
        <f t="shared" si="0"/>
        <v>#N/A</v>
      </c>
      <c r="BD4" s="200" t="e">
        <f t="shared" si="0"/>
        <v>#N/A</v>
      </c>
      <c r="BE4" s="200" t="e">
        <f t="shared" si="0"/>
        <v>#N/A</v>
      </c>
      <c r="BF4" s="200" t="e">
        <f t="shared" si="0"/>
        <v>#N/A</v>
      </c>
      <c r="BG4" s="200" t="e">
        <f t="shared" si="0"/>
        <v>#N/A</v>
      </c>
    </row>
    <row r="5" spans="3:59" x14ac:dyDescent="0.35">
      <c r="C5" s="26" t="s">
        <v>718</v>
      </c>
      <c r="D5" s="31" t="s">
        <v>1367</v>
      </c>
      <c r="E5" s="346" t="e">
        <f>VLOOKUP($C5,flows!$A$2:$J$4985,E$2,FALSE)</f>
        <v>#N/A</v>
      </c>
      <c r="F5" s="346" t="e">
        <f>VLOOKUP($C5,flows!$A$2:$J$4985,F$2,FALSE)</f>
        <v>#N/A</v>
      </c>
      <c r="G5" s="346" t="e">
        <f>VLOOKUP($C5,flows!$A$2:$J$4985,G$2,FALSE)</f>
        <v>#N/A</v>
      </c>
      <c r="H5" s="346" t="e">
        <f>VLOOKUP($C5,flows!$A$2:$J$4985,H$2,FALSE)</f>
        <v>#N/A</v>
      </c>
      <c r="I5" s="346" t="e">
        <f>VLOOKUP($C5,flows!$A$2:$J$4985,I$2,FALSE)</f>
        <v>#N/A</v>
      </c>
      <c r="J5" s="346" t="e">
        <f>VLOOKUP($C5,flows!$A$2:$J$4985,J$2,FALSE)</f>
        <v>#N/A</v>
      </c>
      <c r="K5" s="346" t="e">
        <f>VLOOKUP($C5,flows!$A$2:$J$4985,K$2,FALSE)</f>
        <v>#N/A</v>
      </c>
      <c r="L5" s="346" t="e">
        <f>VLOOKUP($C5,flows!$A$2:$J$4985,L$2,FALSE)</f>
        <v>#N/A</v>
      </c>
      <c r="O5" s="26" t="s">
        <v>903</v>
      </c>
      <c r="P5" s="31" t="s">
        <v>1372</v>
      </c>
      <c r="Q5" s="346" t="e">
        <f>VLOOKUP($O5,flows!$A$2:$J$4985,Q$2,FALSE)</f>
        <v>#N/A</v>
      </c>
      <c r="R5" s="346" t="e">
        <f>VLOOKUP($O5,flows!$A$2:$J$4985,R$2,FALSE)</f>
        <v>#N/A</v>
      </c>
      <c r="S5" s="346" t="e">
        <f>VLOOKUP($O5,flows!$A$2:$J$4985,S$2,FALSE)</f>
        <v>#N/A</v>
      </c>
      <c r="T5" s="346" t="e">
        <f>VLOOKUP($O5,flows!$A$2:$J$4985,T$2,FALSE)</f>
        <v>#N/A</v>
      </c>
      <c r="U5" s="346" t="e">
        <f>VLOOKUP($O5,flows!$A$2:$J$4985,U$2,FALSE)</f>
        <v>#N/A</v>
      </c>
      <c r="V5" s="346" t="e">
        <f>VLOOKUP($O5,flows!$A$2:$J$4985,V$2,FALSE)</f>
        <v>#N/A</v>
      </c>
      <c r="W5" s="346" t="e">
        <f>VLOOKUP($O5,flows!$A$2:$J$4985,W$2,FALSE)</f>
        <v>#N/A</v>
      </c>
      <c r="X5" s="346" t="e">
        <f>VLOOKUP($O5,flows!$A$2:$J$4985,X$2,FALSE)</f>
        <v>#N/A</v>
      </c>
      <c r="Z5" s="26" t="s">
        <v>748</v>
      </c>
      <c r="AA5" s="31" t="s">
        <v>1374</v>
      </c>
      <c r="AB5" s="346" t="e">
        <f>VLOOKUP($Z5,flows!$A$2:$J$4985,AB$2,FALSE)</f>
        <v>#N/A</v>
      </c>
      <c r="AC5" s="346" t="e">
        <f>VLOOKUP($Z5,flows!$A$2:$J$4985,AC$2,FALSE)</f>
        <v>#N/A</v>
      </c>
      <c r="AD5" s="346" t="e">
        <f>VLOOKUP($Z5,flows!$A$2:$J$4985,AD$2,FALSE)</f>
        <v>#N/A</v>
      </c>
      <c r="AE5" s="346" t="e">
        <f>VLOOKUP($Z5,flows!$A$2:$J$4985,AE$2,FALSE)</f>
        <v>#N/A</v>
      </c>
      <c r="AF5" s="346" t="e">
        <f>VLOOKUP($Z5,flows!$A$2:$J$4985,AF$2,FALSE)</f>
        <v>#N/A</v>
      </c>
      <c r="AG5" s="346" t="e">
        <f>VLOOKUP($Z5,flows!$A$2:$J$4985,AG$2,FALSE)</f>
        <v>#N/A</v>
      </c>
      <c r="AH5" s="346" t="e">
        <f>VLOOKUP($Z5,flows!$A$2:$J$4985,AH$2,FALSE)</f>
        <v>#N/A</v>
      </c>
      <c r="AI5" s="346" t="e">
        <f>VLOOKUP($Z5,flows!$A$2:$J$4985,AI$2,FALSE)</f>
        <v>#N/A</v>
      </c>
      <c r="AL5" s="26" t="s">
        <v>928</v>
      </c>
      <c r="AM5" s="31" t="s">
        <v>1379</v>
      </c>
      <c r="AN5" s="346" t="e">
        <f>VLOOKUP($AL5,flows!$A$2:$J$4985,AN$2,FALSE)</f>
        <v>#N/A</v>
      </c>
      <c r="AO5" s="346" t="e">
        <f>VLOOKUP($AL5,flows!$A$2:$J$4985,AO$2,FALSE)</f>
        <v>#N/A</v>
      </c>
      <c r="AP5" s="346" t="e">
        <f>VLOOKUP($AL5,flows!$A$2:$J$4985,AP$2,FALSE)</f>
        <v>#N/A</v>
      </c>
      <c r="AQ5" s="346" t="e">
        <f>VLOOKUP($AL5,flows!$A$2:$J$4985,AQ$2,FALSE)</f>
        <v>#N/A</v>
      </c>
      <c r="AR5" s="346" t="e">
        <f>VLOOKUP($AL5,flows!$A$2:$J$4985,AR$2,FALSE)</f>
        <v>#N/A</v>
      </c>
      <c r="AS5" s="346" t="e">
        <f>VLOOKUP($AL5,flows!$A$2:$J$4985,AS$2,FALSE)</f>
        <v>#N/A</v>
      </c>
      <c r="AT5" s="346" t="e">
        <f>VLOOKUP($AL5,flows!$A$2:$J$4985,AT$2,FALSE)</f>
        <v>#N/A</v>
      </c>
      <c r="AU5" s="346" t="e">
        <f>VLOOKUP($AL5,flows!$A$2:$J$4985,AU$2,FALSE)</f>
        <v>#N/A</v>
      </c>
      <c r="AX5" s="198" t="s">
        <v>2282</v>
      </c>
      <c r="AY5" s="199" t="s">
        <v>2283</v>
      </c>
      <c r="AZ5" s="351" t="e">
        <f t="shared" si="0"/>
        <v>#N/A</v>
      </c>
      <c r="BA5" s="311" t="e">
        <f t="shared" si="0"/>
        <v>#N/A</v>
      </c>
      <c r="BB5" s="311" t="e">
        <f t="shared" si="0"/>
        <v>#N/A</v>
      </c>
      <c r="BC5" s="7" t="e">
        <f t="shared" si="0"/>
        <v>#N/A</v>
      </c>
      <c r="BD5" s="7" t="e">
        <f t="shared" si="0"/>
        <v>#N/A</v>
      </c>
      <c r="BE5" s="7" t="e">
        <f t="shared" si="0"/>
        <v>#N/A</v>
      </c>
      <c r="BF5" s="7" t="e">
        <f t="shared" si="0"/>
        <v>#N/A</v>
      </c>
      <c r="BG5" s="7" t="e">
        <f t="shared" si="0"/>
        <v>#N/A</v>
      </c>
    </row>
    <row r="6" spans="3:59" x14ac:dyDescent="0.35">
      <c r="C6" s="26" t="s">
        <v>719</v>
      </c>
      <c r="D6" s="31" t="s">
        <v>1367</v>
      </c>
      <c r="E6" s="346" t="e">
        <f>VLOOKUP($C6,flows!$A$2:$J$4985,E$2,FALSE)</f>
        <v>#N/A</v>
      </c>
      <c r="F6" s="346" t="e">
        <f>VLOOKUP($C6,flows!$A$2:$J$4985,F$2,FALSE)</f>
        <v>#N/A</v>
      </c>
      <c r="G6" s="346" t="e">
        <f>VLOOKUP($C6,flows!$A$2:$J$4985,G$2,FALSE)</f>
        <v>#N/A</v>
      </c>
      <c r="H6" s="346" t="e">
        <f>VLOOKUP($C6,flows!$A$2:$J$4985,H$2,FALSE)</f>
        <v>#N/A</v>
      </c>
      <c r="I6" s="346" t="e">
        <f>VLOOKUP($C6,flows!$A$2:$J$4985,I$2,FALSE)</f>
        <v>#N/A</v>
      </c>
      <c r="J6" s="346" t="e">
        <f>VLOOKUP($C6,flows!$A$2:$J$4985,J$2,FALSE)</f>
        <v>#N/A</v>
      </c>
      <c r="K6" s="346" t="e">
        <f>VLOOKUP($C6,flows!$A$2:$J$4985,K$2,FALSE)</f>
        <v>#N/A</v>
      </c>
      <c r="L6" s="346" t="e">
        <f>VLOOKUP($C6,flows!$A$2:$J$4985,L$2,FALSE)</f>
        <v>#N/A</v>
      </c>
      <c r="O6" s="26" t="s">
        <v>904</v>
      </c>
      <c r="P6" s="31" t="s">
        <v>1372</v>
      </c>
      <c r="Q6" s="346" t="e">
        <f>VLOOKUP($O6,flows!$A$2:$J$4985,Q$2,FALSE)</f>
        <v>#N/A</v>
      </c>
      <c r="R6" s="346" t="e">
        <f>VLOOKUP($O6,flows!$A$2:$J$4985,R$2,FALSE)</f>
        <v>#N/A</v>
      </c>
      <c r="S6" s="346" t="e">
        <f>VLOOKUP($O6,flows!$A$2:$J$4985,S$2,FALSE)</f>
        <v>#N/A</v>
      </c>
      <c r="T6" s="346" t="e">
        <f>VLOOKUP($O6,flows!$A$2:$J$4985,T$2,FALSE)</f>
        <v>#N/A</v>
      </c>
      <c r="U6" s="346" t="e">
        <f>VLOOKUP($O6,flows!$A$2:$J$4985,U$2,FALSE)</f>
        <v>#N/A</v>
      </c>
      <c r="V6" s="346" t="e">
        <f>VLOOKUP($O6,flows!$A$2:$J$4985,V$2,FALSE)</f>
        <v>#N/A</v>
      </c>
      <c r="W6" s="346" t="e">
        <f>VLOOKUP($O6,flows!$A$2:$J$4985,W$2,FALSE)</f>
        <v>#N/A</v>
      </c>
      <c r="X6" s="346" t="e">
        <f>VLOOKUP($O6,flows!$A$2:$J$4985,X$2,FALSE)</f>
        <v>#N/A</v>
      </c>
      <c r="Z6" s="26" t="s">
        <v>749</v>
      </c>
      <c r="AA6" s="31" t="s">
        <v>1374</v>
      </c>
      <c r="AB6" s="346" t="e">
        <f>VLOOKUP($Z6,flows!$A$2:$J$4985,AB$2,FALSE)</f>
        <v>#N/A</v>
      </c>
      <c r="AC6" s="346" t="e">
        <f>VLOOKUP($Z6,flows!$A$2:$J$4985,AC$2,FALSE)</f>
        <v>#N/A</v>
      </c>
      <c r="AD6" s="346" t="e">
        <f>VLOOKUP($Z6,flows!$A$2:$J$4985,AD$2,FALSE)</f>
        <v>#N/A</v>
      </c>
      <c r="AE6" s="346" t="e">
        <f>VLOOKUP($Z6,flows!$A$2:$J$4985,AE$2,FALSE)</f>
        <v>#N/A</v>
      </c>
      <c r="AF6" s="346" t="e">
        <f>VLOOKUP($Z6,flows!$A$2:$J$4985,AF$2,FALSE)</f>
        <v>#N/A</v>
      </c>
      <c r="AG6" s="346" t="e">
        <f>VLOOKUP($Z6,flows!$A$2:$J$4985,AG$2,FALSE)</f>
        <v>#N/A</v>
      </c>
      <c r="AH6" s="346" t="e">
        <f>VLOOKUP($Z6,flows!$A$2:$J$4985,AH$2,FALSE)</f>
        <v>#N/A</v>
      </c>
      <c r="AI6" s="346" t="e">
        <f>VLOOKUP($Z6,flows!$A$2:$J$4985,AI$2,FALSE)</f>
        <v>#N/A</v>
      </c>
      <c r="AL6" s="26" t="s">
        <v>929</v>
      </c>
      <c r="AM6" s="31" t="s">
        <v>1374</v>
      </c>
      <c r="AN6" s="346" t="e">
        <f>VLOOKUP($AL6,flows!$A$2:$J$4985,AN$2,FALSE)</f>
        <v>#N/A</v>
      </c>
      <c r="AO6" s="346" t="e">
        <f>VLOOKUP($AL6,flows!$A$2:$J$4985,AO$2,FALSE)</f>
        <v>#N/A</v>
      </c>
      <c r="AP6" s="346" t="e">
        <f>VLOOKUP($AL6,flows!$A$2:$J$4985,AP$2,FALSE)</f>
        <v>#N/A</v>
      </c>
      <c r="AQ6" s="346" t="e">
        <f>VLOOKUP($AL6,flows!$A$2:$J$4985,AQ$2,FALSE)</f>
        <v>#N/A</v>
      </c>
      <c r="AR6" s="346" t="e">
        <f>VLOOKUP($AL6,flows!$A$2:$J$4985,AR$2,FALSE)</f>
        <v>#N/A</v>
      </c>
      <c r="AS6" s="346" t="e">
        <f>VLOOKUP($AL6,flows!$A$2:$J$4985,AS$2,FALSE)</f>
        <v>#N/A</v>
      </c>
      <c r="AT6" s="346" t="e">
        <f>VLOOKUP($AL6,flows!$A$2:$J$4985,AT$2,FALSE)</f>
        <v>#N/A</v>
      </c>
      <c r="AU6" s="346" t="e">
        <f>VLOOKUP($AL6,flows!$A$2:$J$4985,AU$2,FALSE)</f>
        <v>#N/A</v>
      </c>
      <c r="AX6" s="198" t="s">
        <v>1913</v>
      </c>
      <c r="AY6" s="199" t="s">
        <v>2221</v>
      </c>
      <c r="AZ6" s="7" t="e">
        <f t="shared" si="0"/>
        <v>#N/A</v>
      </c>
      <c r="BA6" s="7" t="e">
        <f t="shared" si="0"/>
        <v>#N/A</v>
      </c>
      <c r="BB6" s="7" t="e">
        <f t="shared" si="0"/>
        <v>#N/A</v>
      </c>
      <c r="BC6" s="7" t="e">
        <f t="shared" si="0"/>
        <v>#N/A</v>
      </c>
      <c r="BD6" s="7" t="e">
        <f t="shared" si="0"/>
        <v>#N/A</v>
      </c>
      <c r="BE6" s="7" t="e">
        <f t="shared" si="0"/>
        <v>#N/A</v>
      </c>
      <c r="BF6" s="7" t="e">
        <f t="shared" si="0"/>
        <v>#N/A</v>
      </c>
      <c r="BG6" s="7" t="e">
        <f t="shared" si="0"/>
        <v>#N/A</v>
      </c>
    </row>
    <row r="7" spans="3:59" x14ac:dyDescent="0.35">
      <c r="C7" s="26" t="s">
        <v>720</v>
      </c>
      <c r="D7" s="31" t="s">
        <v>1369</v>
      </c>
      <c r="E7" s="346" t="e">
        <f>VLOOKUP($C7,flows!$A$2:$J$4985,E$2,FALSE)</f>
        <v>#N/A</v>
      </c>
      <c r="F7" s="346" t="e">
        <f>VLOOKUP($C7,flows!$A$2:$J$4985,F$2,FALSE)</f>
        <v>#N/A</v>
      </c>
      <c r="G7" s="346" t="e">
        <f>VLOOKUP($C7,flows!$A$2:$J$4985,G$2,FALSE)</f>
        <v>#N/A</v>
      </c>
      <c r="H7" s="346" t="e">
        <f>VLOOKUP($C7,flows!$A$2:$J$4985,H$2,FALSE)</f>
        <v>#N/A</v>
      </c>
      <c r="I7" s="346" t="e">
        <f>VLOOKUP($C7,flows!$A$2:$J$4985,I$2,FALSE)</f>
        <v>#N/A</v>
      </c>
      <c r="J7" s="346" t="e">
        <f>VLOOKUP($C7,flows!$A$2:$J$4985,J$2,FALSE)</f>
        <v>#N/A</v>
      </c>
      <c r="K7" s="346" t="e">
        <f>VLOOKUP($C7,flows!$A$2:$J$4985,K$2,FALSE)</f>
        <v>#N/A</v>
      </c>
      <c r="L7" s="346" t="e">
        <f>VLOOKUP($C7,flows!$A$2:$J$4985,L$2,FALSE)</f>
        <v>#N/A</v>
      </c>
      <c r="O7" s="26" t="s">
        <v>905</v>
      </c>
      <c r="P7" s="31" t="s">
        <v>1373</v>
      </c>
      <c r="Q7" s="346" t="e">
        <f>VLOOKUP($O7,flows!$A$2:$J$4985,Q$2,FALSE)</f>
        <v>#N/A</v>
      </c>
      <c r="R7" s="346" t="e">
        <f>VLOOKUP($O7,flows!$A$2:$J$4985,R$2,FALSE)</f>
        <v>#N/A</v>
      </c>
      <c r="S7" s="346" t="e">
        <f>VLOOKUP($O7,flows!$A$2:$J$4985,S$2,FALSE)</f>
        <v>#N/A</v>
      </c>
      <c r="T7" s="346" t="e">
        <f>VLOOKUP($O7,flows!$A$2:$J$4985,T$2,FALSE)</f>
        <v>#N/A</v>
      </c>
      <c r="U7" s="346" t="e">
        <f>VLOOKUP($O7,flows!$A$2:$J$4985,U$2,FALSE)</f>
        <v>#N/A</v>
      </c>
      <c r="V7" s="346" t="e">
        <f>VLOOKUP($O7,flows!$A$2:$J$4985,V$2,FALSE)</f>
        <v>#N/A</v>
      </c>
      <c r="W7" s="346" t="e">
        <f>VLOOKUP($O7,flows!$A$2:$J$4985,W$2,FALSE)</f>
        <v>#N/A</v>
      </c>
      <c r="X7" s="346" t="e">
        <f>VLOOKUP($O7,flows!$A$2:$J$4985,X$2,FALSE)</f>
        <v>#N/A</v>
      </c>
      <c r="Z7" s="26" t="s">
        <v>750</v>
      </c>
      <c r="AA7" s="31" t="s">
        <v>1375</v>
      </c>
      <c r="AB7" s="346" t="e">
        <f>VLOOKUP($Z7,flows!$A$2:$J$4985,AB$2,FALSE)</f>
        <v>#N/A</v>
      </c>
      <c r="AC7" s="346" t="e">
        <f>VLOOKUP($Z7,flows!$A$2:$J$4985,AC$2,FALSE)</f>
        <v>#N/A</v>
      </c>
      <c r="AD7" s="346" t="e">
        <f>VLOOKUP($Z7,flows!$A$2:$J$4985,AD$2,FALSE)</f>
        <v>#N/A</v>
      </c>
      <c r="AE7" s="346" t="e">
        <f>VLOOKUP($Z7,flows!$A$2:$J$4985,AE$2,FALSE)</f>
        <v>#N/A</v>
      </c>
      <c r="AF7" s="346" t="e">
        <f>VLOOKUP($Z7,flows!$A$2:$J$4985,AF$2,FALSE)</f>
        <v>#N/A</v>
      </c>
      <c r="AG7" s="346" t="e">
        <f>VLOOKUP($Z7,flows!$A$2:$J$4985,AG$2,FALSE)</f>
        <v>#N/A</v>
      </c>
      <c r="AH7" s="346" t="e">
        <f>VLOOKUP($Z7,flows!$A$2:$J$4985,AH$2,FALSE)</f>
        <v>#N/A</v>
      </c>
      <c r="AI7" s="346" t="e">
        <f>VLOOKUP($Z7,flows!$A$2:$J$4985,AI$2,FALSE)</f>
        <v>#N/A</v>
      </c>
      <c r="AL7" s="26" t="s">
        <v>930</v>
      </c>
      <c r="AM7" s="31" t="s">
        <v>1374</v>
      </c>
      <c r="AN7" s="346" t="e">
        <f>VLOOKUP($AL7,flows!$A$2:$J$4985,AN$2,FALSE)</f>
        <v>#N/A</v>
      </c>
      <c r="AO7" s="346" t="e">
        <f>VLOOKUP($AL7,flows!$A$2:$J$4985,AO$2,FALSE)</f>
        <v>#N/A</v>
      </c>
      <c r="AP7" s="346" t="e">
        <f>VLOOKUP($AL7,flows!$A$2:$J$4985,AP$2,FALSE)</f>
        <v>#N/A</v>
      </c>
      <c r="AQ7" s="346" t="e">
        <f>VLOOKUP($AL7,flows!$A$2:$J$4985,AQ$2,FALSE)</f>
        <v>#N/A</v>
      </c>
      <c r="AR7" s="346" t="e">
        <f>VLOOKUP($AL7,flows!$A$2:$J$4985,AR$2,FALSE)</f>
        <v>#N/A</v>
      </c>
      <c r="AS7" s="346" t="e">
        <f>VLOOKUP($AL7,flows!$A$2:$J$4985,AS$2,FALSE)</f>
        <v>#N/A</v>
      </c>
      <c r="AT7" s="346" t="e">
        <f>VLOOKUP($AL7,flows!$A$2:$J$4985,AT$2,FALSE)</f>
        <v>#N/A</v>
      </c>
      <c r="AU7" s="346" t="e">
        <f>VLOOKUP($AL7,flows!$A$2:$J$4985,AU$2,FALSE)</f>
        <v>#N/A</v>
      </c>
      <c r="AX7" s="198" t="s">
        <v>1914</v>
      </c>
      <c r="AY7" s="199" t="s">
        <v>2222</v>
      </c>
      <c r="AZ7" s="7" t="e">
        <f t="shared" si="0"/>
        <v>#N/A</v>
      </c>
      <c r="BA7" s="7" t="e">
        <f t="shared" si="0"/>
        <v>#N/A</v>
      </c>
      <c r="BB7" s="7" t="e">
        <f t="shared" si="0"/>
        <v>#N/A</v>
      </c>
      <c r="BC7" s="7" t="e">
        <f t="shared" si="0"/>
        <v>#N/A</v>
      </c>
      <c r="BD7" s="7" t="e">
        <f t="shared" si="0"/>
        <v>#N/A</v>
      </c>
      <c r="BE7" s="7" t="e">
        <f t="shared" si="0"/>
        <v>#N/A</v>
      </c>
      <c r="BF7" s="7" t="e">
        <f t="shared" si="0"/>
        <v>#N/A</v>
      </c>
      <c r="BG7" s="7" t="e">
        <f t="shared" si="0"/>
        <v>#N/A</v>
      </c>
    </row>
    <row r="8" spans="3:59" x14ac:dyDescent="0.35">
      <c r="C8" s="26" t="s">
        <v>721</v>
      </c>
      <c r="D8" s="31" t="s">
        <v>1369</v>
      </c>
      <c r="E8" s="346" t="e">
        <f>VLOOKUP($C8,flows!$A$2:$J$4985,E$2,FALSE)</f>
        <v>#N/A</v>
      </c>
      <c r="F8" s="346" t="e">
        <f>VLOOKUP($C8,flows!$A$2:$J$4985,F$2,FALSE)</f>
        <v>#N/A</v>
      </c>
      <c r="G8" s="346" t="e">
        <f>VLOOKUP($C8,flows!$A$2:$J$4985,G$2,FALSE)</f>
        <v>#N/A</v>
      </c>
      <c r="H8" s="346" t="e">
        <f>VLOOKUP($C8,flows!$A$2:$J$4985,H$2,FALSE)</f>
        <v>#N/A</v>
      </c>
      <c r="I8" s="346" t="e">
        <f>VLOOKUP($C8,flows!$A$2:$J$4985,I$2,FALSE)</f>
        <v>#N/A</v>
      </c>
      <c r="J8" s="346" t="e">
        <f>VLOOKUP($C8,flows!$A$2:$J$4985,J$2,FALSE)</f>
        <v>#N/A</v>
      </c>
      <c r="K8" s="346" t="e">
        <f>VLOOKUP($C8,flows!$A$2:$J$4985,K$2,FALSE)</f>
        <v>#N/A</v>
      </c>
      <c r="L8" s="346" t="e">
        <f>VLOOKUP($C8,flows!$A$2:$J$4985,L$2,FALSE)</f>
        <v>#N/A</v>
      </c>
      <c r="O8" s="26" t="s">
        <v>906</v>
      </c>
      <c r="P8" s="31" t="s">
        <v>1373</v>
      </c>
      <c r="Q8" s="346" t="e">
        <f>VLOOKUP($O8,flows!$A$2:$J$4985,Q$2,FALSE)</f>
        <v>#N/A</v>
      </c>
      <c r="R8" s="346" t="e">
        <f>VLOOKUP($O8,flows!$A$2:$J$4985,R$2,FALSE)</f>
        <v>#N/A</v>
      </c>
      <c r="S8" s="346" t="e">
        <f>VLOOKUP($O8,flows!$A$2:$J$4985,S$2,FALSE)</f>
        <v>#N/A</v>
      </c>
      <c r="T8" s="346" t="e">
        <f>VLOOKUP($O8,flows!$A$2:$J$4985,T$2,FALSE)</f>
        <v>#N/A</v>
      </c>
      <c r="U8" s="346" t="e">
        <f>VLOOKUP($O8,flows!$A$2:$J$4985,U$2,FALSE)</f>
        <v>#N/A</v>
      </c>
      <c r="V8" s="346" t="e">
        <f>VLOOKUP($O8,flows!$A$2:$J$4985,V$2,FALSE)</f>
        <v>#N/A</v>
      </c>
      <c r="W8" s="346" t="e">
        <f>VLOOKUP($O8,flows!$A$2:$J$4985,W$2,FALSE)</f>
        <v>#N/A</v>
      </c>
      <c r="X8" s="346" t="e">
        <f>VLOOKUP($O8,flows!$A$2:$J$4985,X$2,FALSE)</f>
        <v>#N/A</v>
      </c>
      <c r="Z8" s="26" t="s">
        <v>751</v>
      </c>
      <c r="AA8" s="31" t="s">
        <v>1375</v>
      </c>
      <c r="AB8" s="346" t="e">
        <f>VLOOKUP($Z8,flows!$A$2:$J$4985,AB$2,FALSE)</f>
        <v>#N/A</v>
      </c>
      <c r="AC8" s="346" t="e">
        <f>VLOOKUP($Z8,flows!$A$2:$J$4985,AC$2,FALSE)</f>
        <v>#N/A</v>
      </c>
      <c r="AD8" s="346" t="e">
        <f>VLOOKUP($Z8,flows!$A$2:$J$4985,AD$2,FALSE)</f>
        <v>#N/A</v>
      </c>
      <c r="AE8" s="346" t="e">
        <f>VLOOKUP($Z8,flows!$A$2:$J$4985,AE$2,FALSE)</f>
        <v>#N/A</v>
      </c>
      <c r="AF8" s="346" t="e">
        <f>VLOOKUP($Z8,flows!$A$2:$J$4985,AF$2,FALSE)</f>
        <v>#N/A</v>
      </c>
      <c r="AG8" s="346" t="e">
        <f>VLOOKUP($Z8,flows!$A$2:$J$4985,AG$2,FALSE)</f>
        <v>#N/A</v>
      </c>
      <c r="AH8" s="346" t="e">
        <f>VLOOKUP($Z8,flows!$A$2:$J$4985,AH$2,FALSE)</f>
        <v>#N/A</v>
      </c>
      <c r="AI8" s="346" t="e">
        <f>VLOOKUP($Z8,flows!$A$2:$J$4985,AI$2,FALSE)</f>
        <v>#N/A</v>
      </c>
      <c r="AL8" s="26" t="s">
        <v>931</v>
      </c>
      <c r="AM8" s="31" t="s">
        <v>1374</v>
      </c>
      <c r="AN8" s="346" t="e">
        <f>VLOOKUP($AL8,flows!$A$2:$J$4985,AN$2,FALSE)</f>
        <v>#N/A</v>
      </c>
      <c r="AO8" s="346" t="e">
        <f>VLOOKUP($AL8,flows!$A$2:$J$4985,AO$2,FALSE)</f>
        <v>#N/A</v>
      </c>
      <c r="AP8" s="346" t="e">
        <f>VLOOKUP($AL8,flows!$A$2:$J$4985,AP$2,FALSE)</f>
        <v>#N/A</v>
      </c>
      <c r="AQ8" s="346" t="e">
        <f>VLOOKUP($AL8,flows!$A$2:$J$4985,AQ$2,FALSE)</f>
        <v>#N/A</v>
      </c>
      <c r="AR8" s="346" t="e">
        <f>VLOOKUP($AL8,flows!$A$2:$J$4985,AR$2,FALSE)</f>
        <v>#N/A</v>
      </c>
      <c r="AS8" s="346" t="e">
        <f>VLOOKUP($AL8,flows!$A$2:$J$4985,AS$2,FALSE)</f>
        <v>#N/A</v>
      </c>
      <c r="AT8" s="346" t="e">
        <f>VLOOKUP($AL8,flows!$A$2:$J$4985,AT$2,FALSE)</f>
        <v>#N/A</v>
      </c>
      <c r="AU8" s="346" t="e">
        <f>VLOOKUP($AL8,flows!$A$2:$J$4985,AU$2,FALSE)</f>
        <v>#N/A</v>
      </c>
      <c r="AX8" s="5"/>
      <c r="AY8" s="344" t="s">
        <v>2285</v>
      </c>
      <c r="AZ8" s="351" t="e">
        <f t="shared" ref="AZ8:BG8" si="1">(E60*E59+Q60*Q59+AB60*AB59)/(E59+Q59+AB59)</f>
        <v>#N/A</v>
      </c>
      <c r="BA8" s="351" t="e">
        <f t="shared" si="1"/>
        <v>#N/A</v>
      </c>
      <c r="BB8" s="351" t="e">
        <f>(G60*G59+S60*S59+AD60*AD59)/(G59+S59+AD59)</f>
        <v>#N/A</v>
      </c>
      <c r="BC8" s="351" t="e">
        <f t="shared" si="1"/>
        <v>#N/A</v>
      </c>
      <c r="BD8" s="351" t="e">
        <f t="shared" si="1"/>
        <v>#N/A</v>
      </c>
      <c r="BE8" s="351" t="e">
        <f t="shared" si="1"/>
        <v>#N/A</v>
      </c>
      <c r="BF8" s="351" t="e">
        <f t="shared" si="1"/>
        <v>#N/A</v>
      </c>
      <c r="BG8" s="351" t="e">
        <f t="shared" si="1"/>
        <v>#N/A</v>
      </c>
    </row>
    <row r="9" spans="3:59" x14ac:dyDescent="0.35">
      <c r="C9" s="26" t="s">
        <v>722</v>
      </c>
      <c r="D9" s="31" t="s">
        <v>1369</v>
      </c>
      <c r="E9" s="346" t="e">
        <f>VLOOKUP($C9,flows!$A$2:$J$4985,E$2,FALSE)</f>
        <v>#N/A</v>
      </c>
      <c r="F9" s="346" t="e">
        <f>VLOOKUP($C9,flows!$A$2:$J$4985,F$2,FALSE)</f>
        <v>#N/A</v>
      </c>
      <c r="G9" s="346" t="e">
        <f>VLOOKUP($C9,flows!$A$2:$J$4985,G$2,FALSE)</f>
        <v>#N/A</v>
      </c>
      <c r="H9" s="346" t="e">
        <f>VLOOKUP($C9,flows!$A$2:$J$4985,H$2,FALSE)</f>
        <v>#N/A</v>
      </c>
      <c r="I9" s="346" t="e">
        <f>VLOOKUP($C9,flows!$A$2:$J$4985,I$2,FALSE)</f>
        <v>#N/A</v>
      </c>
      <c r="J9" s="346" t="e">
        <f>VLOOKUP($C9,flows!$A$2:$J$4985,J$2,FALSE)</f>
        <v>#N/A</v>
      </c>
      <c r="K9" s="346" t="e">
        <f>VLOOKUP($C9,flows!$A$2:$J$4985,K$2,FALSE)</f>
        <v>#N/A</v>
      </c>
      <c r="L9" s="346" t="e">
        <f>VLOOKUP($C9,flows!$A$2:$J$4985,L$2,FALSE)</f>
        <v>#N/A</v>
      </c>
      <c r="O9" s="26" t="s">
        <v>907</v>
      </c>
      <c r="P9" s="31" t="s">
        <v>1373</v>
      </c>
      <c r="Q9" s="346" t="e">
        <f>VLOOKUP($O9,flows!$A$2:$J$4985,Q$2,FALSE)</f>
        <v>#N/A</v>
      </c>
      <c r="R9" s="346" t="e">
        <f>VLOOKUP($O9,flows!$A$2:$J$4985,R$2,FALSE)</f>
        <v>#N/A</v>
      </c>
      <c r="S9" s="346" t="e">
        <f>VLOOKUP($O9,flows!$A$2:$J$4985,S$2,FALSE)</f>
        <v>#N/A</v>
      </c>
      <c r="T9" s="346" t="e">
        <f>VLOOKUP($O9,flows!$A$2:$J$4985,T$2,FALSE)</f>
        <v>#N/A</v>
      </c>
      <c r="U9" s="346" t="e">
        <f>VLOOKUP($O9,flows!$A$2:$J$4985,U$2,FALSE)</f>
        <v>#N/A</v>
      </c>
      <c r="V9" s="346" t="e">
        <f>VLOOKUP($O9,flows!$A$2:$J$4985,V$2,FALSE)</f>
        <v>#N/A</v>
      </c>
      <c r="W9" s="346" t="e">
        <f>VLOOKUP($O9,flows!$A$2:$J$4985,W$2,FALSE)</f>
        <v>#N/A</v>
      </c>
      <c r="X9" s="346" t="e">
        <f>VLOOKUP($O9,flows!$A$2:$J$4985,X$2,FALSE)</f>
        <v>#N/A</v>
      </c>
      <c r="Z9" s="26" t="s">
        <v>752</v>
      </c>
      <c r="AA9" s="31" t="s">
        <v>1375</v>
      </c>
      <c r="AB9" s="346" t="e">
        <f>VLOOKUP($Z9,flows!$A$2:$J$4985,AB$2,FALSE)</f>
        <v>#N/A</v>
      </c>
      <c r="AC9" s="346" t="e">
        <f>VLOOKUP($Z9,flows!$A$2:$J$4985,AC$2,FALSE)</f>
        <v>#N/A</v>
      </c>
      <c r="AD9" s="346" t="e">
        <f>VLOOKUP($Z9,flows!$A$2:$J$4985,AD$2,FALSE)</f>
        <v>#N/A</v>
      </c>
      <c r="AE9" s="346" t="e">
        <f>VLOOKUP($Z9,flows!$A$2:$J$4985,AE$2,FALSE)</f>
        <v>#N/A</v>
      </c>
      <c r="AF9" s="346" t="e">
        <f>VLOOKUP($Z9,flows!$A$2:$J$4985,AF$2,FALSE)</f>
        <v>#N/A</v>
      </c>
      <c r="AG9" s="346" t="e">
        <f>VLOOKUP($Z9,flows!$A$2:$J$4985,AG$2,FALSE)</f>
        <v>#N/A</v>
      </c>
      <c r="AH9" s="346" t="e">
        <f>VLOOKUP($Z9,flows!$A$2:$J$4985,AH$2,FALSE)</f>
        <v>#N/A</v>
      </c>
      <c r="AI9" s="346" t="e">
        <f>VLOOKUP($Z9,flows!$A$2:$J$4985,AI$2,FALSE)</f>
        <v>#N/A</v>
      </c>
      <c r="AL9" s="26" t="s">
        <v>932</v>
      </c>
      <c r="AM9" s="31" t="s">
        <v>1378</v>
      </c>
      <c r="AN9" s="346" t="e">
        <f>VLOOKUP($AL9,flows!$A$2:$J$4985,AN$2,FALSE)</f>
        <v>#N/A</v>
      </c>
      <c r="AO9" s="346" t="e">
        <f>VLOOKUP($AL9,flows!$A$2:$J$4985,AO$2,FALSE)</f>
        <v>#N/A</v>
      </c>
      <c r="AP9" s="346" t="e">
        <f>VLOOKUP($AL9,flows!$A$2:$J$4985,AP$2,FALSE)</f>
        <v>#N/A</v>
      </c>
      <c r="AQ9" s="346" t="e">
        <f>VLOOKUP($AL9,flows!$A$2:$J$4985,AQ$2,FALSE)</f>
        <v>#N/A</v>
      </c>
      <c r="AR9" s="346" t="e">
        <f>VLOOKUP($AL9,flows!$A$2:$J$4985,AR$2,FALSE)</f>
        <v>#N/A</v>
      </c>
      <c r="AS9" s="346" t="e">
        <f>VLOOKUP($AL9,flows!$A$2:$J$4985,AS$2,FALSE)</f>
        <v>#N/A</v>
      </c>
      <c r="AT9" s="346" t="e">
        <f>VLOOKUP($AL9,flows!$A$2:$J$4985,AT$2,FALSE)</f>
        <v>#N/A</v>
      </c>
      <c r="AU9" s="346" t="e">
        <f>VLOOKUP($AL9,flows!$A$2:$J$4985,AU$2,FALSE)</f>
        <v>#N/A</v>
      </c>
      <c r="AX9" s="5"/>
      <c r="AZ9" s="62"/>
      <c r="BA9" s="62"/>
      <c r="BB9" s="62"/>
      <c r="BC9" s="62"/>
      <c r="BD9" s="62"/>
      <c r="BE9" s="62"/>
      <c r="BF9" s="62"/>
      <c r="BG9" s="62"/>
    </row>
    <row r="10" spans="3:59" x14ac:dyDescent="0.35">
      <c r="C10" s="27" t="s">
        <v>723</v>
      </c>
      <c r="D10" s="32" t="s">
        <v>1370</v>
      </c>
      <c r="E10" s="346" t="e">
        <f>VLOOKUP($C10,flows!$A$2:$J$4985,E$2,FALSE)</f>
        <v>#N/A</v>
      </c>
      <c r="F10" s="346" t="e">
        <f>VLOOKUP($C10,flows!$A$2:$J$4985,F$2,FALSE)</f>
        <v>#N/A</v>
      </c>
      <c r="G10" s="346" t="e">
        <f>VLOOKUP($C10,flows!$A$2:$J$4985,G$2,FALSE)</f>
        <v>#N/A</v>
      </c>
      <c r="H10" s="346" t="e">
        <f>VLOOKUP($C10,flows!$A$2:$J$4985,H$2,FALSE)</f>
        <v>#N/A</v>
      </c>
      <c r="I10" s="346" t="e">
        <f>VLOOKUP($C10,flows!$A$2:$J$4985,I$2,FALSE)</f>
        <v>#N/A</v>
      </c>
      <c r="J10" s="346" t="e">
        <f>VLOOKUP($C10,flows!$A$2:$J$4985,J$2,FALSE)</f>
        <v>#N/A</v>
      </c>
      <c r="K10" s="346" t="e">
        <f>VLOOKUP($C10,flows!$A$2:$J$4985,K$2,FALSE)</f>
        <v>#N/A</v>
      </c>
      <c r="L10" s="346" t="e">
        <f>VLOOKUP($C10,flows!$A$2:$J$4985,L$2,FALSE)</f>
        <v>#N/A</v>
      </c>
      <c r="O10" s="27" t="s">
        <v>908</v>
      </c>
      <c r="P10" s="32" t="s">
        <v>1370</v>
      </c>
      <c r="Q10" s="346" t="e">
        <f>VLOOKUP($O10,flows!$A$2:$J$4985,Q$2,FALSE)</f>
        <v>#N/A</v>
      </c>
      <c r="R10" s="346" t="e">
        <f>VLOOKUP($O10,flows!$A$2:$J$4985,R$2,FALSE)</f>
        <v>#N/A</v>
      </c>
      <c r="S10" s="346" t="e">
        <f>VLOOKUP($O10,flows!$A$2:$J$4985,S$2,FALSE)</f>
        <v>#N/A</v>
      </c>
      <c r="T10" s="346" t="e">
        <f>VLOOKUP($O10,flows!$A$2:$J$4985,T$2,FALSE)</f>
        <v>#N/A</v>
      </c>
      <c r="U10" s="346" t="e">
        <f>VLOOKUP($O10,flows!$A$2:$J$4985,U$2,FALSE)</f>
        <v>#N/A</v>
      </c>
      <c r="V10" s="346" t="e">
        <f>VLOOKUP($O10,flows!$A$2:$J$4985,V$2,FALSE)</f>
        <v>#N/A</v>
      </c>
      <c r="W10" s="346" t="e">
        <f>VLOOKUP($O10,flows!$A$2:$J$4985,W$2,FALSE)</f>
        <v>#N/A</v>
      </c>
      <c r="X10" s="346" t="e">
        <f>VLOOKUP($O10,flows!$A$2:$J$4985,X$2,FALSE)</f>
        <v>#N/A</v>
      </c>
      <c r="Z10" s="27" t="s">
        <v>753</v>
      </c>
      <c r="AA10" s="32" t="s">
        <v>1376</v>
      </c>
      <c r="AB10" s="346" t="e">
        <f>VLOOKUP($Z10,flows!$A$2:$J$4985,AB$2,FALSE)</f>
        <v>#N/A</v>
      </c>
      <c r="AC10" s="346" t="e">
        <f>VLOOKUP($Z10,flows!$A$2:$J$4985,AC$2,FALSE)</f>
        <v>#N/A</v>
      </c>
      <c r="AD10" s="346" t="e">
        <f>VLOOKUP($Z10,flows!$A$2:$J$4985,AD$2,FALSE)</f>
        <v>#N/A</v>
      </c>
      <c r="AE10" s="346" t="e">
        <f>VLOOKUP($Z10,flows!$A$2:$J$4985,AE$2,FALSE)</f>
        <v>#N/A</v>
      </c>
      <c r="AF10" s="346" t="e">
        <f>VLOOKUP($Z10,flows!$A$2:$J$4985,AF$2,FALSE)</f>
        <v>#N/A</v>
      </c>
      <c r="AG10" s="346" t="e">
        <f>VLOOKUP($Z10,flows!$A$2:$J$4985,AG$2,FALSE)</f>
        <v>#N/A</v>
      </c>
      <c r="AH10" s="346" t="e">
        <f>VLOOKUP($Z10,flows!$A$2:$J$4985,AH$2,FALSE)</f>
        <v>#N/A</v>
      </c>
      <c r="AI10" s="346" t="e">
        <f>VLOOKUP($Z10,flows!$A$2:$J$4985,AI$2,FALSE)</f>
        <v>#N/A</v>
      </c>
      <c r="AL10" s="27" t="s">
        <v>933</v>
      </c>
      <c r="AM10" s="32" t="s">
        <v>1378</v>
      </c>
      <c r="AN10" s="346" t="e">
        <f>VLOOKUP($AL10,flows!$A$2:$J$4985,AN$2,FALSE)</f>
        <v>#N/A</v>
      </c>
      <c r="AO10" s="346" t="e">
        <f>VLOOKUP($AL10,flows!$A$2:$J$4985,AO$2,FALSE)</f>
        <v>#N/A</v>
      </c>
      <c r="AP10" s="346" t="e">
        <f>VLOOKUP($AL10,flows!$A$2:$J$4985,AP$2,FALSE)</f>
        <v>#N/A</v>
      </c>
      <c r="AQ10" s="346" t="e">
        <f>VLOOKUP($AL10,flows!$A$2:$J$4985,AQ$2,FALSE)</f>
        <v>#N/A</v>
      </c>
      <c r="AR10" s="346" t="e">
        <f>VLOOKUP($AL10,flows!$A$2:$J$4985,AR$2,FALSE)</f>
        <v>#N/A</v>
      </c>
      <c r="AS10" s="346" t="e">
        <f>VLOOKUP($AL10,flows!$A$2:$J$4985,AS$2,FALSE)</f>
        <v>#N/A</v>
      </c>
      <c r="AT10" s="346" t="e">
        <f>VLOOKUP($AL10,flows!$A$2:$J$4985,AT$2,FALSE)</f>
        <v>#N/A</v>
      </c>
      <c r="AU10" s="346" t="e">
        <f>VLOOKUP($AL10,flows!$A$2:$J$4985,AU$2,FALSE)</f>
        <v>#N/A</v>
      </c>
      <c r="AY10" s="6" t="s">
        <v>1386</v>
      </c>
    </row>
    <row r="11" spans="3:59" x14ac:dyDescent="0.35">
      <c r="C11" s="26" t="s">
        <v>724</v>
      </c>
      <c r="D11" s="32" t="s">
        <v>1370</v>
      </c>
      <c r="E11" s="346" t="e">
        <f>VLOOKUP($C11,flows!$A$2:$J$4985,E$2,FALSE)</f>
        <v>#N/A</v>
      </c>
      <c r="F11" s="346" t="e">
        <f>VLOOKUP($C11,flows!$A$2:$J$4985,F$2,FALSE)</f>
        <v>#N/A</v>
      </c>
      <c r="G11" s="346" t="e">
        <f>VLOOKUP($C11,flows!$A$2:$J$4985,G$2,FALSE)</f>
        <v>#N/A</v>
      </c>
      <c r="H11" s="346" t="e">
        <f>VLOOKUP($C11,flows!$A$2:$J$4985,H$2,FALSE)</f>
        <v>#N/A</v>
      </c>
      <c r="I11" s="346" t="e">
        <f>VLOOKUP($C11,flows!$A$2:$J$4985,I$2,FALSE)</f>
        <v>#N/A</v>
      </c>
      <c r="J11" s="346" t="e">
        <f>VLOOKUP($C11,flows!$A$2:$J$4985,J$2,FALSE)</f>
        <v>#N/A</v>
      </c>
      <c r="K11" s="346" t="e">
        <f>VLOOKUP($C11,flows!$A$2:$J$4985,K$2,FALSE)</f>
        <v>#N/A</v>
      </c>
      <c r="L11" s="346" t="e">
        <f>VLOOKUP($C11,flows!$A$2:$J$4985,L$2,FALSE)</f>
        <v>#N/A</v>
      </c>
      <c r="O11" s="5" t="s">
        <v>909</v>
      </c>
      <c r="P11" s="32" t="s">
        <v>1370</v>
      </c>
      <c r="Q11" s="346" t="e">
        <f>VLOOKUP($O11,flows!$A$2:$J$4985,Q$2,FALSE)</f>
        <v>#N/A</v>
      </c>
      <c r="R11" s="346" t="e">
        <f>VLOOKUP($O11,flows!$A$2:$J$4985,R$2,FALSE)</f>
        <v>#N/A</v>
      </c>
      <c r="S11" s="346" t="e">
        <f>VLOOKUP($O11,flows!$A$2:$J$4985,S$2,FALSE)</f>
        <v>#N/A</v>
      </c>
      <c r="T11" s="346" t="e">
        <f>VLOOKUP($O11,flows!$A$2:$J$4985,T$2,FALSE)</f>
        <v>#N/A</v>
      </c>
      <c r="U11" s="346" t="e">
        <f>VLOOKUP($O11,flows!$A$2:$J$4985,U$2,FALSE)</f>
        <v>#N/A</v>
      </c>
      <c r="V11" s="346" t="e">
        <f>VLOOKUP($O11,flows!$A$2:$J$4985,V$2,FALSE)</f>
        <v>#N/A</v>
      </c>
      <c r="W11" s="346" t="e">
        <f>VLOOKUP($O11,flows!$A$2:$J$4985,W$2,FALSE)</f>
        <v>#N/A</v>
      </c>
      <c r="X11" s="346" t="e">
        <f>VLOOKUP($O11,flows!$A$2:$J$4985,X$2,FALSE)</f>
        <v>#N/A</v>
      </c>
      <c r="Z11" s="5" t="s">
        <v>754</v>
      </c>
      <c r="AA11" s="32" t="s">
        <v>1376</v>
      </c>
      <c r="AB11" s="346" t="e">
        <f>VLOOKUP($Z11,flows!$A$2:$J$4985,AB$2,FALSE)</f>
        <v>#N/A</v>
      </c>
      <c r="AC11" s="346" t="e">
        <f>VLOOKUP($Z11,flows!$A$2:$J$4985,AC$2,FALSE)</f>
        <v>#N/A</v>
      </c>
      <c r="AD11" s="346" t="e">
        <f>VLOOKUP($Z11,flows!$A$2:$J$4985,AD$2,FALSE)</f>
        <v>#N/A</v>
      </c>
      <c r="AE11" s="346" t="e">
        <f>VLOOKUP($Z11,flows!$A$2:$J$4985,AE$2,FALSE)</f>
        <v>#N/A</v>
      </c>
      <c r="AF11" s="346" t="e">
        <f>VLOOKUP($Z11,flows!$A$2:$J$4985,AF$2,FALSE)</f>
        <v>#N/A</v>
      </c>
      <c r="AG11" s="346" t="e">
        <f>VLOOKUP($Z11,flows!$A$2:$J$4985,AG$2,FALSE)</f>
        <v>#N/A</v>
      </c>
      <c r="AH11" s="346" t="e">
        <f>VLOOKUP($Z11,flows!$A$2:$J$4985,AH$2,FALSE)</f>
        <v>#N/A</v>
      </c>
      <c r="AI11" s="346" t="e">
        <f>VLOOKUP($Z11,flows!$A$2:$J$4985,AI$2,FALSE)</f>
        <v>#N/A</v>
      </c>
      <c r="AL11" s="5" t="s">
        <v>934</v>
      </c>
      <c r="AM11" s="6">
        <v>114</v>
      </c>
      <c r="AN11" s="346" t="e">
        <f>VLOOKUP($AL11,flows!$A$2:$J$4985,AN$2,FALSE)</f>
        <v>#N/A</v>
      </c>
      <c r="AO11" s="346" t="e">
        <f>VLOOKUP($AL11,flows!$A$2:$J$4985,AO$2,FALSE)</f>
        <v>#N/A</v>
      </c>
      <c r="AP11" s="346" t="e">
        <f>VLOOKUP($AL11,flows!$A$2:$J$4985,AP$2,FALSE)</f>
        <v>#N/A</v>
      </c>
      <c r="AQ11" s="346" t="e">
        <f>VLOOKUP($AL11,flows!$A$2:$J$4985,AQ$2,FALSE)</f>
        <v>#N/A</v>
      </c>
      <c r="AR11" s="346" t="e">
        <f>VLOOKUP($AL11,flows!$A$2:$J$4985,AR$2,FALSE)</f>
        <v>#N/A</v>
      </c>
      <c r="AS11" s="346" t="e">
        <f>VLOOKUP($AL11,flows!$A$2:$J$4985,AS$2,FALSE)</f>
        <v>#N/A</v>
      </c>
      <c r="AT11" s="346" t="e">
        <f>VLOOKUP($AL11,flows!$A$2:$J$4985,AT$2,FALSE)</f>
        <v>#N/A</v>
      </c>
      <c r="AU11" s="346" t="e">
        <f>VLOOKUP($AL11,flows!$A$2:$J$4985,AU$2,FALSE)</f>
        <v>#N/A</v>
      </c>
      <c r="AX11" s="5"/>
      <c r="AY11" s="6" t="s">
        <v>1387</v>
      </c>
      <c r="AZ11" s="7" t="e">
        <f t="shared" ref="AZ11:BG13" si="2">E63+Q63</f>
        <v>#N/A</v>
      </c>
      <c r="BA11" s="7" t="e">
        <f t="shared" si="2"/>
        <v>#N/A</v>
      </c>
      <c r="BB11" s="7" t="e">
        <f t="shared" si="2"/>
        <v>#N/A</v>
      </c>
      <c r="BC11" s="7" t="e">
        <f t="shared" si="2"/>
        <v>#N/A</v>
      </c>
      <c r="BD11" s="7" t="e">
        <f t="shared" si="2"/>
        <v>#N/A</v>
      </c>
      <c r="BE11" s="7" t="e">
        <f t="shared" si="2"/>
        <v>#N/A</v>
      </c>
      <c r="BF11" s="7" t="e">
        <f t="shared" si="2"/>
        <v>#N/A</v>
      </c>
      <c r="BG11" s="7" t="e">
        <f t="shared" si="2"/>
        <v>#N/A</v>
      </c>
    </row>
    <row r="12" spans="3:59" x14ac:dyDescent="0.35">
      <c r="C12" s="26" t="s">
        <v>725</v>
      </c>
      <c r="D12" s="32" t="s">
        <v>1370</v>
      </c>
      <c r="E12" s="346" t="e">
        <f>VLOOKUP($C12,flows!$A$2:$J$4985,E$2,FALSE)</f>
        <v>#N/A</v>
      </c>
      <c r="F12" s="346" t="e">
        <f>VLOOKUP($C12,flows!$A$2:$J$4985,F$2,FALSE)</f>
        <v>#N/A</v>
      </c>
      <c r="G12" s="346" t="e">
        <f>VLOOKUP($C12,flows!$A$2:$J$4985,G$2,FALSE)</f>
        <v>#N/A</v>
      </c>
      <c r="H12" s="346" t="e">
        <f>VLOOKUP($C12,flows!$A$2:$J$4985,H$2,FALSE)</f>
        <v>#N/A</v>
      </c>
      <c r="I12" s="346" t="e">
        <f>VLOOKUP($C12,flows!$A$2:$J$4985,I$2,FALSE)</f>
        <v>#N/A</v>
      </c>
      <c r="J12" s="346" t="e">
        <f>VLOOKUP($C12,flows!$A$2:$J$4985,J$2,FALSE)</f>
        <v>#N/A</v>
      </c>
      <c r="K12" s="346" t="e">
        <f>VLOOKUP($C12,flows!$A$2:$J$4985,K$2,FALSE)</f>
        <v>#N/A</v>
      </c>
      <c r="L12" s="346" t="e">
        <f>VLOOKUP($C12,flows!$A$2:$J$4985,L$2,FALSE)</f>
        <v>#N/A</v>
      </c>
      <c r="O12" s="26" t="s">
        <v>910</v>
      </c>
      <c r="P12" s="32" t="s">
        <v>1370</v>
      </c>
      <c r="Q12" s="346" t="e">
        <f>VLOOKUP($O12,flows!$A$2:$J$4985,Q$2,FALSE)</f>
        <v>#N/A</v>
      </c>
      <c r="R12" s="346" t="e">
        <f>VLOOKUP($O12,flows!$A$2:$J$4985,R$2,FALSE)</f>
        <v>#N/A</v>
      </c>
      <c r="S12" s="346" t="e">
        <f>VLOOKUP($O12,flows!$A$2:$J$4985,S$2,FALSE)</f>
        <v>#N/A</v>
      </c>
      <c r="T12" s="346" t="e">
        <f>VLOOKUP($O12,flows!$A$2:$J$4985,T$2,FALSE)</f>
        <v>#N/A</v>
      </c>
      <c r="U12" s="346" t="e">
        <f>VLOOKUP($O12,flows!$A$2:$J$4985,U$2,FALSE)</f>
        <v>#N/A</v>
      </c>
      <c r="V12" s="346" t="e">
        <f>VLOOKUP($O12,flows!$A$2:$J$4985,V$2,FALSE)</f>
        <v>#N/A</v>
      </c>
      <c r="W12" s="346" t="e">
        <f>VLOOKUP($O12,flows!$A$2:$J$4985,W$2,FALSE)</f>
        <v>#N/A</v>
      </c>
      <c r="X12" s="346" t="e">
        <f>VLOOKUP($O12,flows!$A$2:$J$4985,X$2,FALSE)</f>
        <v>#N/A</v>
      </c>
      <c r="Z12" s="26" t="s">
        <v>755</v>
      </c>
      <c r="AA12" s="32" t="s">
        <v>1376</v>
      </c>
      <c r="AB12" s="346" t="e">
        <f>VLOOKUP($Z12,flows!$A$2:$J$4985,AB$2,FALSE)</f>
        <v>#N/A</v>
      </c>
      <c r="AC12" s="346" t="e">
        <f>VLOOKUP($Z12,flows!$A$2:$J$4985,AC$2,FALSE)</f>
        <v>#N/A</v>
      </c>
      <c r="AD12" s="346" t="e">
        <f>VLOOKUP($Z12,flows!$A$2:$J$4985,AD$2,FALSE)</f>
        <v>#N/A</v>
      </c>
      <c r="AE12" s="346" t="e">
        <f>VLOOKUP($Z12,flows!$A$2:$J$4985,AE$2,FALSE)</f>
        <v>#N/A</v>
      </c>
      <c r="AF12" s="346" t="e">
        <f>VLOOKUP($Z12,flows!$A$2:$J$4985,AF$2,FALSE)</f>
        <v>#N/A</v>
      </c>
      <c r="AG12" s="346" t="e">
        <f>VLOOKUP($Z12,flows!$A$2:$J$4985,AG$2,FALSE)</f>
        <v>#N/A</v>
      </c>
      <c r="AH12" s="346" t="e">
        <f>VLOOKUP($Z12,flows!$A$2:$J$4985,AH$2,FALSE)</f>
        <v>#N/A</v>
      </c>
      <c r="AI12" s="346" t="e">
        <f>VLOOKUP($Z12,flows!$A$2:$J$4985,AI$2,FALSE)</f>
        <v>#N/A</v>
      </c>
      <c r="AL12" s="26" t="s">
        <v>935</v>
      </c>
      <c r="AM12" s="31" t="s">
        <v>1380</v>
      </c>
      <c r="AN12" s="346" t="e">
        <f>VLOOKUP($AL12,flows!$A$2:$J$4985,AN$2,FALSE)</f>
        <v>#N/A</v>
      </c>
      <c r="AO12" s="346" t="e">
        <f>VLOOKUP($AL12,flows!$A$2:$J$4985,AO$2,FALSE)</f>
        <v>#N/A</v>
      </c>
      <c r="AP12" s="346" t="e">
        <f>VLOOKUP($AL12,flows!$A$2:$J$4985,AP$2,FALSE)</f>
        <v>#N/A</v>
      </c>
      <c r="AQ12" s="346" t="e">
        <f>VLOOKUP($AL12,flows!$A$2:$J$4985,AQ$2,FALSE)</f>
        <v>#N/A</v>
      </c>
      <c r="AR12" s="346" t="e">
        <f>VLOOKUP($AL12,flows!$A$2:$J$4985,AR$2,FALSE)</f>
        <v>#N/A</v>
      </c>
      <c r="AS12" s="346" t="e">
        <f>VLOOKUP($AL12,flows!$A$2:$J$4985,AS$2,FALSE)</f>
        <v>#N/A</v>
      </c>
      <c r="AT12" s="346" t="e">
        <f>VLOOKUP($AL12,flows!$A$2:$J$4985,AT$2,FALSE)</f>
        <v>#N/A</v>
      </c>
      <c r="AU12" s="346" t="e">
        <f>VLOOKUP($AL12,flows!$A$2:$J$4985,AU$2,FALSE)</f>
        <v>#N/A</v>
      </c>
      <c r="AX12" s="5"/>
      <c r="AY12" s="6" t="s">
        <v>1388</v>
      </c>
      <c r="AZ12" s="7" t="e">
        <f t="shared" si="2"/>
        <v>#N/A</v>
      </c>
      <c r="BA12" s="7" t="e">
        <f t="shared" si="2"/>
        <v>#N/A</v>
      </c>
      <c r="BB12" s="7" t="e">
        <f t="shared" si="2"/>
        <v>#N/A</v>
      </c>
      <c r="BC12" s="7" t="e">
        <f t="shared" si="2"/>
        <v>#N/A</v>
      </c>
      <c r="BD12" s="7" t="e">
        <f t="shared" si="2"/>
        <v>#N/A</v>
      </c>
      <c r="BE12" s="7" t="e">
        <f t="shared" si="2"/>
        <v>#N/A</v>
      </c>
      <c r="BF12" s="7" t="e">
        <f t="shared" si="2"/>
        <v>#N/A</v>
      </c>
      <c r="BG12" s="7" t="e">
        <f t="shared" si="2"/>
        <v>#N/A</v>
      </c>
    </row>
    <row r="13" spans="3:59" x14ac:dyDescent="0.35">
      <c r="C13" s="26" t="s">
        <v>726</v>
      </c>
      <c r="D13" s="31" t="s">
        <v>1368</v>
      </c>
      <c r="E13" s="346" t="e">
        <f>VLOOKUP($C13,flows!$A$2:$J$4985,E$2,FALSE)</f>
        <v>#N/A</v>
      </c>
      <c r="F13" s="346" t="e">
        <f>VLOOKUP($C13,flows!$A$2:$J$4985,F$2,FALSE)</f>
        <v>#N/A</v>
      </c>
      <c r="G13" s="346" t="e">
        <f>VLOOKUP($C13,flows!$A$2:$J$4985,G$2,FALSE)</f>
        <v>#N/A</v>
      </c>
      <c r="H13" s="346" t="e">
        <f>VLOOKUP($C13,flows!$A$2:$J$4985,H$2,FALSE)</f>
        <v>#N/A</v>
      </c>
      <c r="I13" s="346" t="e">
        <f>VLOOKUP($C13,flows!$A$2:$J$4985,I$2,FALSE)</f>
        <v>#N/A</v>
      </c>
      <c r="J13" s="346" t="e">
        <f>VLOOKUP($C13,flows!$A$2:$J$4985,J$2,FALSE)</f>
        <v>#N/A</v>
      </c>
      <c r="K13" s="346" t="e">
        <f>VLOOKUP($C13,flows!$A$2:$J$4985,K$2,FALSE)</f>
        <v>#N/A</v>
      </c>
      <c r="L13" s="346" t="e">
        <f>VLOOKUP($C13,flows!$A$2:$J$4985,L$2,FALSE)</f>
        <v>#N/A</v>
      </c>
      <c r="O13" s="26" t="s">
        <v>911</v>
      </c>
      <c r="P13" s="31" t="s">
        <v>1371</v>
      </c>
      <c r="Q13" s="346" t="e">
        <f>VLOOKUP($O13,flows!$A$2:$J$4985,Q$2,FALSE)</f>
        <v>#N/A</v>
      </c>
      <c r="R13" s="346" t="e">
        <f>VLOOKUP($O13,flows!$A$2:$J$4985,R$2,FALSE)</f>
        <v>#N/A</v>
      </c>
      <c r="S13" s="346" t="e">
        <f>VLOOKUP($O13,flows!$A$2:$J$4985,S$2,FALSE)</f>
        <v>#N/A</v>
      </c>
      <c r="T13" s="346" t="e">
        <f>VLOOKUP($O13,flows!$A$2:$J$4985,T$2,FALSE)</f>
        <v>#N/A</v>
      </c>
      <c r="U13" s="346" t="e">
        <f>VLOOKUP($O13,flows!$A$2:$J$4985,U$2,FALSE)</f>
        <v>#N/A</v>
      </c>
      <c r="V13" s="346" t="e">
        <f>VLOOKUP($O13,flows!$A$2:$J$4985,V$2,FALSE)</f>
        <v>#N/A</v>
      </c>
      <c r="W13" s="346" t="e">
        <f>VLOOKUP($O13,flows!$A$2:$J$4985,W$2,FALSE)</f>
        <v>#N/A</v>
      </c>
      <c r="X13" s="346" t="e">
        <f>VLOOKUP($O13,flows!$A$2:$J$4985,X$2,FALSE)</f>
        <v>#N/A</v>
      </c>
      <c r="Z13" s="26"/>
      <c r="AA13" s="31"/>
      <c r="AB13" s="13"/>
      <c r="AC13" s="13"/>
      <c r="AD13" s="13"/>
      <c r="AE13" s="13"/>
      <c r="AF13" s="13"/>
      <c r="AG13" s="13"/>
      <c r="AH13" s="13"/>
      <c r="AI13" s="13"/>
      <c r="AL13" s="26" t="s">
        <v>936</v>
      </c>
      <c r="AM13" s="31" t="s">
        <v>1380</v>
      </c>
      <c r="AN13" s="346" t="e">
        <f>VLOOKUP($AL13,flows!$A$2:$J$4985,AN$2,FALSE)</f>
        <v>#N/A</v>
      </c>
      <c r="AO13" s="346" t="e">
        <f>VLOOKUP($AL13,flows!$A$2:$J$4985,AO$2,FALSE)</f>
        <v>#N/A</v>
      </c>
      <c r="AP13" s="346" t="e">
        <f>VLOOKUP($AL13,flows!$A$2:$J$4985,AP$2,FALSE)</f>
        <v>#N/A</v>
      </c>
      <c r="AQ13" s="346" t="e">
        <f>VLOOKUP($AL13,flows!$A$2:$J$4985,AQ$2,FALSE)</f>
        <v>#N/A</v>
      </c>
      <c r="AR13" s="346" t="e">
        <f>VLOOKUP($AL13,flows!$A$2:$J$4985,AR$2,FALSE)</f>
        <v>#N/A</v>
      </c>
      <c r="AS13" s="346" t="e">
        <f>VLOOKUP($AL13,flows!$A$2:$J$4985,AS$2,FALSE)</f>
        <v>#N/A</v>
      </c>
      <c r="AT13" s="346" t="e">
        <f>VLOOKUP($AL13,flows!$A$2:$J$4985,AT$2,FALSE)</f>
        <v>#N/A</v>
      </c>
      <c r="AU13" s="346" t="e">
        <f>VLOOKUP($AL13,flows!$A$2:$J$4985,AU$2,FALSE)</f>
        <v>#N/A</v>
      </c>
      <c r="AX13" s="5"/>
      <c r="AY13" s="6" t="s">
        <v>1389</v>
      </c>
      <c r="AZ13" s="7" t="e">
        <f t="shared" si="2"/>
        <v>#N/A</v>
      </c>
      <c r="BA13" s="7" t="e">
        <f t="shared" si="2"/>
        <v>#N/A</v>
      </c>
      <c r="BB13" s="7" t="e">
        <f t="shared" si="2"/>
        <v>#N/A</v>
      </c>
      <c r="BC13" s="7" t="e">
        <f t="shared" si="2"/>
        <v>#N/A</v>
      </c>
      <c r="BD13" s="7" t="e">
        <f t="shared" si="2"/>
        <v>#N/A</v>
      </c>
      <c r="BE13" s="7" t="e">
        <f t="shared" si="2"/>
        <v>#N/A</v>
      </c>
      <c r="BF13" s="7" t="e">
        <f t="shared" si="2"/>
        <v>#N/A</v>
      </c>
      <c r="BG13" s="7" t="e">
        <f t="shared" si="2"/>
        <v>#N/A</v>
      </c>
    </row>
    <row r="14" spans="3:59" ht="14.5" thickBot="1" x14ac:dyDescent="0.4">
      <c r="C14" s="26" t="s">
        <v>727</v>
      </c>
      <c r="D14" s="31" t="s">
        <v>1368</v>
      </c>
      <c r="E14" s="346" t="e">
        <f>VLOOKUP($C14,flows!$A$2:$J$4985,E$2,FALSE)</f>
        <v>#N/A</v>
      </c>
      <c r="F14" s="346" t="e">
        <f>VLOOKUP($C14,flows!$A$2:$J$4985,F$2,FALSE)</f>
        <v>#N/A</v>
      </c>
      <c r="G14" s="346" t="e">
        <f>VLOOKUP($C14,flows!$A$2:$J$4985,G$2,FALSE)</f>
        <v>#N/A</v>
      </c>
      <c r="H14" s="346" t="e">
        <f>VLOOKUP($C14,flows!$A$2:$J$4985,H$2,FALSE)</f>
        <v>#N/A</v>
      </c>
      <c r="I14" s="346" t="e">
        <f>VLOOKUP($C14,flows!$A$2:$J$4985,I$2,FALSE)</f>
        <v>#N/A</v>
      </c>
      <c r="J14" s="346" t="e">
        <f>VLOOKUP($C14,flows!$A$2:$J$4985,J$2,FALSE)</f>
        <v>#N/A</v>
      </c>
      <c r="K14" s="346" t="e">
        <f>VLOOKUP($C14,flows!$A$2:$J$4985,K$2,FALSE)</f>
        <v>#N/A</v>
      </c>
      <c r="L14" s="346" t="e">
        <f>VLOOKUP($C14,flows!$A$2:$J$4985,L$2,FALSE)</f>
        <v>#N/A</v>
      </c>
      <c r="O14" s="26" t="s">
        <v>912</v>
      </c>
      <c r="P14" s="31" t="s">
        <v>1371</v>
      </c>
      <c r="Q14" s="346" t="e">
        <f>VLOOKUP($O14,flows!$A$2:$J$4985,Q$2,FALSE)</f>
        <v>#N/A</v>
      </c>
      <c r="R14" s="346" t="e">
        <f>VLOOKUP($O14,flows!$A$2:$J$4985,R$2,FALSE)</f>
        <v>#N/A</v>
      </c>
      <c r="S14" s="346" t="e">
        <f>VLOOKUP($O14,flows!$A$2:$J$4985,S$2,FALSE)</f>
        <v>#N/A</v>
      </c>
      <c r="T14" s="346" t="e">
        <f>VLOOKUP($O14,flows!$A$2:$J$4985,T$2,FALSE)</f>
        <v>#N/A</v>
      </c>
      <c r="U14" s="346" t="e">
        <f>VLOOKUP($O14,flows!$A$2:$J$4985,U$2,FALSE)</f>
        <v>#N/A</v>
      </c>
      <c r="V14" s="346" t="e">
        <f>VLOOKUP($O14,flows!$A$2:$J$4985,V$2,FALSE)</f>
        <v>#N/A</v>
      </c>
      <c r="W14" s="346" t="e">
        <f>VLOOKUP($O14,flows!$A$2:$J$4985,W$2,FALSE)</f>
        <v>#N/A</v>
      </c>
      <c r="X14" s="346" t="e">
        <f>VLOOKUP($O14,flows!$A$2:$J$4985,X$2,FALSE)</f>
        <v>#N/A</v>
      </c>
      <c r="Z14" s="26"/>
      <c r="AA14" s="31"/>
      <c r="AB14" s="13"/>
      <c r="AC14" s="13"/>
      <c r="AD14" s="13"/>
      <c r="AE14" s="13"/>
      <c r="AF14" s="13"/>
      <c r="AG14" s="13"/>
      <c r="AH14" s="13"/>
      <c r="AI14" s="13"/>
      <c r="AL14" s="26" t="s">
        <v>938</v>
      </c>
      <c r="AM14" s="31" t="s">
        <v>1381</v>
      </c>
      <c r="AN14" s="346" t="e">
        <f>VLOOKUP($AL14,flows!$A$2:$J$4985,AN$2,FALSE)</f>
        <v>#N/A</v>
      </c>
      <c r="AO14" s="346" t="e">
        <f>VLOOKUP($AL14,flows!$A$2:$J$4985,AO$2,FALSE)</f>
        <v>#N/A</v>
      </c>
      <c r="AP14" s="346" t="e">
        <f>VLOOKUP($AL14,flows!$A$2:$J$4985,AP$2,FALSE)</f>
        <v>#N/A</v>
      </c>
      <c r="AQ14" s="346" t="e">
        <f>VLOOKUP($AL14,flows!$A$2:$J$4985,AQ$2,FALSE)</f>
        <v>#N/A</v>
      </c>
      <c r="AR14" s="346" t="e">
        <f>VLOOKUP($AL14,flows!$A$2:$J$4985,AR$2,FALSE)</f>
        <v>#N/A</v>
      </c>
      <c r="AS14" s="346" t="e">
        <f>VLOOKUP($AL14,flows!$A$2:$J$4985,AS$2,FALSE)</f>
        <v>#N/A</v>
      </c>
      <c r="AT14" s="346" t="e">
        <f>VLOOKUP($AL14,flows!$A$2:$J$4985,AT$2,FALSE)</f>
        <v>#N/A</v>
      </c>
      <c r="AU14" s="346" t="e">
        <f>VLOOKUP($AL14,flows!$A$2:$J$4985,AU$2,FALSE)</f>
        <v>#N/A</v>
      </c>
      <c r="AX14" s="8"/>
      <c r="AY14" s="344" t="s">
        <v>2285</v>
      </c>
      <c r="AZ14" s="34" t="e">
        <f>(E67*E66+Q67*Q66)/(E66+Q66)</f>
        <v>#N/A</v>
      </c>
      <c r="BA14" s="347">
        <v>0</v>
      </c>
      <c r="BB14" s="347" t="e">
        <f t="shared" ref="BB14:BG14" si="3">(G67*G66+S67*S66)/(G66+S66)</f>
        <v>#N/A</v>
      </c>
      <c r="BC14" s="347" t="e">
        <f t="shared" si="3"/>
        <v>#N/A</v>
      </c>
      <c r="BD14" s="347" t="e">
        <f t="shared" si="3"/>
        <v>#N/A</v>
      </c>
      <c r="BE14" s="347" t="e">
        <f t="shared" si="3"/>
        <v>#N/A</v>
      </c>
      <c r="BF14" s="347" t="e">
        <f t="shared" si="3"/>
        <v>#N/A</v>
      </c>
      <c r="BG14" s="347" t="e">
        <f t="shared" si="3"/>
        <v>#N/A</v>
      </c>
    </row>
    <row r="15" spans="3:59" x14ac:dyDescent="0.35">
      <c r="C15" s="26" t="s">
        <v>728</v>
      </c>
      <c r="D15" s="31" t="s">
        <v>1368</v>
      </c>
      <c r="E15" s="346" t="e">
        <f>VLOOKUP($C15,flows!$A$2:$J$4985,E$2,FALSE)</f>
        <v>#N/A</v>
      </c>
      <c r="F15" s="346" t="e">
        <f>VLOOKUP($C15,flows!$A$2:$J$4985,F$2,FALSE)</f>
        <v>#N/A</v>
      </c>
      <c r="G15" s="346" t="e">
        <f>VLOOKUP($C15,flows!$A$2:$J$4985,G$2,FALSE)</f>
        <v>#N/A</v>
      </c>
      <c r="H15" s="346" t="e">
        <f>VLOOKUP($C15,flows!$A$2:$J$4985,H$2,FALSE)</f>
        <v>#N/A</v>
      </c>
      <c r="I15" s="346" t="e">
        <f>VLOOKUP($C15,flows!$A$2:$J$4985,I$2,FALSE)</f>
        <v>#N/A</v>
      </c>
      <c r="J15" s="346" t="e">
        <f>VLOOKUP($C15,flows!$A$2:$J$4985,J$2,FALSE)</f>
        <v>#N/A</v>
      </c>
      <c r="K15" s="346" t="e">
        <f>VLOOKUP($C15,flows!$A$2:$J$4985,K$2,FALSE)</f>
        <v>#N/A</v>
      </c>
      <c r="L15" s="346" t="e">
        <f>VLOOKUP($C15,flows!$A$2:$J$4985,L$2,FALSE)</f>
        <v>#N/A</v>
      </c>
      <c r="O15" s="26" t="s">
        <v>913</v>
      </c>
      <c r="P15" s="31" t="s">
        <v>1371</v>
      </c>
      <c r="Q15" s="346" t="e">
        <f>VLOOKUP($O15,flows!$A$2:$J$4985,Q$2,FALSE)</f>
        <v>#N/A</v>
      </c>
      <c r="R15" s="346" t="e">
        <f>VLOOKUP($O15,flows!$A$2:$J$4985,R$2,FALSE)</f>
        <v>#N/A</v>
      </c>
      <c r="S15" s="346" t="e">
        <f>VLOOKUP($O15,flows!$A$2:$J$4985,S$2,FALSE)</f>
        <v>#N/A</v>
      </c>
      <c r="T15" s="346" t="e">
        <f>VLOOKUP($O15,flows!$A$2:$J$4985,T$2,FALSE)</f>
        <v>#N/A</v>
      </c>
      <c r="U15" s="346" t="e">
        <f>VLOOKUP($O15,flows!$A$2:$J$4985,U$2,FALSE)</f>
        <v>#N/A</v>
      </c>
      <c r="V15" s="346" t="e">
        <f>VLOOKUP($O15,flows!$A$2:$J$4985,V$2,FALSE)</f>
        <v>#N/A</v>
      </c>
      <c r="W15" s="346" t="e">
        <f>VLOOKUP($O15,flows!$A$2:$J$4985,W$2,FALSE)</f>
        <v>#N/A</v>
      </c>
      <c r="X15" s="346" t="e">
        <f>VLOOKUP($O15,flows!$A$2:$J$4985,X$2,FALSE)</f>
        <v>#N/A</v>
      </c>
      <c r="Z15" s="26"/>
      <c r="AA15" s="31"/>
      <c r="AB15" s="13"/>
      <c r="AC15" s="13"/>
      <c r="AD15" s="13"/>
      <c r="AE15" s="13"/>
      <c r="AF15" s="13"/>
      <c r="AG15" s="13"/>
      <c r="AH15" s="13"/>
      <c r="AI15" s="13"/>
      <c r="AL15" s="26" t="s">
        <v>939</v>
      </c>
      <c r="AM15" s="31" t="s">
        <v>1381</v>
      </c>
      <c r="AN15" s="346" t="e">
        <f>VLOOKUP($AL15,flows!$A$2:$J$4985,AN$2,FALSE)</f>
        <v>#N/A</v>
      </c>
      <c r="AO15" s="346" t="e">
        <f>VLOOKUP($AL15,flows!$A$2:$J$4985,AO$2,FALSE)</f>
        <v>#N/A</v>
      </c>
      <c r="AP15" s="346" t="e">
        <f>VLOOKUP($AL15,flows!$A$2:$J$4985,AP$2,FALSE)</f>
        <v>#N/A</v>
      </c>
      <c r="AQ15" s="346" t="e">
        <f>VLOOKUP($AL15,flows!$A$2:$J$4985,AQ$2,FALSE)</f>
        <v>#N/A</v>
      </c>
      <c r="AR15" s="346" t="e">
        <f>VLOOKUP($AL15,flows!$A$2:$J$4985,AR$2,FALSE)</f>
        <v>#N/A</v>
      </c>
      <c r="AS15" s="346" t="e">
        <f>VLOOKUP($AL15,flows!$A$2:$J$4985,AS$2,FALSE)</f>
        <v>#N/A</v>
      </c>
      <c r="AT15" s="346" t="e">
        <f>VLOOKUP($AL15,flows!$A$2:$J$4985,AT$2,FALSE)</f>
        <v>#N/A</v>
      </c>
      <c r="AU15" s="346" t="e">
        <f>VLOOKUP($AL15,flows!$A$2:$J$4985,AU$2,FALSE)</f>
        <v>#N/A</v>
      </c>
    </row>
    <row r="16" spans="3:59" x14ac:dyDescent="0.35">
      <c r="C16" s="26"/>
      <c r="D16" s="31"/>
      <c r="E16" s="13"/>
      <c r="F16" s="13"/>
      <c r="G16" s="13"/>
      <c r="H16" s="13"/>
      <c r="I16" s="13"/>
      <c r="J16" s="13"/>
      <c r="K16" s="13"/>
      <c r="L16" s="13"/>
      <c r="O16" s="26"/>
      <c r="P16" s="31"/>
      <c r="Q16" s="13"/>
      <c r="R16" s="13"/>
      <c r="S16" s="13"/>
      <c r="T16" s="13"/>
      <c r="U16" s="13"/>
      <c r="V16" s="13"/>
      <c r="W16" s="13"/>
      <c r="X16" s="13"/>
      <c r="Z16" s="26"/>
      <c r="AA16" s="31"/>
      <c r="AB16" s="13"/>
      <c r="AC16" s="13"/>
      <c r="AD16" s="13"/>
      <c r="AE16" s="13"/>
      <c r="AF16" s="13"/>
      <c r="AG16" s="13"/>
      <c r="AH16" s="13"/>
      <c r="AI16" s="13"/>
      <c r="AL16" s="26" t="s">
        <v>940</v>
      </c>
      <c r="AM16" s="31" t="s">
        <v>1381</v>
      </c>
      <c r="AN16" s="346" t="e">
        <f>VLOOKUP($AL16,flows!$A$2:$J$4985,AN$2,FALSE)</f>
        <v>#N/A</v>
      </c>
      <c r="AO16" s="346" t="e">
        <f>VLOOKUP($AL16,flows!$A$2:$J$4985,AO$2,FALSE)</f>
        <v>#N/A</v>
      </c>
      <c r="AP16" s="346" t="e">
        <f>VLOOKUP($AL16,flows!$A$2:$J$4985,AP$2,FALSE)</f>
        <v>#N/A</v>
      </c>
      <c r="AQ16" s="346" t="e">
        <f>VLOOKUP($AL16,flows!$A$2:$J$4985,AQ$2,FALSE)</f>
        <v>#N/A</v>
      </c>
      <c r="AR16" s="346" t="e">
        <f>VLOOKUP($AL16,flows!$A$2:$J$4985,AR$2,FALSE)</f>
        <v>#N/A</v>
      </c>
      <c r="AS16" s="346" t="e">
        <f>VLOOKUP($AL16,flows!$A$2:$J$4985,AS$2,FALSE)</f>
        <v>#N/A</v>
      </c>
      <c r="AT16" s="346" t="e">
        <f>VLOOKUP($AL16,flows!$A$2:$J$4985,AT$2,FALSE)</f>
        <v>#N/A</v>
      </c>
      <c r="AU16" s="346" t="e">
        <f>VLOOKUP($AL16,flows!$A$2:$J$4985,AU$2,FALSE)</f>
        <v>#N/A</v>
      </c>
      <c r="AX16" s="321" t="s">
        <v>2286</v>
      </c>
      <c r="AY16" s="345" t="s">
        <v>2285</v>
      </c>
      <c r="AZ16" s="321" t="e">
        <f>(AZ14*SUM(AZ11:AZ13)+AZ8*SUM(AZ4:AZ7))/(SUM(AZ4:AZ7)+SUM(AZ11:AZ13))</f>
        <v>#N/A</v>
      </c>
      <c r="BA16" s="321" t="e">
        <f>(BA14*SUM(BA11:BA13)+BA8*SUM(BA4:BA7))/(SUM(BA4:BA7)+SUM(BA11:BA13))</f>
        <v>#N/A</v>
      </c>
      <c r="BB16" s="321" t="e">
        <f t="shared" ref="BB16:BG16" si="4">(BB14*SUM(BB11:BB13)+BB8*SUM(BB4:BB7))/(SUM(BB4:BB7)+SUM(BB11:BB13))</f>
        <v>#N/A</v>
      </c>
      <c r="BC16" s="321" t="e">
        <f t="shared" si="4"/>
        <v>#N/A</v>
      </c>
      <c r="BD16" s="321" t="e">
        <f t="shared" si="4"/>
        <v>#N/A</v>
      </c>
      <c r="BE16" s="321" t="e">
        <f t="shared" si="4"/>
        <v>#N/A</v>
      </c>
      <c r="BF16" s="321" t="e">
        <f t="shared" si="4"/>
        <v>#N/A</v>
      </c>
      <c r="BG16" s="321" t="e">
        <f t="shared" si="4"/>
        <v>#N/A</v>
      </c>
    </row>
    <row r="17" spans="3:47" x14ac:dyDescent="0.35">
      <c r="AL17" s="26" t="s">
        <v>942</v>
      </c>
      <c r="AM17" s="31" t="s">
        <v>1382</v>
      </c>
      <c r="AN17" s="346" t="e">
        <f>VLOOKUP($AL17,flows!$A$2:$J$4985,AN$2,FALSE)</f>
        <v>#N/A</v>
      </c>
      <c r="AO17" s="346" t="e">
        <f>VLOOKUP($AL17,flows!$A$2:$J$4985,AO$2,FALSE)</f>
        <v>#N/A</v>
      </c>
      <c r="AP17" s="346" t="e">
        <f>VLOOKUP($AL17,flows!$A$2:$J$4985,AP$2,FALSE)</f>
        <v>#N/A</v>
      </c>
      <c r="AQ17" s="346" t="e">
        <f>VLOOKUP($AL17,flows!$A$2:$J$4985,AQ$2,FALSE)</f>
        <v>#N/A</v>
      </c>
      <c r="AR17" s="346" t="e">
        <f>VLOOKUP($AL17,flows!$A$2:$J$4985,AR$2,FALSE)</f>
        <v>#N/A</v>
      </c>
      <c r="AS17" s="346" t="e">
        <f>VLOOKUP($AL17,flows!$A$2:$J$4985,AS$2,FALSE)</f>
        <v>#N/A</v>
      </c>
      <c r="AT17" s="346" t="e">
        <f>VLOOKUP($AL17,flows!$A$2:$J$4985,AT$2,FALSE)</f>
        <v>#N/A</v>
      </c>
      <c r="AU17" s="346" t="e">
        <f>VLOOKUP($AL17,flows!$A$2:$J$4985,AU$2,FALSE)</f>
        <v>#N/A</v>
      </c>
    </row>
    <row r="18" spans="3:47" ht="14.5" x14ac:dyDescent="0.35">
      <c r="C18" s="327" t="s">
        <v>534</v>
      </c>
      <c r="D18" s="194" t="s">
        <v>1367</v>
      </c>
      <c r="E18" s="346" t="e">
        <f>VLOOKUP($C18,flows!$A$2:$J$4985,E$2,FALSE)</f>
        <v>#N/A</v>
      </c>
      <c r="F18" s="346" t="e">
        <f>VLOOKUP($C18,flows!$A$2:$J$4985,F$2,FALSE)</f>
        <v>#N/A</v>
      </c>
      <c r="G18" s="346" t="e">
        <f>VLOOKUP($C18,flows!$A$2:$J$4985,G$2,FALSE)</f>
        <v>#N/A</v>
      </c>
      <c r="H18" s="346" t="e">
        <f>VLOOKUP($C18,flows!$A$2:$J$4985,H$2,FALSE)</f>
        <v>#N/A</v>
      </c>
      <c r="I18" s="346" t="e">
        <f>VLOOKUP($C18,flows!$A$2:$J$4985,I$2,FALSE)</f>
        <v>#N/A</v>
      </c>
      <c r="J18" s="346" t="e">
        <f>VLOOKUP($C18,flows!$A$2:$J$4985,J$2,FALSE)</f>
        <v>#N/A</v>
      </c>
      <c r="K18" s="346" t="e">
        <f>VLOOKUP($C18,flows!$A$2:$J$4985,K$2,FALSE)</f>
        <v>#N/A</v>
      </c>
      <c r="L18" s="346" t="e">
        <f>VLOOKUP($C18,flows!$A$2:$J$4985,L$2,FALSE)</f>
        <v>#N/A</v>
      </c>
      <c r="O18" s="333" t="s">
        <v>555</v>
      </c>
      <c r="P18" s="324" t="s">
        <v>1372</v>
      </c>
      <c r="Q18" s="346" t="e">
        <f>VLOOKUP($O18,flows!$A$2:$J$4985,Q$2,FALSE)</f>
        <v>#N/A</v>
      </c>
      <c r="R18" s="346" t="e">
        <f>VLOOKUP($O18,flows!$A$2:$J$4985,R$2,FALSE)</f>
        <v>#N/A</v>
      </c>
      <c r="S18" s="346" t="e">
        <f>VLOOKUP($O18,flows!$A$2:$J$4985,S$2,FALSE)</f>
        <v>#N/A</v>
      </c>
      <c r="T18" s="346" t="e">
        <f>VLOOKUP($O18,flows!$A$2:$J$4985,T$2,FALSE)</f>
        <v>#N/A</v>
      </c>
      <c r="U18" s="346" t="e">
        <f>VLOOKUP($O18,flows!$A$2:$J$4985,U$2,FALSE)</f>
        <v>#N/A</v>
      </c>
      <c r="V18" s="346" t="e">
        <f>VLOOKUP($O18,flows!$A$2:$J$4985,V$2,FALSE)</f>
        <v>#N/A</v>
      </c>
      <c r="W18" s="346" t="e">
        <f>VLOOKUP($O18,flows!$A$2:$J$4985,W$2,FALSE)</f>
        <v>#N/A</v>
      </c>
      <c r="X18" s="346" t="e">
        <f>VLOOKUP($O18,flows!$A$2:$J$4985,X$2,FALSE)</f>
        <v>#N/A</v>
      </c>
      <c r="Z18" s="339" t="s">
        <v>546</v>
      </c>
      <c r="AA18" s="330" t="s">
        <v>1374</v>
      </c>
      <c r="AB18" s="346" t="e">
        <f>VLOOKUP($Z18,flows!$A$2:$J$4985,AB$2,FALSE)</f>
        <v>#N/A</v>
      </c>
      <c r="AC18" s="346" t="e">
        <f>VLOOKUP($Z18,flows!$A$2:$J$4985,AC$2,FALSE)</f>
        <v>#N/A</v>
      </c>
      <c r="AD18" s="346" t="e">
        <f>VLOOKUP($Z18,flows!$A$2:$J$4985,AD$2,FALSE)</f>
        <v>#N/A</v>
      </c>
      <c r="AE18" s="346" t="e">
        <f>VLOOKUP($Z18,flows!$A$2:$J$4985,AE$2,FALSE)</f>
        <v>#N/A</v>
      </c>
      <c r="AF18" s="346" t="e">
        <f>VLOOKUP($Z18,flows!$A$2:$J$4985,AF$2,FALSE)</f>
        <v>#N/A</v>
      </c>
      <c r="AG18" s="346" t="e">
        <f>VLOOKUP($Z18,flows!$A$2:$J$4985,AG$2,FALSE)</f>
        <v>#N/A</v>
      </c>
      <c r="AH18" s="346" t="e">
        <f>VLOOKUP($Z18,flows!$A$2:$J$4985,AH$2,FALSE)</f>
        <v>#N/A</v>
      </c>
      <c r="AI18" s="346" t="e">
        <f>VLOOKUP($Z18,flows!$A$2:$J$4985,AI$2,FALSE)</f>
        <v>#N/A</v>
      </c>
      <c r="AL18" s="26" t="s">
        <v>943</v>
      </c>
      <c r="AM18" s="31" t="s">
        <v>1382</v>
      </c>
      <c r="AN18" s="346" t="e">
        <f>VLOOKUP($AL18,flows!$A$2:$J$4985,AN$2,FALSE)</f>
        <v>#N/A</v>
      </c>
      <c r="AO18" s="346" t="e">
        <f>VLOOKUP($AL18,flows!$A$2:$J$4985,AO$2,FALSE)</f>
        <v>#N/A</v>
      </c>
      <c r="AP18" s="346" t="e">
        <f>VLOOKUP($AL18,flows!$A$2:$J$4985,AP$2,FALSE)</f>
        <v>#N/A</v>
      </c>
      <c r="AQ18" s="346" t="e">
        <f>VLOOKUP($AL18,flows!$A$2:$J$4985,AQ$2,FALSE)</f>
        <v>#N/A</v>
      </c>
      <c r="AR18" s="346" t="e">
        <f>VLOOKUP($AL18,flows!$A$2:$J$4985,AR$2,FALSE)</f>
        <v>#N/A</v>
      </c>
      <c r="AS18" s="346" t="e">
        <f>VLOOKUP($AL18,flows!$A$2:$J$4985,AS$2,FALSE)</f>
        <v>#N/A</v>
      </c>
      <c r="AT18" s="346" t="e">
        <f>VLOOKUP($AL18,flows!$A$2:$J$4985,AT$2,FALSE)</f>
        <v>#N/A</v>
      </c>
      <c r="AU18" s="346" t="e">
        <f>VLOOKUP($AL18,flows!$A$2:$J$4985,AU$2,FALSE)</f>
        <v>#N/A</v>
      </c>
    </row>
    <row r="19" spans="3:47" ht="14.5" x14ac:dyDescent="0.35">
      <c r="C19" s="327" t="s">
        <v>535</v>
      </c>
      <c r="D19" s="194" t="s">
        <v>1367</v>
      </c>
      <c r="E19" s="346" t="e">
        <f>VLOOKUP($C19,flows!$A$2:$J$4985,E$2,FALSE)</f>
        <v>#N/A</v>
      </c>
      <c r="F19" s="346" t="e">
        <f>VLOOKUP($C19,flows!$A$2:$J$4985,F$2,FALSE)</f>
        <v>#N/A</v>
      </c>
      <c r="G19" s="346" t="e">
        <f>VLOOKUP($C19,flows!$A$2:$J$4985,G$2,FALSE)</f>
        <v>#N/A</v>
      </c>
      <c r="H19" s="346" t="e">
        <f>VLOOKUP($C19,flows!$A$2:$J$4985,H$2,FALSE)</f>
        <v>#N/A</v>
      </c>
      <c r="I19" s="346" t="e">
        <f>VLOOKUP($C19,flows!$A$2:$J$4985,I$2,FALSE)</f>
        <v>#N/A</v>
      </c>
      <c r="J19" s="346" t="e">
        <f>VLOOKUP($C19,flows!$A$2:$J$4985,J$2,FALSE)</f>
        <v>#N/A</v>
      </c>
      <c r="K19" s="346" t="e">
        <f>VLOOKUP($C19,flows!$A$2:$J$4985,K$2,FALSE)</f>
        <v>#N/A</v>
      </c>
      <c r="L19" s="346" t="e">
        <f>VLOOKUP($C19,flows!$A$2:$J$4985,L$2,FALSE)</f>
        <v>#N/A</v>
      </c>
      <c r="O19" s="333" t="s">
        <v>556</v>
      </c>
      <c r="P19" s="324" t="s">
        <v>1372</v>
      </c>
      <c r="Q19" s="346" t="e">
        <f>VLOOKUP($O19,flows!$A$2:$J$4985,Q$2,FALSE)</f>
        <v>#N/A</v>
      </c>
      <c r="R19" s="346" t="e">
        <f>VLOOKUP($O19,flows!$A$2:$J$4985,R$2,FALSE)</f>
        <v>#N/A</v>
      </c>
      <c r="S19" s="346" t="e">
        <f>VLOOKUP($O19,flows!$A$2:$J$4985,S$2,FALSE)</f>
        <v>#N/A</v>
      </c>
      <c r="T19" s="346" t="e">
        <f>VLOOKUP($O19,flows!$A$2:$J$4985,T$2,FALSE)</f>
        <v>#N/A</v>
      </c>
      <c r="U19" s="346" t="e">
        <f>VLOOKUP($O19,flows!$A$2:$J$4985,U$2,FALSE)</f>
        <v>#N/A</v>
      </c>
      <c r="V19" s="346" t="e">
        <f>VLOOKUP($O19,flows!$A$2:$J$4985,V$2,FALSE)</f>
        <v>#N/A</v>
      </c>
      <c r="W19" s="346" t="e">
        <f>VLOOKUP($O19,flows!$A$2:$J$4985,W$2,FALSE)</f>
        <v>#N/A</v>
      </c>
      <c r="X19" s="346" t="e">
        <f>VLOOKUP($O19,flows!$A$2:$J$4985,X$2,FALSE)</f>
        <v>#N/A</v>
      </c>
      <c r="Z19" s="339" t="s">
        <v>547</v>
      </c>
      <c r="AA19" s="330" t="s">
        <v>1374</v>
      </c>
      <c r="AB19" s="346" t="e">
        <f>VLOOKUP($Z19,flows!$A$2:$J$4985,AB$2,FALSE)</f>
        <v>#N/A</v>
      </c>
      <c r="AC19" s="346" t="e">
        <f>VLOOKUP($Z19,flows!$A$2:$J$4985,AC$2,FALSE)</f>
        <v>#N/A</v>
      </c>
      <c r="AD19" s="346" t="e">
        <f>VLOOKUP($Z19,flows!$A$2:$J$4985,AD$2,FALSE)</f>
        <v>#N/A</v>
      </c>
      <c r="AE19" s="346" t="e">
        <f>VLOOKUP($Z19,flows!$A$2:$J$4985,AE$2,FALSE)</f>
        <v>#N/A</v>
      </c>
      <c r="AF19" s="346" t="e">
        <f>VLOOKUP($Z19,flows!$A$2:$J$4985,AF$2,FALSE)</f>
        <v>#N/A</v>
      </c>
      <c r="AG19" s="346" t="e">
        <f>VLOOKUP($Z19,flows!$A$2:$J$4985,AG$2,FALSE)</f>
        <v>#N/A</v>
      </c>
      <c r="AH19" s="346" t="e">
        <f>VLOOKUP($Z19,flows!$A$2:$J$4985,AH$2,FALSE)</f>
        <v>#N/A</v>
      </c>
      <c r="AI19" s="346" t="e">
        <f>VLOOKUP($Z19,flows!$A$2:$J$4985,AI$2,FALSE)</f>
        <v>#N/A</v>
      </c>
      <c r="AL19" s="26" t="s">
        <v>944</v>
      </c>
      <c r="AM19" s="31" t="s">
        <v>1382</v>
      </c>
      <c r="AN19" s="346" t="e">
        <f>VLOOKUP($AL19,flows!$A$2:$J$4985,AN$2,FALSE)</f>
        <v>#N/A</v>
      </c>
      <c r="AO19" s="346" t="e">
        <f>VLOOKUP($AL19,flows!$A$2:$J$4985,AO$2,FALSE)</f>
        <v>#N/A</v>
      </c>
      <c r="AP19" s="346" t="e">
        <f>VLOOKUP($AL19,flows!$A$2:$J$4985,AP$2,FALSE)</f>
        <v>#N/A</v>
      </c>
      <c r="AQ19" s="346" t="e">
        <f>VLOOKUP($AL19,flows!$A$2:$J$4985,AQ$2,FALSE)</f>
        <v>#N/A</v>
      </c>
      <c r="AR19" s="346" t="e">
        <f>VLOOKUP($AL19,flows!$A$2:$J$4985,AR$2,FALSE)</f>
        <v>#N/A</v>
      </c>
      <c r="AS19" s="346" t="e">
        <f>VLOOKUP($AL19,flows!$A$2:$J$4985,AS$2,FALSE)</f>
        <v>#N/A</v>
      </c>
      <c r="AT19" s="346" t="e">
        <f>VLOOKUP($AL19,flows!$A$2:$J$4985,AT$2,FALSE)</f>
        <v>#N/A</v>
      </c>
      <c r="AU19" s="346" t="e">
        <f>VLOOKUP($AL19,flows!$A$2:$J$4985,AU$2,FALSE)</f>
        <v>#N/A</v>
      </c>
    </row>
    <row r="20" spans="3:47" ht="14.5" x14ac:dyDescent="0.35">
      <c r="C20" s="327" t="s">
        <v>536</v>
      </c>
      <c r="D20" s="194" t="s">
        <v>1367</v>
      </c>
      <c r="E20" s="346" t="e">
        <f>VLOOKUP($C20,flows!$A$2:$J$4985,E$2,FALSE)</f>
        <v>#N/A</v>
      </c>
      <c r="F20" s="346" t="e">
        <f>VLOOKUP($C20,flows!$A$2:$J$4985,F$2,FALSE)</f>
        <v>#N/A</v>
      </c>
      <c r="G20" s="346" t="e">
        <f>VLOOKUP($C20,flows!$A$2:$J$4985,G$2,FALSE)</f>
        <v>#N/A</v>
      </c>
      <c r="H20" s="346" t="e">
        <f>VLOOKUP($C20,flows!$A$2:$J$4985,H$2,FALSE)</f>
        <v>#N/A</v>
      </c>
      <c r="I20" s="346" t="e">
        <f>VLOOKUP($C20,flows!$A$2:$J$4985,I$2,FALSE)</f>
        <v>#N/A</v>
      </c>
      <c r="J20" s="346" t="e">
        <f>VLOOKUP($C20,flows!$A$2:$J$4985,J$2,FALSE)</f>
        <v>#N/A</v>
      </c>
      <c r="K20" s="346" t="e">
        <f>VLOOKUP($C20,flows!$A$2:$J$4985,K$2,FALSE)</f>
        <v>#N/A</v>
      </c>
      <c r="L20" s="346" t="e">
        <f>VLOOKUP($C20,flows!$A$2:$J$4985,L$2,FALSE)</f>
        <v>#N/A</v>
      </c>
      <c r="O20" s="333" t="s">
        <v>557</v>
      </c>
      <c r="P20" s="324" t="s">
        <v>1372</v>
      </c>
      <c r="Q20" s="346" t="e">
        <f>VLOOKUP($O20,flows!$A$2:$J$4985,Q$2,FALSE)</f>
        <v>#N/A</v>
      </c>
      <c r="R20" s="346" t="e">
        <f>VLOOKUP($O20,flows!$A$2:$J$4985,R$2,FALSE)</f>
        <v>#N/A</v>
      </c>
      <c r="S20" s="346" t="e">
        <f>VLOOKUP($O20,flows!$A$2:$J$4985,S$2,FALSE)</f>
        <v>#N/A</v>
      </c>
      <c r="T20" s="346" t="e">
        <f>VLOOKUP($O20,flows!$A$2:$J$4985,T$2,FALSE)</f>
        <v>#N/A</v>
      </c>
      <c r="U20" s="346" t="e">
        <f>VLOOKUP($O20,flows!$A$2:$J$4985,U$2,FALSE)</f>
        <v>#N/A</v>
      </c>
      <c r="V20" s="346" t="e">
        <f>VLOOKUP($O20,flows!$A$2:$J$4985,V$2,FALSE)</f>
        <v>#N/A</v>
      </c>
      <c r="W20" s="346" t="e">
        <f>VLOOKUP($O20,flows!$A$2:$J$4985,W$2,FALSE)</f>
        <v>#N/A</v>
      </c>
      <c r="X20" s="346" t="e">
        <f>VLOOKUP($O20,flows!$A$2:$J$4985,X$2,FALSE)</f>
        <v>#N/A</v>
      </c>
      <c r="Z20" s="339" t="s">
        <v>548</v>
      </c>
      <c r="AA20" s="330" t="s">
        <v>1374</v>
      </c>
      <c r="AB20" s="346" t="e">
        <f>VLOOKUP($Z20,flows!$A$2:$J$4985,AB$2,FALSE)</f>
        <v>#N/A</v>
      </c>
      <c r="AC20" s="346" t="e">
        <f>VLOOKUP($Z20,flows!$A$2:$J$4985,AC$2,FALSE)</f>
        <v>#N/A</v>
      </c>
      <c r="AD20" s="346" t="e">
        <f>VLOOKUP($Z20,flows!$A$2:$J$4985,AD$2,FALSE)</f>
        <v>#N/A</v>
      </c>
      <c r="AE20" s="346" t="e">
        <f>VLOOKUP($Z20,flows!$A$2:$J$4985,AE$2,FALSE)</f>
        <v>#N/A</v>
      </c>
      <c r="AF20" s="346" t="e">
        <f>VLOOKUP($Z20,flows!$A$2:$J$4985,AF$2,FALSE)</f>
        <v>#N/A</v>
      </c>
      <c r="AG20" s="346" t="e">
        <f>VLOOKUP($Z20,flows!$A$2:$J$4985,AG$2,FALSE)</f>
        <v>#N/A</v>
      </c>
      <c r="AH20" s="346" t="e">
        <f>VLOOKUP($Z20,flows!$A$2:$J$4985,AH$2,FALSE)</f>
        <v>#N/A</v>
      </c>
      <c r="AI20" s="346" t="e">
        <f>VLOOKUP($Z20,flows!$A$2:$J$4985,AI$2,FALSE)</f>
        <v>#N/A</v>
      </c>
      <c r="AL20" s="26" t="s">
        <v>946</v>
      </c>
      <c r="AM20" s="31" t="s">
        <v>1383</v>
      </c>
      <c r="AN20" s="346" t="e">
        <f>VLOOKUP($AL20,flows!$A$2:$J$4985,AN$2,FALSE)</f>
        <v>#N/A</v>
      </c>
      <c r="AO20" s="346" t="e">
        <f>VLOOKUP($AL20,flows!$A$2:$J$4985,AO$2,FALSE)</f>
        <v>#N/A</v>
      </c>
      <c r="AP20" s="346" t="e">
        <f>VLOOKUP($AL20,flows!$A$2:$J$4985,AP$2,FALSE)</f>
        <v>#N/A</v>
      </c>
      <c r="AQ20" s="346" t="e">
        <f>VLOOKUP($AL20,flows!$A$2:$J$4985,AQ$2,FALSE)</f>
        <v>#N/A</v>
      </c>
      <c r="AR20" s="346" t="e">
        <f>VLOOKUP($AL20,flows!$A$2:$J$4985,AR$2,FALSE)</f>
        <v>#N/A</v>
      </c>
      <c r="AS20" s="346" t="e">
        <f>VLOOKUP($AL20,flows!$A$2:$J$4985,AS$2,FALSE)</f>
        <v>#N/A</v>
      </c>
      <c r="AT20" s="346" t="e">
        <f>VLOOKUP($AL20,flows!$A$2:$J$4985,AT$2,FALSE)</f>
        <v>#N/A</v>
      </c>
      <c r="AU20" s="346" t="e">
        <f>VLOOKUP($AL20,flows!$A$2:$J$4985,AU$2,FALSE)</f>
        <v>#N/A</v>
      </c>
    </row>
    <row r="21" spans="3:47" ht="14.5" x14ac:dyDescent="0.35">
      <c r="C21" s="327" t="s">
        <v>537</v>
      </c>
      <c r="D21" s="194" t="s">
        <v>1369</v>
      </c>
      <c r="E21" s="346" t="e">
        <f>VLOOKUP($C21,flows!$A$2:$J$4985,E$2,FALSE)</f>
        <v>#N/A</v>
      </c>
      <c r="F21" s="346" t="e">
        <f>VLOOKUP($C21,flows!$A$2:$J$4985,F$2,FALSE)</f>
        <v>#N/A</v>
      </c>
      <c r="G21" s="346" t="e">
        <f>VLOOKUP($C21,flows!$A$2:$J$4985,G$2,FALSE)</f>
        <v>#N/A</v>
      </c>
      <c r="H21" s="346" t="e">
        <f>VLOOKUP($C21,flows!$A$2:$J$4985,H$2,FALSE)</f>
        <v>#N/A</v>
      </c>
      <c r="I21" s="346" t="e">
        <f>VLOOKUP($C21,flows!$A$2:$J$4985,I$2,FALSE)</f>
        <v>#N/A</v>
      </c>
      <c r="J21" s="346" t="e">
        <f>VLOOKUP($C21,flows!$A$2:$J$4985,J$2,FALSE)</f>
        <v>#N/A</v>
      </c>
      <c r="K21" s="346" t="e">
        <f>VLOOKUP($C21,flows!$A$2:$J$4985,K$2,FALSE)</f>
        <v>#N/A</v>
      </c>
      <c r="L21" s="346" t="e">
        <f>VLOOKUP($C21,flows!$A$2:$J$4985,L$2,FALSE)</f>
        <v>#N/A</v>
      </c>
      <c r="O21" s="333" t="s">
        <v>558</v>
      </c>
      <c r="P21" s="324" t="s">
        <v>1373</v>
      </c>
      <c r="Q21" s="346" t="e">
        <f>VLOOKUP($O21,flows!$A$2:$J$4985,Q$2,FALSE)</f>
        <v>#N/A</v>
      </c>
      <c r="R21" s="346" t="e">
        <f>VLOOKUP($O21,flows!$A$2:$J$4985,R$2,FALSE)</f>
        <v>#N/A</v>
      </c>
      <c r="S21" s="346" t="e">
        <f>VLOOKUP($O21,flows!$A$2:$J$4985,S$2,FALSE)</f>
        <v>#N/A</v>
      </c>
      <c r="T21" s="346" t="e">
        <f>VLOOKUP($O21,flows!$A$2:$J$4985,T$2,FALSE)</f>
        <v>#N/A</v>
      </c>
      <c r="U21" s="346" t="e">
        <f>VLOOKUP($O21,flows!$A$2:$J$4985,U$2,FALSE)</f>
        <v>#N/A</v>
      </c>
      <c r="V21" s="346" t="e">
        <f>VLOOKUP($O21,flows!$A$2:$J$4985,V$2,FALSE)</f>
        <v>#N/A</v>
      </c>
      <c r="W21" s="346" t="e">
        <f>VLOOKUP($O21,flows!$A$2:$J$4985,W$2,FALSE)</f>
        <v>#N/A</v>
      </c>
      <c r="X21" s="346" t="e">
        <f>VLOOKUP($O21,flows!$A$2:$J$4985,X$2,FALSE)</f>
        <v>#N/A</v>
      </c>
      <c r="Z21" s="339" t="s">
        <v>549</v>
      </c>
      <c r="AA21" s="330" t="s">
        <v>1375</v>
      </c>
      <c r="AB21" s="346" t="e">
        <f>VLOOKUP($Z21,flows!$A$2:$J$4985,AB$2,FALSE)</f>
        <v>#N/A</v>
      </c>
      <c r="AC21" s="346" t="e">
        <f>VLOOKUP($Z21,flows!$A$2:$J$4985,AC$2,FALSE)</f>
        <v>#N/A</v>
      </c>
      <c r="AD21" s="346" t="e">
        <f>VLOOKUP($Z21,flows!$A$2:$J$4985,AD$2,FALSE)</f>
        <v>#N/A</v>
      </c>
      <c r="AE21" s="346" t="e">
        <f>VLOOKUP($Z21,flows!$A$2:$J$4985,AE$2,FALSE)</f>
        <v>#N/A</v>
      </c>
      <c r="AF21" s="346" t="e">
        <f>VLOOKUP($Z21,flows!$A$2:$J$4985,AF$2,FALSE)</f>
        <v>#N/A</v>
      </c>
      <c r="AG21" s="346" t="e">
        <f>VLOOKUP($Z21,flows!$A$2:$J$4985,AG$2,FALSE)</f>
        <v>#N/A</v>
      </c>
      <c r="AH21" s="346" t="e">
        <f>VLOOKUP($Z21,flows!$A$2:$J$4985,AH$2,FALSE)</f>
        <v>#N/A</v>
      </c>
      <c r="AI21" s="346" t="e">
        <f>VLOOKUP($Z21,flows!$A$2:$J$4985,AI$2,FALSE)</f>
        <v>#N/A</v>
      </c>
      <c r="AL21" s="26" t="s">
        <v>947</v>
      </c>
      <c r="AM21" s="31" t="s">
        <v>1384</v>
      </c>
      <c r="AN21" s="346" t="e">
        <f>VLOOKUP($AL21,flows!$A$2:$J$4985,AN$2,FALSE)</f>
        <v>#N/A</v>
      </c>
      <c r="AO21" s="346" t="e">
        <f>VLOOKUP($AL21,flows!$A$2:$J$4985,AO$2,FALSE)</f>
        <v>#N/A</v>
      </c>
      <c r="AP21" s="346" t="e">
        <f>VLOOKUP($AL21,flows!$A$2:$J$4985,AP$2,FALSE)</f>
        <v>#N/A</v>
      </c>
      <c r="AQ21" s="346" t="e">
        <f>VLOOKUP($AL21,flows!$A$2:$J$4985,AQ$2,FALSE)</f>
        <v>#N/A</v>
      </c>
      <c r="AR21" s="346" t="e">
        <f>VLOOKUP($AL21,flows!$A$2:$J$4985,AR$2,FALSE)</f>
        <v>#N/A</v>
      </c>
      <c r="AS21" s="346" t="e">
        <f>VLOOKUP($AL21,flows!$A$2:$J$4985,AS$2,FALSE)</f>
        <v>#N/A</v>
      </c>
      <c r="AT21" s="346" t="e">
        <f>VLOOKUP($AL21,flows!$A$2:$J$4985,AT$2,FALSE)</f>
        <v>#N/A</v>
      </c>
      <c r="AU21" s="346" t="e">
        <f>VLOOKUP($AL21,flows!$A$2:$J$4985,AU$2,FALSE)</f>
        <v>#N/A</v>
      </c>
    </row>
    <row r="22" spans="3:47" ht="14.5" x14ac:dyDescent="0.35">
      <c r="C22" s="327" t="s">
        <v>538</v>
      </c>
      <c r="D22" s="194" t="s">
        <v>1369</v>
      </c>
      <c r="E22" s="346" t="e">
        <f>VLOOKUP($C22,flows!$A$2:$J$4985,E$2,FALSE)</f>
        <v>#N/A</v>
      </c>
      <c r="F22" s="346" t="e">
        <f>VLOOKUP($C22,flows!$A$2:$J$4985,F$2,FALSE)</f>
        <v>#N/A</v>
      </c>
      <c r="G22" s="346" t="e">
        <f>VLOOKUP($C22,flows!$A$2:$J$4985,G$2,FALSE)</f>
        <v>#N/A</v>
      </c>
      <c r="H22" s="346" t="e">
        <f>VLOOKUP($C22,flows!$A$2:$J$4985,H$2,FALSE)</f>
        <v>#N/A</v>
      </c>
      <c r="I22" s="346" t="e">
        <f>VLOOKUP($C22,flows!$A$2:$J$4985,I$2,FALSE)</f>
        <v>#N/A</v>
      </c>
      <c r="J22" s="346" t="e">
        <f>VLOOKUP($C22,flows!$A$2:$J$4985,J$2,FALSE)</f>
        <v>#N/A</v>
      </c>
      <c r="K22" s="346" t="e">
        <f>VLOOKUP($C22,flows!$A$2:$J$4985,K$2,FALSE)</f>
        <v>#N/A</v>
      </c>
      <c r="L22" s="346" t="e">
        <f>VLOOKUP($C22,flows!$A$2:$J$4985,L$2,FALSE)</f>
        <v>#N/A</v>
      </c>
      <c r="O22" s="333" t="s">
        <v>559</v>
      </c>
      <c r="P22" s="324" t="s">
        <v>1373</v>
      </c>
      <c r="Q22" s="346" t="e">
        <f>VLOOKUP($O22,flows!$A$2:$J$4985,Q$2,FALSE)</f>
        <v>#N/A</v>
      </c>
      <c r="R22" s="346" t="e">
        <f>VLOOKUP($O22,flows!$A$2:$J$4985,R$2,FALSE)</f>
        <v>#N/A</v>
      </c>
      <c r="S22" s="346" t="e">
        <f>VLOOKUP($O22,flows!$A$2:$J$4985,S$2,FALSE)</f>
        <v>#N/A</v>
      </c>
      <c r="T22" s="346" t="e">
        <f>VLOOKUP($O22,flows!$A$2:$J$4985,T$2,FALSE)</f>
        <v>#N/A</v>
      </c>
      <c r="U22" s="346" t="e">
        <f>VLOOKUP($O22,flows!$A$2:$J$4985,U$2,FALSE)</f>
        <v>#N/A</v>
      </c>
      <c r="V22" s="346" t="e">
        <f>VLOOKUP($O22,flows!$A$2:$J$4985,V$2,FALSE)</f>
        <v>#N/A</v>
      </c>
      <c r="W22" s="346" t="e">
        <f>VLOOKUP($O22,flows!$A$2:$J$4985,W$2,FALSE)</f>
        <v>#N/A</v>
      </c>
      <c r="X22" s="346" t="e">
        <f>VLOOKUP($O22,flows!$A$2:$J$4985,X$2,FALSE)</f>
        <v>#N/A</v>
      </c>
      <c r="Z22" s="339" t="s">
        <v>550</v>
      </c>
      <c r="AA22" s="330" t="s">
        <v>1375</v>
      </c>
      <c r="AB22" s="346" t="e">
        <f>VLOOKUP($Z22,flows!$A$2:$J$4985,AB$2,FALSE)</f>
        <v>#N/A</v>
      </c>
      <c r="AC22" s="346" t="e">
        <f>VLOOKUP($Z22,flows!$A$2:$J$4985,AC$2,FALSE)</f>
        <v>#N/A</v>
      </c>
      <c r="AD22" s="346" t="e">
        <f>VLOOKUP($Z22,flows!$A$2:$J$4985,AD$2,FALSE)</f>
        <v>#N/A</v>
      </c>
      <c r="AE22" s="346" t="e">
        <f>VLOOKUP($Z22,flows!$A$2:$J$4985,AE$2,FALSE)</f>
        <v>#N/A</v>
      </c>
      <c r="AF22" s="346" t="e">
        <f>VLOOKUP($Z22,flows!$A$2:$J$4985,AF$2,FALSE)</f>
        <v>#N/A</v>
      </c>
      <c r="AG22" s="346" t="e">
        <f>VLOOKUP($Z22,flows!$A$2:$J$4985,AG$2,FALSE)</f>
        <v>#N/A</v>
      </c>
      <c r="AH22" s="346" t="e">
        <f>VLOOKUP($Z22,flows!$A$2:$J$4985,AH$2,FALSE)</f>
        <v>#N/A</v>
      </c>
      <c r="AI22" s="346" t="e">
        <f>VLOOKUP($Z22,flows!$A$2:$J$4985,AI$2,FALSE)</f>
        <v>#N/A</v>
      </c>
      <c r="AL22" s="26" t="s">
        <v>948</v>
      </c>
      <c r="AM22" s="31" t="s">
        <v>1384</v>
      </c>
      <c r="AN22" s="346" t="e">
        <f>VLOOKUP($AL22,flows!$A$2:$J$4985,AN$2,FALSE)</f>
        <v>#N/A</v>
      </c>
      <c r="AO22" s="346" t="e">
        <f>VLOOKUP($AL22,flows!$A$2:$J$4985,AO$2,FALSE)</f>
        <v>#N/A</v>
      </c>
      <c r="AP22" s="346" t="e">
        <f>VLOOKUP($AL22,flows!$A$2:$J$4985,AP$2,FALSE)</f>
        <v>#N/A</v>
      </c>
      <c r="AQ22" s="346" t="e">
        <f>VLOOKUP($AL22,flows!$A$2:$J$4985,AQ$2,FALSE)</f>
        <v>#N/A</v>
      </c>
      <c r="AR22" s="346" t="e">
        <f>VLOOKUP($AL22,flows!$A$2:$J$4985,AR$2,FALSE)</f>
        <v>#N/A</v>
      </c>
      <c r="AS22" s="346" t="e">
        <f>VLOOKUP($AL22,flows!$A$2:$J$4985,AS$2,FALSE)</f>
        <v>#N/A</v>
      </c>
      <c r="AT22" s="346" t="e">
        <f>VLOOKUP($AL22,flows!$A$2:$J$4985,AT$2,FALSE)</f>
        <v>#N/A</v>
      </c>
      <c r="AU22" s="346" t="e">
        <f>VLOOKUP($AL22,flows!$A$2:$J$4985,AU$2,FALSE)</f>
        <v>#N/A</v>
      </c>
    </row>
    <row r="23" spans="3:47" ht="14.5" x14ac:dyDescent="0.35">
      <c r="C23" s="327" t="s">
        <v>539</v>
      </c>
      <c r="D23" s="194" t="s">
        <v>1369</v>
      </c>
      <c r="E23" s="346" t="e">
        <f>VLOOKUP($C23,flows!$A$2:$J$4985,E$2,FALSE)</f>
        <v>#N/A</v>
      </c>
      <c r="F23" s="346" t="e">
        <f>VLOOKUP($C23,flows!$A$2:$J$4985,F$2,FALSE)</f>
        <v>#N/A</v>
      </c>
      <c r="G23" s="346" t="e">
        <f>VLOOKUP($C23,flows!$A$2:$J$4985,G$2,FALSE)</f>
        <v>#N/A</v>
      </c>
      <c r="H23" s="346" t="e">
        <f>VLOOKUP($C23,flows!$A$2:$J$4985,H$2,FALSE)</f>
        <v>#N/A</v>
      </c>
      <c r="I23" s="346" t="e">
        <f>VLOOKUP($C23,flows!$A$2:$J$4985,I$2,FALSE)</f>
        <v>#N/A</v>
      </c>
      <c r="J23" s="346" t="e">
        <f>VLOOKUP($C23,flows!$A$2:$J$4985,J$2,FALSE)</f>
        <v>#N/A</v>
      </c>
      <c r="K23" s="346" t="e">
        <f>VLOOKUP($C23,flows!$A$2:$J$4985,K$2,FALSE)</f>
        <v>#N/A</v>
      </c>
      <c r="L23" s="346" t="e">
        <f>VLOOKUP($C23,flows!$A$2:$J$4985,L$2,FALSE)</f>
        <v>#N/A</v>
      </c>
      <c r="O23" s="333" t="s">
        <v>560</v>
      </c>
      <c r="P23" s="324" t="s">
        <v>1373</v>
      </c>
      <c r="Q23" s="346" t="e">
        <f>VLOOKUP($O23,flows!$A$2:$J$4985,Q$2,FALSE)</f>
        <v>#N/A</v>
      </c>
      <c r="R23" s="346" t="e">
        <f>VLOOKUP($O23,flows!$A$2:$J$4985,R$2,FALSE)</f>
        <v>#N/A</v>
      </c>
      <c r="S23" s="346" t="e">
        <f>VLOOKUP($O23,flows!$A$2:$J$4985,S$2,FALSE)</f>
        <v>#N/A</v>
      </c>
      <c r="T23" s="346" t="e">
        <f>VLOOKUP($O23,flows!$A$2:$J$4985,T$2,FALSE)</f>
        <v>#N/A</v>
      </c>
      <c r="U23" s="346" t="e">
        <f>VLOOKUP($O23,flows!$A$2:$J$4985,U$2,FALSE)</f>
        <v>#N/A</v>
      </c>
      <c r="V23" s="346" t="e">
        <f>VLOOKUP($O23,flows!$A$2:$J$4985,V$2,FALSE)</f>
        <v>#N/A</v>
      </c>
      <c r="W23" s="346" t="e">
        <f>VLOOKUP($O23,flows!$A$2:$J$4985,W$2,FALSE)</f>
        <v>#N/A</v>
      </c>
      <c r="X23" s="346" t="e">
        <f>VLOOKUP($O23,flows!$A$2:$J$4985,X$2,FALSE)</f>
        <v>#N/A</v>
      </c>
      <c r="Z23" s="339" t="s">
        <v>551</v>
      </c>
      <c r="AA23" s="330" t="s">
        <v>1375</v>
      </c>
      <c r="AB23" s="346" t="e">
        <f>VLOOKUP($Z23,flows!$A$2:$J$4985,AB$2,FALSE)</f>
        <v>#N/A</v>
      </c>
      <c r="AC23" s="346" t="e">
        <f>VLOOKUP($Z23,flows!$A$2:$J$4985,AC$2,FALSE)</f>
        <v>#N/A</v>
      </c>
      <c r="AD23" s="346" t="e">
        <f>VLOOKUP($Z23,flows!$A$2:$J$4985,AD$2,FALSE)</f>
        <v>#N/A</v>
      </c>
      <c r="AE23" s="346" t="e">
        <f>VLOOKUP($Z23,flows!$A$2:$J$4985,AE$2,FALSE)</f>
        <v>#N/A</v>
      </c>
      <c r="AF23" s="346" t="e">
        <f>VLOOKUP($Z23,flows!$A$2:$J$4985,AF$2,FALSE)</f>
        <v>#N/A</v>
      </c>
      <c r="AG23" s="346" t="e">
        <f>VLOOKUP($Z23,flows!$A$2:$J$4985,AG$2,FALSE)</f>
        <v>#N/A</v>
      </c>
      <c r="AH23" s="346" t="e">
        <f>VLOOKUP($Z23,flows!$A$2:$J$4985,AH$2,FALSE)</f>
        <v>#N/A</v>
      </c>
      <c r="AI23" s="346" t="e">
        <f>VLOOKUP($Z23,flows!$A$2:$J$4985,AI$2,FALSE)</f>
        <v>#N/A</v>
      </c>
      <c r="AL23" s="26" t="s">
        <v>949</v>
      </c>
      <c r="AM23" s="31" t="s">
        <v>1383</v>
      </c>
      <c r="AN23" s="346" t="e">
        <f>VLOOKUP($AL23,flows!$A$2:$J$4985,AN$2,FALSE)</f>
        <v>#N/A</v>
      </c>
      <c r="AO23" s="346" t="e">
        <f>VLOOKUP($AL23,flows!$A$2:$J$4985,AO$2,FALSE)</f>
        <v>#N/A</v>
      </c>
      <c r="AP23" s="346" t="e">
        <f>VLOOKUP($AL23,flows!$A$2:$J$4985,AP$2,FALSE)</f>
        <v>#N/A</v>
      </c>
      <c r="AQ23" s="346" t="e">
        <f>VLOOKUP($AL23,flows!$A$2:$J$4985,AQ$2,FALSE)</f>
        <v>#N/A</v>
      </c>
      <c r="AR23" s="346" t="e">
        <f>VLOOKUP($AL23,flows!$A$2:$J$4985,AR$2,FALSE)</f>
        <v>#N/A</v>
      </c>
      <c r="AS23" s="346" t="e">
        <f>VLOOKUP($AL23,flows!$A$2:$J$4985,AS$2,FALSE)</f>
        <v>#N/A</v>
      </c>
      <c r="AT23" s="346" t="e">
        <f>VLOOKUP($AL23,flows!$A$2:$J$4985,AT$2,FALSE)</f>
        <v>#N/A</v>
      </c>
      <c r="AU23" s="346" t="e">
        <f>VLOOKUP($AL23,flows!$A$2:$J$4985,AU$2,FALSE)</f>
        <v>#N/A</v>
      </c>
    </row>
    <row r="24" spans="3:47" ht="14.5" x14ac:dyDescent="0.35">
      <c r="C24" s="327" t="s">
        <v>540</v>
      </c>
      <c r="D24" s="195" t="s">
        <v>1370</v>
      </c>
      <c r="E24" s="346" t="e">
        <f>VLOOKUP($C24,flows!$A$2:$J$4985,E$2,FALSE)</f>
        <v>#N/A</v>
      </c>
      <c r="F24" s="346" t="e">
        <f>VLOOKUP($C24,flows!$A$2:$J$4985,F$2,FALSE)</f>
        <v>#N/A</v>
      </c>
      <c r="G24" s="346" t="e">
        <f>VLOOKUP($C24,flows!$A$2:$J$4985,G$2,FALSE)</f>
        <v>#N/A</v>
      </c>
      <c r="H24" s="346" t="e">
        <f>VLOOKUP($C24,flows!$A$2:$J$4985,H$2,FALSE)</f>
        <v>#N/A</v>
      </c>
      <c r="I24" s="346" t="e">
        <f>VLOOKUP($C24,flows!$A$2:$J$4985,I$2,FALSE)</f>
        <v>#N/A</v>
      </c>
      <c r="J24" s="346" t="e">
        <f>VLOOKUP($C24,flows!$A$2:$J$4985,J$2,FALSE)</f>
        <v>#N/A</v>
      </c>
      <c r="K24" s="346" t="e">
        <f>VLOOKUP($C24,flows!$A$2:$J$4985,K$2,FALSE)</f>
        <v>#N/A</v>
      </c>
      <c r="L24" s="346" t="e">
        <f>VLOOKUP($C24,flows!$A$2:$J$4985,L$2,FALSE)</f>
        <v>#N/A</v>
      </c>
      <c r="O24" s="333" t="s">
        <v>561</v>
      </c>
      <c r="P24" s="325" t="s">
        <v>1370</v>
      </c>
      <c r="Q24" s="346" t="e">
        <f>VLOOKUP($O24,flows!$A$2:$J$4985,Q$2,FALSE)</f>
        <v>#N/A</v>
      </c>
      <c r="R24" s="346" t="e">
        <f>VLOOKUP($O24,flows!$A$2:$J$4985,R$2,FALSE)</f>
        <v>#N/A</v>
      </c>
      <c r="S24" s="346" t="e">
        <f>VLOOKUP($O24,flows!$A$2:$J$4985,S$2,FALSE)</f>
        <v>#N/A</v>
      </c>
      <c r="T24" s="346" t="e">
        <f>VLOOKUP($O24,flows!$A$2:$J$4985,T$2,FALSE)</f>
        <v>#N/A</v>
      </c>
      <c r="U24" s="346" t="e">
        <f>VLOOKUP($O24,flows!$A$2:$J$4985,U$2,FALSE)</f>
        <v>#N/A</v>
      </c>
      <c r="V24" s="346" t="e">
        <f>VLOOKUP($O24,flows!$A$2:$J$4985,V$2,FALSE)</f>
        <v>#N/A</v>
      </c>
      <c r="W24" s="346" t="e">
        <f>VLOOKUP($O24,flows!$A$2:$J$4985,W$2,FALSE)</f>
        <v>#N/A</v>
      </c>
      <c r="X24" s="346" t="e">
        <f>VLOOKUP($O24,flows!$A$2:$J$4985,X$2,FALSE)</f>
        <v>#N/A</v>
      </c>
      <c r="Z24" s="339" t="s">
        <v>552</v>
      </c>
      <c r="AA24" s="331" t="s">
        <v>1376</v>
      </c>
      <c r="AB24" s="346" t="e">
        <f>VLOOKUP($Z24,flows!$A$2:$J$4985,AB$2,FALSE)</f>
        <v>#N/A</v>
      </c>
      <c r="AC24" s="346" t="e">
        <f>VLOOKUP($Z24,flows!$A$2:$J$4985,AC$2,FALSE)</f>
        <v>#N/A</v>
      </c>
      <c r="AD24" s="346" t="e">
        <f>VLOOKUP($Z24,flows!$A$2:$J$4985,AD$2,FALSE)</f>
        <v>#N/A</v>
      </c>
      <c r="AE24" s="346" t="e">
        <f>VLOOKUP($Z24,flows!$A$2:$J$4985,AE$2,FALSE)</f>
        <v>#N/A</v>
      </c>
      <c r="AF24" s="346" t="e">
        <f>VLOOKUP($Z24,flows!$A$2:$J$4985,AF$2,FALSE)</f>
        <v>#N/A</v>
      </c>
      <c r="AG24" s="346" t="e">
        <f>VLOOKUP($Z24,flows!$A$2:$J$4985,AG$2,FALSE)</f>
        <v>#N/A</v>
      </c>
      <c r="AH24" s="346" t="e">
        <f>VLOOKUP($Z24,flows!$A$2:$J$4985,AH$2,FALSE)</f>
        <v>#N/A</v>
      </c>
      <c r="AI24" s="346" t="e">
        <f>VLOOKUP($Z24,flows!$A$2:$J$4985,AI$2,FALSE)</f>
        <v>#N/A</v>
      </c>
      <c r="AL24" s="26" t="s">
        <v>950</v>
      </c>
      <c r="AM24" s="31" t="s">
        <v>1383</v>
      </c>
      <c r="AN24" s="346" t="e">
        <f>VLOOKUP($AL24,flows!$A$2:$J$4985,AN$2,FALSE)</f>
        <v>#N/A</v>
      </c>
      <c r="AO24" s="346" t="e">
        <f>VLOOKUP($AL24,flows!$A$2:$J$4985,AO$2,FALSE)</f>
        <v>#N/A</v>
      </c>
      <c r="AP24" s="346" t="e">
        <f>VLOOKUP($AL24,flows!$A$2:$J$4985,AP$2,FALSE)</f>
        <v>#N/A</v>
      </c>
      <c r="AQ24" s="346" t="e">
        <f>VLOOKUP($AL24,flows!$A$2:$J$4985,AQ$2,FALSE)</f>
        <v>#N/A</v>
      </c>
      <c r="AR24" s="346" t="e">
        <f>VLOOKUP($AL24,flows!$A$2:$J$4985,AR$2,FALSE)</f>
        <v>#N/A</v>
      </c>
      <c r="AS24" s="346" t="e">
        <f>VLOOKUP($AL24,flows!$A$2:$J$4985,AS$2,FALSE)</f>
        <v>#N/A</v>
      </c>
      <c r="AT24" s="346" t="e">
        <f>VLOOKUP($AL24,flows!$A$2:$J$4985,AT$2,FALSE)</f>
        <v>#N/A</v>
      </c>
      <c r="AU24" s="346" t="e">
        <f>VLOOKUP($AL24,flows!$A$2:$J$4985,AU$2,FALSE)</f>
        <v>#N/A</v>
      </c>
    </row>
    <row r="25" spans="3:47" ht="14.5" x14ac:dyDescent="0.35">
      <c r="C25" s="327" t="s">
        <v>541</v>
      </c>
      <c r="D25" s="195" t="s">
        <v>1370</v>
      </c>
      <c r="E25" s="346" t="e">
        <f>VLOOKUP($C25,flows!$A$2:$J$4985,E$2,FALSE)</f>
        <v>#N/A</v>
      </c>
      <c r="F25" s="346" t="e">
        <f>VLOOKUP($C25,flows!$A$2:$J$4985,F$2,FALSE)</f>
        <v>#N/A</v>
      </c>
      <c r="G25" s="346" t="e">
        <f>VLOOKUP($C25,flows!$A$2:$J$4985,G$2,FALSE)</f>
        <v>#N/A</v>
      </c>
      <c r="H25" s="346" t="e">
        <f>VLOOKUP($C25,flows!$A$2:$J$4985,H$2,FALSE)</f>
        <v>#N/A</v>
      </c>
      <c r="I25" s="346" t="e">
        <f>VLOOKUP($C25,flows!$A$2:$J$4985,I$2,FALSE)</f>
        <v>#N/A</v>
      </c>
      <c r="J25" s="346" t="e">
        <f>VLOOKUP($C25,flows!$A$2:$J$4985,J$2,FALSE)</f>
        <v>#N/A</v>
      </c>
      <c r="K25" s="346" t="e">
        <f>VLOOKUP($C25,flows!$A$2:$J$4985,K$2,FALSE)</f>
        <v>#N/A</v>
      </c>
      <c r="L25" s="346" t="e">
        <f>VLOOKUP($C25,flows!$A$2:$J$4985,L$2,FALSE)</f>
        <v>#N/A</v>
      </c>
      <c r="O25" s="333" t="s">
        <v>562</v>
      </c>
      <c r="P25" s="325" t="s">
        <v>1370</v>
      </c>
      <c r="Q25" s="346" t="e">
        <f>VLOOKUP($O25,flows!$A$2:$J$4985,Q$2,FALSE)</f>
        <v>#N/A</v>
      </c>
      <c r="R25" s="346" t="e">
        <f>VLOOKUP($O25,flows!$A$2:$J$4985,R$2,FALSE)</f>
        <v>#N/A</v>
      </c>
      <c r="S25" s="346" t="e">
        <f>VLOOKUP($O25,flows!$A$2:$J$4985,S$2,FALSE)</f>
        <v>#N/A</v>
      </c>
      <c r="T25" s="346" t="e">
        <f>VLOOKUP($O25,flows!$A$2:$J$4985,T$2,FALSE)</f>
        <v>#N/A</v>
      </c>
      <c r="U25" s="346" t="e">
        <f>VLOOKUP($O25,flows!$A$2:$J$4985,U$2,FALSE)</f>
        <v>#N/A</v>
      </c>
      <c r="V25" s="346" t="e">
        <f>VLOOKUP($O25,flows!$A$2:$J$4985,V$2,FALSE)</f>
        <v>#N/A</v>
      </c>
      <c r="W25" s="346" t="e">
        <f>VLOOKUP($O25,flows!$A$2:$J$4985,W$2,FALSE)</f>
        <v>#N/A</v>
      </c>
      <c r="X25" s="346" t="e">
        <f>VLOOKUP($O25,flows!$A$2:$J$4985,X$2,FALSE)</f>
        <v>#N/A</v>
      </c>
      <c r="Z25" s="339" t="s">
        <v>553</v>
      </c>
      <c r="AA25" s="331" t="s">
        <v>1376</v>
      </c>
      <c r="AB25" s="346" t="e">
        <f>VLOOKUP($Z25,flows!$A$2:$J$4985,AB$2,FALSE)</f>
        <v>#N/A</v>
      </c>
      <c r="AC25" s="346" t="e">
        <f>VLOOKUP($Z25,flows!$A$2:$J$4985,AC$2,FALSE)</f>
        <v>#N/A</v>
      </c>
      <c r="AD25" s="346" t="e">
        <f>VLOOKUP($Z25,flows!$A$2:$J$4985,AD$2,FALSE)</f>
        <v>#N/A</v>
      </c>
      <c r="AE25" s="346" t="e">
        <f>VLOOKUP($Z25,flows!$A$2:$J$4985,AE$2,FALSE)</f>
        <v>#N/A</v>
      </c>
      <c r="AF25" s="346" t="e">
        <f>VLOOKUP($Z25,flows!$A$2:$J$4985,AF$2,FALSE)</f>
        <v>#N/A</v>
      </c>
      <c r="AG25" s="346" t="e">
        <f>VLOOKUP($Z25,flows!$A$2:$J$4985,AG$2,FALSE)</f>
        <v>#N/A</v>
      </c>
      <c r="AH25" s="346" t="e">
        <f>VLOOKUP($Z25,flows!$A$2:$J$4985,AH$2,FALSE)</f>
        <v>#N/A</v>
      </c>
      <c r="AI25" s="346" t="e">
        <f>VLOOKUP($Z25,flows!$A$2:$J$4985,AI$2,FALSE)</f>
        <v>#N/A</v>
      </c>
      <c r="AL25" s="26" t="s">
        <v>951</v>
      </c>
      <c r="AM25" s="31" t="s">
        <v>1375</v>
      </c>
      <c r="AN25" s="346" t="e">
        <f>VLOOKUP($AL25,flows!$A$2:$J$4985,AN$2,FALSE)</f>
        <v>#N/A</v>
      </c>
      <c r="AO25" s="346" t="e">
        <f>VLOOKUP($AL25,flows!$A$2:$J$4985,AO$2,FALSE)</f>
        <v>#N/A</v>
      </c>
      <c r="AP25" s="346" t="e">
        <f>VLOOKUP($AL25,flows!$A$2:$J$4985,AP$2,FALSE)</f>
        <v>#N/A</v>
      </c>
      <c r="AQ25" s="346" t="e">
        <f>VLOOKUP($AL25,flows!$A$2:$J$4985,AQ$2,FALSE)</f>
        <v>#N/A</v>
      </c>
      <c r="AR25" s="346" t="e">
        <f>VLOOKUP($AL25,flows!$A$2:$J$4985,AR$2,FALSE)</f>
        <v>#N/A</v>
      </c>
      <c r="AS25" s="346" t="e">
        <f>VLOOKUP($AL25,flows!$A$2:$J$4985,AS$2,FALSE)</f>
        <v>#N/A</v>
      </c>
      <c r="AT25" s="346" t="e">
        <f>VLOOKUP($AL25,flows!$A$2:$J$4985,AT$2,FALSE)</f>
        <v>#N/A</v>
      </c>
      <c r="AU25" s="346" t="e">
        <f>VLOOKUP($AL25,flows!$A$2:$J$4985,AU$2,FALSE)</f>
        <v>#N/A</v>
      </c>
    </row>
    <row r="26" spans="3:47" ht="14.5" x14ac:dyDescent="0.35">
      <c r="C26" s="327" t="s">
        <v>542</v>
      </c>
      <c r="D26" s="195" t="s">
        <v>1370</v>
      </c>
      <c r="E26" s="346" t="e">
        <f>VLOOKUP($C26,flows!$A$2:$J$4985,E$2,FALSE)</f>
        <v>#N/A</v>
      </c>
      <c r="F26" s="346" t="e">
        <f>VLOOKUP($C26,flows!$A$2:$J$4985,F$2,FALSE)</f>
        <v>#N/A</v>
      </c>
      <c r="G26" s="346" t="e">
        <f>VLOOKUP($C26,flows!$A$2:$J$4985,G$2,FALSE)</f>
        <v>#N/A</v>
      </c>
      <c r="H26" s="346" t="e">
        <f>VLOOKUP($C26,flows!$A$2:$J$4985,H$2,FALSE)</f>
        <v>#N/A</v>
      </c>
      <c r="I26" s="346" t="e">
        <f>VLOOKUP($C26,flows!$A$2:$J$4985,I$2,FALSE)</f>
        <v>#N/A</v>
      </c>
      <c r="J26" s="346" t="e">
        <f>VLOOKUP($C26,flows!$A$2:$J$4985,J$2,FALSE)</f>
        <v>#N/A</v>
      </c>
      <c r="K26" s="346" t="e">
        <f>VLOOKUP($C26,flows!$A$2:$J$4985,K$2,FALSE)</f>
        <v>#N/A</v>
      </c>
      <c r="L26" s="346" t="e">
        <f>VLOOKUP($C26,flows!$A$2:$J$4985,L$2,FALSE)</f>
        <v>#N/A</v>
      </c>
      <c r="O26" s="333" t="s">
        <v>563</v>
      </c>
      <c r="P26" s="325" t="s">
        <v>1370</v>
      </c>
      <c r="Q26" s="346" t="e">
        <f>VLOOKUP($O26,flows!$A$2:$J$4985,Q$2,FALSE)</f>
        <v>#N/A</v>
      </c>
      <c r="R26" s="346" t="e">
        <f>VLOOKUP($O26,flows!$A$2:$J$4985,R$2,FALSE)</f>
        <v>#N/A</v>
      </c>
      <c r="S26" s="346" t="e">
        <f>VLOOKUP($O26,flows!$A$2:$J$4985,S$2,FALSE)</f>
        <v>#N/A</v>
      </c>
      <c r="T26" s="346" t="e">
        <f>VLOOKUP($O26,flows!$A$2:$J$4985,T$2,FALSE)</f>
        <v>#N/A</v>
      </c>
      <c r="U26" s="346" t="e">
        <f>VLOOKUP($O26,flows!$A$2:$J$4985,U$2,FALSE)</f>
        <v>#N/A</v>
      </c>
      <c r="V26" s="346" t="e">
        <f>VLOOKUP($O26,flows!$A$2:$J$4985,V$2,FALSE)</f>
        <v>#N/A</v>
      </c>
      <c r="W26" s="346" t="e">
        <f>VLOOKUP($O26,flows!$A$2:$J$4985,W$2,FALSE)</f>
        <v>#N/A</v>
      </c>
      <c r="X26" s="346" t="e">
        <f>VLOOKUP($O26,flows!$A$2:$J$4985,X$2,FALSE)</f>
        <v>#N/A</v>
      </c>
      <c r="Z26" s="339" t="s">
        <v>554</v>
      </c>
      <c r="AA26" s="331" t="s">
        <v>1376</v>
      </c>
      <c r="AB26" s="346" t="e">
        <f>VLOOKUP($Z26,flows!$A$2:$J$4985,AB$2,FALSE)</f>
        <v>#N/A</v>
      </c>
      <c r="AC26" s="346" t="e">
        <f>VLOOKUP($Z26,flows!$A$2:$J$4985,AC$2,FALSE)</f>
        <v>#N/A</v>
      </c>
      <c r="AD26" s="346" t="e">
        <f>VLOOKUP($Z26,flows!$A$2:$J$4985,AD$2,FALSE)</f>
        <v>#N/A</v>
      </c>
      <c r="AE26" s="346" t="e">
        <f>VLOOKUP($Z26,flows!$A$2:$J$4985,AE$2,FALSE)</f>
        <v>#N/A</v>
      </c>
      <c r="AF26" s="346" t="e">
        <f>VLOOKUP($Z26,flows!$A$2:$J$4985,AF$2,FALSE)</f>
        <v>#N/A</v>
      </c>
      <c r="AG26" s="346" t="e">
        <f>VLOOKUP($Z26,flows!$A$2:$J$4985,AG$2,FALSE)</f>
        <v>#N/A</v>
      </c>
      <c r="AH26" s="346" t="e">
        <f>VLOOKUP($Z26,flows!$A$2:$J$4985,AH$2,FALSE)</f>
        <v>#N/A</v>
      </c>
      <c r="AI26" s="346" t="e">
        <f>VLOOKUP($Z26,flows!$A$2:$J$4985,AI$2,FALSE)</f>
        <v>#N/A</v>
      </c>
      <c r="AL26" s="26" t="s">
        <v>952</v>
      </c>
      <c r="AM26" s="31" t="s">
        <v>1377</v>
      </c>
      <c r="AN26" s="346" t="e">
        <f>VLOOKUP($AL26,flows!$A$2:$J$4985,AN$2,FALSE)</f>
        <v>#N/A</v>
      </c>
      <c r="AO26" s="346" t="e">
        <f>VLOOKUP($AL26,flows!$A$2:$J$4985,AO$2,FALSE)</f>
        <v>#N/A</v>
      </c>
      <c r="AP26" s="346" t="e">
        <f>VLOOKUP($AL26,flows!$A$2:$J$4985,AP$2,FALSE)</f>
        <v>#N/A</v>
      </c>
      <c r="AQ26" s="346" t="e">
        <f>VLOOKUP($AL26,flows!$A$2:$J$4985,AQ$2,FALSE)</f>
        <v>#N/A</v>
      </c>
      <c r="AR26" s="346" t="e">
        <f>VLOOKUP($AL26,flows!$A$2:$J$4985,AR$2,FALSE)</f>
        <v>#N/A</v>
      </c>
      <c r="AS26" s="346" t="e">
        <f>VLOOKUP($AL26,flows!$A$2:$J$4985,AS$2,FALSE)</f>
        <v>#N/A</v>
      </c>
      <c r="AT26" s="346" t="e">
        <f>VLOOKUP($AL26,flows!$A$2:$J$4985,AT$2,FALSE)</f>
        <v>#N/A</v>
      </c>
      <c r="AU26" s="346" t="e">
        <f>VLOOKUP($AL26,flows!$A$2:$J$4985,AU$2,FALSE)</f>
        <v>#N/A</v>
      </c>
    </row>
    <row r="27" spans="3:47" ht="14.5" x14ac:dyDescent="0.35">
      <c r="C27" s="327" t="s">
        <v>543</v>
      </c>
      <c r="D27" s="194" t="s">
        <v>1368</v>
      </c>
      <c r="E27" s="346" t="e">
        <f>VLOOKUP($C27,flows!$A$2:$J$4985,E$2,FALSE)</f>
        <v>#N/A</v>
      </c>
      <c r="F27" s="346" t="e">
        <f>VLOOKUP($C27,flows!$A$2:$J$4985,F$2,FALSE)</f>
        <v>#N/A</v>
      </c>
      <c r="G27" s="346" t="e">
        <f>VLOOKUP($C27,flows!$A$2:$J$4985,G$2,FALSE)</f>
        <v>#N/A</v>
      </c>
      <c r="H27" s="346" t="e">
        <f>VLOOKUP($C27,flows!$A$2:$J$4985,H$2,FALSE)</f>
        <v>#N/A</v>
      </c>
      <c r="I27" s="346" t="e">
        <f>VLOOKUP($C27,flows!$A$2:$J$4985,I$2,FALSE)</f>
        <v>#N/A</v>
      </c>
      <c r="J27" s="346" t="e">
        <f>VLOOKUP($C27,flows!$A$2:$J$4985,J$2,FALSE)</f>
        <v>#N/A</v>
      </c>
      <c r="K27" s="346" t="e">
        <f>VLOOKUP($C27,flows!$A$2:$J$4985,K$2,FALSE)</f>
        <v>#N/A</v>
      </c>
      <c r="L27" s="346" t="e">
        <f>VLOOKUP($C27,flows!$A$2:$J$4985,L$2,FALSE)</f>
        <v>#N/A</v>
      </c>
      <c r="O27" s="333" t="s">
        <v>564</v>
      </c>
      <c r="P27" s="324" t="s">
        <v>1371</v>
      </c>
      <c r="Q27" s="346" t="e">
        <f>VLOOKUP($O27,flows!$A$2:$J$4985,Q$2,FALSE)</f>
        <v>#N/A</v>
      </c>
      <c r="R27" s="346" t="e">
        <f>VLOOKUP($O27,flows!$A$2:$J$4985,R$2,FALSE)</f>
        <v>#N/A</v>
      </c>
      <c r="S27" s="346" t="e">
        <f>VLOOKUP($O27,flows!$A$2:$J$4985,S$2,FALSE)</f>
        <v>#N/A</v>
      </c>
      <c r="T27" s="346" t="e">
        <f>VLOOKUP($O27,flows!$A$2:$J$4985,T$2,FALSE)</f>
        <v>#N/A</v>
      </c>
      <c r="U27" s="346" t="e">
        <f>VLOOKUP($O27,flows!$A$2:$J$4985,U$2,FALSE)</f>
        <v>#N/A</v>
      </c>
      <c r="V27" s="346" t="e">
        <f>VLOOKUP($O27,flows!$A$2:$J$4985,V$2,FALSE)</f>
        <v>#N/A</v>
      </c>
      <c r="W27" s="346" t="e">
        <f>VLOOKUP($O27,flows!$A$2:$J$4985,W$2,FALSE)</f>
        <v>#N/A</v>
      </c>
      <c r="X27" s="346" t="e">
        <f>VLOOKUP($O27,flows!$A$2:$J$4985,X$2,FALSE)</f>
        <v>#N/A</v>
      </c>
      <c r="AL27" s="26" t="s">
        <v>953</v>
      </c>
      <c r="AM27" s="31" t="s">
        <v>1377</v>
      </c>
      <c r="AN27" s="346" t="e">
        <f>VLOOKUP($AL27,flows!$A$2:$J$4985,AN$2,FALSE)</f>
        <v>#N/A</v>
      </c>
      <c r="AO27" s="346" t="e">
        <f>VLOOKUP($AL27,flows!$A$2:$J$4985,AO$2,FALSE)</f>
        <v>#N/A</v>
      </c>
      <c r="AP27" s="346" t="e">
        <f>VLOOKUP($AL27,flows!$A$2:$J$4985,AP$2,FALSE)</f>
        <v>#N/A</v>
      </c>
      <c r="AQ27" s="346" t="e">
        <f>VLOOKUP($AL27,flows!$A$2:$J$4985,AQ$2,FALSE)</f>
        <v>#N/A</v>
      </c>
      <c r="AR27" s="346" t="e">
        <f>VLOOKUP($AL27,flows!$A$2:$J$4985,AR$2,FALSE)</f>
        <v>#N/A</v>
      </c>
      <c r="AS27" s="346" t="e">
        <f>VLOOKUP($AL27,flows!$A$2:$J$4985,AS$2,FALSE)</f>
        <v>#N/A</v>
      </c>
      <c r="AT27" s="346" t="e">
        <f>VLOOKUP($AL27,flows!$A$2:$J$4985,AT$2,FALSE)</f>
        <v>#N/A</v>
      </c>
      <c r="AU27" s="346" t="e">
        <f>VLOOKUP($AL27,flows!$A$2:$J$4985,AU$2,FALSE)</f>
        <v>#N/A</v>
      </c>
    </row>
    <row r="28" spans="3:47" ht="14.5" x14ac:dyDescent="0.35">
      <c r="C28" s="327" t="s">
        <v>544</v>
      </c>
      <c r="D28" s="194" t="s">
        <v>1368</v>
      </c>
      <c r="E28" s="346" t="e">
        <f>VLOOKUP($C28,flows!$A$2:$J$4985,E$2,FALSE)</f>
        <v>#N/A</v>
      </c>
      <c r="F28" s="346" t="e">
        <f>VLOOKUP($C28,flows!$A$2:$J$4985,F$2,FALSE)</f>
        <v>#N/A</v>
      </c>
      <c r="G28" s="346" t="e">
        <f>VLOOKUP($C28,flows!$A$2:$J$4985,G$2,FALSE)</f>
        <v>#N/A</v>
      </c>
      <c r="H28" s="346" t="e">
        <f>VLOOKUP($C28,flows!$A$2:$J$4985,H$2,FALSE)</f>
        <v>#N/A</v>
      </c>
      <c r="I28" s="346" t="e">
        <f>VLOOKUP($C28,flows!$A$2:$J$4985,I$2,FALSE)</f>
        <v>#N/A</v>
      </c>
      <c r="J28" s="346" t="e">
        <f>VLOOKUP($C28,flows!$A$2:$J$4985,J$2,FALSE)</f>
        <v>#N/A</v>
      </c>
      <c r="K28" s="346" t="e">
        <f>VLOOKUP($C28,flows!$A$2:$J$4985,K$2,FALSE)</f>
        <v>#N/A</v>
      </c>
      <c r="L28" s="346" t="e">
        <f>VLOOKUP($C28,flows!$A$2:$J$4985,L$2,FALSE)</f>
        <v>#N/A</v>
      </c>
      <c r="O28" s="333" t="s">
        <v>565</v>
      </c>
      <c r="P28" s="324" t="s">
        <v>1371</v>
      </c>
      <c r="Q28" s="346" t="e">
        <f>VLOOKUP($O28,flows!$A$2:$J$4985,Q$2,FALSE)</f>
        <v>#N/A</v>
      </c>
      <c r="R28" s="346" t="e">
        <f>VLOOKUP($O28,flows!$A$2:$J$4985,R$2,FALSE)</f>
        <v>#N/A</v>
      </c>
      <c r="S28" s="346" t="e">
        <f>VLOOKUP($O28,flows!$A$2:$J$4985,S$2,FALSE)</f>
        <v>#N/A</v>
      </c>
      <c r="T28" s="346" t="e">
        <f>VLOOKUP($O28,flows!$A$2:$J$4985,T$2,FALSE)</f>
        <v>#N/A</v>
      </c>
      <c r="U28" s="346" t="e">
        <f>VLOOKUP($O28,flows!$A$2:$J$4985,U$2,FALSE)</f>
        <v>#N/A</v>
      </c>
      <c r="V28" s="346" t="e">
        <f>VLOOKUP($O28,flows!$A$2:$J$4985,V$2,FALSE)</f>
        <v>#N/A</v>
      </c>
      <c r="W28" s="346" t="e">
        <f>VLOOKUP($O28,flows!$A$2:$J$4985,W$2,FALSE)</f>
        <v>#N/A</v>
      </c>
      <c r="X28" s="346" t="e">
        <f>VLOOKUP($O28,flows!$A$2:$J$4985,X$2,FALSE)</f>
        <v>#N/A</v>
      </c>
      <c r="AL28" s="26" t="s">
        <v>954</v>
      </c>
      <c r="AM28" s="31" t="s">
        <v>1375</v>
      </c>
      <c r="AN28" s="346" t="e">
        <f>VLOOKUP($AL28,flows!$A$2:$J$4985,AN$2,FALSE)</f>
        <v>#N/A</v>
      </c>
      <c r="AO28" s="346" t="e">
        <f>VLOOKUP($AL28,flows!$A$2:$J$4985,AO$2,FALSE)</f>
        <v>#N/A</v>
      </c>
      <c r="AP28" s="346" t="e">
        <f>VLOOKUP($AL28,flows!$A$2:$J$4985,AP$2,FALSE)</f>
        <v>#N/A</v>
      </c>
      <c r="AQ28" s="346" t="e">
        <f>VLOOKUP($AL28,flows!$A$2:$J$4985,AQ$2,FALSE)</f>
        <v>#N/A</v>
      </c>
      <c r="AR28" s="346" t="e">
        <f>VLOOKUP($AL28,flows!$A$2:$J$4985,AR$2,FALSE)</f>
        <v>#N/A</v>
      </c>
      <c r="AS28" s="346" t="e">
        <f>VLOOKUP($AL28,flows!$A$2:$J$4985,AS$2,FALSE)</f>
        <v>#N/A</v>
      </c>
      <c r="AT28" s="346" t="e">
        <f>VLOOKUP($AL28,flows!$A$2:$J$4985,AT$2,FALSE)</f>
        <v>#N/A</v>
      </c>
      <c r="AU28" s="346" t="e">
        <f>VLOOKUP($AL28,flows!$A$2:$J$4985,AU$2,FALSE)</f>
        <v>#N/A</v>
      </c>
    </row>
    <row r="29" spans="3:47" ht="14.5" x14ac:dyDescent="0.35">
      <c r="C29" s="327" t="s">
        <v>545</v>
      </c>
      <c r="D29" s="194" t="s">
        <v>1368</v>
      </c>
      <c r="E29" s="346" t="e">
        <f>VLOOKUP($C29,flows!$A$2:$J$4985,E$2,FALSE)</f>
        <v>#N/A</v>
      </c>
      <c r="F29" s="346" t="e">
        <f>VLOOKUP($C29,flows!$A$2:$J$4985,F$2,FALSE)</f>
        <v>#N/A</v>
      </c>
      <c r="G29" s="346" t="e">
        <f>VLOOKUP($C29,flows!$A$2:$J$4985,G$2,FALSE)</f>
        <v>#N/A</v>
      </c>
      <c r="H29" s="346" t="e">
        <f>VLOOKUP($C29,flows!$A$2:$J$4985,H$2,FALSE)</f>
        <v>#N/A</v>
      </c>
      <c r="I29" s="346" t="e">
        <f>VLOOKUP($C29,flows!$A$2:$J$4985,I$2,FALSE)</f>
        <v>#N/A</v>
      </c>
      <c r="J29" s="346" t="e">
        <f>VLOOKUP($C29,flows!$A$2:$J$4985,J$2,FALSE)</f>
        <v>#N/A</v>
      </c>
      <c r="K29" s="346" t="e">
        <f>VLOOKUP($C29,flows!$A$2:$J$4985,K$2,FALSE)</f>
        <v>#N/A</v>
      </c>
      <c r="L29" s="346" t="e">
        <f>VLOOKUP($C29,flows!$A$2:$J$4985,L$2,FALSE)</f>
        <v>#N/A</v>
      </c>
      <c r="O29" s="333" t="s">
        <v>566</v>
      </c>
      <c r="P29" s="324" t="s">
        <v>1371</v>
      </c>
      <c r="Q29" s="346" t="e">
        <f>VLOOKUP($O29,flows!$A$2:$J$4985,Q$2,FALSE)</f>
        <v>#N/A</v>
      </c>
      <c r="R29" s="346" t="e">
        <f>VLOOKUP($O29,flows!$A$2:$J$4985,R$2,FALSE)</f>
        <v>#N/A</v>
      </c>
      <c r="S29" s="346" t="e">
        <f>VLOOKUP($O29,flows!$A$2:$J$4985,S$2,FALSE)</f>
        <v>#N/A</v>
      </c>
      <c r="T29" s="346" t="e">
        <f>VLOOKUP($O29,flows!$A$2:$J$4985,T$2,FALSE)</f>
        <v>#N/A</v>
      </c>
      <c r="U29" s="346" t="e">
        <f>VLOOKUP($O29,flows!$A$2:$J$4985,U$2,FALSE)</f>
        <v>#N/A</v>
      </c>
      <c r="V29" s="346" t="e">
        <f>VLOOKUP($O29,flows!$A$2:$J$4985,V$2,FALSE)</f>
        <v>#N/A</v>
      </c>
      <c r="W29" s="346" t="e">
        <f>VLOOKUP($O29,flows!$A$2:$J$4985,W$2,FALSE)</f>
        <v>#N/A</v>
      </c>
      <c r="X29" s="346" t="e">
        <f>VLOOKUP($O29,flows!$A$2:$J$4985,X$2,FALSE)</f>
        <v>#N/A</v>
      </c>
      <c r="AL29" s="26" t="s">
        <v>955</v>
      </c>
      <c r="AM29" s="31" t="s">
        <v>1375</v>
      </c>
      <c r="AN29" s="346" t="e">
        <f>VLOOKUP($AL29,flows!$A$2:$J$4985,AN$2,FALSE)</f>
        <v>#N/A</v>
      </c>
      <c r="AO29" s="346" t="e">
        <f>VLOOKUP($AL29,flows!$A$2:$J$4985,AO$2,FALSE)</f>
        <v>#N/A</v>
      </c>
      <c r="AP29" s="346" t="e">
        <f>VLOOKUP($AL29,flows!$A$2:$J$4985,AP$2,FALSE)</f>
        <v>#N/A</v>
      </c>
      <c r="AQ29" s="346" t="e">
        <f>VLOOKUP($AL29,flows!$A$2:$J$4985,AQ$2,FALSE)</f>
        <v>#N/A</v>
      </c>
      <c r="AR29" s="346" t="e">
        <f>VLOOKUP($AL29,flows!$A$2:$J$4985,AR$2,FALSE)</f>
        <v>#N/A</v>
      </c>
      <c r="AS29" s="346" t="e">
        <f>VLOOKUP($AL29,flows!$A$2:$J$4985,AS$2,FALSE)</f>
        <v>#N/A</v>
      </c>
      <c r="AT29" s="346" t="e">
        <f>VLOOKUP($AL29,flows!$A$2:$J$4985,AT$2,FALSE)</f>
        <v>#N/A</v>
      </c>
      <c r="AU29" s="346" t="e">
        <f>VLOOKUP($AL29,flows!$A$2:$J$4985,AU$2,FALSE)</f>
        <v>#N/A</v>
      </c>
    </row>
    <row r="30" spans="3:47" x14ac:dyDescent="0.35">
      <c r="AL30" s="26"/>
      <c r="AM30" s="31"/>
      <c r="AN30" s="13"/>
      <c r="AO30" s="13"/>
      <c r="AP30" s="13"/>
      <c r="AQ30" s="13"/>
      <c r="AR30" s="13"/>
      <c r="AS30" s="13"/>
      <c r="AT30" s="13"/>
      <c r="AU30" s="13"/>
    </row>
    <row r="32" spans="3:47" ht="14.5" x14ac:dyDescent="0.35">
      <c r="C32" s="26"/>
      <c r="D32" s="31" t="s">
        <v>1365</v>
      </c>
      <c r="E32" s="13" t="s">
        <v>1347</v>
      </c>
      <c r="F32" s="13"/>
      <c r="G32" s="13"/>
      <c r="H32" s="13"/>
      <c r="I32" s="13"/>
      <c r="J32" s="13"/>
      <c r="K32" s="13"/>
      <c r="L32" s="13"/>
      <c r="O32" s="26"/>
      <c r="P32" s="31" t="s">
        <v>1365</v>
      </c>
      <c r="Q32" s="13" t="s">
        <v>1364</v>
      </c>
      <c r="R32" s="13"/>
      <c r="S32" s="13"/>
      <c r="T32" s="13"/>
      <c r="U32" s="13"/>
      <c r="V32" s="13"/>
      <c r="W32" s="13"/>
      <c r="X32" s="13"/>
      <c r="Z32" s="26"/>
      <c r="AA32" s="31" t="s">
        <v>1365</v>
      </c>
      <c r="AB32" s="70" t="s">
        <v>1364</v>
      </c>
      <c r="AC32" s="13"/>
      <c r="AD32" s="13"/>
      <c r="AE32" s="13"/>
      <c r="AF32" s="13"/>
      <c r="AG32" s="13"/>
      <c r="AH32" s="13"/>
      <c r="AI32" s="13"/>
      <c r="AL32" s="349" t="s">
        <v>567</v>
      </c>
      <c r="AM32" s="337" t="s">
        <v>1379</v>
      </c>
      <c r="AN32" s="346" t="e">
        <f>VLOOKUP($AL32,flows!$A$2:$J$4985,AN$2,FALSE)</f>
        <v>#N/A</v>
      </c>
      <c r="AO32" s="346" t="e">
        <f>VLOOKUP($AL32,flows!$A$2:$J$4985,AO$2,FALSE)</f>
        <v>#N/A</v>
      </c>
      <c r="AP32" s="346" t="e">
        <f>VLOOKUP($AL32,flows!$A$2:$J$4985,AP$2,FALSE)</f>
        <v>#N/A</v>
      </c>
      <c r="AQ32" s="346" t="e">
        <f>VLOOKUP($AL32,flows!$A$2:$J$4985,AQ$2,FALSE)</f>
        <v>#N/A</v>
      </c>
      <c r="AR32" s="346" t="e">
        <f>VLOOKUP($AL32,flows!$A$2:$J$4985,AR$2,FALSE)</f>
        <v>#N/A</v>
      </c>
      <c r="AS32" s="346" t="e">
        <f>VLOOKUP($AL32,flows!$A$2:$J$4985,AS$2,FALSE)</f>
        <v>#N/A</v>
      </c>
      <c r="AT32" s="346" t="e">
        <f>VLOOKUP($AL32,flows!$A$2:$J$4985,AT$2,FALSE)</f>
        <v>#N/A</v>
      </c>
      <c r="AU32" s="346" t="e">
        <f>VLOOKUP($AL32,flows!$A$2:$J$4985,AU$2,FALSE)</f>
        <v>#N/A</v>
      </c>
    </row>
    <row r="33" spans="3:47" ht="14.5" x14ac:dyDescent="0.35">
      <c r="C33" s="26" t="s">
        <v>0</v>
      </c>
      <c r="D33" s="31">
        <f t="shared" ref="D33:D44" si="5">1/(D4)</f>
        <v>5.3475935828877002E-3</v>
      </c>
      <c r="E33" s="314" t="e">
        <f t="shared" ref="E33:L33" si="6">$D$33*E4-0.1*$D$33*$F$4</f>
        <v>#N/A</v>
      </c>
      <c r="F33" s="314" t="e">
        <f t="shared" si="6"/>
        <v>#N/A</v>
      </c>
      <c r="G33" s="314" t="e">
        <f t="shared" si="6"/>
        <v>#N/A</v>
      </c>
      <c r="H33" s="314" t="e">
        <f t="shared" si="6"/>
        <v>#N/A</v>
      </c>
      <c r="I33" s="314" t="e">
        <f t="shared" si="6"/>
        <v>#N/A</v>
      </c>
      <c r="J33" s="314" t="e">
        <f t="shared" si="6"/>
        <v>#N/A</v>
      </c>
      <c r="K33" s="314" t="e">
        <f t="shared" si="6"/>
        <v>#N/A</v>
      </c>
      <c r="L33" s="314" t="e">
        <f t="shared" si="6"/>
        <v>#N/A</v>
      </c>
      <c r="O33" s="26" t="s">
        <v>4</v>
      </c>
      <c r="P33" s="31">
        <f t="shared" ref="P33:P44" si="7">1/(P4)</f>
        <v>5.3191489361702126E-3</v>
      </c>
      <c r="Q33" s="314" t="e">
        <f t="shared" ref="Q33:X33" si="8">$P$33*Q4-0.2*$P$33*$R$4</f>
        <v>#N/A</v>
      </c>
      <c r="R33" s="314" t="e">
        <f t="shared" si="8"/>
        <v>#N/A</v>
      </c>
      <c r="S33" s="314" t="e">
        <f t="shared" si="8"/>
        <v>#N/A</v>
      </c>
      <c r="T33" s="314" t="e">
        <f t="shared" si="8"/>
        <v>#N/A</v>
      </c>
      <c r="U33" s="314" t="e">
        <f t="shared" si="8"/>
        <v>#N/A</v>
      </c>
      <c r="V33" s="314" t="e">
        <f t="shared" si="8"/>
        <v>#N/A</v>
      </c>
      <c r="W33" s="314" t="e">
        <f t="shared" si="8"/>
        <v>#N/A</v>
      </c>
      <c r="X33" s="314" t="e">
        <f t="shared" si="8"/>
        <v>#N/A</v>
      </c>
      <c r="Z33" s="26" t="s">
        <v>8</v>
      </c>
      <c r="AA33" s="31">
        <f t="shared" ref="AA33:AA41" si="9">1/(AA4)</f>
        <v>6.3291139240506328E-3</v>
      </c>
      <c r="AB33" s="314" t="e">
        <f t="shared" ref="AB33:AI33" si="10">$AA$33*AB4-0.2*$AA$33*$AC$4</f>
        <v>#N/A</v>
      </c>
      <c r="AC33" s="314" t="e">
        <f t="shared" si="10"/>
        <v>#N/A</v>
      </c>
      <c r="AD33" s="314" t="e">
        <f t="shared" si="10"/>
        <v>#N/A</v>
      </c>
      <c r="AE33" s="314" t="e">
        <f t="shared" si="10"/>
        <v>#N/A</v>
      </c>
      <c r="AF33" s="314" t="e">
        <f t="shared" si="10"/>
        <v>#N/A</v>
      </c>
      <c r="AG33" s="314" t="e">
        <f t="shared" si="10"/>
        <v>#N/A</v>
      </c>
      <c r="AH33" s="314" t="e">
        <f t="shared" si="10"/>
        <v>#N/A</v>
      </c>
      <c r="AI33" s="314" t="e">
        <f t="shared" si="10"/>
        <v>#N/A</v>
      </c>
      <c r="AL33" s="349" t="s">
        <v>568</v>
      </c>
      <c r="AM33" s="337" t="s">
        <v>1379</v>
      </c>
      <c r="AN33" s="346" t="e">
        <f>VLOOKUP($AL33,flows!$A$2:$J$4985,AN$2,FALSE)</f>
        <v>#N/A</v>
      </c>
      <c r="AO33" s="346" t="e">
        <f>VLOOKUP($AL33,flows!$A$2:$J$4985,AO$2,FALSE)</f>
        <v>#N/A</v>
      </c>
      <c r="AP33" s="346" t="e">
        <f>VLOOKUP($AL33,flows!$A$2:$J$4985,AP$2,FALSE)</f>
        <v>#N/A</v>
      </c>
      <c r="AQ33" s="346" t="e">
        <f>VLOOKUP($AL33,flows!$A$2:$J$4985,AQ$2,FALSE)</f>
        <v>#N/A</v>
      </c>
      <c r="AR33" s="346" t="e">
        <f>VLOOKUP($AL33,flows!$A$2:$J$4985,AR$2,FALSE)</f>
        <v>#N/A</v>
      </c>
      <c r="AS33" s="346" t="e">
        <f>VLOOKUP($AL33,flows!$A$2:$J$4985,AS$2,FALSE)</f>
        <v>#N/A</v>
      </c>
      <c r="AT33" s="346" t="e">
        <f>VLOOKUP($AL33,flows!$A$2:$J$4985,AT$2,FALSE)</f>
        <v>#N/A</v>
      </c>
      <c r="AU33" s="346" t="e">
        <f>VLOOKUP($AL33,flows!$A$2:$J$4985,AU$2,FALSE)</f>
        <v>#N/A</v>
      </c>
    </row>
    <row r="34" spans="3:47" ht="14.5" x14ac:dyDescent="0.35">
      <c r="C34" s="26" t="s">
        <v>60</v>
      </c>
      <c r="D34" s="31">
        <f t="shared" si="5"/>
        <v>5.3475935828877002E-3</v>
      </c>
      <c r="E34" s="314" t="e">
        <f t="shared" ref="E34:L34" si="11">$D$34*E5</f>
        <v>#N/A</v>
      </c>
      <c r="F34" s="314" t="e">
        <f t="shared" si="11"/>
        <v>#N/A</v>
      </c>
      <c r="G34" s="314" t="e">
        <f t="shared" si="11"/>
        <v>#N/A</v>
      </c>
      <c r="H34" s="314" t="e">
        <f t="shared" si="11"/>
        <v>#N/A</v>
      </c>
      <c r="I34" s="314" t="e">
        <f t="shared" si="11"/>
        <v>#N/A</v>
      </c>
      <c r="J34" s="314" t="e">
        <f t="shared" si="11"/>
        <v>#N/A</v>
      </c>
      <c r="K34" s="314" t="e">
        <f t="shared" si="11"/>
        <v>#N/A</v>
      </c>
      <c r="L34" s="314" t="e">
        <f t="shared" si="11"/>
        <v>#N/A</v>
      </c>
      <c r="O34" s="26" t="s">
        <v>74</v>
      </c>
      <c r="P34" s="31">
        <f t="shared" si="7"/>
        <v>5.3191489361702126E-3</v>
      </c>
      <c r="Q34" s="314" t="e">
        <f t="shared" ref="Q34:X34" si="12">$P$34*Q5</f>
        <v>#N/A</v>
      </c>
      <c r="R34" s="314" t="e">
        <f t="shared" si="12"/>
        <v>#N/A</v>
      </c>
      <c r="S34" s="314" t="e">
        <f t="shared" si="12"/>
        <v>#N/A</v>
      </c>
      <c r="T34" s="314" t="e">
        <f t="shared" si="12"/>
        <v>#N/A</v>
      </c>
      <c r="U34" s="314" t="e">
        <f t="shared" si="12"/>
        <v>#N/A</v>
      </c>
      <c r="V34" s="314" t="e">
        <f t="shared" si="12"/>
        <v>#N/A</v>
      </c>
      <c r="W34" s="314" t="e">
        <f t="shared" si="12"/>
        <v>#N/A</v>
      </c>
      <c r="X34" s="314" t="e">
        <f t="shared" si="12"/>
        <v>#N/A</v>
      </c>
      <c r="Z34" s="26" t="s">
        <v>68</v>
      </c>
      <c r="AA34" s="31">
        <f t="shared" si="9"/>
        <v>6.3291139240506328E-3</v>
      </c>
      <c r="AB34" s="314" t="e">
        <f t="shared" ref="AB34:AI34" si="13">$AA$34*AB5</f>
        <v>#N/A</v>
      </c>
      <c r="AC34" s="314" t="e">
        <f t="shared" si="13"/>
        <v>#N/A</v>
      </c>
      <c r="AD34" s="314" t="e">
        <f t="shared" si="13"/>
        <v>#N/A</v>
      </c>
      <c r="AE34" s="314" t="e">
        <f t="shared" si="13"/>
        <v>#N/A</v>
      </c>
      <c r="AF34" s="314" t="e">
        <f t="shared" si="13"/>
        <v>#N/A</v>
      </c>
      <c r="AG34" s="314" t="e">
        <f t="shared" si="13"/>
        <v>#N/A</v>
      </c>
      <c r="AH34" s="314" t="e">
        <f t="shared" si="13"/>
        <v>#N/A</v>
      </c>
      <c r="AI34" s="314" t="e">
        <f t="shared" si="13"/>
        <v>#N/A</v>
      </c>
      <c r="AL34" s="349" t="s">
        <v>569</v>
      </c>
      <c r="AM34" s="337" t="s">
        <v>1374</v>
      </c>
      <c r="AN34" s="346" t="e">
        <f>VLOOKUP($AL34,flows!$A$2:$J$4985,AN$2,FALSE)</f>
        <v>#N/A</v>
      </c>
      <c r="AO34" s="346" t="e">
        <f>VLOOKUP($AL34,flows!$A$2:$J$4985,AO$2,FALSE)</f>
        <v>#N/A</v>
      </c>
      <c r="AP34" s="346" t="e">
        <f>VLOOKUP($AL34,flows!$A$2:$J$4985,AP$2,FALSE)</f>
        <v>#N/A</v>
      </c>
      <c r="AQ34" s="346" t="e">
        <f>VLOOKUP($AL34,flows!$A$2:$J$4985,AQ$2,FALSE)</f>
        <v>#N/A</v>
      </c>
      <c r="AR34" s="346" t="e">
        <f>VLOOKUP($AL34,flows!$A$2:$J$4985,AR$2,FALSE)</f>
        <v>#N/A</v>
      </c>
      <c r="AS34" s="346" t="e">
        <f>VLOOKUP($AL34,flows!$A$2:$J$4985,AS$2,FALSE)</f>
        <v>#N/A</v>
      </c>
      <c r="AT34" s="346" t="e">
        <f>VLOOKUP($AL34,flows!$A$2:$J$4985,AT$2,FALSE)</f>
        <v>#N/A</v>
      </c>
      <c r="AU34" s="346" t="e">
        <f>VLOOKUP($AL34,flows!$A$2:$J$4985,AU$2,FALSE)</f>
        <v>#N/A</v>
      </c>
    </row>
    <row r="35" spans="3:47" ht="14.5" x14ac:dyDescent="0.35">
      <c r="C35" s="26" t="s">
        <v>61</v>
      </c>
      <c r="D35" s="31">
        <f t="shared" si="5"/>
        <v>5.3475935828877002E-3</v>
      </c>
      <c r="E35" s="314" t="e">
        <f t="shared" ref="E35:L35" si="14">$D$35*E6</f>
        <v>#N/A</v>
      </c>
      <c r="F35" s="314" t="e">
        <f t="shared" si="14"/>
        <v>#N/A</v>
      </c>
      <c r="G35" s="314" t="e">
        <f t="shared" si="14"/>
        <v>#N/A</v>
      </c>
      <c r="H35" s="314" t="e">
        <f t="shared" si="14"/>
        <v>#N/A</v>
      </c>
      <c r="I35" s="314" t="e">
        <f t="shared" si="14"/>
        <v>#N/A</v>
      </c>
      <c r="J35" s="314" t="e">
        <f t="shared" si="14"/>
        <v>#N/A</v>
      </c>
      <c r="K35" s="314" t="e">
        <f t="shared" si="14"/>
        <v>#N/A</v>
      </c>
      <c r="L35" s="314" t="e">
        <f t="shared" si="14"/>
        <v>#N/A</v>
      </c>
      <c r="O35" s="26" t="s">
        <v>75</v>
      </c>
      <c r="P35" s="31">
        <f t="shared" si="7"/>
        <v>5.3191489361702126E-3</v>
      </c>
      <c r="Q35" s="314" t="e">
        <f t="shared" ref="Q35:X35" si="15">$P$35*Q6</f>
        <v>#N/A</v>
      </c>
      <c r="R35" s="314" t="e">
        <f t="shared" si="15"/>
        <v>#N/A</v>
      </c>
      <c r="S35" s="314" t="e">
        <f t="shared" si="15"/>
        <v>#N/A</v>
      </c>
      <c r="T35" s="314" t="e">
        <f t="shared" si="15"/>
        <v>#N/A</v>
      </c>
      <c r="U35" s="314" t="e">
        <f t="shared" si="15"/>
        <v>#N/A</v>
      </c>
      <c r="V35" s="314" t="e">
        <f t="shared" si="15"/>
        <v>#N/A</v>
      </c>
      <c r="W35" s="314" t="e">
        <f t="shared" si="15"/>
        <v>#N/A</v>
      </c>
      <c r="X35" s="314" t="e">
        <f t="shared" si="15"/>
        <v>#N/A</v>
      </c>
      <c r="Z35" s="26" t="s">
        <v>69</v>
      </c>
      <c r="AA35" s="31">
        <f t="shared" si="9"/>
        <v>6.3291139240506328E-3</v>
      </c>
      <c r="AB35" s="314" t="e">
        <f t="shared" ref="AB35:AI35" si="16">$AA$35*AB6</f>
        <v>#N/A</v>
      </c>
      <c r="AC35" s="314" t="e">
        <f t="shared" si="16"/>
        <v>#N/A</v>
      </c>
      <c r="AD35" s="314" t="e">
        <f t="shared" si="16"/>
        <v>#N/A</v>
      </c>
      <c r="AE35" s="314" t="e">
        <f t="shared" si="16"/>
        <v>#N/A</v>
      </c>
      <c r="AF35" s="314" t="e">
        <f t="shared" si="16"/>
        <v>#N/A</v>
      </c>
      <c r="AG35" s="314" t="e">
        <f t="shared" si="16"/>
        <v>#N/A</v>
      </c>
      <c r="AH35" s="314" t="e">
        <f t="shared" si="16"/>
        <v>#N/A</v>
      </c>
      <c r="AI35" s="314" t="e">
        <f t="shared" si="16"/>
        <v>#N/A</v>
      </c>
      <c r="AL35" s="349" t="s">
        <v>570</v>
      </c>
      <c r="AM35" s="337" t="s">
        <v>1374</v>
      </c>
      <c r="AN35" s="346" t="e">
        <f>VLOOKUP($AL35,flows!$A$2:$J$4985,AN$2,FALSE)</f>
        <v>#N/A</v>
      </c>
      <c r="AO35" s="346" t="e">
        <f>VLOOKUP($AL35,flows!$A$2:$J$4985,AO$2,FALSE)</f>
        <v>#N/A</v>
      </c>
      <c r="AP35" s="346" t="e">
        <f>VLOOKUP($AL35,flows!$A$2:$J$4985,AP$2,FALSE)</f>
        <v>#N/A</v>
      </c>
      <c r="AQ35" s="346" t="e">
        <f>VLOOKUP($AL35,flows!$A$2:$J$4985,AQ$2,FALSE)</f>
        <v>#N/A</v>
      </c>
      <c r="AR35" s="346" t="e">
        <f>VLOOKUP($AL35,flows!$A$2:$J$4985,AR$2,FALSE)</f>
        <v>#N/A</v>
      </c>
      <c r="AS35" s="346" t="e">
        <f>VLOOKUP($AL35,flows!$A$2:$J$4985,AS$2,FALSE)</f>
        <v>#N/A</v>
      </c>
      <c r="AT35" s="346" t="e">
        <f>VLOOKUP($AL35,flows!$A$2:$J$4985,AT$2,FALSE)</f>
        <v>#N/A</v>
      </c>
      <c r="AU35" s="346" t="e">
        <f>VLOOKUP($AL35,flows!$A$2:$J$4985,AU$2,FALSE)</f>
        <v>#N/A</v>
      </c>
    </row>
    <row r="36" spans="3:47" ht="14.5" x14ac:dyDescent="0.35">
      <c r="C36" s="26" t="s">
        <v>1</v>
      </c>
      <c r="D36" s="31">
        <f t="shared" si="5"/>
        <v>5.9523809523809521E-3</v>
      </c>
      <c r="E36" s="314" t="e">
        <f t="shared" ref="E36:L36" si="17">$D$36*E7-0.05*$D$36*$F$7</f>
        <v>#N/A</v>
      </c>
      <c r="F36" s="314" t="e">
        <f t="shared" si="17"/>
        <v>#N/A</v>
      </c>
      <c r="G36" s="314" t="e">
        <f t="shared" si="17"/>
        <v>#N/A</v>
      </c>
      <c r="H36" s="314" t="e">
        <f t="shared" si="17"/>
        <v>#N/A</v>
      </c>
      <c r="I36" s="314" t="e">
        <f t="shared" si="17"/>
        <v>#N/A</v>
      </c>
      <c r="J36" s="314" t="e">
        <f t="shared" si="17"/>
        <v>#N/A</v>
      </c>
      <c r="K36" s="314" t="e">
        <f t="shared" si="17"/>
        <v>#N/A</v>
      </c>
      <c r="L36" s="314" t="e">
        <f t="shared" si="17"/>
        <v>#N/A</v>
      </c>
      <c r="O36" s="26" t="s">
        <v>5</v>
      </c>
      <c r="P36" s="31">
        <f t="shared" si="7"/>
        <v>6.1728395061728392E-3</v>
      </c>
      <c r="Q36" s="314" t="e">
        <f t="shared" ref="Q36:X36" si="18">$P$36*Q7-0.05*$P$36*$R$7</f>
        <v>#N/A</v>
      </c>
      <c r="R36" s="314" t="e">
        <f t="shared" si="18"/>
        <v>#N/A</v>
      </c>
      <c r="S36" s="314" t="e">
        <f t="shared" si="18"/>
        <v>#N/A</v>
      </c>
      <c r="T36" s="314" t="e">
        <f t="shared" si="18"/>
        <v>#N/A</v>
      </c>
      <c r="U36" s="314" t="e">
        <f t="shared" si="18"/>
        <v>#N/A</v>
      </c>
      <c r="V36" s="314" t="e">
        <f t="shared" si="18"/>
        <v>#N/A</v>
      </c>
      <c r="W36" s="314" t="e">
        <f t="shared" si="18"/>
        <v>#N/A</v>
      </c>
      <c r="X36" s="314" t="e">
        <f t="shared" si="18"/>
        <v>#N/A</v>
      </c>
      <c r="Z36" s="26" t="s">
        <v>9</v>
      </c>
      <c r="AA36" s="31">
        <f t="shared" si="9"/>
        <v>6.8965517241379309E-3</v>
      </c>
      <c r="AB36" s="314" t="e">
        <f t="shared" ref="AB36:AI36" si="19">$AA$36*AB7-0.05*$AA$36*$AC$7</f>
        <v>#N/A</v>
      </c>
      <c r="AC36" s="314" t="e">
        <f t="shared" si="19"/>
        <v>#N/A</v>
      </c>
      <c r="AD36" s="314" t="e">
        <f t="shared" si="19"/>
        <v>#N/A</v>
      </c>
      <c r="AE36" s="314" t="e">
        <f t="shared" si="19"/>
        <v>#N/A</v>
      </c>
      <c r="AF36" s="314" t="e">
        <f t="shared" si="19"/>
        <v>#N/A</v>
      </c>
      <c r="AG36" s="314" t="e">
        <f t="shared" si="19"/>
        <v>#N/A</v>
      </c>
      <c r="AH36" s="314" t="e">
        <f t="shared" si="19"/>
        <v>#N/A</v>
      </c>
      <c r="AI36" s="314" t="e">
        <f t="shared" si="19"/>
        <v>#N/A</v>
      </c>
      <c r="AL36" s="349" t="s">
        <v>571</v>
      </c>
      <c r="AM36" s="337" t="s">
        <v>1374</v>
      </c>
      <c r="AN36" s="346" t="e">
        <f>VLOOKUP($AL36,flows!$A$2:$J$4985,AN$2,FALSE)</f>
        <v>#N/A</v>
      </c>
      <c r="AO36" s="346" t="e">
        <f>VLOOKUP($AL36,flows!$A$2:$J$4985,AO$2,FALSE)</f>
        <v>#N/A</v>
      </c>
      <c r="AP36" s="346" t="e">
        <f>VLOOKUP($AL36,flows!$A$2:$J$4985,AP$2,FALSE)</f>
        <v>#N/A</v>
      </c>
      <c r="AQ36" s="346" t="e">
        <f>VLOOKUP($AL36,flows!$A$2:$J$4985,AQ$2,FALSE)</f>
        <v>#N/A</v>
      </c>
      <c r="AR36" s="346" t="e">
        <f>VLOOKUP($AL36,flows!$A$2:$J$4985,AR$2,FALSE)</f>
        <v>#N/A</v>
      </c>
      <c r="AS36" s="346" t="e">
        <f>VLOOKUP($AL36,flows!$A$2:$J$4985,AS$2,FALSE)</f>
        <v>#N/A</v>
      </c>
      <c r="AT36" s="346" t="e">
        <f>VLOOKUP($AL36,flows!$A$2:$J$4985,AT$2,FALSE)</f>
        <v>#N/A</v>
      </c>
      <c r="AU36" s="346" t="e">
        <f>VLOOKUP($AL36,flows!$A$2:$J$4985,AU$2,FALSE)</f>
        <v>#N/A</v>
      </c>
    </row>
    <row r="37" spans="3:47" ht="14.5" x14ac:dyDescent="0.35">
      <c r="C37" s="26" t="s">
        <v>62</v>
      </c>
      <c r="D37" s="31">
        <f t="shared" si="5"/>
        <v>5.9523809523809521E-3</v>
      </c>
      <c r="E37" s="314" t="e">
        <f t="shared" ref="E37:L37" si="20">$D$37*E8</f>
        <v>#N/A</v>
      </c>
      <c r="F37" s="314" t="e">
        <f t="shared" si="20"/>
        <v>#N/A</v>
      </c>
      <c r="G37" s="314" t="e">
        <f t="shared" si="20"/>
        <v>#N/A</v>
      </c>
      <c r="H37" s="314" t="e">
        <f t="shared" si="20"/>
        <v>#N/A</v>
      </c>
      <c r="I37" s="314" t="e">
        <f t="shared" si="20"/>
        <v>#N/A</v>
      </c>
      <c r="J37" s="314" t="e">
        <f t="shared" si="20"/>
        <v>#N/A</v>
      </c>
      <c r="K37" s="314" t="e">
        <f t="shared" si="20"/>
        <v>#N/A</v>
      </c>
      <c r="L37" s="314" t="e">
        <f t="shared" si="20"/>
        <v>#N/A</v>
      </c>
      <c r="O37" s="26" t="s">
        <v>76</v>
      </c>
      <c r="P37" s="31">
        <f t="shared" si="7"/>
        <v>6.1728395061728392E-3</v>
      </c>
      <c r="Q37" s="314" t="e">
        <f t="shared" ref="Q37:X37" si="21">$P$37*Q8</f>
        <v>#N/A</v>
      </c>
      <c r="R37" s="314" t="e">
        <f t="shared" si="21"/>
        <v>#N/A</v>
      </c>
      <c r="S37" s="314" t="e">
        <f t="shared" si="21"/>
        <v>#N/A</v>
      </c>
      <c r="T37" s="314" t="e">
        <f t="shared" si="21"/>
        <v>#N/A</v>
      </c>
      <c r="U37" s="314" t="e">
        <f t="shared" si="21"/>
        <v>#N/A</v>
      </c>
      <c r="V37" s="314" t="e">
        <f t="shared" si="21"/>
        <v>#N/A</v>
      </c>
      <c r="W37" s="314" t="e">
        <f t="shared" si="21"/>
        <v>#N/A</v>
      </c>
      <c r="X37" s="314" t="e">
        <f t="shared" si="21"/>
        <v>#N/A</v>
      </c>
      <c r="Z37" s="26" t="s">
        <v>70</v>
      </c>
      <c r="AA37" s="31">
        <f t="shared" si="9"/>
        <v>6.8965517241379309E-3</v>
      </c>
      <c r="AB37" s="314" t="e">
        <f t="shared" ref="AB37:AI37" si="22">$AA$37*AB8</f>
        <v>#N/A</v>
      </c>
      <c r="AC37" s="314" t="e">
        <f t="shared" si="22"/>
        <v>#N/A</v>
      </c>
      <c r="AD37" s="314" t="e">
        <f t="shared" si="22"/>
        <v>#N/A</v>
      </c>
      <c r="AE37" s="314" t="e">
        <f t="shared" si="22"/>
        <v>#N/A</v>
      </c>
      <c r="AF37" s="314" t="e">
        <f t="shared" si="22"/>
        <v>#N/A</v>
      </c>
      <c r="AG37" s="314" t="e">
        <f t="shared" si="22"/>
        <v>#N/A</v>
      </c>
      <c r="AH37" s="314" t="e">
        <f t="shared" si="22"/>
        <v>#N/A</v>
      </c>
      <c r="AI37" s="314" t="e">
        <f t="shared" si="22"/>
        <v>#N/A</v>
      </c>
      <c r="AL37" s="349" t="s">
        <v>572</v>
      </c>
      <c r="AM37" s="337" t="s">
        <v>1378</v>
      </c>
      <c r="AN37" s="346" t="e">
        <f>VLOOKUP($AL37,flows!$A$2:$J$4985,AN$2,FALSE)</f>
        <v>#N/A</v>
      </c>
      <c r="AO37" s="346" t="e">
        <f>VLOOKUP($AL37,flows!$A$2:$J$4985,AO$2,FALSE)</f>
        <v>#N/A</v>
      </c>
      <c r="AP37" s="346" t="e">
        <f>VLOOKUP($AL37,flows!$A$2:$J$4985,AP$2,FALSE)</f>
        <v>#N/A</v>
      </c>
      <c r="AQ37" s="346" t="e">
        <f>VLOOKUP($AL37,flows!$A$2:$J$4985,AQ$2,FALSE)</f>
        <v>#N/A</v>
      </c>
      <c r="AR37" s="346" t="e">
        <f>VLOOKUP($AL37,flows!$A$2:$J$4985,AR$2,FALSE)</f>
        <v>#N/A</v>
      </c>
      <c r="AS37" s="346" t="e">
        <f>VLOOKUP($AL37,flows!$A$2:$J$4985,AS$2,FALSE)</f>
        <v>#N/A</v>
      </c>
      <c r="AT37" s="346" t="e">
        <f>VLOOKUP($AL37,flows!$A$2:$J$4985,AT$2,FALSE)</f>
        <v>#N/A</v>
      </c>
      <c r="AU37" s="346" t="e">
        <f>VLOOKUP($AL37,flows!$A$2:$J$4985,AU$2,FALSE)</f>
        <v>#N/A</v>
      </c>
    </row>
    <row r="38" spans="3:47" ht="14.5" x14ac:dyDescent="0.35">
      <c r="C38" s="5" t="s">
        <v>63</v>
      </c>
      <c r="D38" s="31">
        <f t="shared" si="5"/>
        <v>5.9523809523809521E-3</v>
      </c>
      <c r="E38" s="313" t="e">
        <f t="shared" ref="E38:L38" si="23">$D$38*E9</f>
        <v>#N/A</v>
      </c>
      <c r="F38" s="313" t="e">
        <f t="shared" si="23"/>
        <v>#N/A</v>
      </c>
      <c r="G38" s="313" t="e">
        <f t="shared" si="23"/>
        <v>#N/A</v>
      </c>
      <c r="H38" s="313" t="e">
        <f t="shared" si="23"/>
        <v>#N/A</v>
      </c>
      <c r="I38" s="313" t="e">
        <f t="shared" si="23"/>
        <v>#N/A</v>
      </c>
      <c r="J38" s="313" t="e">
        <f t="shared" si="23"/>
        <v>#N/A</v>
      </c>
      <c r="K38" s="313" t="e">
        <f t="shared" si="23"/>
        <v>#N/A</v>
      </c>
      <c r="L38" s="313" t="e">
        <f t="shared" si="23"/>
        <v>#N/A</v>
      </c>
      <c r="O38" s="5" t="s">
        <v>77</v>
      </c>
      <c r="P38" s="31">
        <f t="shared" si="7"/>
        <v>6.1728395061728392E-3</v>
      </c>
      <c r="Q38" s="313" t="e">
        <f t="shared" ref="Q38:X38" si="24">$P$38*Q9</f>
        <v>#N/A</v>
      </c>
      <c r="R38" s="313" t="e">
        <f t="shared" si="24"/>
        <v>#N/A</v>
      </c>
      <c r="S38" s="313" t="e">
        <f t="shared" si="24"/>
        <v>#N/A</v>
      </c>
      <c r="T38" s="313" t="e">
        <f t="shared" si="24"/>
        <v>#N/A</v>
      </c>
      <c r="U38" s="313" t="e">
        <f t="shared" si="24"/>
        <v>#N/A</v>
      </c>
      <c r="V38" s="313" t="e">
        <f t="shared" si="24"/>
        <v>#N/A</v>
      </c>
      <c r="W38" s="313" t="e">
        <f t="shared" si="24"/>
        <v>#N/A</v>
      </c>
      <c r="X38" s="313" t="e">
        <f t="shared" si="24"/>
        <v>#N/A</v>
      </c>
      <c r="Z38" s="5" t="s">
        <v>71</v>
      </c>
      <c r="AA38" s="31">
        <f t="shared" si="9"/>
        <v>6.8965517241379309E-3</v>
      </c>
      <c r="AB38" s="313" t="e">
        <f t="shared" ref="AB38:AI38" si="25">$AA$38*AB9</f>
        <v>#N/A</v>
      </c>
      <c r="AC38" s="313" t="e">
        <f t="shared" si="25"/>
        <v>#N/A</v>
      </c>
      <c r="AD38" s="313" t="e">
        <f t="shared" si="25"/>
        <v>#N/A</v>
      </c>
      <c r="AE38" s="313" t="e">
        <f t="shared" si="25"/>
        <v>#N/A</v>
      </c>
      <c r="AF38" s="313" t="e">
        <f t="shared" si="25"/>
        <v>#N/A</v>
      </c>
      <c r="AG38" s="313" t="e">
        <f t="shared" si="25"/>
        <v>#N/A</v>
      </c>
      <c r="AH38" s="313" t="e">
        <f t="shared" si="25"/>
        <v>#N/A</v>
      </c>
      <c r="AI38" s="313" t="e">
        <f t="shared" si="25"/>
        <v>#N/A</v>
      </c>
      <c r="AL38" s="349" t="s">
        <v>573</v>
      </c>
      <c r="AM38" s="338" t="s">
        <v>1378</v>
      </c>
      <c r="AN38" s="346" t="e">
        <f>VLOOKUP($AL38,flows!$A$2:$J$4985,AN$2,FALSE)</f>
        <v>#N/A</v>
      </c>
      <c r="AO38" s="346" t="e">
        <f>VLOOKUP($AL38,flows!$A$2:$J$4985,AO$2,FALSE)</f>
        <v>#N/A</v>
      </c>
      <c r="AP38" s="346" t="e">
        <f>VLOOKUP($AL38,flows!$A$2:$J$4985,AP$2,FALSE)</f>
        <v>#N/A</v>
      </c>
      <c r="AQ38" s="346" t="e">
        <f>VLOOKUP($AL38,flows!$A$2:$J$4985,AQ$2,FALSE)</f>
        <v>#N/A</v>
      </c>
      <c r="AR38" s="346" t="e">
        <f>VLOOKUP($AL38,flows!$A$2:$J$4985,AR$2,FALSE)</f>
        <v>#N/A</v>
      </c>
      <c r="AS38" s="346" t="e">
        <f>VLOOKUP($AL38,flows!$A$2:$J$4985,AS$2,FALSE)</f>
        <v>#N/A</v>
      </c>
      <c r="AT38" s="346" t="e">
        <f>VLOOKUP($AL38,flows!$A$2:$J$4985,AT$2,FALSE)</f>
        <v>#N/A</v>
      </c>
      <c r="AU38" s="346" t="e">
        <f>VLOOKUP($AL38,flows!$A$2:$J$4985,AU$2,FALSE)</f>
        <v>#N/A</v>
      </c>
    </row>
    <row r="39" spans="3:47" ht="14.5" x14ac:dyDescent="0.35">
      <c r="C39" s="5" t="s">
        <v>2</v>
      </c>
      <c r="D39" s="31">
        <f t="shared" si="5"/>
        <v>8.1967213114754103E-3</v>
      </c>
      <c r="E39" s="313" t="e">
        <f t="shared" ref="E39:L39" si="26">$D$39*E10</f>
        <v>#N/A</v>
      </c>
      <c r="F39" s="313" t="e">
        <f t="shared" si="26"/>
        <v>#N/A</v>
      </c>
      <c r="G39" s="313" t="e">
        <f t="shared" si="26"/>
        <v>#N/A</v>
      </c>
      <c r="H39" s="313" t="e">
        <f t="shared" si="26"/>
        <v>#N/A</v>
      </c>
      <c r="I39" s="313" t="e">
        <f t="shared" si="26"/>
        <v>#N/A</v>
      </c>
      <c r="J39" s="313" t="e">
        <f t="shared" si="26"/>
        <v>#N/A</v>
      </c>
      <c r="K39" s="313" t="e">
        <f t="shared" si="26"/>
        <v>#N/A</v>
      </c>
      <c r="L39" s="313" t="e">
        <f t="shared" si="26"/>
        <v>#N/A</v>
      </c>
      <c r="O39" s="5" t="s">
        <v>6</v>
      </c>
      <c r="P39" s="31">
        <f t="shared" si="7"/>
        <v>8.1967213114754103E-3</v>
      </c>
      <c r="Q39" s="313" t="e">
        <f t="shared" ref="Q39:X39" si="27">$P$39*Q10</f>
        <v>#N/A</v>
      </c>
      <c r="R39" s="313" t="e">
        <f t="shared" si="27"/>
        <v>#N/A</v>
      </c>
      <c r="S39" s="313" t="e">
        <f t="shared" si="27"/>
        <v>#N/A</v>
      </c>
      <c r="T39" s="313" t="e">
        <f t="shared" si="27"/>
        <v>#N/A</v>
      </c>
      <c r="U39" s="313" t="e">
        <f t="shared" si="27"/>
        <v>#N/A</v>
      </c>
      <c r="V39" s="313" t="e">
        <f t="shared" si="27"/>
        <v>#N/A</v>
      </c>
      <c r="W39" s="313" t="e">
        <f t="shared" si="27"/>
        <v>#N/A</v>
      </c>
      <c r="X39" s="313" t="e">
        <f t="shared" si="27"/>
        <v>#N/A</v>
      </c>
      <c r="Z39" s="5" t="s">
        <v>10</v>
      </c>
      <c r="AA39" s="31">
        <f t="shared" si="9"/>
        <v>0.01</v>
      </c>
      <c r="AB39" s="313" t="e">
        <f t="shared" ref="AB39:AI39" si="28">$AA$39*AB10</f>
        <v>#N/A</v>
      </c>
      <c r="AC39" s="313" t="e">
        <f t="shared" si="28"/>
        <v>#N/A</v>
      </c>
      <c r="AD39" s="313" t="e">
        <f t="shared" si="28"/>
        <v>#N/A</v>
      </c>
      <c r="AE39" s="313" t="e">
        <f t="shared" si="28"/>
        <v>#N/A</v>
      </c>
      <c r="AF39" s="313" t="e">
        <f t="shared" si="28"/>
        <v>#N/A</v>
      </c>
      <c r="AG39" s="313" t="e">
        <f t="shared" si="28"/>
        <v>#N/A</v>
      </c>
      <c r="AH39" s="313" t="e">
        <f t="shared" si="28"/>
        <v>#N/A</v>
      </c>
      <c r="AI39" s="313" t="e">
        <f t="shared" si="28"/>
        <v>#N/A</v>
      </c>
      <c r="AL39" s="349" t="s">
        <v>574</v>
      </c>
      <c r="AM39" s="335">
        <v>114</v>
      </c>
      <c r="AN39" s="346" t="e">
        <f>VLOOKUP($AL39,flows!$A$2:$J$4985,AN$2,FALSE)</f>
        <v>#N/A</v>
      </c>
      <c r="AO39" s="346" t="e">
        <f>VLOOKUP($AL39,flows!$A$2:$J$4985,AO$2,FALSE)</f>
        <v>#N/A</v>
      </c>
      <c r="AP39" s="346" t="e">
        <f>VLOOKUP($AL39,flows!$A$2:$J$4985,AP$2,FALSE)</f>
        <v>#N/A</v>
      </c>
      <c r="AQ39" s="346" t="e">
        <f>VLOOKUP($AL39,flows!$A$2:$J$4985,AQ$2,FALSE)</f>
        <v>#N/A</v>
      </c>
      <c r="AR39" s="346" t="e">
        <f>VLOOKUP($AL39,flows!$A$2:$J$4985,AR$2,FALSE)</f>
        <v>#N/A</v>
      </c>
      <c r="AS39" s="346" t="e">
        <f>VLOOKUP($AL39,flows!$A$2:$J$4985,AS$2,FALSE)</f>
        <v>#N/A</v>
      </c>
      <c r="AT39" s="346" t="e">
        <f>VLOOKUP($AL39,flows!$A$2:$J$4985,AT$2,FALSE)</f>
        <v>#N/A</v>
      </c>
      <c r="AU39" s="346" t="e">
        <f>VLOOKUP($AL39,flows!$A$2:$J$4985,AU$2,FALSE)</f>
        <v>#N/A</v>
      </c>
    </row>
    <row r="40" spans="3:47" ht="14.5" x14ac:dyDescent="0.35">
      <c r="C40" s="5" t="s">
        <v>64</v>
      </c>
      <c r="D40" s="31">
        <f t="shared" si="5"/>
        <v>8.1967213114754103E-3</v>
      </c>
      <c r="E40" s="313" t="e">
        <f t="shared" ref="E40:L40" si="29">$D$40*E11</f>
        <v>#N/A</v>
      </c>
      <c r="F40" s="313" t="e">
        <f t="shared" si="29"/>
        <v>#N/A</v>
      </c>
      <c r="G40" s="313" t="e">
        <f t="shared" si="29"/>
        <v>#N/A</v>
      </c>
      <c r="H40" s="313" t="e">
        <f t="shared" si="29"/>
        <v>#N/A</v>
      </c>
      <c r="I40" s="313" t="e">
        <f t="shared" si="29"/>
        <v>#N/A</v>
      </c>
      <c r="J40" s="313" t="e">
        <f t="shared" si="29"/>
        <v>#N/A</v>
      </c>
      <c r="K40" s="313" t="e">
        <f t="shared" si="29"/>
        <v>#N/A</v>
      </c>
      <c r="L40" s="313" t="e">
        <f t="shared" si="29"/>
        <v>#N/A</v>
      </c>
      <c r="O40" s="5" t="s">
        <v>78</v>
      </c>
      <c r="P40" s="31">
        <f t="shared" si="7"/>
        <v>8.1967213114754103E-3</v>
      </c>
      <c r="Q40" s="313" t="e">
        <f t="shared" ref="Q40:X40" si="30">$P$40*Q11</f>
        <v>#N/A</v>
      </c>
      <c r="R40" s="313" t="e">
        <f t="shared" si="30"/>
        <v>#N/A</v>
      </c>
      <c r="S40" s="313" t="e">
        <f t="shared" si="30"/>
        <v>#N/A</v>
      </c>
      <c r="T40" s="313" t="e">
        <f t="shared" si="30"/>
        <v>#N/A</v>
      </c>
      <c r="U40" s="313" t="e">
        <f t="shared" si="30"/>
        <v>#N/A</v>
      </c>
      <c r="V40" s="313" t="e">
        <f t="shared" si="30"/>
        <v>#N/A</v>
      </c>
      <c r="W40" s="313" t="e">
        <f t="shared" si="30"/>
        <v>#N/A</v>
      </c>
      <c r="X40" s="313" t="e">
        <f t="shared" si="30"/>
        <v>#N/A</v>
      </c>
      <c r="Z40" s="5" t="s">
        <v>72</v>
      </c>
      <c r="AA40" s="31">
        <f t="shared" si="9"/>
        <v>0.01</v>
      </c>
      <c r="AB40" s="313" t="e">
        <f t="shared" ref="AB40:AI40" si="31">$AA$40*AB11</f>
        <v>#N/A</v>
      </c>
      <c r="AC40" s="313" t="e">
        <f t="shared" si="31"/>
        <v>#N/A</v>
      </c>
      <c r="AD40" s="313" t="e">
        <f t="shared" si="31"/>
        <v>#N/A</v>
      </c>
      <c r="AE40" s="313" t="e">
        <f t="shared" si="31"/>
        <v>#N/A</v>
      </c>
      <c r="AF40" s="313" t="e">
        <f t="shared" si="31"/>
        <v>#N/A</v>
      </c>
      <c r="AG40" s="313" t="e">
        <f t="shared" si="31"/>
        <v>#N/A</v>
      </c>
      <c r="AH40" s="313" t="e">
        <f t="shared" si="31"/>
        <v>#N/A</v>
      </c>
      <c r="AI40" s="313" t="e">
        <f t="shared" si="31"/>
        <v>#N/A</v>
      </c>
      <c r="AL40" s="349" t="s">
        <v>575</v>
      </c>
      <c r="AM40" s="337" t="s">
        <v>1380</v>
      </c>
      <c r="AN40" s="346" t="e">
        <f>VLOOKUP($AL40,flows!$A$2:$J$4985,AN$2,FALSE)</f>
        <v>#N/A</v>
      </c>
      <c r="AO40" s="346" t="e">
        <f>VLOOKUP($AL40,flows!$A$2:$J$4985,AO$2,FALSE)</f>
        <v>#N/A</v>
      </c>
      <c r="AP40" s="346" t="e">
        <f>VLOOKUP($AL40,flows!$A$2:$J$4985,AP$2,FALSE)</f>
        <v>#N/A</v>
      </c>
      <c r="AQ40" s="346" t="e">
        <f>VLOOKUP($AL40,flows!$A$2:$J$4985,AQ$2,FALSE)</f>
        <v>#N/A</v>
      </c>
      <c r="AR40" s="346" t="e">
        <f>VLOOKUP($AL40,flows!$A$2:$J$4985,AR$2,FALSE)</f>
        <v>#N/A</v>
      </c>
      <c r="AS40" s="346" t="e">
        <f>VLOOKUP($AL40,flows!$A$2:$J$4985,AS$2,FALSE)</f>
        <v>#N/A</v>
      </c>
      <c r="AT40" s="346" t="e">
        <f>VLOOKUP($AL40,flows!$A$2:$J$4985,AT$2,FALSE)</f>
        <v>#N/A</v>
      </c>
      <c r="AU40" s="346" t="e">
        <f>VLOOKUP($AL40,flows!$A$2:$J$4985,AU$2,FALSE)</f>
        <v>#N/A</v>
      </c>
    </row>
    <row r="41" spans="3:47" ht="14.5" x14ac:dyDescent="0.35">
      <c r="C41" s="5" t="s">
        <v>65</v>
      </c>
      <c r="D41" s="31">
        <f t="shared" si="5"/>
        <v>8.1967213114754103E-3</v>
      </c>
      <c r="E41" s="313" t="e">
        <f t="shared" ref="E41:L41" si="32">$D$41*E12</f>
        <v>#N/A</v>
      </c>
      <c r="F41" s="313" t="e">
        <f t="shared" si="32"/>
        <v>#N/A</v>
      </c>
      <c r="G41" s="313" t="e">
        <f t="shared" si="32"/>
        <v>#N/A</v>
      </c>
      <c r="H41" s="313" t="e">
        <f t="shared" si="32"/>
        <v>#N/A</v>
      </c>
      <c r="I41" s="313" t="e">
        <f t="shared" si="32"/>
        <v>#N/A</v>
      </c>
      <c r="J41" s="313" t="e">
        <f t="shared" si="32"/>
        <v>#N/A</v>
      </c>
      <c r="K41" s="313" t="e">
        <f t="shared" si="32"/>
        <v>#N/A</v>
      </c>
      <c r="L41" s="313" t="e">
        <f t="shared" si="32"/>
        <v>#N/A</v>
      </c>
      <c r="O41" s="5" t="s">
        <v>79</v>
      </c>
      <c r="P41" s="31">
        <f t="shared" si="7"/>
        <v>8.1967213114754103E-3</v>
      </c>
      <c r="Q41" s="313" t="e">
        <f t="shared" ref="Q41:X41" si="33">$P$41*Q12</f>
        <v>#N/A</v>
      </c>
      <c r="R41" s="313" t="e">
        <f t="shared" si="33"/>
        <v>#N/A</v>
      </c>
      <c r="S41" s="313" t="e">
        <f t="shared" si="33"/>
        <v>#N/A</v>
      </c>
      <c r="T41" s="313" t="e">
        <f t="shared" si="33"/>
        <v>#N/A</v>
      </c>
      <c r="U41" s="313" t="e">
        <f t="shared" si="33"/>
        <v>#N/A</v>
      </c>
      <c r="V41" s="313" t="e">
        <f t="shared" si="33"/>
        <v>#N/A</v>
      </c>
      <c r="W41" s="313" t="e">
        <f t="shared" si="33"/>
        <v>#N/A</v>
      </c>
      <c r="X41" s="313" t="e">
        <f t="shared" si="33"/>
        <v>#N/A</v>
      </c>
      <c r="Z41" s="5" t="s">
        <v>73</v>
      </c>
      <c r="AA41" s="31">
        <f t="shared" si="9"/>
        <v>0.01</v>
      </c>
      <c r="AB41" s="313" t="e">
        <f t="shared" ref="AB41:AI41" si="34">$AA$41*AB12</f>
        <v>#N/A</v>
      </c>
      <c r="AC41" s="313" t="e">
        <f t="shared" si="34"/>
        <v>#N/A</v>
      </c>
      <c r="AD41" s="313" t="e">
        <f t="shared" si="34"/>
        <v>#N/A</v>
      </c>
      <c r="AE41" s="313" t="e">
        <f t="shared" si="34"/>
        <v>#N/A</v>
      </c>
      <c r="AF41" s="313" t="e">
        <f t="shared" si="34"/>
        <v>#N/A</v>
      </c>
      <c r="AG41" s="313" t="e">
        <f t="shared" si="34"/>
        <v>#N/A</v>
      </c>
      <c r="AH41" s="313" t="e">
        <f t="shared" si="34"/>
        <v>#N/A</v>
      </c>
      <c r="AI41" s="313" t="e">
        <f t="shared" si="34"/>
        <v>#N/A</v>
      </c>
      <c r="AL41" s="349" t="s">
        <v>576</v>
      </c>
      <c r="AM41" s="337" t="s">
        <v>1380</v>
      </c>
      <c r="AN41" s="346" t="e">
        <f>VLOOKUP($AL41,flows!$A$2:$J$4985,AN$2,FALSE)</f>
        <v>#N/A</v>
      </c>
      <c r="AO41" s="346" t="e">
        <f>VLOOKUP($AL41,flows!$A$2:$J$4985,AO$2,FALSE)</f>
        <v>#N/A</v>
      </c>
      <c r="AP41" s="346" t="e">
        <f>VLOOKUP($AL41,flows!$A$2:$J$4985,AP$2,FALSE)</f>
        <v>#N/A</v>
      </c>
      <c r="AQ41" s="346" t="e">
        <f>VLOOKUP($AL41,flows!$A$2:$J$4985,AQ$2,FALSE)</f>
        <v>#N/A</v>
      </c>
      <c r="AR41" s="346" t="e">
        <f>VLOOKUP($AL41,flows!$A$2:$J$4985,AR$2,FALSE)</f>
        <v>#N/A</v>
      </c>
      <c r="AS41" s="346" t="e">
        <f>VLOOKUP($AL41,flows!$A$2:$J$4985,AS$2,FALSE)</f>
        <v>#N/A</v>
      </c>
      <c r="AT41" s="346" t="e">
        <f>VLOOKUP($AL41,flows!$A$2:$J$4985,AT$2,FALSE)</f>
        <v>#N/A</v>
      </c>
      <c r="AU41" s="346" t="e">
        <f>VLOOKUP($AL41,flows!$A$2:$J$4985,AU$2,FALSE)</f>
        <v>#N/A</v>
      </c>
    </row>
    <row r="42" spans="3:47" ht="14.5" x14ac:dyDescent="0.35">
      <c r="C42" s="5" t="s">
        <v>3</v>
      </c>
      <c r="D42" s="31">
        <f t="shared" si="5"/>
        <v>8.4033613445378148E-3</v>
      </c>
      <c r="E42" s="313" t="e">
        <f t="shared" ref="E42:L42" si="35">$D$42*E13</f>
        <v>#N/A</v>
      </c>
      <c r="F42" s="313" t="e">
        <f t="shared" si="35"/>
        <v>#N/A</v>
      </c>
      <c r="G42" s="313" t="e">
        <f t="shared" si="35"/>
        <v>#N/A</v>
      </c>
      <c r="H42" s="313" t="e">
        <f t="shared" si="35"/>
        <v>#N/A</v>
      </c>
      <c r="I42" s="313" t="e">
        <f t="shared" si="35"/>
        <v>#N/A</v>
      </c>
      <c r="J42" s="313" t="e">
        <f t="shared" si="35"/>
        <v>#N/A</v>
      </c>
      <c r="K42" s="313" t="e">
        <f t="shared" si="35"/>
        <v>#N/A</v>
      </c>
      <c r="L42" s="313" t="e">
        <f t="shared" si="35"/>
        <v>#N/A</v>
      </c>
      <c r="O42" s="5" t="s">
        <v>7</v>
      </c>
      <c r="P42" s="31">
        <f t="shared" si="7"/>
        <v>8.9285714285714281E-3</v>
      </c>
      <c r="Q42" s="313" t="e">
        <f t="shared" ref="Q42:X42" si="36">$P$42*Q13</f>
        <v>#N/A</v>
      </c>
      <c r="R42" s="313" t="e">
        <f t="shared" si="36"/>
        <v>#N/A</v>
      </c>
      <c r="S42" s="313" t="e">
        <f t="shared" si="36"/>
        <v>#N/A</v>
      </c>
      <c r="T42" s="313" t="e">
        <f t="shared" si="36"/>
        <v>#N/A</v>
      </c>
      <c r="U42" s="313" t="e">
        <f t="shared" si="36"/>
        <v>#N/A</v>
      </c>
      <c r="V42" s="313" t="e">
        <f t="shared" si="36"/>
        <v>#N/A</v>
      </c>
      <c r="W42" s="313" t="e">
        <f t="shared" si="36"/>
        <v>#N/A</v>
      </c>
      <c r="X42" s="313" t="e">
        <f t="shared" si="36"/>
        <v>#N/A</v>
      </c>
      <c r="Z42" s="5"/>
      <c r="AA42" s="31"/>
      <c r="AB42" s="6"/>
      <c r="AC42" s="6"/>
      <c r="AD42" s="6"/>
      <c r="AE42" s="6"/>
      <c r="AF42" s="6"/>
      <c r="AG42" s="6"/>
      <c r="AH42" s="6"/>
      <c r="AI42" s="6"/>
      <c r="AL42" s="349" t="s">
        <v>577</v>
      </c>
      <c r="AM42" s="337" t="s">
        <v>1381</v>
      </c>
      <c r="AN42" s="346" t="e">
        <f>VLOOKUP($AL42,flows!$A$2:$J$4985,AN$2,FALSE)</f>
        <v>#N/A</v>
      </c>
      <c r="AO42" s="346" t="e">
        <f>VLOOKUP($AL42,flows!$A$2:$J$4985,AO$2,FALSE)</f>
        <v>#N/A</v>
      </c>
      <c r="AP42" s="346" t="e">
        <f>VLOOKUP($AL42,flows!$A$2:$J$4985,AP$2,FALSE)</f>
        <v>#N/A</v>
      </c>
      <c r="AQ42" s="346" t="e">
        <f>VLOOKUP($AL42,flows!$A$2:$J$4985,AQ$2,FALSE)</f>
        <v>#N/A</v>
      </c>
      <c r="AR42" s="346" t="e">
        <f>VLOOKUP($AL42,flows!$A$2:$J$4985,AR$2,FALSE)</f>
        <v>#N/A</v>
      </c>
      <c r="AS42" s="346" t="e">
        <f>VLOOKUP($AL42,flows!$A$2:$J$4985,AS$2,FALSE)</f>
        <v>#N/A</v>
      </c>
      <c r="AT42" s="346" t="e">
        <f>VLOOKUP($AL42,flows!$A$2:$J$4985,AT$2,FALSE)</f>
        <v>#N/A</v>
      </c>
      <c r="AU42" s="346" t="e">
        <f>VLOOKUP($AL42,flows!$A$2:$J$4985,AU$2,FALSE)</f>
        <v>#N/A</v>
      </c>
    </row>
    <row r="43" spans="3:47" ht="14.5" x14ac:dyDescent="0.35">
      <c r="C43" s="5" t="s">
        <v>66</v>
      </c>
      <c r="D43" s="31">
        <f t="shared" si="5"/>
        <v>8.4033613445378148E-3</v>
      </c>
      <c r="E43" s="313" t="e">
        <f t="shared" ref="E43:L43" si="37">$D$43*E14</f>
        <v>#N/A</v>
      </c>
      <c r="F43" s="313" t="e">
        <f t="shared" si="37"/>
        <v>#N/A</v>
      </c>
      <c r="G43" s="313" t="e">
        <f t="shared" si="37"/>
        <v>#N/A</v>
      </c>
      <c r="H43" s="313" t="e">
        <f t="shared" si="37"/>
        <v>#N/A</v>
      </c>
      <c r="I43" s="313" t="e">
        <f t="shared" si="37"/>
        <v>#N/A</v>
      </c>
      <c r="J43" s="313" t="e">
        <f t="shared" si="37"/>
        <v>#N/A</v>
      </c>
      <c r="K43" s="313" t="e">
        <f t="shared" si="37"/>
        <v>#N/A</v>
      </c>
      <c r="L43" s="313" t="e">
        <f t="shared" si="37"/>
        <v>#N/A</v>
      </c>
      <c r="O43" s="5" t="s">
        <v>80</v>
      </c>
      <c r="P43" s="31">
        <f t="shared" si="7"/>
        <v>8.9285714285714281E-3</v>
      </c>
      <c r="Q43" s="313" t="e">
        <f t="shared" ref="Q43:X43" si="38">$P$43*Q14</f>
        <v>#N/A</v>
      </c>
      <c r="R43" s="313" t="e">
        <f t="shared" si="38"/>
        <v>#N/A</v>
      </c>
      <c r="S43" s="313" t="e">
        <f t="shared" si="38"/>
        <v>#N/A</v>
      </c>
      <c r="T43" s="313" t="e">
        <f t="shared" si="38"/>
        <v>#N/A</v>
      </c>
      <c r="U43" s="313" t="e">
        <f t="shared" si="38"/>
        <v>#N/A</v>
      </c>
      <c r="V43" s="313" t="e">
        <f t="shared" si="38"/>
        <v>#N/A</v>
      </c>
      <c r="W43" s="313" t="e">
        <f t="shared" si="38"/>
        <v>#N/A</v>
      </c>
      <c r="X43" s="313" t="e">
        <f t="shared" si="38"/>
        <v>#N/A</v>
      </c>
      <c r="Z43" s="5"/>
      <c r="AA43" s="31"/>
      <c r="AB43" s="6"/>
      <c r="AC43" s="6"/>
      <c r="AD43" s="6"/>
      <c r="AE43" s="6"/>
      <c r="AF43" s="6"/>
      <c r="AG43" s="6"/>
      <c r="AH43" s="6"/>
      <c r="AI43" s="6"/>
      <c r="AL43" s="349" t="s">
        <v>578</v>
      </c>
      <c r="AM43" s="337" t="s">
        <v>1381</v>
      </c>
      <c r="AN43" s="346" t="e">
        <f>VLOOKUP($AL43,flows!$A$2:$J$4985,AN$2,FALSE)</f>
        <v>#N/A</v>
      </c>
      <c r="AO43" s="346" t="e">
        <f>VLOOKUP($AL43,flows!$A$2:$J$4985,AO$2,FALSE)</f>
        <v>#N/A</v>
      </c>
      <c r="AP43" s="346" t="e">
        <f>VLOOKUP($AL43,flows!$A$2:$J$4985,AP$2,FALSE)</f>
        <v>#N/A</v>
      </c>
      <c r="AQ43" s="346" t="e">
        <f>VLOOKUP($AL43,flows!$A$2:$J$4985,AQ$2,FALSE)</f>
        <v>#N/A</v>
      </c>
      <c r="AR43" s="346" t="e">
        <f>VLOOKUP($AL43,flows!$A$2:$J$4985,AR$2,FALSE)</f>
        <v>#N/A</v>
      </c>
      <c r="AS43" s="346" t="e">
        <f>VLOOKUP($AL43,flows!$A$2:$J$4985,AS$2,FALSE)</f>
        <v>#N/A</v>
      </c>
      <c r="AT43" s="346" t="e">
        <f>VLOOKUP($AL43,flows!$A$2:$J$4985,AT$2,FALSE)</f>
        <v>#N/A</v>
      </c>
      <c r="AU43" s="346" t="e">
        <f>VLOOKUP($AL43,flows!$A$2:$J$4985,AU$2,FALSE)</f>
        <v>#N/A</v>
      </c>
    </row>
    <row r="44" spans="3:47" ht="14.5" x14ac:dyDescent="0.35">
      <c r="C44" s="5" t="s">
        <v>67</v>
      </c>
      <c r="D44" s="31">
        <f t="shared" si="5"/>
        <v>8.4033613445378148E-3</v>
      </c>
      <c r="E44" s="313" t="e">
        <f t="shared" ref="E44:L44" si="39">$D$44*E15</f>
        <v>#N/A</v>
      </c>
      <c r="F44" s="313" t="e">
        <f t="shared" si="39"/>
        <v>#N/A</v>
      </c>
      <c r="G44" s="313" t="e">
        <f t="shared" si="39"/>
        <v>#N/A</v>
      </c>
      <c r="H44" s="313" t="e">
        <f t="shared" si="39"/>
        <v>#N/A</v>
      </c>
      <c r="I44" s="313" t="e">
        <f t="shared" si="39"/>
        <v>#N/A</v>
      </c>
      <c r="J44" s="313" t="e">
        <f t="shared" si="39"/>
        <v>#N/A</v>
      </c>
      <c r="K44" s="313" t="e">
        <f t="shared" si="39"/>
        <v>#N/A</v>
      </c>
      <c r="L44" s="313" t="e">
        <f t="shared" si="39"/>
        <v>#N/A</v>
      </c>
      <c r="O44" s="5" t="s">
        <v>81</v>
      </c>
      <c r="P44" s="31">
        <f t="shared" si="7"/>
        <v>8.9285714285714281E-3</v>
      </c>
      <c r="Q44" s="313" t="e">
        <f t="shared" ref="Q44:X44" si="40">$P$44*Q15</f>
        <v>#N/A</v>
      </c>
      <c r="R44" s="313" t="e">
        <f t="shared" si="40"/>
        <v>#N/A</v>
      </c>
      <c r="S44" s="313" t="e">
        <f t="shared" si="40"/>
        <v>#N/A</v>
      </c>
      <c r="T44" s="313" t="e">
        <f t="shared" si="40"/>
        <v>#N/A</v>
      </c>
      <c r="U44" s="313" t="e">
        <f t="shared" si="40"/>
        <v>#N/A</v>
      </c>
      <c r="V44" s="313" t="e">
        <f t="shared" si="40"/>
        <v>#N/A</v>
      </c>
      <c r="W44" s="313" t="e">
        <f t="shared" si="40"/>
        <v>#N/A</v>
      </c>
      <c r="X44" s="313" t="e">
        <f t="shared" si="40"/>
        <v>#N/A</v>
      </c>
      <c r="Z44" s="5"/>
      <c r="AA44" s="31"/>
      <c r="AB44" s="6"/>
      <c r="AC44" s="6"/>
      <c r="AD44" s="6"/>
      <c r="AE44" s="6"/>
      <c r="AF44" s="6"/>
      <c r="AG44" s="6"/>
      <c r="AH44" s="6"/>
      <c r="AI44" s="6"/>
      <c r="AL44" s="349" t="s">
        <v>579</v>
      </c>
      <c r="AM44" s="337" t="s">
        <v>1381</v>
      </c>
      <c r="AN44" s="346" t="e">
        <f>VLOOKUP($AL44,flows!$A$2:$J$4985,AN$2,FALSE)</f>
        <v>#N/A</v>
      </c>
      <c r="AO44" s="346" t="e">
        <f>VLOOKUP($AL44,flows!$A$2:$J$4985,AO$2,FALSE)</f>
        <v>#N/A</v>
      </c>
      <c r="AP44" s="346" t="e">
        <f>VLOOKUP($AL44,flows!$A$2:$J$4985,AP$2,FALSE)</f>
        <v>#N/A</v>
      </c>
      <c r="AQ44" s="346" t="e">
        <f>VLOOKUP($AL44,flows!$A$2:$J$4985,AQ$2,FALSE)</f>
        <v>#N/A</v>
      </c>
      <c r="AR44" s="346" t="e">
        <f>VLOOKUP($AL44,flows!$A$2:$J$4985,AR$2,FALSE)</f>
        <v>#N/A</v>
      </c>
      <c r="AS44" s="346" t="e">
        <f>VLOOKUP($AL44,flows!$A$2:$J$4985,AS$2,FALSE)</f>
        <v>#N/A</v>
      </c>
      <c r="AT44" s="346" t="e">
        <f>VLOOKUP($AL44,flows!$A$2:$J$4985,AT$2,FALSE)</f>
        <v>#N/A</v>
      </c>
      <c r="AU44" s="346" t="e">
        <f>VLOOKUP($AL44,flows!$A$2:$J$4985,AU$2,FALSE)</f>
        <v>#N/A</v>
      </c>
    </row>
    <row r="45" spans="3:47" ht="14.5" x14ac:dyDescent="0.35">
      <c r="C45" s="5"/>
      <c r="D45" s="6"/>
      <c r="E45" s="6"/>
      <c r="F45" s="313" t="e">
        <f>0.1*$D$33*$F$4+0.05*$D$36*$F$7</f>
        <v>#N/A</v>
      </c>
      <c r="G45" s="6"/>
      <c r="H45" s="6"/>
      <c r="I45" s="6"/>
      <c r="J45" s="6"/>
      <c r="K45" s="6"/>
      <c r="L45" s="6"/>
      <c r="O45" s="5"/>
      <c r="P45" s="6"/>
      <c r="Q45" s="6"/>
      <c r="R45" s="313" t="e">
        <f>0.2*$P$33*$R$4+0.05*$P$36*$R$7</f>
        <v>#N/A</v>
      </c>
      <c r="S45" s="6"/>
      <c r="T45" s="6"/>
      <c r="U45" s="6"/>
      <c r="V45" s="6"/>
      <c r="W45" s="6"/>
      <c r="X45" s="6"/>
      <c r="Z45" s="5"/>
      <c r="AA45" s="6"/>
      <c r="AB45" s="6"/>
      <c r="AC45" s="313" t="e">
        <f>0.2*$AA$33*$AC$4+0.05*$AA$36*$AC$7</f>
        <v>#N/A</v>
      </c>
      <c r="AD45" s="6"/>
      <c r="AE45" s="6"/>
      <c r="AF45" s="6"/>
      <c r="AG45" s="6"/>
      <c r="AH45" s="6"/>
      <c r="AI45" s="6"/>
      <c r="AL45" s="349" t="s">
        <v>580</v>
      </c>
      <c r="AM45" s="337" t="s">
        <v>1382</v>
      </c>
      <c r="AN45" s="346" t="e">
        <f>VLOOKUP($AL45,flows!$A$2:$J$4985,AN$2,FALSE)</f>
        <v>#N/A</v>
      </c>
      <c r="AO45" s="346" t="e">
        <f>VLOOKUP($AL45,flows!$A$2:$J$4985,AO$2,FALSE)</f>
        <v>#N/A</v>
      </c>
      <c r="AP45" s="346" t="e">
        <f>VLOOKUP($AL45,flows!$A$2:$J$4985,AP$2,FALSE)</f>
        <v>#N/A</v>
      </c>
      <c r="AQ45" s="346" t="e">
        <f>VLOOKUP($AL45,flows!$A$2:$J$4985,AQ$2,FALSE)</f>
        <v>#N/A</v>
      </c>
      <c r="AR45" s="346" t="e">
        <f>VLOOKUP($AL45,flows!$A$2:$J$4985,AR$2,FALSE)</f>
        <v>#N/A</v>
      </c>
      <c r="AS45" s="346" t="e">
        <f>VLOOKUP($AL45,flows!$A$2:$J$4985,AS$2,FALSE)</f>
        <v>#N/A</v>
      </c>
      <c r="AT45" s="346" t="e">
        <f>VLOOKUP($AL45,flows!$A$2:$J$4985,AT$2,FALSE)</f>
        <v>#N/A</v>
      </c>
      <c r="AU45" s="346" t="e">
        <f>VLOOKUP($AL45,flows!$A$2:$J$4985,AU$2,FALSE)</f>
        <v>#N/A</v>
      </c>
    </row>
    <row r="46" spans="3:47" ht="14.5" x14ac:dyDescent="0.35">
      <c r="C46" s="5"/>
      <c r="D46" s="6" t="s">
        <v>1391</v>
      </c>
      <c r="E46" s="6"/>
      <c r="F46" s="6">
        <v>2127</v>
      </c>
      <c r="G46" s="6"/>
      <c r="H46" s="6"/>
      <c r="I46" s="6"/>
      <c r="J46" s="6"/>
      <c r="K46" s="6"/>
      <c r="L46" s="6"/>
      <c r="O46" s="5"/>
      <c r="P46" s="6" t="s">
        <v>1391</v>
      </c>
      <c r="Q46" s="6"/>
      <c r="R46" s="6">
        <v>1179.3</v>
      </c>
      <c r="S46" s="6"/>
      <c r="T46" s="6"/>
      <c r="U46" s="6"/>
      <c r="V46" s="6"/>
      <c r="W46" s="6"/>
      <c r="X46" s="6"/>
      <c r="Z46" s="5"/>
      <c r="AA46" s="6" t="s">
        <v>1391</v>
      </c>
      <c r="AB46" s="6"/>
      <c r="AC46" s="6">
        <v>287.8</v>
      </c>
      <c r="AD46" s="6"/>
      <c r="AE46" s="6"/>
      <c r="AF46" s="6"/>
      <c r="AG46" s="6"/>
      <c r="AH46" s="6"/>
      <c r="AI46" s="6"/>
      <c r="AL46" s="349" t="s">
        <v>581</v>
      </c>
      <c r="AM46" s="337" t="s">
        <v>1382</v>
      </c>
      <c r="AN46" s="346" t="e">
        <f>VLOOKUP($AL46,flows!$A$2:$J$4985,AN$2,FALSE)</f>
        <v>#N/A</v>
      </c>
      <c r="AO46" s="346" t="e">
        <f>VLOOKUP($AL46,flows!$A$2:$J$4985,AO$2,FALSE)</f>
        <v>#N/A</v>
      </c>
      <c r="AP46" s="346" t="e">
        <f>VLOOKUP($AL46,flows!$A$2:$J$4985,AP$2,FALSE)</f>
        <v>#N/A</v>
      </c>
      <c r="AQ46" s="346" t="e">
        <f>VLOOKUP($AL46,flows!$A$2:$J$4985,AQ$2,FALSE)</f>
        <v>#N/A</v>
      </c>
      <c r="AR46" s="346" t="e">
        <f>VLOOKUP($AL46,flows!$A$2:$J$4985,AR$2,FALSE)</f>
        <v>#N/A</v>
      </c>
      <c r="AS46" s="346" t="e">
        <f>VLOOKUP($AL46,flows!$A$2:$J$4985,AS$2,FALSE)</f>
        <v>#N/A</v>
      </c>
      <c r="AT46" s="346" t="e">
        <f>VLOOKUP($AL46,flows!$A$2:$J$4985,AT$2,FALSE)</f>
        <v>#N/A</v>
      </c>
      <c r="AU46" s="346" t="e">
        <f>VLOOKUP($AL46,flows!$A$2:$J$4985,AU$2,FALSE)</f>
        <v>#N/A</v>
      </c>
    </row>
    <row r="47" spans="3:47" ht="14.5" x14ac:dyDescent="0.35">
      <c r="C47" s="5"/>
      <c r="D47" s="6"/>
      <c r="E47" s="6"/>
      <c r="F47" s="6"/>
      <c r="G47" s="6"/>
      <c r="H47" s="6"/>
      <c r="I47" s="6"/>
      <c r="J47" s="6"/>
      <c r="K47" s="6"/>
      <c r="L47" s="6"/>
      <c r="O47" s="5"/>
      <c r="P47" s="6"/>
      <c r="Q47" s="6"/>
      <c r="R47" s="6"/>
      <c r="S47" s="6"/>
      <c r="T47" s="6"/>
      <c r="U47" s="6"/>
      <c r="V47" s="6"/>
      <c r="W47" s="6"/>
      <c r="X47" s="6"/>
      <c r="Z47" s="5"/>
      <c r="AA47" s="6"/>
      <c r="AB47" s="6"/>
      <c r="AC47" s="6"/>
      <c r="AD47" s="6"/>
      <c r="AE47" s="6"/>
      <c r="AF47" s="6"/>
      <c r="AG47" s="6"/>
      <c r="AH47" s="6"/>
      <c r="AI47" s="6"/>
      <c r="AL47" s="349" t="s">
        <v>582</v>
      </c>
      <c r="AM47" s="337" t="s">
        <v>1382</v>
      </c>
      <c r="AN47" s="346" t="e">
        <f>VLOOKUP($AL47,flows!$A$2:$J$4985,AN$2,FALSE)</f>
        <v>#N/A</v>
      </c>
      <c r="AO47" s="346" t="e">
        <f>VLOOKUP($AL47,flows!$A$2:$J$4985,AO$2,FALSE)</f>
        <v>#N/A</v>
      </c>
      <c r="AP47" s="346" t="e">
        <f>VLOOKUP($AL47,flows!$A$2:$J$4985,AP$2,FALSE)</f>
        <v>#N/A</v>
      </c>
      <c r="AQ47" s="346" t="e">
        <f>VLOOKUP($AL47,flows!$A$2:$J$4985,AQ$2,FALSE)</f>
        <v>#N/A</v>
      </c>
      <c r="AR47" s="346" t="e">
        <f>VLOOKUP($AL47,flows!$A$2:$J$4985,AR$2,FALSE)</f>
        <v>#N/A</v>
      </c>
      <c r="AS47" s="346" t="e">
        <f>VLOOKUP($AL47,flows!$A$2:$J$4985,AS$2,FALSE)</f>
        <v>#N/A</v>
      </c>
      <c r="AT47" s="346" t="e">
        <f>VLOOKUP($AL47,flows!$A$2:$J$4985,AT$2,FALSE)</f>
        <v>#N/A</v>
      </c>
      <c r="AU47" s="346" t="e">
        <f>VLOOKUP($AL47,flows!$A$2:$J$4985,AU$2,FALSE)</f>
        <v>#N/A</v>
      </c>
    </row>
    <row r="48" spans="3:47" ht="14.5" x14ac:dyDescent="0.35">
      <c r="C48" s="5"/>
      <c r="D48" s="6" t="s">
        <v>1385</v>
      </c>
      <c r="E48" s="81" t="s">
        <v>2688</v>
      </c>
      <c r="F48" s="6"/>
      <c r="G48" s="6"/>
      <c r="H48" s="6"/>
      <c r="I48" s="6"/>
      <c r="J48" s="6"/>
      <c r="K48" s="6"/>
      <c r="L48" s="6"/>
      <c r="O48" s="5"/>
      <c r="P48" s="6" t="s">
        <v>1385</v>
      </c>
      <c r="Q48" s="81" t="s">
        <v>2688</v>
      </c>
      <c r="R48" s="6"/>
      <c r="S48" s="6"/>
      <c r="T48" s="6"/>
      <c r="U48" s="6"/>
      <c r="V48" s="6"/>
      <c r="W48" s="6"/>
      <c r="X48" s="6"/>
      <c r="Z48" s="5"/>
      <c r="AA48" s="6"/>
      <c r="AB48" s="67" t="s">
        <v>1392</v>
      </c>
      <c r="AC48" s="6"/>
      <c r="AD48" s="6"/>
      <c r="AE48" s="6"/>
      <c r="AF48" s="6"/>
      <c r="AG48" s="6"/>
      <c r="AH48" s="6"/>
      <c r="AI48" s="6"/>
      <c r="AL48" s="349" t="s">
        <v>583</v>
      </c>
      <c r="AM48" s="337" t="s">
        <v>1383</v>
      </c>
      <c r="AN48" s="346" t="e">
        <f>VLOOKUP($AL48,flows!$A$2:$J$4985,AN$2,FALSE)</f>
        <v>#N/A</v>
      </c>
      <c r="AO48" s="346" t="e">
        <f>VLOOKUP($AL48,flows!$A$2:$J$4985,AO$2,FALSE)</f>
        <v>#N/A</v>
      </c>
      <c r="AP48" s="346" t="e">
        <f>VLOOKUP($AL48,flows!$A$2:$J$4985,AP$2,FALSE)</f>
        <v>#N/A</v>
      </c>
      <c r="AQ48" s="346" t="e">
        <f>VLOOKUP($AL48,flows!$A$2:$J$4985,AQ$2,FALSE)</f>
        <v>#N/A</v>
      </c>
      <c r="AR48" s="346" t="e">
        <f>VLOOKUP($AL48,flows!$A$2:$J$4985,AR$2,FALSE)</f>
        <v>#N/A</v>
      </c>
      <c r="AS48" s="346" t="e">
        <f>VLOOKUP($AL48,flows!$A$2:$J$4985,AS$2,FALSE)</f>
        <v>#N/A</v>
      </c>
      <c r="AT48" s="346" t="e">
        <f>VLOOKUP($AL48,flows!$A$2:$J$4985,AT$2,FALSE)</f>
        <v>#N/A</v>
      </c>
      <c r="AU48" s="346" t="e">
        <f>VLOOKUP($AL48,flows!$A$2:$J$4985,AU$2,FALSE)</f>
        <v>#N/A</v>
      </c>
    </row>
    <row r="49" spans="3:47" ht="14.5" x14ac:dyDescent="0.35">
      <c r="C49" s="2" t="s">
        <v>2223</v>
      </c>
      <c r="D49" s="2" t="s">
        <v>2224</v>
      </c>
      <c r="E49" s="308" t="e">
        <f>$F$45/SUM($F$33:$F$45)</f>
        <v>#N/A</v>
      </c>
      <c r="F49" s="308" t="e">
        <f>$F$45/SUM($F$33:$F$45)</f>
        <v>#N/A</v>
      </c>
      <c r="G49" s="308" t="e">
        <f t="shared" ref="G49:L49" si="41">$F$45/SUM($F$33:$F$45)</f>
        <v>#N/A</v>
      </c>
      <c r="H49" s="308" t="e">
        <f t="shared" si="41"/>
        <v>#N/A</v>
      </c>
      <c r="I49" s="308" t="e">
        <f t="shared" si="41"/>
        <v>#N/A</v>
      </c>
      <c r="J49" s="308" t="e">
        <f t="shared" si="41"/>
        <v>#N/A</v>
      </c>
      <c r="K49" s="308" t="e">
        <f t="shared" si="41"/>
        <v>#N/A</v>
      </c>
      <c r="L49" s="308" t="e">
        <f t="shared" si="41"/>
        <v>#N/A</v>
      </c>
      <c r="O49" s="191" t="s">
        <v>2223</v>
      </c>
      <c r="P49" s="191" t="s">
        <v>2224</v>
      </c>
      <c r="Q49" s="308" t="e">
        <f t="shared" ref="Q49:X49" si="42">$R$45/SUM($R$33:$R$45)</f>
        <v>#N/A</v>
      </c>
      <c r="R49" s="308" t="e">
        <f t="shared" si="42"/>
        <v>#N/A</v>
      </c>
      <c r="S49" s="308" t="e">
        <f t="shared" si="42"/>
        <v>#N/A</v>
      </c>
      <c r="T49" s="308" t="e">
        <f t="shared" si="42"/>
        <v>#N/A</v>
      </c>
      <c r="U49" s="308" t="e">
        <f t="shared" si="42"/>
        <v>#N/A</v>
      </c>
      <c r="V49" s="308" t="e">
        <f t="shared" si="42"/>
        <v>#N/A</v>
      </c>
      <c r="W49" s="308" t="e">
        <f t="shared" si="42"/>
        <v>#N/A</v>
      </c>
      <c r="X49" s="308" t="e">
        <f t="shared" si="42"/>
        <v>#N/A</v>
      </c>
      <c r="Z49" s="191" t="s">
        <v>2223</v>
      </c>
      <c r="AA49" s="191" t="s">
        <v>2224</v>
      </c>
      <c r="AB49" s="308" t="e">
        <f t="shared" ref="AB49:AI49" si="43">$AC$45/SUM($AC$33:$AC$45)</f>
        <v>#N/A</v>
      </c>
      <c r="AC49" s="308" t="e">
        <f t="shared" si="43"/>
        <v>#N/A</v>
      </c>
      <c r="AD49" s="308" t="e">
        <f t="shared" si="43"/>
        <v>#N/A</v>
      </c>
      <c r="AE49" s="308" t="e">
        <f t="shared" si="43"/>
        <v>#N/A</v>
      </c>
      <c r="AF49" s="308" t="e">
        <f t="shared" si="43"/>
        <v>#N/A</v>
      </c>
      <c r="AG49" s="308" t="e">
        <f t="shared" si="43"/>
        <v>#N/A</v>
      </c>
      <c r="AH49" s="308" t="e">
        <f t="shared" si="43"/>
        <v>#N/A</v>
      </c>
      <c r="AI49" s="308" t="e">
        <f t="shared" si="43"/>
        <v>#N/A</v>
      </c>
      <c r="AL49" s="349" t="s">
        <v>584</v>
      </c>
      <c r="AM49" s="337" t="s">
        <v>1384</v>
      </c>
      <c r="AN49" s="346" t="e">
        <f>VLOOKUP($AL49,flows!$A$2:$J$4985,AN$2,FALSE)</f>
        <v>#N/A</v>
      </c>
      <c r="AO49" s="346" t="e">
        <f>VLOOKUP($AL49,flows!$A$2:$J$4985,AO$2,FALSE)</f>
        <v>#N/A</v>
      </c>
      <c r="AP49" s="346" t="e">
        <f>VLOOKUP($AL49,flows!$A$2:$J$4985,AP$2,FALSE)</f>
        <v>#N/A</v>
      </c>
      <c r="AQ49" s="346" t="e">
        <f>VLOOKUP($AL49,flows!$A$2:$J$4985,AQ$2,FALSE)</f>
        <v>#N/A</v>
      </c>
      <c r="AR49" s="346" t="e">
        <f>VLOOKUP($AL49,flows!$A$2:$J$4985,AR$2,FALSE)</f>
        <v>#N/A</v>
      </c>
      <c r="AS49" s="346" t="e">
        <f>VLOOKUP($AL49,flows!$A$2:$J$4985,AS$2,FALSE)</f>
        <v>#N/A</v>
      </c>
      <c r="AT49" s="346" t="e">
        <f>VLOOKUP($AL49,flows!$A$2:$J$4985,AT$2,FALSE)</f>
        <v>#N/A</v>
      </c>
      <c r="AU49" s="346" t="e">
        <f>VLOOKUP($AL49,flows!$A$2:$J$4985,AU$2,FALSE)</f>
        <v>#N/A</v>
      </c>
    </row>
    <row r="50" spans="3:47" ht="14.5" x14ac:dyDescent="0.35">
      <c r="C50" s="198" t="s">
        <v>2282</v>
      </c>
      <c r="D50" s="199" t="s">
        <v>2283</v>
      </c>
      <c r="E50" s="312" t="e">
        <f t="shared" ref="E50:L50" si="44">(E33+E36+E39)/(SUM($F$33:$F$45))</f>
        <v>#N/A</v>
      </c>
      <c r="F50" s="312" t="e">
        <f>(F33+F36+F39)/(SUM($F$33:$F$45))</f>
        <v>#N/A</v>
      </c>
      <c r="G50" s="312" t="e">
        <f>(G33+G36+G39)/(SUM($F$33:$F$45))</f>
        <v>#N/A</v>
      </c>
      <c r="H50" s="312" t="e">
        <f t="shared" si="44"/>
        <v>#N/A</v>
      </c>
      <c r="I50" s="312" t="e">
        <f t="shared" si="44"/>
        <v>#N/A</v>
      </c>
      <c r="J50" s="312" t="e">
        <f t="shared" si="44"/>
        <v>#N/A</v>
      </c>
      <c r="K50" s="312" t="e">
        <f t="shared" si="44"/>
        <v>#N/A</v>
      </c>
      <c r="L50" s="312" t="e">
        <f t="shared" si="44"/>
        <v>#N/A</v>
      </c>
      <c r="O50" s="198" t="s">
        <v>2282</v>
      </c>
      <c r="P50" s="199" t="s">
        <v>2283</v>
      </c>
      <c r="Q50" s="62" t="e">
        <f t="shared" ref="Q50:X50" si="45">(Q33+Q36+Q39)/SUM($R$33:$R$45)</f>
        <v>#N/A</v>
      </c>
      <c r="R50" s="62" t="e">
        <f t="shared" si="45"/>
        <v>#N/A</v>
      </c>
      <c r="S50" s="62" t="e">
        <f t="shared" si="45"/>
        <v>#N/A</v>
      </c>
      <c r="T50" s="62" t="e">
        <f t="shared" si="45"/>
        <v>#N/A</v>
      </c>
      <c r="U50" s="62" t="e">
        <f t="shared" si="45"/>
        <v>#N/A</v>
      </c>
      <c r="V50" s="62" t="e">
        <f t="shared" si="45"/>
        <v>#N/A</v>
      </c>
      <c r="W50" s="62" t="e">
        <f t="shared" si="45"/>
        <v>#N/A</v>
      </c>
      <c r="X50" s="62" t="e">
        <f t="shared" si="45"/>
        <v>#N/A</v>
      </c>
      <c r="Z50" s="198" t="s">
        <v>2282</v>
      </c>
      <c r="AA50" s="199" t="s">
        <v>2283</v>
      </c>
      <c r="AB50" s="62" t="e">
        <f t="shared" ref="AB50:AI50" si="46">(AB33+AB36+AB39)/SUM($AC$33:$AC$45)</f>
        <v>#N/A</v>
      </c>
      <c r="AC50" s="62" t="e">
        <f t="shared" si="46"/>
        <v>#N/A</v>
      </c>
      <c r="AD50" s="62" t="e">
        <f t="shared" si="46"/>
        <v>#N/A</v>
      </c>
      <c r="AE50" s="62" t="e">
        <f>(AE33+AE36+AE39)/SUM($AC$33:$AC$45)</f>
        <v>#N/A</v>
      </c>
      <c r="AF50" s="62" t="e">
        <f t="shared" si="46"/>
        <v>#N/A</v>
      </c>
      <c r="AG50" s="62" t="e">
        <f t="shared" si="46"/>
        <v>#N/A</v>
      </c>
      <c r="AH50" s="62" t="e">
        <f t="shared" si="46"/>
        <v>#N/A</v>
      </c>
      <c r="AI50" s="62" t="e">
        <f t="shared" si="46"/>
        <v>#N/A</v>
      </c>
      <c r="AL50" s="349" t="s">
        <v>585</v>
      </c>
      <c r="AM50" s="337" t="s">
        <v>1384</v>
      </c>
      <c r="AN50" s="346" t="e">
        <f>VLOOKUP($AL50,flows!$A$2:$J$4985,AN$2,FALSE)</f>
        <v>#N/A</v>
      </c>
      <c r="AO50" s="346" t="e">
        <f>VLOOKUP($AL50,flows!$A$2:$J$4985,AO$2,FALSE)</f>
        <v>#N/A</v>
      </c>
      <c r="AP50" s="346" t="e">
        <f>VLOOKUP($AL50,flows!$A$2:$J$4985,AP$2,FALSE)</f>
        <v>#N/A</v>
      </c>
      <c r="AQ50" s="346" t="e">
        <f>VLOOKUP($AL50,flows!$A$2:$J$4985,AQ$2,FALSE)</f>
        <v>#N/A</v>
      </c>
      <c r="AR50" s="346" t="e">
        <f>VLOOKUP($AL50,flows!$A$2:$J$4985,AR$2,FALSE)</f>
        <v>#N/A</v>
      </c>
      <c r="AS50" s="346" t="e">
        <f>VLOOKUP($AL50,flows!$A$2:$J$4985,AS$2,FALSE)</f>
        <v>#N/A</v>
      </c>
      <c r="AT50" s="346" t="e">
        <f>VLOOKUP($AL50,flows!$A$2:$J$4985,AT$2,FALSE)</f>
        <v>#N/A</v>
      </c>
      <c r="AU50" s="346" t="e">
        <f>VLOOKUP($AL50,flows!$A$2:$J$4985,AU$2,FALSE)</f>
        <v>#N/A</v>
      </c>
    </row>
    <row r="51" spans="3:47" ht="14.5" x14ac:dyDescent="0.35">
      <c r="C51" s="5" t="s">
        <v>1913</v>
      </c>
      <c r="D51" s="6" t="s">
        <v>2221</v>
      </c>
      <c r="E51" s="62" t="e">
        <f>(E34+E37+E40)/(SUM($F$33:$F$45))</f>
        <v>#N/A</v>
      </c>
      <c r="F51" s="62" t="e">
        <f t="shared" ref="F51:L51" si="47">(F34+F37+F40)/(SUM($F$33:$F$45))</f>
        <v>#N/A</v>
      </c>
      <c r="G51" s="62" t="e">
        <f t="shared" si="47"/>
        <v>#N/A</v>
      </c>
      <c r="H51" s="62" t="e">
        <f t="shared" si="47"/>
        <v>#N/A</v>
      </c>
      <c r="I51" s="62" t="e">
        <f t="shared" si="47"/>
        <v>#N/A</v>
      </c>
      <c r="J51" s="62" t="e">
        <f t="shared" si="47"/>
        <v>#N/A</v>
      </c>
      <c r="K51" s="62" t="e">
        <f t="shared" si="47"/>
        <v>#N/A</v>
      </c>
      <c r="L51" s="62" t="e">
        <f t="shared" si="47"/>
        <v>#N/A</v>
      </c>
      <c r="O51" s="198" t="s">
        <v>1913</v>
      </c>
      <c r="P51" s="199" t="s">
        <v>2221</v>
      </c>
      <c r="Q51" s="62" t="e">
        <f t="shared" ref="Q51:X51" si="48">(Q34+Q37+Q40)/SUM($R$33:$R$45)</f>
        <v>#N/A</v>
      </c>
      <c r="R51" s="62" t="e">
        <f t="shared" si="48"/>
        <v>#N/A</v>
      </c>
      <c r="S51" s="62" t="e">
        <f t="shared" si="48"/>
        <v>#N/A</v>
      </c>
      <c r="T51" s="62" t="e">
        <f t="shared" si="48"/>
        <v>#N/A</v>
      </c>
      <c r="U51" s="62" t="e">
        <f t="shared" si="48"/>
        <v>#N/A</v>
      </c>
      <c r="V51" s="62" t="e">
        <f t="shared" si="48"/>
        <v>#N/A</v>
      </c>
      <c r="W51" s="62" t="e">
        <f t="shared" si="48"/>
        <v>#N/A</v>
      </c>
      <c r="X51" s="62" t="e">
        <f t="shared" si="48"/>
        <v>#N/A</v>
      </c>
      <c r="Z51" s="198" t="s">
        <v>1913</v>
      </c>
      <c r="AA51" s="199" t="s">
        <v>2221</v>
      </c>
      <c r="AB51" s="62" t="e">
        <f t="shared" ref="AB51:AI51" si="49">(AB34+AB37+AB40)/SUM($AC$33:$AC$45)</f>
        <v>#N/A</v>
      </c>
      <c r="AC51" s="62" t="e">
        <f t="shared" si="49"/>
        <v>#N/A</v>
      </c>
      <c r="AD51" s="62" t="e">
        <f t="shared" si="49"/>
        <v>#N/A</v>
      </c>
      <c r="AE51" s="62" t="e">
        <f t="shared" si="49"/>
        <v>#N/A</v>
      </c>
      <c r="AF51" s="62" t="e">
        <f t="shared" si="49"/>
        <v>#N/A</v>
      </c>
      <c r="AG51" s="62" t="e">
        <f t="shared" si="49"/>
        <v>#N/A</v>
      </c>
      <c r="AH51" s="62" t="e">
        <f t="shared" si="49"/>
        <v>#N/A</v>
      </c>
      <c r="AI51" s="62" t="e">
        <f t="shared" si="49"/>
        <v>#N/A</v>
      </c>
      <c r="AL51" s="349" t="s">
        <v>586</v>
      </c>
      <c r="AM51" s="337" t="s">
        <v>1383</v>
      </c>
      <c r="AN51" s="346" t="e">
        <f>VLOOKUP($AL51,flows!$A$2:$J$4985,AN$2,FALSE)</f>
        <v>#N/A</v>
      </c>
      <c r="AO51" s="346" t="e">
        <f>VLOOKUP($AL51,flows!$A$2:$J$4985,AO$2,FALSE)</f>
        <v>#N/A</v>
      </c>
      <c r="AP51" s="346" t="e">
        <f>VLOOKUP($AL51,flows!$A$2:$J$4985,AP$2,FALSE)</f>
        <v>#N/A</v>
      </c>
      <c r="AQ51" s="346" t="e">
        <f>VLOOKUP($AL51,flows!$A$2:$J$4985,AQ$2,FALSE)</f>
        <v>#N/A</v>
      </c>
      <c r="AR51" s="346" t="e">
        <f>VLOOKUP($AL51,flows!$A$2:$J$4985,AR$2,FALSE)</f>
        <v>#N/A</v>
      </c>
      <c r="AS51" s="346" t="e">
        <f>VLOOKUP($AL51,flows!$A$2:$J$4985,AS$2,FALSE)</f>
        <v>#N/A</v>
      </c>
      <c r="AT51" s="346" t="e">
        <f>VLOOKUP($AL51,flows!$A$2:$J$4985,AT$2,FALSE)</f>
        <v>#N/A</v>
      </c>
      <c r="AU51" s="346" t="e">
        <f>VLOOKUP($AL51,flows!$A$2:$J$4985,AU$2,FALSE)</f>
        <v>#N/A</v>
      </c>
    </row>
    <row r="52" spans="3:47" ht="14.5" x14ac:dyDescent="0.35">
      <c r="C52" s="5" t="s">
        <v>1914</v>
      </c>
      <c r="D52" s="199" t="s">
        <v>2222</v>
      </c>
      <c r="E52" s="62" t="e">
        <f t="shared" ref="E52:L52" si="50">(E35+E38+E41)/(SUM($F$33:$F$45))</f>
        <v>#N/A</v>
      </c>
      <c r="F52" s="62" t="e">
        <f t="shared" si="50"/>
        <v>#N/A</v>
      </c>
      <c r="G52" s="62" t="e">
        <f t="shared" si="50"/>
        <v>#N/A</v>
      </c>
      <c r="H52" s="62" t="e">
        <f t="shared" si="50"/>
        <v>#N/A</v>
      </c>
      <c r="I52" s="62" t="e">
        <f>(I35+I38+I41)/(SUM($F$33:$F$45))</f>
        <v>#N/A</v>
      </c>
      <c r="J52" s="62" t="e">
        <f t="shared" si="50"/>
        <v>#N/A</v>
      </c>
      <c r="K52" s="62" t="e">
        <f>(K35+K38+K41)/(SUM($F$33:$F$45))</f>
        <v>#N/A</v>
      </c>
      <c r="L52" s="62" t="e">
        <f t="shared" si="50"/>
        <v>#N/A</v>
      </c>
      <c r="O52" s="198" t="s">
        <v>1914</v>
      </c>
      <c r="P52" s="199" t="s">
        <v>2222</v>
      </c>
      <c r="Q52" s="62" t="e">
        <f t="shared" ref="Q52:X52" si="51">(Q35+Q38+Q41)/SUM($R$33:$R$45)</f>
        <v>#N/A</v>
      </c>
      <c r="R52" s="62" t="e">
        <f t="shared" si="51"/>
        <v>#N/A</v>
      </c>
      <c r="S52" s="62" t="e">
        <f t="shared" si="51"/>
        <v>#N/A</v>
      </c>
      <c r="T52" s="62" t="e">
        <f t="shared" si="51"/>
        <v>#N/A</v>
      </c>
      <c r="U52" s="62" t="e">
        <f t="shared" si="51"/>
        <v>#N/A</v>
      </c>
      <c r="V52" s="62" t="e">
        <f t="shared" si="51"/>
        <v>#N/A</v>
      </c>
      <c r="W52" s="62" t="e">
        <f t="shared" si="51"/>
        <v>#N/A</v>
      </c>
      <c r="X52" s="62" t="e">
        <f t="shared" si="51"/>
        <v>#N/A</v>
      </c>
      <c r="Z52" s="198" t="s">
        <v>1914</v>
      </c>
      <c r="AA52" s="199" t="s">
        <v>2222</v>
      </c>
      <c r="AB52" s="62" t="e">
        <f t="shared" ref="AB52:AI52" si="52">(AB35+AB38+AB41)/SUM($AC$33:$AC$45)</f>
        <v>#N/A</v>
      </c>
      <c r="AC52" s="62" t="e">
        <f t="shared" si="52"/>
        <v>#N/A</v>
      </c>
      <c r="AD52" s="62" t="e">
        <f t="shared" si="52"/>
        <v>#N/A</v>
      </c>
      <c r="AE52" s="62" t="e">
        <f t="shared" si="52"/>
        <v>#N/A</v>
      </c>
      <c r="AF52" s="62" t="e">
        <f t="shared" si="52"/>
        <v>#N/A</v>
      </c>
      <c r="AG52" s="62" t="e">
        <f t="shared" si="52"/>
        <v>#N/A</v>
      </c>
      <c r="AH52" s="62" t="e">
        <f t="shared" si="52"/>
        <v>#N/A</v>
      </c>
      <c r="AI52" s="62" t="e">
        <f t="shared" si="52"/>
        <v>#N/A</v>
      </c>
      <c r="AL52" s="349" t="s">
        <v>587</v>
      </c>
      <c r="AM52" s="337" t="s">
        <v>1383</v>
      </c>
      <c r="AN52" s="346" t="e">
        <f>VLOOKUP($AL52,flows!$A$2:$J$4985,AN$2,FALSE)</f>
        <v>#N/A</v>
      </c>
      <c r="AO52" s="346" t="e">
        <f>VLOOKUP($AL52,flows!$A$2:$J$4985,AO$2,FALSE)</f>
        <v>#N/A</v>
      </c>
      <c r="AP52" s="346" t="e">
        <f>VLOOKUP($AL52,flows!$A$2:$J$4985,AP$2,FALSE)</f>
        <v>#N/A</v>
      </c>
      <c r="AQ52" s="346" t="e">
        <f>VLOOKUP($AL52,flows!$A$2:$J$4985,AQ$2,FALSE)</f>
        <v>#N/A</v>
      </c>
      <c r="AR52" s="346" t="e">
        <f>VLOOKUP($AL52,flows!$A$2:$J$4985,AR$2,FALSE)</f>
        <v>#N/A</v>
      </c>
      <c r="AS52" s="346" t="e">
        <f>VLOOKUP($AL52,flows!$A$2:$J$4985,AS$2,FALSE)</f>
        <v>#N/A</v>
      </c>
      <c r="AT52" s="346" t="e">
        <f>VLOOKUP($AL52,flows!$A$2:$J$4985,AT$2,FALSE)</f>
        <v>#N/A</v>
      </c>
      <c r="AU52" s="346" t="e">
        <f>VLOOKUP($AL52,flows!$A$2:$J$4985,AU$2,FALSE)</f>
        <v>#N/A</v>
      </c>
    </row>
    <row r="53" spans="3:47" ht="14.5" x14ac:dyDescent="0.35">
      <c r="C53" s="5"/>
      <c r="D53" s="6"/>
      <c r="E53" s="62"/>
      <c r="F53" s="62"/>
      <c r="G53" s="62"/>
      <c r="H53" s="62"/>
      <c r="I53" s="62"/>
      <c r="J53" s="62"/>
      <c r="K53" s="62"/>
      <c r="L53" s="62"/>
      <c r="O53" s="198"/>
      <c r="P53" s="199"/>
      <c r="Q53" s="7"/>
      <c r="R53" s="7"/>
      <c r="S53" s="7"/>
      <c r="T53" s="7"/>
      <c r="U53" s="7"/>
      <c r="V53" s="7"/>
      <c r="W53" s="7"/>
      <c r="X53" s="7"/>
      <c r="Z53" s="198"/>
      <c r="AA53" s="199"/>
      <c r="AB53" s="62"/>
      <c r="AC53" s="62"/>
      <c r="AD53" s="62"/>
      <c r="AE53" s="62"/>
      <c r="AF53" s="62"/>
      <c r="AG53" s="62"/>
      <c r="AH53" s="62"/>
      <c r="AI53" s="62"/>
      <c r="AL53" s="349" t="s">
        <v>588</v>
      </c>
      <c r="AM53" s="337" t="s">
        <v>1375</v>
      </c>
      <c r="AN53" s="346" t="e">
        <f>VLOOKUP($AL53,flows!$A$2:$J$4985,AN$2,FALSE)</f>
        <v>#N/A</v>
      </c>
      <c r="AO53" s="346" t="e">
        <f>VLOOKUP($AL53,flows!$A$2:$J$4985,AO$2,FALSE)</f>
        <v>#N/A</v>
      </c>
      <c r="AP53" s="346" t="e">
        <f>VLOOKUP($AL53,flows!$A$2:$J$4985,AP$2,FALSE)</f>
        <v>#N/A</v>
      </c>
      <c r="AQ53" s="346" t="e">
        <f>VLOOKUP($AL53,flows!$A$2:$J$4985,AQ$2,FALSE)</f>
        <v>#N/A</v>
      </c>
      <c r="AR53" s="346" t="e">
        <f>VLOOKUP($AL53,flows!$A$2:$J$4985,AR$2,FALSE)</f>
        <v>#N/A</v>
      </c>
      <c r="AS53" s="346" t="e">
        <f>VLOOKUP($AL53,flows!$A$2:$J$4985,AS$2,FALSE)</f>
        <v>#N/A</v>
      </c>
      <c r="AT53" s="346" t="e">
        <f>VLOOKUP($AL53,flows!$A$2:$J$4985,AT$2,FALSE)</f>
        <v>#N/A</v>
      </c>
      <c r="AU53" s="346" t="e">
        <f>VLOOKUP($AL53,flows!$A$2:$J$4985,AU$2,FALSE)</f>
        <v>#N/A</v>
      </c>
    </row>
    <row r="54" spans="3:47" ht="14.5" x14ac:dyDescent="0.35">
      <c r="C54" s="5"/>
      <c r="D54" s="6" t="s">
        <v>1385</v>
      </c>
      <c r="E54" s="67" t="s">
        <v>1347</v>
      </c>
      <c r="F54" s="6"/>
      <c r="G54" s="6"/>
      <c r="H54" s="6"/>
      <c r="I54" s="6"/>
      <c r="J54" s="6"/>
      <c r="K54" s="6"/>
      <c r="L54" s="6"/>
      <c r="O54" s="198"/>
      <c r="P54" s="199" t="s">
        <v>1385</v>
      </c>
      <c r="Q54" s="67" t="s">
        <v>1347</v>
      </c>
      <c r="R54" s="6"/>
      <c r="S54" s="6"/>
      <c r="T54" s="6"/>
      <c r="U54" s="6"/>
      <c r="V54" s="6"/>
      <c r="W54" s="6"/>
      <c r="X54" s="6"/>
      <c r="Z54" s="198"/>
      <c r="AA54" s="199" t="s">
        <v>1385</v>
      </c>
      <c r="AB54" s="67" t="s">
        <v>1347</v>
      </c>
      <c r="AC54" s="6"/>
      <c r="AD54" s="6"/>
      <c r="AE54" s="6"/>
      <c r="AF54" s="6"/>
      <c r="AG54" s="6"/>
      <c r="AH54" s="6"/>
      <c r="AI54" s="6"/>
      <c r="AL54" s="349" t="s">
        <v>589</v>
      </c>
      <c r="AM54" s="337" t="s">
        <v>1377</v>
      </c>
      <c r="AN54" s="346" t="e">
        <f>VLOOKUP($AL54,flows!$A$2:$J$4985,AN$2,FALSE)</f>
        <v>#N/A</v>
      </c>
      <c r="AO54" s="346" t="e">
        <f>VLOOKUP($AL54,flows!$A$2:$J$4985,AO$2,FALSE)</f>
        <v>#N/A</v>
      </c>
      <c r="AP54" s="346" t="e">
        <f>VLOOKUP($AL54,flows!$A$2:$J$4985,AP$2,FALSE)</f>
        <v>#N/A</v>
      </c>
      <c r="AQ54" s="346" t="e">
        <f>VLOOKUP($AL54,flows!$A$2:$J$4985,AQ$2,FALSE)</f>
        <v>#N/A</v>
      </c>
      <c r="AR54" s="346" t="e">
        <f>VLOOKUP($AL54,flows!$A$2:$J$4985,AR$2,FALSE)</f>
        <v>#N/A</v>
      </c>
      <c r="AS54" s="346" t="e">
        <f>VLOOKUP($AL54,flows!$A$2:$J$4985,AS$2,FALSE)</f>
        <v>#N/A</v>
      </c>
      <c r="AT54" s="346" t="e">
        <f>VLOOKUP($AL54,flows!$A$2:$J$4985,AT$2,FALSE)</f>
        <v>#N/A</v>
      </c>
      <c r="AU54" s="346" t="e">
        <f>VLOOKUP($AL54,flows!$A$2:$J$4985,AU$2,FALSE)</f>
        <v>#N/A</v>
      </c>
    </row>
    <row r="55" spans="3:47" ht="14.5" x14ac:dyDescent="0.35">
      <c r="C55" s="191" t="s">
        <v>2223</v>
      </c>
      <c r="D55" s="191" t="s">
        <v>2224</v>
      </c>
      <c r="E55" s="310" t="e">
        <f t="shared" ref="E55:L55" si="53">E49*$F$46</f>
        <v>#N/A</v>
      </c>
      <c r="F55" s="310" t="e">
        <f t="shared" si="53"/>
        <v>#N/A</v>
      </c>
      <c r="G55" s="310" t="e">
        <f t="shared" si="53"/>
        <v>#N/A</v>
      </c>
      <c r="H55" s="310" t="e">
        <f t="shared" si="53"/>
        <v>#N/A</v>
      </c>
      <c r="I55" s="310" t="e">
        <f t="shared" si="53"/>
        <v>#N/A</v>
      </c>
      <c r="J55" s="310" t="e">
        <f t="shared" si="53"/>
        <v>#N/A</v>
      </c>
      <c r="K55" s="310" t="e">
        <f t="shared" si="53"/>
        <v>#N/A</v>
      </c>
      <c r="L55" s="310" t="e">
        <f t="shared" si="53"/>
        <v>#N/A</v>
      </c>
      <c r="O55" s="191" t="s">
        <v>2223</v>
      </c>
      <c r="P55" s="191" t="s">
        <v>2224</v>
      </c>
      <c r="Q55" s="200" t="e">
        <f t="shared" ref="Q55:X55" si="54">Q49*$R$46</f>
        <v>#N/A</v>
      </c>
      <c r="R55" s="200" t="e">
        <f t="shared" si="54"/>
        <v>#N/A</v>
      </c>
      <c r="S55" s="200" t="e">
        <f t="shared" si="54"/>
        <v>#N/A</v>
      </c>
      <c r="T55" s="200" t="e">
        <f t="shared" si="54"/>
        <v>#N/A</v>
      </c>
      <c r="U55" s="200" t="e">
        <f t="shared" si="54"/>
        <v>#N/A</v>
      </c>
      <c r="V55" s="200" t="e">
        <f t="shared" si="54"/>
        <v>#N/A</v>
      </c>
      <c r="W55" s="200" t="e">
        <f t="shared" si="54"/>
        <v>#N/A</v>
      </c>
      <c r="X55" s="200" t="e">
        <f t="shared" si="54"/>
        <v>#N/A</v>
      </c>
      <c r="Z55" s="191" t="s">
        <v>2223</v>
      </c>
      <c r="AA55" s="191" t="s">
        <v>2224</v>
      </c>
      <c r="AB55" s="200" t="e">
        <f t="shared" ref="AB55:AI55" si="55">AB49*$AC$46</f>
        <v>#N/A</v>
      </c>
      <c r="AC55" s="200" t="e">
        <f t="shared" si="55"/>
        <v>#N/A</v>
      </c>
      <c r="AD55" s="200" t="e">
        <f t="shared" si="55"/>
        <v>#N/A</v>
      </c>
      <c r="AE55" s="200" t="e">
        <f t="shared" si="55"/>
        <v>#N/A</v>
      </c>
      <c r="AF55" s="200" t="e">
        <f t="shared" si="55"/>
        <v>#N/A</v>
      </c>
      <c r="AG55" s="200" t="e">
        <f t="shared" si="55"/>
        <v>#N/A</v>
      </c>
      <c r="AH55" s="200" t="e">
        <f t="shared" si="55"/>
        <v>#N/A</v>
      </c>
      <c r="AI55" s="200" t="e">
        <f t="shared" si="55"/>
        <v>#N/A</v>
      </c>
      <c r="AL55" s="349" t="s">
        <v>590</v>
      </c>
      <c r="AM55" s="337" t="s">
        <v>1377</v>
      </c>
      <c r="AN55" s="346" t="e">
        <f>VLOOKUP($AL55,flows!$A$2:$J$4985,AN$2,FALSE)</f>
        <v>#N/A</v>
      </c>
      <c r="AO55" s="346" t="e">
        <f>VLOOKUP($AL55,flows!$A$2:$J$4985,AO$2,FALSE)</f>
        <v>#N/A</v>
      </c>
      <c r="AP55" s="346" t="e">
        <f>VLOOKUP($AL55,flows!$A$2:$J$4985,AP$2,FALSE)</f>
        <v>#N/A</v>
      </c>
      <c r="AQ55" s="346" t="e">
        <f>VLOOKUP($AL55,flows!$A$2:$J$4985,AQ$2,FALSE)</f>
        <v>#N/A</v>
      </c>
      <c r="AR55" s="346" t="e">
        <f>VLOOKUP($AL55,flows!$A$2:$J$4985,AR$2,FALSE)</f>
        <v>#N/A</v>
      </c>
      <c r="AS55" s="346" t="e">
        <f>VLOOKUP($AL55,flows!$A$2:$J$4985,AS$2,FALSE)</f>
        <v>#N/A</v>
      </c>
      <c r="AT55" s="346" t="e">
        <f>VLOOKUP($AL55,flows!$A$2:$J$4985,AT$2,FALSE)</f>
        <v>#N/A</v>
      </c>
      <c r="AU55" s="346" t="e">
        <f>VLOOKUP($AL55,flows!$A$2:$J$4985,AU$2,FALSE)</f>
        <v>#N/A</v>
      </c>
    </row>
    <row r="56" spans="3:47" ht="14.5" x14ac:dyDescent="0.35">
      <c r="C56" s="198" t="s">
        <v>2282</v>
      </c>
      <c r="D56" s="199" t="s">
        <v>2283</v>
      </c>
      <c r="E56" s="311" t="e">
        <f t="shared" ref="E56:L56" si="56">E50*$F$46</f>
        <v>#N/A</v>
      </c>
      <c r="F56" s="311" t="e">
        <f t="shared" si="56"/>
        <v>#N/A</v>
      </c>
      <c r="G56" s="311" t="e">
        <f t="shared" si="56"/>
        <v>#N/A</v>
      </c>
      <c r="H56" s="311" t="e">
        <f t="shared" si="56"/>
        <v>#N/A</v>
      </c>
      <c r="I56" s="311" t="e">
        <f t="shared" si="56"/>
        <v>#N/A</v>
      </c>
      <c r="J56" s="311" t="e">
        <f>J50*$F$46</f>
        <v>#N/A</v>
      </c>
      <c r="K56" s="311" t="e">
        <f t="shared" si="56"/>
        <v>#N/A</v>
      </c>
      <c r="L56" s="311" t="e">
        <f t="shared" si="56"/>
        <v>#N/A</v>
      </c>
      <c r="O56" s="198" t="s">
        <v>2282</v>
      </c>
      <c r="P56" s="199" t="s">
        <v>2283</v>
      </c>
      <c r="Q56" s="7" t="e">
        <f t="shared" ref="Q56:X56" si="57">Q50*$R$46</f>
        <v>#N/A</v>
      </c>
      <c r="R56" s="7" t="e">
        <f t="shared" si="57"/>
        <v>#N/A</v>
      </c>
      <c r="S56" s="7" t="e">
        <f t="shared" si="57"/>
        <v>#N/A</v>
      </c>
      <c r="T56" s="7" t="e">
        <f t="shared" si="57"/>
        <v>#N/A</v>
      </c>
      <c r="U56" s="7" t="e">
        <f t="shared" si="57"/>
        <v>#N/A</v>
      </c>
      <c r="V56" s="7" t="e">
        <f t="shared" si="57"/>
        <v>#N/A</v>
      </c>
      <c r="W56" s="7" t="e">
        <f t="shared" si="57"/>
        <v>#N/A</v>
      </c>
      <c r="X56" s="7" t="e">
        <f t="shared" si="57"/>
        <v>#N/A</v>
      </c>
      <c r="Z56" s="198" t="s">
        <v>2282</v>
      </c>
      <c r="AA56" s="199" t="s">
        <v>2283</v>
      </c>
      <c r="AB56" s="7" t="e">
        <f t="shared" ref="AB56:AI56" si="58">AB50*$AC$46</f>
        <v>#N/A</v>
      </c>
      <c r="AC56" s="7" t="e">
        <f t="shared" si="58"/>
        <v>#N/A</v>
      </c>
      <c r="AD56" s="7" t="e">
        <f t="shared" si="58"/>
        <v>#N/A</v>
      </c>
      <c r="AE56" s="7" t="e">
        <f t="shared" si="58"/>
        <v>#N/A</v>
      </c>
      <c r="AF56" s="7" t="e">
        <f t="shared" si="58"/>
        <v>#N/A</v>
      </c>
      <c r="AG56" s="7" t="e">
        <f t="shared" si="58"/>
        <v>#N/A</v>
      </c>
      <c r="AH56" s="7" t="e">
        <f t="shared" si="58"/>
        <v>#N/A</v>
      </c>
      <c r="AI56" s="7" t="e">
        <f t="shared" si="58"/>
        <v>#N/A</v>
      </c>
      <c r="AL56" s="349" t="s">
        <v>591</v>
      </c>
      <c r="AM56" s="337" t="s">
        <v>1375</v>
      </c>
      <c r="AN56" s="346" t="e">
        <f>VLOOKUP($AL56,flows!$A$2:$J$4985,AN$2,FALSE)</f>
        <v>#N/A</v>
      </c>
      <c r="AO56" s="346" t="e">
        <f>VLOOKUP($AL56,flows!$A$2:$J$4985,AO$2,FALSE)</f>
        <v>#N/A</v>
      </c>
      <c r="AP56" s="346" t="e">
        <f>VLOOKUP($AL56,flows!$A$2:$J$4985,AP$2,FALSE)</f>
        <v>#N/A</v>
      </c>
      <c r="AQ56" s="346" t="e">
        <f>VLOOKUP($AL56,flows!$A$2:$J$4985,AQ$2,FALSE)</f>
        <v>#N/A</v>
      </c>
      <c r="AR56" s="346" t="e">
        <f>VLOOKUP($AL56,flows!$A$2:$J$4985,AR$2,FALSE)</f>
        <v>#N/A</v>
      </c>
      <c r="AS56" s="346" t="e">
        <f>VLOOKUP($AL56,flows!$A$2:$J$4985,AS$2,FALSE)</f>
        <v>#N/A</v>
      </c>
      <c r="AT56" s="346" t="e">
        <f>VLOOKUP($AL56,flows!$A$2:$J$4985,AT$2,FALSE)</f>
        <v>#N/A</v>
      </c>
      <c r="AU56" s="346" t="e">
        <f>VLOOKUP($AL56,flows!$A$2:$J$4985,AU$2,FALSE)</f>
        <v>#N/A</v>
      </c>
    </row>
    <row r="57" spans="3:47" ht="14.5" x14ac:dyDescent="0.35">
      <c r="C57" s="198" t="s">
        <v>1913</v>
      </c>
      <c r="D57" s="199" t="s">
        <v>2221</v>
      </c>
      <c r="E57" s="311" t="e">
        <f t="shared" ref="E57:L57" si="59">E51*$F$46</f>
        <v>#N/A</v>
      </c>
      <c r="F57" s="311" t="e">
        <f t="shared" si="59"/>
        <v>#N/A</v>
      </c>
      <c r="G57" s="311" t="e">
        <f t="shared" si="59"/>
        <v>#N/A</v>
      </c>
      <c r="H57" s="311" t="e">
        <f t="shared" si="59"/>
        <v>#N/A</v>
      </c>
      <c r="I57" s="311" t="e">
        <f t="shared" si="59"/>
        <v>#N/A</v>
      </c>
      <c r="J57" s="311" t="e">
        <f t="shared" si="59"/>
        <v>#N/A</v>
      </c>
      <c r="K57" s="311" t="e">
        <f t="shared" si="59"/>
        <v>#N/A</v>
      </c>
      <c r="L57" s="311" t="e">
        <f t="shared" si="59"/>
        <v>#N/A</v>
      </c>
      <c r="O57" s="198" t="s">
        <v>1913</v>
      </c>
      <c r="P57" s="199" t="s">
        <v>2221</v>
      </c>
      <c r="Q57" s="7" t="e">
        <f t="shared" ref="Q57:X57" si="60">Q51*$R$46</f>
        <v>#N/A</v>
      </c>
      <c r="R57" s="7" t="e">
        <f t="shared" si="60"/>
        <v>#N/A</v>
      </c>
      <c r="S57" s="7" t="e">
        <f t="shared" si="60"/>
        <v>#N/A</v>
      </c>
      <c r="T57" s="7" t="e">
        <f t="shared" si="60"/>
        <v>#N/A</v>
      </c>
      <c r="U57" s="7" t="e">
        <f t="shared" si="60"/>
        <v>#N/A</v>
      </c>
      <c r="V57" s="7" t="e">
        <f t="shared" si="60"/>
        <v>#N/A</v>
      </c>
      <c r="W57" s="7" t="e">
        <f t="shared" si="60"/>
        <v>#N/A</v>
      </c>
      <c r="X57" s="7" t="e">
        <f t="shared" si="60"/>
        <v>#N/A</v>
      </c>
      <c r="Z57" s="198" t="s">
        <v>1913</v>
      </c>
      <c r="AA57" s="199" t="s">
        <v>2221</v>
      </c>
      <c r="AB57" s="7" t="e">
        <f t="shared" ref="AB57:AI57" si="61">AB51*$AC$46</f>
        <v>#N/A</v>
      </c>
      <c r="AC57" s="7" t="e">
        <f t="shared" si="61"/>
        <v>#N/A</v>
      </c>
      <c r="AD57" s="7" t="e">
        <f t="shared" si="61"/>
        <v>#N/A</v>
      </c>
      <c r="AE57" s="7" t="e">
        <f t="shared" si="61"/>
        <v>#N/A</v>
      </c>
      <c r="AF57" s="7" t="e">
        <f t="shared" si="61"/>
        <v>#N/A</v>
      </c>
      <c r="AG57" s="7" t="e">
        <f t="shared" si="61"/>
        <v>#N/A</v>
      </c>
      <c r="AH57" s="7" t="e">
        <f t="shared" si="61"/>
        <v>#N/A</v>
      </c>
      <c r="AI57" s="7" t="e">
        <f t="shared" si="61"/>
        <v>#N/A</v>
      </c>
      <c r="AL57" s="349" t="s">
        <v>592</v>
      </c>
      <c r="AM57" s="337" t="s">
        <v>1375</v>
      </c>
      <c r="AN57" s="346" t="e">
        <f>VLOOKUP($AL57,flows!$A$2:$J$4985,AN$2,FALSE)</f>
        <v>#N/A</v>
      </c>
      <c r="AO57" s="346" t="e">
        <f>VLOOKUP($AL57,flows!$A$2:$J$4985,AO$2,FALSE)</f>
        <v>#N/A</v>
      </c>
      <c r="AP57" s="346" t="e">
        <f>VLOOKUP($AL57,flows!$A$2:$J$4985,AP$2,FALSE)</f>
        <v>#N/A</v>
      </c>
      <c r="AQ57" s="346" t="e">
        <f>VLOOKUP($AL57,flows!$A$2:$J$4985,AQ$2,FALSE)</f>
        <v>#N/A</v>
      </c>
      <c r="AR57" s="346" t="e">
        <f>VLOOKUP($AL57,flows!$A$2:$J$4985,AR$2,FALSE)</f>
        <v>#N/A</v>
      </c>
      <c r="AS57" s="346" t="e">
        <f>VLOOKUP($AL57,flows!$A$2:$J$4985,AS$2,FALSE)</f>
        <v>#N/A</v>
      </c>
      <c r="AT57" s="346" t="e">
        <f>VLOOKUP($AL57,flows!$A$2:$J$4985,AT$2,FALSE)</f>
        <v>#N/A</v>
      </c>
      <c r="AU57" s="346" t="e">
        <f>VLOOKUP($AL57,flows!$A$2:$J$4985,AU$2,FALSE)</f>
        <v>#N/A</v>
      </c>
    </row>
    <row r="58" spans="3:47" x14ac:dyDescent="0.35">
      <c r="C58" s="198" t="s">
        <v>1914</v>
      </c>
      <c r="D58" s="199" t="s">
        <v>2222</v>
      </c>
      <c r="E58" s="311" t="e">
        <f>E52*$F$46</f>
        <v>#N/A</v>
      </c>
      <c r="F58" s="311" t="e">
        <f t="shared" ref="F58:L58" si="62">F52*$F$46</f>
        <v>#N/A</v>
      </c>
      <c r="G58" s="311" t="e">
        <f t="shared" si="62"/>
        <v>#N/A</v>
      </c>
      <c r="H58" s="311" t="e">
        <f>H52*$F$46</f>
        <v>#N/A</v>
      </c>
      <c r="I58" s="311" t="e">
        <f t="shared" si="62"/>
        <v>#N/A</v>
      </c>
      <c r="J58" s="311" t="e">
        <f t="shared" si="62"/>
        <v>#N/A</v>
      </c>
      <c r="K58" s="311" t="e">
        <f t="shared" si="62"/>
        <v>#N/A</v>
      </c>
      <c r="L58" s="311" t="e">
        <f t="shared" si="62"/>
        <v>#N/A</v>
      </c>
      <c r="O58" s="198" t="s">
        <v>1914</v>
      </c>
      <c r="P58" s="199" t="s">
        <v>2222</v>
      </c>
      <c r="Q58" s="7" t="e">
        <f t="shared" ref="Q58:X58" si="63">Q52*$R$46</f>
        <v>#N/A</v>
      </c>
      <c r="R58" s="7" t="e">
        <f t="shared" si="63"/>
        <v>#N/A</v>
      </c>
      <c r="S58" s="7" t="e">
        <f t="shared" si="63"/>
        <v>#N/A</v>
      </c>
      <c r="T58" s="7" t="e">
        <f t="shared" si="63"/>
        <v>#N/A</v>
      </c>
      <c r="U58" s="7" t="e">
        <f t="shared" si="63"/>
        <v>#N/A</v>
      </c>
      <c r="V58" s="7" t="e">
        <f t="shared" si="63"/>
        <v>#N/A</v>
      </c>
      <c r="W58" s="7" t="e">
        <f t="shared" si="63"/>
        <v>#N/A</v>
      </c>
      <c r="X58" s="7" t="e">
        <f t="shared" si="63"/>
        <v>#N/A</v>
      </c>
      <c r="Z58" s="198" t="s">
        <v>1914</v>
      </c>
      <c r="AA58" s="199" t="s">
        <v>2222</v>
      </c>
      <c r="AB58" s="7" t="e">
        <f t="shared" ref="AB58:AI58" si="64">AB52*$AC$46</f>
        <v>#N/A</v>
      </c>
      <c r="AC58" s="7" t="e">
        <f t="shared" si="64"/>
        <v>#N/A</v>
      </c>
      <c r="AD58" s="7" t="e">
        <f t="shared" si="64"/>
        <v>#N/A</v>
      </c>
      <c r="AE58" s="7" t="e">
        <f t="shared" si="64"/>
        <v>#N/A</v>
      </c>
      <c r="AF58" s="7" t="e">
        <f t="shared" si="64"/>
        <v>#N/A</v>
      </c>
      <c r="AG58" s="7" t="e">
        <f t="shared" si="64"/>
        <v>#N/A</v>
      </c>
      <c r="AH58" s="7" t="e">
        <f t="shared" si="64"/>
        <v>#N/A</v>
      </c>
      <c r="AI58" s="7" t="e">
        <f t="shared" si="64"/>
        <v>#N/A</v>
      </c>
    </row>
    <row r="59" spans="3:47" x14ac:dyDescent="0.35">
      <c r="C59" s="5"/>
      <c r="D59" s="6" t="s">
        <v>2284</v>
      </c>
      <c r="E59" s="311" t="e">
        <f>SUM(E55:E58)</f>
        <v>#N/A</v>
      </c>
      <c r="F59" s="311" t="e">
        <f t="shared" ref="F59:L59" si="65">SUM(F55:F58)</f>
        <v>#N/A</v>
      </c>
      <c r="G59" s="311" t="e">
        <f>SUM(G55:G58)</f>
        <v>#N/A</v>
      </c>
      <c r="H59" s="311" t="e">
        <f t="shared" si="65"/>
        <v>#N/A</v>
      </c>
      <c r="I59" s="311" t="e">
        <f t="shared" si="65"/>
        <v>#N/A</v>
      </c>
      <c r="J59" s="311" t="e">
        <f t="shared" si="65"/>
        <v>#N/A</v>
      </c>
      <c r="K59" s="311" t="e">
        <f t="shared" si="65"/>
        <v>#N/A</v>
      </c>
      <c r="L59" s="311" t="e">
        <f t="shared" si="65"/>
        <v>#N/A</v>
      </c>
      <c r="O59" s="198"/>
      <c r="P59" s="329" t="s">
        <v>2284</v>
      </c>
      <c r="Q59" s="334" t="e">
        <f t="shared" ref="Q59:X59" si="66">SUM(Q55:Q58)</f>
        <v>#N/A</v>
      </c>
      <c r="R59" s="334" t="e">
        <f t="shared" si="66"/>
        <v>#N/A</v>
      </c>
      <c r="S59" s="334" t="e">
        <f t="shared" si="66"/>
        <v>#N/A</v>
      </c>
      <c r="T59" s="334" t="e">
        <f t="shared" si="66"/>
        <v>#N/A</v>
      </c>
      <c r="U59" s="334" t="e">
        <f t="shared" si="66"/>
        <v>#N/A</v>
      </c>
      <c r="V59" s="334" t="e">
        <f t="shared" si="66"/>
        <v>#N/A</v>
      </c>
      <c r="W59" s="334" t="e">
        <f t="shared" si="66"/>
        <v>#N/A</v>
      </c>
      <c r="X59" s="334" t="e">
        <f t="shared" si="66"/>
        <v>#N/A</v>
      </c>
      <c r="Z59" s="5"/>
      <c r="AA59" s="335" t="s">
        <v>2284</v>
      </c>
      <c r="AB59" s="340" t="e">
        <f t="shared" ref="AB59:AI59" si="67">SUM(AB55:AB58)</f>
        <v>#N/A</v>
      </c>
      <c r="AC59" s="340" t="e">
        <f t="shared" si="67"/>
        <v>#N/A</v>
      </c>
      <c r="AD59" s="340" t="e">
        <f t="shared" si="67"/>
        <v>#N/A</v>
      </c>
      <c r="AE59" s="340" t="e">
        <f t="shared" si="67"/>
        <v>#N/A</v>
      </c>
      <c r="AF59" s="340" t="e">
        <f t="shared" si="67"/>
        <v>#N/A</v>
      </c>
      <c r="AG59" s="340" t="e">
        <f t="shared" si="67"/>
        <v>#N/A</v>
      </c>
      <c r="AH59" s="340" t="e">
        <f t="shared" si="67"/>
        <v>#N/A</v>
      </c>
      <c r="AI59" s="340" t="e">
        <f t="shared" si="67"/>
        <v>#N/A</v>
      </c>
    </row>
    <row r="60" spans="3:47" x14ac:dyDescent="0.35">
      <c r="C60" s="5"/>
      <c r="D60" s="6" t="s">
        <v>2285</v>
      </c>
      <c r="E60" s="6" t="e">
        <f>SUM(E18:E26)/E59</f>
        <v>#N/A</v>
      </c>
      <c r="F60" s="323" t="e">
        <f t="shared" ref="F60:L60" si="68">SUM(F18:F26)/F59</f>
        <v>#N/A</v>
      </c>
      <c r="G60" s="323" t="e">
        <f t="shared" si="68"/>
        <v>#N/A</v>
      </c>
      <c r="H60" s="323" t="e">
        <f t="shared" si="68"/>
        <v>#N/A</v>
      </c>
      <c r="I60" s="323" t="e">
        <f t="shared" si="68"/>
        <v>#N/A</v>
      </c>
      <c r="J60" s="323" t="e">
        <f t="shared" si="68"/>
        <v>#N/A</v>
      </c>
      <c r="K60" s="323" t="e">
        <f t="shared" si="68"/>
        <v>#N/A</v>
      </c>
      <c r="L60" s="323" t="e">
        <f t="shared" si="68"/>
        <v>#N/A</v>
      </c>
      <c r="O60" s="198"/>
      <c r="P60" s="329" t="s">
        <v>2285</v>
      </c>
      <c r="Q60" s="329" t="e">
        <f t="shared" ref="Q60:X60" si="69">SUM(Q18:Q26)/Q59</f>
        <v>#N/A</v>
      </c>
      <c r="R60" s="329" t="e">
        <f t="shared" si="69"/>
        <v>#N/A</v>
      </c>
      <c r="S60" s="329" t="e">
        <f t="shared" si="69"/>
        <v>#N/A</v>
      </c>
      <c r="T60" s="329" t="e">
        <f t="shared" si="69"/>
        <v>#N/A</v>
      </c>
      <c r="U60" s="329" t="e">
        <f t="shared" si="69"/>
        <v>#N/A</v>
      </c>
      <c r="V60" s="329" t="e">
        <f t="shared" si="69"/>
        <v>#N/A</v>
      </c>
      <c r="W60" s="329" t="e">
        <f t="shared" si="69"/>
        <v>#N/A</v>
      </c>
      <c r="X60" s="329" t="e">
        <f t="shared" si="69"/>
        <v>#N/A</v>
      </c>
      <c r="Z60" s="5"/>
      <c r="AA60" s="335" t="s">
        <v>2285</v>
      </c>
      <c r="AB60" s="335" t="e">
        <f t="shared" ref="AB60:AI60" si="70">SUM(AB18:AB26)/AB59</f>
        <v>#N/A</v>
      </c>
      <c r="AC60" s="335" t="e">
        <f t="shared" si="70"/>
        <v>#N/A</v>
      </c>
      <c r="AD60" s="335" t="e">
        <f t="shared" si="70"/>
        <v>#N/A</v>
      </c>
      <c r="AE60" s="335" t="e">
        <f t="shared" si="70"/>
        <v>#N/A</v>
      </c>
      <c r="AF60" s="335" t="e">
        <f t="shared" si="70"/>
        <v>#N/A</v>
      </c>
      <c r="AG60" s="335" t="e">
        <f t="shared" si="70"/>
        <v>#N/A</v>
      </c>
      <c r="AH60" s="335" t="e">
        <f t="shared" si="70"/>
        <v>#N/A</v>
      </c>
      <c r="AI60" s="335" t="e">
        <f t="shared" si="70"/>
        <v>#N/A</v>
      </c>
    </row>
    <row r="61" spans="3:47" x14ac:dyDescent="0.35">
      <c r="C61" s="5"/>
      <c r="E61" s="7"/>
      <c r="F61" s="7"/>
      <c r="G61" s="7"/>
      <c r="H61" s="7"/>
      <c r="I61" s="7"/>
      <c r="J61" s="7"/>
      <c r="K61" s="7"/>
      <c r="L61" s="7"/>
      <c r="O61" s="198"/>
      <c r="P61" s="199"/>
      <c r="Q61" s="7"/>
      <c r="R61" s="7"/>
      <c r="S61" s="7"/>
      <c r="T61" s="7"/>
      <c r="U61" s="7"/>
      <c r="V61" s="7"/>
      <c r="W61" s="7"/>
      <c r="X61" s="7"/>
      <c r="Z61" s="5"/>
      <c r="AA61" s="6"/>
      <c r="AB61" s="62"/>
      <c r="AC61" s="62"/>
      <c r="AD61" s="62"/>
      <c r="AE61" s="62"/>
      <c r="AF61" s="62"/>
      <c r="AG61" s="62"/>
      <c r="AH61" s="62"/>
      <c r="AI61" s="62"/>
    </row>
    <row r="62" spans="3:47" x14ac:dyDescent="0.35">
      <c r="D62" s="6" t="s">
        <v>1386</v>
      </c>
      <c r="P62" s="329" t="s">
        <v>1386</v>
      </c>
      <c r="Z62" s="5"/>
      <c r="AA62" s="6"/>
      <c r="AB62" s="62"/>
      <c r="AC62" s="62"/>
      <c r="AD62" s="62"/>
      <c r="AE62" s="62"/>
      <c r="AF62" s="62"/>
      <c r="AG62" s="62"/>
      <c r="AH62" s="62"/>
      <c r="AI62" s="62"/>
    </row>
    <row r="63" spans="3:47" x14ac:dyDescent="0.35">
      <c r="C63" s="5"/>
      <c r="D63" s="6" t="s">
        <v>1387</v>
      </c>
      <c r="E63" s="309" t="e">
        <f t="shared" ref="E63:L63" si="71">E42</f>
        <v>#N/A</v>
      </c>
      <c r="F63" s="7" t="e">
        <f t="shared" si="71"/>
        <v>#N/A</v>
      </c>
      <c r="G63" s="7" t="e">
        <f t="shared" si="71"/>
        <v>#N/A</v>
      </c>
      <c r="H63" s="7" t="e">
        <f t="shared" si="71"/>
        <v>#N/A</v>
      </c>
      <c r="I63" s="7" t="e">
        <f t="shared" si="71"/>
        <v>#N/A</v>
      </c>
      <c r="J63" s="7" t="e">
        <f t="shared" si="71"/>
        <v>#N/A</v>
      </c>
      <c r="K63" s="7" t="e">
        <f t="shared" si="71"/>
        <v>#N/A</v>
      </c>
      <c r="L63" s="7" t="e">
        <f t="shared" si="71"/>
        <v>#N/A</v>
      </c>
      <c r="O63" s="198"/>
      <c r="P63" s="199" t="s">
        <v>1387</v>
      </c>
      <c r="Q63" s="7" t="e">
        <f t="shared" ref="Q63:X63" si="72">Q42</f>
        <v>#N/A</v>
      </c>
      <c r="R63" s="7" t="e">
        <f t="shared" si="72"/>
        <v>#N/A</v>
      </c>
      <c r="S63" s="7" t="e">
        <f t="shared" si="72"/>
        <v>#N/A</v>
      </c>
      <c r="T63" s="7" t="e">
        <f t="shared" si="72"/>
        <v>#N/A</v>
      </c>
      <c r="U63" s="7" t="e">
        <f t="shared" si="72"/>
        <v>#N/A</v>
      </c>
      <c r="V63" s="7" t="e">
        <f t="shared" si="72"/>
        <v>#N/A</v>
      </c>
      <c r="W63" s="7" t="e">
        <f t="shared" si="72"/>
        <v>#N/A</v>
      </c>
      <c r="X63" s="7" t="e">
        <f t="shared" si="72"/>
        <v>#N/A</v>
      </c>
      <c r="Z63" s="5"/>
      <c r="AA63" s="6"/>
      <c r="AB63" s="62"/>
      <c r="AC63" s="62"/>
      <c r="AD63" s="62"/>
      <c r="AE63" s="62"/>
      <c r="AF63" s="62"/>
      <c r="AG63" s="62"/>
      <c r="AH63" s="62"/>
      <c r="AI63" s="62"/>
    </row>
    <row r="64" spans="3:47" x14ac:dyDescent="0.35">
      <c r="C64" s="5"/>
      <c r="D64" s="6" t="s">
        <v>1388</v>
      </c>
      <c r="E64" s="7" t="e">
        <f t="shared" ref="E64:L64" si="73">E43</f>
        <v>#N/A</v>
      </c>
      <c r="F64" s="309" t="e">
        <f>F43</f>
        <v>#N/A</v>
      </c>
      <c r="G64" s="7" t="e">
        <f t="shared" si="73"/>
        <v>#N/A</v>
      </c>
      <c r="H64" s="7" t="e">
        <f t="shared" si="73"/>
        <v>#N/A</v>
      </c>
      <c r="I64" s="7" t="e">
        <f t="shared" si="73"/>
        <v>#N/A</v>
      </c>
      <c r="J64" s="7" t="e">
        <f t="shared" si="73"/>
        <v>#N/A</v>
      </c>
      <c r="K64" s="7" t="e">
        <f t="shared" si="73"/>
        <v>#N/A</v>
      </c>
      <c r="L64" s="7" t="e">
        <f t="shared" si="73"/>
        <v>#N/A</v>
      </c>
      <c r="O64" s="198"/>
      <c r="P64" s="199" t="s">
        <v>1388</v>
      </c>
      <c r="Q64" s="7" t="e">
        <f t="shared" ref="Q64:X64" si="74">Q43</f>
        <v>#N/A</v>
      </c>
      <c r="R64" s="7" t="e">
        <f t="shared" si="74"/>
        <v>#N/A</v>
      </c>
      <c r="S64" s="7" t="e">
        <f t="shared" si="74"/>
        <v>#N/A</v>
      </c>
      <c r="T64" s="7" t="e">
        <f t="shared" si="74"/>
        <v>#N/A</v>
      </c>
      <c r="U64" s="7" t="e">
        <f t="shared" si="74"/>
        <v>#N/A</v>
      </c>
      <c r="V64" s="7" t="e">
        <f t="shared" si="74"/>
        <v>#N/A</v>
      </c>
      <c r="W64" s="7" t="e">
        <f t="shared" si="74"/>
        <v>#N/A</v>
      </c>
      <c r="X64" s="7" t="e">
        <f t="shared" si="74"/>
        <v>#N/A</v>
      </c>
      <c r="Z64" s="5"/>
      <c r="AA64" s="6"/>
      <c r="AB64" s="62"/>
      <c r="AC64" s="62"/>
      <c r="AD64" s="62"/>
      <c r="AE64" s="62"/>
      <c r="AF64" s="62"/>
      <c r="AG64" s="62"/>
      <c r="AH64" s="62"/>
      <c r="AI64" s="62"/>
      <c r="AL64" s="26"/>
      <c r="AM64" s="31"/>
      <c r="AN64" s="13"/>
      <c r="AO64" s="13"/>
      <c r="AP64" s="13"/>
      <c r="AQ64" s="13"/>
      <c r="AR64" s="13"/>
      <c r="AS64" s="13"/>
      <c r="AT64" s="13"/>
      <c r="AU64" s="13"/>
    </row>
    <row r="65" spans="3:47" ht="14.5" thickBot="1" x14ac:dyDescent="0.4">
      <c r="C65" s="5"/>
      <c r="D65" s="6" t="s">
        <v>1389</v>
      </c>
      <c r="E65" s="7" t="e">
        <f t="shared" ref="E65:L65" si="75">E44</f>
        <v>#N/A</v>
      </c>
      <c r="F65" s="7" t="e">
        <f t="shared" si="75"/>
        <v>#N/A</v>
      </c>
      <c r="G65" s="7" t="e">
        <f t="shared" si="75"/>
        <v>#N/A</v>
      </c>
      <c r="H65" s="7" t="e">
        <f t="shared" si="75"/>
        <v>#N/A</v>
      </c>
      <c r="I65" s="7" t="e">
        <f t="shared" si="75"/>
        <v>#N/A</v>
      </c>
      <c r="J65" s="7" t="e">
        <f t="shared" si="75"/>
        <v>#N/A</v>
      </c>
      <c r="K65" s="7" t="e">
        <f t="shared" si="75"/>
        <v>#N/A</v>
      </c>
      <c r="L65" s="7" t="e">
        <f t="shared" si="75"/>
        <v>#N/A</v>
      </c>
      <c r="O65" s="198"/>
      <c r="P65" s="199" t="s">
        <v>1389</v>
      </c>
      <c r="Q65" s="7" t="e">
        <f t="shared" ref="Q65:X65" si="76">Q44</f>
        <v>#N/A</v>
      </c>
      <c r="R65" s="7" t="e">
        <f t="shared" si="76"/>
        <v>#N/A</v>
      </c>
      <c r="S65" s="7" t="e">
        <f t="shared" si="76"/>
        <v>#N/A</v>
      </c>
      <c r="T65" s="7" t="e">
        <f t="shared" si="76"/>
        <v>#N/A</v>
      </c>
      <c r="U65" s="7" t="e">
        <f t="shared" si="76"/>
        <v>#N/A</v>
      </c>
      <c r="V65" s="7" t="e">
        <f t="shared" si="76"/>
        <v>#N/A</v>
      </c>
      <c r="W65" s="7" t="e">
        <f t="shared" si="76"/>
        <v>#N/A</v>
      </c>
      <c r="X65" s="7" t="e">
        <f t="shared" si="76"/>
        <v>#N/A</v>
      </c>
      <c r="Z65" s="8"/>
      <c r="AA65" s="34"/>
      <c r="AB65" s="34"/>
      <c r="AC65" s="34"/>
      <c r="AD65" s="34"/>
      <c r="AE65" s="34"/>
      <c r="AF65" s="34"/>
      <c r="AG65" s="34"/>
      <c r="AH65" s="34"/>
      <c r="AI65" s="34"/>
      <c r="AL65" s="26"/>
      <c r="AM65" s="31" t="s">
        <v>1365</v>
      </c>
      <c r="AN65" s="70"/>
      <c r="AO65" s="13"/>
      <c r="AP65" s="13"/>
      <c r="AQ65" s="13"/>
      <c r="AR65" s="13"/>
      <c r="AS65" s="13"/>
      <c r="AT65" s="13"/>
      <c r="AU65" s="13"/>
    </row>
    <row r="66" spans="3:47" x14ac:dyDescent="0.35">
      <c r="D66" s="2" t="s">
        <v>2284</v>
      </c>
      <c r="E66" s="319" t="e">
        <f>SUM(E63:E65)</f>
        <v>#N/A</v>
      </c>
      <c r="F66" s="319" t="e">
        <f t="shared" ref="F66:L66" si="77">SUM(F63:F65)</f>
        <v>#N/A</v>
      </c>
      <c r="G66" s="319" t="e">
        <f t="shared" si="77"/>
        <v>#N/A</v>
      </c>
      <c r="H66" s="319" t="e">
        <f t="shared" si="77"/>
        <v>#N/A</v>
      </c>
      <c r="I66" s="319" t="e">
        <f t="shared" si="77"/>
        <v>#N/A</v>
      </c>
      <c r="J66" s="319" t="e">
        <f t="shared" si="77"/>
        <v>#N/A</v>
      </c>
      <c r="K66" s="319" t="e">
        <f t="shared" si="77"/>
        <v>#N/A</v>
      </c>
      <c r="L66" s="319" t="e">
        <f t="shared" si="77"/>
        <v>#N/A</v>
      </c>
      <c r="P66" s="328" t="s">
        <v>2284</v>
      </c>
      <c r="Q66" s="319" t="e">
        <f t="shared" ref="Q66:X66" si="78">SUM(Q63:Q65)</f>
        <v>#N/A</v>
      </c>
      <c r="R66" s="319" t="e">
        <f t="shared" si="78"/>
        <v>#N/A</v>
      </c>
      <c r="S66" s="319" t="e">
        <f t="shared" si="78"/>
        <v>#N/A</v>
      </c>
      <c r="T66" s="319" t="e">
        <f t="shared" si="78"/>
        <v>#N/A</v>
      </c>
      <c r="U66" s="319" t="e">
        <f t="shared" si="78"/>
        <v>#N/A</v>
      </c>
      <c r="V66" s="319" t="e">
        <f t="shared" si="78"/>
        <v>#N/A</v>
      </c>
      <c r="W66" s="319" t="e">
        <f t="shared" si="78"/>
        <v>#N/A</v>
      </c>
      <c r="X66" s="319" t="e">
        <f t="shared" si="78"/>
        <v>#N/A</v>
      </c>
      <c r="AL66" s="26" t="s">
        <v>82</v>
      </c>
      <c r="AM66" s="71">
        <f t="shared" ref="AM66:AM91" si="79">1/AM4</f>
        <v>1.0526315789473684E-2</v>
      </c>
      <c r="AN66" s="72" t="e">
        <f t="shared" ref="AN66:AU66" si="80">$AM$66*AN4</f>
        <v>#N/A</v>
      </c>
      <c r="AO66" s="72" t="e">
        <f t="shared" si="80"/>
        <v>#N/A</v>
      </c>
      <c r="AP66" s="72" t="e">
        <f t="shared" si="80"/>
        <v>#N/A</v>
      </c>
      <c r="AQ66" s="72" t="e">
        <f t="shared" si="80"/>
        <v>#N/A</v>
      </c>
      <c r="AR66" s="72" t="e">
        <f t="shared" si="80"/>
        <v>#N/A</v>
      </c>
      <c r="AS66" s="72" t="e">
        <f t="shared" si="80"/>
        <v>#N/A</v>
      </c>
      <c r="AT66" s="72" t="e">
        <f t="shared" si="80"/>
        <v>#N/A</v>
      </c>
      <c r="AU66" s="72" t="e">
        <f t="shared" si="80"/>
        <v>#N/A</v>
      </c>
    </row>
    <row r="67" spans="3:47" ht="14.5" thickBot="1" x14ac:dyDescent="0.4">
      <c r="C67" s="8"/>
      <c r="D67" s="199" t="s">
        <v>2285</v>
      </c>
      <c r="E67" s="34" t="e">
        <f>SUM(E27:E29)/E66</f>
        <v>#N/A</v>
      </c>
      <c r="F67" s="326">
        <v>0</v>
      </c>
      <c r="G67" s="326" t="e">
        <f t="shared" ref="G67:L67" si="81">SUM(G27:G29)/G66</f>
        <v>#N/A</v>
      </c>
      <c r="H67" s="326" t="e">
        <f t="shared" si="81"/>
        <v>#N/A</v>
      </c>
      <c r="I67" s="326" t="e">
        <f t="shared" si="81"/>
        <v>#N/A</v>
      </c>
      <c r="J67" s="326" t="e">
        <f t="shared" si="81"/>
        <v>#N/A</v>
      </c>
      <c r="K67" s="326" t="e">
        <f t="shared" si="81"/>
        <v>#N/A</v>
      </c>
      <c r="L67" s="326" t="e">
        <f t="shared" si="81"/>
        <v>#N/A</v>
      </c>
      <c r="O67" s="8"/>
      <c r="P67" s="329" t="s">
        <v>2285</v>
      </c>
      <c r="Q67" s="332" t="e">
        <f>SUM(Q27:Q29)/Q66</f>
        <v>#N/A</v>
      </c>
      <c r="R67" s="332">
        <v>0</v>
      </c>
      <c r="S67" s="332" t="e">
        <f t="shared" ref="S67:X67" si="82">SUM(S27:S29)/S66</f>
        <v>#N/A</v>
      </c>
      <c r="T67" s="332" t="e">
        <f t="shared" si="82"/>
        <v>#N/A</v>
      </c>
      <c r="U67" s="332" t="e">
        <f t="shared" si="82"/>
        <v>#N/A</v>
      </c>
      <c r="V67" s="332" t="e">
        <f t="shared" si="82"/>
        <v>#N/A</v>
      </c>
      <c r="W67" s="332" t="e">
        <f t="shared" si="82"/>
        <v>#N/A</v>
      </c>
      <c r="X67" s="332" t="e">
        <f t="shared" si="82"/>
        <v>#N/A</v>
      </c>
      <c r="AL67" s="26" t="s">
        <v>83</v>
      </c>
      <c r="AM67" s="71">
        <f t="shared" si="79"/>
        <v>1.0526315789473684E-2</v>
      </c>
      <c r="AN67" s="72" t="e">
        <f t="shared" ref="AN67:AU67" si="83">$AM$67*AN5</f>
        <v>#N/A</v>
      </c>
      <c r="AO67" s="72" t="e">
        <f t="shared" si="83"/>
        <v>#N/A</v>
      </c>
      <c r="AP67" s="72" t="e">
        <f t="shared" si="83"/>
        <v>#N/A</v>
      </c>
      <c r="AQ67" s="72" t="e">
        <f t="shared" si="83"/>
        <v>#N/A</v>
      </c>
      <c r="AR67" s="72" t="e">
        <f t="shared" si="83"/>
        <v>#N/A</v>
      </c>
      <c r="AS67" s="72" t="e">
        <f t="shared" si="83"/>
        <v>#N/A</v>
      </c>
      <c r="AT67" s="72" t="e">
        <f t="shared" si="83"/>
        <v>#N/A</v>
      </c>
      <c r="AU67" s="72" t="e">
        <f t="shared" si="83"/>
        <v>#N/A</v>
      </c>
    </row>
    <row r="68" spans="3:47" x14ac:dyDescent="0.35">
      <c r="AL68" s="26" t="s">
        <v>84</v>
      </c>
      <c r="AM68" s="71">
        <f t="shared" si="79"/>
        <v>6.3291139240506328E-3</v>
      </c>
      <c r="AN68" s="72" t="e">
        <f t="shared" ref="AN68:AU68" si="84">$AM$68*AN6-0.1*$AM$68*$AO$6</f>
        <v>#N/A</v>
      </c>
      <c r="AO68" s="72" t="e">
        <f t="shared" si="84"/>
        <v>#N/A</v>
      </c>
      <c r="AP68" s="72" t="e">
        <f t="shared" si="84"/>
        <v>#N/A</v>
      </c>
      <c r="AQ68" s="72" t="e">
        <f t="shared" si="84"/>
        <v>#N/A</v>
      </c>
      <c r="AR68" s="72" t="e">
        <f t="shared" si="84"/>
        <v>#N/A</v>
      </c>
      <c r="AS68" s="72" t="e">
        <f t="shared" si="84"/>
        <v>#N/A</v>
      </c>
      <c r="AT68" s="72" t="e">
        <f t="shared" si="84"/>
        <v>#N/A</v>
      </c>
      <c r="AU68" s="72" t="e">
        <f t="shared" si="84"/>
        <v>#N/A</v>
      </c>
    </row>
    <row r="69" spans="3:47" x14ac:dyDescent="0.35">
      <c r="AL69" s="26" t="s">
        <v>85</v>
      </c>
      <c r="AM69" s="71">
        <f t="shared" si="79"/>
        <v>6.3291139240506328E-3</v>
      </c>
      <c r="AN69" s="72" t="e">
        <f t="shared" ref="AN69:AU69" si="85">$AM$69*AN7</f>
        <v>#N/A</v>
      </c>
      <c r="AO69" s="72" t="e">
        <f t="shared" si="85"/>
        <v>#N/A</v>
      </c>
      <c r="AP69" s="72" t="e">
        <f t="shared" si="85"/>
        <v>#N/A</v>
      </c>
      <c r="AQ69" s="72" t="e">
        <f t="shared" si="85"/>
        <v>#N/A</v>
      </c>
      <c r="AR69" s="72" t="e">
        <f t="shared" si="85"/>
        <v>#N/A</v>
      </c>
      <c r="AS69" s="72" t="e">
        <f t="shared" si="85"/>
        <v>#N/A</v>
      </c>
      <c r="AT69" s="72" t="e">
        <f t="shared" si="85"/>
        <v>#N/A</v>
      </c>
      <c r="AU69" s="72" t="e">
        <f t="shared" si="85"/>
        <v>#N/A</v>
      </c>
    </row>
    <row r="70" spans="3:47" x14ac:dyDescent="0.35">
      <c r="AL70" s="26" t="s">
        <v>86</v>
      </c>
      <c r="AM70" s="71">
        <f t="shared" si="79"/>
        <v>6.3291139240506328E-3</v>
      </c>
      <c r="AN70" s="72" t="e">
        <f t="shared" ref="AN70:AU70" si="86">$AM$70*AN8</f>
        <v>#N/A</v>
      </c>
      <c r="AO70" s="72" t="e">
        <f t="shared" si="86"/>
        <v>#N/A</v>
      </c>
      <c r="AP70" s="72" t="e">
        <f t="shared" si="86"/>
        <v>#N/A</v>
      </c>
      <c r="AQ70" s="72" t="e">
        <f t="shared" si="86"/>
        <v>#N/A</v>
      </c>
      <c r="AR70" s="72" t="e">
        <f t="shared" si="86"/>
        <v>#N/A</v>
      </c>
      <c r="AS70" s="72" t="e">
        <f t="shared" si="86"/>
        <v>#N/A</v>
      </c>
      <c r="AT70" s="72" t="e">
        <f t="shared" si="86"/>
        <v>#N/A</v>
      </c>
      <c r="AU70" s="72" t="e">
        <f t="shared" si="86"/>
        <v>#N/A</v>
      </c>
    </row>
    <row r="71" spans="3:47" x14ac:dyDescent="0.35">
      <c r="AL71" s="5" t="s">
        <v>87</v>
      </c>
      <c r="AM71" s="71">
        <f t="shared" si="79"/>
        <v>8.771929824561403E-3</v>
      </c>
      <c r="AN71" s="73" t="e">
        <f t="shared" ref="AN71:AU71" si="87">$AM$71*AN9-0.025*$AM$71*$AO$9</f>
        <v>#N/A</v>
      </c>
      <c r="AO71" s="73" t="e">
        <f t="shared" si="87"/>
        <v>#N/A</v>
      </c>
      <c r="AP71" s="73" t="e">
        <f t="shared" si="87"/>
        <v>#N/A</v>
      </c>
      <c r="AQ71" s="73" t="e">
        <f t="shared" si="87"/>
        <v>#N/A</v>
      </c>
      <c r="AR71" s="73" t="e">
        <f t="shared" si="87"/>
        <v>#N/A</v>
      </c>
      <c r="AS71" s="73" t="e">
        <f t="shared" si="87"/>
        <v>#N/A</v>
      </c>
      <c r="AT71" s="73" t="e">
        <f t="shared" si="87"/>
        <v>#N/A</v>
      </c>
      <c r="AU71" s="73" t="e">
        <f t="shared" si="87"/>
        <v>#N/A</v>
      </c>
    </row>
    <row r="72" spans="3:47" x14ac:dyDescent="0.35">
      <c r="AL72" s="5" t="s">
        <v>88</v>
      </c>
      <c r="AM72" s="71">
        <f t="shared" si="79"/>
        <v>8.771929824561403E-3</v>
      </c>
      <c r="AN72" s="73" t="e">
        <f t="shared" ref="AN72:AU72" si="88">$AM$72*AN10</f>
        <v>#N/A</v>
      </c>
      <c r="AO72" s="73" t="e">
        <f t="shared" si="88"/>
        <v>#N/A</v>
      </c>
      <c r="AP72" s="73" t="e">
        <f t="shared" si="88"/>
        <v>#N/A</v>
      </c>
      <c r="AQ72" s="73" t="e">
        <f t="shared" si="88"/>
        <v>#N/A</v>
      </c>
      <c r="AR72" s="73" t="e">
        <f t="shared" si="88"/>
        <v>#N/A</v>
      </c>
      <c r="AS72" s="73" t="e">
        <f t="shared" si="88"/>
        <v>#N/A</v>
      </c>
      <c r="AT72" s="73" t="e">
        <f t="shared" si="88"/>
        <v>#N/A</v>
      </c>
      <c r="AU72" s="73" t="e">
        <f t="shared" si="88"/>
        <v>#N/A</v>
      </c>
    </row>
    <row r="73" spans="3:47" x14ac:dyDescent="0.35">
      <c r="AL73" s="5" t="s">
        <v>89</v>
      </c>
      <c r="AM73" s="71">
        <f t="shared" si="79"/>
        <v>8.771929824561403E-3</v>
      </c>
      <c r="AN73" s="73" t="e">
        <f t="shared" ref="AN73:AU73" si="89">$AM$73*AN11</f>
        <v>#N/A</v>
      </c>
      <c r="AO73" s="73" t="e">
        <f t="shared" si="89"/>
        <v>#N/A</v>
      </c>
      <c r="AP73" s="73" t="e">
        <f t="shared" si="89"/>
        <v>#N/A</v>
      </c>
      <c r="AQ73" s="73" t="e">
        <f t="shared" si="89"/>
        <v>#N/A</v>
      </c>
      <c r="AR73" s="73" t="e">
        <f t="shared" si="89"/>
        <v>#N/A</v>
      </c>
      <c r="AS73" s="73" t="e">
        <f t="shared" si="89"/>
        <v>#N/A</v>
      </c>
      <c r="AT73" s="73" t="e">
        <f t="shared" si="89"/>
        <v>#N/A</v>
      </c>
      <c r="AU73" s="73" t="e">
        <f t="shared" si="89"/>
        <v>#N/A</v>
      </c>
    </row>
    <row r="74" spans="3:47" x14ac:dyDescent="0.35">
      <c r="AL74" s="5" t="s">
        <v>90</v>
      </c>
      <c r="AM74" s="71">
        <f t="shared" si="79"/>
        <v>1.0101010101010102E-2</v>
      </c>
      <c r="AN74" s="73" t="e">
        <f t="shared" ref="AN74:AU74" si="90">$AM$74*AN12</f>
        <v>#N/A</v>
      </c>
      <c r="AO74" s="73" t="e">
        <f t="shared" si="90"/>
        <v>#N/A</v>
      </c>
      <c r="AP74" s="73" t="e">
        <f t="shared" si="90"/>
        <v>#N/A</v>
      </c>
      <c r="AQ74" s="73" t="e">
        <f t="shared" si="90"/>
        <v>#N/A</v>
      </c>
      <c r="AR74" s="73" t="e">
        <f t="shared" si="90"/>
        <v>#N/A</v>
      </c>
      <c r="AS74" s="73" t="e">
        <f t="shared" si="90"/>
        <v>#N/A</v>
      </c>
      <c r="AT74" s="73" t="e">
        <f t="shared" si="90"/>
        <v>#N/A</v>
      </c>
      <c r="AU74" s="73" t="e">
        <f t="shared" si="90"/>
        <v>#N/A</v>
      </c>
    </row>
    <row r="75" spans="3:47" x14ac:dyDescent="0.35">
      <c r="AL75" s="5" t="s">
        <v>91</v>
      </c>
      <c r="AM75" s="71">
        <f t="shared" si="79"/>
        <v>1.0101010101010102E-2</v>
      </c>
      <c r="AN75" s="73" t="e">
        <f t="shared" ref="AN75:AU75" si="91">$AM$75*AN13</f>
        <v>#N/A</v>
      </c>
      <c r="AO75" s="73" t="e">
        <f t="shared" si="91"/>
        <v>#N/A</v>
      </c>
      <c r="AP75" s="73" t="e">
        <f t="shared" si="91"/>
        <v>#N/A</v>
      </c>
      <c r="AQ75" s="73" t="e">
        <f t="shared" si="91"/>
        <v>#N/A</v>
      </c>
      <c r="AR75" s="73" t="e">
        <f t="shared" si="91"/>
        <v>#N/A</v>
      </c>
      <c r="AS75" s="73" t="e">
        <f t="shared" si="91"/>
        <v>#N/A</v>
      </c>
      <c r="AT75" s="73" t="e">
        <f t="shared" si="91"/>
        <v>#N/A</v>
      </c>
      <c r="AU75" s="73" t="e">
        <f t="shared" si="91"/>
        <v>#N/A</v>
      </c>
    </row>
    <row r="76" spans="3:47" x14ac:dyDescent="0.35">
      <c r="AL76" s="5" t="s">
        <v>92</v>
      </c>
      <c r="AM76" s="71">
        <f t="shared" si="79"/>
        <v>5.2910052910052907E-3</v>
      </c>
      <c r="AN76" s="73" t="e">
        <f t="shared" ref="AN76:AU76" si="92">$AM$76*AN14-0.1*$AM$76*$AO$14</f>
        <v>#N/A</v>
      </c>
      <c r="AO76" s="73" t="e">
        <f t="shared" si="92"/>
        <v>#N/A</v>
      </c>
      <c r="AP76" s="73" t="e">
        <f t="shared" si="92"/>
        <v>#N/A</v>
      </c>
      <c r="AQ76" s="73" t="e">
        <f t="shared" si="92"/>
        <v>#N/A</v>
      </c>
      <c r="AR76" s="73" t="e">
        <f t="shared" si="92"/>
        <v>#N/A</v>
      </c>
      <c r="AS76" s="73" t="e">
        <f t="shared" si="92"/>
        <v>#N/A</v>
      </c>
      <c r="AT76" s="73" t="e">
        <f t="shared" si="92"/>
        <v>#N/A</v>
      </c>
      <c r="AU76" s="73" t="e">
        <f t="shared" si="92"/>
        <v>#N/A</v>
      </c>
    </row>
    <row r="77" spans="3:47" x14ac:dyDescent="0.35">
      <c r="AL77" s="5" t="s">
        <v>93</v>
      </c>
      <c r="AM77" s="71">
        <f t="shared" si="79"/>
        <v>5.2910052910052907E-3</v>
      </c>
      <c r="AN77" s="73" t="e">
        <f t="shared" ref="AN77:AU77" si="93">$AM$77*AN15</f>
        <v>#N/A</v>
      </c>
      <c r="AO77" s="73" t="e">
        <f t="shared" si="93"/>
        <v>#N/A</v>
      </c>
      <c r="AP77" s="73" t="e">
        <f t="shared" si="93"/>
        <v>#N/A</v>
      </c>
      <c r="AQ77" s="73" t="e">
        <f t="shared" si="93"/>
        <v>#N/A</v>
      </c>
      <c r="AR77" s="73" t="e">
        <f t="shared" si="93"/>
        <v>#N/A</v>
      </c>
      <c r="AS77" s="73" t="e">
        <f t="shared" si="93"/>
        <v>#N/A</v>
      </c>
      <c r="AT77" s="73" t="e">
        <f t="shared" si="93"/>
        <v>#N/A</v>
      </c>
      <c r="AU77" s="73" t="e">
        <f t="shared" si="93"/>
        <v>#N/A</v>
      </c>
    </row>
    <row r="78" spans="3:47" x14ac:dyDescent="0.35">
      <c r="AL78" s="5" t="s">
        <v>94</v>
      </c>
      <c r="AM78" s="71">
        <f t="shared" si="79"/>
        <v>5.2910052910052907E-3</v>
      </c>
      <c r="AN78" s="73" t="e">
        <f t="shared" ref="AN78:AU78" si="94">$AM$78*AN16</f>
        <v>#N/A</v>
      </c>
      <c r="AO78" s="73" t="e">
        <f t="shared" si="94"/>
        <v>#N/A</v>
      </c>
      <c r="AP78" s="73" t="e">
        <f t="shared" si="94"/>
        <v>#N/A</v>
      </c>
      <c r="AQ78" s="73" t="e">
        <f t="shared" si="94"/>
        <v>#N/A</v>
      </c>
      <c r="AR78" s="73" t="e">
        <f t="shared" si="94"/>
        <v>#N/A</v>
      </c>
      <c r="AS78" s="73" t="e">
        <f t="shared" si="94"/>
        <v>#N/A</v>
      </c>
      <c r="AT78" s="73" t="e">
        <f t="shared" si="94"/>
        <v>#N/A</v>
      </c>
      <c r="AU78" s="73" t="e">
        <f t="shared" si="94"/>
        <v>#N/A</v>
      </c>
    </row>
    <row r="79" spans="3:47" x14ac:dyDescent="0.35">
      <c r="AL79" s="5" t="s">
        <v>95</v>
      </c>
      <c r="AM79" s="71">
        <f t="shared" si="79"/>
        <v>8.0000000000000002E-3</v>
      </c>
      <c r="AN79" s="73" t="e">
        <f t="shared" ref="AN79:AU79" si="95">$AM$79*AN17-0.025*$AM$79*$AO$17</f>
        <v>#N/A</v>
      </c>
      <c r="AO79" s="73" t="e">
        <f t="shared" si="95"/>
        <v>#N/A</v>
      </c>
      <c r="AP79" s="73" t="e">
        <f t="shared" si="95"/>
        <v>#N/A</v>
      </c>
      <c r="AQ79" s="73" t="e">
        <f t="shared" si="95"/>
        <v>#N/A</v>
      </c>
      <c r="AR79" s="73" t="e">
        <f t="shared" si="95"/>
        <v>#N/A</v>
      </c>
      <c r="AS79" s="73" t="e">
        <f t="shared" si="95"/>
        <v>#N/A</v>
      </c>
      <c r="AT79" s="73" t="e">
        <f t="shared" si="95"/>
        <v>#N/A</v>
      </c>
      <c r="AU79" s="73" t="e">
        <f t="shared" si="95"/>
        <v>#N/A</v>
      </c>
    </row>
    <row r="80" spans="3:47" x14ac:dyDescent="0.35">
      <c r="AL80" s="5" t="s">
        <v>96</v>
      </c>
      <c r="AM80" s="71">
        <f t="shared" si="79"/>
        <v>8.0000000000000002E-3</v>
      </c>
      <c r="AN80" s="73" t="e">
        <f t="shared" ref="AN80:AU80" si="96">$AM$80*AN18</f>
        <v>#N/A</v>
      </c>
      <c r="AO80" s="73" t="e">
        <f t="shared" si="96"/>
        <v>#N/A</v>
      </c>
      <c r="AP80" s="73" t="e">
        <f t="shared" si="96"/>
        <v>#N/A</v>
      </c>
      <c r="AQ80" s="73" t="e">
        <f t="shared" si="96"/>
        <v>#N/A</v>
      </c>
      <c r="AR80" s="73" t="e">
        <f t="shared" si="96"/>
        <v>#N/A</v>
      </c>
      <c r="AS80" s="73" t="e">
        <f t="shared" si="96"/>
        <v>#N/A</v>
      </c>
      <c r="AT80" s="73" t="e">
        <f t="shared" si="96"/>
        <v>#N/A</v>
      </c>
      <c r="AU80" s="73" t="e">
        <f t="shared" si="96"/>
        <v>#N/A</v>
      </c>
    </row>
    <row r="81" spans="38:47" x14ac:dyDescent="0.35">
      <c r="AL81" s="5" t="s">
        <v>97</v>
      </c>
      <c r="AM81" s="71">
        <f t="shared" si="79"/>
        <v>8.0000000000000002E-3</v>
      </c>
      <c r="AN81" s="73" t="e">
        <f t="shared" ref="AN81:AU81" si="97">$AM$81*AN19</f>
        <v>#N/A</v>
      </c>
      <c r="AO81" s="73" t="e">
        <f t="shared" si="97"/>
        <v>#N/A</v>
      </c>
      <c r="AP81" s="73" t="e">
        <f t="shared" si="97"/>
        <v>#N/A</v>
      </c>
      <c r="AQ81" s="73" t="e">
        <f t="shared" si="97"/>
        <v>#N/A</v>
      </c>
      <c r="AR81" s="73" t="e">
        <f t="shared" si="97"/>
        <v>#N/A</v>
      </c>
      <c r="AS81" s="73" t="e">
        <f t="shared" si="97"/>
        <v>#N/A</v>
      </c>
      <c r="AT81" s="73" t="e">
        <f t="shared" si="97"/>
        <v>#N/A</v>
      </c>
      <c r="AU81" s="73" t="e">
        <f t="shared" si="97"/>
        <v>#N/A</v>
      </c>
    </row>
    <row r="82" spans="38:47" x14ac:dyDescent="0.35">
      <c r="AL82" s="5" t="s">
        <v>12</v>
      </c>
      <c r="AM82" s="71">
        <f t="shared" si="79"/>
        <v>4.5454545454545452E-3</v>
      </c>
      <c r="AN82" s="73" t="e">
        <f t="shared" ref="AN82:AU82" si="98">$AM$82*AN20-0.1*$AM$82*$AO$20</f>
        <v>#N/A</v>
      </c>
      <c r="AO82" s="73" t="e">
        <f t="shared" si="98"/>
        <v>#N/A</v>
      </c>
      <c r="AP82" s="73" t="e">
        <f t="shared" si="98"/>
        <v>#N/A</v>
      </c>
      <c r="AQ82" s="73" t="e">
        <f t="shared" si="98"/>
        <v>#N/A</v>
      </c>
      <c r="AR82" s="73" t="e">
        <f t="shared" si="98"/>
        <v>#N/A</v>
      </c>
      <c r="AS82" s="73" t="e">
        <f t="shared" si="98"/>
        <v>#N/A</v>
      </c>
      <c r="AT82" s="73" t="e">
        <f t="shared" si="98"/>
        <v>#N/A</v>
      </c>
      <c r="AU82" s="73" t="e">
        <f t="shared" si="98"/>
        <v>#N/A</v>
      </c>
    </row>
    <row r="83" spans="38:47" x14ac:dyDescent="0.35">
      <c r="AL83" s="5" t="s">
        <v>98</v>
      </c>
      <c r="AM83" s="71">
        <f t="shared" si="79"/>
        <v>6.1349693251533744E-3</v>
      </c>
      <c r="AN83" s="73" t="e">
        <f t="shared" ref="AN83:AU83" si="99">$AM$83*AN21</f>
        <v>#N/A</v>
      </c>
      <c r="AO83" s="73" t="e">
        <f t="shared" si="99"/>
        <v>#N/A</v>
      </c>
      <c r="AP83" s="73" t="e">
        <f t="shared" si="99"/>
        <v>#N/A</v>
      </c>
      <c r="AQ83" s="73" t="e">
        <f t="shared" si="99"/>
        <v>#N/A</v>
      </c>
      <c r="AR83" s="73" t="e">
        <f t="shared" si="99"/>
        <v>#N/A</v>
      </c>
      <c r="AS83" s="73" t="e">
        <f t="shared" si="99"/>
        <v>#N/A</v>
      </c>
      <c r="AT83" s="73" t="e">
        <f t="shared" si="99"/>
        <v>#N/A</v>
      </c>
      <c r="AU83" s="73" t="e">
        <f t="shared" si="99"/>
        <v>#N/A</v>
      </c>
    </row>
    <row r="84" spans="38:47" x14ac:dyDescent="0.35">
      <c r="AL84" s="5" t="s">
        <v>99</v>
      </c>
      <c r="AM84" s="71">
        <f t="shared" si="79"/>
        <v>6.1349693251533744E-3</v>
      </c>
      <c r="AN84" s="73" t="e">
        <f t="shared" ref="AN84:AU84" si="100">$AM$84*AN22</f>
        <v>#N/A</v>
      </c>
      <c r="AO84" s="73" t="e">
        <f t="shared" si="100"/>
        <v>#N/A</v>
      </c>
      <c r="AP84" s="73" t="e">
        <f t="shared" si="100"/>
        <v>#N/A</v>
      </c>
      <c r="AQ84" s="73" t="e">
        <f t="shared" si="100"/>
        <v>#N/A</v>
      </c>
      <c r="AR84" s="73" t="e">
        <f t="shared" si="100"/>
        <v>#N/A</v>
      </c>
      <c r="AS84" s="73" t="e">
        <f t="shared" si="100"/>
        <v>#N/A</v>
      </c>
      <c r="AT84" s="73" t="e">
        <f t="shared" si="100"/>
        <v>#N/A</v>
      </c>
      <c r="AU84" s="73" t="e">
        <f t="shared" si="100"/>
        <v>#N/A</v>
      </c>
    </row>
    <row r="85" spans="38:47" x14ac:dyDescent="0.35">
      <c r="AL85" s="5" t="s">
        <v>100</v>
      </c>
      <c r="AM85" s="71">
        <f t="shared" si="79"/>
        <v>4.5454545454545452E-3</v>
      </c>
      <c r="AN85" s="73" t="e">
        <f t="shared" ref="AN85:AU85" si="101">$AM$85*AN23</f>
        <v>#N/A</v>
      </c>
      <c r="AO85" s="73" t="e">
        <f t="shared" si="101"/>
        <v>#N/A</v>
      </c>
      <c r="AP85" s="73" t="e">
        <f t="shared" si="101"/>
        <v>#N/A</v>
      </c>
      <c r="AQ85" s="73" t="e">
        <f t="shared" si="101"/>
        <v>#N/A</v>
      </c>
      <c r="AR85" s="73" t="e">
        <f t="shared" si="101"/>
        <v>#N/A</v>
      </c>
      <c r="AS85" s="73" t="e">
        <f t="shared" si="101"/>
        <v>#N/A</v>
      </c>
      <c r="AT85" s="73" t="e">
        <f t="shared" si="101"/>
        <v>#N/A</v>
      </c>
      <c r="AU85" s="73" t="e">
        <f t="shared" si="101"/>
        <v>#N/A</v>
      </c>
    </row>
    <row r="86" spans="38:47" x14ac:dyDescent="0.35">
      <c r="AL86" s="5" t="s">
        <v>101</v>
      </c>
      <c r="AM86" s="71">
        <f t="shared" si="79"/>
        <v>4.5454545454545452E-3</v>
      </c>
      <c r="AN86" s="73" t="e">
        <f t="shared" ref="AN86:AU86" si="102">$AM$86*AN24</f>
        <v>#N/A</v>
      </c>
      <c r="AO86" s="73" t="e">
        <f t="shared" si="102"/>
        <v>#N/A</v>
      </c>
      <c r="AP86" s="73" t="e">
        <f t="shared" si="102"/>
        <v>#N/A</v>
      </c>
      <c r="AQ86" s="73" t="e">
        <f t="shared" si="102"/>
        <v>#N/A</v>
      </c>
      <c r="AR86" s="73" t="e">
        <f t="shared" si="102"/>
        <v>#N/A</v>
      </c>
      <c r="AS86" s="73" t="e">
        <f t="shared" si="102"/>
        <v>#N/A</v>
      </c>
      <c r="AT86" s="73" t="e">
        <f t="shared" si="102"/>
        <v>#N/A</v>
      </c>
      <c r="AU86" s="73" t="e">
        <f t="shared" si="102"/>
        <v>#N/A</v>
      </c>
    </row>
    <row r="87" spans="38:47" x14ac:dyDescent="0.35">
      <c r="AL87" s="5" t="s">
        <v>11</v>
      </c>
      <c r="AM87" s="71">
        <f t="shared" si="79"/>
        <v>6.8965517241379309E-3</v>
      </c>
      <c r="AN87" s="73" t="e">
        <f t="shared" ref="AN87:AU87" si="103">$AM$87*AN25-0.1*$AM$87*$AO$25</f>
        <v>#N/A</v>
      </c>
      <c r="AO87" s="73" t="e">
        <f t="shared" si="103"/>
        <v>#N/A</v>
      </c>
      <c r="AP87" s="73" t="e">
        <f t="shared" si="103"/>
        <v>#N/A</v>
      </c>
      <c r="AQ87" s="73" t="e">
        <f t="shared" si="103"/>
        <v>#N/A</v>
      </c>
      <c r="AR87" s="73" t="e">
        <f t="shared" si="103"/>
        <v>#N/A</v>
      </c>
      <c r="AS87" s="73" t="e">
        <f t="shared" si="103"/>
        <v>#N/A</v>
      </c>
      <c r="AT87" s="73" t="e">
        <f t="shared" si="103"/>
        <v>#N/A</v>
      </c>
      <c r="AU87" s="73" t="e">
        <f t="shared" si="103"/>
        <v>#N/A</v>
      </c>
    </row>
    <row r="88" spans="38:47" x14ac:dyDescent="0.35">
      <c r="AL88" s="5" t="s">
        <v>102</v>
      </c>
      <c r="AM88" s="71">
        <f t="shared" si="79"/>
        <v>1.0309278350515464E-2</v>
      </c>
      <c r="AN88" s="73" t="e">
        <f t="shared" ref="AN88:AU88" si="104">$AM$88*AN26</f>
        <v>#N/A</v>
      </c>
      <c r="AO88" s="73" t="e">
        <f t="shared" si="104"/>
        <v>#N/A</v>
      </c>
      <c r="AP88" s="73" t="e">
        <f t="shared" si="104"/>
        <v>#N/A</v>
      </c>
      <c r="AQ88" s="73" t="e">
        <f t="shared" si="104"/>
        <v>#N/A</v>
      </c>
      <c r="AR88" s="73" t="e">
        <f t="shared" si="104"/>
        <v>#N/A</v>
      </c>
      <c r="AS88" s="73" t="e">
        <f t="shared" si="104"/>
        <v>#N/A</v>
      </c>
      <c r="AT88" s="73" t="e">
        <f t="shared" si="104"/>
        <v>#N/A</v>
      </c>
      <c r="AU88" s="73" t="e">
        <f t="shared" si="104"/>
        <v>#N/A</v>
      </c>
    </row>
    <row r="89" spans="38:47" x14ac:dyDescent="0.35">
      <c r="AL89" s="5" t="s">
        <v>103</v>
      </c>
      <c r="AM89" s="71">
        <f t="shared" si="79"/>
        <v>1.0309278350515464E-2</v>
      </c>
      <c r="AN89" s="73" t="e">
        <f t="shared" ref="AN89:AU89" si="105">$AM$89*AN27</f>
        <v>#N/A</v>
      </c>
      <c r="AO89" s="73" t="e">
        <f t="shared" si="105"/>
        <v>#N/A</v>
      </c>
      <c r="AP89" s="73" t="e">
        <f t="shared" si="105"/>
        <v>#N/A</v>
      </c>
      <c r="AQ89" s="73" t="e">
        <f t="shared" si="105"/>
        <v>#N/A</v>
      </c>
      <c r="AR89" s="73" t="e">
        <f t="shared" si="105"/>
        <v>#N/A</v>
      </c>
      <c r="AS89" s="73" t="e">
        <f t="shared" si="105"/>
        <v>#N/A</v>
      </c>
      <c r="AT89" s="73" t="e">
        <f t="shared" si="105"/>
        <v>#N/A</v>
      </c>
      <c r="AU89" s="73" t="e">
        <f t="shared" si="105"/>
        <v>#N/A</v>
      </c>
    </row>
    <row r="90" spans="38:47" x14ac:dyDescent="0.35">
      <c r="AL90" s="5" t="s">
        <v>104</v>
      </c>
      <c r="AM90" s="71">
        <f t="shared" si="79"/>
        <v>6.8965517241379309E-3</v>
      </c>
      <c r="AN90" s="73" t="e">
        <f t="shared" ref="AN90:AU90" si="106">$AM$90*AN28</f>
        <v>#N/A</v>
      </c>
      <c r="AO90" s="73" t="e">
        <f t="shared" si="106"/>
        <v>#N/A</v>
      </c>
      <c r="AP90" s="73" t="e">
        <f t="shared" si="106"/>
        <v>#N/A</v>
      </c>
      <c r="AQ90" s="73" t="e">
        <f t="shared" si="106"/>
        <v>#N/A</v>
      </c>
      <c r="AR90" s="73" t="e">
        <f t="shared" si="106"/>
        <v>#N/A</v>
      </c>
      <c r="AS90" s="73" t="e">
        <f t="shared" si="106"/>
        <v>#N/A</v>
      </c>
      <c r="AT90" s="73" t="e">
        <f t="shared" si="106"/>
        <v>#N/A</v>
      </c>
      <c r="AU90" s="73" t="e">
        <f t="shared" si="106"/>
        <v>#N/A</v>
      </c>
    </row>
    <row r="91" spans="38:47" x14ac:dyDescent="0.35">
      <c r="AL91" s="5" t="s">
        <v>105</v>
      </c>
      <c r="AM91" s="71">
        <f t="shared" si="79"/>
        <v>6.8965517241379309E-3</v>
      </c>
      <c r="AN91" s="73" t="e">
        <f t="shared" ref="AN91:AU91" si="107">$AM$91*AN29</f>
        <v>#N/A</v>
      </c>
      <c r="AO91" s="73" t="e">
        <f t="shared" si="107"/>
        <v>#N/A</v>
      </c>
      <c r="AP91" s="73" t="e">
        <f t="shared" si="107"/>
        <v>#N/A</v>
      </c>
      <c r="AQ91" s="73" t="e">
        <f t="shared" si="107"/>
        <v>#N/A</v>
      </c>
      <c r="AR91" s="73" t="e">
        <f t="shared" si="107"/>
        <v>#N/A</v>
      </c>
      <c r="AS91" s="73" t="e">
        <f t="shared" si="107"/>
        <v>#N/A</v>
      </c>
      <c r="AT91" s="73" t="e">
        <f t="shared" si="107"/>
        <v>#N/A</v>
      </c>
      <c r="AU91" s="73" t="e">
        <f t="shared" si="107"/>
        <v>#N/A</v>
      </c>
    </row>
    <row r="92" spans="38:47" x14ac:dyDescent="0.35">
      <c r="AL92" s="5"/>
      <c r="AM92" s="6"/>
      <c r="AN92" s="6"/>
      <c r="AO92" s="6" t="e">
        <f>0.1*(AO68+AO76+AO82+AO87)+0.025*(AO71+AO79)</f>
        <v>#N/A</v>
      </c>
      <c r="AP92" s="6"/>
      <c r="AQ92" s="6"/>
      <c r="AR92" s="6"/>
      <c r="AS92" s="6"/>
      <c r="AT92" s="6"/>
      <c r="AU92" s="6"/>
    </row>
    <row r="93" spans="38:47" x14ac:dyDescent="0.35">
      <c r="AL93" s="5"/>
      <c r="AM93" s="6" t="s">
        <v>1391</v>
      </c>
      <c r="AN93" s="6"/>
      <c r="AO93" s="6">
        <v>1962</v>
      </c>
      <c r="AP93" s="6"/>
      <c r="AQ93" s="6"/>
      <c r="AR93" s="6"/>
      <c r="AS93" s="6"/>
      <c r="AT93" s="6"/>
      <c r="AU93" s="6"/>
    </row>
    <row r="94" spans="38:47" x14ac:dyDescent="0.35">
      <c r="AL94" s="5"/>
      <c r="AM94" s="6"/>
      <c r="AN94" s="6"/>
      <c r="AO94" s="6"/>
      <c r="AP94" s="6"/>
      <c r="AQ94" s="6"/>
      <c r="AR94" s="6"/>
      <c r="AS94" s="6"/>
      <c r="AT94" s="6"/>
      <c r="AU94" s="6"/>
    </row>
    <row r="95" spans="38:47" x14ac:dyDescent="0.35">
      <c r="AL95" s="5"/>
      <c r="AM95" s="6"/>
      <c r="AN95" s="81" t="s">
        <v>2689</v>
      </c>
      <c r="AO95" s="6"/>
      <c r="AP95" s="6"/>
      <c r="AQ95" s="6"/>
      <c r="AR95" s="6"/>
      <c r="AS95" s="6"/>
      <c r="AT95" s="6"/>
      <c r="AU95" s="6"/>
    </row>
    <row r="96" spans="38:47" x14ac:dyDescent="0.35">
      <c r="AL96" s="191" t="s">
        <v>2223</v>
      </c>
      <c r="AM96" s="191" t="s">
        <v>2224</v>
      </c>
      <c r="AN96" s="308" t="e">
        <f t="shared" ref="AN96:AU96" si="108">$AO$92/SUM($AO$66:$AO$92)</f>
        <v>#N/A</v>
      </c>
      <c r="AO96" s="308" t="e">
        <f t="shared" si="108"/>
        <v>#N/A</v>
      </c>
      <c r="AP96" s="308" t="e">
        <f t="shared" si="108"/>
        <v>#N/A</v>
      </c>
      <c r="AQ96" s="308" t="e">
        <f t="shared" si="108"/>
        <v>#N/A</v>
      </c>
      <c r="AR96" s="308" t="e">
        <f t="shared" si="108"/>
        <v>#N/A</v>
      </c>
      <c r="AS96" s="308" t="e">
        <f t="shared" si="108"/>
        <v>#N/A</v>
      </c>
      <c r="AT96" s="308" t="e">
        <f t="shared" si="108"/>
        <v>#N/A</v>
      </c>
      <c r="AU96" s="308" t="e">
        <f t="shared" si="108"/>
        <v>#N/A</v>
      </c>
    </row>
    <row r="97" spans="38:47" x14ac:dyDescent="0.35">
      <c r="AL97" s="198" t="s">
        <v>2282</v>
      </c>
      <c r="AM97" s="199" t="s">
        <v>2283</v>
      </c>
      <c r="AN97" s="62" t="e">
        <f t="shared" ref="AN97:AU97" si="109">(AN68+AN71+AN76+AN79+AN82+AN87)/SUM($AO$66:$AO$92)</f>
        <v>#N/A</v>
      </c>
      <c r="AO97" s="62" t="e">
        <f t="shared" si="109"/>
        <v>#N/A</v>
      </c>
      <c r="AP97" s="62" t="e">
        <f t="shared" si="109"/>
        <v>#N/A</v>
      </c>
      <c r="AQ97" s="62" t="e">
        <f t="shared" si="109"/>
        <v>#N/A</v>
      </c>
      <c r="AR97" s="62" t="e">
        <f t="shared" si="109"/>
        <v>#N/A</v>
      </c>
      <c r="AS97" s="62" t="e">
        <f t="shared" si="109"/>
        <v>#N/A</v>
      </c>
      <c r="AT97" s="62" t="e">
        <f t="shared" si="109"/>
        <v>#N/A</v>
      </c>
      <c r="AU97" s="62" t="e">
        <f t="shared" si="109"/>
        <v>#N/A</v>
      </c>
    </row>
    <row r="98" spans="38:47" x14ac:dyDescent="0.35">
      <c r="AL98" s="198" t="s">
        <v>1913</v>
      </c>
      <c r="AM98" s="199" t="s">
        <v>2221</v>
      </c>
      <c r="AN98" s="62" t="e">
        <f t="shared" ref="AN98:AU98" si="110">(AN69+AN72+AN77+AN80+AN83+AN88)/SUM($AO$66:$AO$92)</f>
        <v>#N/A</v>
      </c>
      <c r="AO98" s="62" t="e">
        <f t="shared" si="110"/>
        <v>#N/A</v>
      </c>
      <c r="AP98" s="62" t="e">
        <f t="shared" si="110"/>
        <v>#N/A</v>
      </c>
      <c r="AQ98" s="62" t="e">
        <f t="shared" si="110"/>
        <v>#N/A</v>
      </c>
      <c r="AR98" s="62" t="e">
        <f t="shared" si="110"/>
        <v>#N/A</v>
      </c>
      <c r="AS98" s="62" t="e">
        <f t="shared" si="110"/>
        <v>#N/A</v>
      </c>
      <c r="AT98" s="62" t="e">
        <f t="shared" si="110"/>
        <v>#N/A</v>
      </c>
      <c r="AU98" s="62" t="e">
        <f t="shared" si="110"/>
        <v>#N/A</v>
      </c>
    </row>
    <row r="99" spans="38:47" x14ac:dyDescent="0.35">
      <c r="AL99" s="198" t="s">
        <v>1914</v>
      </c>
      <c r="AM99" s="199" t="s">
        <v>2222</v>
      </c>
      <c r="AN99" s="62" t="e">
        <f t="shared" ref="AN99:AU99" si="111">(AN70+AN73+AN78+AN81+AN84+AN89)/SUM($AO$66:$AO$92)</f>
        <v>#N/A</v>
      </c>
      <c r="AO99" s="62" t="e">
        <f t="shared" si="111"/>
        <v>#N/A</v>
      </c>
      <c r="AP99" s="62" t="e">
        <f t="shared" si="111"/>
        <v>#N/A</v>
      </c>
      <c r="AQ99" s="62" t="e">
        <f t="shared" si="111"/>
        <v>#N/A</v>
      </c>
      <c r="AR99" s="62" t="e">
        <f t="shared" si="111"/>
        <v>#N/A</v>
      </c>
      <c r="AS99" s="62" t="e">
        <f t="shared" si="111"/>
        <v>#N/A</v>
      </c>
      <c r="AT99" s="62" t="e">
        <f t="shared" si="111"/>
        <v>#N/A</v>
      </c>
      <c r="AU99" s="62" t="e">
        <f t="shared" si="111"/>
        <v>#N/A</v>
      </c>
    </row>
    <row r="100" spans="38:47" x14ac:dyDescent="0.35">
      <c r="AL100" s="198"/>
      <c r="AM100" s="199"/>
      <c r="AN100" s="6"/>
      <c r="AO100" s="6"/>
      <c r="AP100" s="6"/>
      <c r="AQ100" s="6"/>
      <c r="AR100" s="6"/>
      <c r="AS100" s="6"/>
      <c r="AT100" s="6"/>
      <c r="AU100" s="6"/>
    </row>
    <row r="101" spans="38:47" x14ac:dyDescent="0.35">
      <c r="AL101" s="198"/>
      <c r="AM101" s="199" t="s">
        <v>1385</v>
      </c>
      <c r="AN101" s="67" t="s">
        <v>1347</v>
      </c>
      <c r="AO101" s="6"/>
      <c r="AP101" s="6"/>
      <c r="AQ101" s="6"/>
      <c r="AR101" s="6"/>
      <c r="AS101" s="6"/>
      <c r="AT101" s="6"/>
      <c r="AU101" s="6"/>
    </row>
    <row r="102" spans="38:47" x14ac:dyDescent="0.35">
      <c r="AL102" s="191" t="s">
        <v>2223</v>
      </c>
      <c r="AM102" s="191" t="s">
        <v>2224</v>
      </c>
      <c r="AN102" s="200" t="e">
        <f t="shared" ref="AN102:AU102" si="112">AN96*$AO$93</f>
        <v>#N/A</v>
      </c>
      <c r="AO102" s="200" t="e">
        <f t="shared" si="112"/>
        <v>#N/A</v>
      </c>
      <c r="AP102" s="200" t="e">
        <f t="shared" si="112"/>
        <v>#N/A</v>
      </c>
      <c r="AQ102" s="200" t="e">
        <f t="shared" si="112"/>
        <v>#N/A</v>
      </c>
      <c r="AR102" s="200" t="e">
        <f t="shared" si="112"/>
        <v>#N/A</v>
      </c>
      <c r="AS102" s="200" t="e">
        <f t="shared" si="112"/>
        <v>#N/A</v>
      </c>
      <c r="AT102" s="200" t="e">
        <f t="shared" si="112"/>
        <v>#N/A</v>
      </c>
      <c r="AU102" s="200" t="e">
        <f t="shared" si="112"/>
        <v>#N/A</v>
      </c>
    </row>
    <row r="103" spans="38:47" x14ac:dyDescent="0.35">
      <c r="AL103" s="198" t="s">
        <v>2282</v>
      </c>
      <c r="AM103" s="199" t="s">
        <v>2283</v>
      </c>
      <c r="AN103" s="7" t="e">
        <f t="shared" ref="AN103:AU103" si="113">AN97*$AO$93</f>
        <v>#N/A</v>
      </c>
      <c r="AO103" s="7" t="e">
        <f t="shared" si="113"/>
        <v>#N/A</v>
      </c>
      <c r="AP103" s="7" t="e">
        <f t="shared" si="113"/>
        <v>#N/A</v>
      </c>
      <c r="AQ103" s="7" t="e">
        <f t="shared" si="113"/>
        <v>#N/A</v>
      </c>
      <c r="AR103" s="7" t="e">
        <f t="shared" si="113"/>
        <v>#N/A</v>
      </c>
      <c r="AS103" s="7" t="e">
        <f t="shared" si="113"/>
        <v>#N/A</v>
      </c>
      <c r="AT103" s="7" t="e">
        <f t="shared" si="113"/>
        <v>#N/A</v>
      </c>
      <c r="AU103" s="7" t="e">
        <f t="shared" si="113"/>
        <v>#N/A</v>
      </c>
    </row>
    <row r="104" spans="38:47" x14ac:dyDescent="0.35">
      <c r="AL104" s="198" t="s">
        <v>1913</v>
      </c>
      <c r="AM104" s="199" t="s">
        <v>2221</v>
      </c>
      <c r="AN104" s="7" t="e">
        <f t="shared" ref="AN104:AU104" si="114">AN98*$AO$93</f>
        <v>#N/A</v>
      </c>
      <c r="AO104" s="7" t="e">
        <f t="shared" si="114"/>
        <v>#N/A</v>
      </c>
      <c r="AP104" s="7" t="e">
        <f t="shared" si="114"/>
        <v>#N/A</v>
      </c>
      <c r="AQ104" s="7" t="e">
        <f t="shared" si="114"/>
        <v>#N/A</v>
      </c>
      <c r="AR104" s="7" t="e">
        <f t="shared" si="114"/>
        <v>#N/A</v>
      </c>
      <c r="AS104" s="7" t="e">
        <f t="shared" si="114"/>
        <v>#N/A</v>
      </c>
      <c r="AT104" s="7" t="e">
        <f t="shared" si="114"/>
        <v>#N/A</v>
      </c>
      <c r="AU104" s="7" t="e">
        <f t="shared" si="114"/>
        <v>#N/A</v>
      </c>
    </row>
    <row r="105" spans="38:47" x14ac:dyDescent="0.35">
      <c r="AL105" s="198" t="s">
        <v>1914</v>
      </c>
      <c r="AM105" s="199" t="s">
        <v>2222</v>
      </c>
      <c r="AN105" s="7" t="e">
        <f t="shared" ref="AN105:AU105" si="115">AN99*$AO$93</f>
        <v>#N/A</v>
      </c>
      <c r="AO105" s="7" t="e">
        <f t="shared" si="115"/>
        <v>#N/A</v>
      </c>
      <c r="AP105" s="7" t="e">
        <f t="shared" si="115"/>
        <v>#N/A</v>
      </c>
      <c r="AQ105" s="7" t="e">
        <f t="shared" si="115"/>
        <v>#N/A</v>
      </c>
      <c r="AR105" s="7" t="e">
        <f t="shared" si="115"/>
        <v>#N/A</v>
      </c>
      <c r="AS105" s="7" t="e">
        <f t="shared" si="115"/>
        <v>#N/A</v>
      </c>
      <c r="AT105" s="7" t="e">
        <f t="shared" si="115"/>
        <v>#N/A</v>
      </c>
      <c r="AU105" s="7" t="e">
        <f t="shared" si="115"/>
        <v>#N/A</v>
      </c>
    </row>
    <row r="106" spans="38:47" x14ac:dyDescent="0.35">
      <c r="AL106" s="5"/>
      <c r="AM106" s="344" t="s">
        <v>2284</v>
      </c>
      <c r="AN106" s="351" t="e">
        <f t="shared" ref="AN106:AU106" si="116">SUM(AN102:AN105)</f>
        <v>#N/A</v>
      </c>
      <c r="AO106" s="351" t="e">
        <f t="shared" si="116"/>
        <v>#N/A</v>
      </c>
      <c r="AP106" s="351" t="e">
        <f t="shared" si="116"/>
        <v>#N/A</v>
      </c>
      <c r="AQ106" s="351" t="e">
        <f t="shared" si="116"/>
        <v>#N/A</v>
      </c>
      <c r="AR106" s="351" t="e">
        <f t="shared" si="116"/>
        <v>#N/A</v>
      </c>
      <c r="AS106" s="351" t="e">
        <f t="shared" si="116"/>
        <v>#N/A</v>
      </c>
      <c r="AT106" s="351" t="e">
        <f t="shared" si="116"/>
        <v>#N/A</v>
      </c>
      <c r="AU106" s="351" t="e">
        <f t="shared" si="116"/>
        <v>#N/A</v>
      </c>
    </row>
    <row r="107" spans="38:47" x14ac:dyDescent="0.35">
      <c r="AL107" s="5"/>
      <c r="AM107" s="344" t="s">
        <v>2285</v>
      </c>
      <c r="AN107" s="344" t="e">
        <f>SUM(AN32:AN49)/AN106</f>
        <v>#N/A</v>
      </c>
      <c r="AO107" s="344" t="e">
        <f t="shared" ref="AO107:AU107" si="117">SUM(AO32:AO49)/AO106</f>
        <v>#N/A</v>
      </c>
      <c r="AP107" s="344" t="e">
        <f t="shared" si="117"/>
        <v>#N/A</v>
      </c>
      <c r="AQ107" s="344" t="e">
        <f t="shared" si="117"/>
        <v>#N/A</v>
      </c>
      <c r="AR107" s="344" t="e">
        <f t="shared" si="117"/>
        <v>#N/A</v>
      </c>
      <c r="AS107" s="344" t="e">
        <f t="shared" si="117"/>
        <v>#N/A</v>
      </c>
      <c r="AT107" s="344" t="e">
        <f t="shared" si="117"/>
        <v>#N/A</v>
      </c>
      <c r="AU107" s="344" t="e">
        <f t="shared" si="117"/>
        <v>#N/A</v>
      </c>
    </row>
    <row r="108" spans="38:47" x14ac:dyDescent="0.35">
      <c r="AL108" s="5"/>
      <c r="AM108" s="6"/>
      <c r="AN108" s="6"/>
      <c r="AO108" s="6"/>
      <c r="AP108" s="6"/>
      <c r="AQ108" s="6"/>
      <c r="AR108" s="6"/>
      <c r="AS108" s="6"/>
      <c r="AT108" s="6"/>
      <c r="AU108" s="6"/>
    </row>
    <row r="109" spans="38:47" x14ac:dyDescent="0.35">
      <c r="AL109" s="198" t="s">
        <v>1915</v>
      </c>
      <c r="AM109" s="199" t="s">
        <v>1915</v>
      </c>
      <c r="AN109" s="74" t="e">
        <f t="shared" ref="AN109:AU109" si="118">AN66+AN74+AN83+AN88</f>
        <v>#N/A</v>
      </c>
      <c r="AO109" s="74" t="e">
        <f t="shared" si="118"/>
        <v>#N/A</v>
      </c>
      <c r="AP109" s="74" t="e">
        <f t="shared" si="118"/>
        <v>#N/A</v>
      </c>
      <c r="AQ109" s="74" t="e">
        <f t="shared" si="118"/>
        <v>#N/A</v>
      </c>
      <c r="AR109" s="74" t="e">
        <f t="shared" si="118"/>
        <v>#N/A</v>
      </c>
      <c r="AS109" s="74" t="e">
        <f t="shared" si="118"/>
        <v>#N/A</v>
      </c>
      <c r="AT109" s="74" t="e">
        <f t="shared" si="118"/>
        <v>#N/A</v>
      </c>
      <c r="AU109" s="74" t="e">
        <f t="shared" si="118"/>
        <v>#N/A</v>
      </c>
    </row>
    <row r="110" spans="38:47" x14ac:dyDescent="0.35">
      <c r="AL110" s="198" t="s">
        <v>2238</v>
      </c>
      <c r="AM110" s="199" t="s">
        <v>2237</v>
      </c>
      <c r="AN110" s="74" t="e">
        <f t="shared" ref="AN110:AU110" si="119">AN67+AN75+AN84+AN89</f>
        <v>#N/A</v>
      </c>
      <c r="AO110" s="74" t="e">
        <f t="shared" si="119"/>
        <v>#N/A</v>
      </c>
      <c r="AP110" s="74" t="e">
        <f t="shared" si="119"/>
        <v>#N/A</v>
      </c>
      <c r="AQ110" s="74" t="e">
        <f t="shared" si="119"/>
        <v>#N/A</v>
      </c>
      <c r="AR110" s="74" t="e">
        <f t="shared" si="119"/>
        <v>#N/A</v>
      </c>
      <c r="AS110" s="74" t="e">
        <f t="shared" si="119"/>
        <v>#N/A</v>
      </c>
      <c r="AT110" s="74" t="e">
        <f t="shared" si="119"/>
        <v>#N/A</v>
      </c>
      <c r="AU110" s="74" t="e">
        <f t="shared" si="119"/>
        <v>#N/A</v>
      </c>
    </row>
    <row r="111" spans="38:47" x14ac:dyDescent="0.35">
      <c r="AL111" s="5"/>
      <c r="AM111" s="342" t="s">
        <v>2284</v>
      </c>
      <c r="AN111" s="319" t="e">
        <f>SUM(AN109:AN110)</f>
        <v>#N/A</v>
      </c>
      <c r="AO111" s="319" t="e">
        <f t="shared" ref="AO111:AU111" si="120">SUM(AO109:AO110)</f>
        <v>#N/A</v>
      </c>
      <c r="AP111" s="319" t="e">
        <f t="shared" si="120"/>
        <v>#N/A</v>
      </c>
      <c r="AQ111" s="319" t="e">
        <f t="shared" si="120"/>
        <v>#N/A</v>
      </c>
      <c r="AR111" s="319" t="e">
        <f t="shared" si="120"/>
        <v>#N/A</v>
      </c>
      <c r="AS111" s="319" t="e">
        <f t="shared" si="120"/>
        <v>#N/A</v>
      </c>
      <c r="AT111" s="319" t="e">
        <f t="shared" si="120"/>
        <v>#N/A</v>
      </c>
      <c r="AU111" s="319" t="e">
        <f t="shared" si="120"/>
        <v>#N/A</v>
      </c>
    </row>
    <row r="112" spans="38:47" x14ac:dyDescent="0.35">
      <c r="AL112" s="5"/>
      <c r="AM112" s="344" t="s">
        <v>2285</v>
      </c>
      <c r="AN112" s="344" t="e">
        <f>SUM(AN50:AN57)/AN111</f>
        <v>#N/A</v>
      </c>
      <c r="AO112" s="344">
        <v>0</v>
      </c>
      <c r="AP112" s="344" t="e">
        <f t="shared" ref="AP112:AU112" si="121">SUM(AP50:AP57)/AP111</f>
        <v>#N/A</v>
      </c>
      <c r="AQ112" s="344" t="e">
        <f t="shared" si="121"/>
        <v>#N/A</v>
      </c>
      <c r="AR112" s="344" t="e">
        <f t="shared" si="121"/>
        <v>#N/A</v>
      </c>
      <c r="AS112" s="344" t="e">
        <f t="shared" si="121"/>
        <v>#N/A</v>
      </c>
      <c r="AT112" s="344" t="e">
        <f t="shared" si="121"/>
        <v>#N/A</v>
      </c>
      <c r="AU112" s="344" t="e">
        <f t="shared" si="121"/>
        <v>#N/A</v>
      </c>
    </row>
    <row r="113" spans="38:47" ht="14.5" thickBot="1" x14ac:dyDescent="0.4">
      <c r="AL113" s="8"/>
      <c r="AM113" s="34"/>
      <c r="AN113" s="34"/>
      <c r="AO113" s="34"/>
      <c r="AP113" s="34"/>
      <c r="AQ113" s="34"/>
      <c r="AR113" s="34"/>
      <c r="AS113" s="34"/>
      <c r="AT113" s="34"/>
      <c r="AU113" s="34"/>
    </row>
    <row r="133" spans="50:59" ht="14.5" thickBot="1" x14ac:dyDescent="0.4"/>
    <row r="134" spans="50:59" ht="14.5" x14ac:dyDescent="0.35">
      <c r="AX134" s="46" t="s">
        <v>1390</v>
      </c>
      <c r="AY134" s="197"/>
      <c r="AZ134" s="89">
        <v>2</v>
      </c>
      <c r="BA134" s="89">
        <v>3</v>
      </c>
      <c r="BB134" s="89">
        <v>4</v>
      </c>
      <c r="BC134" s="89">
        <v>5</v>
      </c>
      <c r="BD134" s="89">
        <v>6</v>
      </c>
      <c r="BE134" s="89">
        <v>7</v>
      </c>
      <c r="BF134" s="89">
        <v>8</v>
      </c>
      <c r="BG134" s="89">
        <v>9</v>
      </c>
    </row>
    <row r="135" spans="50:59" ht="14.5" x14ac:dyDescent="0.35">
      <c r="AX135" s="198"/>
      <c r="AY135" s="199" t="s">
        <v>1347</v>
      </c>
      <c r="AZ135" s="365" t="s">
        <v>23</v>
      </c>
      <c r="BA135" s="365" t="s">
        <v>1798</v>
      </c>
      <c r="BB135" s="365" t="s">
        <v>1799</v>
      </c>
      <c r="BC135" s="365" t="s">
        <v>1800</v>
      </c>
      <c r="BD135" s="365" t="s">
        <v>1801</v>
      </c>
      <c r="BE135" s="365" t="s">
        <v>1802</v>
      </c>
      <c r="BF135" s="365" t="s">
        <v>1803</v>
      </c>
      <c r="BG135" s="93" t="s">
        <v>1804</v>
      </c>
    </row>
    <row r="136" spans="50:59" x14ac:dyDescent="0.35">
      <c r="AX136" s="198" t="s">
        <v>2231</v>
      </c>
      <c r="AY136" s="199" t="s">
        <v>2234</v>
      </c>
      <c r="AZ136" s="199" t="e">
        <f>AZ4</f>
        <v>#N/A</v>
      </c>
      <c r="BA136" s="199" t="e">
        <f t="shared" ref="BA136:BG136" si="122">BA4</f>
        <v>#N/A</v>
      </c>
      <c r="BB136" s="199" t="e">
        <f t="shared" si="122"/>
        <v>#N/A</v>
      </c>
      <c r="BC136" s="199" t="e">
        <f t="shared" si="122"/>
        <v>#N/A</v>
      </c>
      <c r="BD136" s="199" t="e">
        <f t="shared" si="122"/>
        <v>#N/A</v>
      </c>
      <c r="BE136" s="199" t="e">
        <f t="shared" si="122"/>
        <v>#N/A</v>
      </c>
      <c r="BF136" s="199" t="e">
        <f t="shared" si="122"/>
        <v>#N/A</v>
      </c>
      <c r="BG136" s="199" t="e">
        <f t="shared" si="122"/>
        <v>#N/A</v>
      </c>
    </row>
    <row r="137" spans="50:59" x14ac:dyDescent="0.35">
      <c r="AX137" s="343" t="s">
        <v>2282</v>
      </c>
      <c r="AY137" s="344" t="s">
        <v>2283</v>
      </c>
      <c r="AZ137" s="199" t="e">
        <f t="shared" ref="AZ137:BG137" si="123">AZ5</f>
        <v>#N/A</v>
      </c>
      <c r="BA137" s="199" t="e">
        <f t="shared" si="123"/>
        <v>#N/A</v>
      </c>
      <c r="BB137" s="199" t="e">
        <f t="shared" si="123"/>
        <v>#N/A</v>
      </c>
      <c r="BC137" s="199" t="e">
        <f t="shared" si="123"/>
        <v>#N/A</v>
      </c>
      <c r="BD137" s="199" t="e">
        <f t="shared" si="123"/>
        <v>#N/A</v>
      </c>
      <c r="BE137" s="199" t="e">
        <f t="shared" si="123"/>
        <v>#N/A</v>
      </c>
      <c r="BF137" s="199" t="e">
        <f t="shared" si="123"/>
        <v>#N/A</v>
      </c>
      <c r="BG137" s="199" t="e">
        <f t="shared" si="123"/>
        <v>#N/A</v>
      </c>
    </row>
    <row r="138" spans="50:59" x14ac:dyDescent="0.35">
      <c r="AX138" s="198" t="s">
        <v>2232</v>
      </c>
      <c r="AY138" s="199" t="s">
        <v>2235</v>
      </c>
      <c r="AZ138" s="199" t="e">
        <f t="shared" ref="AZ138:BG138" si="124">AZ6</f>
        <v>#N/A</v>
      </c>
      <c r="BA138" s="199" t="e">
        <f t="shared" si="124"/>
        <v>#N/A</v>
      </c>
      <c r="BB138" s="199" t="e">
        <f t="shared" si="124"/>
        <v>#N/A</v>
      </c>
      <c r="BC138" s="199" t="e">
        <f t="shared" si="124"/>
        <v>#N/A</v>
      </c>
      <c r="BD138" s="199" t="e">
        <f t="shared" si="124"/>
        <v>#N/A</v>
      </c>
      <c r="BE138" s="199" t="e">
        <f t="shared" si="124"/>
        <v>#N/A</v>
      </c>
      <c r="BF138" s="199" t="e">
        <f t="shared" si="124"/>
        <v>#N/A</v>
      </c>
      <c r="BG138" s="199" t="e">
        <f t="shared" si="124"/>
        <v>#N/A</v>
      </c>
    </row>
    <row r="139" spans="50:59" x14ac:dyDescent="0.35">
      <c r="AX139" s="198" t="s">
        <v>2233</v>
      </c>
      <c r="AY139" s="199" t="s">
        <v>2236</v>
      </c>
      <c r="AZ139" s="199" t="e">
        <f t="shared" ref="AZ139:BG139" si="125">AZ7</f>
        <v>#N/A</v>
      </c>
      <c r="BA139" s="199" t="e">
        <f t="shared" si="125"/>
        <v>#N/A</v>
      </c>
      <c r="BB139" s="199" t="e">
        <f t="shared" si="125"/>
        <v>#N/A</v>
      </c>
      <c r="BC139" s="199" t="e">
        <f t="shared" si="125"/>
        <v>#N/A</v>
      </c>
      <c r="BD139" s="199" t="e">
        <f t="shared" si="125"/>
        <v>#N/A</v>
      </c>
      <c r="BE139" s="199" t="e">
        <f t="shared" si="125"/>
        <v>#N/A</v>
      </c>
      <c r="BF139" s="199" t="e">
        <f t="shared" si="125"/>
        <v>#N/A</v>
      </c>
      <c r="BG139" s="199" t="e">
        <f t="shared" si="125"/>
        <v>#N/A</v>
      </c>
    </row>
    <row r="140" spans="50:59" x14ac:dyDescent="0.35">
      <c r="AX140" s="199" t="s">
        <v>2225</v>
      </c>
      <c r="AY140" s="199" t="s">
        <v>2228</v>
      </c>
      <c r="AZ140" s="199" t="e">
        <f>AZ11</f>
        <v>#N/A</v>
      </c>
      <c r="BA140" s="199" t="e">
        <f t="shared" ref="BA140:BG140" si="126">BA11</f>
        <v>#N/A</v>
      </c>
      <c r="BB140" s="199" t="e">
        <f t="shared" si="126"/>
        <v>#N/A</v>
      </c>
      <c r="BC140" s="199" t="e">
        <f t="shared" si="126"/>
        <v>#N/A</v>
      </c>
      <c r="BD140" s="199" t="e">
        <f t="shared" si="126"/>
        <v>#N/A</v>
      </c>
      <c r="BE140" s="199" t="e">
        <f t="shared" si="126"/>
        <v>#N/A</v>
      </c>
      <c r="BF140" s="199" t="e">
        <f t="shared" si="126"/>
        <v>#N/A</v>
      </c>
      <c r="BG140" s="199" t="e">
        <f t="shared" si="126"/>
        <v>#N/A</v>
      </c>
    </row>
    <row r="141" spans="50:59" x14ac:dyDescent="0.35">
      <c r="AX141" s="199" t="s">
        <v>2226</v>
      </c>
      <c r="AY141" s="199" t="s">
        <v>2229</v>
      </c>
      <c r="AZ141" s="199" t="e">
        <f t="shared" ref="AZ141:BG141" si="127">AZ12</f>
        <v>#N/A</v>
      </c>
      <c r="BA141" s="199" t="e">
        <f t="shared" si="127"/>
        <v>#N/A</v>
      </c>
      <c r="BB141" s="199" t="e">
        <f t="shared" si="127"/>
        <v>#N/A</v>
      </c>
      <c r="BC141" s="199" t="e">
        <f t="shared" si="127"/>
        <v>#N/A</v>
      </c>
      <c r="BD141" s="199" t="e">
        <f t="shared" si="127"/>
        <v>#N/A</v>
      </c>
      <c r="BE141" s="199" t="e">
        <f t="shared" si="127"/>
        <v>#N/A</v>
      </c>
      <c r="BF141" s="199" t="e">
        <f t="shared" si="127"/>
        <v>#N/A</v>
      </c>
      <c r="BG141" s="199" t="e">
        <f t="shared" si="127"/>
        <v>#N/A</v>
      </c>
    </row>
    <row r="142" spans="50:59" x14ac:dyDescent="0.35">
      <c r="AX142" s="199" t="s">
        <v>2227</v>
      </c>
      <c r="AY142" s="199" t="s">
        <v>2230</v>
      </c>
      <c r="AZ142" s="199" t="e">
        <f t="shared" ref="AZ142:BG142" si="128">AZ13</f>
        <v>#N/A</v>
      </c>
      <c r="BA142" s="199" t="e">
        <f t="shared" si="128"/>
        <v>#N/A</v>
      </c>
      <c r="BB142" s="199" t="e">
        <f t="shared" si="128"/>
        <v>#N/A</v>
      </c>
      <c r="BC142" s="199" t="e">
        <f t="shared" si="128"/>
        <v>#N/A</v>
      </c>
      <c r="BD142" s="199" t="e">
        <f t="shared" si="128"/>
        <v>#N/A</v>
      </c>
      <c r="BE142" s="199" t="e">
        <f t="shared" si="128"/>
        <v>#N/A</v>
      </c>
      <c r="BF142" s="199" t="e">
        <f t="shared" si="128"/>
        <v>#N/A</v>
      </c>
      <c r="BG142" s="199" t="e">
        <f t="shared" si="128"/>
        <v>#N/A</v>
      </c>
    </row>
    <row r="143" spans="50:59" x14ac:dyDescent="0.35">
      <c r="AX143" s="198"/>
    </row>
    <row r="144" spans="50:59" x14ac:dyDescent="0.35">
      <c r="AX144" s="198"/>
    </row>
    <row r="145" spans="50:59" x14ac:dyDescent="0.35">
      <c r="AX145" s="198"/>
    </row>
    <row r="146" spans="50:59" ht="14.5" thickBot="1" x14ac:dyDescent="0.4">
      <c r="AX146" s="201"/>
      <c r="AY146" s="211"/>
      <c r="AZ146" s="211"/>
      <c r="BA146" s="211"/>
      <c r="BB146" s="211"/>
      <c r="BC146" s="211"/>
      <c r="BD146" s="211"/>
      <c r="BE146" s="211"/>
      <c r="BF146" s="211"/>
      <c r="BG146" s="211"/>
    </row>
    <row r="241" spans="38:47" ht="14.5" thickBot="1" x14ac:dyDescent="0.4"/>
    <row r="242" spans="38:47" x14ac:dyDescent="0.35">
      <c r="AL242" s="46"/>
      <c r="AM242" s="197" t="s">
        <v>1385</v>
      </c>
      <c r="AN242" s="197" t="s">
        <v>1347</v>
      </c>
      <c r="AO242" s="197"/>
      <c r="AP242" s="197"/>
      <c r="AQ242" s="197"/>
      <c r="AR242" s="197"/>
      <c r="AS242" s="197"/>
      <c r="AT242" s="197"/>
      <c r="AU242" s="197"/>
    </row>
    <row r="243" spans="38:47" x14ac:dyDescent="0.35">
      <c r="AL243" s="198" t="s">
        <v>2231</v>
      </c>
      <c r="AM243" s="199" t="s">
        <v>2234</v>
      </c>
      <c r="AN243" s="199" t="e">
        <f>AN102</f>
        <v>#N/A</v>
      </c>
      <c r="AO243" s="199" t="e">
        <f t="shared" ref="AO243:AT243" si="129">AO102</f>
        <v>#N/A</v>
      </c>
      <c r="AP243" s="199" t="e">
        <f t="shared" si="129"/>
        <v>#N/A</v>
      </c>
      <c r="AQ243" s="199" t="e">
        <f t="shared" si="129"/>
        <v>#N/A</v>
      </c>
      <c r="AR243" s="199" t="e">
        <f t="shared" si="129"/>
        <v>#N/A</v>
      </c>
      <c r="AS243" s="199" t="e">
        <f t="shared" si="129"/>
        <v>#N/A</v>
      </c>
      <c r="AT243" s="199" t="e">
        <f t="shared" si="129"/>
        <v>#N/A</v>
      </c>
      <c r="AU243" s="199" t="e">
        <f>AU102</f>
        <v>#N/A</v>
      </c>
    </row>
    <row r="244" spans="38:47" x14ac:dyDescent="0.35">
      <c r="AL244" s="343" t="s">
        <v>2282</v>
      </c>
      <c r="AM244" s="344" t="s">
        <v>2283</v>
      </c>
      <c r="AN244" s="199" t="e">
        <f t="shared" ref="AN244:AU244" si="130">AN103</f>
        <v>#N/A</v>
      </c>
      <c r="AO244" s="199" t="e">
        <f t="shared" si="130"/>
        <v>#N/A</v>
      </c>
      <c r="AP244" s="199" t="e">
        <f t="shared" si="130"/>
        <v>#N/A</v>
      </c>
      <c r="AQ244" s="199" t="e">
        <f t="shared" si="130"/>
        <v>#N/A</v>
      </c>
      <c r="AR244" s="199" t="e">
        <f t="shared" si="130"/>
        <v>#N/A</v>
      </c>
      <c r="AS244" s="199" t="e">
        <f t="shared" si="130"/>
        <v>#N/A</v>
      </c>
      <c r="AT244" s="199" t="e">
        <f t="shared" si="130"/>
        <v>#N/A</v>
      </c>
      <c r="AU244" s="199" t="e">
        <f t="shared" si="130"/>
        <v>#N/A</v>
      </c>
    </row>
    <row r="245" spans="38:47" x14ac:dyDescent="0.35">
      <c r="AL245" s="198" t="s">
        <v>2232</v>
      </c>
      <c r="AM245" s="199" t="s">
        <v>2235</v>
      </c>
      <c r="AN245" s="199" t="e">
        <f t="shared" ref="AN245:AU245" si="131">AN104</f>
        <v>#N/A</v>
      </c>
      <c r="AO245" s="199" t="e">
        <f t="shared" si="131"/>
        <v>#N/A</v>
      </c>
      <c r="AP245" s="199" t="e">
        <f t="shared" si="131"/>
        <v>#N/A</v>
      </c>
      <c r="AQ245" s="199" t="e">
        <f t="shared" si="131"/>
        <v>#N/A</v>
      </c>
      <c r="AR245" s="199" t="e">
        <f t="shared" si="131"/>
        <v>#N/A</v>
      </c>
      <c r="AS245" s="199" t="e">
        <f t="shared" si="131"/>
        <v>#N/A</v>
      </c>
      <c r="AT245" s="199" t="e">
        <f t="shared" si="131"/>
        <v>#N/A</v>
      </c>
      <c r="AU245" s="199" t="e">
        <f t="shared" si="131"/>
        <v>#N/A</v>
      </c>
    </row>
    <row r="246" spans="38:47" x14ac:dyDescent="0.35">
      <c r="AL246" s="198" t="s">
        <v>2233</v>
      </c>
      <c r="AM246" s="199" t="s">
        <v>2236</v>
      </c>
      <c r="AN246" s="199" t="e">
        <f t="shared" ref="AN246:AU246" si="132">AN105</f>
        <v>#N/A</v>
      </c>
      <c r="AO246" s="199" t="e">
        <f t="shared" si="132"/>
        <v>#N/A</v>
      </c>
      <c r="AP246" s="199" t="e">
        <f t="shared" si="132"/>
        <v>#N/A</v>
      </c>
      <c r="AQ246" s="199" t="e">
        <f t="shared" si="132"/>
        <v>#N/A</v>
      </c>
      <c r="AR246" s="199" t="e">
        <f t="shared" si="132"/>
        <v>#N/A</v>
      </c>
      <c r="AS246" s="199" t="e">
        <f t="shared" si="132"/>
        <v>#N/A</v>
      </c>
      <c r="AT246" s="199" t="e">
        <f t="shared" si="132"/>
        <v>#N/A</v>
      </c>
      <c r="AU246" s="199" t="e">
        <f t="shared" si="132"/>
        <v>#N/A</v>
      </c>
    </row>
    <row r="247" spans="38:47" x14ac:dyDescent="0.35">
      <c r="AL247" s="198" t="s">
        <v>2239</v>
      </c>
      <c r="AM247" s="199" t="s">
        <v>2241</v>
      </c>
      <c r="AN247" s="73" t="e">
        <f>AN109</f>
        <v>#N/A</v>
      </c>
      <c r="AO247" s="73" t="e">
        <f t="shared" ref="AO247:AU248" si="133">AO109</f>
        <v>#N/A</v>
      </c>
      <c r="AP247" s="73" t="e">
        <f t="shared" si="133"/>
        <v>#N/A</v>
      </c>
      <c r="AQ247" s="73" t="e">
        <f t="shared" si="133"/>
        <v>#N/A</v>
      </c>
      <c r="AR247" s="73" t="e">
        <f t="shared" si="133"/>
        <v>#N/A</v>
      </c>
      <c r="AS247" s="73" t="e">
        <f t="shared" si="133"/>
        <v>#N/A</v>
      </c>
      <c r="AT247" s="73" t="e">
        <f t="shared" si="133"/>
        <v>#N/A</v>
      </c>
      <c r="AU247" s="73" t="e">
        <f t="shared" si="133"/>
        <v>#N/A</v>
      </c>
    </row>
    <row r="248" spans="38:47" x14ac:dyDescent="0.35">
      <c r="AL248" s="198" t="s">
        <v>2240</v>
      </c>
      <c r="AM248" s="199" t="s">
        <v>2242</v>
      </c>
      <c r="AN248" s="73" t="e">
        <f>AN110</f>
        <v>#N/A</v>
      </c>
      <c r="AO248" s="73" t="e">
        <f t="shared" si="133"/>
        <v>#N/A</v>
      </c>
      <c r="AP248" s="73" t="e">
        <f t="shared" si="133"/>
        <v>#N/A</v>
      </c>
      <c r="AQ248" s="73" t="e">
        <f t="shared" si="133"/>
        <v>#N/A</v>
      </c>
      <c r="AR248" s="73" t="e">
        <f t="shared" si="133"/>
        <v>#N/A</v>
      </c>
      <c r="AS248" s="73" t="e">
        <f t="shared" si="133"/>
        <v>#N/A</v>
      </c>
      <c r="AT248" s="73" t="e">
        <f t="shared" si="133"/>
        <v>#N/A</v>
      </c>
      <c r="AU248" s="73" t="e">
        <f t="shared" si="133"/>
        <v>#N/A</v>
      </c>
    </row>
    <row r="249" spans="38:47" ht="14.5" thickBot="1" x14ac:dyDescent="0.4">
      <c r="AL249" s="201"/>
      <c r="AM249" s="211"/>
      <c r="AN249" s="211"/>
      <c r="AO249" s="211"/>
      <c r="AP249" s="211"/>
      <c r="AQ249" s="211"/>
      <c r="AR249" s="211"/>
      <c r="AS249" s="211"/>
      <c r="AT249" s="211"/>
      <c r="AU249" s="211"/>
    </row>
  </sheetData>
  <dataConsolidate/>
  <pageMargins left="0.7" right="0.7" top="0.78740157499999996" bottom="0.78740157499999996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/>
  </sheetPr>
  <dimension ref="B1:BB38"/>
  <sheetViews>
    <sheetView topLeftCell="AK1" zoomScaleNormal="100" workbookViewId="0">
      <selection activeCell="BB13" sqref="BB13"/>
    </sheetView>
  </sheetViews>
  <sheetFormatPr baseColWidth="10" defaultColWidth="11.453125" defaultRowHeight="14.5" x14ac:dyDescent="0.35"/>
  <cols>
    <col min="2" max="2" width="33.453125" bestFit="1" customWidth="1"/>
    <col min="3" max="3" width="12.54296875" bestFit="1" customWidth="1"/>
    <col min="5" max="5" width="12.81640625" bestFit="1" customWidth="1"/>
    <col min="13" max="13" width="33.453125" bestFit="1" customWidth="1"/>
    <col min="24" max="24" width="33.453125" bestFit="1" customWidth="1"/>
    <col min="35" max="35" width="33.453125" bestFit="1" customWidth="1"/>
    <col min="46" max="46" width="33.453125" bestFit="1" customWidth="1"/>
  </cols>
  <sheetData>
    <row r="1" spans="2:54" ht="15" thickBot="1" x14ac:dyDescent="0.4"/>
    <row r="2" spans="2:54" x14ac:dyDescent="0.35">
      <c r="B2" s="3" t="s">
        <v>1395</v>
      </c>
      <c r="C2" s="89">
        <v>2</v>
      </c>
      <c r="D2" s="89">
        <v>3</v>
      </c>
      <c r="E2" s="89">
        <v>4</v>
      </c>
      <c r="F2" s="89">
        <v>5</v>
      </c>
      <c r="G2" s="89">
        <v>6</v>
      </c>
      <c r="H2" s="89">
        <v>7</v>
      </c>
      <c r="I2" s="89">
        <v>8</v>
      </c>
      <c r="J2" s="89">
        <v>9</v>
      </c>
      <c r="M2" s="3" t="s">
        <v>1396</v>
      </c>
      <c r="N2" s="89">
        <v>2</v>
      </c>
      <c r="O2" s="89">
        <v>3</v>
      </c>
      <c r="P2" s="89">
        <v>4</v>
      </c>
      <c r="Q2" s="89">
        <v>5</v>
      </c>
      <c r="R2" s="89">
        <v>6</v>
      </c>
      <c r="S2" s="89">
        <v>7</v>
      </c>
      <c r="T2" s="89">
        <v>8</v>
      </c>
      <c r="U2" s="89">
        <v>9</v>
      </c>
      <c r="X2" s="3" t="s">
        <v>1397</v>
      </c>
      <c r="Y2" s="89">
        <v>2</v>
      </c>
      <c r="Z2" s="89">
        <v>3</v>
      </c>
      <c r="AA2" s="89">
        <v>4</v>
      </c>
      <c r="AB2" s="89">
        <v>5</v>
      </c>
      <c r="AC2" s="89">
        <v>6</v>
      </c>
      <c r="AD2" s="89">
        <v>7</v>
      </c>
      <c r="AE2" s="89">
        <v>8</v>
      </c>
      <c r="AF2" s="89">
        <v>9</v>
      </c>
      <c r="AI2" s="3" t="s">
        <v>1398</v>
      </c>
      <c r="AJ2" s="89">
        <v>2</v>
      </c>
      <c r="AK2" s="89">
        <v>3</v>
      </c>
      <c r="AL2" s="89">
        <v>4</v>
      </c>
      <c r="AM2" s="89">
        <v>5</v>
      </c>
      <c r="AN2" s="89">
        <v>6</v>
      </c>
      <c r="AO2" s="89">
        <v>7</v>
      </c>
      <c r="AP2" s="89">
        <v>8</v>
      </c>
      <c r="AQ2" s="89">
        <v>9</v>
      </c>
      <c r="AT2" s="3" t="s">
        <v>1399</v>
      </c>
      <c r="AU2" s="89">
        <v>2</v>
      </c>
      <c r="AV2" s="89">
        <v>3</v>
      </c>
      <c r="AW2" s="89">
        <v>4</v>
      </c>
      <c r="AX2" s="89">
        <v>5</v>
      </c>
      <c r="AY2" s="89">
        <v>6</v>
      </c>
      <c r="AZ2" s="89">
        <v>7</v>
      </c>
      <c r="BA2" s="89">
        <v>8</v>
      </c>
      <c r="BB2" s="89">
        <v>9</v>
      </c>
    </row>
    <row r="3" spans="2:54" x14ac:dyDescent="0.35">
      <c r="B3" s="5"/>
      <c r="C3" s="365" t="s">
        <v>23</v>
      </c>
      <c r="D3" s="365" t="s">
        <v>1798</v>
      </c>
      <c r="E3" s="365" t="s">
        <v>1799</v>
      </c>
      <c r="F3" s="365" t="s">
        <v>1800</v>
      </c>
      <c r="G3" s="365" t="s">
        <v>1801</v>
      </c>
      <c r="H3" s="365" t="s">
        <v>1802</v>
      </c>
      <c r="I3" s="365" t="s">
        <v>1803</v>
      </c>
      <c r="J3" s="93" t="s">
        <v>1804</v>
      </c>
      <c r="M3" s="5"/>
      <c r="N3" s="365" t="s">
        <v>23</v>
      </c>
      <c r="O3" s="365" t="s">
        <v>1798</v>
      </c>
      <c r="P3" s="365" t="s">
        <v>1799</v>
      </c>
      <c r="Q3" s="365" t="s">
        <v>1800</v>
      </c>
      <c r="R3" s="365" t="s">
        <v>1801</v>
      </c>
      <c r="S3" s="365" t="s">
        <v>1802</v>
      </c>
      <c r="T3" s="365" t="s">
        <v>1803</v>
      </c>
      <c r="U3" s="93" t="s">
        <v>1804</v>
      </c>
      <c r="X3" s="5"/>
      <c r="Y3" s="365" t="s">
        <v>23</v>
      </c>
      <c r="Z3" s="365" t="s">
        <v>1798</v>
      </c>
      <c r="AA3" s="365" t="s">
        <v>1799</v>
      </c>
      <c r="AB3" s="365" t="s">
        <v>1800</v>
      </c>
      <c r="AC3" s="365" t="s">
        <v>1801</v>
      </c>
      <c r="AD3" s="365" t="s">
        <v>1802</v>
      </c>
      <c r="AE3" s="365" t="s">
        <v>1803</v>
      </c>
      <c r="AF3" s="93" t="s">
        <v>1804</v>
      </c>
      <c r="AI3" s="5"/>
      <c r="AJ3" s="365" t="s">
        <v>23</v>
      </c>
      <c r="AK3" s="365" t="s">
        <v>1798</v>
      </c>
      <c r="AL3" s="365" t="s">
        <v>1799</v>
      </c>
      <c r="AM3" s="365" t="s">
        <v>1800</v>
      </c>
      <c r="AN3" s="365" t="s">
        <v>1801</v>
      </c>
      <c r="AO3" s="365" t="s">
        <v>1802</v>
      </c>
      <c r="AP3" s="365" t="s">
        <v>1803</v>
      </c>
      <c r="AQ3" s="93" t="s">
        <v>1804</v>
      </c>
      <c r="AT3" s="5"/>
      <c r="AU3" s="365" t="s">
        <v>23</v>
      </c>
      <c r="AV3" s="365" t="s">
        <v>1798</v>
      </c>
      <c r="AW3" s="365" t="s">
        <v>1799</v>
      </c>
      <c r="AX3" s="365" t="s">
        <v>1800</v>
      </c>
      <c r="AY3" s="365" t="s">
        <v>1801</v>
      </c>
      <c r="AZ3" s="365" t="s">
        <v>1802</v>
      </c>
      <c r="BA3" s="365" t="s">
        <v>1803</v>
      </c>
      <c r="BB3" s="93" t="s">
        <v>1804</v>
      </c>
    </row>
    <row r="4" spans="2:54" x14ac:dyDescent="0.35">
      <c r="B4" s="5" t="s">
        <v>1401</v>
      </c>
      <c r="C4" s="353" t="e">
        <f>SUM('Gebäude - Bestand'!AZ4:AZ7)</f>
        <v>#N/A</v>
      </c>
      <c r="D4" s="353" t="e">
        <f>SUM('Gebäude - Bestand'!BA4:BA7)</f>
        <v>#N/A</v>
      </c>
      <c r="E4" s="353" t="e">
        <f>SUM('Gebäude - Bestand'!BB4:BB7)</f>
        <v>#N/A</v>
      </c>
      <c r="F4" s="353" t="e">
        <f>SUM('Gebäude - Bestand'!BC4:BC7)</f>
        <v>#N/A</v>
      </c>
      <c r="G4" s="353" t="e">
        <f>SUM('Gebäude - Bestand'!BD4:BD7)</f>
        <v>#N/A</v>
      </c>
      <c r="H4" s="353" t="e">
        <f>SUM('Gebäude - Bestand'!BE4:BE7)</f>
        <v>#N/A</v>
      </c>
      <c r="I4" s="353" t="e">
        <f>SUM('Gebäude - Bestand'!BF4:BF7)</f>
        <v>#N/A</v>
      </c>
      <c r="J4" s="353" t="e">
        <f>SUM('Gebäude - Bestand'!BG4:BG7)</f>
        <v>#N/A</v>
      </c>
      <c r="M4" s="5" t="s">
        <v>1401</v>
      </c>
      <c r="N4" s="6" t="e">
        <f>SUM('Gebäude - Bestand'!E56:E58)</f>
        <v>#N/A</v>
      </c>
      <c r="O4" s="6" t="e">
        <f>SUM('Gebäude - Bestand'!F56:F58)</f>
        <v>#N/A</v>
      </c>
      <c r="P4" s="6" t="e">
        <f>SUM('Gebäude - Bestand'!G56:G58)</f>
        <v>#N/A</v>
      </c>
      <c r="Q4" s="6" t="e">
        <f>SUM('Gebäude - Bestand'!H56:H58)</f>
        <v>#N/A</v>
      </c>
      <c r="R4" s="6" t="e">
        <f>SUM('Gebäude - Bestand'!I56:I58)</f>
        <v>#N/A</v>
      </c>
      <c r="S4" s="6" t="e">
        <f>SUM('Gebäude - Bestand'!J56:J58)</f>
        <v>#N/A</v>
      </c>
      <c r="T4" s="6" t="e">
        <f>SUM('Gebäude - Bestand'!K56:K58)</f>
        <v>#N/A</v>
      </c>
      <c r="U4" s="6" t="e">
        <f>SUM('Gebäude - Bestand'!L56:L58)</f>
        <v>#N/A</v>
      </c>
      <c r="X4" s="5" t="s">
        <v>1401</v>
      </c>
      <c r="Y4" s="6" t="e">
        <f>SUM('Gebäude - Bestand'!Q56:Q58)</f>
        <v>#N/A</v>
      </c>
      <c r="Z4" s="6" t="e">
        <f>SUM('Gebäude - Bestand'!R56:R58)</f>
        <v>#N/A</v>
      </c>
      <c r="AA4" s="6" t="e">
        <f>SUM('Gebäude - Bestand'!S56:S58)</f>
        <v>#N/A</v>
      </c>
      <c r="AB4" s="6" t="e">
        <f>SUM('Gebäude - Bestand'!T56:T58)</f>
        <v>#N/A</v>
      </c>
      <c r="AC4" s="6" t="e">
        <f>SUM('Gebäude - Bestand'!U56:U58)</f>
        <v>#N/A</v>
      </c>
      <c r="AD4" s="6" t="e">
        <f>SUM('Gebäude - Bestand'!V56:V58)</f>
        <v>#N/A</v>
      </c>
      <c r="AE4" s="6" t="e">
        <f>SUM('Gebäude - Bestand'!W56:W58)</f>
        <v>#N/A</v>
      </c>
      <c r="AF4" s="6" t="e">
        <f>SUM('Gebäude - Bestand'!X56:X58)</f>
        <v>#N/A</v>
      </c>
      <c r="AI4" s="5" t="s">
        <v>1401</v>
      </c>
      <c r="AJ4" s="6" t="e">
        <f>SUM('Gebäude - Bestand'!AB56:AB58)</f>
        <v>#N/A</v>
      </c>
      <c r="AK4" s="6" t="e">
        <f>SUM('Gebäude - Bestand'!AC56:AC58)</f>
        <v>#N/A</v>
      </c>
      <c r="AL4" s="6" t="e">
        <f>SUM('Gebäude - Bestand'!AD56:AD58)</f>
        <v>#N/A</v>
      </c>
      <c r="AM4" s="6" t="e">
        <f>SUM('Gebäude - Bestand'!AE56:AE58)</f>
        <v>#N/A</v>
      </c>
      <c r="AN4" s="6" t="e">
        <f>SUM('Gebäude - Bestand'!AF56:AF58)</f>
        <v>#N/A</v>
      </c>
      <c r="AO4" s="6" t="e">
        <f>SUM('Gebäude - Bestand'!AG56:AG58)</f>
        <v>#N/A</v>
      </c>
      <c r="AP4" s="6" t="e">
        <f>SUM('Gebäude - Bestand'!AH56:AH58)</f>
        <v>#N/A</v>
      </c>
      <c r="AQ4" s="6" t="e">
        <f>SUM('Gebäude - Bestand'!AI56:AI58)</f>
        <v>#N/A</v>
      </c>
      <c r="AT4" s="5" t="s">
        <v>1401</v>
      </c>
      <c r="AU4" s="6" t="e">
        <f>SUM('Gebäude - Bestand'!AN103:AN105)</f>
        <v>#N/A</v>
      </c>
      <c r="AV4" s="6" t="e">
        <f>SUM('Gebäude - Bestand'!AO103:AO105)</f>
        <v>#N/A</v>
      </c>
      <c r="AW4" s="6" t="e">
        <f>SUM('Gebäude - Bestand'!AP103:AP105)</f>
        <v>#N/A</v>
      </c>
      <c r="AX4" s="6" t="e">
        <f>SUM('Gebäude - Bestand'!AQ103:AQ105)</f>
        <v>#N/A</v>
      </c>
      <c r="AY4" s="6" t="e">
        <f>SUM('Gebäude - Bestand'!AR103:AR105)</f>
        <v>#N/A</v>
      </c>
      <c r="AZ4" s="6" t="e">
        <f>SUM('Gebäude - Bestand'!AS103:AS105)</f>
        <v>#N/A</v>
      </c>
      <c r="BA4" s="6" t="e">
        <f>SUM('Gebäude - Bestand'!AT103:AT105)</f>
        <v>#N/A</v>
      </c>
      <c r="BB4" s="6" t="e">
        <f>SUM('Gebäude - Bestand'!AU103:AU105)</f>
        <v>#N/A</v>
      </c>
    </row>
    <row r="5" spans="2:54" x14ac:dyDescent="0.35">
      <c r="B5" s="5" t="s">
        <v>1400</v>
      </c>
      <c r="C5" s="7" t="e">
        <f>'Gebäude - Bestand'!AZ6+'Gebäude - Bestand'!AZ7</f>
        <v>#N/A</v>
      </c>
      <c r="D5" s="7" t="e">
        <f>'Gebäude - Bestand'!BA6+'Gebäude - Bestand'!BA7</f>
        <v>#N/A</v>
      </c>
      <c r="E5" s="7" t="e">
        <f>('Gebäude - Bestand'!BB6+'Gebäude - Bestand'!BB7)-SUM($D$5:D5)</f>
        <v>#N/A</v>
      </c>
      <c r="F5" s="200" t="e">
        <f>('Gebäude - Bestand'!BC6+'Gebäude - Bestand'!BC7)-SUM($D$5:E5)</f>
        <v>#N/A</v>
      </c>
      <c r="G5" s="200" t="e">
        <f>('Gebäude - Bestand'!BD6+'Gebäude - Bestand'!BD7)-SUM($D$5:F5)</f>
        <v>#N/A</v>
      </c>
      <c r="H5" s="200" t="e">
        <f>('Gebäude - Bestand'!BE6+'Gebäude - Bestand'!BE7)-SUM($D$5:G5)</f>
        <v>#N/A</v>
      </c>
      <c r="I5" s="200" t="e">
        <f>('Gebäude - Bestand'!BF6+'Gebäude - Bestand'!BF7)-SUM($D$5:H5)</f>
        <v>#N/A</v>
      </c>
      <c r="J5" s="200" t="e">
        <f>('Gebäude - Bestand'!BG6+'Gebäude - Bestand'!BG7)-SUM($D$5:I5)</f>
        <v>#N/A</v>
      </c>
      <c r="M5" s="5" t="s">
        <v>1400</v>
      </c>
      <c r="N5" s="7" t="e">
        <f>'Gebäude - Bestand'!E57+'Gebäude - Bestand'!E58</f>
        <v>#N/A</v>
      </c>
      <c r="O5" s="7" t="e">
        <f>'Gebäude - Bestand'!F57+'Gebäude - Bestand'!F58</f>
        <v>#N/A</v>
      </c>
      <c r="P5" s="7" t="e">
        <f>'Gebäude - Bestand'!G57+'Gebäude - Bestand'!G58</f>
        <v>#N/A</v>
      </c>
      <c r="Q5" s="7" t="e">
        <f>'Gebäude - Bestand'!H57+'Gebäude - Bestand'!H58</f>
        <v>#N/A</v>
      </c>
      <c r="R5" s="7" t="e">
        <f>'Gebäude - Bestand'!I57+'Gebäude - Bestand'!I58</f>
        <v>#N/A</v>
      </c>
      <c r="S5" s="7" t="e">
        <f>'Gebäude - Bestand'!J57+'Gebäude - Bestand'!J58</f>
        <v>#N/A</v>
      </c>
      <c r="T5" s="7" t="e">
        <f>'Gebäude - Bestand'!K57+'Gebäude - Bestand'!K58</f>
        <v>#N/A</v>
      </c>
      <c r="U5" s="7" t="e">
        <f>'Gebäude - Bestand'!L57+'Gebäude - Bestand'!L58</f>
        <v>#N/A</v>
      </c>
      <c r="X5" s="5" t="s">
        <v>1400</v>
      </c>
      <c r="Y5" s="7" t="e">
        <f>'Gebäude - Bestand'!Q57+'Gebäude - Bestand'!Q58</f>
        <v>#N/A</v>
      </c>
      <c r="Z5" s="7" t="e">
        <f>'Gebäude - Bestand'!R57+'Gebäude - Bestand'!R58</f>
        <v>#N/A</v>
      </c>
      <c r="AA5" s="7" t="e">
        <f>'Gebäude - Bestand'!S57+'Gebäude - Bestand'!S58</f>
        <v>#N/A</v>
      </c>
      <c r="AB5" s="7" t="e">
        <f>'Gebäude - Bestand'!T57+'Gebäude - Bestand'!T58</f>
        <v>#N/A</v>
      </c>
      <c r="AC5" s="7" t="e">
        <f>'Gebäude - Bestand'!U57+'Gebäude - Bestand'!U58</f>
        <v>#N/A</v>
      </c>
      <c r="AD5" s="7" t="e">
        <f>'Gebäude - Bestand'!V57+'Gebäude - Bestand'!V58</f>
        <v>#N/A</v>
      </c>
      <c r="AE5" s="7" t="e">
        <f>'Gebäude - Bestand'!W57+'Gebäude - Bestand'!W58</f>
        <v>#N/A</v>
      </c>
      <c r="AF5" s="7" t="e">
        <f>'Gebäude - Bestand'!X57+'Gebäude - Bestand'!X58</f>
        <v>#N/A</v>
      </c>
      <c r="AI5" s="5" t="s">
        <v>1400</v>
      </c>
      <c r="AJ5" s="7" t="e">
        <f>'Gebäude - Bestand'!AB57+'Gebäude - Bestand'!AB58</f>
        <v>#N/A</v>
      </c>
      <c r="AK5" s="7" t="e">
        <f>'Gebäude - Bestand'!AC57+'Gebäude - Bestand'!AC58</f>
        <v>#N/A</v>
      </c>
      <c r="AL5" s="7" t="e">
        <f>'Gebäude - Bestand'!AD57+'Gebäude - Bestand'!AD58</f>
        <v>#N/A</v>
      </c>
      <c r="AM5" s="7" t="e">
        <f>'Gebäude - Bestand'!AE57+'Gebäude - Bestand'!AE58</f>
        <v>#N/A</v>
      </c>
      <c r="AN5" s="7" t="e">
        <f>'Gebäude - Bestand'!AF57+'Gebäude - Bestand'!AF58</f>
        <v>#N/A</v>
      </c>
      <c r="AO5" s="7" t="e">
        <f>'Gebäude - Bestand'!AG57+'Gebäude - Bestand'!AG58</f>
        <v>#N/A</v>
      </c>
      <c r="AP5" s="7" t="e">
        <f>'Gebäude - Bestand'!AH57+'Gebäude - Bestand'!AH58</f>
        <v>#N/A</v>
      </c>
      <c r="AQ5" s="7" t="e">
        <f>'Gebäude - Bestand'!AI57+'Gebäude - Bestand'!AI58</f>
        <v>#N/A</v>
      </c>
      <c r="AT5" s="5" t="s">
        <v>1400</v>
      </c>
      <c r="AU5" s="7" t="e">
        <f>'Gebäude - Bestand'!AN104+'Gebäude - Bestand'!AN105</f>
        <v>#N/A</v>
      </c>
      <c r="AV5" s="7" t="e">
        <f>'Gebäude - Bestand'!AO104+'Gebäude - Bestand'!AO105</f>
        <v>#N/A</v>
      </c>
      <c r="AW5" s="7" t="e">
        <f>'Gebäude - Bestand'!AP104+'Gebäude - Bestand'!AP105</f>
        <v>#N/A</v>
      </c>
      <c r="AX5" s="7" t="e">
        <f>'Gebäude - Bestand'!AQ104+'Gebäude - Bestand'!AQ105</f>
        <v>#N/A</v>
      </c>
      <c r="AY5" s="7" t="e">
        <f>'Gebäude - Bestand'!AR104+'Gebäude - Bestand'!AR105</f>
        <v>#N/A</v>
      </c>
      <c r="AZ5" s="7" t="e">
        <f>'Gebäude - Bestand'!AS104+'Gebäude - Bestand'!AS105</f>
        <v>#N/A</v>
      </c>
      <c r="BA5" s="7" t="e">
        <f>'Gebäude - Bestand'!AT104+'Gebäude - Bestand'!AT105</f>
        <v>#N/A</v>
      </c>
      <c r="BB5" s="7" t="e">
        <f>'Gebäude - Bestand'!AU104+'Gebäude - Bestand'!AU105</f>
        <v>#N/A</v>
      </c>
    </row>
    <row r="6" spans="2:54" x14ac:dyDescent="0.35">
      <c r="B6" s="5" t="s">
        <v>1403</v>
      </c>
      <c r="C6" s="7" t="e">
        <f>D4-C4</f>
        <v>#N/A</v>
      </c>
      <c r="D6" s="7">
        <v>0</v>
      </c>
      <c r="E6" s="351" t="e">
        <f>D4-E4</f>
        <v>#N/A</v>
      </c>
      <c r="F6" s="351" t="e">
        <f t="shared" ref="F6:J6" si="0">E4-F4</f>
        <v>#N/A</v>
      </c>
      <c r="G6" s="351" t="e">
        <f t="shared" si="0"/>
        <v>#N/A</v>
      </c>
      <c r="H6" s="351" t="e">
        <f t="shared" si="0"/>
        <v>#N/A</v>
      </c>
      <c r="I6" s="351" t="e">
        <f t="shared" si="0"/>
        <v>#N/A</v>
      </c>
      <c r="J6" s="351" t="e">
        <f t="shared" si="0"/>
        <v>#N/A</v>
      </c>
      <c r="M6" s="5" t="s">
        <v>1403</v>
      </c>
      <c r="N6" s="7" t="e">
        <f>O4-N4</f>
        <v>#N/A</v>
      </c>
      <c r="O6" s="7">
        <v>0</v>
      </c>
      <c r="P6" s="7" t="e">
        <f t="shared" ref="P6:U6" si="1">$O$4-P4</f>
        <v>#N/A</v>
      </c>
      <c r="Q6" s="7" t="e">
        <f t="shared" si="1"/>
        <v>#N/A</v>
      </c>
      <c r="R6" s="7" t="e">
        <f t="shared" si="1"/>
        <v>#N/A</v>
      </c>
      <c r="S6" s="7" t="e">
        <f t="shared" si="1"/>
        <v>#N/A</v>
      </c>
      <c r="T6" s="7" t="e">
        <f t="shared" si="1"/>
        <v>#N/A</v>
      </c>
      <c r="U6" s="7" t="e">
        <f t="shared" si="1"/>
        <v>#N/A</v>
      </c>
      <c r="X6" s="5" t="s">
        <v>1403</v>
      </c>
      <c r="Y6" s="7" t="e">
        <f>Z4-Y4</f>
        <v>#N/A</v>
      </c>
      <c r="Z6" s="7">
        <v>0</v>
      </c>
      <c r="AA6" s="7" t="e">
        <f t="shared" ref="AA6:AF6" si="2">$Z$4-AA4</f>
        <v>#N/A</v>
      </c>
      <c r="AB6" s="7" t="e">
        <f t="shared" si="2"/>
        <v>#N/A</v>
      </c>
      <c r="AC6" s="7" t="e">
        <f t="shared" si="2"/>
        <v>#N/A</v>
      </c>
      <c r="AD6" s="7" t="e">
        <f t="shared" si="2"/>
        <v>#N/A</v>
      </c>
      <c r="AE6" s="7" t="e">
        <f t="shared" si="2"/>
        <v>#N/A</v>
      </c>
      <c r="AF6" s="7" t="e">
        <f t="shared" si="2"/>
        <v>#N/A</v>
      </c>
      <c r="AI6" s="5" t="s">
        <v>1403</v>
      </c>
      <c r="AJ6" s="7" t="e">
        <f>AK4-AJ4</f>
        <v>#N/A</v>
      </c>
      <c r="AK6" s="7">
        <v>0</v>
      </c>
      <c r="AL6" s="7" t="e">
        <f t="shared" ref="AL6:AQ6" si="3">$AK$4-AL4</f>
        <v>#N/A</v>
      </c>
      <c r="AM6" s="7" t="e">
        <f t="shared" si="3"/>
        <v>#N/A</v>
      </c>
      <c r="AN6" s="7" t="e">
        <f t="shared" si="3"/>
        <v>#N/A</v>
      </c>
      <c r="AO6" s="7" t="e">
        <f t="shared" si="3"/>
        <v>#N/A</v>
      </c>
      <c r="AP6" s="7" t="e">
        <f t="shared" si="3"/>
        <v>#N/A</v>
      </c>
      <c r="AQ6" s="7" t="e">
        <f t="shared" si="3"/>
        <v>#N/A</v>
      </c>
      <c r="AT6" s="5" t="s">
        <v>1403</v>
      </c>
      <c r="AU6" s="7" t="e">
        <f>AV4-AU4</f>
        <v>#N/A</v>
      </c>
      <c r="AV6" s="7">
        <v>0</v>
      </c>
      <c r="AW6" s="7" t="e">
        <f t="shared" ref="AW6:BB6" si="4">$AV$4-AW4</f>
        <v>#N/A</v>
      </c>
      <c r="AX6" s="7" t="e">
        <f t="shared" si="4"/>
        <v>#N/A</v>
      </c>
      <c r="AY6" s="7" t="e">
        <f t="shared" si="4"/>
        <v>#N/A</v>
      </c>
      <c r="AZ6" s="7" t="e">
        <f t="shared" si="4"/>
        <v>#N/A</v>
      </c>
      <c r="BA6" s="7" t="e">
        <f t="shared" si="4"/>
        <v>#N/A</v>
      </c>
      <c r="BB6" s="7" t="e">
        <f t="shared" si="4"/>
        <v>#N/A</v>
      </c>
    </row>
    <row r="7" spans="2:54" x14ac:dyDescent="0.35">
      <c r="B7" s="5" t="s">
        <v>1404</v>
      </c>
      <c r="C7" s="62" t="e">
        <f>C6/D4</f>
        <v>#N/A</v>
      </c>
      <c r="D7" s="7">
        <v>0</v>
      </c>
      <c r="E7" s="62" t="e">
        <f>E6/D4</f>
        <v>#N/A</v>
      </c>
      <c r="F7" s="62" t="e">
        <f t="shared" ref="F7:J7" si="5">F6/E4</f>
        <v>#N/A</v>
      </c>
      <c r="G7" s="62" t="e">
        <f>G6/F4</f>
        <v>#N/A</v>
      </c>
      <c r="H7" s="62" t="e">
        <f t="shared" si="5"/>
        <v>#N/A</v>
      </c>
      <c r="I7" s="62" t="e">
        <f t="shared" si="5"/>
        <v>#N/A</v>
      </c>
      <c r="J7" s="62" t="e">
        <f t="shared" si="5"/>
        <v>#N/A</v>
      </c>
      <c r="M7" s="5" t="s">
        <v>1404</v>
      </c>
      <c r="N7" s="75" t="e">
        <f>N6/O4</f>
        <v>#N/A</v>
      </c>
      <c r="O7" s="75">
        <v>0</v>
      </c>
      <c r="P7" s="75" t="e">
        <f t="shared" ref="P7:U7" si="6">P6/$O$4</f>
        <v>#N/A</v>
      </c>
      <c r="Q7" s="75" t="e">
        <f t="shared" si="6"/>
        <v>#N/A</v>
      </c>
      <c r="R7" s="75" t="e">
        <f t="shared" si="6"/>
        <v>#N/A</v>
      </c>
      <c r="S7" s="75" t="e">
        <f t="shared" si="6"/>
        <v>#N/A</v>
      </c>
      <c r="T7" s="75" t="e">
        <f t="shared" si="6"/>
        <v>#N/A</v>
      </c>
      <c r="U7" s="75" t="e">
        <f t="shared" si="6"/>
        <v>#N/A</v>
      </c>
      <c r="X7" s="5" t="s">
        <v>1404</v>
      </c>
      <c r="Y7" s="75" t="e">
        <f>Y6/Z4</f>
        <v>#N/A</v>
      </c>
      <c r="Z7" s="75">
        <v>0</v>
      </c>
      <c r="AA7" s="75" t="e">
        <f t="shared" ref="AA7:AF7" si="7">AA6/$Z$4</f>
        <v>#N/A</v>
      </c>
      <c r="AB7" s="75" t="e">
        <f t="shared" si="7"/>
        <v>#N/A</v>
      </c>
      <c r="AC7" s="75" t="e">
        <f t="shared" si="7"/>
        <v>#N/A</v>
      </c>
      <c r="AD7" s="75" t="e">
        <f t="shared" si="7"/>
        <v>#N/A</v>
      </c>
      <c r="AE7" s="75" t="e">
        <f t="shared" si="7"/>
        <v>#N/A</v>
      </c>
      <c r="AF7" s="75" t="e">
        <f t="shared" si="7"/>
        <v>#N/A</v>
      </c>
      <c r="AI7" s="5" t="s">
        <v>1404</v>
      </c>
      <c r="AJ7" s="75" t="e">
        <f>AJ6/AK4</f>
        <v>#N/A</v>
      </c>
      <c r="AK7" s="75">
        <v>0</v>
      </c>
      <c r="AL7" s="75" t="e">
        <f t="shared" ref="AL7:AQ7" si="8">AL6/$AK$4</f>
        <v>#N/A</v>
      </c>
      <c r="AM7" s="75" t="e">
        <f t="shared" si="8"/>
        <v>#N/A</v>
      </c>
      <c r="AN7" s="75" t="e">
        <f t="shared" si="8"/>
        <v>#N/A</v>
      </c>
      <c r="AO7" s="75" t="e">
        <f t="shared" si="8"/>
        <v>#N/A</v>
      </c>
      <c r="AP7" s="75" t="e">
        <f t="shared" si="8"/>
        <v>#N/A</v>
      </c>
      <c r="AQ7" s="75" t="e">
        <f t="shared" si="8"/>
        <v>#N/A</v>
      </c>
      <c r="AT7" s="5" t="s">
        <v>1404</v>
      </c>
      <c r="AU7" s="75" t="e">
        <f>AU6/AV4</f>
        <v>#N/A</v>
      </c>
      <c r="AV7" s="75">
        <v>0</v>
      </c>
      <c r="AW7" s="75" t="e">
        <f t="shared" ref="AW7:BB7" si="9">AW6/$AV$4</f>
        <v>#N/A</v>
      </c>
      <c r="AX7" s="75" t="e">
        <f t="shared" si="9"/>
        <v>#N/A</v>
      </c>
      <c r="AY7" s="75" t="e">
        <f t="shared" si="9"/>
        <v>#N/A</v>
      </c>
      <c r="AZ7" s="75" t="e">
        <f t="shared" si="9"/>
        <v>#N/A</v>
      </c>
      <c r="BA7" s="75" t="e">
        <f t="shared" si="9"/>
        <v>#N/A</v>
      </c>
      <c r="BB7" s="75" t="e">
        <f t="shared" si="9"/>
        <v>#N/A</v>
      </c>
    </row>
    <row r="8" spans="2:54" x14ac:dyDescent="0.35">
      <c r="B8" s="5" t="s">
        <v>1402</v>
      </c>
      <c r="C8" s="62" t="e">
        <f>C5/D4</f>
        <v>#N/A</v>
      </c>
      <c r="D8" s="62" t="e">
        <f>D5/D4</f>
        <v>#N/A</v>
      </c>
      <c r="E8" s="62" t="e">
        <f>E5/D4</f>
        <v>#N/A</v>
      </c>
      <c r="F8" s="62" t="e">
        <f t="shared" ref="F8:I8" si="10">F5/E4</f>
        <v>#N/A</v>
      </c>
      <c r="G8" s="62" t="e">
        <f>G5/F4</f>
        <v>#N/A</v>
      </c>
      <c r="H8" s="62" t="e">
        <f t="shared" si="10"/>
        <v>#N/A</v>
      </c>
      <c r="I8" s="62" t="e">
        <f t="shared" si="10"/>
        <v>#N/A</v>
      </c>
      <c r="J8" s="62" t="e">
        <f>J5/I4</f>
        <v>#N/A</v>
      </c>
      <c r="M8" s="5" t="s">
        <v>1402</v>
      </c>
      <c r="N8" s="75" t="e">
        <f>N5/O4</f>
        <v>#N/A</v>
      </c>
      <c r="O8" s="75" t="e">
        <f>O5/O4</f>
        <v>#N/A</v>
      </c>
      <c r="P8" s="75" t="e">
        <f t="shared" ref="P8:U8" si="11">P5/O4</f>
        <v>#N/A</v>
      </c>
      <c r="Q8" s="75" t="e">
        <f t="shared" si="11"/>
        <v>#N/A</v>
      </c>
      <c r="R8" s="75" t="e">
        <f t="shared" si="11"/>
        <v>#N/A</v>
      </c>
      <c r="S8" s="75" t="e">
        <f t="shared" si="11"/>
        <v>#N/A</v>
      </c>
      <c r="T8" s="75" t="e">
        <f t="shared" si="11"/>
        <v>#N/A</v>
      </c>
      <c r="U8" s="75" t="e">
        <f t="shared" si="11"/>
        <v>#N/A</v>
      </c>
      <c r="X8" s="5" t="s">
        <v>1402</v>
      </c>
      <c r="Y8" s="75" t="e">
        <f>Y5/Z4</f>
        <v>#N/A</v>
      </c>
      <c r="Z8" s="75" t="e">
        <f>Z5/Z4</f>
        <v>#N/A</v>
      </c>
      <c r="AA8" s="75" t="e">
        <f t="shared" ref="AA8:AF8" si="12">AA5/Z4</f>
        <v>#N/A</v>
      </c>
      <c r="AB8" s="75" t="e">
        <f t="shared" si="12"/>
        <v>#N/A</v>
      </c>
      <c r="AC8" s="75" t="e">
        <f t="shared" si="12"/>
        <v>#N/A</v>
      </c>
      <c r="AD8" s="75" t="e">
        <f t="shared" si="12"/>
        <v>#N/A</v>
      </c>
      <c r="AE8" s="75" t="e">
        <f t="shared" si="12"/>
        <v>#N/A</v>
      </c>
      <c r="AF8" s="75" t="e">
        <f t="shared" si="12"/>
        <v>#N/A</v>
      </c>
      <c r="AI8" s="5" t="s">
        <v>1402</v>
      </c>
      <c r="AJ8" s="75" t="e">
        <f>AJ5/AK4</f>
        <v>#N/A</v>
      </c>
      <c r="AK8" s="75" t="e">
        <f>AK5/AK4</f>
        <v>#N/A</v>
      </c>
      <c r="AL8" s="75" t="e">
        <f t="shared" ref="AL8:AQ8" si="13">AL5/AK4</f>
        <v>#N/A</v>
      </c>
      <c r="AM8" s="75" t="e">
        <f t="shared" si="13"/>
        <v>#N/A</v>
      </c>
      <c r="AN8" s="75" t="e">
        <f t="shared" si="13"/>
        <v>#N/A</v>
      </c>
      <c r="AO8" s="75" t="e">
        <f t="shared" si="13"/>
        <v>#N/A</v>
      </c>
      <c r="AP8" s="75" t="e">
        <f t="shared" si="13"/>
        <v>#N/A</v>
      </c>
      <c r="AQ8" s="75" t="e">
        <f t="shared" si="13"/>
        <v>#N/A</v>
      </c>
      <c r="AT8" s="5" t="s">
        <v>1402</v>
      </c>
      <c r="AU8" s="75" t="e">
        <f>AU5/AV4</f>
        <v>#N/A</v>
      </c>
      <c r="AV8" s="75" t="e">
        <f>AV5/AV4</f>
        <v>#N/A</v>
      </c>
      <c r="AW8" s="75" t="e">
        <f t="shared" ref="AW8:BB8" si="14">AW5/AV4</f>
        <v>#N/A</v>
      </c>
      <c r="AX8" s="75" t="e">
        <f t="shared" si="14"/>
        <v>#N/A</v>
      </c>
      <c r="AY8" s="75" t="e">
        <f t="shared" si="14"/>
        <v>#N/A</v>
      </c>
      <c r="AZ8" s="75" t="e">
        <f t="shared" si="14"/>
        <v>#N/A</v>
      </c>
      <c r="BA8" s="75" t="e">
        <f t="shared" si="14"/>
        <v>#N/A</v>
      </c>
      <c r="BB8" s="75" t="e">
        <f t="shared" si="14"/>
        <v>#N/A</v>
      </c>
    </row>
    <row r="9" spans="2:54" x14ac:dyDescent="0.35">
      <c r="B9" s="5" t="s">
        <v>1393</v>
      </c>
      <c r="C9" s="76" t="e">
        <f>C8/(2050-D3)</f>
        <v>#N/A</v>
      </c>
      <c r="D9" s="75">
        <v>0.01</v>
      </c>
      <c r="E9" s="75" t="e">
        <f>E8/(E3-D3)</f>
        <v>#N/A</v>
      </c>
      <c r="F9" s="75" t="e">
        <f t="shared" ref="F9:I9" si="15">F8/(F3-E3)</f>
        <v>#N/A</v>
      </c>
      <c r="G9" s="75" t="e">
        <f t="shared" si="15"/>
        <v>#N/A</v>
      </c>
      <c r="H9" s="75" t="e">
        <f t="shared" si="15"/>
        <v>#N/A</v>
      </c>
      <c r="I9" s="75" t="e">
        <f t="shared" si="15"/>
        <v>#N/A</v>
      </c>
      <c r="J9" s="75" t="e">
        <f>J8/(J3-I3)</f>
        <v>#N/A</v>
      </c>
      <c r="M9" s="5" t="s">
        <v>1393</v>
      </c>
      <c r="N9" s="75" t="e">
        <f>N8/(2050-O3)</f>
        <v>#N/A</v>
      </c>
      <c r="O9" s="75">
        <v>0.01</v>
      </c>
      <c r="P9" s="75" t="e">
        <f>IF((P8-O8)/(P3-O3)&gt;0.025,0.025,(P8-O8)/(P3-O3))</f>
        <v>#N/A</v>
      </c>
      <c r="Q9" s="75" t="e">
        <f>IF((Q8-P8)/(Q3-P3)&gt;0.025,0.025,IF((P8-O8)/(P3-O3)&gt;0.025,((Q8-P8)/(Q3-P3))+((P8-O8)/(P3-O3))-0.025,(Q8-P8)/(Q3-P3)))</f>
        <v>#N/A</v>
      </c>
      <c r="R9" s="75" t="e">
        <f>IF((R8-Q8)/(R3-Q3)&gt;0.025,0.025,IF((Q8-P8)/(Q3-P3)&gt;0.025,((R8-Q8)/(R3-Q3))+((Q8-P8)/(Q3-P3))-0.025,(R8-Q8)/(R3-Q3)))</f>
        <v>#N/A</v>
      </c>
      <c r="S9" s="75" t="e">
        <f>IF((S8-R8)/(S3-R3)&gt;0.025,0.025,IF((R8-Q8)/(R3-Q3)&gt;0.025,((S8-R8)/(S3-R3))+((R8-Q8)/(R3-Q3))-0.025,(S8-R8)/(S3-R3)))</f>
        <v>#N/A</v>
      </c>
      <c r="T9" s="75" t="e">
        <f>IF((T8-S8)/(T3-S3)&gt;0.025,0.025,IF((S8-R8)/(S3-R3)&gt;0.025,((T8-S8)/(T3-S3))+((S8-R8)/(S3-R3))-0.025,(T8-S8)/(T3-S3)))</f>
        <v>#N/A</v>
      </c>
      <c r="U9" s="75" t="e">
        <f>IF((U8-T8)/(U3-T3)&gt;0.025,0.025,IF((T8-S8)/(T3-S3)&gt;0.025,((U8-T8)/(U3-T3))+((T8-S8)/(T3-S3))-0.025,(U8-T8)/(U3-T3)))</f>
        <v>#N/A</v>
      </c>
      <c r="X9" s="5" t="s">
        <v>1393</v>
      </c>
      <c r="Y9" s="75" t="e">
        <f>Y8/(2050-Z3)</f>
        <v>#N/A</v>
      </c>
      <c r="Z9" s="75">
        <v>0.01</v>
      </c>
      <c r="AA9" s="75" t="e">
        <f>IF((AA8-Z8)/(AA3-Z3)&gt;0.025,0.025,(AA8-Z8)/(AA3-Z3))</f>
        <v>#N/A</v>
      </c>
      <c r="AB9" s="75" t="e">
        <f>IF((AB8-AA8)/(AB3-AA3)&gt;0.025,0.025,IF((AA8-Z8)/(AA3-Z3)&gt;0.025,((AB8-AA8)/(AB3-AA3))+((AA8-Z8)/(AA3-Z3))-0.025,(AB8-AA8)/(AB3-AA3)))</f>
        <v>#N/A</v>
      </c>
      <c r="AC9" s="75" t="e">
        <f>IF((AC8-AB8)/(AC3-AB3)&gt;0.025,0.025,IF((AB8-AA8)/(AB3-AA3)&gt;0.025,((AC8-AB8)/(AC3-AB3))+((AB8-AA8)/(AB3-AA3))-0.025,(AC8-AB8)/(AC3-AB3)))</f>
        <v>#N/A</v>
      </c>
      <c r="AD9" s="75" t="e">
        <f>IF((AD8-AC8)/(AD3-AC3)&gt;0.025,0.025,IF((AC8-AB8)/(AC3-AB3)&gt;0.025,((AD8-AC8)/(AD3-AC3))+((AC8-AB8)/(AC3-AB3))-0.025,(AD8-AC8)/(AD3-AC3)))</f>
        <v>#N/A</v>
      </c>
      <c r="AE9" s="75" t="e">
        <f>IF((AE8-AD8)/(AE3-AD3)&gt;0.025,0.025,IF((AD8-AC8)/(AD3-AC3)&gt;0.025,((AE8-AD8)/(AE3-AD3))+((AD8-AC8)/(AD3-AC3))-0.025,(AE8-AD8)/(AE3-AD3)))</f>
        <v>#N/A</v>
      </c>
      <c r="AF9" s="75" t="e">
        <f>IF((AF8-AE8)/(AF3-AE3)&gt;0.025,0.025,IF((AE8-AD8)/(AE3-AD3)&gt;0.025,((AF8-AE8)/(AF3-AE3))+((AE8-AD8)/(AE3-AD3))-0.025,(AF8-AE8)/(AF3-AE3)))</f>
        <v>#N/A</v>
      </c>
      <c r="AI9" s="5" t="s">
        <v>1393</v>
      </c>
      <c r="AJ9" s="75" t="e">
        <f>AJ8/(2050-AK3)</f>
        <v>#N/A</v>
      </c>
      <c r="AK9" s="75">
        <v>0.01</v>
      </c>
      <c r="AL9" s="75" t="e">
        <f>IF((AL8-AK8)/(AL3-AK3)&gt;0.025,0.025,(AL8-AK8)/(AL3-AK3))</f>
        <v>#N/A</v>
      </c>
      <c r="AM9" s="75" t="e">
        <f>IF((AM8-AL8)/(AM3-AL3)&gt;0.025,0.025,IF((AL8-AK8)/(AL3-AK3)&gt;0.025,((AM8-AL8)/(AM3-AL3))+((AL8-AK8)/(AL3-AK3))-0.025,(AM8-AL8)/(AM3-AL3)))</f>
        <v>#N/A</v>
      </c>
      <c r="AN9" s="75" t="e">
        <f>IF((AN8-AM8)/(AN3-AM3)&gt;0.025,0.025,IF((AM8-AL8)/(AM3-AL3)&gt;0.025,((AN8-AM8)/(AN3-AM3))+((AM8-AL8)/(AM3-AL3))-0.025,(AN8-AM8)/(AN3-AM3)))</f>
        <v>#N/A</v>
      </c>
      <c r="AO9" s="75" t="e">
        <f>IF((AO8-AN8)/(AO3-AN3)&gt;0.025,0.025,IF((AN8-AM8)/(AN3-AM3)&gt;0.025,((AO8-AN8)/(AO3-AN3))+((AN8-AM8)/(AN3-AM3))-0.025,(AO8-AN8)/(AO3-AN3)))</f>
        <v>#N/A</v>
      </c>
      <c r="AP9" s="75" t="e">
        <f>IF((AP8-AO8)/(AP3-AO3)&gt;0.025,0.025,IF((AO8-AN8)/(AO3-AN3)&gt;0.025,((AP8-AO8)/(AP3-AO3))+((AO8-AN8)/(AO3-AN3))-0.025,(AP8-AO8)/(AP3-AO3)))</f>
        <v>#N/A</v>
      </c>
      <c r="AQ9" s="75" t="e">
        <f>IF((AQ8-AP8)/(AQ3-AP3)&gt;0.025,0.025,IF((AP8-AO8)/(AP3-AO3)&gt;0.025,((AQ8-AP8)/(AQ3-AP3))+((AP8-AO8)/(AP3-AO3))-0.025,(AQ8-AP8)/(AQ3-AP3)))</f>
        <v>#N/A</v>
      </c>
      <c r="AT9" s="5" t="s">
        <v>1393</v>
      </c>
      <c r="AU9" s="75" t="e">
        <f>AU8/(2050-AV3)</f>
        <v>#N/A</v>
      </c>
      <c r="AV9" s="75">
        <v>0.01</v>
      </c>
      <c r="AW9" s="75" t="e">
        <f>IF((AW8-AV8)/(AW3-AV3)&gt;0.025,0.025,(AW8-AV8)/(AW3-AV3))</f>
        <v>#N/A</v>
      </c>
      <c r="AX9" s="75" t="e">
        <f>IF((AX8-AW8)/(AX3-AW3)&gt;0.025,0.025,IF((AW8-AV8)/(AW3-AV3)&gt;0.025,((AX8-AW8)/(AX3-AW3))+((AW8-AV8)/(AW3-AV3))-0.025,(AX8-AW8)/(AX3-AW3)))</f>
        <v>#N/A</v>
      </c>
      <c r="AY9" s="75" t="e">
        <f>IF((AY8-AX8)/(AY3-AX3)&gt;0.025,0.025,IF((AX8-AW8)/(AX3-AW3)&gt;0.025,((AY8-AX8)/(AY3-AX3))+((AX8-AW8)/(AX3-AW3))-0.025,(AY8-AX8)/(AY3-AX3)))</f>
        <v>#N/A</v>
      </c>
      <c r="AZ9" s="75" t="e">
        <f>IF((AZ8-AY8)/(AZ3-AY3)&gt;0.025,0.025,IF((AY8-AX8)/(AY3-AX3)&gt;0.025,((AZ8-AY8)/(AZ3-AY3))+((AY8-AX8)/(AY3-AX3))-0.025,(AZ8-AY8)/(AZ3-AY3)))</f>
        <v>#N/A</v>
      </c>
      <c r="BA9" s="75" t="e">
        <f>IF((BA8-AZ8)/(BA3-AZ3)&gt;0.025,0.025,IF((AZ8-AY8)/(AZ3-AY3)&gt;0.025,((BA8-AZ8)/(BA3-AZ3))+((AZ8-AY8)/(AZ3-AY3))-0.025,(BA8-AZ8)/(BA3-AZ3)))</f>
        <v>#N/A</v>
      </c>
      <c r="BB9" s="75" t="e">
        <f>IF((BB8-BA8)/(BB3-BA3)&gt;0.025,0.025,IF((BA8-AZ8)/(BA3-AZ3)&gt;0.025,((BB8-BA8)/(BB3-BA3))+((BA8-AZ8)/(BA3-AZ3))-0.025,(BB8-BA8)/(BB3-BA3)))</f>
        <v>#N/A</v>
      </c>
    </row>
    <row r="10" spans="2:54" ht="15" thickBot="1" x14ac:dyDescent="0.4">
      <c r="B10" s="14" t="s">
        <v>1405</v>
      </c>
      <c r="C10" s="77"/>
      <c r="D10" s="995" t="e">
        <f>AVERAGE(D9:I9)</f>
        <v>#N/A</v>
      </c>
      <c r="E10" s="995"/>
      <c r="F10" s="995"/>
      <c r="G10" s="995"/>
      <c r="H10" s="995"/>
      <c r="I10" s="995"/>
      <c r="J10" s="995"/>
      <c r="M10" s="14" t="s">
        <v>1405</v>
      </c>
      <c r="N10" s="78"/>
      <c r="O10" s="996" t="e">
        <f>AVERAGE(O9:T9)</f>
        <v>#N/A</v>
      </c>
      <c r="P10" s="996"/>
      <c r="Q10" s="996"/>
      <c r="R10" s="996"/>
      <c r="S10" s="996"/>
      <c r="T10" s="996"/>
      <c r="U10" s="996"/>
      <c r="X10" s="14" t="s">
        <v>1405</v>
      </c>
      <c r="Y10" s="78"/>
      <c r="Z10" s="996" t="e">
        <f>AVERAGE(Z9:AE9)</f>
        <v>#N/A</v>
      </c>
      <c r="AA10" s="996"/>
      <c r="AB10" s="996"/>
      <c r="AC10" s="996"/>
      <c r="AD10" s="996"/>
      <c r="AE10" s="996"/>
      <c r="AF10" s="996"/>
      <c r="AI10" s="14" t="s">
        <v>1405</v>
      </c>
      <c r="AJ10" s="78"/>
      <c r="AK10" s="996" t="e">
        <f>AVERAGE(AK9:AP9)</f>
        <v>#N/A</v>
      </c>
      <c r="AL10" s="996"/>
      <c r="AM10" s="996"/>
      <c r="AN10" s="996"/>
      <c r="AO10" s="996"/>
      <c r="AP10" s="996"/>
      <c r="AQ10" s="996"/>
      <c r="AT10" s="14" t="s">
        <v>1405</v>
      </c>
      <c r="AU10" s="78"/>
      <c r="AV10" s="996" t="e">
        <f>AVERAGE(AV9:BA9)</f>
        <v>#N/A</v>
      </c>
      <c r="AW10" s="996"/>
      <c r="AX10" s="996"/>
      <c r="AY10" s="996"/>
      <c r="AZ10" s="996"/>
      <c r="BA10" s="996"/>
      <c r="BB10" s="996"/>
    </row>
    <row r="29" spans="2:10" ht="15" thickBot="1" x14ac:dyDescent="0.4"/>
    <row r="30" spans="2:10" ht="15" thickBot="1" x14ac:dyDescent="0.4">
      <c r="C30" s="89">
        <v>2</v>
      </c>
      <c r="D30" s="89">
        <v>3</v>
      </c>
      <c r="E30" s="89">
        <v>4</v>
      </c>
      <c r="F30" s="89">
        <v>5</v>
      </c>
      <c r="G30" s="89">
        <v>6</v>
      </c>
      <c r="H30" s="89">
        <v>7</v>
      </c>
      <c r="I30" s="89">
        <v>8</v>
      </c>
      <c r="J30" s="89">
        <v>9</v>
      </c>
    </row>
    <row r="31" spans="2:10" x14ac:dyDescent="0.35">
      <c r="B31" s="181" t="s">
        <v>1393</v>
      </c>
      <c r="C31" s="365" t="s">
        <v>1394</v>
      </c>
      <c r="D31" s="365" t="s">
        <v>1798</v>
      </c>
      <c r="E31" s="365" t="s">
        <v>1799</v>
      </c>
      <c r="F31" s="365" t="s">
        <v>1800</v>
      </c>
      <c r="G31" s="365" t="s">
        <v>1801</v>
      </c>
      <c r="H31" s="365" t="s">
        <v>1802</v>
      </c>
      <c r="I31" s="365" t="s">
        <v>1803</v>
      </c>
      <c r="J31" s="93" t="s">
        <v>1804</v>
      </c>
    </row>
    <row r="32" spans="2:10" x14ac:dyDescent="0.35">
      <c r="B32" s="19" t="s">
        <v>1197</v>
      </c>
      <c r="C32" s="182" t="e">
        <f>O10</f>
        <v>#N/A</v>
      </c>
      <c r="D32" s="182">
        <f t="shared" ref="D32:J32" si="16">O9</f>
        <v>0.01</v>
      </c>
      <c r="E32" s="182" t="e">
        <f t="shared" si="16"/>
        <v>#N/A</v>
      </c>
      <c r="F32" s="182" t="e">
        <f t="shared" si="16"/>
        <v>#N/A</v>
      </c>
      <c r="G32" s="182" t="e">
        <f t="shared" si="16"/>
        <v>#N/A</v>
      </c>
      <c r="H32" s="182" t="e">
        <f t="shared" si="16"/>
        <v>#N/A</v>
      </c>
      <c r="I32" s="182" t="e">
        <f t="shared" si="16"/>
        <v>#N/A</v>
      </c>
      <c r="J32" s="182" t="e">
        <f t="shared" si="16"/>
        <v>#N/A</v>
      </c>
    </row>
    <row r="33" spans="2:10" x14ac:dyDescent="0.35">
      <c r="B33" s="19" t="s">
        <v>1198</v>
      </c>
      <c r="C33" s="182" t="e">
        <f>Z10</f>
        <v>#N/A</v>
      </c>
      <c r="D33" s="182">
        <f t="shared" ref="D33:J33" si="17">Z9</f>
        <v>0.01</v>
      </c>
      <c r="E33" s="182" t="e">
        <f t="shared" si="17"/>
        <v>#N/A</v>
      </c>
      <c r="F33" s="182" t="e">
        <f t="shared" si="17"/>
        <v>#N/A</v>
      </c>
      <c r="G33" s="182" t="e">
        <f t="shared" si="17"/>
        <v>#N/A</v>
      </c>
      <c r="H33" s="182" t="e">
        <f t="shared" si="17"/>
        <v>#N/A</v>
      </c>
      <c r="I33" s="182" t="e">
        <f t="shared" si="17"/>
        <v>#N/A</v>
      </c>
      <c r="J33" s="182" t="e">
        <f t="shared" si="17"/>
        <v>#N/A</v>
      </c>
    </row>
    <row r="34" spans="2:10" x14ac:dyDescent="0.35">
      <c r="B34" s="19" t="s">
        <v>1199</v>
      </c>
      <c r="C34" s="182" t="e">
        <f>AK10</f>
        <v>#N/A</v>
      </c>
      <c r="D34" s="182">
        <f t="shared" ref="D34:J34" si="18">AK9</f>
        <v>0.01</v>
      </c>
      <c r="E34" s="182" t="e">
        <f t="shared" si="18"/>
        <v>#N/A</v>
      </c>
      <c r="F34" s="182" t="e">
        <f t="shared" si="18"/>
        <v>#N/A</v>
      </c>
      <c r="G34" s="182" t="e">
        <f t="shared" si="18"/>
        <v>#N/A</v>
      </c>
      <c r="H34" s="182" t="e">
        <f t="shared" si="18"/>
        <v>#N/A</v>
      </c>
      <c r="I34" s="182" t="e">
        <f t="shared" si="18"/>
        <v>#N/A</v>
      </c>
      <c r="J34" s="182" t="e">
        <f t="shared" si="18"/>
        <v>#N/A</v>
      </c>
    </row>
    <row r="35" spans="2:10" x14ac:dyDescent="0.35">
      <c r="B35" s="19" t="s">
        <v>1200</v>
      </c>
      <c r="C35" s="182" t="e">
        <f>AV10</f>
        <v>#N/A</v>
      </c>
      <c r="D35" s="182">
        <f t="shared" ref="D35:J35" si="19">AV9</f>
        <v>0.01</v>
      </c>
      <c r="E35" s="182" t="e">
        <f t="shared" si="19"/>
        <v>#N/A</v>
      </c>
      <c r="F35" s="182" t="e">
        <f t="shared" si="19"/>
        <v>#N/A</v>
      </c>
      <c r="G35" s="182" t="e">
        <f t="shared" si="19"/>
        <v>#N/A</v>
      </c>
      <c r="H35" s="182" t="e">
        <f t="shared" si="19"/>
        <v>#N/A</v>
      </c>
      <c r="I35" s="182" t="e">
        <f t="shared" si="19"/>
        <v>#N/A</v>
      </c>
      <c r="J35" s="182" t="e">
        <f t="shared" si="19"/>
        <v>#N/A</v>
      </c>
    </row>
    <row r="36" spans="2:10" x14ac:dyDescent="0.35">
      <c r="B36" s="19"/>
      <c r="C36" s="38"/>
      <c r="D36" s="38"/>
      <c r="E36" s="38"/>
      <c r="F36" s="38"/>
      <c r="G36" s="38"/>
      <c r="H36" s="38"/>
      <c r="I36" s="38"/>
      <c r="J36" s="38"/>
    </row>
    <row r="37" spans="2:10" x14ac:dyDescent="0.35">
      <c r="B37" s="19" t="s">
        <v>1795</v>
      </c>
      <c r="C37" s="182" t="e">
        <f>D10</f>
        <v>#N/A</v>
      </c>
      <c r="D37" s="182">
        <f>D9</f>
        <v>0.01</v>
      </c>
      <c r="E37" s="182" t="e">
        <f t="shared" ref="E37:J37" si="20">E9</f>
        <v>#N/A</v>
      </c>
      <c r="F37" s="182" t="e">
        <f t="shared" si="20"/>
        <v>#N/A</v>
      </c>
      <c r="G37" s="182" t="e">
        <f t="shared" si="20"/>
        <v>#N/A</v>
      </c>
      <c r="H37" s="182" t="e">
        <f t="shared" si="20"/>
        <v>#N/A</v>
      </c>
      <c r="I37" s="182" t="e">
        <f t="shared" si="20"/>
        <v>#N/A</v>
      </c>
      <c r="J37" s="182" t="e">
        <f t="shared" si="20"/>
        <v>#N/A</v>
      </c>
    </row>
    <row r="38" spans="2:10" ht="15" thickBot="1" x14ac:dyDescent="0.4">
      <c r="B38" s="20" t="s">
        <v>1229</v>
      </c>
      <c r="C38" s="354" t="e">
        <f>AVERAGE(D38:J38)</f>
        <v>#N/A</v>
      </c>
      <c r="D38" s="354">
        <v>0.01</v>
      </c>
      <c r="E38" s="354" t="e">
        <f t="shared" ref="E38:J38" si="21">E37*(E4/(E4+AW4))+E35*(AW4/(E4+AW4))</f>
        <v>#N/A</v>
      </c>
      <c r="F38" s="354" t="e">
        <f t="shared" si="21"/>
        <v>#N/A</v>
      </c>
      <c r="G38" s="354" t="e">
        <f t="shared" si="21"/>
        <v>#N/A</v>
      </c>
      <c r="H38" s="354" t="e">
        <f t="shared" si="21"/>
        <v>#N/A</v>
      </c>
      <c r="I38" s="354" t="e">
        <f t="shared" si="21"/>
        <v>#N/A</v>
      </c>
      <c r="J38" s="354" t="e">
        <f t="shared" si="21"/>
        <v>#N/A</v>
      </c>
    </row>
  </sheetData>
  <mergeCells count="5">
    <mergeCell ref="D10:J10"/>
    <mergeCell ref="O10:U10"/>
    <mergeCell ref="Z10:AF10"/>
    <mergeCell ref="AK10:AQ10"/>
    <mergeCell ref="AV10:BB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8"/>
  </sheetPr>
  <dimension ref="B1:T63"/>
  <sheetViews>
    <sheetView zoomScaleNormal="100" workbookViewId="0">
      <selection activeCell="R78" sqref="R78"/>
    </sheetView>
  </sheetViews>
  <sheetFormatPr baseColWidth="10" defaultColWidth="11.453125" defaultRowHeight="14.5" x14ac:dyDescent="0.35"/>
  <cols>
    <col min="2" max="2" width="33.453125" bestFit="1" customWidth="1"/>
    <col min="12" max="12" width="53.1796875" bestFit="1" customWidth="1"/>
  </cols>
  <sheetData>
    <row r="1" spans="2:20" ht="15" thickBot="1" x14ac:dyDescent="0.4"/>
    <row r="2" spans="2:20" x14ac:dyDescent="0.35">
      <c r="B2" s="91" t="s">
        <v>2029</v>
      </c>
      <c r="C2" s="89">
        <v>2</v>
      </c>
      <c r="D2" s="89">
        <v>3</v>
      </c>
      <c r="E2" s="89">
        <v>4</v>
      </c>
      <c r="F2" s="89">
        <v>5</v>
      </c>
      <c r="G2" s="89">
        <v>6</v>
      </c>
      <c r="H2" s="89">
        <v>7</v>
      </c>
      <c r="I2" s="89">
        <v>8</v>
      </c>
      <c r="J2" s="89">
        <v>9</v>
      </c>
      <c r="L2" s="91" t="s">
        <v>2029</v>
      </c>
      <c r="M2" s="89">
        <v>2</v>
      </c>
      <c r="N2" s="89">
        <v>3</v>
      </c>
      <c r="O2" s="89">
        <v>4</v>
      </c>
      <c r="P2" s="89">
        <v>5</v>
      </c>
      <c r="Q2" s="89">
        <v>6</v>
      </c>
      <c r="R2" s="89">
        <v>7</v>
      </c>
      <c r="S2" s="89">
        <v>8</v>
      </c>
      <c r="T2" s="89">
        <v>9</v>
      </c>
    </row>
    <row r="3" spans="2:20" x14ac:dyDescent="0.35">
      <c r="B3" s="40"/>
      <c r="C3" s="365" t="s">
        <v>23</v>
      </c>
      <c r="D3" s="365" t="s">
        <v>1798</v>
      </c>
      <c r="E3" s="365" t="s">
        <v>1799</v>
      </c>
      <c r="F3" s="365" t="s">
        <v>1800</v>
      </c>
      <c r="G3" s="365" t="s">
        <v>1801</v>
      </c>
      <c r="H3" s="365" t="s">
        <v>1802</v>
      </c>
      <c r="I3" s="365" t="s">
        <v>1803</v>
      </c>
      <c r="J3" s="93" t="s">
        <v>1804</v>
      </c>
      <c r="L3" s="40"/>
      <c r="M3" s="365" t="s">
        <v>23</v>
      </c>
      <c r="N3" s="365" t="s">
        <v>1798</v>
      </c>
      <c r="O3" s="365" t="s">
        <v>1799</v>
      </c>
      <c r="P3" s="365" t="s">
        <v>1800</v>
      </c>
      <c r="Q3" s="365" t="s">
        <v>1801</v>
      </c>
      <c r="R3" s="365" t="s">
        <v>1802</v>
      </c>
      <c r="S3" s="365" t="s">
        <v>1803</v>
      </c>
      <c r="T3" s="93" t="s">
        <v>1804</v>
      </c>
    </row>
    <row r="4" spans="2:20" x14ac:dyDescent="0.35">
      <c r="B4" s="40" t="s">
        <v>780</v>
      </c>
      <c r="C4" s="16">
        <f>IFERROR(VLOOKUP($B4,flows!$A$2:$J$4985,C$2,FALSE),0)</f>
        <v>0</v>
      </c>
      <c r="D4" s="16">
        <f>IFERROR(VLOOKUP($B4,flows!$A$2:$J$4985,D$2,FALSE),0)</f>
        <v>0</v>
      </c>
      <c r="E4" s="16">
        <f>IFERROR(VLOOKUP($B4,flows!$A$2:$J$4985,E$2,FALSE),0)</f>
        <v>0</v>
      </c>
      <c r="F4" s="16">
        <f>IFERROR(VLOOKUP($B4,flows!$A$2:$J$4985,F$2,FALSE),0)</f>
        <v>0</v>
      </c>
      <c r="G4" s="16">
        <f>IFERROR(VLOOKUP($B4,flows!$A$2:$J$4985,G$2,FALSE),0)</f>
        <v>0</v>
      </c>
      <c r="H4" s="16">
        <f>IFERROR(VLOOKUP($B4,flows!$A$2:$J$4985,H$2,FALSE),0)</f>
        <v>0</v>
      </c>
      <c r="I4" s="16">
        <f>IFERROR(VLOOKUP($B4,flows!$A$2:$J$4985,I$2,FALSE),0)</f>
        <v>0</v>
      </c>
      <c r="J4" s="16">
        <f>IFERROR(VLOOKUP($B4,flows!$A$2:$J$4985,J$2,FALSE),0)</f>
        <v>0</v>
      </c>
      <c r="L4" s="40" t="s">
        <v>531</v>
      </c>
      <c r="M4" s="16">
        <f>IFERROR(VLOOKUP($L4,flows!$A$2:$J$4985,M$2,FALSE),0)</f>
        <v>0</v>
      </c>
      <c r="N4" s="16">
        <f>IFERROR(VLOOKUP($L4,flows!$A$2:$J$4985,N$2,FALSE),0)</f>
        <v>0</v>
      </c>
      <c r="O4" s="16">
        <f>IFERROR(VLOOKUP($L4,flows!$A$2:$J$4985,O$2,FALSE),0)</f>
        <v>0</v>
      </c>
      <c r="P4" s="16">
        <f>IFERROR(VLOOKUP($L4,flows!$A$2:$J$4985,P$2,FALSE),0)</f>
        <v>0</v>
      </c>
      <c r="Q4" s="16">
        <f>IFERROR(VLOOKUP($L4,flows!$A$2:$J$4985,Q$2,FALSE),0)</f>
        <v>0</v>
      </c>
      <c r="R4" s="16">
        <f>IFERROR(VLOOKUP($L4,flows!$A$2:$J$4985,R$2,FALSE),0)</f>
        <v>0</v>
      </c>
      <c r="S4" s="16">
        <f>IFERROR(VLOOKUP($L4,flows!$A$2:$J$4985,S$2,FALSE),0)</f>
        <v>0</v>
      </c>
      <c r="T4" s="16">
        <f>IFERROR(VLOOKUP($L4,flows!$A$2:$J$4985,T$2,FALSE),0)</f>
        <v>0</v>
      </c>
    </row>
    <row r="5" spans="2:20" x14ac:dyDescent="0.35">
      <c r="B5" s="40" t="s">
        <v>781</v>
      </c>
      <c r="C5" s="16">
        <f>IFERROR(VLOOKUP($B5,flows!$A$2:$J$4985,C$2,FALSE),0)</f>
        <v>0</v>
      </c>
      <c r="D5" s="16">
        <f>IFERROR(VLOOKUP($B5,flows!$A$2:$J$4985,D$2,FALSE),0)</f>
        <v>0</v>
      </c>
      <c r="E5" s="16">
        <f>IFERROR(VLOOKUP($B5,flows!$A$2:$J$4985,E$2,FALSE),0)</f>
        <v>0</v>
      </c>
      <c r="F5" s="16">
        <f>IFERROR(VLOOKUP($B5,flows!$A$2:$J$4985,F$2,FALSE),0)</f>
        <v>0</v>
      </c>
      <c r="G5" s="16">
        <f>IFERROR(VLOOKUP($B5,flows!$A$2:$J$4985,G$2,FALSE),0)</f>
        <v>0</v>
      </c>
      <c r="H5" s="16">
        <f>IFERROR(VLOOKUP($B5,flows!$A$2:$J$4985,H$2,FALSE),0)</f>
        <v>0</v>
      </c>
      <c r="I5" s="16">
        <f>IFERROR(VLOOKUP($B5,flows!$A$2:$J$4985,I$2,FALSE),0)</f>
        <v>0</v>
      </c>
      <c r="J5" s="16">
        <f>IFERROR(VLOOKUP($B5,flows!$A$2:$J$4985,J$2,FALSE),0)</f>
        <v>0</v>
      </c>
      <c r="L5" s="40" t="s">
        <v>532</v>
      </c>
      <c r="M5" s="16">
        <f>IFERROR(VLOOKUP($L5,flows!$A$2:$J$4985,M$2,FALSE),0)</f>
        <v>0</v>
      </c>
      <c r="N5" s="16">
        <f>IFERROR(VLOOKUP($L5,flows!$A$2:$J$4985,N$2,FALSE),0)</f>
        <v>0</v>
      </c>
      <c r="O5" s="16">
        <f>IFERROR(VLOOKUP($L5,flows!$A$2:$J$4985,O$2,FALSE),0)</f>
        <v>0</v>
      </c>
      <c r="P5" s="16">
        <f>IFERROR(VLOOKUP($L5,flows!$A$2:$J$4985,P$2,FALSE),0)</f>
        <v>0</v>
      </c>
      <c r="Q5" s="16">
        <f>IFERROR(VLOOKUP($L5,flows!$A$2:$J$4985,Q$2,FALSE),0)</f>
        <v>0</v>
      </c>
      <c r="R5" s="16">
        <f>IFERROR(VLOOKUP($L5,flows!$A$2:$J$4985,R$2,FALSE),0)</f>
        <v>0</v>
      </c>
      <c r="S5" s="16">
        <f>IFERROR(VLOOKUP($L5,flows!$A$2:$J$4985,S$2,FALSE),0)</f>
        <v>0</v>
      </c>
      <c r="T5" s="16">
        <f>IFERROR(VLOOKUP($L5,flows!$A$2:$J$4985,T$2,FALSE),0)</f>
        <v>0</v>
      </c>
    </row>
    <row r="6" spans="2:20" x14ac:dyDescent="0.35">
      <c r="B6" s="40" t="s">
        <v>782</v>
      </c>
      <c r="C6" s="16">
        <f>IFERROR(VLOOKUP($B6,flows!$A$2:$J$4985,C$2,FALSE),0)</f>
        <v>0</v>
      </c>
      <c r="D6" s="16">
        <f>IFERROR(VLOOKUP($B6,flows!$A$2:$J$4985,D$2,FALSE),0)</f>
        <v>0</v>
      </c>
      <c r="E6" s="16">
        <f>IFERROR(VLOOKUP($B6,flows!$A$2:$J$4985,E$2,FALSE),0)</f>
        <v>0</v>
      </c>
      <c r="F6" s="16">
        <f>IFERROR(VLOOKUP($B6,flows!$A$2:$J$4985,F$2,FALSE),0)</f>
        <v>0</v>
      </c>
      <c r="G6" s="16">
        <f>IFERROR(VLOOKUP($B6,flows!$A$2:$J$4985,G$2,FALSE),0)</f>
        <v>0</v>
      </c>
      <c r="H6" s="16">
        <f>IFERROR(VLOOKUP($B6,flows!$A$2:$J$4985,H$2,FALSE),0)</f>
        <v>0</v>
      </c>
      <c r="I6" s="16">
        <f>IFERROR(VLOOKUP($B6,flows!$A$2:$J$4985,I$2,FALSE),0)</f>
        <v>0</v>
      </c>
      <c r="J6" s="16">
        <f>IFERROR(VLOOKUP($B6,flows!$A$2:$J$4985,J$2,FALSE),0)</f>
        <v>0</v>
      </c>
      <c r="L6" s="40" t="s">
        <v>619</v>
      </c>
      <c r="M6" s="16">
        <f>IFERROR(VLOOKUP($L6,flows!$A$2:$J$4985,M$2,FALSE),0)</f>
        <v>0</v>
      </c>
      <c r="N6" s="16">
        <f>IFERROR(VLOOKUP($L6,flows!$A$2:$J$4985,N$2,FALSE),0)</f>
        <v>0</v>
      </c>
      <c r="O6" s="16">
        <f>IFERROR(VLOOKUP($L6,flows!$A$2:$J$4985,O$2,FALSE),0)</f>
        <v>0</v>
      </c>
      <c r="P6" s="16">
        <f>IFERROR(VLOOKUP($L6,flows!$A$2:$J$4985,P$2,FALSE),0)</f>
        <v>0</v>
      </c>
      <c r="Q6" s="16">
        <f>IFERROR(VLOOKUP($L6,flows!$A$2:$J$4985,Q$2,FALSE),0)</f>
        <v>0</v>
      </c>
      <c r="R6" s="16">
        <f>IFERROR(VLOOKUP($L6,flows!$A$2:$J$4985,R$2,FALSE),0)</f>
        <v>0</v>
      </c>
      <c r="S6" s="16">
        <f>IFERROR(VLOOKUP($L6,flows!$A$2:$J$4985,S$2,FALSE),0)</f>
        <v>0</v>
      </c>
      <c r="T6" s="16">
        <f>IFERROR(VLOOKUP($L6,flows!$A$2:$J$4985,T$2,FALSE),0)</f>
        <v>0</v>
      </c>
    </row>
    <row r="7" spans="2:20" x14ac:dyDescent="0.35">
      <c r="B7" s="40" t="s">
        <v>783</v>
      </c>
      <c r="C7" s="16">
        <f>IFERROR(VLOOKUP($B7,flows!$A$2:$J$4985,C$2,FALSE),0)</f>
        <v>0</v>
      </c>
      <c r="D7" s="16">
        <f>IFERROR(VLOOKUP($B7,flows!$A$2:$J$4985,D$2,FALSE),0)</f>
        <v>0</v>
      </c>
      <c r="E7" s="16">
        <f>IFERROR(VLOOKUP($B7,flows!$A$2:$J$4985,E$2,FALSE),0)</f>
        <v>0</v>
      </c>
      <c r="F7" s="16">
        <f>IFERROR(VLOOKUP($B7,flows!$A$2:$J$4985,F$2,FALSE),0)</f>
        <v>0</v>
      </c>
      <c r="G7" s="16">
        <f>IFERROR(VLOOKUP($B7,flows!$A$2:$J$4985,G$2,FALSE),0)</f>
        <v>0</v>
      </c>
      <c r="H7" s="16">
        <f>IFERROR(VLOOKUP($B7,flows!$A$2:$J$4985,H$2,FALSE),0)</f>
        <v>0</v>
      </c>
      <c r="I7" s="16">
        <f>IFERROR(VLOOKUP($B7,flows!$A$2:$J$4985,I$2,FALSE),0)</f>
        <v>0</v>
      </c>
      <c r="J7" s="16">
        <f>IFERROR(VLOOKUP($B7,flows!$A$2:$J$4985,J$2,FALSE),0)</f>
        <v>0</v>
      </c>
      <c r="L7" s="40" t="s">
        <v>622</v>
      </c>
      <c r="M7" s="16">
        <f>IFERROR(VLOOKUP($L7,flows!$A$2:$J$4985,M$2,FALSE),0)</f>
        <v>0</v>
      </c>
      <c r="N7" s="16">
        <f>IFERROR(VLOOKUP($L7,flows!$A$2:$J$4985,N$2,FALSE),0)</f>
        <v>0</v>
      </c>
      <c r="O7" s="16">
        <f>IFERROR(VLOOKUP($L7,flows!$A$2:$J$4985,O$2,FALSE),0)</f>
        <v>0</v>
      </c>
      <c r="P7" s="16">
        <f>IFERROR(VLOOKUP($L7,flows!$A$2:$J$4985,P$2,FALSE),0)</f>
        <v>0</v>
      </c>
      <c r="Q7" s="16">
        <f>IFERROR(VLOOKUP($L7,flows!$A$2:$J$4985,Q$2,FALSE),0)</f>
        <v>0</v>
      </c>
      <c r="R7" s="16">
        <f>IFERROR(VLOOKUP($L7,flows!$A$2:$J$4985,R$2,FALSE),0)</f>
        <v>0</v>
      </c>
      <c r="S7" s="16">
        <f>IFERROR(VLOOKUP($L7,flows!$A$2:$J$4985,S$2,FALSE),0)</f>
        <v>0</v>
      </c>
      <c r="T7" s="16">
        <f>IFERROR(VLOOKUP($L7,flows!$A$2:$J$4985,T$2,FALSE),0)</f>
        <v>0</v>
      </c>
    </row>
    <row r="8" spans="2:20" x14ac:dyDescent="0.35">
      <c r="B8" s="40" t="s">
        <v>784</v>
      </c>
      <c r="C8" s="16">
        <f>IFERROR(VLOOKUP($B8,flows!$A$2:$J$4985,C$2,FALSE),0)</f>
        <v>0</v>
      </c>
      <c r="D8" s="16">
        <f>IFERROR(VLOOKUP($B8,flows!$A$2:$J$4985,D$2,FALSE),0)</f>
        <v>0</v>
      </c>
      <c r="E8" s="16">
        <f>IFERROR(VLOOKUP($B8,flows!$A$2:$J$4985,E$2,FALSE),0)</f>
        <v>0</v>
      </c>
      <c r="F8" s="16">
        <f>IFERROR(VLOOKUP($B8,flows!$A$2:$J$4985,F$2,FALSE),0)</f>
        <v>0</v>
      </c>
      <c r="G8" s="16">
        <f>IFERROR(VLOOKUP($B8,flows!$A$2:$J$4985,G$2,FALSE),0)</f>
        <v>0</v>
      </c>
      <c r="H8" s="16">
        <f>IFERROR(VLOOKUP($B8,flows!$A$2:$J$4985,H$2,FALSE),0)</f>
        <v>0</v>
      </c>
      <c r="I8" s="16">
        <f>IFERROR(VLOOKUP($B8,flows!$A$2:$J$4985,I$2,FALSE),0)</f>
        <v>0</v>
      </c>
      <c r="J8" s="16">
        <f>IFERROR(VLOOKUP($B8,flows!$A$2:$J$4985,J$2,FALSE),0)</f>
        <v>0</v>
      </c>
      <c r="L8" s="40" t="s">
        <v>623</v>
      </c>
      <c r="M8" s="16">
        <f>IFERROR(VLOOKUP($L8,flows!$A$2:$J$4985,M$2,FALSE),0)</f>
        <v>0</v>
      </c>
      <c r="N8" s="16">
        <f>IFERROR(VLOOKUP($L8,flows!$A$2:$J$4985,N$2,FALSE),0)</f>
        <v>0</v>
      </c>
      <c r="O8" s="16">
        <f>IFERROR(VLOOKUP($L8,flows!$A$2:$J$4985,O$2,FALSE),0)</f>
        <v>0</v>
      </c>
      <c r="P8" s="16">
        <f>IFERROR(VLOOKUP($L8,flows!$A$2:$J$4985,P$2,FALSE),0)</f>
        <v>0</v>
      </c>
      <c r="Q8" s="16">
        <f>IFERROR(VLOOKUP($L8,flows!$A$2:$J$4985,Q$2,FALSE),0)</f>
        <v>0</v>
      </c>
      <c r="R8" s="16">
        <f>IFERROR(VLOOKUP($L8,flows!$A$2:$J$4985,R$2,FALSE),0)</f>
        <v>0</v>
      </c>
      <c r="S8" s="16">
        <f>IFERROR(VLOOKUP($L8,flows!$A$2:$J$4985,S$2,FALSE),0)</f>
        <v>0</v>
      </c>
      <c r="T8" s="16">
        <f>IFERROR(VLOOKUP($L8,flows!$A$2:$J$4985,T$2,FALSE),0)</f>
        <v>0</v>
      </c>
    </row>
    <row r="9" spans="2:20" x14ac:dyDescent="0.35">
      <c r="B9" s="40" t="s">
        <v>785</v>
      </c>
      <c r="C9" s="16">
        <f>IFERROR(VLOOKUP($B9,flows!$A$2:$J$4985,C$2,FALSE),0)</f>
        <v>0</v>
      </c>
      <c r="D9" s="16">
        <f>IFERROR(VLOOKUP($B9,flows!$A$2:$J$4985,D$2,FALSE),0)</f>
        <v>0</v>
      </c>
      <c r="E9" s="16">
        <f>IFERROR(VLOOKUP($B9,flows!$A$2:$J$4985,E$2,FALSE),0)</f>
        <v>0</v>
      </c>
      <c r="F9" s="16">
        <f>IFERROR(VLOOKUP($B9,flows!$A$2:$J$4985,F$2,FALSE),0)</f>
        <v>0</v>
      </c>
      <c r="G9" s="16">
        <f>IFERROR(VLOOKUP($B9,flows!$A$2:$J$4985,G$2,FALSE),0)</f>
        <v>0</v>
      </c>
      <c r="H9" s="16">
        <f>IFERROR(VLOOKUP($B9,flows!$A$2:$J$4985,H$2,FALSE),0)</f>
        <v>0</v>
      </c>
      <c r="I9" s="16">
        <f>IFERROR(VLOOKUP($B9,flows!$A$2:$J$4985,I$2,FALSE),0)</f>
        <v>0</v>
      </c>
      <c r="J9" s="16">
        <f>IFERROR(VLOOKUP($B9,flows!$A$2:$J$4985,J$2,FALSE),0)</f>
        <v>0</v>
      </c>
      <c r="L9" s="40" t="s">
        <v>630</v>
      </c>
      <c r="M9" s="16">
        <f>IFERROR(VLOOKUP($L9,flows!$A$2:$J$4985,M$2,FALSE),0)</f>
        <v>0</v>
      </c>
      <c r="N9" s="16">
        <f>IFERROR(VLOOKUP($L9,flows!$A$2:$J$4985,N$2,FALSE),0)</f>
        <v>0</v>
      </c>
      <c r="O9" s="16">
        <f>IFERROR(VLOOKUP($L9,flows!$A$2:$J$4985,O$2,FALSE),0)</f>
        <v>0</v>
      </c>
      <c r="P9" s="16">
        <f>IFERROR(VLOOKUP($L9,flows!$A$2:$J$4985,P$2,FALSE),0)</f>
        <v>0</v>
      </c>
      <c r="Q9" s="16">
        <f>IFERROR(VLOOKUP($L9,flows!$A$2:$J$4985,Q$2,FALSE),0)</f>
        <v>0</v>
      </c>
      <c r="R9" s="16">
        <f>IFERROR(VLOOKUP($L9,flows!$A$2:$J$4985,R$2,FALSE),0)</f>
        <v>0</v>
      </c>
      <c r="S9" s="16">
        <f>IFERROR(VLOOKUP($L9,flows!$A$2:$J$4985,S$2,FALSE),0)</f>
        <v>0</v>
      </c>
      <c r="T9" s="16">
        <f>IFERROR(VLOOKUP($L9,flows!$A$2:$J$4985,T$2,FALSE),0)</f>
        <v>0</v>
      </c>
    </row>
    <row r="10" spans="2:20" x14ac:dyDescent="0.35">
      <c r="B10" s="40" t="s">
        <v>786</v>
      </c>
      <c r="C10" s="16">
        <f>IFERROR(VLOOKUP($B10,flows!$A$2:$J$4985,C$2,FALSE),0)</f>
        <v>0</v>
      </c>
      <c r="D10" s="16">
        <f>IFERROR(VLOOKUP($B10,flows!$A$2:$J$4985,D$2,FALSE),0)</f>
        <v>0</v>
      </c>
      <c r="E10" s="16">
        <f>IFERROR(VLOOKUP($B10,flows!$A$2:$J$4985,E$2,FALSE),0)</f>
        <v>0</v>
      </c>
      <c r="F10" s="16">
        <f>IFERROR(VLOOKUP($B10,flows!$A$2:$J$4985,F$2,FALSE),0)</f>
        <v>0</v>
      </c>
      <c r="G10" s="16">
        <f>IFERROR(VLOOKUP($B10,flows!$A$2:$J$4985,G$2,FALSE),0)</f>
        <v>0</v>
      </c>
      <c r="H10" s="16">
        <f>IFERROR(VLOOKUP($B10,flows!$A$2:$J$4985,H$2,FALSE),0)</f>
        <v>0</v>
      </c>
      <c r="I10" s="16">
        <f>IFERROR(VLOOKUP($B10,flows!$A$2:$J$4985,I$2,FALSE),0)</f>
        <v>0</v>
      </c>
      <c r="J10" s="16">
        <f>IFERROR(VLOOKUP($B10,flows!$A$2:$J$4985,J$2,FALSE),0)</f>
        <v>0</v>
      </c>
      <c r="L10" s="40" t="s">
        <v>675</v>
      </c>
      <c r="M10" s="16">
        <f>IFERROR(VLOOKUP($L10,flows!$A$2:$J$4985,M$2,FALSE),0)</f>
        <v>0</v>
      </c>
      <c r="N10" s="16">
        <f>IFERROR(VLOOKUP($L10,flows!$A$2:$J$4985,N$2,FALSE),0)</f>
        <v>0</v>
      </c>
      <c r="O10" s="16">
        <f>IFERROR(VLOOKUP($L10,flows!$A$2:$J$4985,O$2,FALSE),0)</f>
        <v>0</v>
      </c>
      <c r="P10" s="16">
        <f>IFERROR(VLOOKUP($L10,flows!$A$2:$J$4985,P$2,FALSE),0)</f>
        <v>0</v>
      </c>
      <c r="Q10" s="16">
        <f>IFERROR(VLOOKUP($L10,flows!$A$2:$J$4985,Q$2,FALSE),0)</f>
        <v>0</v>
      </c>
      <c r="R10" s="16">
        <f>IFERROR(VLOOKUP($L10,flows!$A$2:$J$4985,R$2,FALSE),0)</f>
        <v>0</v>
      </c>
      <c r="S10" s="16">
        <f>IFERROR(VLOOKUP($L10,flows!$A$2:$J$4985,S$2,FALSE),0)</f>
        <v>0</v>
      </c>
      <c r="T10" s="16">
        <f>IFERROR(VLOOKUP($L10,flows!$A$2:$J$4985,T$2,FALSE),0)</f>
        <v>0</v>
      </c>
    </row>
    <row r="11" spans="2:20" x14ac:dyDescent="0.35">
      <c r="B11" s="40" t="s">
        <v>787</v>
      </c>
      <c r="C11" s="16">
        <f>IFERROR(VLOOKUP($B11,flows!$A$2:$J$4985,C$2,FALSE),0)</f>
        <v>0</v>
      </c>
      <c r="D11" s="16">
        <f>IFERROR(VLOOKUP($B11,flows!$A$2:$J$4985,D$2,FALSE),0)</f>
        <v>0</v>
      </c>
      <c r="E11" s="16">
        <f>IFERROR(VLOOKUP($B11,flows!$A$2:$J$4985,E$2,FALSE),0)</f>
        <v>0</v>
      </c>
      <c r="F11" s="16">
        <f>IFERROR(VLOOKUP($B11,flows!$A$2:$J$4985,F$2,FALSE),0)</f>
        <v>0</v>
      </c>
      <c r="G11" s="16">
        <f>IFERROR(VLOOKUP($B11,flows!$A$2:$J$4985,G$2,FALSE),0)</f>
        <v>0</v>
      </c>
      <c r="H11" s="16">
        <f>IFERROR(VLOOKUP($B11,flows!$A$2:$J$4985,H$2,FALSE),0)</f>
        <v>0</v>
      </c>
      <c r="I11" s="16">
        <f>IFERROR(VLOOKUP($B11,flows!$A$2:$J$4985,I$2,FALSE),0)</f>
        <v>0</v>
      </c>
      <c r="J11" s="16">
        <f>IFERROR(VLOOKUP($B11,flows!$A$2:$J$4985,J$2,FALSE),0)</f>
        <v>0</v>
      </c>
      <c r="L11" s="40" t="s">
        <v>676</v>
      </c>
      <c r="M11" s="16">
        <f>IFERROR(VLOOKUP($L11,flows!$A$2:$J$4985,M$2,FALSE),0)</f>
        <v>0</v>
      </c>
      <c r="N11" s="16">
        <f>IFERROR(VLOOKUP($L11,flows!$A$2:$J$4985,N$2,FALSE),0)</f>
        <v>0</v>
      </c>
      <c r="O11" s="16">
        <f>IFERROR(VLOOKUP($L11,flows!$A$2:$J$4985,O$2,FALSE),0)</f>
        <v>0</v>
      </c>
      <c r="P11" s="16">
        <f>IFERROR(VLOOKUP($L11,flows!$A$2:$J$4985,P$2,FALSE),0)</f>
        <v>0</v>
      </c>
      <c r="Q11" s="16">
        <f>IFERROR(VLOOKUP($L11,flows!$A$2:$J$4985,Q$2,FALSE),0)</f>
        <v>0</v>
      </c>
      <c r="R11" s="16">
        <f>IFERROR(VLOOKUP($L11,flows!$A$2:$J$4985,R$2,FALSE),0)</f>
        <v>0</v>
      </c>
      <c r="S11" s="16">
        <f>IFERROR(VLOOKUP($L11,flows!$A$2:$J$4985,S$2,FALSE),0)</f>
        <v>0</v>
      </c>
      <c r="T11" s="16">
        <f>IFERROR(VLOOKUP($L11,flows!$A$2:$J$4985,T$2,FALSE),0)</f>
        <v>0</v>
      </c>
    </row>
    <row r="12" spans="2:20" x14ac:dyDescent="0.35">
      <c r="B12" s="40" t="s">
        <v>791</v>
      </c>
      <c r="C12" s="16">
        <f>IFERROR(VLOOKUP($B12,flows!$A$2:$J$4985,C$2,FALSE),0)</f>
        <v>0</v>
      </c>
      <c r="D12" s="16">
        <f>IFERROR(VLOOKUP($B12,flows!$A$2:$J$4985,D$2,FALSE),0)</f>
        <v>0</v>
      </c>
      <c r="E12" s="16">
        <f>IFERROR(VLOOKUP($B12,flows!$A$2:$J$4985,E$2,FALSE),0)</f>
        <v>0</v>
      </c>
      <c r="F12" s="16">
        <f>IFERROR(VLOOKUP($B12,flows!$A$2:$J$4985,F$2,FALSE),0)</f>
        <v>0</v>
      </c>
      <c r="G12" s="16">
        <f>IFERROR(VLOOKUP($B12,flows!$A$2:$J$4985,G$2,FALSE),0)</f>
        <v>0</v>
      </c>
      <c r="H12" s="16">
        <f>IFERROR(VLOOKUP($B12,flows!$A$2:$J$4985,H$2,FALSE),0)</f>
        <v>0</v>
      </c>
      <c r="I12" s="16">
        <f>IFERROR(VLOOKUP($B12,flows!$A$2:$J$4985,I$2,FALSE),0)</f>
        <v>0</v>
      </c>
      <c r="J12" s="16">
        <f>IFERROR(VLOOKUP($B12,flows!$A$2:$J$4985,J$2,FALSE),0)</f>
        <v>0</v>
      </c>
      <c r="L12" s="40" t="s">
        <v>732</v>
      </c>
      <c r="M12" s="16">
        <f>IFERROR(VLOOKUP($L12,flows!$A$2:$J$4985,M$2,FALSE),0)</f>
        <v>0</v>
      </c>
      <c r="N12" s="16">
        <f>IFERROR(VLOOKUP($L12,flows!$A$2:$J$4985,N$2,FALSE),0)</f>
        <v>0</v>
      </c>
      <c r="O12" s="16">
        <f>IFERROR(VLOOKUP($L12,flows!$A$2:$J$4985,O$2,FALSE),0)</f>
        <v>0</v>
      </c>
      <c r="P12" s="16">
        <f>IFERROR(VLOOKUP($L12,flows!$A$2:$J$4985,P$2,FALSE),0)</f>
        <v>0</v>
      </c>
      <c r="Q12" s="16">
        <f>IFERROR(VLOOKUP($L12,flows!$A$2:$J$4985,Q$2,FALSE),0)</f>
        <v>0</v>
      </c>
      <c r="R12" s="16">
        <f>IFERROR(VLOOKUP($L12,flows!$A$2:$J$4985,R$2,FALSE),0)</f>
        <v>0</v>
      </c>
      <c r="S12" s="16">
        <f>IFERROR(VLOOKUP($L12,flows!$A$2:$J$4985,S$2,FALSE),0)</f>
        <v>0</v>
      </c>
      <c r="T12" s="16">
        <f>IFERROR(VLOOKUP($L12,flows!$A$2:$J$4985,T$2,FALSE),0)</f>
        <v>0</v>
      </c>
    </row>
    <row r="13" spans="2:20" x14ac:dyDescent="0.35">
      <c r="B13" s="40" t="s">
        <v>792</v>
      </c>
      <c r="C13" s="16">
        <f>IFERROR(VLOOKUP($B13,flows!$A$2:$J$4985,C$2,FALSE),0)</f>
        <v>0</v>
      </c>
      <c r="D13" s="16">
        <f>IFERROR(VLOOKUP($B13,flows!$A$2:$J$4985,D$2,FALSE),0)</f>
        <v>0</v>
      </c>
      <c r="E13" s="16">
        <f>IFERROR(VLOOKUP($B13,flows!$A$2:$J$4985,E$2,FALSE),0)</f>
        <v>0</v>
      </c>
      <c r="F13" s="16">
        <f>IFERROR(VLOOKUP($B13,flows!$A$2:$J$4985,F$2,FALSE),0)</f>
        <v>0</v>
      </c>
      <c r="G13" s="16">
        <f>IFERROR(VLOOKUP($B13,flows!$A$2:$J$4985,G$2,FALSE),0)</f>
        <v>0</v>
      </c>
      <c r="H13" s="16">
        <f>IFERROR(VLOOKUP($B13,flows!$A$2:$J$4985,H$2,FALSE),0)</f>
        <v>0</v>
      </c>
      <c r="I13" s="16">
        <f>IFERROR(VLOOKUP($B13,flows!$A$2:$J$4985,I$2,FALSE),0)</f>
        <v>0</v>
      </c>
      <c r="J13" s="16">
        <f>IFERROR(VLOOKUP($B13,flows!$A$2:$J$4985,J$2,FALSE),0)</f>
        <v>0</v>
      </c>
      <c r="L13" s="40" t="s">
        <v>739</v>
      </c>
      <c r="M13" s="16">
        <f>IFERROR(VLOOKUP($L13,flows!$A$2:$J$4985,M$2,FALSE),0)</f>
        <v>0</v>
      </c>
      <c r="N13" s="16">
        <f>IFERROR(VLOOKUP($L13,flows!$A$2:$J$4985,N$2,FALSE),0)</f>
        <v>0</v>
      </c>
      <c r="O13" s="16">
        <f>IFERROR(VLOOKUP($L13,flows!$A$2:$J$4985,O$2,FALSE),0)</f>
        <v>0</v>
      </c>
      <c r="P13" s="16">
        <f>IFERROR(VLOOKUP($L13,flows!$A$2:$J$4985,P$2,FALSE),0)</f>
        <v>0</v>
      </c>
      <c r="Q13" s="16">
        <f>IFERROR(VLOOKUP($L13,flows!$A$2:$J$4985,Q$2,FALSE),0)</f>
        <v>0</v>
      </c>
      <c r="R13" s="16">
        <f>IFERROR(VLOOKUP($L13,flows!$A$2:$J$4985,R$2,FALSE),0)</f>
        <v>0</v>
      </c>
      <c r="S13" s="16">
        <f>IFERROR(VLOOKUP($L13,flows!$A$2:$J$4985,S$2,FALSE),0)</f>
        <v>0</v>
      </c>
      <c r="T13" s="16">
        <f>IFERROR(VLOOKUP($L13,flows!$A$2:$J$4985,T$2,FALSE),0)</f>
        <v>0</v>
      </c>
    </row>
    <row r="14" spans="2:20" x14ac:dyDescent="0.35">
      <c r="B14" s="40" t="s">
        <v>794</v>
      </c>
      <c r="C14" s="16">
        <f>IFERROR(VLOOKUP($B14,flows!$A$2:$J$4985,C$2,FALSE),0)</f>
        <v>0</v>
      </c>
      <c r="D14" s="16">
        <f>IFERROR(VLOOKUP($B14,flows!$A$2:$J$4985,D$2,FALSE),0)</f>
        <v>0</v>
      </c>
      <c r="E14" s="16">
        <f>IFERROR(VLOOKUP($B14,flows!$A$2:$J$4985,E$2,FALSE),0)</f>
        <v>0</v>
      </c>
      <c r="F14" s="16">
        <f>IFERROR(VLOOKUP($B14,flows!$A$2:$J$4985,F$2,FALSE),0)</f>
        <v>0</v>
      </c>
      <c r="G14" s="16">
        <f>IFERROR(VLOOKUP($B14,flows!$A$2:$J$4985,G$2,FALSE),0)</f>
        <v>0</v>
      </c>
      <c r="H14" s="16">
        <f>IFERROR(VLOOKUP($B14,flows!$A$2:$J$4985,H$2,FALSE),0)</f>
        <v>0</v>
      </c>
      <c r="I14" s="16">
        <f>IFERROR(VLOOKUP($B14,flows!$A$2:$J$4985,I$2,FALSE),0)</f>
        <v>0</v>
      </c>
      <c r="J14" s="16">
        <f>IFERROR(VLOOKUP($B14,flows!$A$2:$J$4985,J$2,FALSE),0)</f>
        <v>0</v>
      </c>
      <c r="L14" s="40" t="s">
        <v>741</v>
      </c>
      <c r="M14" s="16">
        <f>IFERROR(VLOOKUP($L14,flows!$A$2:$J$4985,M$2,FALSE),0)</f>
        <v>0</v>
      </c>
      <c r="N14" s="16">
        <f>IFERROR(VLOOKUP($L14,flows!$A$2:$J$4985,N$2,FALSE),0)</f>
        <v>0</v>
      </c>
      <c r="O14" s="16">
        <f>IFERROR(VLOOKUP($L14,flows!$A$2:$J$4985,O$2,FALSE),0)</f>
        <v>0</v>
      </c>
      <c r="P14" s="16">
        <f>IFERROR(VLOOKUP($L14,flows!$A$2:$J$4985,P$2,FALSE),0)</f>
        <v>0</v>
      </c>
      <c r="Q14" s="16">
        <f>IFERROR(VLOOKUP($L14,flows!$A$2:$J$4985,Q$2,FALSE),0)</f>
        <v>0</v>
      </c>
      <c r="R14" s="16">
        <f>IFERROR(VLOOKUP($L14,flows!$A$2:$J$4985,R$2,FALSE),0)</f>
        <v>0</v>
      </c>
      <c r="S14" s="16">
        <f>IFERROR(VLOOKUP($L14,flows!$A$2:$J$4985,S$2,FALSE),0)</f>
        <v>0</v>
      </c>
      <c r="T14" s="16">
        <f>IFERROR(VLOOKUP($L14,flows!$A$2:$J$4985,T$2,FALSE),0)</f>
        <v>0</v>
      </c>
    </row>
    <row r="15" spans="2:20" x14ac:dyDescent="0.35">
      <c r="B15" s="40" t="s">
        <v>795</v>
      </c>
      <c r="C15" s="16">
        <f>IFERROR(VLOOKUP($B15,flows!$A$2:$J$4985,C$2,FALSE),0)</f>
        <v>0</v>
      </c>
      <c r="D15" s="16">
        <f>IFERROR(VLOOKUP($B15,flows!$A$2:$J$4985,D$2,FALSE),0)</f>
        <v>0</v>
      </c>
      <c r="E15" s="16">
        <f>IFERROR(VLOOKUP($B15,flows!$A$2:$J$4985,E$2,FALSE),0)</f>
        <v>0</v>
      </c>
      <c r="F15" s="16">
        <f>IFERROR(VLOOKUP($B15,flows!$A$2:$J$4985,F$2,FALSE),0)</f>
        <v>0</v>
      </c>
      <c r="G15" s="16">
        <f>IFERROR(VLOOKUP($B15,flows!$A$2:$J$4985,G$2,FALSE),0)</f>
        <v>0</v>
      </c>
      <c r="H15" s="16">
        <f>IFERROR(VLOOKUP($B15,flows!$A$2:$J$4985,H$2,FALSE),0)</f>
        <v>0</v>
      </c>
      <c r="I15" s="16">
        <f>IFERROR(VLOOKUP($B15,flows!$A$2:$J$4985,I$2,FALSE),0)</f>
        <v>0</v>
      </c>
      <c r="J15" s="16">
        <f>IFERROR(VLOOKUP($B15,flows!$A$2:$J$4985,J$2,FALSE),0)</f>
        <v>0</v>
      </c>
      <c r="L15" s="40" t="s">
        <v>742</v>
      </c>
      <c r="M15" s="16">
        <f>IFERROR(VLOOKUP($L15,flows!$A$2:$J$4985,M$2,FALSE),0)</f>
        <v>0</v>
      </c>
      <c r="N15" s="16">
        <f>IFERROR(VLOOKUP($L15,flows!$A$2:$J$4985,N$2,FALSE),0)</f>
        <v>0</v>
      </c>
      <c r="O15" s="16">
        <f>IFERROR(VLOOKUP($L15,flows!$A$2:$J$4985,O$2,FALSE),0)</f>
        <v>0</v>
      </c>
      <c r="P15" s="16">
        <f>IFERROR(VLOOKUP($L15,flows!$A$2:$J$4985,P$2,FALSE),0)</f>
        <v>0</v>
      </c>
      <c r="Q15" s="16">
        <f>IFERROR(VLOOKUP($L15,flows!$A$2:$J$4985,Q$2,FALSE),0)</f>
        <v>0</v>
      </c>
      <c r="R15" s="16">
        <f>IFERROR(VLOOKUP($L15,flows!$A$2:$J$4985,R$2,FALSE),0)</f>
        <v>0</v>
      </c>
      <c r="S15" s="16">
        <f>IFERROR(VLOOKUP($L15,flows!$A$2:$J$4985,S$2,FALSE),0)</f>
        <v>0</v>
      </c>
      <c r="T15" s="16">
        <f>IFERROR(VLOOKUP($L15,flows!$A$2:$J$4985,T$2,FALSE),0)</f>
        <v>0</v>
      </c>
    </row>
    <row r="16" spans="2:20" x14ac:dyDescent="0.35">
      <c r="B16" s="40" t="s">
        <v>793</v>
      </c>
      <c r="C16" s="16">
        <f>IFERROR(VLOOKUP($B16,flows!$A$2:$J$4985,C$2,FALSE),0)</f>
        <v>0</v>
      </c>
      <c r="D16" s="16">
        <f>IFERROR(VLOOKUP($B16,flows!$A$2:$J$4985,D$2,FALSE),0)</f>
        <v>0</v>
      </c>
      <c r="E16" s="16">
        <f>IFERROR(VLOOKUP($B16,flows!$A$2:$J$4985,E$2,FALSE),0)</f>
        <v>0</v>
      </c>
      <c r="F16" s="16">
        <f>IFERROR(VLOOKUP($B16,flows!$A$2:$J$4985,F$2,FALSE),0)</f>
        <v>0</v>
      </c>
      <c r="G16" s="16">
        <f>IFERROR(VLOOKUP($B16,flows!$A$2:$J$4985,G$2,FALSE),0)</f>
        <v>0</v>
      </c>
      <c r="H16" s="16">
        <f>IFERROR(VLOOKUP($B16,flows!$A$2:$J$4985,H$2,FALSE),0)</f>
        <v>0</v>
      </c>
      <c r="I16" s="16">
        <f>IFERROR(VLOOKUP($B16,flows!$A$2:$J$4985,I$2,FALSE),0)</f>
        <v>0</v>
      </c>
      <c r="J16" s="16">
        <f>IFERROR(VLOOKUP($B16,flows!$A$2:$J$4985,J$2,FALSE),0)</f>
        <v>0</v>
      </c>
      <c r="L16" s="40" t="s">
        <v>740</v>
      </c>
      <c r="M16" s="16">
        <f>IFERROR(VLOOKUP($L16,flows!$A$2:$J$4985,M$2,FALSE),0)</f>
        <v>0</v>
      </c>
      <c r="N16" s="16">
        <f>IFERROR(VLOOKUP($L16,flows!$A$2:$J$4985,N$2,FALSE),0)</f>
        <v>0</v>
      </c>
      <c r="O16" s="16">
        <f>IFERROR(VLOOKUP($L16,flows!$A$2:$J$4985,O$2,FALSE),0)</f>
        <v>0</v>
      </c>
      <c r="P16" s="16">
        <f>IFERROR(VLOOKUP($L16,flows!$A$2:$J$4985,P$2,FALSE),0)</f>
        <v>0</v>
      </c>
      <c r="Q16" s="16">
        <f>IFERROR(VLOOKUP($L16,flows!$A$2:$J$4985,Q$2,FALSE),0)</f>
        <v>0</v>
      </c>
      <c r="R16" s="16">
        <f>IFERROR(VLOOKUP($L16,flows!$A$2:$J$4985,R$2,FALSE),0)</f>
        <v>0</v>
      </c>
      <c r="S16" s="16">
        <f>IFERROR(VLOOKUP($L16,flows!$A$2:$J$4985,S$2,FALSE),0)</f>
        <v>0</v>
      </c>
      <c r="T16" s="16">
        <f>IFERROR(VLOOKUP($L16,flows!$A$2:$J$4985,T$2,FALSE),0)</f>
        <v>0</v>
      </c>
    </row>
    <row r="17" spans="2:20" x14ac:dyDescent="0.35">
      <c r="B17" s="40" t="s">
        <v>798</v>
      </c>
      <c r="C17" s="16">
        <f>IFERROR(VLOOKUP($B17,flows!$A$2:$J$4985,C$2,FALSE),0)</f>
        <v>0</v>
      </c>
      <c r="D17" s="16">
        <f>IFERROR(VLOOKUP($B17,flows!$A$2:$J$4985,D$2,FALSE),0)</f>
        <v>0</v>
      </c>
      <c r="E17" s="16">
        <f>IFERROR(VLOOKUP($B17,flows!$A$2:$J$4985,E$2,FALSE),0)</f>
        <v>0</v>
      </c>
      <c r="F17" s="16">
        <f>IFERROR(VLOOKUP($B17,flows!$A$2:$J$4985,F$2,FALSE),0)</f>
        <v>0</v>
      </c>
      <c r="G17" s="16">
        <f>IFERROR(VLOOKUP($B17,flows!$A$2:$J$4985,G$2,FALSE),0)</f>
        <v>0</v>
      </c>
      <c r="H17" s="16">
        <f>IFERROR(VLOOKUP($B17,flows!$A$2:$J$4985,H$2,FALSE),0)</f>
        <v>0</v>
      </c>
      <c r="I17" s="16">
        <f>IFERROR(VLOOKUP($B17,flows!$A$2:$J$4985,I$2,FALSE),0)</f>
        <v>0</v>
      </c>
      <c r="J17" s="16">
        <f>IFERROR(VLOOKUP($B17,flows!$A$2:$J$4985,J$2,FALSE),0)</f>
        <v>0</v>
      </c>
      <c r="L17" s="40" t="s">
        <v>843</v>
      </c>
      <c r="M17" s="16">
        <f>IFERROR(VLOOKUP($L17,flows!$A$2:$J$4985,M$2,FALSE),0)</f>
        <v>0</v>
      </c>
      <c r="N17" s="16">
        <f>IFERROR(VLOOKUP($L17,flows!$A$2:$J$4985,N$2,FALSE),0)</f>
        <v>0</v>
      </c>
      <c r="O17" s="16">
        <f>IFERROR(VLOOKUP($L17,flows!$A$2:$J$4985,O$2,FALSE),0)</f>
        <v>0</v>
      </c>
      <c r="P17" s="16">
        <f>IFERROR(VLOOKUP($L17,flows!$A$2:$J$4985,P$2,FALSE),0)</f>
        <v>0</v>
      </c>
      <c r="Q17" s="16">
        <f>IFERROR(VLOOKUP($L17,flows!$A$2:$J$4985,Q$2,FALSE),0)</f>
        <v>0</v>
      </c>
      <c r="R17" s="16">
        <f>IFERROR(VLOOKUP($L17,flows!$A$2:$J$4985,R$2,FALSE),0)</f>
        <v>0</v>
      </c>
      <c r="S17" s="16">
        <f>IFERROR(VLOOKUP($L17,flows!$A$2:$J$4985,S$2,FALSE),0)</f>
        <v>0</v>
      </c>
      <c r="T17" s="16">
        <f>IFERROR(VLOOKUP($L17,flows!$A$2:$J$4985,T$2,FALSE),0)</f>
        <v>0</v>
      </c>
    </row>
    <row r="18" spans="2:20" x14ac:dyDescent="0.35">
      <c r="B18" s="40" t="s">
        <v>799</v>
      </c>
      <c r="C18" s="16">
        <f>IFERROR(VLOOKUP($B18,flows!$A$2:$J$4985,C$2,FALSE),0)</f>
        <v>0</v>
      </c>
      <c r="D18" s="16">
        <f>IFERROR(VLOOKUP($B18,flows!$A$2:$J$4985,D$2,FALSE),0)</f>
        <v>0</v>
      </c>
      <c r="E18" s="16">
        <f>IFERROR(VLOOKUP($B18,flows!$A$2:$J$4985,E$2,FALSE),0)</f>
        <v>0</v>
      </c>
      <c r="F18" s="16">
        <f>IFERROR(VLOOKUP($B18,flows!$A$2:$J$4985,F$2,FALSE),0)</f>
        <v>0</v>
      </c>
      <c r="G18" s="16">
        <f>IFERROR(VLOOKUP($B18,flows!$A$2:$J$4985,G$2,FALSE),0)</f>
        <v>0</v>
      </c>
      <c r="H18" s="16">
        <f>IFERROR(VLOOKUP($B18,flows!$A$2:$J$4985,H$2,FALSE),0)</f>
        <v>0</v>
      </c>
      <c r="I18" s="16">
        <f>IFERROR(VLOOKUP($B18,flows!$A$2:$J$4985,I$2,FALSE),0)</f>
        <v>0</v>
      </c>
      <c r="J18" s="16">
        <f>IFERROR(VLOOKUP($B18,flows!$A$2:$J$4985,J$2,FALSE),0)</f>
        <v>0</v>
      </c>
      <c r="L18" s="40" t="s">
        <v>844</v>
      </c>
      <c r="M18" s="16">
        <f>IFERROR(VLOOKUP($L18,flows!$A$2:$J$4985,M$2,FALSE),0)</f>
        <v>0</v>
      </c>
      <c r="N18" s="16">
        <f>IFERROR(VLOOKUP($L18,flows!$A$2:$J$4985,N$2,FALSE),0)</f>
        <v>0</v>
      </c>
      <c r="O18" s="16">
        <f>IFERROR(VLOOKUP($L18,flows!$A$2:$J$4985,O$2,FALSE),0)</f>
        <v>0</v>
      </c>
      <c r="P18" s="16">
        <f>IFERROR(VLOOKUP($L18,flows!$A$2:$J$4985,P$2,FALSE),0)</f>
        <v>0</v>
      </c>
      <c r="Q18" s="16">
        <f>IFERROR(VLOOKUP($L18,flows!$A$2:$J$4985,Q$2,FALSE),0)</f>
        <v>0</v>
      </c>
      <c r="R18" s="16">
        <f>IFERROR(VLOOKUP($L18,flows!$A$2:$J$4985,R$2,FALSE),0)</f>
        <v>0</v>
      </c>
      <c r="S18" s="16">
        <f>IFERROR(VLOOKUP($L18,flows!$A$2:$J$4985,S$2,FALSE),0)</f>
        <v>0</v>
      </c>
      <c r="T18" s="16">
        <f>IFERROR(VLOOKUP($L18,flows!$A$2:$J$4985,T$2,FALSE),0)</f>
        <v>0</v>
      </c>
    </row>
    <row r="19" spans="2:20" x14ac:dyDescent="0.35">
      <c r="B19" s="40" t="s">
        <v>800</v>
      </c>
      <c r="C19" s="16">
        <f>IFERROR(VLOOKUP($B19,flows!$A$2:$J$4985,C$2,FALSE),0)</f>
        <v>0</v>
      </c>
      <c r="D19" s="16">
        <f>IFERROR(VLOOKUP($B19,flows!$A$2:$J$4985,D$2,FALSE),0)</f>
        <v>0</v>
      </c>
      <c r="E19" s="16">
        <f>IFERROR(VLOOKUP($B19,flows!$A$2:$J$4985,E$2,FALSE),0)</f>
        <v>0</v>
      </c>
      <c r="F19" s="16">
        <f>IFERROR(VLOOKUP($B19,flows!$A$2:$J$4985,F$2,FALSE),0)</f>
        <v>0</v>
      </c>
      <c r="G19" s="16">
        <f>IFERROR(VLOOKUP($B19,flows!$A$2:$J$4985,G$2,FALSE),0)</f>
        <v>0</v>
      </c>
      <c r="H19" s="16">
        <f>IFERROR(VLOOKUP($B19,flows!$A$2:$J$4985,H$2,FALSE),0)</f>
        <v>0</v>
      </c>
      <c r="I19" s="16">
        <f>IFERROR(VLOOKUP($B19,flows!$A$2:$J$4985,I$2,FALSE),0)</f>
        <v>0</v>
      </c>
      <c r="J19" s="16">
        <f>IFERROR(VLOOKUP($B19,flows!$A$2:$J$4985,J$2,FALSE),0)</f>
        <v>0</v>
      </c>
      <c r="L19" s="40" t="s">
        <v>845</v>
      </c>
      <c r="M19" s="16">
        <f>IFERROR(VLOOKUP($L19,flows!$A$2:$J$4985,M$2,FALSE),0)</f>
        <v>0</v>
      </c>
      <c r="N19" s="16">
        <f>IFERROR(VLOOKUP($L19,flows!$A$2:$J$4985,N$2,FALSE),0)</f>
        <v>0</v>
      </c>
      <c r="O19" s="16">
        <f>IFERROR(VLOOKUP($L19,flows!$A$2:$J$4985,O$2,FALSE),0)</f>
        <v>0</v>
      </c>
      <c r="P19" s="16">
        <f>IFERROR(VLOOKUP($L19,flows!$A$2:$J$4985,P$2,FALSE),0)</f>
        <v>0</v>
      </c>
      <c r="Q19" s="16">
        <f>IFERROR(VLOOKUP($L19,flows!$A$2:$J$4985,Q$2,FALSE),0)</f>
        <v>0</v>
      </c>
      <c r="R19" s="16">
        <f>IFERROR(VLOOKUP($L19,flows!$A$2:$J$4985,R$2,FALSE),0)</f>
        <v>0</v>
      </c>
      <c r="S19" s="16">
        <f>IFERROR(VLOOKUP($L19,flows!$A$2:$J$4985,S$2,FALSE),0)</f>
        <v>0</v>
      </c>
      <c r="T19" s="16">
        <f>IFERROR(VLOOKUP($L19,flows!$A$2:$J$4985,T$2,FALSE),0)</f>
        <v>0</v>
      </c>
    </row>
    <row r="20" spans="2:20" x14ac:dyDescent="0.35">
      <c r="B20" s="40" t="s">
        <v>801</v>
      </c>
      <c r="C20" s="16">
        <f>IFERROR(VLOOKUP($B20,flows!$A$2:$J$4985,C$2,FALSE),0)</f>
        <v>0</v>
      </c>
      <c r="D20" s="16">
        <f>IFERROR(VLOOKUP($B20,flows!$A$2:$J$4985,D$2,FALSE),0)</f>
        <v>0</v>
      </c>
      <c r="E20" s="16">
        <f>IFERROR(VLOOKUP($B20,flows!$A$2:$J$4985,E$2,FALSE),0)</f>
        <v>0</v>
      </c>
      <c r="F20" s="16">
        <f>IFERROR(VLOOKUP($B20,flows!$A$2:$J$4985,F$2,FALSE),0)</f>
        <v>0</v>
      </c>
      <c r="G20" s="16">
        <f>IFERROR(VLOOKUP($B20,flows!$A$2:$J$4985,G$2,FALSE),0)</f>
        <v>0</v>
      </c>
      <c r="H20" s="16">
        <f>IFERROR(VLOOKUP($B20,flows!$A$2:$J$4985,H$2,FALSE),0)</f>
        <v>0</v>
      </c>
      <c r="I20" s="16">
        <f>IFERROR(VLOOKUP($B20,flows!$A$2:$J$4985,I$2,FALSE),0)</f>
        <v>0</v>
      </c>
      <c r="J20" s="16">
        <f>IFERROR(VLOOKUP($B20,flows!$A$2:$J$4985,J$2,FALSE),0)</f>
        <v>0</v>
      </c>
      <c r="L20" s="40" t="s">
        <v>861</v>
      </c>
      <c r="M20" s="16">
        <f>IFERROR(VLOOKUP($L20,flows!$A$2:$J$4985,M$2,FALSE),0)</f>
        <v>0</v>
      </c>
      <c r="N20" s="16">
        <f>IFERROR(VLOOKUP($L20,flows!$A$2:$J$4985,N$2,FALSE),0)</f>
        <v>0</v>
      </c>
      <c r="O20" s="16">
        <f>IFERROR(VLOOKUP($L20,flows!$A$2:$J$4985,O$2,FALSE),0)</f>
        <v>0</v>
      </c>
      <c r="P20" s="16">
        <f>IFERROR(VLOOKUP($L20,flows!$A$2:$J$4985,P$2,FALSE),0)</f>
        <v>0</v>
      </c>
      <c r="Q20" s="16">
        <f>IFERROR(VLOOKUP($L20,flows!$A$2:$J$4985,Q$2,FALSE),0)</f>
        <v>0</v>
      </c>
      <c r="R20" s="16">
        <f>IFERROR(VLOOKUP($L20,flows!$A$2:$J$4985,R$2,FALSE),0)</f>
        <v>0</v>
      </c>
      <c r="S20" s="16">
        <f>IFERROR(VLOOKUP($L20,flows!$A$2:$J$4985,S$2,FALSE),0)</f>
        <v>0</v>
      </c>
      <c r="T20" s="16">
        <f>IFERROR(VLOOKUP($L20,flows!$A$2:$J$4985,T$2,FALSE),0)</f>
        <v>0</v>
      </c>
    </row>
    <row r="21" spans="2:20" x14ac:dyDescent="0.35">
      <c r="B21" s="40" t="s">
        <v>802</v>
      </c>
      <c r="C21" s="16">
        <f>IFERROR(VLOOKUP($B21,flows!$A$2:$J$4985,C$2,FALSE),0)</f>
        <v>0</v>
      </c>
      <c r="D21" s="16">
        <f>IFERROR(VLOOKUP($B21,flows!$A$2:$J$4985,D$2,FALSE),0)</f>
        <v>0</v>
      </c>
      <c r="E21" s="16">
        <f>IFERROR(VLOOKUP($B21,flows!$A$2:$J$4985,E$2,FALSE),0)</f>
        <v>0</v>
      </c>
      <c r="F21" s="16">
        <f>IFERROR(VLOOKUP($B21,flows!$A$2:$J$4985,F$2,FALSE),0)</f>
        <v>0</v>
      </c>
      <c r="G21" s="16">
        <f>IFERROR(VLOOKUP($B21,flows!$A$2:$J$4985,G$2,FALSE),0)</f>
        <v>0</v>
      </c>
      <c r="H21" s="16">
        <f>IFERROR(VLOOKUP($B21,flows!$A$2:$J$4985,H$2,FALSE),0)</f>
        <v>0</v>
      </c>
      <c r="I21" s="16">
        <f>IFERROR(VLOOKUP($B21,flows!$A$2:$J$4985,I$2,FALSE),0)</f>
        <v>0</v>
      </c>
      <c r="J21" s="16">
        <f>IFERROR(VLOOKUP($B21,flows!$A$2:$J$4985,J$2,FALSE),0)</f>
        <v>0</v>
      </c>
      <c r="L21" s="40" t="s">
        <v>863</v>
      </c>
      <c r="M21" s="16">
        <f>IFERROR(VLOOKUP($L21,flows!$A$2:$J$4985,M$2,FALSE),0)</f>
        <v>0</v>
      </c>
      <c r="N21" s="16">
        <f>IFERROR(VLOOKUP($L21,flows!$A$2:$J$4985,N$2,FALSE),0)</f>
        <v>0</v>
      </c>
      <c r="O21" s="16">
        <f>IFERROR(VLOOKUP($L21,flows!$A$2:$J$4985,O$2,FALSE),0)</f>
        <v>0</v>
      </c>
      <c r="P21" s="16">
        <f>IFERROR(VLOOKUP($L21,flows!$A$2:$J$4985,P$2,FALSE),0)</f>
        <v>0</v>
      </c>
      <c r="Q21" s="16">
        <f>IFERROR(VLOOKUP($L21,flows!$A$2:$J$4985,Q$2,FALSE),0)</f>
        <v>0</v>
      </c>
      <c r="R21" s="16">
        <f>IFERROR(VLOOKUP($L21,flows!$A$2:$J$4985,R$2,FALSE),0)</f>
        <v>0</v>
      </c>
      <c r="S21" s="16">
        <f>IFERROR(VLOOKUP($L21,flows!$A$2:$J$4985,S$2,FALSE),0)</f>
        <v>0</v>
      </c>
      <c r="T21" s="16">
        <f>IFERROR(VLOOKUP($L21,flows!$A$2:$J$4985,T$2,FALSE),0)</f>
        <v>0</v>
      </c>
    </row>
    <row r="22" spans="2:20" x14ac:dyDescent="0.35">
      <c r="B22" s="40" t="s">
        <v>807</v>
      </c>
      <c r="C22" s="16">
        <f>IFERROR(VLOOKUP($B22,flows!$A$2:$J$4985,C$2,FALSE),0)</f>
        <v>0</v>
      </c>
      <c r="D22" s="16">
        <f>IFERROR(VLOOKUP($B22,flows!$A$2:$J$4985,D$2,FALSE),0)</f>
        <v>0</v>
      </c>
      <c r="E22" s="16">
        <f>IFERROR(VLOOKUP($B22,flows!$A$2:$J$4985,E$2,FALSE),0)</f>
        <v>0</v>
      </c>
      <c r="F22" s="16">
        <f>IFERROR(VLOOKUP($B22,flows!$A$2:$J$4985,F$2,FALSE),0)</f>
        <v>0</v>
      </c>
      <c r="G22" s="16">
        <f>IFERROR(VLOOKUP($B22,flows!$A$2:$J$4985,G$2,FALSE),0)</f>
        <v>0</v>
      </c>
      <c r="H22" s="16">
        <f>IFERROR(VLOOKUP($B22,flows!$A$2:$J$4985,H$2,FALSE),0)</f>
        <v>0</v>
      </c>
      <c r="I22" s="16">
        <f>IFERROR(VLOOKUP($B22,flows!$A$2:$J$4985,I$2,FALSE),0)</f>
        <v>0</v>
      </c>
      <c r="J22" s="16">
        <f>IFERROR(VLOOKUP($B22,flows!$A$2:$J$4985,J$2,FALSE),0)</f>
        <v>0</v>
      </c>
      <c r="L22" s="40" t="s">
        <v>914</v>
      </c>
      <c r="M22" s="16">
        <f>IFERROR(VLOOKUP($L22,flows!$A$2:$J$4985,M$2,FALSE),0)</f>
        <v>0</v>
      </c>
      <c r="N22" s="16">
        <f>IFERROR(VLOOKUP($L22,flows!$A$2:$J$4985,N$2,FALSE),0)</f>
        <v>0</v>
      </c>
      <c r="O22" s="16">
        <f>IFERROR(VLOOKUP($L22,flows!$A$2:$J$4985,O$2,FALSE),0)</f>
        <v>0</v>
      </c>
      <c r="P22" s="16">
        <f>IFERROR(VLOOKUP($L22,flows!$A$2:$J$4985,P$2,FALSE),0)</f>
        <v>0</v>
      </c>
      <c r="Q22" s="16">
        <f>IFERROR(VLOOKUP($L22,flows!$A$2:$J$4985,Q$2,FALSE),0)</f>
        <v>0</v>
      </c>
      <c r="R22" s="16">
        <f>IFERROR(VLOOKUP($L22,flows!$A$2:$J$4985,R$2,FALSE),0)</f>
        <v>0</v>
      </c>
      <c r="S22" s="16">
        <f>IFERROR(VLOOKUP($L22,flows!$A$2:$J$4985,S$2,FALSE),0)</f>
        <v>0</v>
      </c>
      <c r="T22" s="16">
        <f>IFERROR(VLOOKUP($L22,flows!$A$2:$J$4985,T$2,FALSE),0)</f>
        <v>0</v>
      </c>
    </row>
    <row r="23" spans="2:20" x14ac:dyDescent="0.35">
      <c r="B23" s="40" t="s">
        <v>808</v>
      </c>
      <c r="C23" s="16">
        <f>IFERROR(VLOOKUP($B23,flows!$A$2:$J$4985,C$2,FALSE),0)</f>
        <v>0</v>
      </c>
      <c r="D23" s="16">
        <f>IFERROR(VLOOKUP($B23,flows!$A$2:$J$4985,D$2,FALSE),0)</f>
        <v>0</v>
      </c>
      <c r="E23" s="16">
        <f>IFERROR(VLOOKUP($B23,flows!$A$2:$J$4985,E$2,FALSE),0)</f>
        <v>0</v>
      </c>
      <c r="F23" s="16">
        <f>IFERROR(VLOOKUP($B23,flows!$A$2:$J$4985,F$2,FALSE),0)</f>
        <v>0</v>
      </c>
      <c r="G23" s="16">
        <f>IFERROR(VLOOKUP($B23,flows!$A$2:$J$4985,G$2,FALSE),0)</f>
        <v>0</v>
      </c>
      <c r="H23" s="16">
        <f>IFERROR(VLOOKUP($B23,flows!$A$2:$J$4985,H$2,FALSE),0)</f>
        <v>0</v>
      </c>
      <c r="I23" s="16">
        <f>IFERROR(VLOOKUP($B23,flows!$A$2:$J$4985,I$2,FALSE),0)</f>
        <v>0</v>
      </c>
      <c r="J23" s="16">
        <f>IFERROR(VLOOKUP($B23,flows!$A$2:$J$4985,J$2,FALSE),0)</f>
        <v>0</v>
      </c>
      <c r="L23" s="40" t="s">
        <v>965</v>
      </c>
      <c r="M23" s="16">
        <f>IFERROR(VLOOKUP($L23,flows!$A$2:$J$4985,M$2,FALSE),0)</f>
        <v>0</v>
      </c>
      <c r="N23" s="16">
        <f>IFERROR(VLOOKUP($L23,flows!$A$2:$J$4985,N$2,FALSE),0)</f>
        <v>0</v>
      </c>
      <c r="O23" s="16">
        <f>IFERROR(VLOOKUP($L23,flows!$A$2:$J$4985,O$2,FALSE),0)</f>
        <v>0</v>
      </c>
      <c r="P23" s="16">
        <f>IFERROR(VLOOKUP($L23,flows!$A$2:$J$4985,P$2,FALSE),0)</f>
        <v>0</v>
      </c>
      <c r="Q23" s="16">
        <f>IFERROR(VLOOKUP($L23,flows!$A$2:$J$4985,Q$2,FALSE),0)</f>
        <v>0</v>
      </c>
      <c r="R23" s="16">
        <f>IFERROR(VLOOKUP($L23,flows!$A$2:$J$4985,R$2,FALSE),0)</f>
        <v>0</v>
      </c>
      <c r="S23" s="16">
        <f>IFERROR(VLOOKUP($L23,flows!$A$2:$J$4985,S$2,FALSE),0)</f>
        <v>0</v>
      </c>
      <c r="T23" s="16">
        <f>IFERROR(VLOOKUP($L23,flows!$A$2:$J$4985,T$2,FALSE),0)</f>
        <v>0</v>
      </c>
    </row>
    <row r="24" spans="2:20" x14ac:dyDescent="0.35">
      <c r="B24" s="40" t="s">
        <v>809</v>
      </c>
      <c r="C24" s="16">
        <f>IFERROR(VLOOKUP($B24,flows!$A$2:$J$4985,C$2,FALSE),0)</f>
        <v>0</v>
      </c>
      <c r="D24" s="16">
        <f>IFERROR(VLOOKUP($B24,flows!$A$2:$J$4985,D$2,FALSE),0)</f>
        <v>0</v>
      </c>
      <c r="E24" s="16">
        <f>IFERROR(VLOOKUP($B24,flows!$A$2:$J$4985,E$2,FALSE),0)</f>
        <v>0</v>
      </c>
      <c r="F24" s="16">
        <f>IFERROR(VLOOKUP($B24,flows!$A$2:$J$4985,F$2,FALSE),0)</f>
        <v>0</v>
      </c>
      <c r="G24" s="16">
        <f>IFERROR(VLOOKUP($B24,flows!$A$2:$J$4985,G$2,FALSE),0)</f>
        <v>0</v>
      </c>
      <c r="H24" s="16">
        <f>IFERROR(VLOOKUP($B24,flows!$A$2:$J$4985,H$2,FALSE),0)</f>
        <v>0</v>
      </c>
      <c r="I24" s="16">
        <f>IFERROR(VLOOKUP($B24,flows!$A$2:$J$4985,I$2,FALSE),0)</f>
        <v>0</v>
      </c>
      <c r="J24" s="16">
        <f>IFERROR(VLOOKUP($B24,flows!$A$2:$J$4985,J$2,FALSE),0)</f>
        <v>0</v>
      </c>
      <c r="L24" s="40" t="s">
        <v>966</v>
      </c>
      <c r="M24" s="16">
        <f>IFERROR(VLOOKUP($L24,flows!$A$2:$J$4985,M$2,FALSE),0)</f>
        <v>0</v>
      </c>
      <c r="N24" s="16">
        <f>IFERROR(VLOOKUP($L24,flows!$A$2:$J$4985,N$2,FALSE),0)</f>
        <v>0</v>
      </c>
      <c r="O24" s="16">
        <f>IFERROR(VLOOKUP($L24,flows!$A$2:$J$4985,O$2,FALSE),0)</f>
        <v>0</v>
      </c>
      <c r="P24" s="16">
        <f>IFERROR(VLOOKUP($L24,flows!$A$2:$J$4985,P$2,FALSE),0)</f>
        <v>0</v>
      </c>
      <c r="Q24" s="16">
        <f>IFERROR(VLOOKUP($L24,flows!$A$2:$J$4985,Q$2,FALSE),0)</f>
        <v>0</v>
      </c>
      <c r="R24" s="16">
        <f>IFERROR(VLOOKUP($L24,flows!$A$2:$J$4985,R$2,FALSE),0)</f>
        <v>0</v>
      </c>
      <c r="S24" s="16">
        <f>IFERROR(VLOOKUP($L24,flows!$A$2:$J$4985,S$2,FALSE),0)</f>
        <v>0</v>
      </c>
      <c r="T24" s="16">
        <f>IFERROR(VLOOKUP($L24,flows!$A$2:$J$4985,T$2,FALSE),0)</f>
        <v>0</v>
      </c>
    </row>
    <row r="25" spans="2:20" x14ac:dyDescent="0.35">
      <c r="B25" s="40" t="s">
        <v>810</v>
      </c>
      <c r="C25" s="16">
        <f>IFERROR(VLOOKUP($B25,flows!$A$2:$J$4985,C$2,FALSE),0)</f>
        <v>0</v>
      </c>
      <c r="D25" s="16">
        <f>IFERROR(VLOOKUP($B25,flows!$A$2:$J$4985,D$2,FALSE),0)</f>
        <v>0</v>
      </c>
      <c r="E25" s="16">
        <f>IFERROR(VLOOKUP($B25,flows!$A$2:$J$4985,E$2,FALSE),0)</f>
        <v>0</v>
      </c>
      <c r="F25" s="16">
        <f>IFERROR(VLOOKUP($B25,flows!$A$2:$J$4985,F$2,FALSE),0)</f>
        <v>0</v>
      </c>
      <c r="G25" s="16">
        <f>IFERROR(VLOOKUP($B25,flows!$A$2:$J$4985,G$2,FALSE),0)</f>
        <v>0</v>
      </c>
      <c r="H25" s="16">
        <f>IFERROR(VLOOKUP($B25,flows!$A$2:$J$4985,H$2,FALSE),0)</f>
        <v>0</v>
      </c>
      <c r="I25" s="16">
        <f>IFERROR(VLOOKUP($B25,flows!$A$2:$J$4985,I$2,FALSE),0)</f>
        <v>0</v>
      </c>
      <c r="J25" s="16">
        <f>IFERROR(VLOOKUP($B25,flows!$A$2:$J$4985,J$2,FALSE),0)</f>
        <v>0</v>
      </c>
      <c r="L25" s="40" t="s">
        <v>995</v>
      </c>
      <c r="M25" s="16">
        <f>IFERROR(VLOOKUP($L25,flows!$A$2:$J$4985,M$2,FALSE),0)</f>
        <v>0</v>
      </c>
      <c r="N25" s="16">
        <f>IFERROR(VLOOKUP($L25,flows!$A$2:$J$4985,N$2,FALSE),0)</f>
        <v>0</v>
      </c>
      <c r="O25" s="16">
        <f>IFERROR(VLOOKUP($L25,flows!$A$2:$J$4985,O$2,FALSE),0)</f>
        <v>0</v>
      </c>
      <c r="P25" s="16">
        <f>IFERROR(VLOOKUP($L25,flows!$A$2:$J$4985,P$2,FALSE),0)</f>
        <v>0</v>
      </c>
      <c r="Q25" s="16">
        <f>IFERROR(VLOOKUP($L25,flows!$A$2:$J$4985,Q$2,FALSE),0)</f>
        <v>0</v>
      </c>
      <c r="R25" s="16">
        <f>IFERROR(VLOOKUP($L25,flows!$A$2:$J$4985,R$2,FALSE),0)</f>
        <v>0</v>
      </c>
      <c r="S25" s="16">
        <f>IFERROR(VLOOKUP($L25,flows!$A$2:$J$4985,S$2,FALSE),0)</f>
        <v>0</v>
      </c>
      <c r="T25" s="16">
        <f>IFERROR(VLOOKUP($L25,flows!$A$2:$J$4985,T$2,FALSE),0)</f>
        <v>0</v>
      </c>
    </row>
    <row r="26" spans="2:20" x14ac:dyDescent="0.35">
      <c r="B26" s="40" t="s">
        <v>811</v>
      </c>
      <c r="C26" s="16">
        <f>IFERROR(VLOOKUP($B26,flows!$A$2:$J$4985,C$2,FALSE),0)</f>
        <v>0</v>
      </c>
      <c r="D26" s="16">
        <f>IFERROR(VLOOKUP($B26,flows!$A$2:$J$4985,D$2,FALSE),0)</f>
        <v>0</v>
      </c>
      <c r="E26" s="16">
        <f>IFERROR(VLOOKUP($B26,flows!$A$2:$J$4985,E$2,FALSE),0)</f>
        <v>0</v>
      </c>
      <c r="F26" s="16">
        <f>IFERROR(VLOOKUP($B26,flows!$A$2:$J$4985,F$2,FALSE),0)</f>
        <v>0</v>
      </c>
      <c r="G26" s="16">
        <f>IFERROR(VLOOKUP($B26,flows!$A$2:$J$4985,G$2,FALSE),0)</f>
        <v>0</v>
      </c>
      <c r="H26" s="16">
        <f>IFERROR(VLOOKUP($B26,flows!$A$2:$J$4985,H$2,FALSE),0)</f>
        <v>0</v>
      </c>
      <c r="I26" s="16">
        <f>IFERROR(VLOOKUP($B26,flows!$A$2:$J$4985,I$2,FALSE),0)</f>
        <v>0</v>
      </c>
      <c r="J26" s="16">
        <f>IFERROR(VLOOKUP($B26,flows!$A$2:$J$4985,J$2,FALSE),0)</f>
        <v>0</v>
      </c>
      <c r="L26" s="40" t="s">
        <v>1000</v>
      </c>
      <c r="M26" s="16">
        <f>IFERROR(VLOOKUP($L26,flows!$A$2:$J$4985,M$2,FALSE),0)</f>
        <v>0</v>
      </c>
      <c r="N26" s="16">
        <f>IFERROR(VLOOKUP($L26,flows!$A$2:$J$4985,N$2,FALSE),0)</f>
        <v>0</v>
      </c>
      <c r="O26" s="16">
        <f>IFERROR(VLOOKUP($L26,flows!$A$2:$J$4985,O$2,FALSE),0)</f>
        <v>0</v>
      </c>
      <c r="P26" s="16">
        <f>IFERROR(VLOOKUP($L26,flows!$A$2:$J$4985,P$2,FALSE),0)</f>
        <v>0</v>
      </c>
      <c r="Q26" s="16">
        <f>IFERROR(VLOOKUP($L26,flows!$A$2:$J$4985,Q$2,FALSE),0)</f>
        <v>0</v>
      </c>
      <c r="R26" s="16">
        <f>IFERROR(VLOOKUP($L26,flows!$A$2:$J$4985,R$2,FALSE),0)</f>
        <v>0</v>
      </c>
      <c r="S26" s="16">
        <f>IFERROR(VLOOKUP($L26,flows!$A$2:$J$4985,S$2,FALSE),0)</f>
        <v>0</v>
      </c>
      <c r="T26" s="16">
        <f>IFERROR(VLOOKUP($L26,flows!$A$2:$J$4985,T$2,FALSE),0)</f>
        <v>0</v>
      </c>
    </row>
    <row r="27" spans="2:20" x14ac:dyDescent="0.35">
      <c r="B27" s="40" t="s">
        <v>812</v>
      </c>
      <c r="C27" s="16">
        <f>IFERROR(VLOOKUP($B27,flows!$A$2:$J$4985,C$2,FALSE),0)</f>
        <v>0</v>
      </c>
      <c r="D27" s="16">
        <f>IFERROR(VLOOKUP($B27,flows!$A$2:$J$4985,D$2,FALSE),0)</f>
        <v>0</v>
      </c>
      <c r="E27" s="16">
        <f>IFERROR(VLOOKUP($B27,flows!$A$2:$J$4985,E$2,FALSE),0)</f>
        <v>0</v>
      </c>
      <c r="F27" s="16">
        <f>IFERROR(VLOOKUP($B27,flows!$A$2:$J$4985,F$2,FALSE),0)</f>
        <v>0</v>
      </c>
      <c r="G27" s="16">
        <f>IFERROR(VLOOKUP($B27,flows!$A$2:$J$4985,G$2,FALSE),0)</f>
        <v>0</v>
      </c>
      <c r="H27" s="16">
        <f>IFERROR(VLOOKUP($B27,flows!$A$2:$J$4985,H$2,FALSE),0)</f>
        <v>0</v>
      </c>
      <c r="I27" s="16">
        <f>IFERROR(VLOOKUP($B27,flows!$A$2:$J$4985,I$2,FALSE),0)</f>
        <v>0</v>
      </c>
      <c r="J27" s="16">
        <f>IFERROR(VLOOKUP($B27,flows!$A$2:$J$4985,J$2,FALSE),0)</f>
        <v>0</v>
      </c>
      <c r="L27" s="40" t="s">
        <v>1001</v>
      </c>
      <c r="M27" s="16">
        <f>IFERROR(VLOOKUP($L27,flows!$A$2:$J$4985,M$2,FALSE),0)</f>
        <v>0</v>
      </c>
      <c r="N27" s="16">
        <f>IFERROR(VLOOKUP($L27,flows!$A$2:$J$4985,N$2,FALSE),0)</f>
        <v>0</v>
      </c>
      <c r="O27" s="16">
        <f>IFERROR(VLOOKUP($L27,flows!$A$2:$J$4985,O$2,FALSE),0)</f>
        <v>0</v>
      </c>
      <c r="P27" s="16">
        <f>IFERROR(VLOOKUP($L27,flows!$A$2:$J$4985,P$2,FALSE),0)</f>
        <v>0</v>
      </c>
      <c r="Q27" s="16">
        <f>IFERROR(VLOOKUP($L27,flows!$A$2:$J$4985,Q$2,FALSE),0)</f>
        <v>0</v>
      </c>
      <c r="R27" s="16">
        <f>IFERROR(VLOOKUP($L27,flows!$A$2:$J$4985,R$2,FALSE),0)</f>
        <v>0</v>
      </c>
      <c r="S27" s="16">
        <f>IFERROR(VLOOKUP($L27,flows!$A$2:$J$4985,S$2,FALSE),0)</f>
        <v>0</v>
      </c>
      <c r="T27" s="16">
        <f>IFERROR(VLOOKUP($L27,flows!$A$2:$J$4985,T$2,FALSE),0)</f>
        <v>0</v>
      </c>
    </row>
    <row r="28" spans="2:20" x14ac:dyDescent="0.35">
      <c r="B28" s="40" t="s">
        <v>813</v>
      </c>
      <c r="C28" s="16">
        <f>IFERROR(VLOOKUP($B28,flows!$A$2:$J$4985,C$2,FALSE),0)</f>
        <v>0</v>
      </c>
      <c r="D28" s="16">
        <f>IFERROR(VLOOKUP($B28,flows!$A$2:$J$4985,D$2,FALSE),0)</f>
        <v>0</v>
      </c>
      <c r="E28" s="16">
        <f>IFERROR(VLOOKUP($B28,flows!$A$2:$J$4985,E$2,FALSE),0)</f>
        <v>0</v>
      </c>
      <c r="F28" s="16">
        <f>IFERROR(VLOOKUP($B28,flows!$A$2:$J$4985,F$2,FALSE),0)</f>
        <v>0</v>
      </c>
      <c r="G28" s="16">
        <f>IFERROR(VLOOKUP($B28,flows!$A$2:$J$4985,G$2,FALSE),0)</f>
        <v>0</v>
      </c>
      <c r="H28" s="16">
        <f>IFERROR(VLOOKUP($B28,flows!$A$2:$J$4985,H$2,FALSE),0)</f>
        <v>0</v>
      </c>
      <c r="I28" s="16">
        <f>IFERROR(VLOOKUP($B28,flows!$A$2:$J$4985,I$2,FALSE),0)</f>
        <v>0</v>
      </c>
      <c r="J28" s="16">
        <f>IFERROR(VLOOKUP($B28,flows!$A$2:$J$4985,J$2,FALSE),0)</f>
        <v>0</v>
      </c>
      <c r="L28" s="40" t="s">
        <v>1002</v>
      </c>
      <c r="M28" s="16">
        <f>IFERROR(VLOOKUP($L28,flows!$A$2:$J$4985,M$2,FALSE),0)</f>
        <v>0</v>
      </c>
      <c r="N28" s="16">
        <f>IFERROR(VLOOKUP($L28,flows!$A$2:$J$4985,N$2,FALSE),0)</f>
        <v>0</v>
      </c>
      <c r="O28" s="16">
        <f>IFERROR(VLOOKUP($L28,flows!$A$2:$J$4985,O$2,FALSE),0)</f>
        <v>0</v>
      </c>
      <c r="P28" s="16">
        <f>IFERROR(VLOOKUP($L28,flows!$A$2:$J$4985,P$2,FALSE),0)</f>
        <v>0</v>
      </c>
      <c r="Q28" s="16">
        <f>IFERROR(VLOOKUP($L28,flows!$A$2:$J$4985,Q$2,FALSE),0)</f>
        <v>0</v>
      </c>
      <c r="R28" s="16">
        <f>IFERROR(VLOOKUP($L28,flows!$A$2:$J$4985,R$2,FALSE),0)</f>
        <v>0</v>
      </c>
      <c r="S28" s="16">
        <f>IFERROR(VLOOKUP($L28,flows!$A$2:$J$4985,S$2,FALSE),0)</f>
        <v>0</v>
      </c>
      <c r="T28" s="16">
        <f>IFERROR(VLOOKUP($L28,flows!$A$2:$J$4985,T$2,FALSE),0)</f>
        <v>0</v>
      </c>
    </row>
    <row r="29" spans="2:20" x14ac:dyDescent="0.35">
      <c r="B29" s="40" t="s">
        <v>814</v>
      </c>
      <c r="C29" s="16">
        <f>IFERROR(VLOOKUP($B29,flows!$A$2:$J$4985,C$2,FALSE),0)</f>
        <v>0</v>
      </c>
      <c r="D29" s="16">
        <f>IFERROR(VLOOKUP($B29,flows!$A$2:$J$4985,D$2,FALSE),0)</f>
        <v>0</v>
      </c>
      <c r="E29" s="16">
        <f>IFERROR(VLOOKUP($B29,flows!$A$2:$J$4985,E$2,FALSE),0)</f>
        <v>0</v>
      </c>
      <c r="F29" s="16">
        <f>IFERROR(VLOOKUP($B29,flows!$A$2:$J$4985,F$2,FALSE),0)</f>
        <v>0</v>
      </c>
      <c r="G29" s="16">
        <f>IFERROR(VLOOKUP($B29,flows!$A$2:$J$4985,G$2,FALSE),0)</f>
        <v>0</v>
      </c>
      <c r="H29" s="16">
        <f>IFERROR(VLOOKUP($B29,flows!$A$2:$J$4985,H$2,FALSE),0)</f>
        <v>0</v>
      </c>
      <c r="I29" s="16">
        <f>IFERROR(VLOOKUP($B29,flows!$A$2:$J$4985,I$2,FALSE),0)</f>
        <v>0</v>
      </c>
      <c r="J29" s="16">
        <f>IFERROR(VLOOKUP($B29,flows!$A$2:$J$4985,J$2,FALSE),0)</f>
        <v>0</v>
      </c>
      <c r="L29" s="40" t="s">
        <v>1011</v>
      </c>
      <c r="M29" s="16">
        <f>IFERROR(VLOOKUP($L29,flows!$A$2:$J$4985,M$2,FALSE),0)</f>
        <v>0</v>
      </c>
      <c r="N29" s="16">
        <f>IFERROR(VLOOKUP($L29,flows!$A$2:$J$4985,N$2,FALSE),0)</f>
        <v>0</v>
      </c>
      <c r="O29" s="16">
        <f>IFERROR(VLOOKUP($L29,flows!$A$2:$J$4985,O$2,FALSE),0)</f>
        <v>0</v>
      </c>
      <c r="P29" s="16">
        <f>IFERROR(VLOOKUP($L29,flows!$A$2:$J$4985,P$2,FALSE),0)</f>
        <v>0</v>
      </c>
      <c r="Q29" s="16">
        <f>IFERROR(VLOOKUP($L29,flows!$A$2:$J$4985,Q$2,FALSE),0)</f>
        <v>0</v>
      </c>
      <c r="R29" s="16">
        <f>IFERROR(VLOOKUP($L29,flows!$A$2:$J$4985,R$2,FALSE),0)</f>
        <v>0</v>
      </c>
      <c r="S29" s="16">
        <f>IFERROR(VLOOKUP($L29,flows!$A$2:$J$4985,S$2,FALSE),0)</f>
        <v>0</v>
      </c>
      <c r="T29" s="16">
        <f>IFERROR(VLOOKUP($L29,flows!$A$2:$J$4985,T$2,FALSE),0)</f>
        <v>0</v>
      </c>
    </row>
    <row r="30" spans="2:20" x14ac:dyDescent="0.35">
      <c r="B30" s="40" t="s">
        <v>815</v>
      </c>
      <c r="C30" s="16">
        <f>IFERROR(VLOOKUP($B30,flows!$A$2:$J$4985,C$2,FALSE),0)</f>
        <v>0</v>
      </c>
      <c r="D30" s="16">
        <f>IFERROR(VLOOKUP($B30,flows!$A$2:$J$4985,D$2,FALSE),0)</f>
        <v>0</v>
      </c>
      <c r="E30" s="16">
        <f>IFERROR(VLOOKUP($B30,flows!$A$2:$J$4985,E$2,FALSE),0)</f>
        <v>0</v>
      </c>
      <c r="F30" s="16">
        <f>IFERROR(VLOOKUP($B30,flows!$A$2:$J$4985,F$2,FALSE),0)</f>
        <v>0</v>
      </c>
      <c r="G30" s="16">
        <f>IFERROR(VLOOKUP($B30,flows!$A$2:$J$4985,G$2,FALSE),0)</f>
        <v>0</v>
      </c>
      <c r="H30" s="16">
        <f>IFERROR(VLOOKUP($B30,flows!$A$2:$J$4985,H$2,FALSE),0)</f>
        <v>0</v>
      </c>
      <c r="I30" s="16">
        <f>IFERROR(VLOOKUP($B30,flows!$A$2:$J$4985,I$2,FALSE),0)</f>
        <v>0</v>
      </c>
      <c r="J30" s="16">
        <f>IFERROR(VLOOKUP($B30,flows!$A$2:$J$4985,J$2,FALSE),0)</f>
        <v>0</v>
      </c>
      <c r="L30" s="40" t="s">
        <v>1041</v>
      </c>
      <c r="M30" s="16">
        <f>IFERROR(VLOOKUP($L30,flows!$A$2:$J$4985,M$2,FALSE),0)</f>
        <v>0</v>
      </c>
      <c r="N30" s="16">
        <f>IFERROR(VLOOKUP($L30,flows!$A$2:$J$4985,N$2,FALSE),0)</f>
        <v>0</v>
      </c>
      <c r="O30" s="16">
        <f>IFERROR(VLOOKUP($L30,flows!$A$2:$J$4985,O$2,FALSE),0)</f>
        <v>0</v>
      </c>
      <c r="P30" s="16">
        <f>IFERROR(VLOOKUP($L30,flows!$A$2:$J$4985,P$2,FALSE),0)</f>
        <v>0</v>
      </c>
      <c r="Q30" s="16">
        <f>IFERROR(VLOOKUP($L30,flows!$A$2:$J$4985,Q$2,FALSE),0)</f>
        <v>0</v>
      </c>
      <c r="R30" s="16">
        <f>IFERROR(VLOOKUP($L30,flows!$A$2:$J$4985,R$2,FALSE),0)</f>
        <v>0</v>
      </c>
      <c r="S30" s="16">
        <f>IFERROR(VLOOKUP($L30,flows!$A$2:$J$4985,S$2,FALSE),0)</f>
        <v>0</v>
      </c>
      <c r="T30" s="16">
        <f>IFERROR(VLOOKUP($L30,flows!$A$2:$J$4985,T$2,FALSE),0)</f>
        <v>0</v>
      </c>
    </row>
    <row r="31" spans="2:20" x14ac:dyDescent="0.35">
      <c r="B31" s="40" t="s">
        <v>819</v>
      </c>
      <c r="C31" s="16">
        <f>IFERROR(VLOOKUP($B31,flows!$A$2:$J$4985,C$2,FALSE),0)</f>
        <v>0</v>
      </c>
      <c r="D31" s="16">
        <f>IFERROR(VLOOKUP($B31,flows!$A$2:$J$4985,D$2,FALSE),0)</f>
        <v>0</v>
      </c>
      <c r="E31" s="16">
        <f>IFERROR(VLOOKUP($B31,flows!$A$2:$J$4985,E$2,FALSE),0)</f>
        <v>0</v>
      </c>
      <c r="F31" s="16">
        <f>IFERROR(VLOOKUP($B31,flows!$A$2:$J$4985,F$2,FALSE),0)</f>
        <v>0</v>
      </c>
      <c r="G31" s="16">
        <f>IFERROR(VLOOKUP($B31,flows!$A$2:$J$4985,G$2,FALSE),0)</f>
        <v>0</v>
      </c>
      <c r="H31" s="16">
        <f>IFERROR(VLOOKUP($B31,flows!$A$2:$J$4985,H$2,FALSE),0)</f>
        <v>0</v>
      </c>
      <c r="I31" s="16">
        <f>IFERROR(VLOOKUP($B31,flows!$A$2:$J$4985,I$2,FALSE),0)</f>
        <v>0</v>
      </c>
      <c r="J31" s="16">
        <f>IFERROR(VLOOKUP($B31,flows!$A$2:$J$4985,J$2,FALSE),0)</f>
        <v>0</v>
      </c>
      <c r="L31" s="40" t="s">
        <v>1086</v>
      </c>
      <c r="M31" s="16">
        <f>IFERROR(VLOOKUP($L31,flows!$A$2:$J$4985,M$2,FALSE),0)</f>
        <v>0</v>
      </c>
      <c r="N31" s="16">
        <f>IFERROR(VLOOKUP($L31,flows!$A$2:$J$4985,N$2,FALSE),0)</f>
        <v>0</v>
      </c>
      <c r="O31" s="16">
        <f>IFERROR(VLOOKUP($L31,flows!$A$2:$J$4985,O$2,FALSE),0)</f>
        <v>0</v>
      </c>
      <c r="P31" s="16">
        <f>IFERROR(VLOOKUP($L31,flows!$A$2:$J$4985,P$2,FALSE),0)</f>
        <v>0</v>
      </c>
      <c r="Q31" s="16">
        <f>IFERROR(VLOOKUP($L31,flows!$A$2:$J$4985,Q$2,FALSE),0)</f>
        <v>0</v>
      </c>
      <c r="R31" s="16">
        <f>IFERROR(VLOOKUP($L31,flows!$A$2:$J$4985,R$2,FALSE),0)</f>
        <v>0</v>
      </c>
      <c r="S31" s="16">
        <f>IFERROR(VLOOKUP($L31,flows!$A$2:$J$4985,S$2,FALSE),0)</f>
        <v>0</v>
      </c>
      <c r="T31" s="16">
        <f>IFERROR(VLOOKUP($L31,flows!$A$2:$J$4985,T$2,FALSE),0)</f>
        <v>0</v>
      </c>
    </row>
    <row r="32" spans="2:20" x14ac:dyDescent="0.35">
      <c r="B32" s="40" t="s">
        <v>820</v>
      </c>
      <c r="C32" s="16">
        <f>IFERROR(VLOOKUP($B32,flows!$A$2:$J$4985,C$2,FALSE),0)</f>
        <v>0</v>
      </c>
      <c r="D32" s="16">
        <f>IFERROR(VLOOKUP($B32,flows!$A$2:$J$4985,D$2,FALSE),0)</f>
        <v>0</v>
      </c>
      <c r="E32" s="16">
        <f>IFERROR(VLOOKUP($B32,flows!$A$2:$J$4985,E$2,FALSE),0)</f>
        <v>0</v>
      </c>
      <c r="F32" s="16">
        <f>IFERROR(VLOOKUP($B32,flows!$A$2:$J$4985,F$2,FALSE),0)</f>
        <v>0</v>
      </c>
      <c r="G32" s="16">
        <f>IFERROR(VLOOKUP($B32,flows!$A$2:$J$4985,G$2,FALSE),0)</f>
        <v>0</v>
      </c>
      <c r="H32" s="16">
        <f>IFERROR(VLOOKUP($B32,flows!$A$2:$J$4985,H$2,FALSE),0)</f>
        <v>0</v>
      </c>
      <c r="I32" s="16">
        <f>IFERROR(VLOOKUP($B32,flows!$A$2:$J$4985,I$2,FALSE),0)</f>
        <v>0</v>
      </c>
      <c r="J32" s="16">
        <f>IFERROR(VLOOKUP($B32,flows!$A$2:$J$4985,J$2,FALSE),0)</f>
        <v>0</v>
      </c>
      <c r="L32" s="40" t="s">
        <v>1087</v>
      </c>
      <c r="M32" s="16">
        <f>IFERROR(VLOOKUP($L32,flows!$A$2:$J$4985,M$2,FALSE),0)</f>
        <v>0</v>
      </c>
      <c r="N32" s="16">
        <f>IFERROR(VLOOKUP($L32,flows!$A$2:$J$4985,N$2,FALSE),0)</f>
        <v>0</v>
      </c>
      <c r="O32" s="16">
        <f>IFERROR(VLOOKUP($L32,flows!$A$2:$J$4985,O$2,FALSE),0)</f>
        <v>0</v>
      </c>
      <c r="P32" s="16">
        <f>IFERROR(VLOOKUP($L32,flows!$A$2:$J$4985,P$2,FALSE),0)</f>
        <v>0</v>
      </c>
      <c r="Q32" s="16">
        <f>IFERROR(VLOOKUP($L32,flows!$A$2:$J$4985,Q$2,FALSE),0)</f>
        <v>0</v>
      </c>
      <c r="R32" s="16">
        <f>IFERROR(VLOOKUP($L32,flows!$A$2:$J$4985,R$2,FALSE),0)</f>
        <v>0</v>
      </c>
      <c r="S32" s="16">
        <f>IFERROR(VLOOKUP($L32,flows!$A$2:$J$4985,S$2,FALSE),0)</f>
        <v>0</v>
      </c>
      <c r="T32" s="16">
        <f>IFERROR(VLOOKUP($L32,flows!$A$2:$J$4985,T$2,FALSE),0)</f>
        <v>0</v>
      </c>
    </row>
    <row r="33" spans="2:20" x14ac:dyDescent="0.35">
      <c r="B33" s="40" t="s">
        <v>821</v>
      </c>
      <c r="C33" s="16">
        <f>IFERROR(VLOOKUP($B33,flows!$A$2:$J$4985,C$2,FALSE),0)</f>
        <v>0</v>
      </c>
      <c r="D33" s="16">
        <f>IFERROR(VLOOKUP($B33,flows!$A$2:$J$4985,D$2,FALSE),0)</f>
        <v>0</v>
      </c>
      <c r="E33" s="16">
        <f>IFERROR(VLOOKUP($B33,flows!$A$2:$J$4985,E$2,FALSE),0)</f>
        <v>0</v>
      </c>
      <c r="F33" s="16">
        <f>IFERROR(VLOOKUP($B33,flows!$A$2:$J$4985,F$2,FALSE),0)</f>
        <v>0</v>
      </c>
      <c r="G33" s="16">
        <f>IFERROR(VLOOKUP($B33,flows!$A$2:$J$4985,G$2,FALSE),0)</f>
        <v>0</v>
      </c>
      <c r="H33" s="16">
        <f>IFERROR(VLOOKUP($B33,flows!$A$2:$J$4985,H$2,FALSE),0)</f>
        <v>0</v>
      </c>
      <c r="I33" s="16">
        <f>IFERROR(VLOOKUP($B33,flows!$A$2:$J$4985,I$2,FALSE),0)</f>
        <v>0</v>
      </c>
      <c r="J33" s="16">
        <f>IFERROR(VLOOKUP($B33,flows!$A$2:$J$4985,J$2,FALSE),0)</f>
        <v>0</v>
      </c>
      <c r="L33" s="40" t="s">
        <v>1088</v>
      </c>
      <c r="M33" s="16">
        <f>IFERROR(VLOOKUP($L33,flows!$A$2:$J$4985,M$2,FALSE),0)</f>
        <v>0</v>
      </c>
      <c r="N33" s="16">
        <f>IFERROR(VLOOKUP($L33,flows!$A$2:$J$4985,N$2,FALSE),0)</f>
        <v>0</v>
      </c>
      <c r="O33" s="16">
        <f>IFERROR(VLOOKUP($L33,flows!$A$2:$J$4985,O$2,FALSE),0)</f>
        <v>0</v>
      </c>
      <c r="P33" s="16">
        <f>IFERROR(VLOOKUP($L33,flows!$A$2:$J$4985,P$2,FALSE),0)</f>
        <v>0</v>
      </c>
      <c r="Q33" s="16">
        <f>IFERROR(VLOOKUP($L33,flows!$A$2:$J$4985,Q$2,FALSE),0)</f>
        <v>0</v>
      </c>
      <c r="R33" s="16">
        <f>IFERROR(VLOOKUP($L33,flows!$A$2:$J$4985,R$2,FALSE),0)</f>
        <v>0</v>
      </c>
      <c r="S33" s="16">
        <f>IFERROR(VLOOKUP($L33,flows!$A$2:$J$4985,S$2,FALSE),0)</f>
        <v>0</v>
      </c>
      <c r="T33" s="16">
        <f>IFERROR(VLOOKUP($L33,flows!$A$2:$J$4985,T$2,FALSE),0)</f>
        <v>0</v>
      </c>
    </row>
    <row r="34" spans="2:20" x14ac:dyDescent="0.35">
      <c r="B34" s="40" t="s">
        <v>822</v>
      </c>
      <c r="C34" s="16">
        <f>IFERROR(VLOOKUP($B34,flows!$A$2:$J$4985,C$2,FALSE),0)</f>
        <v>0</v>
      </c>
      <c r="D34" s="16">
        <f>IFERROR(VLOOKUP($B34,flows!$A$2:$J$4985,D$2,FALSE),0)</f>
        <v>0</v>
      </c>
      <c r="E34" s="16">
        <f>IFERROR(VLOOKUP($B34,flows!$A$2:$J$4985,E$2,FALSE),0)</f>
        <v>0</v>
      </c>
      <c r="F34" s="16">
        <f>IFERROR(VLOOKUP($B34,flows!$A$2:$J$4985,F$2,FALSE),0)</f>
        <v>0</v>
      </c>
      <c r="G34" s="16">
        <f>IFERROR(VLOOKUP($B34,flows!$A$2:$J$4985,G$2,FALSE),0)</f>
        <v>0</v>
      </c>
      <c r="H34" s="16">
        <f>IFERROR(VLOOKUP($B34,flows!$A$2:$J$4985,H$2,FALSE),0)</f>
        <v>0</v>
      </c>
      <c r="I34" s="16">
        <f>IFERROR(VLOOKUP($B34,flows!$A$2:$J$4985,I$2,FALSE),0)</f>
        <v>0</v>
      </c>
      <c r="J34" s="16">
        <f>IFERROR(VLOOKUP($B34,flows!$A$2:$J$4985,J$2,FALSE),0)</f>
        <v>0</v>
      </c>
      <c r="L34" s="40" t="s">
        <v>1089</v>
      </c>
      <c r="M34" s="16">
        <f>IFERROR(VLOOKUP($L34,flows!$A$2:$J$4985,M$2,FALSE),0)</f>
        <v>0</v>
      </c>
      <c r="N34" s="16">
        <f>IFERROR(VLOOKUP($L34,flows!$A$2:$J$4985,N$2,FALSE),0)</f>
        <v>0</v>
      </c>
      <c r="O34" s="16">
        <f>IFERROR(VLOOKUP($L34,flows!$A$2:$J$4985,O$2,FALSE),0)</f>
        <v>0</v>
      </c>
      <c r="P34" s="16">
        <f>IFERROR(VLOOKUP($L34,flows!$A$2:$J$4985,P$2,FALSE),0)</f>
        <v>0</v>
      </c>
      <c r="Q34" s="16">
        <f>IFERROR(VLOOKUP($L34,flows!$A$2:$J$4985,Q$2,FALSE),0)</f>
        <v>0</v>
      </c>
      <c r="R34" s="16">
        <f>IFERROR(VLOOKUP($L34,flows!$A$2:$J$4985,R$2,FALSE),0)</f>
        <v>0</v>
      </c>
      <c r="S34" s="16">
        <f>IFERROR(VLOOKUP($L34,flows!$A$2:$J$4985,S$2,FALSE),0)</f>
        <v>0</v>
      </c>
      <c r="T34" s="16">
        <f>IFERROR(VLOOKUP($L34,flows!$A$2:$J$4985,T$2,FALSE),0)</f>
        <v>0</v>
      </c>
    </row>
    <row r="35" spans="2:20" x14ac:dyDescent="0.35">
      <c r="B35" s="40" t="s">
        <v>823</v>
      </c>
      <c r="C35" s="16">
        <f>IFERROR(VLOOKUP($B35,flows!$A$2:$J$4985,C$2,FALSE),0)</f>
        <v>0</v>
      </c>
      <c r="D35" s="16">
        <f>IFERROR(VLOOKUP($B35,flows!$A$2:$J$4985,D$2,FALSE),0)</f>
        <v>0</v>
      </c>
      <c r="E35" s="16">
        <f>IFERROR(VLOOKUP($B35,flows!$A$2:$J$4985,E$2,FALSE),0)</f>
        <v>0</v>
      </c>
      <c r="F35" s="16">
        <f>IFERROR(VLOOKUP($B35,flows!$A$2:$J$4985,F$2,FALSE),0)</f>
        <v>0</v>
      </c>
      <c r="G35" s="16">
        <f>IFERROR(VLOOKUP($B35,flows!$A$2:$J$4985,G$2,FALSE),0)</f>
        <v>0</v>
      </c>
      <c r="H35" s="16">
        <f>IFERROR(VLOOKUP($B35,flows!$A$2:$J$4985,H$2,FALSE),0)</f>
        <v>0</v>
      </c>
      <c r="I35" s="16">
        <f>IFERROR(VLOOKUP($B35,flows!$A$2:$J$4985,I$2,FALSE),0)</f>
        <v>0</v>
      </c>
      <c r="J35" s="16">
        <f>IFERROR(VLOOKUP($B35,flows!$A$2:$J$4985,J$2,FALSE),0)</f>
        <v>0</v>
      </c>
      <c r="L35" s="40" t="s">
        <v>1090</v>
      </c>
      <c r="M35" s="16">
        <f>IFERROR(VLOOKUP($L35,flows!$A$2:$J$4985,M$2,FALSE),0)</f>
        <v>0</v>
      </c>
      <c r="N35" s="16">
        <f>IFERROR(VLOOKUP($L35,flows!$A$2:$J$4985,N$2,FALSE),0)</f>
        <v>0</v>
      </c>
      <c r="O35" s="16">
        <f>IFERROR(VLOOKUP($L35,flows!$A$2:$J$4985,O$2,FALSE),0)</f>
        <v>0</v>
      </c>
      <c r="P35" s="16">
        <f>IFERROR(VLOOKUP($L35,flows!$A$2:$J$4985,P$2,FALSE),0)</f>
        <v>0</v>
      </c>
      <c r="Q35" s="16">
        <f>IFERROR(VLOOKUP($L35,flows!$A$2:$J$4985,Q$2,FALSE),0)</f>
        <v>0</v>
      </c>
      <c r="R35" s="16">
        <f>IFERROR(VLOOKUP($L35,flows!$A$2:$J$4985,R$2,FALSE),0)</f>
        <v>0</v>
      </c>
      <c r="S35" s="16">
        <f>IFERROR(VLOOKUP($L35,flows!$A$2:$J$4985,S$2,FALSE),0)</f>
        <v>0</v>
      </c>
      <c r="T35" s="16">
        <f>IFERROR(VLOOKUP($L35,flows!$A$2:$J$4985,T$2,FALSE),0)</f>
        <v>0</v>
      </c>
    </row>
    <row r="36" spans="2:20" x14ac:dyDescent="0.35">
      <c r="B36" s="40" t="s">
        <v>824</v>
      </c>
      <c r="C36" s="16">
        <f>IFERROR(VLOOKUP($B36,flows!$A$2:$J$4985,C$2,FALSE),0)</f>
        <v>0</v>
      </c>
      <c r="D36" s="16">
        <f>IFERROR(VLOOKUP($B36,flows!$A$2:$J$4985,D$2,FALSE),0)</f>
        <v>0</v>
      </c>
      <c r="E36" s="16">
        <f>IFERROR(VLOOKUP($B36,flows!$A$2:$J$4985,E$2,FALSE),0)</f>
        <v>0</v>
      </c>
      <c r="F36" s="16">
        <f>IFERROR(VLOOKUP($B36,flows!$A$2:$J$4985,F$2,FALSE),0)</f>
        <v>0</v>
      </c>
      <c r="G36" s="16">
        <f>IFERROR(VLOOKUP($B36,flows!$A$2:$J$4985,G$2,FALSE),0)</f>
        <v>0</v>
      </c>
      <c r="H36" s="16">
        <f>IFERROR(VLOOKUP($B36,flows!$A$2:$J$4985,H$2,FALSE),0)</f>
        <v>0</v>
      </c>
      <c r="I36" s="16">
        <f>IFERROR(VLOOKUP($B36,flows!$A$2:$J$4985,I$2,FALSE),0)</f>
        <v>0</v>
      </c>
      <c r="J36" s="16">
        <f>IFERROR(VLOOKUP($B36,flows!$A$2:$J$4985,J$2,FALSE),0)</f>
        <v>0</v>
      </c>
      <c r="L36" s="40" t="s">
        <v>1091</v>
      </c>
      <c r="M36" s="16">
        <f>IFERROR(VLOOKUP($L36,flows!$A$2:$J$4985,M$2,FALSE),0)</f>
        <v>0</v>
      </c>
      <c r="N36" s="16">
        <f>IFERROR(VLOOKUP($L36,flows!$A$2:$J$4985,N$2,FALSE),0)</f>
        <v>0</v>
      </c>
      <c r="O36" s="16">
        <f>IFERROR(VLOOKUP($L36,flows!$A$2:$J$4985,O$2,FALSE),0)</f>
        <v>0</v>
      </c>
      <c r="P36" s="16">
        <f>IFERROR(VLOOKUP($L36,flows!$A$2:$J$4985,P$2,FALSE),0)</f>
        <v>0</v>
      </c>
      <c r="Q36" s="16">
        <f>IFERROR(VLOOKUP($L36,flows!$A$2:$J$4985,Q$2,FALSE),0)</f>
        <v>0</v>
      </c>
      <c r="R36" s="16">
        <f>IFERROR(VLOOKUP($L36,flows!$A$2:$J$4985,R$2,FALSE),0)</f>
        <v>0</v>
      </c>
      <c r="S36" s="16">
        <f>IFERROR(VLOOKUP($L36,flows!$A$2:$J$4985,S$2,FALSE),0)</f>
        <v>0</v>
      </c>
      <c r="T36" s="16">
        <f>IFERROR(VLOOKUP($L36,flows!$A$2:$J$4985,T$2,FALSE),0)</f>
        <v>0</v>
      </c>
    </row>
    <row r="37" spans="2:20" x14ac:dyDescent="0.35">
      <c r="B37" s="40" t="s">
        <v>825</v>
      </c>
      <c r="C37" s="16">
        <f>IFERROR(VLOOKUP($B37,flows!$A$2:$J$4985,C$2,FALSE),0)</f>
        <v>0</v>
      </c>
      <c r="D37" s="16">
        <f>IFERROR(VLOOKUP($B37,flows!$A$2:$J$4985,D$2,FALSE),0)</f>
        <v>0</v>
      </c>
      <c r="E37" s="16">
        <f>IFERROR(VLOOKUP($B37,flows!$A$2:$J$4985,E$2,FALSE),0)</f>
        <v>0</v>
      </c>
      <c r="F37" s="16">
        <f>IFERROR(VLOOKUP($B37,flows!$A$2:$J$4985,F$2,FALSE),0)</f>
        <v>0</v>
      </c>
      <c r="G37" s="16">
        <f>IFERROR(VLOOKUP($B37,flows!$A$2:$J$4985,G$2,FALSE),0)</f>
        <v>0</v>
      </c>
      <c r="H37" s="16">
        <f>IFERROR(VLOOKUP($B37,flows!$A$2:$J$4985,H$2,FALSE),0)</f>
        <v>0</v>
      </c>
      <c r="I37" s="16">
        <f>IFERROR(VLOOKUP($B37,flows!$A$2:$J$4985,I$2,FALSE),0)</f>
        <v>0</v>
      </c>
      <c r="J37" s="16">
        <f>IFERROR(VLOOKUP($B37,flows!$A$2:$J$4985,J$2,FALSE),0)</f>
        <v>0</v>
      </c>
      <c r="L37" s="40" t="s">
        <v>1092</v>
      </c>
      <c r="M37" s="16">
        <f>IFERROR(VLOOKUP($L37,flows!$A$2:$J$4985,M$2,FALSE),0)</f>
        <v>0</v>
      </c>
      <c r="N37" s="16">
        <f>IFERROR(VLOOKUP($L37,flows!$A$2:$J$4985,N$2,FALSE),0)</f>
        <v>0</v>
      </c>
      <c r="O37" s="16">
        <f>IFERROR(VLOOKUP($L37,flows!$A$2:$J$4985,O$2,FALSE),0)</f>
        <v>0</v>
      </c>
      <c r="P37" s="16">
        <f>IFERROR(VLOOKUP($L37,flows!$A$2:$J$4985,P$2,FALSE),0)</f>
        <v>0</v>
      </c>
      <c r="Q37" s="16">
        <f>IFERROR(VLOOKUP($L37,flows!$A$2:$J$4985,Q$2,FALSE),0)</f>
        <v>0</v>
      </c>
      <c r="R37" s="16">
        <f>IFERROR(VLOOKUP($L37,flows!$A$2:$J$4985,R$2,FALSE),0)</f>
        <v>0</v>
      </c>
      <c r="S37" s="16">
        <f>IFERROR(VLOOKUP($L37,flows!$A$2:$J$4985,S$2,FALSE),0)</f>
        <v>0</v>
      </c>
      <c r="T37" s="16">
        <f>IFERROR(VLOOKUP($L37,flows!$A$2:$J$4985,T$2,FALSE),0)</f>
        <v>0</v>
      </c>
    </row>
    <row r="38" spans="2:20" x14ac:dyDescent="0.35">
      <c r="B38" s="40" t="s">
        <v>826</v>
      </c>
      <c r="C38" s="16">
        <f>IFERROR(VLOOKUP($B38,flows!$A$2:$J$4985,C$2,FALSE),0)</f>
        <v>0</v>
      </c>
      <c r="D38" s="16">
        <f>IFERROR(VLOOKUP($B38,flows!$A$2:$J$4985,D$2,FALSE),0)</f>
        <v>0</v>
      </c>
      <c r="E38" s="16">
        <f>IFERROR(VLOOKUP($B38,flows!$A$2:$J$4985,E$2,FALSE),0)</f>
        <v>0</v>
      </c>
      <c r="F38" s="16">
        <f>IFERROR(VLOOKUP($B38,flows!$A$2:$J$4985,F$2,FALSE),0)</f>
        <v>0</v>
      </c>
      <c r="G38" s="16">
        <f>IFERROR(VLOOKUP($B38,flows!$A$2:$J$4985,G$2,FALSE),0)</f>
        <v>0</v>
      </c>
      <c r="H38" s="16">
        <f>IFERROR(VLOOKUP($B38,flows!$A$2:$J$4985,H$2,FALSE),0)</f>
        <v>0</v>
      </c>
      <c r="I38" s="16">
        <f>IFERROR(VLOOKUP($B38,flows!$A$2:$J$4985,I$2,FALSE),0)</f>
        <v>0</v>
      </c>
      <c r="J38" s="16">
        <f>IFERROR(VLOOKUP($B38,flows!$A$2:$J$4985,J$2,FALSE),0)</f>
        <v>0</v>
      </c>
      <c r="L38" s="40" t="s">
        <v>1093</v>
      </c>
      <c r="M38" s="16">
        <f>IFERROR(VLOOKUP($L38,flows!$A$2:$J$4985,M$2,FALSE),0)</f>
        <v>0</v>
      </c>
      <c r="N38" s="16">
        <f>IFERROR(VLOOKUP($L38,flows!$A$2:$J$4985,N$2,FALSE),0)</f>
        <v>0</v>
      </c>
      <c r="O38" s="16">
        <f>IFERROR(VLOOKUP($L38,flows!$A$2:$J$4985,O$2,FALSE),0)</f>
        <v>0</v>
      </c>
      <c r="P38" s="16">
        <f>IFERROR(VLOOKUP($L38,flows!$A$2:$J$4985,P$2,FALSE),0)</f>
        <v>0</v>
      </c>
      <c r="Q38" s="16">
        <f>IFERROR(VLOOKUP($L38,flows!$A$2:$J$4985,Q$2,FALSE),0)</f>
        <v>0</v>
      </c>
      <c r="R38" s="16">
        <f>IFERROR(VLOOKUP($L38,flows!$A$2:$J$4985,R$2,FALSE),0)</f>
        <v>0</v>
      </c>
      <c r="S38" s="16">
        <f>IFERROR(VLOOKUP($L38,flows!$A$2:$J$4985,S$2,FALSE),0)</f>
        <v>0</v>
      </c>
      <c r="T38" s="16">
        <f>IFERROR(VLOOKUP($L38,flows!$A$2:$J$4985,T$2,FALSE),0)</f>
        <v>0</v>
      </c>
    </row>
    <row r="39" spans="2:20" x14ac:dyDescent="0.35">
      <c r="B39" s="40" t="s">
        <v>827</v>
      </c>
      <c r="C39" s="16">
        <f>IFERROR(VLOOKUP($B39,flows!$A$2:$J$4985,C$2,FALSE),0)</f>
        <v>0</v>
      </c>
      <c r="D39" s="16">
        <f>IFERROR(VLOOKUP($B39,flows!$A$2:$J$4985,D$2,FALSE),0)</f>
        <v>0</v>
      </c>
      <c r="E39" s="16">
        <f>IFERROR(VLOOKUP($B39,flows!$A$2:$J$4985,E$2,FALSE),0)</f>
        <v>0</v>
      </c>
      <c r="F39" s="16">
        <f>IFERROR(VLOOKUP($B39,flows!$A$2:$J$4985,F$2,FALSE),0)</f>
        <v>0</v>
      </c>
      <c r="G39" s="16">
        <f>IFERROR(VLOOKUP($B39,flows!$A$2:$J$4985,G$2,FALSE),0)</f>
        <v>0</v>
      </c>
      <c r="H39" s="16">
        <f>IFERROR(VLOOKUP($B39,flows!$A$2:$J$4985,H$2,FALSE),0)</f>
        <v>0</v>
      </c>
      <c r="I39" s="16">
        <f>IFERROR(VLOOKUP($B39,flows!$A$2:$J$4985,I$2,FALSE),0)</f>
        <v>0</v>
      </c>
      <c r="J39" s="16">
        <f>IFERROR(VLOOKUP($B39,flows!$A$2:$J$4985,J$2,FALSE),0)</f>
        <v>0</v>
      </c>
      <c r="L39" s="40" t="s">
        <v>1106</v>
      </c>
      <c r="M39" s="16">
        <f>IFERROR(VLOOKUP($L39,flows!$A$2:$J$4985,M$2,FALSE),0)</f>
        <v>0</v>
      </c>
      <c r="N39" s="16">
        <f>IFERROR(VLOOKUP($L39,flows!$A$2:$J$4985,N$2,FALSE),0)</f>
        <v>0</v>
      </c>
      <c r="O39" s="16">
        <f>IFERROR(VLOOKUP($L39,flows!$A$2:$J$4985,O$2,FALSE),0)</f>
        <v>0</v>
      </c>
      <c r="P39" s="16">
        <f>IFERROR(VLOOKUP($L39,flows!$A$2:$J$4985,P$2,FALSE),0)</f>
        <v>0</v>
      </c>
      <c r="Q39" s="16">
        <f>IFERROR(VLOOKUP($L39,flows!$A$2:$J$4985,Q$2,FALSE),0)</f>
        <v>0</v>
      </c>
      <c r="R39" s="16">
        <f>IFERROR(VLOOKUP($L39,flows!$A$2:$J$4985,R$2,FALSE),0)</f>
        <v>0</v>
      </c>
      <c r="S39" s="16">
        <f>IFERROR(VLOOKUP($L39,flows!$A$2:$J$4985,S$2,FALSE),0)</f>
        <v>0</v>
      </c>
      <c r="T39" s="16">
        <f>IFERROR(VLOOKUP($L39,flows!$A$2:$J$4985,T$2,FALSE),0)</f>
        <v>0</v>
      </c>
    </row>
    <row r="40" spans="2:20" x14ac:dyDescent="0.35">
      <c r="B40" s="40" t="s">
        <v>828</v>
      </c>
      <c r="C40" s="16">
        <f>IFERROR(VLOOKUP($B40,flows!$A$2:$J$4985,C$2,FALSE),0)</f>
        <v>0</v>
      </c>
      <c r="D40" s="16">
        <f>IFERROR(VLOOKUP($B40,flows!$A$2:$J$4985,D$2,FALSE),0)</f>
        <v>0</v>
      </c>
      <c r="E40" s="16">
        <f>IFERROR(VLOOKUP($B40,flows!$A$2:$J$4985,E$2,FALSE),0)</f>
        <v>0</v>
      </c>
      <c r="F40" s="16">
        <f>IFERROR(VLOOKUP($B40,flows!$A$2:$J$4985,F$2,FALSE),0)</f>
        <v>0</v>
      </c>
      <c r="G40" s="16">
        <f>IFERROR(VLOOKUP($B40,flows!$A$2:$J$4985,G$2,FALSE),0)</f>
        <v>0</v>
      </c>
      <c r="H40" s="16">
        <f>IFERROR(VLOOKUP($B40,flows!$A$2:$J$4985,H$2,FALSE),0)</f>
        <v>0</v>
      </c>
      <c r="I40" s="16">
        <f>IFERROR(VLOOKUP($B40,flows!$A$2:$J$4985,I$2,FALSE),0)</f>
        <v>0</v>
      </c>
      <c r="J40" s="16">
        <f>IFERROR(VLOOKUP($B40,flows!$A$2:$J$4985,J$2,FALSE),0)</f>
        <v>0</v>
      </c>
      <c r="L40" s="40" t="s">
        <v>1107</v>
      </c>
      <c r="M40" s="16">
        <f>IFERROR(VLOOKUP($L40,flows!$A$2:$J$4985,M$2,FALSE),0)</f>
        <v>0</v>
      </c>
      <c r="N40" s="16">
        <f>IFERROR(VLOOKUP($L40,flows!$A$2:$J$4985,N$2,FALSE),0)</f>
        <v>0</v>
      </c>
      <c r="O40" s="16">
        <f>IFERROR(VLOOKUP($L40,flows!$A$2:$J$4985,O$2,FALSE),0)</f>
        <v>0</v>
      </c>
      <c r="P40" s="16">
        <f>IFERROR(VLOOKUP($L40,flows!$A$2:$J$4985,P$2,FALSE),0)</f>
        <v>0</v>
      </c>
      <c r="Q40" s="16">
        <f>IFERROR(VLOOKUP($L40,flows!$A$2:$J$4985,Q$2,FALSE),0)</f>
        <v>0</v>
      </c>
      <c r="R40" s="16">
        <f>IFERROR(VLOOKUP($L40,flows!$A$2:$J$4985,R$2,FALSE),0)</f>
        <v>0</v>
      </c>
      <c r="S40" s="16">
        <f>IFERROR(VLOOKUP($L40,flows!$A$2:$J$4985,S$2,FALSE),0)</f>
        <v>0</v>
      </c>
      <c r="T40" s="16">
        <f>IFERROR(VLOOKUP($L40,flows!$A$2:$J$4985,T$2,FALSE),0)</f>
        <v>0</v>
      </c>
    </row>
    <row r="41" spans="2:20" x14ac:dyDescent="0.35">
      <c r="B41" s="40" t="s">
        <v>829</v>
      </c>
      <c r="C41" s="16">
        <f>IFERROR(VLOOKUP($B41,flows!$A$2:$J$4985,C$2,FALSE),0)</f>
        <v>0</v>
      </c>
      <c r="D41" s="16">
        <f>IFERROR(VLOOKUP($B41,flows!$A$2:$J$4985,D$2,FALSE),0)</f>
        <v>0</v>
      </c>
      <c r="E41" s="16">
        <f>IFERROR(VLOOKUP($B41,flows!$A$2:$J$4985,E$2,FALSE),0)</f>
        <v>0</v>
      </c>
      <c r="F41" s="16">
        <f>IFERROR(VLOOKUP($B41,flows!$A$2:$J$4985,F$2,FALSE),0)</f>
        <v>0</v>
      </c>
      <c r="G41" s="16">
        <f>IFERROR(VLOOKUP($B41,flows!$A$2:$J$4985,G$2,FALSE),0)</f>
        <v>0</v>
      </c>
      <c r="H41" s="16">
        <f>IFERROR(VLOOKUP($B41,flows!$A$2:$J$4985,H$2,FALSE),0)</f>
        <v>0</v>
      </c>
      <c r="I41" s="16">
        <f>IFERROR(VLOOKUP($B41,flows!$A$2:$J$4985,I$2,FALSE),0)</f>
        <v>0</v>
      </c>
      <c r="J41" s="16">
        <f>IFERROR(VLOOKUP($B41,flows!$A$2:$J$4985,J$2,FALSE),0)</f>
        <v>0</v>
      </c>
      <c r="L41" s="40" t="s">
        <v>1109</v>
      </c>
      <c r="M41" s="16">
        <f>IFERROR(VLOOKUP($L41,flows!$A$2:$J$4985,M$2,FALSE),0)</f>
        <v>0</v>
      </c>
      <c r="N41" s="16">
        <f>IFERROR(VLOOKUP($L41,flows!$A$2:$J$4985,N$2,FALSE),0)</f>
        <v>0</v>
      </c>
      <c r="O41" s="16">
        <f>IFERROR(VLOOKUP($L41,flows!$A$2:$J$4985,O$2,FALSE),0)</f>
        <v>0</v>
      </c>
      <c r="P41" s="16">
        <f>IFERROR(VLOOKUP($L41,flows!$A$2:$J$4985,P$2,FALSE),0)</f>
        <v>0</v>
      </c>
      <c r="Q41" s="16">
        <f>IFERROR(VLOOKUP($L41,flows!$A$2:$J$4985,Q$2,FALSE),0)</f>
        <v>0</v>
      </c>
      <c r="R41" s="16">
        <f>IFERROR(VLOOKUP($L41,flows!$A$2:$J$4985,R$2,FALSE),0)</f>
        <v>0</v>
      </c>
      <c r="S41" s="16">
        <f>IFERROR(VLOOKUP($L41,flows!$A$2:$J$4985,S$2,FALSE),0)</f>
        <v>0</v>
      </c>
      <c r="T41" s="16">
        <f>IFERROR(VLOOKUP($L41,flows!$A$2:$J$4985,T$2,FALSE),0)</f>
        <v>0</v>
      </c>
    </row>
    <row r="42" spans="2:20" x14ac:dyDescent="0.35">
      <c r="B42" s="40" t="s">
        <v>830</v>
      </c>
      <c r="C42" s="16">
        <f>IFERROR(VLOOKUP($B42,flows!$A$2:$J$4985,C$2,FALSE),0)</f>
        <v>0</v>
      </c>
      <c r="D42" s="16">
        <f>IFERROR(VLOOKUP($B42,flows!$A$2:$J$4985,D$2,FALSE),0)</f>
        <v>0</v>
      </c>
      <c r="E42" s="16">
        <f>IFERROR(VLOOKUP($B42,flows!$A$2:$J$4985,E$2,FALSE),0)</f>
        <v>0</v>
      </c>
      <c r="F42" s="16">
        <f>IFERROR(VLOOKUP($B42,flows!$A$2:$J$4985,F$2,FALSE),0)</f>
        <v>0</v>
      </c>
      <c r="G42" s="16">
        <f>IFERROR(VLOOKUP($B42,flows!$A$2:$J$4985,G$2,FALSE),0)</f>
        <v>0</v>
      </c>
      <c r="H42" s="16">
        <f>IFERROR(VLOOKUP($B42,flows!$A$2:$J$4985,H$2,FALSE),0)</f>
        <v>0</v>
      </c>
      <c r="I42" s="16">
        <f>IFERROR(VLOOKUP($B42,flows!$A$2:$J$4985,I$2,FALSE),0)</f>
        <v>0</v>
      </c>
      <c r="J42" s="16">
        <f>IFERROR(VLOOKUP($B42,flows!$A$2:$J$4985,J$2,FALSE),0)</f>
        <v>0</v>
      </c>
      <c r="L42" s="40" t="s">
        <v>1110</v>
      </c>
      <c r="M42" s="16">
        <f>IFERROR(VLOOKUP($L42,flows!$A$2:$J$4985,M$2,FALSE),0)</f>
        <v>0</v>
      </c>
      <c r="N42" s="16">
        <f>IFERROR(VLOOKUP($L42,flows!$A$2:$J$4985,N$2,FALSE),0)</f>
        <v>0</v>
      </c>
      <c r="O42" s="16">
        <f>IFERROR(VLOOKUP($L42,flows!$A$2:$J$4985,O$2,FALSE),0)</f>
        <v>0</v>
      </c>
      <c r="P42" s="16">
        <f>IFERROR(VLOOKUP($L42,flows!$A$2:$J$4985,P$2,FALSE),0)</f>
        <v>0</v>
      </c>
      <c r="Q42" s="16">
        <f>IFERROR(VLOOKUP($L42,flows!$A$2:$J$4985,Q$2,FALSE),0)</f>
        <v>0</v>
      </c>
      <c r="R42" s="16">
        <f>IFERROR(VLOOKUP($L42,flows!$A$2:$J$4985,R$2,FALSE),0)</f>
        <v>0</v>
      </c>
      <c r="S42" s="16">
        <f>IFERROR(VLOOKUP($L42,flows!$A$2:$J$4985,S$2,FALSE),0)</f>
        <v>0</v>
      </c>
      <c r="T42" s="16">
        <f>IFERROR(VLOOKUP($L42,flows!$A$2:$J$4985,T$2,FALSE),0)</f>
        <v>0</v>
      </c>
    </row>
    <row r="43" spans="2:20" x14ac:dyDescent="0.35">
      <c r="B43" s="40" t="s">
        <v>831</v>
      </c>
      <c r="C43" s="16">
        <f>IFERROR(VLOOKUP($B43,flows!$A$2:$J$4985,C$2,FALSE),0)</f>
        <v>0</v>
      </c>
      <c r="D43" s="16">
        <f>IFERROR(VLOOKUP($B43,flows!$A$2:$J$4985,D$2,FALSE),0)</f>
        <v>0</v>
      </c>
      <c r="E43" s="16">
        <f>IFERROR(VLOOKUP($B43,flows!$A$2:$J$4985,E$2,FALSE),0)</f>
        <v>0</v>
      </c>
      <c r="F43" s="16">
        <f>IFERROR(VLOOKUP($B43,flows!$A$2:$J$4985,F$2,FALSE),0)</f>
        <v>0</v>
      </c>
      <c r="G43" s="16">
        <f>IFERROR(VLOOKUP($B43,flows!$A$2:$J$4985,G$2,FALSE),0)</f>
        <v>0</v>
      </c>
      <c r="H43" s="16">
        <f>IFERROR(VLOOKUP($B43,flows!$A$2:$J$4985,H$2,FALSE),0)</f>
        <v>0</v>
      </c>
      <c r="I43" s="16">
        <f>IFERROR(VLOOKUP($B43,flows!$A$2:$J$4985,I$2,FALSE),0)</f>
        <v>0</v>
      </c>
      <c r="J43" s="16">
        <f>IFERROR(VLOOKUP($B43,flows!$A$2:$J$4985,J$2,FALSE),0)</f>
        <v>0</v>
      </c>
      <c r="L43" s="40" t="s">
        <v>1111</v>
      </c>
      <c r="M43" s="16">
        <f>IFERROR(VLOOKUP($L43,flows!$A$2:$J$4985,M$2,FALSE),0)</f>
        <v>0</v>
      </c>
      <c r="N43" s="16">
        <f>IFERROR(VLOOKUP($L43,flows!$A$2:$J$4985,N$2,FALSE),0)</f>
        <v>0</v>
      </c>
      <c r="O43" s="16">
        <f>IFERROR(VLOOKUP($L43,flows!$A$2:$J$4985,O$2,FALSE),0)</f>
        <v>0</v>
      </c>
      <c r="P43" s="16">
        <f>IFERROR(VLOOKUP($L43,flows!$A$2:$J$4985,P$2,FALSE),0)</f>
        <v>0</v>
      </c>
      <c r="Q43" s="16">
        <f>IFERROR(VLOOKUP($L43,flows!$A$2:$J$4985,Q$2,FALSE),0)</f>
        <v>0</v>
      </c>
      <c r="R43" s="16">
        <f>IFERROR(VLOOKUP($L43,flows!$A$2:$J$4985,R$2,FALSE),0)</f>
        <v>0</v>
      </c>
      <c r="S43" s="16">
        <f>IFERROR(VLOOKUP($L43,flows!$A$2:$J$4985,S$2,FALSE),0)</f>
        <v>0</v>
      </c>
      <c r="T43" s="16">
        <f>IFERROR(VLOOKUP($L43,flows!$A$2:$J$4985,T$2,FALSE),0)</f>
        <v>0</v>
      </c>
    </row>
    <row r="44" spans="2:20" x14ac:dyDescent="0.35">
      <c r="B44" s="40" t="s">
        <v>832</v>
      </c>
      <c r="C44" s="16">
        <f>IFERROR(VLOOKUP($B44,flows!$A$2:$J$4985,C$2,FALSE),0)</f>
        <v>0</v>
      </c>
      <c r="D44" s="16">
        <f>IFERROR(VLOOKUP($B44,flows!$A$2:$J$4985,D$2,FALSE),0)</f>
        <v>0</v>
      </c>
      <c r="E44" s="16">
        <f>IFERROR(VLOOKUP($B44,flows!$A$2:$J$4985,E$2,FALSE),0)</f>
        <v>0</v>
      </c>
      <c r="F44" s="16">
        <f>IFERROR(VLOOKUP($B44,flows!$A$2:$J$4985,F$2,FALSE),0)</f>
        <v>0</v>
      </c>
      <c r="G44" s="16">
        <f>IFERROR(VLOOKUP($B44,flows!$A$2:$J$4985,G$2,FALSE),0)</f>
        <v>0</v>
      </c>
      <c r="H44" s="16">
        <f>IFERROR(VLOOKUP($B44,flows!$A$2:$J$4985,H$2,FALSE),0)</f>
        <v>0</v>
      </c>
      <c r="I44" s="16">
        <f>IFERROR(VLOOKUP($B44,flows!$A$2:$J$4985,I$2,FALSE),0)</f>
        <v>0</v>
      </c>
      <c r="J44" s="16">
        <f>IFERROR(VLOOKUP($B44,flows!$A$2:$J$4985,J$2,FALSE),0)</f>
        <v>0</v>
      </c>
      <c r="L44" s="40" t="s">
        <v>1112</v>
      </c>
      <c r="M44" s="16">
        <f>IFERROR(VLOOKUP($L44,flows!$A$2:$J$4985,M$2,FALSE),0)</f>
        <v>0</v>
      </c>
      <c r="N44" s="16">
        <f>IFERROR(VLOOKUP($L44,flows!$A$2:$J$4985,N$2,FALSE),0)</f>
        <v>0</v>
      </c>
      <c r="O44" s="16">
        <f>IFERROR(VLOOKUP($L44,flows!$A$2:$J$4985,O$2,FALSE),0)</f>
        <v>0</v>
      </c>
      <c r="P44" s="16">
        <f>IFERROR(VLOOKUP($L44,flows!$A$2:$J$4985,P$2,FALSE),0)</f>
        <v>0</v>
      </c>
      <c r="Q44" s="16">
        <f>IFERROR(VLOOKUP($L44,flows!$A$2:$J$4985,Q$2,FALSE),0)</f>
        <v>0</v>
      </c>
      <c r="R44" s="16">
        <f>IFERROR(VLOOKUP($L44,flows!$A$2:$J$4985,R$2,FALSE),0)</f>
        <v>0</v>
      </c>
      <c r="S44" s="16">
        <f>IFERROR(VLOOKUP($L44,flows!$A$2:$J$4985,S$2,FALSE),0)</f>
        <v>0</v>
      </c>
      <c r="T44" s="16">
        <f>IFERROR(VLOOKUP($L44,flows!$A$2:$J$4985,T$2,FALSE),0)</f>
        <v>0</v>
      </c>
    </row>
    <row r="45" spans="2:20" x14ac:dyDescent="0.35">
      <c r="B45" s="40" t="s">
        <v>833</v>
      </c>
      <c r="C45" s="16">
        <f>IFERROR(VLOOKUP($B45,flows!$A$2:$J$4985,C$2,FALSE),0)</f>
        <v>0</v>
      </c>
      <c r="D45" s="16">
        <f>IFERROR(VLOOKUP($B45,flows!$A$2:$J$4985,D$2,FALSE),0)</f>
        <v>0</v>
      </c>
      <c r="E45" s="16">
        <f>IFERROR(VLOOKUP($B45,flows!$A$2:$J$4985,E$2,FALSE),0)</f>
        <v>0</v>
      </c>
      <c r="F45" s="16">
        <f>IFERROR(VLOOKUP($B45,flows!$A$2:$J$4985,F$2,FALSE),0)</f>
        <v>0</v>
      </c>
      <c r="G45" s="16">
        <f>IFERROR(VLOOKUP($B45,flows!$A$2:$J$4985,G$2,FALSE),0)</f>
        <v>0</v>
      </c>
      <c r="H45" s="16">
        <f>IFERROR(VLOOKUP($B45,flows!$A$2:$J$4985,H$2,FALSE),0)</f>
        <v>0</v>
      </c>
      <c r="I45" s="16">
        <f>IFERROR(VLOOKUP($B45,flows!$A$2:$J$4985,I$2,FALSE),0)</f>
        <v>0</v>
      </c>
      <c r="J45" s="16">
        <f>IFERROR(VLOOKUP($B45,flows!$A$2:$J$4985,J$2,FALSE),0)</f>
        <v>0</v>
      </c>
      <c r="L45" s="40" t="s">
        <v>1113</v>
      </c>
      <c r="M45" s="16">
        <f>IFERROR(VLOOKUP($L45,flows!$A$2:$J$4985,M$2,FALSE),0)</f>
        <v>0</v>
      </c>
      <c r="N45" s="16">
        <f>IFERROR(VLOOKUP($L45,flows!$A$2:$J$4985,N$2,FALSE),0)</f>
        <v>0</v>
      </c>
      <c r="O45" s="16">
        <f>IFERROR(VLOOKUP($L45,flows!$A$2:$J$4985,O$2,FALSE),0)</f>
        <v>0</v>
      </c>
      <c r="P45" s="16">
        <f>IFERROR(VLOOKUP($L45,flows!$A$2:$J$4985,P$2,FALSE),0)</f>
        <v>0</v>
      </c>
      <c r="Q45" s="16">
        <f>IFERROR(VLOOKUP($L45,flows!$A$2:$J$4985,Q$2,FALSE),0)</f>
        <v>0</v>
      </c>
      <c r="R45" s="16">
        <f>IFERROR(VLOOKUP($L45,flows!$A$2:$J$4985,R$2,FALSE),0)</f>
        <v>0</v>
      </c>
      <c r="S45" s="16">
        <f>IFERROR(VLOOKUP($L45,flows!$A$2:$J$4985,S$2,FALSE),0)</f>
        <v>0</v>
      </c>
      <c r="T45" s="16">
        <f>IFERROR(VLOOKUP($L45,flows!$A$2:$J$4985,T$2,FALSE),0)</f>
        <v>0</v>
      </c>
    </row>
    <row r="46" spans="2:20" x14ac:dyDescent="0.35">
      <c r="B46" s="40" t="s">
        <v>834</v>
      </c>
      <c r="C46" s="16">
        <f>IFERROR(VLOOKUP($B46,flows!$A$2:$J$4985,C$2,FALSE),0)</f>
        <v>0</v>
      </c>
      <c r="D46" s="16">
        <f>IFERROR(VLOOKUP($B46,flows!$A$2:$J$4985,D$2,FALSE),0)</f>
        <v>0</v>
      </c>
      <c r="E46" s="16">
        <f>IFERROR(VLOOKUP($B46,flows!$A$2:$J$4985,E$2,FALSE),0)</f>
        <v>0</v>
      </c>
      <c r="F46" s="16">
        <f>IFERROR(VLOOKUP($B46,flows!$A$2:$J$4985,F$2,FALSE),0)</f>
        <v>0</v>
      </c>
      <c r="G46" s="16">
        <f>IFERROR(VLOOKUP($B46,flows!$A$2:$J$4985,G$2,FALSE),0)</f>
        <v>0</v>
      </c>
      <c r="H46" s="16">
        <f>IFERROR(VLOOKUP($B46,flows!$A$2:$J$4985,H$2,FALSE),0)</f>
        <v>0</v>
      </c>
      <c r="I46" s="16">
        <f>IFERROR(VLOOKUP($B46,flows!$A$2:$J$4985,I$2,FALSE),0)</f>
        <v>0</v>
      </c>
      <c r="J46" s="16">
        <f>IFERROR(VLOOKUP($B46,flows!$A$2:$J$4985,J$2,FALSE),0)</f>
        <v>0</v>
      </c>
      <c r="L46" s="40" t="s">
        <v>1114</v>
      </c>
      <c r="M46" s="16">
        <f>IFERROR(VLOOKUP($L46,flows!$A$2:$J$4985,M$2,FALSE),0)</f>
        <v>0</v>
      </c>
      <c r="N46" s="16">
        <f>IFERROR(VLOOKUP($L46,flows!$A$2:$J$4985,N$2,FALSE),0)</f>
        <v>0</v>
      </c>
      <c r="O46" s="16">
        <f>IFERROR(VLOOKUP($L46,flows!$A$2:$J$4985,O$2,FALSE),0)</f>
        <v>0</v>
      </c>
      <c r="P46" s="16">
        <f>IFERROR(VLOOKUP($L46,flows!$A$2:$J$4985,P$2,FALSE),0)</f>
        <v>0</v>
      </c>
      <c r="Q46" s="16">
        <f>IFERROR(VLOOKUP($L46,flows!$A$2:$J$4985,Q$2,FALSE),0)</f>
        <v>0</v>
      </c>
      <c r="R46" s="16">
        <f>IFERROR(VLOOKUP($L46,flows!$A$2:$J$4985,R$2,FALSE),0)</f>
        <v>0</v>
      </c>
      <c r="S46" s="16">
        <f>IFERROR(VLOOKUP($L46,flows!$A$2:$J$4985,S$2,FALSE),0)</f>
        <v>0</v>
      </c>
      <c r="T46" s="16">
        <f>IFERROR(VLOOKUP($L46,flows!$A$2:$J$4985,T$2,FALSE),0)</f>
        <v>0</v>
      </c>
    </row>
    <row r="47" spans="2:20" x14ac:dyDescent="0.35">
      <c r="B47" s="40" t="s">
        <v>835</v>
      </c>
      <c r="C47" s="16">
        <f>IFERROR(VLOOKUP($B47,flows!$A$2:$J$4985,C$2,FALSE),0)</f>
        <v>0</v>
      </c>
      <c r="D47" s="16">
        <f>IFERROR(VLOOKUP($B47,flows!$A$2:$J$4985,D$2,FALSE),0)</f>
        <v>0</v>
      </c>
      <c r="E47" s="16">
        <f>IFERROR(VLOOKUP($B47,flows!$A$2:$J$4985,E$2,FALSE),0)</f>
        <v>0</v>
      </c>
      <c r="F47" s="16">
        <f>IFERROR(VLOOKUP($B47,flows!$A$2:$J$4985,F$2,FALSE),0)</f>
        <v>0</v>
      </c>
      <c r="G47" s="16">
        <f>IFERROR(VLOOKUP($B47,flows!$A$2:$J$4985,G$2,FALSE),0)</f>
        <v>0</v>
      </c>
      <c r="H47" s="16">
        <f>IFERROR(VLOOKUP($B47,flows!$A$2:$J$4985,H$2,FALSE),0)</f>
        <v>0</v>
      </c>
      <c r="I47" s="16">
        <f>IFERROR(VLOOKUP($B47,flows!$A$2:$J$4985,I$2,FALSE),0)</f>
        <v>0</v>
      </c>
      <c r="J47" s="16">
        <f>IFERROR(VLOOKUP($B47,flows!$A$2:$J$4985,J$2,FALSE),0)</f>
        <v>0</v>
      </c>
      <c r="L47" s="40" t="s">
        <v>1115</v>
      </c>
      <c r="M47" s="16">
        <f>IFERROR(VLOOKUP($L47,flows!$A$2:$J$4985,M$2,FALSE),0)</f>
        <v>0</v>
      </c>
      <c r="N47" s="16">
        <f>IFERROR(VLOOKUP($L47,flows!$A$2:$J$4985,N$2,FALSE),0)</f>
        <v>0</v>
      </c>
      <c r="O47" s="16">
        <f>IFERROR(VLOOKUP($L47,flows!$A$2:$J$4985,O$2,FALSE),0)</f>
        <v>0</v>
      </c>
      <c r="P47" s="16">
        <f>IFERROR(VLOOKUP($L47,flows!$A$2:$J$4985,P$2,FALSE),0)</f>
        <v>0</v>
      </c>
      <c r="Q47" s="16">
        <f>IFERROR(VLOOKUP($L47,flows!$A$2:$J$4985,Q$2,FALSE),0)</f>
        <v>0</v>
      </c>
      <c r="R47" s="16">
        <f>IFERROR(VLOOKUP($L47,flows!$A$2:$J$4985,R$2,FALSE),0)</f>
        <v>0</v>
      </c>
      <c r="S47" s="16">
        <f>IFERROR(VLOOKUP($L47,flows!$A$2:$J$4985,S$2,FALSE),0)</f>
        <v>0</v>
      </c>
      <c r="T47" s="16">
        <f>IFERROR(VLOOKUP($L47,flows!$A$2:$J$4985,T$2,FALSE),0)</f>
        <v>0</v>
      </c>
    </row>
    <row r="48" spans="2:20" x14ac:dyDescent="0.35">
      <c r="B48" s="40" t="s">
        <v>803</v>
      </c>
      <c r="C48" s="16">
        <f>IFERROR(VLOOKUP($B48,flows!$A$2:$J$4985,C$2,FALSE),0)</f>
        <v>0</v>
      </c>
      <c r="D48" s="16">
        <f>IFERROR(VLOOKUP($B48,flows!$A$2:$J$4985,D$2,FALSE),0)</f>
        <v>0</v>
      </c>
      <c r="E48" s="16">
        <f>IFERROR(VLOOKUP($B48,flows!$A$2:$J$4985,E$2,FALSE),0)</f>
        <v>0</v>
      </c>
      <c r="F48" s="16">
        <f>IFERROR(VLOOKUP($B48,flows!$A$2:$J$4985,F$2,FALSE),0)</f>
        <v>0</v>
      </c>
      <c r="G48" s="16">
        <f>IFERROR(VLOOKUP($B48,flows!$A$2:$J$4985,G$2,FALSE),0)</f>
        <v>0</v>
      </c>
      <c r="H48" s="16">
        <f>IFERROR(VLOOKUP($B48,flows!$A$2:$J$4985,H$2,FALSE),0)</f>
        <v>0</v>
      </c>
      <c r="I48" s="16">
        <f>IFERROR(VLOOKUP($B48,flows!$A$2:$J$4985,I$2,FALSE),0)</f>
        <v>0</v>
      </c>
      <c r="J48" s="16">
        <f>IFERROR(VLOOKUP($B48,flows!$A$2:$J$4985,J$2,FALSE),0)</f>
        <v>0</v>
      </c>
      <c r="L48" s="40" t="s">
        <v>890</v>
      </c>
      <c r="M48" s="16">
        <f>IFERROR(VLOOKUP($L48,flows!$A$2:$J$4985,M$2,FALSE),0)</f>
        <v>0</v>
      </c>
      <c r="N48" s="16">
        <f>IFERROR(VLOOKUP($L48,flows!$A$2:$J$4985,N$2,FALSE),0)</f>
        <v>0</v>
      </c>
      <c r="O48" s="16">
        <f>IFERROR(VLOOKUP($L48,flows!$A$2:$J$4985,O$2,FALSE),0)</f>
        <v>0</v>
      </c>
      <c r="P48" s="16">
        <f>IFERROR(VLOOKUP($L48,flows!$A$2:$J$4985,P$2,FALSE),0)</f>
        <v>0</v>
      </c>
      <c r="Q48" s="16">
        <f>IFERROR(VLOOKUP($L48,flows!$A$2:$J$4985,Q$2,FALSE),0)</f>
        <v>0</v>
      </c>
      <c r="R48" s="16">
        <f>IFERROR(VLOOKUP($L48,flows!$A$2:$J$4985,R$2,FALSE),0)</f>
        <v>0</v>
      </c>
      <c r="S48" s="16">
        <f>IFERROR(VLOOKUP($L48,flows!$A$2:$J$4985,S$2,FALSE),0)</f>
        <v>0</v>
      </c>
      <c r="T48" s="16">
        <f>IFERROR(VLOOKUP($L48,flows!$A$2:$J$4985,T$2,FALSE),0)</f>
        <v>0</v>
      </c>
    </row>
    <row r="49" spans="2:20" x14ac:dyDescent="0.35">
      <c r="B49" s="40" t="s">
        <v>804</v>
      </c>
      <c r="C49" s="16">
        <f>IFERROR(VLOOKUP($B49,flows!$A$2:$J$4985,C$2,FALSE),0)</f>
        <v>0</v>
      </c>
      <c r="D49" s="16">
        <f>IFERROR(VLOOKUP($B49,flows!$A$2:$J$4985,D$2,FALSE),0)</f>
        <v>0</v>
      </c>
      <c r="E49" s="16">
        <f>IFERROR(VLOOKUP($B49,flows!$A$2:$J$4985,E$2,FALSE),0)</f>
        <v>0</v>
      </c>
      <c r="F49" s="16">
        <f>IFERROR(VLOOKUP($B49,flows!$A$2:$J$4985,F$2,FALSE),0)</f>
        <v>0</v>
      </c>
      <c r="G49" s="16">
        <f>IFERROR(VLOOKUP($B49,flows!$A$2:$J$4985,G$2,FALSE),0)</f>
        <v>0</v>
      </c>
      <c r="H49" s="16">
        <f>IFERROR(VLOOKUP($B49,flows!$A$2:$J$4985,H$2,FALSE),0)</f>
        <v>0</v>
      </c>
      <c r="I49" s="16">
        <f>IFERROR(VLOOKUP($B49,flows!$A$2:$J$4985,I$2,FALSE),0)</f>
        <v>0</v>
      </c>
      <c r="J49" s="16">
        <f>IFERROR(VLOOKUP($B49,flows!$A$2:$J$4985,J$2,FALSE),0)</f>
        <v>0</v>
      </c>
      <c r="L49" s="40" t="s">
        <v>891</v>
      </c>
      <c r="M49" s="16">
        <f>IFERROR(VLOOKUP($L49,flows!$A$2:$J$4985,M$2,FALSE),0)</f>
        <v>0</v>
      </c>
      <c r="N49" s="16">
        <f>IFERROR(VLOOKUP($L49,flows!$A$2:$J$4985,N$2,FALSE),0)</f>
        <v>0</v>
      </c>
      <c r="O49" s="16">
        <f>IFERROR(VLOOKUP($L49,flows!$A$2:$J$4985,O$2,FALSE),0)</f>
        <v>0</v>
      </c>
      <c r="P49" s="16">
        <f>IFERROR(VLOOKUP($L49,flows!$A$2:$J$4985,P$2,FALSE),0)</f>
        <v>0</v>
      </c>
      <c r="Q49" s="16">
        <f>IFERROR(VLOOKUP($L49,flows!$A$2:$J$4985,Q$2,FALSE),0)</f>
        <v>0</v>
      </c>
      <c r="R49" s="16">
        <f>IFERROR(VLOOKUP($L49,flows!$A$2:$J$4985,R$2,FALSE),0)</f>
        <v>0</v>
      </c>
      <c r="S49" s="16">
        <f>IFERROR(VLOOKUP($L49,flows!$A$2:$J$4985,S$2,FALSE),0)</f>
        <v>0</v>
      </c>
      <c r="T49" s="16">
        <f>IFERROR(VLOOKUP($L49,flows!$A$2:$J$4985,T$2,FALSE),0)</f>
        <v>0</v>
      </c>
    </row>
    <row r="50" spans="2:20" x14ac:dyDescent="0.35">
      <c r="B50" s="40" t="s">
        <v>805</v>
      </c>
      <c r="C50" s="16">
        <f>IFERROR(VLOOKUP($B50,flows!$A$2:$J$4985,C$2,FALSE),0)</f>
        <v>0</v>
      </c>
      <c r="D50" s="16">
        <f>IFERROR(VLOOKUP($B50,flows!$A$2:$J$4985,D$2,FALSE),0)</f>
        <v>0</v>
      </c>
      <c r="E50" s="16">
        <f>IFERROR(VLOOKUP($B50,flows!$A$2:$J$4985,E$2,FALSE),0)</f>
        <v>0</v>
      </c>
      <c r="F50" s="16">
        <f>IFERROR(VLOOKUP($B50,flows!$A$2:$J$4985,F$2,FALSE),0)</f>
        <v>0</v>
      </c>
      <c r="G50" s="16">
        <f>IFERROR(VLOOKUP($B50,flows!$A$2:$J$4985,G$2,FALSE),0)</f>
        <v>0</v>
      </c>
      <c r="H50" s="16">
        <f>IFERROR(VLOOKUP($B50,flows!$A$2:$J$4985,H$2,FALSE),0)</f>
        <v>0</v>
      </c>
      <c r="I50" s="16">
        <f>IFERROR(VLOOKUP($B50,flows!$A$2:$J$4985,I$2,FALSE),0)</f>
        <v>0</v>
      </c>
      <c r="J50" s="16">
        <f>IFERROR(VLOOKUP($B50,flows!$A$2:$J$4985,J$2,FALSE),0)</f>
        <v>0</v>
      </c>
      <c r="L50" s="40" t="s">
        <v>892</v>
      </c>
      <c r="M50" s="16">
        <f>IFERROR(VLOOKUP($L50,flows!$A$2:$J$4985,M$2,FALSE),0)</f>
        <v>0</v>
      </c>
      <c r="N50" s="16">
        <f>IFERROR(VLOOKUP($L50,flows!$A$2:$J$4985,N$2,FALSE),0)</f>
        <v>0</v>
      </c>
      <c r="O50" s="16">
        <f>IFERROR(VLOOKUP($L50,flows!$A$2:$J$4985,O$2,FALSE),0)</f>
        <v>0</v>
      </c>
      <c r="P50" s="16">
        <f>IFERROR(VLOOKUP($L50,flows!$A$2:$J$4985,P$2,FALSE),0)</f>
        <v>0</v>
      </c>
      <c r="Q50" s="16">
        <f>IFERROR(VLOOKUP($L50,flows!$A$2:$J$4985,Q$2,FALSE),0)</f>
        <v>0</v>
      </c>
      <c r="R50" s="16">
        <f>IFERROR(VLOOKUP($L50,flows!$A$2:$J$4985,R$2,FALSE),0)</f>
        <v>0</v>
      </c>
      <c r="S50" s="16">
        <f>IFERROR(VLOOKUP($L50,flows!$A$2:$J$4985,S$2,FALSE),0)</f>
        <v>0</v>
      </c>
      <c r="T50" s="16">
        <f>IFERROR(VLOOKUP($L50,flows!$A$2:$J$4985,T$2,FALSE),0)</f>
        <v>0</v>
      </c>
    </row>
    <row r="51" spans="2:20" x14ac:dyDescent="0.35">
      <c r="B51" s="40" t="s">
        <v>806</v>
      </c>
      <c r="C51" s="16">
        <f>IFERROR(VLOOKUP($B51,flows!$A$2:$J$4985,C$2,FALSE),0)</f>
        <v>0</v>
      </c>
      <c r="D51" s="16">
        <f>IFERROR(VLOOKUP($B51,flows!$A$2:$J$4985,D$2,FALSE),0)</f>
        <v>0</v>
      </c>
      <c r="E51" s="16">
        <f>IFERROR(VLOOKUP($B51,flows!$A$2:$J$4985,E$2,FALSE),0)</f>
        <v>0</v>
      </c>
      <c r="F51" s="16">
        <f>IFERROR(VLOOKUP($B51,flows!$A$2:$J$4985,F$2,FALSE),0)</f>
        <v>0</v>
      </c>
      <c r="G51" s="16">
        <f>IFERROR(VLOOKUP($B51,flows!$A$2:$J$4985,G$2,FALSE),0)</f>
        <v>0</v>
      </c>
      <c r="H51" s="16">
        <f>IFERROR(VLOOKUP($B51,flows!$A$2:$J$4985,H$2,FALSE),0)</f>
        <v>0</v>
      </c>
      <c r="I51" s="16">
        <f>IFERROR(VLOOKUP($B51,flows!$A$2:$J$4985,I$2,FALSE),0)</f>
        <v>0</v>
      </c>
      <c r="J51" s="16">
        <f>IFERROR(VLOOKUP($B51,flows!$A$2:$J$4985,J$2,FALSE),0)</f>
        <v>0</v>
      </c>
      <c r="L51" s="40" t="s">
        <v>893</v>
      </c>
      <c r="M51" s="16">
        <f>IFERROR(VLOOKUP($L51,flows!$A$2:$J$4985,M$2,FALSE),0)</f>
        <v>0</v>
      </c>
      <c r="N51" s="16">
        <f>IFERROR(VLOOKUP($L51,flows!$A$2:$J$4985,N$2,FALSE),0)</f>
        <v>0</v>
      </c>
      <c r="O51" s="16">
        <f>IFERROR(VLOOKUP($L51,flows!$A$2:$J$4985,O$2,FALSE),0)</f>
        <v>0</v>
      </c>
      <c r="P51" s="16">
        <f>IFERROR(VLOOKUP($L51,flows!$A$2:$J$4985,P$2,FALSE),0)</f>
        <v>0</v>
      </c>
      <c r="Q51" s="16">
        <f>IFERROR(VLOOKUP($L51,flows!$A$2:$J$4985,Q$2,FALSE),0)</f>
        <v>0</v>
      </c>
      <c r="R51" s="16">
        <f>IFERROR(VLOOKUP($L51,flows!$A$2:$J$4985,R$2,FALSE),0)</f>
        <v>0</v>
      </c>
      <c r="S51" s="16">
        <f>IFERROR(VLOOKUP($L51,flows!$A$2:$J$4985,S$2,FALSE),0)</f>
        <v>0</v>
      </c>
      <c r="T51" s="16">
        <f>IFERROR(VLOOKUP($L51,flows!$A$2:$J$4985,T$2,FALSE),0)</f>
        <v>0</v>
      </c>
    </row>
    <row r="52" spans="2:20" x14ac:dyDescent="0.35">
      <c r="B52" s="99" t="s">
        <v>2194</v>
      </c>
      <c r="C52" s="102">
        <f>SUM(C4:C51)</f>
        <v>0</v>
      </c>
      <c r="D52" s="102">
        <f>SUM(D4:D51)</f>
        <v>0</v>
      </c>
      <c r="E52" s="102">
        <f t="shared" ref="E52:J52" si="0">SUM(E4:E51)</f>
        <v>0</v>
      </c>
      <c r="F52" s="102">
        <f t="shared" si="0"/>
        <v>0</v>
      </c>
      <c r="G52" s="102">
        <f t="shared" si="0"/>
        <v>0</v>
      </c>
      <c r="H52" s="102">
        <f t="shared" si="0"/>
        <v>0</v>
      </c>
      <c r="I52" s="102">
        <f t="shared" si="0"/>
        <v>0</v>
      </c>
      <c r="J52" s="102">
        <f t="shared" si="0"/>
        <v>0</v>
      </c>
      <c r="L52" s="99" t="s">
        <v>2188</v>
      </c>
      <c r="M52" s="102">
        <f>SUM(M4:M47)</f>
        <v>0</v>
      </c>
      <c r="N52" s="102">
        <f t="shared" ref="N52:T52" si="1">SUM(N4:N47)</f>
        <v>0</v>
      </c>
      <c r="O52" s="102">
        <f t="shared" si="1"/>
        <v>0</v>
      </c>
      <c r="P52" s="102">
        <f t="shared" si="1"/>
        <v>0</v>
      </c>
      <c r="Q52" s="102">
        <f t="shared" si="1"/>
        <v>0</v>
      </c>
      <c r="R52" s="102">
        <f t="shared" si="1"/>
        <v>0</v>
      </c>
      <c r="S52" s="102">
        <f t="shared" si="1"/>
        <v>0</v>
      </c>
      <c r="T52" s="102">
        <f t="shared" si="1"/>
        <v>0</v>
      </c>
    </row>
    <row r="53" spans="2:20" ht="15" thickBot="1" x14ac:dyDescent="0.4">
      <c r="B53" s="95" t="s">
        <v>2187</v>
      </c>
      <c r="C53" s="77">
        <f>C5+C8+C11+C15+C16+C19+C24+C28+C32+C34+C36+C38+C40+C42+C45+C47+C49+C51</f>
        <v>0</v>
      </c>
      <c r="D53" s="77">
        <f t="shared" ref="D53:J53" si="2">D5+D8+D11+D15+D16+D19+D24+D28+D32+D34+D36+D38+D40+D42+D45+D47+D49+D51</f>
        <v>0</v>
      </c>
      <c r="E53" s="77">
        <f t="shared" si="2"/>
        <v>0</v>
      </c>
      <c r="F53" s="77">
        <f t="shared" si="2"/>
        <v>0</v>
      </c>
      <c r="G53" s="77">
        <f t="shared" si="2"/>
        <v>0</v>
      </c>
      <c r="H53" s="77">
        <f t="shared" si="2"/>
        <v>0</v>
      </c>
      <c r="I53" s="77">
        <f t="shared" si="2"/>
        <v>0</v>
      </c>
      <c r="J53" s="77">
        <f t="shared" si="2"/>
        <v>0</v>
      </c>
      <c r="L53" s="99" t="s">
        <v>2189</v>
      </c>
      <c r="M53" s="102">
        <f>M5+M8+M11+M15+M16+M19+M24+M28+M32+M34+M36+M38+M40+M42+M45+M47</f>
        <v>0</v>
      </c>
      <c r="N53" s="102">
        <f t="shared" ref="N53:T53" si="3">N5+N8+N11+N15+N16+N19+N24+N28+N32+N34+N36+N38+N40+N42+N45+N47</f>
        <v>0</v>
      </c>
      <c r="O53" s="102">
        <f t="shared" si="3"/>
        <v>0</v>
      </c>
      <c r="P53" s="102">
        <f t="shared" si="3"/>
        <v>0</v>
      </c>
      <c r="Q53" s="102">
        <f t="shared" si="3"/>
        <v>0</v>
      </c>
      <c r="R53" s="102">
        <f t="shared" si="3"/>
        <v>0</v>
      </c>
      <c r="S53" s="102">
        <f t="shared" si="3"/>
        <v>0</v>
      </c>
      <c r="T53" s="102">
        <f t="shared" si="3"/>
        <v>0</v>
      </c>
    </row>
    <row r="54" spans="2:20" x14ac:dyDescent="0.35">
      <c r="B54" s="133" t="s">
        <v>2353</v>
      </c>
      <c r="C54">
        <f>C52-C51-C50</f>
        <v>0</v>
      </c>
      <c r="D54" s="352">
        <f t="shared" ref="D54:I54" si="4">D52-D51-D50</f>
        <v>0</v>
      </c>
      <c r="E54" s="352">
        <f t="shared" si="4"/>
        <v>0</v>
      </c>
      <c r="F54" s="352">
        <f t="shared" si="4"/>
        <v>0</v>
      </c>
      <c r="G54" s="352">
        <f t="shared" si="4"/>
        <v>0</v>
      </c>
      <c r="H54" s="352">
        <f t="shared" si="4"/>
        <v>0</v>
      </c>
      <c r="I54" s="352">
        <f t="shared" si="4"/>
        <v>0</v>
      </c>
      <c r="J54" s="352">
        <f>J52-J51-J50</f>
        <v>0</v>
      </c>
      <c r="L54" s="99" t="s">
        <v>2195</v>
      </c>
      <c r="M54" s="277" t="e">
        <f>M53/M52</f>
        <v>#DIV/0!</v>
      </c>
      <c r="N54" s="277" t="e">
        <f t="shared" ref="N54:T54" si="5">N53/N52</f>
        <v>#DIV/0!</v>
      </c>
      <c r="O54" s="277" t="e">
        <f t="shared" si="5"/>
        <v>#DIV/0!</v>
      </c>
      <c r="P54" s="277" t="e">
        <f t="shared" si="5"/>
        <v>#DIV/0!</v>
      </c>
      <c r="Q54" s="277" t="e">
        <f t="shared" si="5"/>
        <v>#DIV/0!</v>
      </c>
      <c r="R54" s="277" t="e">
        <f t="shared" si="5"/>
        <v>#DIV/0!</v>
      </c>
      <c r="S54" s="277" t="e">
        <f t="shared" si="5"/>
        <v>#DIV/0!</v>
      </c>
      <c r="T54" s="277" t="e">
        <f t="shared" si="5"/>
        <v>#DIV/0!</v>
      </c>
    </row>
    <row r="55" spans="2:20" x14ac:dyDescent="0.35">
      <c r="L55" s="40"/>
      <c r="M55" s="92"/>
      <c r="N55" s="92"/>
      <c r="O55" s="92"/>
      <c r="P55" s="92"/>
      <c r="Q55" s="92"/>
      <c r="R55" s="92"/>
      <c r="S55" s="92"/>
      <c r="T55" s="92"/>
    </row>
    <row r="56" spans="2:20" x14ac:dyDescent="0.35">
      <c r="L56" s="40" t="s">
        <v>2191</v>
      </c>
      <c r="M56" s="92">
        <f>M48+M49</f>
        <v>0</v>
      </c>
      <c r="N56" s="92">
        <f t="shared" ref="N56:T56" si="6">N48+N49</f>
        <v>0</v>
      </c>
      <c r="O56" s="92">
        <f t="shared" si="6"/>
        <v>0</v>
      </c>
      <c r="P56" s="92">
        <f t="shared" si="6"/>
        <v>0</v>
      </c>
      <c r="Q56" s="92">
        <f t="shared" si="6"/>
        <v>0</v>
      </c>
      <c r="R56" s="92">
        <f t="shared" si="6"/>
        <v>0</v>
      </c>
      <c r="S56" s="92">
        <f t="shared" si="6"/>
        <v>0</v>
      </c>
      <c r="T56" s="92">
        <f t="shared" si="6"/>
        <v>0</v>
      </c>
    </row>
    <row r="57" spans="2:20" x14ac:dyDescent="0.35">
      <c r="L57" s="40" t="s">
        <v>2192</v>
      </c>
      <c r="M57" s="92">
        <f>M49</f>
        <v>0</v>
      </c>
      <c r="N57" s="92">
        <f t="shared" ref="N57:T57" si="7">N49</f>
        <v>0</v>
      </c>
      <c r="O57" s="92">
        <f t="shared" si="7"/>
        <v>0</v>
      </c>
      <c r="P57" s="92">
        <f t="shared" si="7"/>
        <v>0</v>
      </c>
      <c r="Q57" s="92">
        <f t="shared" si="7"/>
        <v>0</v>
      </c>
      <c r="R57" s="92">
        <f t="shared" si="7"/>
        <v>0</v>
      </c>
      <c r="S57" s="92">
        <f t="shared" si="7"/>
        <v>0</v>
      </c>
      <c r="T57" s="92">
        <f t="shared" si="7"/>
        <v>0</v>
      </c>
    </row>
    <row r="58" spans="2:20" x14ac:dyDescent="0.35">
      <c r="L58" s="99" t="s">
        <v>2196</v>
      </c>
      <c r="M58" s="277" t="e">
        <f>M57/M56</f>
        <v>#DIV/0!</v>
      </c>
      <c r="N58" s="277" t="e">
        <f t="shared" ref="N58:T58" si="8">N57/N56</f>
        <v>#DIV/0!</v>
      </c>
      <c r="O58" s="277" t="e">
        <f t="shared" si="8"/>
        <v>#DIV/0!</v>
      </c>
      <c r="P58" s="277" t="e">
        <f t="shared" si="8"/>
        <v>#DIV/0!</v>
      </c>
      <c r="Q58" s="277" t="e">
        <f t="shared" si="8"/>
        <v>#DIV/0!</v>
      </c>
      <c r="R58" s="277" t="e">
        <f t="shared" si="8"/>
        <v>#DIV/0!</v>
      </c>
      <c r="S58" s="277" t="e">
        <f t="shared" si="8"/>
        <v>#DIV/0!</v>
      </c>
      <c r="T58" s="277" t="e">
        <f t="shared" si="8"/>
        <v>#DIV/0!</v>
      </c>
    </row>
    <row r="59" spans="2:20" x14ac:dyDescent="0.35">
      <c r="L59" s="40"/>
      <c r="M59" s="92"/>
      <c r="N59" s="92"/>
      <c r="O59" s="92"/>
      <c r="P59" s="92"/>
      <c r="Q59" s="92"/>
      <c r="R59" s="92"/>
      <c r="S59" s="92"/>
      <c r="T59" s="92"/>
    </row>
    <row r="60" spans="2:20" x14ac:dyDescent="0.35">
      <c r="L60" s="40" t="s">
        <v>2190</v>
      </c>
      <c r="M60" s="92">
        <f>M50+M51</f>
        <v>0</v>
      </c>
      <c r="N60" s="92">
        <f t="shared" ref="N60:T60" si="9">N50+N51</f>
        <v>0</v>
      </c>
      <c r="O60" s="92">
        <f t="shared" si="9"/>
        <v>0</v>
      </c>
      <c r="P60" s="92">
        <f t="shared" si="9"/>
        <v>0</v>
      </c>
      <c r="Q60" s="92">
        <f t="shared" si="9"/>
        <v>0</v>
      </c>
      <c r="R60" s="92">
        <f t="shared" si="9"/>
        <v>0</v>
      </c>
      <c r="S60" s="92">
        <f t="shared" si="9"/>
        <v>0</v>
      </c>
      <c r="T60" s="92">
        <f t="shared" si="9"/>
        <v>0</v>
      </c>
    </row>
    <row r="61" spans="2:20" x14ac:dyDescent="0.35">
      <c r="L61" s="40" t="s">
        <v>2193</v>
      </c>
      <c r="M61" s="92">
        <f>M51</f>
        <v>0</v>
      </c>
      <c r="N61" s="92">
        <f t="shared" ref="N61:T61" si="10">N51</f>
        <v>0</v>
      </c>
      <c r="O61" s="92">
        <f t="shared" si="10"/>
        <v>0</v>
      </c>
      <c r="P61" s="92">
        <f t="shared" si="10"/>
        <v>0</v>
      </c>
      <c r="Q61" s="92">
        <f t="shared" si="10"/>
        <v>0</v>
      </c>
      <c r="R61" s="92">
        <f t="shared" si="10"/>
        <v>0</v>
      </c>
      <c r="S61" s="92">
        <f t="shared" si="10"/>
        <v>0</v>
      </c>
      <c r="T61" s="92">
        <f t="shared" si="10"/>
        <v>0</v>
      </c>
    </row>
    <row r="62" spans="2:20" x14ac:dyDescent="0.35">
      <c r="L62" s="99" t="s">
        <v>2197</v>
      </c>
      <c r="M62" s="277" t="e">
        <f>M61/M60</f>
        <v>#DIV/0!</v>
      </c>
      <c r="N62" s="277" t="e">
        <f t="shared" ref="N62:T62" si="11">N61/N60</f>
        <v>#DIV/0!</v>
      </c>
      <c r="O62" s="277" t="e">
        <f t="shared" si="11"/>
        <v>#DIV/0!</v>
      </c>
      <c r="P62" s="277" t="e">
        <f t="shared" si="11"/>
        <v>#DIV/0!</v>
      </c>
      <c r="Q62" s="277" t="e">
        <f t="shared" si="11"/>
        <v>#DIV/0!</v>
      </c>
      <c r="R62" s="277" t="e">
        <f t="shared" si="11"/>
        <v>#DIV/0!</v>
      </c>
      <c r="S62" s="277" t="e">
        <f t="shared" si="11"/>
        <v>#DIV/0!</v>
      </c>
      <c r="T62" s="277" t="e">
        <f t="shared" si="11"/>
        <v>#DIV/0!</v>
      </c>
    </row>
    <row r="63" spans="2:20" ht="15" thickBot="1" x14ac:dyDescent="0.4">
      <c r="L63" s="41"/>
      <c r="M63" s="77"/>
      <c r="N63" s="77"/>
      <c r="O63" s="77"/>
      <c r="P63" s="77"/>
      <c r="Q63" s="77"/>
      <c r="R63" s="77"/>
      <c r="S63" s="77"/>
      <c r="T63" s="77"/>
    </row>
  </sheetData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9" tint="0.59999389629810485"/>
  </sheetPr>
  <dimension ref="C1:AZ220"/>
  <sheetViews>
    <sheetView topLeftCell="B1" zoomScale="70" zoomScaleNormal="70" workbookViewId="0">
      <selection activeCell="C6" sqref="C6"/>
    </sheetView>
  </sheetViews>
  <sheetFormatPr baseColWidth="10" defaultColWidth="11.453125" defaultRowHeight="14" x14ac:dyDescent="0.35"/>
  <cols>
    <col min="1" max="2" width="11.453125" style="2"/>
    <col min="3" max="3" width="38.54296875" style="2" bestFit="1" customWidth="1"/>
    <col min="4" max="4" width="38.54296875" style="2" customWidth="1"/>
    <col min="5" max="5" width="38.54296875" style="191" customWidth="1"/>
    <col min="6" max="6" width="19.54296875" style="2" bestFit="1" customWidth="1"/>
    <col min="7" max="15" width="11.453125" style="2"/>
    <col min="16" max="16" width="50.81640625" style="2" bestFit="1" customWidth="1"/>
    <col min="17" max="17" width="49.1796875" style="2" bestFit="1" customWidth="1"/>
    <col min="18" max="27" width="11.453125" style="2"/>
    <col min="28" max="28" width="41.453125" style="2" bestFit="1" customWidth="1"/>
    <col min="29" max="29" width="21.453125" style="2" bestFit="1" customWidth="1"/>
    <col min="30" max="30" width="21.453125" style="191" customWidth="1"/>
    <col min="31" max="42" width="11.453125" style="2"/>
    <col min="43" max="43" width="31.54296875" style="2" bestFit="1" customWidth="1"/>
    <col min="44" max="44" width="22.81640625" style="2" bestFit="1" customWidth="1"/>
    <col min="45" max="45" width="14.81640625" style="2" bestFit="1" customWidth="1"/>
    <col min="46" max="16384" width="11.453125" style="2"/>
  </cols>
  <sheetData>
    <row r="1" spans="3:52" ht="14.5" thickBot="1" x14ac:dyDescent="0.4"/>
    <row r="2" spans="3:52" ht="14.5" x14ac:dyDescent="0.35">
      <c r="C2" s="25" t="s">
        <v>1773</v>
      </c>
      <c r="D2" s="29"/>
      <c r="E2" s="209"/>
      <c r="F2" s="89">
        <v>2</v>
      </c>
      <c r="G2" s="89">
        <v>3</v>
      </c>
      <c r="H2" s="89">
        <v>4</v>
      </c>
      <c r="I2" s="89">
        <v>5</v>
      </c>
      <c r="J2" s="89">
        <v>6</v>
      </c>
      <c r="K2" s="89">
        <v>7</v>
      </c>
      <c r="L2" s="89">
        <v>8</v>
      </c>
      <c r="M2" s="89">
        <v>9</v>
      </c>
      <c r="P2" s="25" t="s">
        <v>1776</v>
      </c>
      <c r="Q2" s="29"/>
      <c r="R2" s="89">
        <v>2</v>
      </c>
      <c r="S2" s="89">
        <v>3</v>
      </c>
      <c r="T2" s="89">
        <v>4</v>
      </c>
      <c r="U2" s="89">
        <v>5</v>
      </c>
      <c r="V2" s="89">
        <v>6</v>
      </c>
      <c r="W2" s="89">
        <v>7</v>
      </c>
      <c r="X2" s="89">
        <v>8</v>
      </c>
      <c r="Y2" s="89">
        <v>9</v>
      </c>
      <c r="AB2" s="25" t="s">
        <v>1788</v>
      </c>
      <c r="AC2" s="29"/>
      <c r="AD2" s="197" t="s">
        <v>1157</v>
      </c>
      <c r="AE2" s="89">
        <v>2</v>
      </c>
      <c r="AF2" s="89">
        <v>3</v>
      </c>
      <c r="AG2" s="89">
        <v>4</v>
      </c>
      <c r="AH2" s="89">
        <v>5</v>
      </c>
      <c r="AI2" s="89">
        <v>6</v>
      </c>
      <c r="AJ2" s="89">
        <v>7</v>
      </c>
      <c r="AK2" s="89">
        <v>8</v>
      </c>
      <c r="AL2" s="89">
        <v>9</v>
      </c>
      <c r="AQ2" s="25" t="s">
        <v>1789</v>
      </c>
      <c r="AR2" s="197" t="s">
        <v>1157</v>
      </c>
      <c r="AS2" s="89">
        <v>2</v>
      </c>
      <c r="AT2" s="89">
        <v>3</v>
      </c>
      <c r="AU2" s="89">
        <v>4</v>
      </c>
      <c r="AV2" s="89">
        <v>5</v>
      </c>
      <c r="AW2" s="89">
        <v>6</v>
      </c>
      <c r="AX2" s="89">
        <v>7</v>
      </c>
      <c r="AY2" s="89">
        <v>8</v>
      </c>
      <c r="AZ2" s="89">
        <v>9</v>
      </c>
    </row>
    <row r="3" spans="3:52" ht="14.5" x14ac:dyDescent="0.35">
      <c r="C3" s="23" t="s">
        <v>1258</v>
      </c>
      <c r="D3" s="30" t="s">
        <v>1259</v>
      </c>
      <c r="E3" s="210"/>
      <c r="F3" s="133" t="s">
        <v>1417</v>
      </c>
      <c r="G3" s="133">
        <v>2020</v>
      </c>
      <c r="H3" s="133">
        <v>2025</v>
      </c>
      <c r="I3" s="133">
        <v>2030</v>
      </c>
      <c r="J3" s="133">
        <v>2035</v>
      </c>
      <c r="K3" s="133">
        <v>2040</v>
      </c>
      <c r="L3" s="133">
        <v>2045</v>
      </c>
      <c r="M3" s="133">
        <v>2050</v>
      </c>
      <c r="P3" s="23" t="s">
        <v>1258</v>
      </c>
      <c r="Q3" s="30" t="s">
        <v>1259</v>
      </c>
      <c r="R3" s="133" t="s">
        <v>1417</v>
      </c>
      <c r="S3" s="133">
        <v>2020</v>
      </c>
      <c r="T3" s="133">
        <v>2025</v>
      </c>
      <c r="U3" s="133">
        <v>2030</v>
      </c>
      <c r="V3" s="133">
        <v>2035</v>
      </c>
      <c r="W3" s="133">
        <v>2040</v>
      </c>
      <c r="X3" s="133">
        <v>2045</v>
      </c>
      <c r="Y3" s="133">
        <v>2050</v>
      </c>
      <c r="AB3" s="23" t="s">
        <v>1258</v>
      </c>
      <c r="AC3" s="30" t="s">
        <v>1259</v>
      </c>
      <c r="AD3" s="210"/>
      <c r="AE3" s="133" t="s">
        <v>1417</v>
      </c>
      <c r="AF3" s="133">
        <v>2020</v>
      </c>
      <c r="AG3" s="133">
        <v>2025</v>
      </c>
      <c r="AH3" s="133">
        <v>2030</v>
      </c>
      <c r="AI3" s="133">
        <v>2035</v>
      </c>
      <c r="AJ3" s="133">
        <v>2040</v>
      </c>
      <c r="AK3" s="133">
        <v>2045</v>
      </c>
      <c r="AL3" s="133">
        <v>2050</v>
      </c>
      <c r="AQ3" s="23" t="s">
        <v>1258</v>
      </c>
      <c r="AR3" s="30" t="s">
        <v>1259</v>
      </c>
      <c r="AS3" s="133" t="s">
        <v>1417</v>
      </c>
      <c r="AT3" s="133">
        <v>2020</v>
      </c>
      <c r="AU3" s="133">
        <v>2025</v>
      </c>
      <c r="AV3" s="133">
        <v>2030</v>
      </c>
      <c r="AW3" s="133">
        <v>2035</v>
      </c>
      <c r="AX3" s="133">
        <v>2040</v>
      </c>
      <c r="AY3" s="133">
        <v>2045</v>
      </c>
      <c r="AZ3" s="133">
        <v>2050</v>
      </c>
    </row>
    <row r="4" spans="3:52" x14ac:dyDescent="0.35">
      <c r="C4" s="206" t="s">
        <v>620</v>
      </c>
      <c r="D4" s="31" t="s">
        <v>2332</v>
      </c>
      <c r="E4" s="194" t="s">
        <v>1167</v>
      </c>
      <c r="F4" s="16" t="e">
        <f>VLOOKUP($C4,flows!$A$2:$J$4985,F$2,FALSE)</f>
        <v>#N/A</v>
      </c>
      <c r="G4" s="346" t="e">
        <f>VLOOKUP($C4,flows!$A$2:$J$4985,G$2,FALSE)</f>
        <v>#N/A</v>
      </c>
      <c r="H4" s="346" t="e">
        <f>VLOOKUP($C4,flows!$A$2:$J$4985,H$2,FALSE)</f>
        <v>#N/A</v>
      </c>
      <c r="I4" s="346" t="e">
        <f>VLOOKUP($C4,flows!$A$2:$J$4985,I$2,FALSE)</f>
        <v>#N/A</v>
      </c>
      <c r="J4" s="346" t="e">
        <f>VLOOKUP($C4,flows!$A$2:$J$4985,J$2,FALSE)</f>
        <v>#N/A</v>
      </c>
      <c r="K4" s="346" t="e">
        <f>VLOOKUP($C4,flows!$A$2:$J$4985,K$2,FALSE)</f>
        <v>#N/A</v>
      </c>
      <c r="L4" s="346" t="e">
        <f>VLOOKUP($C4,flows!$A$2:$J$4985,L$2,FALSE)</f>
        <v>#N/A</v>
      </c>
      <c r="M4" s="346" t="e">
        <f>VLOOKUP($C4,flows!$A$2:$J$4985,M$2,FALSE)</f>
        <v>#N/A</v>
      </c>
      <c r="P4" s="169" t="s">
        <v>155</v>
      </c>
      <c r="Q4" s="170" t="s">
        <v>1777</v>
      </c>
      <c r="R4" s="171" t="e">
        <f>VLOOKUP($P4,flows!$A$2:$J$4985,R$2,FALSE)</f>
        <v>#N/A</v>
      </c>
      <c r="S4" s="171" t="e">
        <f>VLOOKUP($P4,flows!$A$2:$J$4985,S$2,FALSE)</f>
        <v>#N/A</v>
      </c>
      <c r="T4" s="171" t="e">
        <f>VLOOKUP($P4,flows!$A$2:$J$4985,T$2,FALSE)</f>
        <v>#N/A</v>
      </c>
      <c r="U4" s="171" t="e">
        <f>VLOOKUP($P4,flows!$A$2:$J$4985,U$2,FALSE)</f>
        <v>#N/A</v>
      </c>
      <c r="V4" s="171" t="e">
        <f>VLOOKUP($P4,flows!$A$2:$J$4985,V$2,FALSE)</f>
        <v>#N/A</v>
      </c>
      <c r="W4" s="171" t="e">
        <f>VLOOKUP($P4,flows!$A$2:$J$4985,W$2,FALSE)</f>
        <v>#N/A</v>
      </c>
      <c r="X4" s="171" t="e">
        <f>VLOOKUP($P4,flows!$A$2:$J$4985,X$2,FALSE)</f>
        <v>#N/A</v>
      </c>
      <c r="Y4" s="171" t="e">
        <f>VLOOKUP($P4,flows!$A$2:$J$4985,Y$2,FALSE)</f>
        <v>#N/A</v>
      </c>
      <c r="AB4" s="27" t="s">
        <v>155</v>
      </c>
      <c r="AC4" s="32" t="s">
        <v>1777</v>
      </c>
      <c r="AD4" s="195" t="s">
        <v>1920</v>
      </c>
      <c r="AE4" s="346">
        <f>IFERROR(VLOOKUP($AB4,flows!$A$2:$J$4985,AE$2,FALSE),0)</f>
        <v>0</v>
      </c>
      <c r="AF4" s="346">
        <f>IFERROR(VLOOKUP($AB4,flows!$A$2:$J$4985,AF$2,FALSE),0)</f>
        <v>0</v>
      </c>
      <c r="AG4" s="346">
        <f>IFERROR(VLOOKUP($AB4,flows!$A$2:$J$4985,AG$2,FALSE),0)</f>
        <v>0</v>
      </c>
      <c r="AH4" s="346">
        <f>IFERROR(VLOOKUP($AB4,flows!$A$2:$J$4985,AH$2,FALSE),0)</f>
        <v>0</v>
      </c>
      <c r="AI4" s="346">
        <f>IFERROR(VLOOKUP($AB4,flows!$A$2:$J$4985,AI$2,FALSE),0)</f>
        <v>0</v>
      </c>
      <c r="AJ4" s="346">
        <f>IFERROR(VLOOKUP($AB4,flows!$A$2:$J$4985,AJ$2,FALSE),0)</f>
        <v>0</v>
      </c>
      <c r="AK4" s="346">
        <f>IFERROR(VLOOKUP($AB4,flows!$A$2:$J$4985,AK$2,FALSE),0)</f>
        <v>0</v>
      </c>
      <c r="AL4" s="346">
        <f>IFERROR(VLOOKUP($AB4,flows!$A$2:$J$4985,AL$2,FALSE),0)</f>
        <v>0</v>
      </c>
      <c r="AQ4" s="27" t="s">
        <v>156</v>
      </c>
      <c r="AR4" s="32" t="s">
        <v>20</v>
      </c>
      <c r="AS4" s="346">
        <f>IFERROR(VLOOKUP($AQ4,flows!$A$2:$J$4985,AS$2,FALSE),0)</f>
        <v>0</v>
      </c>
      <c r="AT4" s="346">
        <f>IFERROR(VLOOKUP($AQ4,flows!$A$2:$J$4985,AT$2,FALSE),0)</f>
        <v>0</v>
      </c>
      <c r="AU4" s="346">
        <f>IFERROR(VLOOKUP($AQ4,flows!$A$2:$J$4985,AU$2,FALSE),0)</f>
        <v>0</v>
      </c>
      <c r="AV4" s="346">
        <f>IFERROR(VLOOKUP($AQ4,flows!$A$2:$J$4985,AV$2,FALSE),0)</f>
        <v>0</v>
      </c>
      <c r="AW4" s="346">
        <f>IFERROR(VLOOKUP($AQ4,flows!$A$2:$J$4985,AW$2,FALSE),0)</f>
        <v>0</v>
      </c>
      <c r="AX4" s="346">
        <f>IFERROR(VLOOKUP($AQ4,flows!$A$2:$J$4985,AX$2,FALSE),0)</f>
        <v>0</v>
      </c>
      <c r="AY4" s="346">
        <f>IFERROR(VLOOKUP($AQ4,flows!$A$2:$J$4985,AY$2,FALSE),0)</f>
        <v>0</v>
      </c>
      <c r="AZ4" s="346">
        <f>IFERROR(VLOOKUP($AQ4,flows!$A$2:$J$4985,AZ$2,FALSE),0)</f>
        <v>0</v>
      </c>
    </row>
    <row r="5" spans="3:52" x14ac:dyDescent="0.35">
      <c r="C5" s="206" t="s">
        <v>4291</v>
      </c>
      <c r="D5" s="861" t="s">
        <v>4385</v>
      </c>
      <c r="E5" s="861" t="s">
        <v>4386</v>
      </c>
      <c r="F5" s="346">
        <f>VLOOKUP($C5,flows!$A$2:$J$4985,F$2,FALSE)</f>
        <v>17388.079454863378</v>
      </c>
      <c r="G5" s="346">
        <f>VLOOKUP($C5,flows!$A$2:$J$4985,G$2,FALSE)</f>
        <v>19803.66776795328</v>
      </c>
      <c r="H5" s="346">
        <f>VLOOKUP($C5,flows!$A$2:$J$4985,H$2,FALSE)</f>
        <v>21568.72636301296</v>
      </c>
      <c r="I5" s="346">
        <f>VLOOKUP($C5,flows!$A$2:$J$4985,I$2,FALSE)</f>
        <v>41835.651712141582</v>
      </c>
      <c r="J5" s="346">
        <f>VLOOKUP($C5,flows!$A$2:$J$4985,J$2,FALSE)</f>
        <v>75323.983151658715</v>
      </c>
      <c r="K5" s="346">
        <f>VLOOKUP($C5,flows!$A$2:$J$4985,K$2,FALSE)</f>
        <v>128551.2845284192</v>
      </c>
      <c r="L5" s="346">
        <f>VLOOKUP($C5,flows!$A$2:$J$4985,L$2,FALSE)</f>
        <v>17160.268269532378</v>
      </c>
      <c r="M5" s="346">
        <f>VLOOKUP($C5,flows!$A$2:$J$4985,M$2,FALSE)</f>
        <v>0</v>
      </c>
      <c r="P5" s="172" t="s">
        <v>156</v>
      </c>
      <c r="Q5" s="173" t="s">
        <v>20</v>
      </c>
      <c r="R5" s="174" t="e">
        <f>VLOOKUP($P5,flows!$A$2:$J$4985,R$2,FALSE)</f>
        <v>#N/A</v>
      </c>
      <c r="S5" s="174" t="e">
        <f>VLOOKUP($P5,flows!$A$2:$J$4985,S$2,FALSE)</f>
        <v>#N/A</v>
      </c>
      <c r="T5" s="174" t="e">
        <f>VLOOKUP($P5,flows!$A$2:$J$4985,T$2,FALSE)</f>
        <v>#N/A</v>
      </c>
      <c r="U5" s="174" t="e">
        <f>VLOOKUP($P5,flows!$A$2:$J$4985,U$2,FALSE)</f>
        <v>#N/A</v>
      </c>
      <c r="V5" s="174" t="e">
        <f>VLOOKUP($P5,flows!$A$2:$J$4985,V$2,FALSE)</f>
        <v>#N/A</v>
      </c>
      <c r="W5" s="174" t="e">
        <f>VLOOKUP($P5,flows!$A$2:$J$4985,W$2,FALSE)</f>
        <v>#N/A</v>
      </c>
      <c r="X5" s="174" t="e">
        <f>VLOOKUP($P5,flows!$A$2:$J$4985,X$2,FALSE)</f>
        <v>#N/A</v>
      </c>
      <c r="Y5" s="174" t="e">
        <f>VLOOKUP($P5,flows!$A$2:$J$4985,Y$2,FALSE)</f>
        <v>#N/A</v>
      </c>
      <c r="AB5" s="207" t="s">
        <v>2860</v>
      </c>
      <c r="AC5" s="338" t="s">
        <v>2571</v>
      </c>
      <c r="AD5" s="338" t="s">
        <v>2577</v>
      </c>
      <c r="AE5" s="346">
        <f>IFERROR(VLOOKUP($AB5,flows!$A$2:$J$4985,AE$2,FALSE),0)</f>
        <v>0</v>
      </c>
      <c r="AF5" s="346">
        <f>IFERROR(VLOOKUP($AB5,flows!$A$2:$J$4985,AF$2,FALSE),0)</f>
        <v>0</v>
      </c>
      <c r="AG5" s="346">
        <f>IFERROR(VLOOKUP($AB5,flows!$A$2:$J$4985,AG$2,FALSE),0)</f>
        <v>0</v>
      </c>
      <c r="AH5" s="346">
        <f>IFERROR(VLOOKUP($AB5,flows!$A$2:$J$4985,AH$2,FALSE),0)</f>
        <v>0</v>
      </c>
      <c r="AI5" s="346">
        <f>IFERROR(VLOOKUP($AB5,flows!$A$2:$J$4985,AI$2,FALSE),0)</f>
        <v>0</v>
      </c>
      <c r="AJ5" s="346">
        <f>IFERROR(VLOOKUP($AB5,flows!$A$2:$J$4985,AJ$2,FALSE),0)</f>
        <v>0</v>
      </c>
      <c r="AK5" s="346">
        <f>IFERROR(VLOOKUP($AB5,flows!$A$2:$J$4985,AK$2,FALSE),0)</f>
        <v>0</v>
      </c>
      <c r="AL5" s="346">
        <f>IFERROR(VLOOKUP($AB5,flows!$A$2:$J$4985,AL$2,FALSE),0)</f>
        <v>0</v>
      </c>
      <c r="AQ5" s="27" t="s">
        <v>157</v>
      </c>
      <c r="AR5" s="32" t="s">
        <v>196</v>
      </c>
      <c r="AS5" s="346">
        <f>IFERROR(VLOOKUP($AQ5,flows!$A$2:$J$4985,AS$2,FALSE),0)</f>
        <v>0</v>
      </c>
      <c r="AT5" s="346">
        <f>IFERROR(VLOOKUP($AQ5,flows!$A$2:$J$4985,AT$2,FALSE),0)</f>
        <v>0</v>
      </c>
      <c r="AU5" s="346">
        <f>IFERROR(VLOOKUP($AQ5,flows!$A$2:$J$4985,AU$2,FALSE),0)</f>
        <v>0</v>
      </c>
      <c r="AV5" s="346">
        <f>IFERROR(VLOOKUP($AQ5,flows!$A$2:$J$4985,AV$2,FALSE),0)</f>
        <v>0</v>
      </c>
      <c r="AW5" s="346">
        <f>IFERROR(VLOOKUP($AQ5,flows!$A$2:$J$4985,AW$2,FALSE),0)</f>
        <v>0</v>
      </c>
      <c r="AX5" s="346">
        <f>IFERROR(VLOOKUP($AQ5,flows!$A$2:$J$4985,AX$2,FALSE),0)</f>
        <v>0</v>
      </c>
      <c r="AY5" s="346">
        <f>IFERROR(VLOOKUP($AQ5,flows!$A$2:$J$4985,AY$2,FALSE),0)</f>
        <v>0</v>
      </c>
      <c r="AZ5" s="346">
        <f>IFERROR(VLOOKUP($AQ5,flows!$A$2:$J$4985,AZ$2,FALSE),0)</f>
        <v>0</v>
      </c>
    </row>
    <row r="6" spans="3:52" x14ac:dyDescent="0.35">
      <c r="C6" s="206" t="s">
        <v>4382</v>
      </c>
      <c r="D6" s="861" t="s">
        <v>4388</v>
      </c>
      <c r="E6" s="861" t="s">
        <v>4389</v>
      </c>
      <c r="F6" s="346">
        <f>VLOOKUP($C6,flows!$A$2:$J$4985,F$2,FALSE)</f>
        <v>0</v>
      </c>
      <c r="G6" s="346">
        <f>VLOOKUP($C6,flows!$A$2:$J$4985,G$2,FALSE)</f>
        <v>0</v>
      </c>
      <c r="H6" s="346">
        <f>VLOOKUP($C6,flows!$A$2:$J$4985,H$2,FALSE)</f>
        <v>0</v>
      </c>
      <c r="I6" s="346">
        <f>VLOOKUP($C6,flows!$A$2:$J$4985,I$2,FALSE)</f>
        <v>0</v>
      </c>
      <c r="J6" s="346">
        <f>VLOOKUP($C6,flows!$A$2:$J$4985,J$2,FALSE)</f>
        <v>0</v>
      </c>
      <c r="K6" s="346">
        <f>VLOOKUP($C6,flows!$A$2:$J$4985,K$2,FALSE)</f>
        <v>0</v>
      </c>
      <c r="L6" s="346">
        <f>VLOOKUP($C6,flows!$A$2:$J$4985,L$2,FALSE)</f>
        <v>0</v>
      </c>
      <c r="M6" s="346">
        <f>VLOOKUP($C6,flows!$A$2:$J$4985,M$2,FALSE)</f>
        <v>0</v>
      </c>
      <c r="P6" s="172" t="s">
        <v>157</v>
      </c>
      <c r="Q6" s="173" t="s">
        <v>196</v>
      </c>
      <c r="R6" s="174" t="e">
        <f>VLOOKUP($P6,flows!$A$2:$J$4985,R$2,FALSE)</f>
        <v>#N/A</v>
      </c>
      <c r="S6" s="174" t="e">
        <f>VLOOKUP($P6,flows!$A$2:$J$4985,S$2,FALSE)</f>
        <v>#N/A</v>
      </c>
      <c r="T6" s="174" t="e">
        <f>VLOOKUP($P6,flows!$A$2:$J$4985,T$2,FALSE)</f>
        <v>#N/A</v>
      </c>
      <c r="U6" s="174" t="e">
        <f>VLOOKUP($P6,flows!$A$2:$J$4985,U$2,FALSE)</f>
        <v>#N/A</v>
      </c>
      <c r="V6" s="174" t="e">
        <f>VLOOKUP($P6,flows!$A$2:$J$4985,V$2,FALSE)</f>
        <v>#N/A</v>
      </c>
      <c r="W6" s="174" t="e">
        <f>VLOOKUP($P6,flows!$A$2:$J$4985,W$2,FALSE)</f>
        <v>#N/A</v>
      </c>
      <c r="X6" s="174" t="e">
        <f>VLOOKUP($P6,flows!$A$2:$J$4985,X$2,FALSE)</f>
        <v>#N/A</v>
      </c>
      <c r="Y6" s="174" t="e">
        <f>VLOOKUP($P6,flows!$A$2:$J$4985,Y$2,FALSE)</f>
        <v>#N/A</v>
      </c>
      <c r="AB6" s="27" t="s">
        <v>3891</v>
      </c>
      <c r="AC6" s="32" t="s">
        <v>1778</v>
      </c>
      <c r="AD6" s="195" t="s">
        <v>1853</v>
      </c>
      <c r="AE6" s="346">
        <f>IFERROR(VLOOKUP($AB6,flows!$A$2:$J$4985,AE$2,FALSE),0)</f>
        <v>4379.9631321032984</v>
      </c>
      <c r="AF6" s="346">
        <f>IFERROR(VLOOKUP($AB6,flows!$A$2:$J$4985,AF$2,FALSE),0)</f>
        <v>2838.0748052862859</v>
      </c>
      <c r="AG6" s="346">
        <f>IFERROR(VLOOKUP($AB6,flows!$A$2:$J$4985,AG$2,FALSE),0)</f>
        <v>2911.1009775129619</v>
      </c>
      <c r="AH6" s="346">
        <f>IFERROR(VLOOKUP($AB6,flows!$A$2:$J$4985,AH$2,FALSE),0)</f>
        <v>3505.7031327876039</v>
      </c>
      <c r="AI6" s="346">
        <f>IFERROR(VLOOKUP($AB6,flows!$A$2:$J$4985,AI$2,FALSE),0)</f>
        <v>4.5088325233072372E-2</v>
      </c>
      <c r="AJ6" s="346">
        <f>IFERROR(VLOOKUP($AB6,flows!$A$2:$J$4985,AJ$2,FALSE),0)</f>
        <v>5927.7557852660711</v>
      </c>
      <c r="AK6" s="346">
        <f>IFERROR(VLOOKUP($AB6,flows!$A$2:$J$4985,AK$2,FALSE),0)</f>
        <v>4328.4678144655218</v>
      </c>
      <c r="AL6" s="346">
        <f>IFERROR(VLOOKUP($AB6,flows!$A$2:$J$4985,AL$2,FALSE),0)</f>
        <v>0</v>
      </c>
      <c r="AQ6" s="12" t="s">
        <v>161</v>
      </c>
      <c r="AR6" s="13" t="s">
        <v>1783</v>
      </c>
      <c r="AS6" s="346">
        <f>IFERROR(VLOOKUP($AQ6,flows!$A$2:$J$4985,AS$2,FALSE),0)</f>
        <v>0</v>
      </c>
      <c r="AT6" s="346">
        <f>IFERROR(VLOOKUP($AQ6,flows!$A$2:$J$4985,AT$2,FALSE),0)</f>
        <v>0</v>
      </c>
      <c r="AU6" s="346">
        <f>IFERROR(VLOOKUP($AQ6,flows!$A$2:$J$4985,AU$2,FALSE),0)</f>
        <v>0</v>
      </c>
      <c r="AV6" s="346">
        <f>IFERROR(VLOOKUP($AQ6,flows!$A$2:$J$4985,AV$2,FALSE),0)</f>
        <v>0</v>
      </c>
      <c r="AW6" s="346">
        <f>IFERROR(VLOOKUP($AQ6,flows!$A$2:$J$4985,AW$2,FALSE),0)</f>
        <v>0</v>
      </c>
      <c r="AX6" s="346">
        <f>IFERROR(VLOOKUP($AQ6,flows!$A$2:$J$4985,AX$2,FALSE),0)</f>
        <v>0</v>
      </c>
      <c r="AY6" s="346">
        <f>IFERROR(VLOOKUP($AQ6,flows!$A$2:$J$4985,AY$2,FALSE),0)</f>
        <v>0</v>
      </c>
      <c r="AZ6" s="346">
        <f>IFERROR(VLOOKUP($AQ6,flows!$A$2:$J$4985,AZ$2,FALSE),0)</f>
        <v>0</v>
      </c>
    </row>
    <row r="7" spans="3:52" x14ac:dyDescent="0.35">
      <c r="C7" s="26" t="s">
        <v>1049</v>
      </c>
      <c r="D7" s="31" t="s">
        <v>2244</v>
      </c>
      <c r="E7" s="194" t="s">
        <v>2244</v>
      </c>
      <c r="F7" s="346" t="e">
        <f>VLOOKUP($C7,flows!$A$2:$J$4985,F$2,FALSE)</f>
        <v>#N/A</v>
      </c>
      <c r="G7" s="346" t="e">
        <f>VLOOKUP($C7,flows!$A$2:$J$4985,G$2,FALSE)</f>
        <v>#N/A</v>
      </c>
      <c r="H7" s="346" t="e">
        <f>VLOOKUP($C7,flows!$A$2:$J$4985,H$2,FALSE)</f>
        <v>#N/A</v>
      </c>
      <c r="I7" s="346" t="e">
        <f>VLOOKUP($C7,flows!$A$2:$J$4985,I$2,FALSE)</f>
        <v>#N/A</v>
      </c>
      <c r="J7" s="346" t="e">
        <f>VLOOKUP($C7,flows!$A$2:$J$4985,J$2,FALSE)</f>
        <v>#N/A</v>
      </c>
      <c r="K7" s="346" t="e">
        <f>VLOOKUP($C7,flows!$A$2:$J$4985,K$2,FALSE)</f>
        <v>#N/A</v>
      </c>
      <c r="L7" s="346" t="e">
        <f>VLOOKUP($C7,flows!$A$2:$J$4985,L$2,FALSE)</f>
        <v>#N/A</v>
      </c>
      <c r="M7" s="346" t="e">
        <f>VLOOKUP($C7,flows!$A$2:$J$4985,M$2,FALSE)</f>
        <v>#N/A</v>
      </c>
      <c r="P7" s="5" t="s">
        <v>158</v>
      </c>
      <c r="Q7" s="6" t="s">
        <v>107</v>
      </c>
      <c r="R7" s="344" t="e">
        <f>VLOOKUP($P7,flows!$A$2:$J$4985,R$2,FALSE)</f>
        <v>#N/A</v>
      </c>
      <c r="S7" s="344" t="e">
        <f>VLOOKUP($P7,flows!$A$2:$J$4985,S$2,FALSE)</f>
        <v>#N/A</v>
      </c>
      <c r="T7" s="344" t="e">
        <f>VLOOKUP($P7,flows!$A$2:$J$4985,T$2,FALSE)</f>
        <v>#N/A</v>
      </c>
      <c r="U7" s="344" t="e">
        <f>VLOOKUP($P7,flows!$A$2:$J$4985,U$2,FALSE)</f>
        <v>#N/A</v>
      </c>
      <c r="V7" s="344" t="e">
        <f>VLOOKUP($P7,flows!$A$2:$J$4985,V$2,FALSE)</f>
        <v>#N/A</v>
      </c>
      <c r="W7" s="344" t="e">
        <f>VLOOKUP($P7,flows!$A$2:$J$4985,W$2,FALSE)</f>
        <v>#N/A</v>
      </c>
      <c r="X7" s="344" t="e">
        <f>VLOOKUP($P7,flows!$A$2:$J$4985,X$2,FALSE)</f>
        <v>#N/A</v>
      </c>
      <c r="Y7" s="344" t="e">
        <f>VLOOKUP($P7,flows!$A$2:$J$4985,Y$2,FALSE)</f>
        <v>#N/A</v>
      </c>
      <c r="AB7" s="27" t="s">
        <v>2473</v>
      </c>
      <c r="AC7" s="32" t="s">
        <v>2575</v>
      </c>
      <c r="AD7" s="195" t="s">
        <v>2579</v>
      </c>
      <c r="AE7" s="346">
        <f>IFERROR(VLOOKUP($AB7,flows!$A$2:$J$4985,AE$2,FALSE),0)</f>
        <v>0</v>
      </c>
      <c r="AF7" s="346">
        <f>IFERROR(VLOOKUP($AB7,flows!$A$2:$J$4985,AF$2,FALSE),0)</f>
        <v>0</v>
      </c>
      <c r="AG7" s="346">
        <f>IFERROR(VLOOKUP($AB7,flows!$A$2:$J$4985,AG$2,FALSE),0)</f>
        <v>0</v>
      </c>
      <c r="AH7" s="346">
        <f>IFERROR(VLOOKUP($AB7,flows!$A$2:$J$4985,AH$2,FALSE),0)</f>
        <v>0</v>
      </c>
      <c r="AI7" s="346">
        <f>IFERROR(VLOOKUP($AB7,flows!$A$2:$J$4985,AI$2,FALSE),0)</f>
        <v>0</v>
      </c>
      <c r="AJ7" s="346">
        <f>IFERROR(VLOOKUP($AB7,flows!$A$2:$J$4985,AJ$2,FALSE),0)</f>
        <v>0</v>
      </c>
      <c r="AK7" s="346">
        <f>IFERROR(VLOOKUP($AB7,flows!$A$2:$J$4985,AK$2,FALSE),0)</f>
        <v>0</v>
      </c>
      <c r="AL7" s="346">
        <f>IFERROR(VLOOKUP($AB7,flows!$A$2:$J$4985,AL$2,FALSE),0)</f>
        <v>0</v>
      </c>
      <c r="AQ7" s="12" t="s">
        <v>162</v>
      </c>
      <c r="AR7" s="13" t="s">
        <v>1784</v>
      </c>
      <c r="AS7" s="346">
        <f>IFERROR(VLOOKUP($AQ7,flows!$A$2:$J$4985,AS$2,FALSE),0)</f>
        <v>0</v>
      </c>
      <c r="AT7" s="346">
        <f>IFERROR(VLOOKUP($AQ7,flows!$A$2:$J$4985,AT$2,FALSE),0)</f>
        <v>0</v>
      </c>
      <c r="AU7" s="346">
        <f>IFERROR(VLOOKUP($AQ7,flows!$A$2:$J$4985,AU$2,FALSE),0)</f>
        <v>0</v>
      </c>
      <c r="AV7" s="346">
        <f>IFERROR(VLOOKUP($AQ7,flows!$A$2:$J$4985,AV$2,FALSE),0)</f>
        <v>0</v>
      </c>
      <c r="AW7" s="346">
        <f>IFERROR(VLOOKUP($AQ7,flows!$A$2:$J$4985,AW$2,FALSE),0)</f>
        <v>0</v>
      </c>
      <c r="AX7" s="346">
        <f>IFERROR(VLOOKUP($AQ7,flows!$A$2:$J$4985,AX$2,FALSE),0)</f>
        <v>0</v>
      </c>
      <c r="AY7" s="346">
        <f>IFERROR(VLOOKUP($AQ7,flows!$A$2:$J$4985,AY$2,FALSE),0)</f>
        <v>0</v>
      </c>
      <c r="AZ7" s="346">
        <f>IFERROR(VLOOKUP($AQ7,flows!$A$2:$J$4985,AZ$2,FALSE),0)</f>
        <v>0</v>
      </c>
    </row>
    <row r="8" spans="3:52" x14ac:dyDescent="0.35">
      <c r="C8" s="206" t="s">
        <v>4300</v>
      </c>
      <c r="D8" s="31" t="s">
        <v>2243</v>
      </c>
      <c r="E8" s="194" t="s">
        <v>2245</v>
      </c>
      <c r="F8" s="346">
        <f>VLOOKUP($C8,flows!$A$2:$J$4985,F$2,FALSE)</f>
        <v>38012.422491246682</v>
      </c>
      <c r="G8" s="346">
        <f>VLOOKUP($C8,flows!$A$2:$J$4985,G$2,FALSE)</f>
        <v>1.1544583749848449</v>
      </c>
      <c r="H8" s="346">
        <f>VLOOKUP($C8,flows!$A$2:$J$4985,H$2,FALSE)</f>
        <v>82.734740769843725</v>
      </c>
      <c r="I8" s="346">
        <f>VLOOKUP($C8,flows!$A$2:$J$4985,I$2,FALSE)</f>
        <v>16646.18942746778</v>
      </c>
      <c r="J8" s="346">
        <f>VLOOKUP($C8,flows!$A$2:$J$4985,J$2,FALSE)</f>
        <v>26916.701008727119</v>
      </c>
      <c r="K8" s="346">
        <f>VLOOKUP($C8,flows!$A$2:$J$4985,K$2,FALSE)</f>
        <v>20126.223482574718</v>
      </c>
      <c r="L8" s="346">
        <f>VLOOKUP($C8,flows!$A$2:$J$4985,L$2,FALSE)</f>
        <v>37890.264408820287</v>
      </c>
      <c r="M8" s="346">
        <f>VLOOKUP($C8,flows!$A$2:$J$4985,M$2,FALSE)</f>
        <v>0</v>
      </c>
      <c r="P8" s="169" t="s">
        <v>2860</v>
      </c>
      <c r="Q8" s="170" t="s">
        <v>2571</v>
      </c>
      <c r="R8" s="171" t="e">
        <f>VLOOKUP($P8,flows!$A$2:$J$4985,R$2,FALSE)</f>
        <v>#N/A</v>
      </c>
      <c r="S8" s="171" t="e">
        <f>VLOOKUP($P8,flows!$A$2:$J$4985,S$2,FALSE)</f>
        <v>#N/A</v>
      </c>
      <c r="T8" s="171" t="e">
        <f>VLOOKUP($P8,flows!$A$2:$J$4985,T$2,FALSE)</f>
        <v>#N/A</v>
      </c>
      <c r="U8" s="171" t="e">
        <f>VLOOKUP($P8,flows!$A$2:$J$4985,U$2,FALSE)</f>
        <v>#N/A</v>
      </c>
      <c r="V8" s="171" t="e">
        <f>VLOOKUP($P8,flows!$A$2:$J$4985,V$2,FALSE)</f>
        <v>#N/A</v>
      </c>
      <c r="W8" s="171" t="e">
        <f>VLOOKUP($P8,flows!$A$2:$J$4985,W$2,FALSE)</f>
        <v>#N/A</v>
      </c>
      <c r="X8" s="171" t="e">
        <f>VLOOKUP($P8,flows!$A$2:$J$4985,X$2,FALSE)</f>
        <v>#N/A</v>
      </c>
      <c r="Y8" s="171" t="e">
        <f>VLOOKUP($P8,flows!$A$2:$J$4985,Y$2,FALSE)</f>
        <v>#N/A</v>
      </c>
      <c r="AB8" s="207" t="s">
        <v>2472</v>
      </c>
      <c r="AC8" s="338" t="s">
        <v>2576</v>
      </c>
      <c r="AD8" s="338" t="s">
        <v>2580</v>
      </c>
      <c r="AE8" s="346">
        <f>IFERROR(VLOOKUP($AB8,flows!$A$2:$J$4985,AE$2,FALSE),0)</f>
        <v>0</v>
      </c>
      <c r="AF8" s="346">
        <f>IFERROR(VLOOKUP($AB8,flows!$A$2:$J$4985,AF$2,FALSE),0)</f>
        <v>0</v>
      </c>
      <c r="AG8" s="346">
        <f>IFERROR(VLOOKUP($AB8,flows!$A$2:$J$4985,AG$2,FALSE),0)</f>
        <v>0</v>
      </c>
      <c r="AH8" s="346">
        <f>IFERROR(VLOOKUP($AB8,flows!$A$2:$J$4985,AH$2,FALSE),0)</f>
        <v>0</v>
      </c>
      <c r="AI8" s="346">
        <f>IFERROR(VLOOKUP($AB8,flows!$A$2:$J$4985,AI$2,FALSE),0)</f>
        <v>0</v>
      </c>
      <c r="AJ8" s="346">
        <f>IFERROR(VLOOKUP($AB8,flows!$A$2:$J$4985,AJ$2,FALSE),0)</f>
        <v>0</v>
      </c>
      <c r="AK8" s="346">
        <f>IFERROR(VLOOKUP($AB8,flows!$A$2:$J$4985,AK$2,FALSE),0)</f>
        <v>0</v>
      </c>
      <c r="AL8" s="346">
        <f>IFERROR(VLOOKUP($AB8,flows!$A$2:$J$4985,AL$2,FALSE),0)</f>
        <v>0</v>
      </c>
      <c r="AQ8" s="12" t="s">
        <v>165</v>
      </c>
      <c r="AR8" s="13" t="s">
        <v>1644</v>
      </c>
      <c r="AS8" s="346">
        <f>IFERROR(VLOOKUP($AQ8,flows!$A$2:$J$4985,AS$2,FALSE),0)</f>
        <v>0</v>
      </c>
      <c r="AT8" s="346">
        <f>IFERROR(VLOOKUP($AQ8,flows!$A$2:$J$4985,AT$2,FALSE),0)</f>
        <v>0</v>
      </c>
      <c r="AU8" s="346">
        <f>IFERROR(VLOOKUP($AQ8,flows!$A$2:$J$4985,AU$2,FALSE),0)</f>
        <v>0</v>
      </c>
      <c r="AV8" s="346">
        <f>IFERROR(VLOOKUP($AQ8,flows!$A$2:$J$4985,AV$2,FALSE),0)</f>
        <v>0</v>
      </c>
      <c r="AW8" s="346">
        <f>IFERROR(VLOOKUP($AQ8,flows!$A$2:$J$4985,AW$2,FALSE),0)</f>
        <v>0</v>
      </c>
      <c r="AX8" s="346">
        <f>IFERROR(VLOOKUP($AQ8,flows!$A$2:$J$4985,AX$2,FALSE),0)</f>
        <v>0</v>
      </c>
      <c r="AY8" s="346">
        <f>IFERROR(VLOOKUP($AQ8,flows!$A$2:$J$4985,AY$2,FALSE),0)</f>
        <v>0</v>
      </c>
      <c r="AZ8" s="346">
        <f>IFERROR(VLOOKUP($AQ8,flows!$A$2:$J$4985,AZ$2,FALSE),0)</f>
        <v>0</v>
      </c>
    </row>
    <row r="9" spans="3:52" x14ac:dyDescent="0.35">
      <c r="C9" s="206" t="s">
        <v>4298</v>
      </c>
      <c r="D9" s="199" t="s">
        <v>2246</v>
      </c>
      <c r="E9" s="199" t="s">
        <v>2246</v>
      </c>
      <c r="F9" s="346" t="e">
        <f>VLOOKUP($C9,flows!$A$2:$J$4985,F$2,FALSE)</f>
        <v>#N/A</v>
      </c>
      <c r="G9" s="346" t="e">
        <f>VLOOKUP($C9,flows!$A$2:$J$4985,G$2,FALSE)</f>
        <v>#N/A</v>
      </c>
      <c r="H9" s="346" t="e">
        <f>VLOOKUP($C9,flows!$A$2:$J$4985,H$2,FALSE)</f>
        <v>#N/A</v>
      </c>
      <c r="I9" s="346" t="e">
        <f>VLOOKUP($C9,flows!$A$2:$J$4985,I$2,FALSE)</f>
        <v>#N/A</v>
      </c>
      <c r="J9" s="346" t="e">
        <f>VLOOKUP($C9,flows!$A$2:$J$4985,J$2,FALSE)</f>
        <v>#N/A</v>
      </c>
      <c r="K9" s="346" t="e">
        <f>VLOOKUP($C9,flows!$A$2:$J$4985,K$2,FALSE)</f>
        <v>#N/A</v>
      </c>
      <c r="L9" s="346" t="e">
        <f>VLOOKUP($C9,flows!$A$2:$J$4985,L$2,FALSE)</f>
        <v>#N/A</v>
      </c>
      <c r="M9" s="346" t="e">
        <f>VLOOKUP($C9,flows!$A$2:$J$4985,M$2,FALSE)</f>
        <v>#N/A</v>
      </c>
      <c r="P9" s="169" t="s">
        <v>3890</v>
      </c>
      <c r="Q9" s="170" t="s">
        <v>1778</v>
      </c>
      <c r="R9" s="171">
        <f>VLOOKUP($P9,flows!$A$2:$J$4985,R$2,FALSE)</f>
        <v>4379.9631321032984</v>
      </c>
      <c r="S9" s="171">
        <f>VLOOKUP($P9,flows!$A$2:$J$4985,S$2,FALSE)</f>
        <v>2838.0748052862859</v>
      </c>
      <c r="T9" s="171">
        <f>VLOOKUP($P9,flows!$A$2:$J$4985,T$2,FALSE)</f>
        <v>2911.1009775129619</v>
      </c>
      <c r="U9" s="171">
        <f>VLOOKUP($P9,flows!$A$2:$J$4985,U$2,FALSE)</f>
        <v>3505.7031327876039</v>
      </c>
      <c r="V9" s="171">
        <f>VLOOKUP($P9,flows!$A$2:$J$4985,V$2,FALSE)</f>
        <v>4.5088325233072372E-2</v>
      </c>
      <c r="W9" s="171">
        <f>VLOOKUP($P9,flows!$A$2:$J$4985,W$2,FALSE)</f>
        <v>5927.7557852660711</v>
      </c>
      <c r="X9" s="171">
        <f>VLOOKUP($P9,flows!$A$2:$J$4985,X$2,FALSE)</f>
        <v>4328.4678144655218</v>
      </c>
      <c r="Y9" s="171">
        <f>VLOOKUP($P9,flows!$A$2:$J$4985,Y$2,FALSE)</f>
        <v>0</v>
      </c>
      <c r="AB9" s="27" t="s">
        <v>1685</v>
      </c>
      <c r="AC9" s="32" t="s">
        <v>1785</v>
      </c>
      <c r="AD9" s="195" t="s">
        <v>1921</v>
      </c>
      <c r="AE9" s="346">
        <f>IFERROR(VLOOKUP($AB9,flows!$A$2:$J$4985,AE$2,FALSE),0)</f>
        <v>4.0353884161597783E-2</v>
      </c>
      <c r="AF9" s="346">
        <f>IFERROR(VLOOKUP($AB9,flows!$A$2:$J$4985,AF$2,FALSE),0)</f>
        <v>0.23877440962549809</v>
      </c>
      <c r="AG9" s="346">
        <f>IFERROR(VLOOKUP($AB9,flows!$A$2:$J$4985,AG$2,FALSE),0)</f>
        <v>9.0229830099796011</v>
      </c>
      <c r="AH9" s="346">
        <f>IFERROR(VLOOKUP($AB9,flows!$A$2:$J$4985,AH$2,FALSE),0)</f>
        <v>440.98082736252331</v>
      </c>
      <c r="AI9" s="346">
        <f>IFERROR(VLOOKUP($AB9,flows!$A$2:$J$4985,AI$2,FALSE),0)</f>
        <v>4.1519997938699914E-3</v>
      </c>
      <c r="AJ9" s="346">
        <f>IFERROR(VLOOKUP($AB9,flows!$A$2:$J$4985,AJ$2,FALSE),0)</f>
        <v>4.1647379226232632E-4</v>
      </c>
      <c r="AK9" s="346">
        <f>IFERROR(VLOOKUP($AB9,flows!$A$2:$J$4985,AK$2,FALSE),0)</f>
        <v>1.9292531372048201E-4</v>
      </c>
      <c r="AL9" s="346">
        <f>IFERROR(VLOOKUP($AB9,flows!$A$2:$J$4985,AL$2,FALSE),0)</f>
        <v>0</v>
      </c>
      <c r="AQ9" s="12" t="s">
        <v>167</v>
      </c>
      <c r="AR9" s="13" t="s">
        <v>1645</v>
      </c>
      <c r="AS9" s="346">
        <f>IFERROR(VLOOKUP($AQ9,flows!$A$2:$J$4985,AS$2,FALSE),0)</f>
        <v>0</v>
      </c>
      <c r="AT9" s="346">
        <f>IFERROR(VLOOKUP($AQ9,flows!$A$2:$J$4985,AT$2,FALSE),0)</f>
        <v>0</v>
      </c>
      <c r="AU9" s="346">
        <f>IFERROR(VLOOKUP($AQ9,flows!$A$2:$J$4985,AU$2,FALSE),0)</f>
        <v>0</v>
      </c>
      <c r="AV9" s="346">
        <f>IFERROR(VLOOKUP($AQ9,flows!$A$2:$J$4985,AV$2,FALSE),0)</f>
        <v>0</v>
      </c>
      <c r="AW9" s="346">
        <f>IFERROR(VLOOKUP($AQ9,flows!$A$2:$J$4985,AW$2,FALSE),0)</f>
        <v>0</v>
      </c>
      <c r="AX9" s="346">
        <f>IFERROR(VLOOKUP($AQ9,flows!$A$2:$J$4985,AX$2,FALSE),0)</f>
        <v>0</v>
      </c>
      <c r="AY9" s="346">
        <f>IFERROR(VLOOKUP($AQ9,flows!$A$2:$J$4985,AY$2,FALSE),0)</f>
        <v>0</v>
      </c>
      <c r="AZ9" s="346">
        <f>IFERROR(VLOOKUP($AQ9,flows!$A$2:$J$4985,AZ$2,FALSE),0)</f>
        <v>0</v>
      </c>
    </row>
    <row r="10" spans="3:52" x14ac:dyDescent="0.35">
      <c r="C10" s="206" t="s">
        <v>4290</v>
      </c>
      <c r="D10" s="194" t="s">
        <v>1787</v>
      </c>
      <c r="E10" s="194" t="s">
        <v>1787</v>
      </c>
      <c r="F10" s="346" t="e">
        <f>VLOOKUP($C10,flows!$A$2:$J$4985,F$2,FALSE)</f>
        <v>#N/A</v>
      </c>
      <c r="G10" s="346" t="e">
        <f>VLOOKUP($C10,flows!$A$2:$J$4985,G$2,FALSE)</f>
        <v>#N/A</v>
      </c>
      <c r="H10" s="346" t="e">
        <f>VLOOKUP($C10,flows!$A$2:$J$4985,H$2,FALSE)</f>
        <v>#N/A</v>
      </c>
      <c r="I10" s="346" t="e">
        <f>VLOOKUP($C10,flows!$A$2:$J$4985,I$2,FALSE)</f>
        <v>#N/A</v>
      </c>
      <c r="J10" s="346" t="e">
        <f>VLOOKUP($C10,flows!$A$2:$J$4985,J$2,FALSE)</f>
        <v>#N/A</v>
      </c>
      <c r="K10" s="346" t="e">
        <f>VLOOKUP($C10,flows!$A$2:$J$4985,K$2,FALSE)</f>
        <v>#N/A</v>
      </c>
      <c r="L10" s="346" t="e">
        <f>VLOOKUP($C10,flows!$A$2:$J$4985,L$2,FALSE)</f>
        <v>#N/A</v>
      </c>
      <c r="M10" s="346" t="e">
        <f>VLOOKUP($C10,flows!$A$2:$J$4985,M$2,FALSE)</f>
        <v>#N/A</v>
      </c>
      <c r="P10" s="175" t="s">
        <v>159</v>
      </c>
      <c r="Q10" s="176" t="s">
        <v>1637</v>
      </c>
      <c r="R10" s="176" t="e">
        <f>VLOOKUP($P10,flows!$A$2:$J$4985,R$2,FALSE)</f>
        <v>#N/A</v>
      </c>
      <c r="S10" s="176" t="e">
        <f>VLOOKUP($P10,flows!$A$2:$J$4985,S$2,FALSE)</f>
        <v>#N/A</v>
      </c>
      <c r="T10" s="176" t="e">
        <f>VLOOKUP($P10,flows!$A$2:$J$4985,T$2,FALSE)</f>
        <v>#N/A</v>
      </c>
      <c r="U10" s="176" t="e">
        <f>VLOOKUP($P10,flows!$A$2:$J$4985,U$2,FALSE)</f>
        <v>#N/A</v>
      </c>
      <c r="V10" s="176" t="e">
        <f>VLOOKUP($P10,flows!$A$2:$J$4985,V$2,FALSE)</f>
        <v>#N/A</v>
      </c>
      <c r="W10" s="176" t="e">
        <f>VLOOKUP($P10,flows!$A$2:$J$4985,W$2,FALSE)</f>
        <v>#N/A</v>
      </c>
      <c r="X10" s="176" t="e">
        <f>VLOOKUP($P10,flows!$A$2:$J$4985,X$2,FALSE)</f>
        <v>#N/A</v>
      </c>
      <c r="Y10" s="176" t="e">
        <f>VLOOKUP($P10,flows!$A$2:$J$4985,Y$2,FALSE)</f>
        <v>#N/A</v>
      </c>
      <c r="AB10" s="12" t="s">
        <v>164</v>
      </c>
      <c r="AC10" s="13" t="s">
        <v>1780</v>
      </c>
      <c r="AD10" s="204" t="s">
        <v>1922</v>
      </c>
      <c r="AE10" s="346">
        <f>IFERROR(VLOOKUP($AB10,flows!$A$2:$J$4985,AE$2,FALSE),0)</f>
        <v>0</v>
      </c>
      <c r="AF10" s="346">
        <f>IFERROR(VLOOKUP($AB10,flows!$A$2:$J$4985,AF$2,FALSE),0)</f>
        <v>0</v>
      </c>
      <c r="AG10" s="346">
        <f>IFERROR(VLOOKUP($AB10,flows!$A$2:$J$4985,AG$2,FALSE),0)</f>
        <v>0</v>
      </c>
      <c r="AH10" s="346">
        <f>IFERROR(VLOOKUP($AB10,flows!$A$2:$J$4985,AH$2,FALSE),0)</f>
        <v>0</v>
      </c>
      <c r="AI10" s="346">
        <f>IFERROR(VLOOKUP($AB10,flows!$A$2:$J$4985,AI$2,FALSE),0)</f>
        <v>0</v>
      </c>
      <c r="AJ10" s="346">
        <f>IFERROR(VLOOKUP($AB10,flows!$A$2:$J$4985,AJ$2,FALSE),0)</f>
        <v>0</v>
      </c>
      <c r="AK10" s="346">
        <f>IFERROR(VLOOKUP($AB10,flows!$A$2:$J$4985,AK$2,FALSE),0)</f>
        <v>0</v>
      </c>
      <c r="AL10" s="346">
        <f>IFERROR(VLOOKUP($AB10,flows!$A$2:$J$4985,AL$2,FALSE),0)</f>
        <v>0</v>
      </c>
      <c r="AQ10" s="12" t="s">
        <v>168</v>
      </c>
      <c r="AR10" s="13" t="s">
        <v>13</v>
      </c>
      <c r="AS10" s="346">
        <f>IFERROR(VLOOKUP($AQ10,flows!$A$2:$J$4985,AS$2,FALSE),0)</f>
        <v>0</v>
      </c>
      <c r="AT10" s="346">
        <f>IFERROR(VLOOKUP($AQ10,flows!$A$2:$J$4985,AT$2,FALSE),0)</f>
        <v>0</v>
      </c>
      <c r="AU10" s="346">
        <f>IFERROR(VLOOKUP($AQ10,flows!$A$2:$J$4985,AU$2,FALSE),0)</f>
        <v>0</v>
      </c>
      <c r="AV10" s="346">
        <f>IFERROR(VLOOKUP($AQ10,flows!$A$2:$J$4985,AV$2,FALSE),0)</f>
        <v>0</v>
      </c>
      <c r="AW10" s="346">
        <f>IFERROR(VLOOKUP($AQ10,flows!$A$2:$J$4985,AW$2,FALSE),0)</f>
        <v>0</v>
      </c>
      <c r="AX10" s="346">
        <f>IFERROR(VLOOKUP($AQ10,flows!$A$2:$J$4985,AX$2,FALSE),0)</f>
        <v>0</v>
      </c>
      <c r="AY10" s="346">
        <f>IFERROR(VLOOKUP($AQ10,flows!$A$2:$J$4985,AY$2,FALSE),0)</f>
        <v>0</v>
      </c>
      <c r="AZ10" s="346">
        <f>IFERROR(VLOOKUP($AQ10,flows!$A$2:$J$4985,AZ$2,FALSE),0)</f>
        <v>0</v>
      </c>
    </row>
    <row r="11" spans="3:52" x14ac:dyDescent="0.35">
      <c r="C11" s="206" t="s">
        <v>4299</v>
      </c>
      <c r="D11" s="194" t="s">
        <v>1774</v>
      </c>
      <c r="E11" s="194" t="s">
        <v>1917</v>
      </c>
      <c r="F11" s="346" t="e">
        <f>VLOOKUP($C11,flows!$A$2:$J$4985,F$2,FALSE)</f>
        <v>#N/A</v>
      </c>
      <c r="G11" s="346" t="e">
        <f>VLOOKUP($C11,flows!$A$2:$J$4985,G$2,FALSE)</f>
        <v>#N/A</v>
      </c>
      <c r="H11" s="346" t="e">
        <f>VLOOKUP($C11,flows!$A$2:$J$4985,H$2,FALSE)</f>
        <v>#N/A</v>
      </c>
      <c r="I11" s="346" t="e">
        <f>VLOOKUP($C11,flows!$A$2:$J$4985,I$2,FALSE)</f>
        <v>#N/A</v>
      </c>
      <c r="J11" s="346" t="e">
        <f>VLOOKUP($C11,flows!$A$2:$J$4985,J$2,FALSE)</f>
        <v>#N/A</v>
      </c>
      <c r="K11" s="346" t="e">
        <f>VLOOKUP($C11,flows!$A$2:$J$4985,K$2,FALSE)</f>
        <v>#N/A</v>
      </c>
      <c r="L11" s="346" t="e">
        <f>VLOOKUP($C11,flows!$A$2:$J$4985,L$2,FALSE)</f>
        <v>#N/A</v>
      </c>
      <c r="M11" s="346" t="e">
        <f>VLOOKUP($C11,flows!$A$2:$J$4985,M$2,FALSE)</f>
        <v>#N/A</v>
      </c>
      <c r="P11" s="175" t="s">
        <v>160</v>
      </c>
      <c r="Q11" s="176" t="s">
        <v>1786</v>
      </c>
      <c r="R11" s="176" t="e">
        <f>VLOOKUP($P11,flows!$A$2:$J$4985,R$2,FALSE)</f>
        <v>#N/A</v>
      </c>
      <c r="S11" s="176" t="e">
        <f>VLOOKUP($P11,flows!$A$2:$J$4985,S$2,FALSE)</f>
        <v>#N/A</v>
      </c>
      <c r="T11" s="176" t="e">
        <f>VLOOKUP($P11,flows!$A$2:$J$4985,T$2,FALSE)</f>
        <v>#N/A</v>
      </c>
      <c r="U11" s="176" t="e">
        <f>VLOOKUP($P11,flows!$A$2:$J$4985,U$2,FALSE)</f>
        <v>#N/A</v>
      </c>
      <c r="V11" s="176" t="e">
        <f>VLOOKUP($P11,flows!$A$2:$J$4985,V$2,FALSE)</f>
        <v>#N/A</v>
      </c>
      <c r="W11" s="176" t="e">
        <f>VLOOKUP($P11,flows!$A$2:$J$4985,W$2,FALSE)</f>
        <v>#N/A</v>
      </c>
      <c r="X11" s="176" t="e">
        <f>VLOOKUP($P11,flows!$A$2:$J$4985,X$2,FALSE)</f>
        <v>#N/A</v>
      </c>
      <c r="Y11" s="176" t="e">
        <f>VLOOKUP($P11,flows!$A$2:$J$4985,Y$2,FALSE)</f>
        <v>#N/A</v>
      </c>
      <c r="AB11" s="12" t="s">
        <v>166</v>
      </c>
      <c r="AC11" s="13" t="s">
        <v>1781</v>
      </c>
      <c r="AD11" s="204" t="s">
        <v>1923</v>
      </c>
      <c r="AE11" s="346">
        <f>IFERROR(VLOOKUP($AB11,flows!$A$2:$J$4985,AE$2,FALSE),0)</f>
        <v>0</v>
      </c>
      <c r="AF11" s="346">
        <f>IFERROR(VLOOKUP($AB11,flows!$A$2:$J$4985,AF$2,FALSE),0)</f>
        <v>0</v>
      </c>
      <c r="AG11" s="346">
        <f>IFERROR(VLOOKUP($AB11,flows!$A$2:$J$4985,AG$2,FALSE),0)</f>
        <v>0</v>
      </c>
      <c r="AH11" s="346">
        <f>IFERROR(VLOOKUP($AB11,flows!$A$2:$J$4985,AH$2,FALSE),0)</f>
        <v>0</v>
      </c>
      <c r="AI11" s="346">
        <f>IFERROR(VLOOKUP($AB11,flows!$A$2:$J$4985,AI$2,FALSE),0)</f>
        <v>0</v>
      </c>
      <c r="AJ11" s="346">
        <f>IFERROR(VLOOKUP($AB11,flows!$A$2:$J$4985,AJ$2,FALSE),0)</f>
        <v>0</v>
      </c>
      <c r="AK11" s="346">
        <f>IFERROR(VLOOKUP($AB11,flows!$A$2:$J$4985,AK$2,FALSE),0)</f>
        <v>0</v>
      </c>
      <c r="AL11" s="346">
        <f>IFERROR(VLOOKUP($AB11,flows!$A$2:$J$4985,AL$2,FALSE),0)</f>
        <v>0</v>
      </c>
      <c r="AQ11" s="12" t="s">
        <v>170</v>
      </c>
      <c r="AR11" s="13" t="s">
        <v>14</v>
      </c>
      <c r="AS11" s="346">
        <f>IFERROR(VLOOKUP($AQ11,flows!$A$2:$J$4985,AS$2,FALSE),0)</f>
        <v>0</v>
      </c>
      <c r="AT11" s="346">
        <f>IFERROR(VLOOKUP($AQ11,flows!$A$2:$J$4985,AT$2,FALSE),0)</f>
        <v>0</v>
      </c>
      <c r="AU11" s="346">
        <f>IFERROR(VLOOKUP($AQ11,flows!$A$2:$J$4985,AU$2,FALSE),0)</f>
        <v>0</v>
      </c>
      <c r="AV11" s="346">
        <f>IFERROR(VLOOKUP($AQ11,flows!$A$2:$J$4985,AV$2,FALSE),0)</f>
        <v>0</v>
      </c>
      <c r="AW11" s="346">
        <f>IFERROR(VLOOKUP($AQ11,flows!$A$2:$J$4985,AW$2,FALSE),0)</f>
        <v>0</v>
      </c>
      <c r="AX11" s="346">
        <f>IFERROR(VLOOKUP($AQ11,flows!$A$2:$J$4985,AX$2,FALSE),0)</f>
        <v>0</v>
      </c>
      <c r="AY11" s="346">
        <f>IFERROR(VLOOKUP($AQ11,flows!$A$2:$J$4985,AY$2,FALSE),0)</f>
        <v>0</v>
      </c>
      <c r="AZ11" s="346">
        <f>IFERROR(VLOOKUP($AQ11,flows!$A$2:$J$4985,AZ$2,FALSE),0)</f>
        <v>0</v>
      </c>
    </row>
    <row r="12" spans="3:52" x14ac:dyDescent="0.35">
      <c r="C12" s="206" t="s">
        <v>4301</v>
      </c>
      <c r="D12" s="194" t="s">
        <v>1775</v>
      </c>
      <c r="E12" s="194" t="s">
        <v>1918</v>
      </c>
      <c r="F12" s="346" t="e">
        <f>VLOOKUP($C12,flows!$A$2:$J$4985,F$2,FALSE)</f>
        <v>#N/A</v>
      </c>
      <c r="G12" s="346" t="e">
        <f>VLOOKUP($C12,flows!$A$2:$J$4985,G$2,FALSE)</f>
        <v>#N/A</v>
      </c>
      <c r="H12" s="346" t="e">
        <f>VLOOKUP($C12,flows!$A$2:$J$4985,H$2,FALSE)</f>
        <v>#N/A</v>
      </c>
      <c r="I12" s="346" t="e">
        <f>VLOOKUP($C12,flows!$A$2:$J$4985,I$2,FALSE)</f>
        <v>#N/A</v>
      </c>
      <c r="J12" s="346" t="e">
        <f>VLOOKUP($C12,flows!$A$2:$J$4985,J$2,FALSE)</f>
        <v>#N/A</v>
      </c>
      <c r="K12" s="346" t="e">
        <f>VLOOKUP($C12,flows!$A$2:$J$4985,K$2,FALSE)</f>
        <v>#N/A</v>
      </c>
      <c r="L12" s="346" t="e">
        <f>VLOOKUP($C12,flows!$A$2:$J$4985,L$2,FALSE)</f>
        <v>#N/A</v>
      </c>
      <c r="M12" s="346" t="e">
        <f>VLOOKUP($C12,flows!$A$2:$J$4985,M$2,FALSE)</f>
        <v>#N/A</v>
      </c>
      <c r="P12" s="169" t="s">
        <v>1685</v>
      </c>
      <c r="Q12" s="170" t="s">
        <v>1785</v>
      </c>
      <c r="R12" s="171">
        <f>VLOOKUP($P12,flows!$A$2:$J$4985,R$2,FALSE)</f>
        <v>4.0353884161597783E-2</v>
      </c>
      <c r="S12" s="171">
        <f>VLOOKUP($P12,flows!$A$2:$J$4985,S$2,FALSE)</f>
        <v>0.23877440962549809</v>
      </c>
      <c r="T12" s="171">
        <f>VLOOKUP($P12,flows!$A$2:$J$4985,T$2,FALSE)</f>
        <v>9.0229830099796011</v>
      </c>
      <c r="U12" s="171">
        <f>VLOOKUP($P12,flows!$A$2:$J$4985,U$2,FALSE)</f>
        <v>440.98082736252331</v>
      </c>
      <c r="V12" s="171">
        <f>VLOOKUP($P12,flows!$A$2:$J$4985,V$2,FALSE)</f>
        <v>4.1519997938699914E-3</v>
      </c>
      <c r="W12" s="171">
        <f>VLOOKUP($P12,flows!$A$2:$J$4985,W$2,FALSE)</f>
        <v>4.1647379226232632E-4</v>
      </c>
      <c r="X12" s="171">
        <f>VLOOKUP($P12,flows!$A$2:$J$4985,X$2,FALSE)</f>
        <v>1.9292531372048201E-4</v>
      </c>
      <c r="Y12" s="171">
        <f>VLOOKUP($P12,flows!$A$2:$J$4985,Y$2,FALSE)</f>
        <v>0</v>
      </c>
      <c r="AB12" s="203" t="s">
        <v>4293</v>
      </c>
      <c r="AC12" s="204" t="s">
        <v>2574</v>
      </c>
      <c r="AD12" s="204" t="s">
        <v>2574</v>
      </c>
      <c r="AE12" s="346">
        <f>IFERROR(VLOOKUP($AB12,flows!$A$2:$J$4985,AE$2,FALSE),0)</f>
        <v>15886.69895914054</v>
      </c>
      <c r="AF12" s="346">
        <f>IFERROR(VLOOKUP($AB12,flows!$A$2:$J$4985,AF$2,FALSE),0)</f>
        <v>4557.5414327415228</v>
      </c>
      <c r="AG12" s="346">
        <f>IFERROR(VLOOKUP($AB12,flows!$A$2:$J$4985,AG$2,FALSE),0)</f>
        <v>5127.0050497940692</v>
      </c>
      <c r="AH12" s="346">
        <f>IFERROR(VLOOKUP($AB12,flows!$A$2:$J$4985,AH$2,FALSE),0)</f>
        <v>26012.246016510489</v>
      </c>
      <c r="AI12" s="346">
        <f>IFERROR(VLOOKUP($AB12,flows!$A$2:$J$4985,AI$2,FALSE),0)</f>
        <v>62117.568804889161</v>
      </c>
      <c r="AJ12" s="346">
        <f>IFERROR(VLOOKUP($AB12,flows!$A$2:$J$4985,AJ$2,FALSE),0)</f>
        <v>122117.9383480804</v>
      </c>
      <c r="AK12" s="346">
        <f>IFERROR(VLOOKUP($AB12,flows!$A$2:$J$4985,AK$2,FALSE),0)</f>
        <v>15661.179898431221</v>
      </c>
      <c r="AL12" s="346">
        <f>IFERROR(VLOOKUP($AB12,flows!$A$2:$J$4985,AL$2,FALSE),0)</f>
        <v>0</v>
      </c>
      <c r="AQ12" s="203" t="s">
        <v>4246</v>
      </c>
      <c r="AR12" s="204" t="s">
        <v>4378</v>
      </c>
      <c r="AS12" s="346">
        <f>IFERROR(VLOOKUP($AQ12,flows!$A$2:$J$4985,AS$2,FALSE),0)</f>
        <v>0</v>
      </c>
      <c r="AT12" s="346">
        <f>IFERROR(VLOOKUP($AQ12,flows!$A$2:$J$4985,AT$2,FALSE),0)</f>
        <v>0</v>
      </c>
      <c r="AU12" s="346">
        <f>IFERROR(VLOOKUP($AQ12,flows!$A$2:$J$4985,AU$2,FALSE),0)</f>
        <v>0</v>
      </c>
      <c r="AV12" s="346">
        <f>IFERROR(VLOOKUP($AQ12,flows!$A$2:$J$4985,AV$2,FALSE),0)</f>
        <v>0</v>
      </c>
      <c r="AW12" s="346">
        <f>IFERROR(VLOOKUP($AQ12,flows!$A$2:$J$4985,AW$2,FALSE),0)</f>
        <v>0</v>
      </c>
      <c r="AX12" s="346">
        <f>IFERROR(VLOOKUP($AQ12,flows!$A$2:$J$4985,AX$2,FALSE),0)</f>
        <v>0</v>
      </c>
      <c r="AY12" s="346">
        <f>IFERROR(VLOOKUP($AQ12,flows!$A$2:$J$4985,AY$2,FALSE),0)</f>
        <v>0</v>
      </c>
      <c r="AZ12" s="346">
        <f>IFERROR(VLOOKUP($AQ12,flows!$A$2:$J$4985,AZ$2,FALSE),0)</f>
        <v>0</v>
      </c>
    </row>
    <row r="13" spans="3:52" x14ac:dyDescent="0.35">
      <c r="C13" s="206"/>
      <c r="D13" s="861" t="s">
        <v>2243</v>
      </c>
      <c r="E13" s="861" t="s">
        <v>2245</v>
      </c>
      <c r="F13" s="346" t="e">
        <f>SUM(F10:F12)</f>
        <v>#N/A</v>
      </c>
      <c r="G13" s="346" t="e">
        <f t="shared" ref="G13:M13" si="0">SUM(G10:G12)</f>
        <v>#N/A</v>
      </c>
      <c r="H13" s="346" t="e">
        <f t="shared" si="0"/>
        <v>#N/A</v>
      </c>
      <c r="I13" s="346" t="e">
        <f t="shared" si="0"/>
        <v>#N/A</v>
      </c>
      <c r="J13" s="346" t="e">
        <f t="shared" si="0"/>
        <v>#N/A</v>
      </c>
      <c r="K13" s="346" t="e">
        <f t="shared" si="0"/>
        <v>#N/A</v>
      </c>
      <c r="L13" s="346" t="e">
        <f t="shared" si="0"/>
        <v>#N/A</v>
      </c>
      <c r="M13" s="346" t="e">
        <f t="shared" si="0"/>
        <v>#N/A</v>
      </c>
      <c r="P13" s="178" t="s">
        <v>161</v>
      </c>
      <c r="Q13" s="174" t="s">
        <v>1783</v>
      </c>
      <c r="R13" s="174" t="e">
        <f>VLOOKUP($P13,flows!$A$2:$J$4985,R$2,FALSE)</f>
        <v>#N/A</v>
      </c>
      <c r="S13" s="174" t="e">
        <f>VLOOKUP($P13,flows!$A$2:$J$4985,S$2,FALSE)</f>
        <v>#N/A</v>
      </c>
      <c r="T13" s="174" t="e">
        <f>VLOOKUP($P13,flows!$A$2:$J$4985,T$2,FALSE)</f>
        <v>#N/A</v>
      </c>
      <c r="U13" s="174" t="e">
        <f>VLOOKUP($P13,flows!$A$2:$J$4985,U$2,FALSE)</f>
        <v>#N/A</v>
      </c>
      <c r="V13" s="174" t="e">
        <f>VLOOKUP($P13,flows!$A$2:$J$4985,V$2,FALSE)</f>
        <v>#N/A</v>
      </c>
      <c r="W13" s="174" t="e">
        <f>VLOOKUP($P13,flows!$A$2:$J$4985,W$2,FALSE)</f>
        <v>#N/A</v>
      </c>
      <c r="X13" s="174" t="e">
        <f>VLOOKUP($P13,flows!$A$2:$J$4985,X$2,FALSE)</f>
        <v>#N/A</v>
      </c>
      <c r="Y13" s="174" t="e">
        <f>VLOOKUP($P13,flows!$A$2:$J$4985,Y$2,FALSE)</f>
        <v>#N/A</v>
      </c>
      <c r="AB13" s="203" t="s">
        <v>4303</v>
      </c>
      <c r="AC13" s="204" t="s">
        <v>2581</v>
      </c>
      <c r="AD13" s="204" t="s">
        <v>2581</v>
      </c>
      <c r="AE13" s="346">
        <f>IFERROR(VLOOKUP($AB13,flows!$A$2:$J$4985,AE$2,FALSE),0)</f>
        <v>1327.499701174271</v>
      </c>
      <c r="AF13" s="346">
        <f>IFERROR(VLOOKUP($AB13,flows!$A$2:$J$4985,AF$2,FALSE),0)</f>
        <v>15048.089657532269</v>
      </c>
      <c r="AG13" s="346">
        <f>IFERROR(VLOOKUP($AB13,flows!$A$2:$J$4985,AG$2,FALSE),0)</f>
        <v>16226.034049588799</v>
      </c>
      <c r="AH13" s="346">
        <f>IFERROR(VLOOKUP($AB13,flows!$A$2:$J$4985,AH$2,FALSE),0)</f>
        <v>15405.04917850946</v>
      </c>
      <c r="AI13" s="346">
        <f>IFERROR(VLOOKUP($AB13,flows!$A$2:$J$4985,AI$2,FALSE),0)</f>
        <v>12453.17451525314</v>
      </c>
      <c r="AJ13" s="346">
        <f>IFERROR(VLOOKUP($AB13,flows!$A$2:$J$4985,AJ$2,FALSE),0)</f>
        <v>5147.8333350546627</v>
      </c>
      <c r="AK13" s="346">
        <f>IFERROR(VLOOKUP($AB13,flows!$A$2:$J$4985,AK$2,FALSE),0)</f>
        <v>1327.485688405879</v>
      </c>
      <c r="AL13" s="346">
        <f>IFERROR(VLOOKUP($AB13,flows!$A$2:$J$4985,AL$2,FALSE),0)</f>
        <v>0</v>
      </c>
      <c r="AQ13" s="12" t="s">
        <v>2582</v>
      </c>
      <c r="AR13" s="13" t="s">
        <v>2572</v>
      </c>
      <c r="AS13" s="346">
        <f>IFERROR(VLOOKUP($AQ13,flows!$A$2:$J$4985,AS$2,FALSE),0)</f>
        <v>0</v>
      </c>
      <c r="AT13" s="346">
        <f>IFERROR(VLOOKUP($AQ13,flows!$A$2:$J$4985,AT$2,FALSE),0)</f>
        <v>0</v>
      </c>
      <c r="AU13" s="346">
        <f>IFERROR(VLOOKUP($AQ13,flows!$A$2:$J$4985,AU$2,FALSE),0)</f>
        <v>0</v>
      </c>
      <c r="AV13" s="346">
        <f>IFERROR(VLOOKUP($AQ13,flows!$A$2:$J$4985,AV$2,FALSE),0)</f>
        <v>0</v>
      </c>
      <c r="AW13" s="346">
        <f>IFERROR(VLOOKUP($AQ13,flows!$A$2:$J$4985,AW$2,FALSE),0)</f>
        <v>0</v>
      </c>
      <c r="AX13" s="346">
        <f>IFERROR(VLOOKUP($AQ13,flows!$A$2:$J$4985,AX$2,FALSE),0)</f>
        <v>0</v>
      </c>
      <c r="AY13" s="346">
        <f>IFERROR(VLOOKUP($AQ13,flows!$A$2:$J$4985,AY$2,FALSE),0)</f>
        <v>0</v>
      </c>
      <c r="AZ13" s="346">
        <f>IFERROR(VLOOKUP($AQ13,flows!$A$2:$J$4985,AZ$2,FALSE),0)</f>
        <v>0</v>
      </c>
    </row>
    <row r="14" spans="3:52" x14ac:dyDescent="0.35">
      <c r="C14" s="206"/>
      <c r="D14" s="861" t="s">
        <v>4387</v>
      </c>
      <c r="E14" s="861" t="s">
        <v>4390</v>
      </c>
      <c r="F14" s="346" t="e">
        <f>F13-F6</f>
        <v>#N/A</v>
      </c>
      <c r="G14" s="346" t="e">
        <f t="shared" ref="G14:M14" si="1">G13-G6</f>
        <v>#N/A</v>
      </c>
      <c r="H14" s="346" t="e">
        <f t="shared" si="1"/>
        <v>#N/A</v>
      </c>
      <c r="I14" s="346" t="e">
        <f t="shared" si="1"/>
        <v>#N/A</v>
      </c>
      <c r="J14" s="346" t="e">
        <f t="shared" si="1"/>
        <v>#N/A</v>
      </c>
      <c r="K14" s="346" t="e">
        <f t="shared" si="1"/>
        <v>#N/A</v>
      </c>
      <c r="L14" s="346" t="e">
        <f t="shared" si="1"/>
        <v>#N/A</v>
      </c>
      <c r="M14" s="346" t="e">
        <f t="shared" si="1"/>
        <v>#N/A</v>
      </c>
      <c r="P14" s="178" t="s">
        <v>162</v>
      </c>
      <c r="Q14" s="174" t="s">
        <v>1784</v>
      </c>
      <c r="R14" s="174" t="e">
        <f>VLOOKUP($P14,flows!$A$2:$J$4985,R$2,FALSE)</f>
        <v>#N/A</v>
      </c>
      <c r="S14" s="174" t="e">
        <f>VLOOKUP($P14,flows!$A$2:$J$4985,S$2,FALSE)</f>
        <v>#N/A</v>
      </c>
      <c r="T14" s="174" t="e">
        <f>VLOOKUP($P14,flows!$A$2:$J$4985,T$2,FALSE)</f>
        <v>#N/A</v>
      </c>
      <c r="U14" s="174" t="e">
        <f>VLOOKUP($P14,flows!$A$2:$J$4985,U$2,FALSE)</f>
        <v>#N/A</v>
      </c>
      <c r="V14" s="174" t="e">
        <f>VLOOKUP($P14,flows!$A$2:$J$4985,V$2,FALSE)</f>
        <v>#N/A</v>
      </c>
      <c r="W14" s="174" t="e">
        <f>VLOOKUP($P14,flows!$A$2:$J$4985,W$2,FALSE)</f>
        <v>#N/A</v>
      </c>
      <c r="X14" s="174" t="e">
        <f>VLOOKUP($P14,flows!$A$2:$J$4985,X$2,FALSE)</f>
        <v>#N/A</v>
      </c>
      <c r="Y14" s="174" t="e">
        <f>VLOOKUP($P14,flows!$A$2:$J$4985,Y$2,FALSE)</f>
        <v>#N/A</v>
      </c>
      <c r="AB14" s="204"/>
      <c r="AC14" s="204" t="s">
        <v>2265</v>
      </c>
      <c r="AD14" s="191" t="s">
        <v>3905</v>
      </c>
      <c r="AE14" s="346" t="e">
        <f>Glasindustrie!E640</f>
        <v>#N/A</v>
      </c>
      <c r="AF14" s="346" t="e">
        <f>Glasindustrie!F640</f>
        <v>#N/A</v>
      </c>
      <c r="AG14" s="346" t="e">
        <f>Glasindustrie!G640</f>
        <v>#N/A</v>
      </c>
      <c r="AH14" s="346" t="e">
        <f>Glasindustrie!H640</f>
        <v>#N/A</v>
      </c>
      <c r="AI14" s="346" t="e">
        <f>Glasindustrie!I640</f>
        <v>#N/A</v>
      </c>
      <c r="AJ14" s="346" t="e">
        <f>Glasindustrie!J640</f>
        <v>#N/A</v>
      </c>
      <c r="AK14" s="346" t="e">
        <f>Glasindustrie!K640</f>
        <v>#N/A</v>
      </c>
      <c r="AL14" s="346" t="e">
        <f>Glasindustrie!L640</f>
        <v>#N/A</v>
      </c>
      <c r="AQ14" s="5"/>
      <c r="AR14" s="6"/>
      <c r="AS14" s="6"/>
      <c r="AT14" s="6"/>
      <c r="AU14" s="6"/>
      <c r="AV14" s="6"/>
      <c r="AW14" s="6"/>
      <c r="AX14" s="6"/>
      <c r="AY14" s="6"/>
      <c r="AZ14" s="6"/>
    </row>
    <row r="15" spans="3:52" x14ac:dyDescent="0.35">
      <c r="C15" s="166" t="s">
        <v>1408</v>
      </c>
      <c r="D15" s="167"/>
      <c r="E15" s="167"/>
      <c r="F15" s="168" t="e">
        <f t="shared" ref="F15:M15" si="2">SUM(F4:F8)</f>
        <v>#N/A</v>
      </c>
      <c r="G15" s="168" t="e">
        <f t="shared" si="2"/>
        <v>#N/A</v>
      </c>
      <c r="H15" s="168" t="e">
        <f t="shared" si="2"/>
        <v>#N/A</v>
      </c>
      <c r="I15" s="168" t="e">
        <f t="shared" si="2"/>
        <v>#N/A</v>
      </c>
      <c r="J15" s="168" t="e">
        <f t="shared" si="2"/>
        <v>#N/A</v>
      </c>
      <c r="K15" s="168" t="e">
        <f t="shared" si="2"/>
        <v>#N/A</v>
      </c>
      <c r="L15" s="168" t="e">
        <f t="shared" si="2"/>
        <v>#N/A</v>
      </c>
      <c r="M15" s="168" t="e">
        <f t="shared" si="2"/>
        <v>#N/A</v>
      </c>
      <c r="P15" s="179" t="s">
        <v>163</v>
      </c>
      <c r="Q15" s="177" t="s">
        <v>1779</v>
      </c>
      <c r="R15" s="176" t="e">
        <f>VLOOKUP($P15,flows!$A$2:$J$4985,R$2,FALSE)</f>
        <v>#N/A</v>
      </c>
      <c r="S15" s="176" t="e">
        <f>VLOOKUP($P15,flows!$A$2:$J$4985,S$2,FALSE)</f>
        <v>#N/A</v>
      </c>
      <c r="T15" s="176" t="e">
        <f>VLOOKUP($P15,flows!$A$2:$J$4985,T$2,FALSE)</f>
        <v>#N/A</v>
      </c>
      <c r="U15" s="176" t="e">
        <f>VLOOKUP($P15,flows!$A$2:$J$4985,U$2,FALSE)</f>
        <v>#N/A</v>
      </c>
      <c r="V15" s="176" t="e">
        <f>VLOOKUP($P15,flows!$A$2:$J$4985,V$2,FALSE)</f>
        <v>#N/A</v>
      </c>
      <c r="W15" s="176" t="e">
        <f>VLOOKUP($P15,flows!$A$2:$J$4985,W$2,FALSE)</f>
        <v>#N/A</v>
      </c>
      <c r="X15" s="176" t="e">
        <f>VLOOKUP($P15,flows!$A$2:$J$4985,X$2,FALSE)</f>
        <v>#N/A</v>
      </c>
      <c r="Y15" s="176" t="e">
        <f>VLOOKUP($P15,flows!$A$2:$J$4985,Y$2,FALSE)</f>
        <v>#N/A</v>
      </c>
      <c r="AB15" s="204"/>
      <c r="AC15" s="204" t="s">
        <v>3906</v>
      </c>
      <c r="AD15" s="191" t="s">
        <v>3291</v>
      </c>
      <c r="AE15" s="346" t="e">
        <f>R17</f>
        <v>#N/A</v>
      </c>
      <c r="AF15" s="346" t="e">
        <f t="shared" ref="AF15:AL15" si="3">S17</f>
        <v>#N/A</v>
      </c>
      <c r="AG15" s="346" t="e">
        <f t="shared" si="3"/>
        <v>#N/A</v>
      </c>
      <c r="AH15" s="346" t="e">
        <f t="shared" si="3"/>
        <v>#N/A</v>
      </c>
      <c r="AI15" s="346" t="e">
        <f t="shared" si="3"/>
        <v>#N/A</v>
      </c>
      <c r="AJ15" s="346" t="e">
        <f t="shared" si="3"/>
        <v>#N/A</v>
      </c>
      <c r="AK15" s="346" t="e">
        <f t="shared" si="3"/>
        <v>#N/A</v>
      </c>
      <c r="AL15" s="346" t="e">
        <f t="shared" si="3"/>
        <v>#N/A</v>
      </c>
      <c r="AQ15" s="5"/>
      <c r="AR15" s="6"/>
      <c r="AS15" s="6"/>
      <c r="AT15" s="6"/>
      <c r="AU15" s="6"/>
      <c r="AV15" s="6"/>
      <c r="AW15" s="6"/>
      <c r="AX15" s="6"/>
      <c r="AY15" s="6"/>
      <c r="AZ15" s="6"/>
    </row>
    <row r="16" spans="3:52" ht="15" thickBot="1" x14ac:dyDescent="0.4">
      <c r="C16" s="28"/>
      <c r="D16" s="33"/>
      <c r="E16" s="281" t="s">
        <v>2213</v>
      </c>
      <c r="F16" s="282" t="e">
        <f t="shared" ref="F16:M16" si="4">F8/SUM(F4,F7,F8)</f>
        <v>#N/A</v>
      </c>
      <c r="G16" s="282" t="e">
        <f t="shared" si="4"/>
        <v>#N/A</v>
      </c>
      <c r="H16" s="282" t="e">
        <f t="shared" si="4"/>
        <v>#N/A</v>
      </c>
      <c r="I16" s="282" t="e">
        <f t="shared" si="4"/>
        <v>#N/A</v>
      </c>
      <c r="J16" s="282" t="e">
        <f t="shared" si="4"/>
        <v>#N/A</v>
      </c>
      <c r="K16" s="282" t="e">
        <f t="shared" si="4"/>
        <v>#N/A</v>
      </c>
      <c r="L16" s="282" t="e">
        <f t="shared" si="4"/>
        <v>#N/A</v>
      </c>
      <c r="M16" s="282" t="e">
        <f t="shared" si="4"/>
        <v>#N/A</v>
      </c>
      <c r="P16" s="180"/>
      <c r="Q16" s="171" t="s">
        <v>2265</v>
      </c>
      <c r="R16" s="824" t="e">
        <f>Glasindustrie!E640</f>
        <v>#N/A</v>
      </c>
      <c r="S16" s="824" t="e">
        <f>Glasindustrie!F640</f>
        <v>#N/A</v>
      </c>
      <c r="T16" s="824" t="e">
        <f>Glasindustrie!G640</f>
        <v>#N/A</v>
      </c>
      <c r="U16" s="824" t="e">
        <f>Glasindustrie!H640</f>
        <v>#N/A</v>
      </c>
      <c r="V16" s="824" t="e">
        <f>Glasindustrie!I640</f>
        <v>#N/A</v>
      </c>
      <c r="W16" s="824" t="e">
        <f>Glasindustrie!J640</f>
        <v>#N/A</v>
      </c>
      <c r="X16" s="824" t="e">
        <f>Glasindustrie!K640</f>
        <v>#N/A</v>
      </c>
      <c r="Y16" s="824" t="e">
        <f>Glasindustrie!L640</f>
        <v>#N/A</v>
      </c>
      <c r="AB16" s="204"/>
      <c r="AC16" s="204" t="s">
        <v>3907</v>
      </c>
      <c r="AD16" s="191" t="s">
        <v>3161</v>
      </c>
      <c r="AE16" s="346" t="e">
        <f>R18</f>
        <v>#N/A</v>
      </c>
      <c r="AF16" s="346" t="e">
        <f t="shared" ref="AF16:AL16" si="5">S18</f>
        <v>#N/A</v>
      </c>
      <c r="AG16" s="346" t="e">
        <f t="shared" si="5"/>
        <v>#N/A</v>
      </c>
      <c r="AH16" s="346" t="e">
        <f t="shared" si="5"/>
        <v>#N/A</v>
      </c>
      <c r="AI16" s="346" t="e">
        <f t="shared" si="5"/>
        <v>#N/A</v>
      </c>
      <c r="AJ16" s="346" t="e">
        <f t="shared" si="5"/>
        <v>#N/A</v>
      </c>
      <c r="AK16" s="346" t="e">
        <f t="shared" si="5"/>
        <v>#N/A</v>
      </c>
      <c r="AL16" s="346" t="e">
        <f t="shared" si="5"/>
        <v>#N/A</v>
      </c>
      <c r="AQ16" s="5"/>
      <c r="AR16" s="6" t="s">
        <v>1229</v>
      </c>
      <c r="AS16" s="6">
        <f t="shared" ref="AS16:AZ16" si="6">SUM(AS4:AS13)</f>
        <v>0</v>
      </c>
      <c r="AT16" s="344">
        <f t="shared" si="6"/>
        <v>0</v>
      </c>
      <c r="AU16" s="344">
        <f t="shared" si="6"/>
        <v>0</v>
      </c>
      <c r="AV16" s="344">
        <f t="shared" si="6"/>
        <v>0</v>
      </c>
      <c r="AW16" s="344">
        <f t="shared" si="6"/>
        <v>0</v>
      </c>
      <c r="AX16" s="344">
        <f t="shared" si="6"/>
        <v>0</v>
      </c>
      <c r="AY16" s="344">
        <f t="shared" si="6"/>
        <v>0</v>
      </c>
      <c r="AZ16" s="344">
        <f t="shared" si="6"/>
        <v>0</v>
      </c>
    </row>
    <row r="17" spans="16:52" ht="14.5" thickBot="1" x14ac:dyDescent="0.4">
      <c r="P17" s="180"/>
      <c r="Q17" s="171" t="s">
        <v>3906</v>
      </c>
      <c r="R17" s="824" t="e">
        <f>Glasindustrie!R82</f>
        <v>#N/A</v>
      </c>
      <c r="S17" s="824" t="e">
        <f>Glasindustrie!S82</f>
        <v>#N/A</v>
      </c>
      <c r="T17" s="824" t="e">
        <f>Glasindustrie!T82</f>
        <v>#N/A</v>
      </c>
      <c r="U17" s="824" t="e">
        <f>Glasindustrie!U82</f>
        <v>#N/A</v>
      </c>
      <c r="V17" s="824" t="e">
        <f>Glasindustrie!V82</f>
        <v>#N/A</v>
      </c>
      <c r="W17" s="824" t="e">
        <f>Glasindustrie!W82</f>
        <v>#N/A</v>
      </c>
      <c r="X17" s="824" t="e">
        <f>Glasindustrie!X82</f>
        <v>#N/A</v>
      </c>
      <c r="Y17" s="824" t="e">
        <f>Glasindustrie!Y82</f>
        <v>#N/A</v>
      </c>
      <c r="AB17" s="204"/>
      <c r="AC17" s="204"/>
      <c r="AD17" s="204"/>
      <c r="AE17" s="346"/>
      <c r="AF17" s="346"/>
      <c r="AG17" s="346"/>
      <c r="AH17" s="346"/>
      <c r="AI17" s="346"/>
      <c r="AJ17" s="346"/>
      <c r="AK17" s="346"/>
      <c r="AL17" s="346"/>
      <c r="AQ17" s="8"/>
      <c r="AR17" s="34"/>
      <c r="AS17" s="34"/>
      <c r="AT17" s="34"/>
      <c r="AU17" s="34"/>
      <c r="AV17" s="34"/>
      <c r="AW17" s="34"/>
      <c r="AX17" s="34"/>
      <c r="AY17" s="34"/>
      <c r="AZ17" s="34"/>
    </row>
    <row r="18" spans="16:52" x14ac:dyDescent="0.35">
      <c r="P18" s="180"/>
      <c r="Q18" s="171" t="s">
        <v>3907</v>
      </c>
      <c r="R18" s="824" t="e">
        <f>Glasindustrie!R33</f>
        <v>#N/A</v>
      </c>
      <c r="S18" s="824" t="e">
        <f>Glasindustrie!S33</f>
        <v>#N/A</v>
      </c>
      <c r="T18" s="824" t="e">
        <f>Glasindustrie!T33</f>
        <v>#N/A</v>
      </c>
      <c r="U18" s="824" t="e">
        <f>Glasindustrie!U33</f>
        <v>#N/A</v>
      </c>
      <c r="V18" s="824" t="e">
        <f>Glasindustrie!V33</f>
        <v>#N/A</v>
      </c>
      <c r="W18" s="824" t="e">
        <f>Glasindustrie!W33</f>
        <v>#N/A</v>
      </c>
      <c r="X18" s="824" t="e">
        <f>Glasindustrie!X33</f>
        <v>#N/A</v>
      </c>
      <c r="Y18" s="824" t="e">
        <f>Glasindustrie!Y33</f>
        <v>#N/A</v>
      </c>
      <c r="AD18" s="199"/>
      <c r="AE18" s="6"/>
      <c r="AF18" s="6"/>
      <c r="AG18" s="6"/>
      <c r="AH18" s="6"/>
      <c r="AI18" s="6"/>
      <c r="AJ18" s="6"/>
      <c r="AK18" s="6"/>
      <c r="AL18" s="6"/>
    </row>
    <row r="19" spans="16:52" x14ac:dyDescent="0.35">
      <c r="P19" s="178" t="s">
        <v>165</v>
      </c>
      <c r="Q19" s="174" t="s">
        <v>1644</v>
      </c>
      <c r="R19" s="174" t="e">
        <f>VLOOKUP($P19,flows!$A$2:$J$4985,R$2,FALSE)</f>
        <v>#N/A</v>
      </c>
      <c r="S19" s="174" t="e">
        <f>VLOOKUP($P19,flows!$A$2:$J$4985,S$2,FALSE)</f>
        <v>#N/A</v>
      </c>
      <c r="T19" s="174" t="e">
        <f>VLOOKUP($P19,flows!$A$2:$J$4985,T$2,FALSE)</f>
        <v>#N/A</v>
      </c>
      <c r="U19" s="174" t="e">
        <f>VLOOKUP($P19,flows!$A$2:$J$4985,U$2,FALSE)</f>
        <v>#N/A</v>
      </c>
      <c r="V19" s="174" t="e">
        <f>VLOOKUP($P19,flows!$A$2:$J$4985,V$2,FALSE)</f>
        <v>#N/A</v>
      </c>
      <c r="W19" s="174" t="e">
        <f>VLOOKUP($P19,flows!$A$2:$J$4985,W$2,FALSE)</f>
        <v>#N/A</v>
      </c>
      <c r="X19" s="174" t="e">
        <f>VLOOKUP($P19,flows!$A$2:$J$4985,X$2,FALSE)</f>
        <v>#N/A</v>
      </c>
      <c r="Y19" s="174" t="e">
        <f>VLOOKUP($P19,flows!$A$2:$J$4985,Y$2,FALSE)</f>
        <v>#N/A</v>
      </c>
      <c r="AB19" s="5"/>
      <c r="AC19" s="6" t="s">
        <v>1229</v>
      </c>
      <c r="AD19" s="199"/>
      <c r="AE19" s="6" t="e">
        <f>SUM(AE4:AE16)</f>
        <v>#N/A</v>
      </c>
      <c r="AF19" s="344" t="e">
        <f t="shared" ref="AF19:AL19" si="7">SUM(AF4:AF16)</f>
        <v>#N/A</v>
      </c>
      <c r="AG19" s="344" t="e">
        <f t="shared" si="7"/>
        <v>#N/A</v>
      </c>
      <c r="AH19" s="344" t="e">
        <f t="shared" si="7"/>
        <v>#N/A</v>
      </c>
      <c r="AI19" s="344" t="e">
        <f>SUM(AI4:AI16)</f>
        <v>#N/A</v>
      </c>
      <c r="AJ19" s="344" t="e">
        <f t="shared" si="7"/>
        <v>#N/A</v>
      </c>
      <c r="AK19" s="344" t="e">
        <f t="shared" si="7"/>
        <v>#N/A</v>
      </c>
      <c r="AL19" s="344" t="e">
        <f t="shared" si="7"/>
        <v>#N/A</v>
      </c>
    </row>
    <row r="20" spans="16:52" ht="14.5" thickBot="1" x14ac:dyDescent="0.4">
      <c r="P20" s="180" t="s">
        <v>166</v>
      </c>
      <c r="Q20" s="171" t="s">
        <v>1781</v>
      </c>
      <c r="R20" s="171" t="e">
        <f>VLOOKUP($P20,flows!$A$2:$J$4985,R$2,FALSE)</f>
        <v>#N/A</v>
      </c>
      <c r="S20" s="171" t="e">
        <f>VLOOKUP($P20,flows!$A$2:$J$4985,S$2,FALSE)</f>
        <v>#N/A</v>
      </c>
      <c r="T20" s="171" t="e">
        <f>VLOOKUP($P20,flows!$A$2:$J$4985,T$2,FALSE)</f>
        <v>#N/A</v>
      </c>
      <c r="U20" s="171" t="e">
        <f>VLOOKUP($P20,flows!$A$2:$J$4985,U$2,FALSE)</f>
        <v>#N/A</v>
      </c>
      <c r="V20" s="171" t="e">
        <f>VLOOKUP($P20,flows!$A$2:$J$4985,V$2,FALSE)</f>
        <v>#N/A</v>
      </c>
      <c r="W20" s="171" t="e">
        <f>VLOOKUP($P20,flows!$A$2:$J$4985,W$2,FALSE)</f>
        <v>#N/A</v>
      </c>
      <c r="X20" s="171" t="e">
        <f>VLOOKUP($P20,flows!$A$2:$J$4985,X$2,FALSE)</f>
        <v>#N/A</v>
      </c>
      <c r="Y20" s="171" t="e">
        <f>VLOOKUP($P20,flows!$A$2:$J$4985,Y$2,FALSE)</f>
        <v>#N/A</v>
      </c>
      <c r="AB20" s="8"/>
      <c r="AC20" s="34"/>
      <c r="AD20" s="211"/>
      <c r="AE20" s="34"/>
      <c r="AF20" s="34"/>
      <c r="AG20" s="34"/>
      <c r="AH20" s="34"/>
      <c r="AI20" s="34"/>
      <c r="AJ20" s="34"/>
      <c r="AK20" s="34"/>
      <c r="AL20" s="34"/>
    </row>
    <row r="21" spans="16:52" x14ac:dyDescent="0.35">
      <c r="P21" s="178" t="s">
        <v>167</v>
      </c>
      <c r="Q21" s="174" t="s">
        <v>1645</v>
      </c>
      <c r="R21" s="174" t="e">
        <f>VLOOKUP($P21,flows!$A$2:$J$4985,R$2,FALSE)</f>
        <v>#N/A</v>
      </c>
      <c r="S21" s="174" t="e">
        <f>VLOOKUP($P21,flows!$A$2:$J$4985,S$2,FALSE)</f>
        <v>#N/A</v>
      </c>
      <c r="T21" s="174" t="e">
        <f>VLOOKUP($P21,flows!$A$2:$J$4985,T$2,FALSE)</f>
        <v>#N/A</v>
      </c>
      <c r="U21" s="174" t="e">
        <f>VLOOKUP($P21,flows!$A$2:$J$4985,U$2,FALSE)</f>
        <v>#N/A</v>
      </c>
      <c r="V21" s="174" t="e">
        <f>VLOOKUP($P21,flows!$A$2:$J$4985,V$2,FALSE)</f>
        <v>#N/A</v>
      </c>
      <c r="W21" s="174" t="e">
        <f>VLOOKUP($P21,flows!$A$2:$J$4985,W$2,FALSE)</f>
        <v>#N/A</v>
      </c>
      <c r="X21" s="174" t="e">
        <f>VLOOKUP($P21,flows!$A$2:$J$4985,X$2,FALSE)</f>
        <v>#N/A</v>
      </c>
      <c r="Y21" s="174" t="e">
        <f>VLOOKUP($P21,flows!$A$2:$J$4985,Y$2,FALSE)</f>
        <v>#N/A</v>
      </c>
    </row>
    <row r="22" spans="16:52" x14ac:dyDescent="0.35">
      <c r="P22" s="178" t="s">
        <v>168</v>
      </c>
      <c r="Q22" s="174" t="s">
        <v>13</v>
      </c>
      <c r="R22" s="174" t="e">
        <f>VLOOKUP($P22,flows!$A$2:$J$4985,R$2,FALSE)</f>
        <v>#N/A</v>
      </c>
      <c r="S22" s="174" t="e">
        <f>VLOOKUP($P22,flows!$A$2:$J$4985,S$2,FALSE)</f>
        <v>#N/A</v>
      </c>
      <c r="T22" s="174" t="e">
        <f>VLOOKUP($P22,flows!$A$2:$J$4985,T$2,FALSE)</f>
        <v>#N/A</v>
      </c>
      <c r="U22" s="174" t="e">
        <f>VLOOKUP($P22,flows!$A$2:$J$4985,U$2,FALSE)</f>
        <v>#N/A</v>
      </c>
      <c r="V22" s="174" t="e">
        <f>VLOOKUP($P22,flows!$A$2:$J$4985,V$2,FALSE)</f>
        <v>#N/A</v>
      </c>
      <c r="W22" s="174" t="e">
        <f>VLOOKUP($P22,flows!$A$2:$J$4985,W$2,FALSE)</f>
        <v>#N/A</v>
      </c>
      <c r="X22" s="174" t="e">
        <f>VLOOKUP($P22,flows!$A$2:$J$4985,X$2,FALSE)</f>
        <v>#N/A</v>
      </c>
      <c r="Y22" s="174" t="e">
        <f>VLOOKUP($P22,flows!$A$2:$J$4985,Y$2,FALSE)</f>
        <v>#N/A</v>
      </c>
    </row>
    <row r="23" spans="16:52" x14ac:dyDescent="0.35">
      <c r="P23" s="178" t="s">
        <v>4246</v>
      </c>
      <c r="Q23" s="174" t="s">
        <v>4378</v>
      </c>
      <c r="R23" s="174" t="e">
        <f>VLOOKUP($P23,flows!$A$2:$J$4985,R$2,FALSE)</f>
        <v>#N/A</v>
      </c>
      <c r="S23" s="174" t="e">
        <f>VLOOKUP($P23,flows!$A$2:$J$4985,S$2,FALSE)</f>
        <v>#N/A</v>
      </c>
      <c r="T23" s="174" t="e">
        <f>VLOOKUP($P23,flows!$A$2:$J$4985,T$2,FALSE)</f>
        <v>#N/A</v>
      </c>
      <c r="U23" s="174" t="e">
        <f>VLOOKUP($P23,flows!$A$2:$J$4985,U$2,FALSE)</f>
        <v>#N/A</v>
      </c>
      <c r="V23" s="174" t="e">
        <f>VLOOKUP($P23,flows!$A$2:$J$4985,V$2,FALSE)</f>
        <v>#N/A</v>
      </c>
      <c r="W23" s="174" t="e">
        <f>VLOOKUP($P23,flows!$A$2:$J$4985,W$2,FALSE)</f>
        <v>#N/A</v>
      </c>
      <c r="X23" s="174" t="e">
        <f>VLOOKUP($P23,flows!$A$2:$J$4985,X$2,FALSE)</f>
        <v>#N/A</v>
      </c>
      <c r="Y23" s="174" t="e">
        <f>VLOOKUP($P23,flows!$A$2:$J$4985,Y$2,FALSE)</f>
        <v>#N/A</v>
      </c>
    </row>
    <row r="24" spans="16:52" x14ac:dyDescent="0.35">
      <c r="P24" s="179" t="s">
        <v>169</v>
      </c>
      <c r="Q24" s="177" t="s">
        <v>1305</v>
      </c>
      <c r="R24" s="176" t="e">
        <f>VLOOKUP($P24,flows!$A$2:$J$4985,R$2,FALSE)</f>
        <v>#N/A</v>
      </c>
      <c r="S24" s="176" t="e">
        <f>VLOOKUP($P24,flows!$A$2:$J$4985,S$2,FALSE)</f>
        <v>#N/A</v>
      </c>
      <c r="T24" s="176" t="e">
        <f>VLOOKUP($P24,flows!$A$2:$J$4985,T$2,FALSE)</f>
        <v>#N/A</v>
      </c>
      <c r="U24" s="176" t="e">
        <f>VLOOKUP($P24,flows!$A$2:$J$4985,U$2,FALSE)</f>
        <v>#N/A</v>
      </c>
      <c r="V24" s="176" t="e">
        <f>VLOOKUP($P24,flows!$A$2:$J$4985,V$2,FALSE)</f>
        <v>#N/A</v>
      </c>
      <c r="W24" s="176" t="e">
        <f>VLOOKUP($P24,flows!$A$2:$J$4985,W$2,FALSE)</f>
        <v>#N/A</v>
      </c>
      <c r="X24" s="176" t="e">
        <f>VLOOKUP($P24,flows!$A$2:$J$4985,X$2,FALSE)</f>
        <v>#N/A</v>
      </c>
      <c r="Y24" s="176" t="e">
        <f>VLOOKUP($P24,flows!$A$2:$J$4985,Y$2,FALSE)</f>
        <v>#N/A</v>
      </c>
    </row>
    <row r="25" spans="16:52" x14ac:dyDescent="0.35">
      <c r="P25" s="180" t="s">
        <v>2473</v>
      </c>
      <c r="Q25" s="171" t="s">
        <v>2575</v>
      </c>
      <c r="R25" s="171" t="e">
        <f>VLOOKUP($P25,flows!$A$2:$J$4985,R$2,FALSE)</f>
        <v>#N/A</v>
      </c>
      <c r="S25" s="171" t="e">
        <f>VLOOKUP($P25,flows!$A$2:$J$4985,S$2,FALSE)</f>
        <v>#N/A</v>
      </c>
      <c r="T25" s="171" t="e">
        <f>VLOOKUP($P25,flows!$A$2:$J$4985,T$2,FALSE)</f>
        <v>#N/A</v>
      </c>
      <c r="U25" s="171" t="e">
        <f>VLOOKUP($P25,flows!$A$2:$J$4985,U$2,FALSE)</f>
        <v>#N/A</v>
      </c>
      <c r="V25" s="171" t="e">
        <f>VLOOKUP($P25,flows!$A$2:$J$4985,V$2,FALSE)</f>
        <v>#N/A</v>
      </c>
      <c r="W25" s="171" t="e">
        <f>VLOOKUP($P25,flows!$A$2:$J$4985,W$2,FALSE)</f>
        <v>#N/A</v>
      </c>
      <c r="X25" s="171" t="e">
        <f>VLOOKUP($P25,flows!$A$2:$J$4985,X$2,FALSE)</f>
        <v>#N/A</v>
      </c>
      <c r="Y25" s="171" t="e">
        <f>VLOOKUP($P25,flows!$A$2:$J$4985,Y$2,FALSE)</f>
        <v>#N/A</v>
      </c>
    </row>
    <row r="26" spans="16:52" x14ac:dyDescent="0.35">
      <c r="P26" s="180" t="s">
        <v>2472</v>
      </c>
      <c r="Q26" s="171" t="s">
        <v>2576</v>
      </c>
      <c r="R26" s="171" t="e">
        <f>VLOOKUP($P26,flows!$A$2:$J$4985,R$2,FALSE)</f>
        <v>#N/A</v>
      </c>
      <c r="S26" s="171" t="e">
        <f>VLOOKUP($P26,flows!$A$2:$J$4985,S$2,FALSE)</f>
        <v>#N/A</v>
      </c>
      <c r="T26" s="171" t="e">
        <f>VLOOKUP($P26,flows!$A$2:$J$4985,T$2,FALSE)</f>
        <v>#N/A</v>
      </c>
      <c r="U26" s="171" t="e">
        <f>VLOOKUP($P26,flows!$A$2:$J$4985,U$2,FALSE)</f>
        <v>#N/A</v>
      </c>
      <c r="V26" s="171" t="e">
        <f>VLOOKUP($P26,flows!$A$2:$J$4985,V$2,FALSE)</f>
        <v>#N/A</v>
      </c>
      <c r="W26" s="171" t="e">
        <f>VLOOKUP($P26,flows!$A$2:$J$4985,W$2,FALSE)</f>
        <v>#N/A</v>
      </c>
      <c r="X26" s="171" t="e">
        <f>VLOOKUP($P26,flows!$A$2:$J$4985,X$2,FALSE)</f>
        <v>#N/A</v>
      </c>
      <c r="Y26" s="171" t="e">
        <f>VLOOKUP($P26,flows!$A$2:$J$4985,Y$2,FALSE)</f>
        <v>#N/A</v>
      </c>
    </row>
    <row r="27" spans="16:52" x14ac:dyDescent="0.35">
      <c r="P27" s="178" t="s">
        <v>170</v>
      </c>
      <c r="Q27" s="174" t="s">
        <v>14</v>
      </c>
      <c r="R27" s="174" t="e">
        <f>VLOOKUP($P27,flows!$A$2:$J$4985,R$2,FALSE)</f>
        <v>#N/A</v>
      </c>
      <c r="S27" s="174" t="e">
        <f>VLOOKUP($P27,flows!$A$2:$J$4985,S$2,FALSE)</f>
        <v>#N/A</v>
      </c>
      <c r="T27" s="174" t="e">
        <f>VLOOKUP($P27,flows!$A$2:$J$4985,T$2,FALSE)</f>
        <v>#N/A</v>
      </c>
      <c r="U27" s="174" t="e">
        <f>VLOOKUP($P27,flows!$A$2:$J$4985,U$2,FALSE)</f>
        <v>#N/A</v>
      </c>
      <c r="V27" s="174" t="e">
        <f>VLOOKUP($P27,flows!$A$2:$J$4985,V$2,FALSE)</f>
        <v>#N/A</v>
      </c>
      <c r="W27" s="174" t="e">
        <f>VLOOKUP($P27,flows!$A$2:$J$4985,W$2,FALSE)</f>
        <v>#N/A</v>
      </c>
      <c r="X27" s="174" t="e">
        <f>VLOOKUP($P27,flows!$A$2:$J$4985,X$2,FALSE)</f>
        <v>#N/A</v>
      </c>
      <c r="Y27" s="174" t="e">
        <f>VLOOKUP($P27,flows!$A$2:$J$4985,Y$2,FALSE)</f>
        <v>#N/A</v>
      </c>
    </row>
    <row r="28" spans="16:52" x14ac:dyDescent="0.35">
      <c r="P28" s="380" t="s">
        <v>171</v>
      </c>
      <c r="Q28" s="381" t="s">
        <v>1782</v>
      </c>
      <c r="R28" s="381" t="e">
        <f>VLOOKUP($P28,flows!$A$2:$J$4985,R$2,FALSE)</f>
        <v>#N/A</v>
      </c>
      <c r="S28" s="381" t="e">
        <f>VLOOKUP($P28,flows!$A$2:$J$4985,S$2,FALSE)</f>
        <v>#N/A</v>
      </c>
      <c r="T28" s="381" t="e">
        <f>VLOOKUP($P28,flows!$A$2:$J$4985,T$2,FALSE)</f>
        <v>#N/A</v>
      </c>
      <c r="U28" s="381" t="e">
        <f>VLOOKUP($P28,flows!$A$2:$J$4985,U$2,FALSE)</f>
        <v>#N/A</v>
      </c>
      <c r="V28" s="381" t="e">
        <f>VLOOKUP($P28,flows!$A$2:$J$4985,V$2,FALSE)</f>
        <v>#N/A</v>
      </c>
      <c r="W28" s="381" t="e">
        <f>VLOOKUP($P28,flows!$A$2:$J$4985,W$2,FALSE)</f>
        <v>#N/A</v>
      </c>
      <c r="X28" s="381" t="e">
        <f>VLOOKUP($P28,flows!$A$2:$J$4985,X$2,FALSE)</f>
        <v>#N/A</v>
      </c>
      <c r="Y28" s="381" t="e">
        <f>VLOOKUP($P28,flows!$A$2:$J$4985,Y$2,FALSE)</f>
        <v>#N/A</v>
      </c>
    </row>
    <row r="29" spans="16:52" x14ac:dyDescent="0.35">
      <c r="P29" s="178" t="s">
        <v>2474</v>
      </c>
      <c r="Q29" s="174" t="s">
        <v>2572</v>
      </c>
      <c r="R29" s="174" t="e">
        <f>VLOOKUP($P29,flows!$A$2:$J$4985,R$2,FALSE)</f>
        <v>#N/A</v>
      </c>
      <c r="S29" s="174" t="e">
        <f>VLOOKUP($P29,flows!$A$2:$J$4985,S$2,FALSE)</f>
        <v>#N/A</v>
      </c>
      <c r="T29" s="174" t="e">
        <f>VLOOKUP($P29,flows!$A$2:$J$4985,T$2,FALSE)</f>
        <v>#N/A</v>
      </c>
      <c r="U29" s="174" t="e">
        <f>VLOOKUP($P29,flows!$A$2:$J$4985,U$2,FALSE)</f>
        <v>#N/A</v>
      </c>
      <c r="V29" s="174" t="e">
        <f>VLOOKUP($P29,flows!$A$2:$J$4985,V$2,FALSE)</f>
        <v>#N/A</v>
      </c>
      <c r="W29" s="174" t="e">
        <f>VLOOKUP($P29,flows!$A$2:$J$4985,W$2,FALSE)</f>
        <v>#N/A</v>
      </c>
      <c r="X29" s="174" t="e">
        <f>VLOOKUP($P29,flows!$A$2:$J$4985,X$2,FALSE)</f>
        <v>#N/A</v>
      </c>
      <c r="Y29" s="174" t="e">
        <f>VLOOKUP($P29,flows!$A$2:$J$4985,Y$2,FALSE)</f>
        <v>#N/A</v>
      </c>
    </row>
    <row r="30" spans="16:52" x14ac:dyDescent="0.35">
      <c r="P30" s="180" t="s">
        <v>4303</v>
      </c>
      <c r="Q30" s="171" t="s">
        <v>2573</v>
      </c>
      <c r="R30" s="171">
        <f>VLOOKUP($P30,flows!$A$2:$J$4985,R$2,FALSE)</f>
        <v>1327.499701174271</v>
      </c>
      <c r="S30" s="171">
        <f>VLOOKUP($P30,flows!$A$2:$J$4985,S$2,FALSE)</f>
        <v>15048.089657532269</v>
      </c>
      <c r="T30" s="171">
        <f>VLOOKUP($P30,flows!$A$2:$J$4985,T$2,FALSE)</f>
        <v>16226.034049588799</v>
      </c>
      <c r="U30" s="171">
        <f>VLOOKUP($P30,flows!$A$2:$J$4985,U$2,FALSE)</f>
        <v>15405.04917850946</v>
      </c>
      <c r="V30" s="171">
        <f>VLOOKUP($P30,flows!$A$2:$J$4985,V$2,FALSE)</f>
        <v>12453.17451525314</v>
      </c>
      <c r="W30" s="171">
        <f>VLOOKUP($P30,flows!$A$2:$J$4985,W$2,FALSE)</f>
        <v>5147.8333350546627</v>
      </c>
      <c r="X30" s="171">
        <f>VLOOKUP($P30,flows!$A$2:$J$4985,X$2,FALSE)</f>
        <v>1327.485688405879</v>
      </c>
      <c r="Y30" s="171">
        <f>VLOOKUP($P30,flows!$A$2:$J$4985,Y$2,FALSE)</f>
        <v>0</v>
      </c>
    </row>
    <row r="31" spans="16:52" x14ac:dyDescent="0.35">
      <c r="P31" s="180" t="s">
        <v>4293</v>
      </c>
      <c r="Q31" s="171" t="s">
        <v>2574</v>
      </c>
      <c r="R31" s="171">
        <f>VLOOKUP($P31,flows!$A$2:$J$4985,R$2,FALSE)</f>
        <v>15886.69895914054</v>
      </c>
      <c r="S31" s="171">
        <f>VLOOKUP($P31,flows!$A$2:$J$4985,S$2,FALSE)</f>
        <v>4557.5414327415228</v>
      </c>
      <c r="T31" s="171">
        <f>VLOOKUP($P31,flows!$A$2:$J$4985,T$2,FALSE)</f>
        <v>5127.0050497940692</v>
      </c>
      <c r="U31" s="171">
        <f>VLOOKUP($P31,flows!$A$2:$J$4985,U$2,FALSE)</f>
        <v>26012.246016510489</v>
      </c>
      <c r="V31" s="171">
        <f>VLOOKUP($P31,flows!$A$2:$J$4985,V$2,FALSE)</f>
        <v>62117.568804889161</v>
      </c>
      <c r="W31" s="171">
        <f>VLOOKUP($P31,flows!$A$2:$J$4985,W$2,FALSE)</f>
        <v>122117.9383480804</v>
      </c>
      <c r="X31" s="171">
        <f>VLOOKUP($P31,flows!$A$2:$J$4985,X$2,FALSE)</f>
        <v>15661.179898431221</v>
      </c>
      <c r="Y31" s="171">
        <f>VLOOKUP($P31,flows!$A$2:$J$4985,Y$2,FALSE)</f>
        <v>0</v>
      </c>
    </row>
    <row r="32" spans="16:52" x14ac:dyDescent="0.35">
      <c r="P32" s="180" t="s">
        <v>2963</v>
      </c>
      <c r="Q32" s="344"/>
      <c r="R32" s="171">
        <f>VLOOKUP($P32,flows!$A$2:$J$4985,R$2,FALSE)</f>
        <v>5.2090263070617267E-2</v>
      </c>
      <c r="S32" s="171">
        <f>VLOOKUP($P32,flows!$A$2:$J$4985,S$2,FALSE)</f>
        <v>18459.13312967023</v>
      </c>
      <c r="T32" s="171">
        <f>VLOOKUP($P32,flows!$A$2:$J$4985,T$2,FALSE)</f>
        <v>20909.604965384518</v>
      </c>
      <c r="U32" s="171">
        <f>VLOOKUP($P32,flows!$A$2:$J$4985,U$2,FALSE)</f>
        <v>8199.5814038235894</v>
      </c>
      <c r="V32" s="171">
        <f>VLOOKUP($P32,flows!$A$2:$J$4985,V$2,FALSE)</f>
        <v>765.87913030661878</v>
      </c>
      <c r="W32" s="171">
        <f>VLOOKUP($P32,flows!$A$2:$J$4985,W$2,FALSE)</f>
        <v>3657.874838557133</v>
      </c>
      <c r="X32" s="171">
        <f>VLOOKUP($P32,flows!$A$2:$J$4985,X$2,FALSE)</f>
        <v>2.8714420488176712E-4</v>
      </c>
      <c r="Y32" s="171">
        <f>VLOOKUP($P32,flows!$A$2:$J$4985,Y$2,FALSE)</f>
        <v>0</v>
      </c>
    </row>
    <row r="33" spans="16:25" x14ac:dyDescent="0.35">
      <c r="P33" s="180" t="s">
        <v>2964</v>
      </c>
      <c r="Q33" s="344"/>
      <c r="R33" s="171">
        <f>VLOOKUP($P33,flows!$A$2:$J$4985,R$2,FALSE)</f>
        <v>5.1872406854841693E-2</v>
      </c>
      <c r="S33" s="171">
        <f>VLOOKUP($P33,flows!$A$2:$J$4985,S$2,FALSE)</f>
        <v>5225.941373157103</v>
      </c>
      <c r="T33" s="171">
        <f>VLOOKUP($P33,flows!$A$2:$J$4985,T$2,FALSE)</f>
        <v>4614.8026660096066</v>
      </c>
      <c r="U33" s="171">
        <f>VLOOKUP($P33,flows!$A$2:$J$4985,U$2,FALSE)</f>
        <v>1049.75718761077</v>
      </c>
      <c r="V33" s="171">
        <f>VLOOKUP($P33,flows!$A$2:$J$4985,V$2,FALSE)</f>
        <v>25.564910906472079</v>
      </c>
      <c r="W33" s="171">
        <f>VLOOKUP($P33,flows!$A$2:$J$4985,W$2,FALSE)</f>
        <v>11.217998058961919</v>
      </c>
      <c r="X33" s="171">
        <f>VLOOKUP($P33,flows!$A$2:$J$4985,X$2,FALSE)</f>
        <v>2.898188296573404E-4</v>
      </c>
      <c r="Y33" s="171">
        <f>VLOOKUP($P33,flows!$A$2:$J$4985,Y$2,FALSE)</f>
        <v>0</v>
      </c>
    </row>
    <row r="34" spans="16:25" x14ac:dyDescent="0.35">
      <c r="P34" s="343"/>
      <c r="Q34" s="344"/>
      <c r="R34" s="344"/>
      <c r="S34" s="344"/>
      <c r="T34" s="344"/>
      <c r="U34" s="344"/>
      <c r="V34" s="344"/>
      <c r="W34" s="344"/>
      <c r="X34" s="344"/>
      <c r="Y34" s="344"/>
    </row>
    <row r="35" spans="16:25" x14ac:dyDescent="0.35">
      <c r="P35" s="343"/>
      <c r="Q35" s="344"/>
      <c r="R35" s="344"/>
      <c r="S35" s="344"/>
      <c r="T35" s="344"/>
      <c r="U35" s="344"/>
      <c r="V35" s="344"/>
      <c r="W35" s="344"/>
      <c r="X35" s="344"/>
      <c r="Y35" s="344"/>
    </row>
    <row r="36" spans="16:25" x14ac:dyDescent="0.35">
      <c r="P36" s="343"/>
      <c r="Q36" s="344"/>
      <c r="R36" s="344"/>
      <c r="S36" s="344"/>
      <c r="T36" s="344"/>
      <c r="U36" s="344"/>
      <c r="V36" s="344"/>
      <c r="W36" s="344"/>
      <c r="X36" s="344"/>
      <c r="Y36" s="344"/>
    </row>
    <row r="37" spans="16:25" x14ac:dyDescent="0.35">
      <c r="P37" s="5"/>
      <c r="Q37" s="6"/>
      <c r="R37" s="6"/>
      <c r="S37" s="6"/>
      <c r="T37" s="6"/>
      <c r="U37" s="6"/>
      <c r="V37" s="6"/>
      <c r="W37" s="6"/>
      <c r="X37" s="6"/>
      <c r="Y37" s="6"/>
    </row>
    <row r="38" spans="16:25" x14ac:dyDescent="0.35">
      <c r="P38" s="5" t="s">
        <v>1165</v>
      </c>
      <c r="Q38" s="6" t="s">
        <v>1165</v>
      </c>
      <c r="R38" s="6" t="e">
        <f>R28</f>
        <v>#N/A</v>
      </c>
      <c r="S38" s="199" t="e">
        <f t="shared" ref="S38:Y38" si="8">S28</f>
        <v>#N/A</v>
      </c>
      <c r="T38" s="199" t="e">
        <f t="shared" si="8"/>
        <v>#N/A</v>
      </c>
      <c r="U38" s="199" t="e">
        <f t="shared" si="8"/>
        <v>#N/A</v>
      </c>
      <c r="V38" s="199" t="e">
        <f t="shared" si="8"/>
        <v>#N/A</v>
      </c>
      <c r="W38" s="199" t="e">
        <f t="shared" si="8"/>
        <v>#N/A</v>
      </c>
      <c r="X38" s="199" t="e">
        <f t="shared" si="8"/>
        <v>#N/A</v>
      </c>
      <c r="Y38" s="199" t="e">
        <f t="shared" si="8"/>
        <v>#N/A</v>
      </c>
    </row>
    <row r="39" spans="16:25" x14ac:dyDescent="0.35">
      <c r="P39" s="5" t="s">
        <v>1528</v>
      </c>
      <c r="Q39" s="6" t="s">
        <v>1164</v>
      </c>
      <c r="R39" s="337" t="e">
        <f t="shared" ref="R39:Y39" si="9">R11+R15+R24+R10</f>
        <v>#N/A</v>
      </c>
      <c r="S39" s="54" t="e">
        <f t="shared" si="9"/>
        <v>#N/A</v>
      </c>
      <c r="T39" s="54" t="e">
        <f t="shared" si="9"/>
        <v>#N/A</v>
      </c>
      <c r="U39" s="54" t="e">
        <f t="shared" si="9"/>
        <v>#N/A</v>
      </c>
      <c r="V39" s="54" t="e">
        <f t="shared" si="9"/>
        <v>#N/A</v>
      </c>
      <c r="W39" s="54" t="e">
        <f t="shared" si="9"/>
        <v>#N/A</v>
      </c>
      <c r="X39" s="54" t="e">
        <f t="shared" si="9"/>
        <v>#N/A</v>
      </c>
      <c r="Y39" s="54" t="e">
        <f t="shared" si="9"/>
        <v>#N/A</v>
      </c>
    </row>
    <row r="40" spans="16:25" x14ac:dyDescent="0.35">
      <c r="P40" s="5" t="s">
        <v>1468</v>
      </c>
      <c r="Q40" s="6" t="s">
        <v>1166</v>
      </c>
      <c r="R40" s="54" t="e">
        <f>R4+R9+R12+R20+R25+R26+R8+SUM(R16:R18)+R32+R33</f>
        <v>#N/A</v>
      </c>
      <c r="S40" s="54" t="e">
        <f t="shared" ref="S40:Y40" si="10">S4+S9+S12+S20+S25+S26+S8+SUM(S16:S18)+S32+S33</f>
        <v>#N/A</v>
      </c>
      <c r="T40" s="54" t="e">
        <f t="shared" si="10"/>
        <v>#N/A</v>
      </c>
      <c r="U40" s="54" t="e">
        <f t="shared" si="10"/>
        <v>#N/A</v>
      </c>
      <c r="V40" s="54" t="e">
        <f t="shared" si="10"/>
        <v>#N/A</v>
      </c>
      <c r="W40" s="54" t="e">
        <f t="shared" si="10"/>
        <v>#N/A</v>
      </c>
      <c r="X40" s="54" t="e">
        <f t="shared" si="10"/>
        <v>#N/A</v>
      </c>
      <c r="Y40" s="54" t="e">
        <f t="shared" si="10"/>
        <v>#N/A</v>
      </c>
    </row>
    <row r="41" spans="16:25" x14ac:dyDescent="0.35">
      <c r="P41" s="343" t="s">
        <v>4379</v>
      </c>
      <c r="Q41" s="344" t="s">
        <v>4380</v>
      </c>
      <c r="R41" s="54">
        <f>SUM(R30:R31)</f>
        <v>17214.198660314811</v>
      </c>
      <c r="S41" s="54">
        <f t="shared" ref="S41:Y41" si="11">SUM(S30:S31)</f>
        <v>19605.631090273793</v>
      </c>
      <c r="T41" s="54">
        <f t="shared" si="11"/>
        <v>21353.03909938287</v>
      </c>
      <c r="U41" s="54">
        <f t="shared" si="11"/>
        <v>41417.295195019949</v>
      </c>
      <c r="V41" s="54">
        <f t="shared" si="11"/>
        <v>74570.743320142297</v>
      </c>
      <c r="W41" s="54">
        <f t="shared" si="11"/>
        <v>127265.77168313506</v>
      </c>
      <c r="X41" s="54">
        <f t="shared" si="11"/>
        <v>16988.665586837102</v>
      </c>
      <c r="Y41" s="54">
        <f t="shared" si="11"/>
        <v>0</v>
      </c>
    </row>
    <row r="42" spans="16:25" x14ac:dyDescent="0.35">
      <c r="P42" s="5" t="s">
        <v>1527</v>
      </c>
      <c r="Q42" s="6" t="s">
        <v>1163</v>
      </c>
      <c r="R42" s="6" t="e">
        <f t="shared" ref="R42:Y42" si="12">R5+R6+R13+R14+R19+R21+R22+R27+R29+R23</f>
        <v>#N/A</v>
      </c>
      <c r="S42" s="344" t="e">
        <f t="shared" si="12"/>
        <v>#N/A</v>
      </c>
      <c r="T42" s="344" t="e">
        <f t="shared" si="12"/>
        <v>#N/A</v>
      </c>
      <c r="U42" s="344" t="e">
        <f t="shared" si="12"/>
        <v>#N/A</v>
      </c>
      <c r="V42" s="344" t="e">
        <f t="shared" si="12"/>
        <v>#N/A</v>
      </c>
      <c r="W42" s="344" t="e">
        <f t="shared" si="12"/>
        <v>#N/A</v>
      </c>
      <c r="X42" s="344" t="e">
        <f t="shared" si="12"/>
        <v>#N/A</v>
      </c>
      <c r="Y42" s="344" t="e">
        <f t="shared" si="12"/>
        <v>#N/A</v>
      </c>
    </row>
    <row r="43" spans="16:25" x14ac:dyDescent="0.35">
      <c r="P43" s="5"/>
      <c r="Q43" s="6"/>
      <c r="R43" s="6"/>
      <c r="S43" s="6"/>
      <c r="T43" s="6"/>
      <c r="U43" s="6"/>
      <c r="V43" s="6"/>
      <c r="W43" s="6"/>
      <c r="X43" s="6"/>
      <c r="Y43" s="6"/>
    </row>
    <row r="44" spans="16:25" ht="14.5" thickBot="1" x14ac:dyDescent="0.4">
      <c r="P44" s="8"/>
      <c r="Q44" s="34" t="s">
        <v>1229</v>
      </c>
      <c r="R44" s="34" t="e">
        <f>SUM(R38:R42)</f>
        <v>#N/A</v>
      </c>
      <c r="S44" s="347" t="e">
        <f>SUM(S38:S42)</f>
        <v>#N/A</v>
      </c>
      <c r="T44" s="347" t="e">
        <f t="shared" ref="T44:Y44" si="13">SUM(T38:T42)</f>
        <v>#N/A</v>
      </c>
      <c r="U44" s="347" t="e">
        <f t="shared" si="13"/>
        <v>#N/A</v>
      </c>
      <c r="V44" s="347" t="e">
        <f t="shared" si="13"/>
        <v>#N/A</v>
      </c>
      <c r="W44" s="347" t="e">
        <f t="shared" si="13"/>
        <v>#N/A</v>
      </c>
      <c r="X44" s="347" t="e">
        <f t="shared" si="13"/>
        <v>#N/A</v>
      </c>
      <c r="Y44" s="347" t="e">
        <f t="shared" si="13"/>
        <v>#N/A</v>
      </c>
    </row>
    <row r="46" spans="16:25" x14ac:dyDescent="0.35">
      <c r="Q46" s="2" t="s">
        <v>1164</v>
      </c>
      <c r="R46" s="153" t="e">
        <f t="shared" ref="R46:Y46" si="14">R39/R44</f>
        <v>#N/A</v>
      </c>
      <c r="S46" s="153" t="e">
        <f t="shared" si="14"/>
        <v>#N/A</v>
      </c>
      <c r="T46" s="153" t="e">
        <f t="shared" si="14"/>
        <v>#N/A</v>
      </c>
      <c r="U46" s="153" t="e">
        <f t="shared" si="14"/>
        <v>#N/A</v>
      </c>
      <c r="V46" s="153" t="e">
        <f t="shared" si="14"/>
        <v>#N/A</v>
      </c>
      <c r="W46" s="153" t="e">
        <f t="shared" si="14"/>
        <v>#N/A</v>
      </c>
      <c r="X46" s="153" t="e">
        <f t="shared" si="14"/>
        <v>#N/A</v>
      </c>
      <c r="Y46" s="153" t="e">
        <f t="shared" si="14"/>
        <v>#N/A</v>
      </c>
    </row>
    <row r="47" spans="16:25" x14ac:dyDescent="0.35">
      <c r="Q47" s="2" t="s">
        <v>1166</v>
      </c>
      <c r="R47" s="153" t="e">
        <f>(R40+R41)/R44</f>
        <v>#N/A</v>
      </c>
      <c r="S47" s="153" t="e">
        <f t="shared" ref="S47:Y47" si="15">(S40+S41)/S44</f>
        <v>#N/A</v>
      </c>
      <c r="T47" s="153" t="e">
        <f t="shared" si="15"/>
        <v>#N/A</v>
      </c>
      <c r="U47" s="153" t="e">
        <f t="shared" si="15"/>
        <v>#N/A</v>
      </c>
      <c r="V47" s="153" t="e">
        <f t="shared" si="15"/>
        <v>#N/A</v>
      </c>
      <c r="W47" s="153" t="e">
        <f t="shared" si="15"/>
        <v>#N/A</v>
      </c>
      <c r="X47" s="153" t="e">
        <f t="shared" si="15"/>
        <v>#N/A</v>
      </c>
      <c r="Y47" s="153" t="e">
        <f t="shared" si="15"/>
        <v>#N/A</v>
      </c>
    </row>
    <row r="48" spans="16:25" x14ac:dyDescent="0.35">
      <c r="Q48" s="2" t="s">
        <v>1454</v>
      </c>
      <c r="R48" s="153" t="e">
        <f>R42/R44</f>
        <v>#N/A</v>
      </c>
      <c r="S48" s="153" t="e">
        <f t="shared" ref="S48:Y48" si="16">S42/S44</f>
        <v>#N/A</v>
      </c>
      <c r="T48" s="153" t="e">
        <f t="shared" si="16"/>
        <v>#N/A</v>
      </c>
      <c r="U48" s="153" t="e">
        <f t="shared" si="16"/>
        <v>#N/A</v>
      </c>
      <c r="V48" s="153" t="e">
        <f t="shared" si="16"/>
        <v>#N/A</v>
      </c>
      <c r="W48" s="153" t="e">
        <f t="shared" si="16"/>
        <v>#N/A</v>
      </c>
      <c r="X48" s="153" t="e">
        <f t="shared" si="16"/>
        <v>#N/A</v>
      </c>
      <c r="Y48" s="153" t="e">
        <f t="shared" si="16"/>
        <v>#N/A</v>
      </c>
    </row>
    <row r="54" spans="44:52" x14ac:dyDescent="0.35">
      <c r="AR54" s="2" t="s">
        <v>1454</v>
      </c>
      <c r="AS54" s="153" t="e">
        <f t="shared" ref="AS54:AZ54" si="17">AS9/AS16</f>
        <v>#DIV/0!</v>
      </c>
      <c r="AT54" s="153" t="e">
        <f t="shared" si="17"/>
        <v>#DIV/0!</v>
      </c>
      <c r="AU54" s="153" t="e">
        <f t="shared" si="17"/>
        <v>#DIV/0!</v>
      </c>
      <c r="AV54" s="153" t="e">
        <f t="shared" si="17"/>
        <v>#DIV/0!</v>
      </c>
      <c r="AW54" s="153" t="e">
        <f t="shared" si="17"/>
        <v>#DIV/0!</v>
      </c>
      <c r="AX54" s="153" t="e">
        <f t="shared" si="17"/>
        <v>#DIV/0!</v>
      </c>
      <c r="AY54" s="153" t="e">
        <f t="shared" si="17"/>
        <v>#DIV/0!</v>
      </c>
      <c r="AZ54" s="153" t="e">
        <f t="shared" si="17"/>
        <v>#DIV/0!</v>
      </c>
    </row>
    <row r="55" spans="44:52" x14ac:dyDescent="0.35">
      <c r="AR55" s="2" t="s">
        <v>1784</v>
      </c>
      <c r="AS55" s="153" t="e">
        <f>1-AS54-AS56-AS57-AS58</f>
        <v>#DIV/0!</v>
      </c>
      <c r="AT55" s="153" t="e">
        <f t="shared" ref="AT55:AZ55" si="18">1-AT54-AT56-AT57-AT58</f>
        <v>#DIV/0!</v>
      </c>
      <c r="AU55" s="153" t="e">
        <f t="shared" si="18"/>
        <v>#DIV/0!</v>
      </c>
      <c r="AV55" s="153" t="e">
        <f t="shared" si="18"/>
        <v>#DIV/0!</v>
      </c>
      <c r="AW55" s="153" t="e">
        <f t="shared" si="18"/>
        <v>#DIV/0!</v>
      </c>
      <c r="AX55" s="153" t="e">
        <f t="shared" si="18"/>
        <v>#DIV/0!</v>
      </c>
      <c r="AY55" s="153" t="e">
        <f t="shared" si="18"/>
        <v>#DIV/0!</v>
      </c>
      <c r="AZ55" s="153" t="e">
        <f t="shared" si="18"/>
        <v>#DIV/0!</v>
      </c>
    </row>
    <row r="56" spans="44:52" x14ac:dyDescent="0.35">
      <c r="AR56" s="2" t="s">
        <v>1168</v>
      </c>
      <c r="AS56" s="153" t="e">
        <f t="shared" ref="AS56:AZ56" si="19">AS8/AS16</f>
        <v>#DIV/0!</v>
      </c>
      <c r="AT56" s="153" t="e">
        <f t="shared" si="19"/>
        <v>#DIV/0!</v>
      </c>
      <c r="AU56" s="153" t="e">
        <f t="shared" si="19"/>
        <v>#DIV/0!</v>
      </c>
      <c r="AV56" s="153" t="e">
        <f t="shared" si="19"/>
        <v>#DIV/0!</v>
      </c>
      <c r="AW56" s="153" t="e">
        <f t="shared" si="19"/>
        <v>#DIV/0!</v>
      </c>
      <c r="AX56" s="153" t="e">
        <f t="shared" si="19"/>
        <v>#DIV/0!</v>
      </c>
      <c r="AY56" s="153" t="e">
        <f t="shared" si="19"/>
        <v>#DIV/0!</v>
      </c>
      <c r="AZ56" s="153" t="e">
        <f t="shared" si="19"/>
        <v>#DIV/0!</v>
      </c>
    </row>
    <row r="57" spans="44:52" x14ac:dyDescent="0.35">
      <c r="AR57" s="2" t="s">
        <v>1771</v>
      </c>
      <c r="AS57" s="153" t="e">
        <f t="shared" ref="AS57:AZ57" si="20">(AS10+AS11)/AS16</f>
        <v>#DIV/0!</v>
      </c>
      <c r="AT57" s="153" t="e">
        <f t="shared" si="20"/>
        <v>#DIV/0!</v>
      </c>
      <c r="AU57" s="153" t="e">
        <f t="shared" si="20"/>
        <v>#DIV/0!</v>
      </c>
      <c r="AV57" s="153" t="e">
        <f t="shared" si="20"/>
        <v>#DIV/0!</v>
      </c>
      <c r="AW57" s="153" t="e">
        <f t="shared" si="20"/>
        <v>#DIV/0!</v>
      </c>
      <c r="AX57" s="153" t="e">
        <f t="shared" si="20"/>
        <v>#DIV/0!</v>
      </c>
      <c r="AY57" s="153" t="e">
        <f t="shared" si="20"/>
        <v>#DIV/0!</v>
      </c>
      <c r="AZ57" s="153" t="e">
        <f t="shared" si="20"/>
        <v>#DIV/0!</v>
      </c>
    </row>
    <row r="58" spans="44:52" x14ac:dyDescent="0.35">
      <c r="AR58" s="2" t="s">
        <v>1636</v>
      </c>
      <c r="AS58" s="153" t="e">
        <f>AS13/AS16</f>
        <v>#DIV/0!</v>
      </c>
      <c r="AT58" s="153" t="e">
        <f t="shared" ref="AT58:AZ58" si="21">AT13/AT16</f>
        <v>#DIV/0!</v>
      </c>
      <c r="AU58" s="153" t="e">
        <f t="shared" si="21"/>
        <v>#DIV/0!</v>
      </c>
      <c r="AV58" s="153" t="e">
        <f t="shared" si="21"/>
        <v>#DIV/0!</v>
      </c>
      <c r="AW58" s="153" t="e">
        <f t="shared" si="21"/>
        <v>#DIV/0!</v>
      </c>
      <c r="AX58" s="153" t="e">
        <f t="shared" si="21"/>
        <v>#DIV/0!</v>
      </c>
      <c r="AY58" s="153" t="e">
        <f t="shared" si="21"/>
        <v>#DIV/0!</v>
      </c>
      <c r="AZ58" s="153" t="e">
        <f t="shared" si="21"/>
        <v>#DIV/0!</v>
      </c>
    </row>
    <row r="92" spans="16:25" x14ac:dyDescent="0.35">
      <c r="P92" s="2" t="str">
        <f t="shared" ref="P92:Y92" si="22">P38</f>
        <v>Transport</v>
      </c>
      <c r="Q92" s="2" t="str">
        <f t="shared" si="22"/>
        <v>Transport</v>
      </c>
      <c r="R92" s="2" t="e">
        <f t="shared" si="22"/>
        <v>#N/A</v>
      </c>
      <c r="S92" s="2" t="e">
        <f t="shared" si="22"/>
        <v>#N/A</v>
      </c>
      <c r="T92" s="2" t="e">
        <f t="shared" si="22"/>
        <v>#N/A</v>
      </c>
      <c r="U92" s="2" t="e">
        <f t="shared" si="22"/>
        <v>#N/A</v>
      </c>
      <c r="V92" s="2" t="e">
        <f t="shared" si="22"/>
        <v>#N/A</v>
      </c>
      <c r="W92" s="2" t="e">
        <f t="shared" si="22"/>
        <v>#N/A</v>
      </c>
      <c r="X92" s="2" t="e">
        <f t="shared" si="22"/>
        <v>#N/A</v>
      </c>
      <c r="Y92" s="2" t="e">
        <f t="shared" si="22"/>
        <v>#N/A</v>
      </c>
    </row>
    <row r="93" spans="16:25" x14ac:dyDescent="0.35">
      <c r="P93" s="2" t="str">
        <f t="shared" ref="P93:Y93" si="23">P39</f>
        <v>Gebäude</v>
      </c>
      <c r="Q93" s="2" t="str">
        <f t="shared" si="23"/>
        <v>Buildings</v>
      </c>
      <c r="R93" s="2" t="e">
        <f t="shared" si="23"/>
        <v>#N/A</v>
      </c>
      <c r="S93" s="2" t="e">
        <f t="shared" si="23"/>
        <v>#N/A</v>
      </c>
      <c r="T93" s="2" t="e">
        <f t="shared" si="23"/>
        <v>#N/A</v>
      </c>
      <c r="U93" s="2" t="e">
        <f t="shared" si="23"/>
        <v>#N/A</v>
      </c>
      <c r="V93" s="2" t="e">
        <f t="shared" si="23"/>
        <v>#N/A</v>
      </c>
      <c r="W93" s="2" t="e">
        <f t="shared" si="23"/>
        <v>#N/A</v>
      </c>
      <c r="X93" s="2" t="e">
        <f t="shared" si="23"/>
        <v>#N/A</v>
      </c>
      <c r="Y93" s="2" t="e">
        <f t="shared" si="23"/>
        <v>#N/A</v>
      </c>
    </row>
    <row r="94" spans="16:25" x14ac:dyDescent="0.35">
      <c r="P94" s="2" t="str">
        <f t="shared" ref="P94:Y94" si="24">P40</f>
        <v>Industrie</v>
      </c>
      <c r="Q94" s="2" t="str">
        <f t="shared" si="24"/>
        <v>Industry</v>
      </c>
      <c r="R94" s="2" t="e">
        <f t="shared" si="24"/>
        <v>#N/A</v>
      </c>
      <c r="S94" s="2" t="e">
        <f t="shared" si="24"/>
        <v>#N/A</v>
      </c>
      <c r="T94" s="2" t="e">
        <f t="shared" si="24"/>
        <v>#N/A</v>
      </c>
      <c r="U94" s="2" t="e">
        <f t="shared" si="24"/>
        <v>#N/A</v>
      </c>
      <c r="V94" s="2" t="e">
        <f t="shared" si="24"/>
        <v>#N/A</v>
      </c>
      <c r="W94" s="2" t="e">
        <f t="shared" si="24"/>
        <v>#N/A</v>
      </c>
      <c r="X94" s="2" t="e">
        <f t="shared" si="24"/>
        <v>#N/A</v>
      </c>
      <c r="Y94" s="2" t="e">
        <f t="shared" si="24"/>
        <v>#N/A</v>
      </c>
    </row>
    <row r="95" spans="16:25" x14ac:dyDescent="0.35">
      <c r="P95" s="2" t="s">
        <v>2337</v>
      </c>
      <c r="Q95" s="342" t="s">
        <v>2333</v>
      </c>
      <c r="R95" s="2" t="e">
        <f t="shared" ref="R95:Y99" si="25">R$42*AS54</f>
        <v>#N/A</v>
      </c>
      <c r="S95" s="342" t="e">
        <f t="shared" si="25"/>
        <v>#N/A</v>
      </c>
      <c r="T95" s="342" t="e">
        <f t="shared" si="25"/>
        <v>#N/A</v>
      </c>
      <c r="U95" s="342" t="e">
        <f t="shared" si="25"/>
        <v>#N/A</v>
      </c>
      <c r="V95" s="342" t="e">
        <f t="shared" si="25"/>
        <v>#N/A</v>
      </c>
      <c r="W95" s="342" t="e">
        <f t="shared" si="25"/>
        <v>#N/A</v>
      </c>
      <c r="X95" s="342" t="e">
        <f t="shared" si="25"/>
        <v>#N/A</v>
      </c>
      <c r="Y95" s="342" t="e">
        <f t="shared" si="25"/>
        <v>#N/A</v>
      </c>
    </row>
    <row r="96" spans="16:25" x14ac:dyDescent="0.35">
      <c r="P96" s="2" t="s">
        <v>2338</v>
      </c>
      <c r="Q96" s="342" t="s">
        <v>2334</v>
      </c>
      <c r="R96" s="342" t="e">
        <f t="shared" si="25"/>
        <v>#N/A</v>
      </c>
      <c r="S96" s="342" t="e">
        <f t="shared" si="25"/>
        <v>#N/A</v>
      </c>
      <c r="T96" s="342" t="e">
        <f t="shared" si="25"/>
        <v>#N/A</v>
      </c>
      <c r="U96" s="342" t="e">
        <f t="shared" si="25"/>
        <v>#N/A</v>
      </c>
      <c r="V96" s="342" t="e">
        <f t="shared" si="25"/>
        <v>#N/A</v>
      </c>
      <c r="W96" s="342" t="e">
        <f t="shared" si="25"/>
        <v>#N/A</v>
      </c>
      <c r="X96" s="342" t="e">
        <f t="shared" si="25"/>
        <v>#N/A</v>
      </c>
      <c r="Y96" s="342" t="e">
        <f t="shared" si="25"/>
        <v>#N/A</v>
      </c>
    </row>
    <row r="97" spans="16:25" x14ac:dyDescent="0.35">
      <c r="P97" s="2" t="s">
        <v>2339</v>
      </c>
      <c r="Q97" s="342" t="s">
        <v>2335</v>
      </c>
      <c r="R97" s="342" t="e">
        <f t="shared" si="25"/>
        <v>#N/A</v>
      </c>
      <c r="S97" s="342" t="e">
        <f t="shared" si="25"/>
        <v>#N/A</v>
      </c>
      <c r="T97" s="342" t="e">
        <f t="shared" si="25"/>
        <v>#N/A</v>
      </c>
      <c r="U97" s="342" t="e">
        <f t="shared" si="25"/>
        <v>#N/A</v>
      </c>
      <c r="V97" s="342" t="e">
        <f t="shared" si="25"/>
        <v>#N/A</v>
      </c>
      <c r="W97" s="342" t="e">
        <f t="shared" si="25"/>
        <v>#N/A</v>
      </c>
      <c r="X97" s="342" t="e">
        <f t="shared" si="25"/>
        <v>#N/A</v>
      </c>
      <c r="Y97" s="342" t="e">
        <f t="shared" si="25"/>
        <v>#N/A</v>
      </c>
    </row>
    <row r="98" spans="16:25" x14ac:dyDescent="0.35">
      <c r="P98" s="2" t="s">
        <v>2340</v>
      </c>
      <c r="Q98" s="342" t="s">
        <v>2336</v>
      </c>
      <c r="R98" s="342" t="e">
        <f t="shared" si="25"/>
        <v>#N/A</v>
      </c>
      <c r="S98" s="342" t="e">
        <f t="shared" si="25"/>
        <v>#N/A</v>
      </c>
      <c r="T98" s="342" t="e">
        <f t="shared" si="25"/>
        <v>#N/A</v>
      </c>
      <c r="U98" s="342" t="e">
        <f t="shared" si="25"/>
        <v>#N/A</v>
      </c>
      <c r="V98" s="342" t="e">
        <f t="shared" si="25"/>
        <v>#N/A</v>
      </c>
      <c r="W98" s="342" t="e">
        <f t="shared" si="25"/>
        <v>#N/A</v>
      </c>
      <c r="X98" s="342" t="e">
        <f t="shared" si="25"/>
        <v>#N/A</v>
      </c>
      <c r="Y98" s="342" t="e">
        <f t="shared" si="25"/>
        <v>#N/A</v>
      </c>
    </row>
    <row r="99" spans="16:25" x14ac:dyDescent="0.35">
      <c r="P99" s="2" t="s">
        <v>2690</v>
      </c>
      <c r="Q99" s="2" t="s">
        <v>2691</v>
      </c>
      <c r="R99" s="342" t="e">
        <f t="shared" si="25"/>
        <v>#N/A</v>
      </c>
      <c r="S99" s="342" t="e">
        <f t="shared" si="25"/>
        <v>#N/A</v>
      </c>
      <c r="T99" s="342" t="e">
        <f t="shared" si="25"/>
        <v>#N/A</v>
      </c>
      <c r="U99" s="342" t="e">
        <f t="shared" si="25"/>
        <v>#N/A</v>
      </c>
      <c r="V99" s="342" t="e">
        <f t="shared" si="25"/>
        <v>#N/A</v>
      </c>
      <c r="W99" s="342" t="e">
        <f t="shared" si="25"/>
        <v>#N/A</v>
      </c>
      <c r="X99" s="342" t="e">
        <f t="shared" si="25"/>
        <v>#N/A</v>
      </c>
      <c r="Y99" s="342" t="e">
        <f t="shared" si="25"/>
        <v>#N/A</v>
      </c>
    </row>
    <row r="163" spans="16:17" x14ac:dyDescent="0.35">
      <c r="P163" s="2" t="s">
        <v>3699</v>
      </c>
      <c r="Q163" s="2" t="str">
        <f>"CH4Hub2 to " &amp; P163</f>
        <v>CH4Hub2 to FG_BlendedGasHybridGlassFurnace</v>
      </c>
    </row>
    <row r="164" spans="16:17" x14ac:dyDescent="0.35">
      <c r="P164" s="2" t="s">
        <v>3708</v>
      </c>
      <c r="Q164" s="342" t="str">
        <f t="shared" ref="Q164:Q220" si="26">"CH4Hub2 to " &amp; P164</f>
        <v>CH4Hub2 to FG_BlendedGasHybridGlassFurnace2</v>
      </c>
    </row>
    <row r="165" spans="16:17" x14ac:dyDescent="0.35">
      <c r="P165" s="2" t="s">
        <v>3694</v>
      </c>
      <c r="Q165" s="342" t="str">
        <f t="shared" si="26"/>
        <v>CH4Hub2 to FG_GasGlassFurnace</v>
      </c>
    </row>
    <row r="166" spans="16:17" x14ac:dyDescent="0.35">
      <c r="P166" s="2" t="s">
        <v>3892</v>
      </c>
      <c r="Q166" s="342" t="str">
        <f t="shared" si="26"/>
        <v>CH4Hub2 to FG_GasGlassFurnace_stock</v>
      </c>
    </row>
    <row r="167" spans="16:17" x14ac:dyDescent="0.35">
      <c r="P167" s="2" t="s">
        <v>3703</v>
      </c>
      <c r="Q167" s="342" t="str">
        <f t="shared" si="26"/>
        <v>CH4Hub2 to FG_GasGlassFurnace2</v>
      </c>
    </row>
    <row r="168" spans="16:17" x14ac:dyDescent="0.35">
      <c r="P168" s="2" t="s">
        <v>3695</v>
      </c>
      <c r="Q168" s="342" t="str">
        <f t="shared" si="26"/>
        <v>CH4Hub2 to FG_GasHybridGlassFurnace</v>
      </c>
    </row>
    <row r="169" spans="16:17" x14ac:dyDescent="0.35">
      <c r="P169" s="2" t="s">
        <v>3893</v>
      </c>
      <c r="Q169" s="342" t="str">
        <f t="shared" si="26"/>
        <v>CH4Hub2 to FG_GasHybridGlassFurnace_stock</v>
      </c>
    </row>
    <row r="170" spans="16:17" x14ac:dyDescent="0.35">
      <c r="P170" s="2" t="s">
        <v>3704</v>
      </c>
      <c r="Q170" s="342" t="str">
        <f t="shared" si="26"/>
        <v>CH4Hub2 to FG_GasHybridGlassFurnace2</v>
      </c>
    </row>
    <row r="171" spans="16:17" x14ac:dyDescent="0.35">
      <c r="P171" s="2" t="s">
        <v>3698</v>
      </c>
      <c r="Q171" s="342" t="str">
        <f t="shared" si="26"/>
        <v>CH4Hub2 to FG_OxyFuelGlassFurnace</v>
      </c>
    </row>
    <row r="172" spans="16:17" x14ac:dyDescent="0.35">
      <c r="P172" s="2" t="s">
        <v>3707</v>
      </c>
      <c r="Q172" s="342" t="str">
        <f t="shared" si="26"/>
        <v>CH4Hub2 to FG_OxyFuelGlassFurnace2</v>
      </c>
    </row>
    <row r="173" spans="16:17" x14ac:dyDescent="0.35">
      <c r="P173" s="2" t="s">
        <v>3701</v>
      </c>
      <c r="Q173" s="342" t="str">
        <f t="shared" si="26"/>
        <v>CH4Hub2 to FG_SuperboostGlassFurnace</v>
      </c>
    </row>
    <row r="174" spans="16:17" x14ac:dyDescent="0.35">
      <c r="P174" s="2" t="s">
        <v>3710</v>
      </c>
      <c r="Q174" s="342" t="str">
        <f t="shared" si="26"/>
        <v>CH4Hub2 to FG_SuperboostGlassFurnace2</v>
      </c>
    </row>
    <row r="175" spans="16:17" x14ac:dyDescent="0.35">
      <c r="P175" s="2" t="s">
        <v>3326</v>
      </c>
      <c r="Q175" s="342" t="str">
        <f t="shared" si="26"/>
        <v>CH4Hub2 to CopperPPP</v>
      </c>
    </row>
    <row r="176" spans="16:17" x14ac:dyDescent="0.35">
      <c r="P176" s="2" t="s">
        <v>3894</v>
      </c>
      <c r="Q176" s="342" t="str">
        <f t="shared" si="26"/>
        <v>CH4Hub2 to CopperPPP_stock</v>
      </c>
    </row>
    <row r="177" spans="16:17" x14ac:dyDescent="0.35">
      <c r="P177" s="2" t="s">
        <v>3329</v>
      </c>
      <c r="Q177" s="342" t="str">
        <f t="shared" si="26"/>
        <v>CH4Hub2 to CopperRecycling(KRS)</v>
      </c>
    </row>
    <row r="178" spans="16:17" x14ac:dyDescent="0.35">
      <c r="P178" s="2" t="s">
        <v>3895</v>
      </c>
      <c r="Q178" s="342" t="str">
        <f t="shared" si="26"/>
        <v>CH4Hub2 to CopperRecycling(KRS)_stock</v>
      </c>
    </row>
    <row r="179" spans="16:17" x14ac:dyDescent="0.35">
      <c r="P179" s="2" t="s">
        <v>3260</v>
      </c>
      <c r="Q179" s="342" t="str">
        <f t="shared" si="26"/>
        <v>CH4Hub2 to ZincRemelt</v>
      </c>
    </row>
    <row r="180" spans="16:17" x14ac:dyDescent="0.35">
      <c r="P180" s="2" t="s">
        <v>3896</v>
      </c>
      <c r="Q180" s="342" t="str">
        <f t="shared" si="26"/>
        <v>CH4Hub2 to ZincRemelt_stock</v>
      </c>
    </row>
    <row r="181" spans="16:17" x14ac:dyDescent="0.35">
      <c r="P181" s="2" t="s">
        <v>3262</v>
      </c>
      <c r="Q181" s="342" t="str">
        <f t="shared" si="26"/>
        <v>CH4Hub2 to ZincRemeltZref</v>
      </c>
    </row>
    <row r="182" spans="16:17" x14ac:dyDescent="0.35">
      <c r="P182" s="2" t="s">
        <v>3258</v>
      </c>
      <c r="Q182" s="342" t="str">
        <f t="shared" si="26"/>
        <v>CH4Hub2 to ZincWaelzoxideProcess</v>
      </c>
    </row>
    <row r="183" spans="16:17" x14ac:dyDescent="0.35">
      <c r="P183" s="2" t="s">
        <v>3897</v>
      </c>
      <c r="Q183" s="342" t="str">
        <f t="shared" si="26"/>
        <v>CH4Hub2 to ZincWaelzoxideProcess_stock</v>
      </c>
    </row>
    <row r="184" spans="16:17" x14ac:dyDescent="0.35">
      <c r="P184" s="2" t="s">
        <v>3717</v>
      </c>
      <c r="Q184" s="342" t="str">
        <f t="shared" si="26"/>
        <v>CH4Hub2 to GF_BlendedGasHybridGlassFurnace</v>
      </c>
    </row>
    <row r="185" spans="16:17" x14ac:dyDescent="0.35">
      <c r="P185" s="2" t="s">
        <v>3726</v>
      </c>
      <c r="Q185" s="342" t="str">
        <f t="shared" si="26"/>
        <v>CH4Hub2 to GF_BlendedGasHybridGlassFurnace2</v>
      </c>
    </row>
    <row r="186" spans="16:17" x14ac:dyDescent="0.35">
      <c r="P186" s="2" t="s">
        <v>3712</v>
      </c>
      <c r="Q186" s="342" t="str">
        <f t="shared" si="26"/>
        <v>CH4Hub2 to GF_GasGlassFurnace</v>
      </c>
    </row>
    <row r="187" spans="16:17" x14ac:dyDescent="0.35">
      <c r="P187" s="2" t="s">
        <v>3898</v>
      </c>
      <c r="Q187" s="342" t="str">
        <f t="shared" si="26"/>
        <v>CH4Hub2 to GF_GasGlassFurnace_stock</v>
      </c>
    </row>
    <row r="188" spans="16:17" x14ac:dyDescent="0.35">
      <c r="P188" s="2" t="s">
        <v>3721</v>
      </c>
      <c r="Q188" s="342" t="str">
        <f t="shared" si="26"/>
        <v>CH4Hub2 to GF_GasGlassFurnace2</v>
      </c>
    </row>
    <row r="189" spans="16:17" x14ac:dyDescent="0.35">
      <c r="P189" s="2" t="s">
        <v>3713</v>
      </c>
      <c r="Q189" s="342" t="str">
        <f t="shared" si="26"/>
        <v>CH4Hub2 to GF_GasHybridGlassFurnace</v>
      </c>
    </row>
    <row r="190" spans="16:17" x14ac:dyDescent="0.35">
      <c r="P190" s="2" t="s">
        <v>3722</v>
      </c>
      <c r="Q190" s="342" t="str">
        <f t="shared" si="26"/>
        <v>CH4Hub2 to GF_GasHybridGlassFurnace2</v>
      </c>
    </row>
    <row r="191" spans="16:17" x14ac:dyDescent="0.35">
      <c r="P191" s="2" t="s">
        <v>3716</v>
      </c>
      <c r="Q191" s="342" t="str">
        <f t="shared" si="26"/>
        <v>CH4Hub2 to GF_OxyFuelGlassFurnace</v>
      </c>
    </row>
    <row r="192" spans="16:17" x14ac:dyDescent="0.35">
      <c r="P192" s="2" t="s">
        <v>3899</v>
      </c>
      <c r="Q192" s="342" t="str">
        <f t="shared" si="26"/>
        <v>CH4Hub2 to GF_OxyFuelGlassFurnace_stock</v>
      </c>
    </row>
    <row r="193" spans="16:17" x14ac:dyDescent="0.35">
      <c r="P193" s="2" t="s">
        <v>3725</v>
      </c>
      <c r="Q193" s="342" t="str">
        <f t="shared" si="26"/>
        <v>CH4Hub2 to GF_OxyFuelGlassFurnace2</v>
      </c>
    </row>
    <row r="194" spans="16:17" x14ac:dyDescent="0.35">
      <c r="P194" s="2" t="s">
        <v>3719</v>
      </c>
      <c r="Q194" s="342" t="str">
        <f t="shared" si="26"/>
        <v>CH4Hub2 to GF_SuperboostGlassFurnace</v>
      </c>
    </row>
    <row r="195" spans="16:17" x14ac:dyDescent="0.35">
      <c r="P195" s="2" t="s">
        <v>3728</v>
      </c>
      <c r="Q195" s="342" t="str">
        <f t="shared" si="26"/>
        <v>CH4Hub2 to GF_SuperboostGlassFurnace2</v>
      </c>
    </row>
    <row r="196" spans="16:17" x14ac:dyDescent="0.35">
      <c r="P196" s="2" t="s">
        <v>3678</v>
      </c>
      <c r="Q196" s="342" t="str">
        <f t="shared" si="26"/>
        <v>CH4Hub2 to HG_BlendedGasHybridGlassFurnace</v>
      </c>
    </row>
    <row r="197" spans="16:17" x14ac:dyDescent="0.35">
      <c r="P197" s="2" t="s">
        <v>3687</v>
      </c>
      <c r="Q197" s="342" t="str">
        <f t="shared" si="26"/>
        <v>CH4Hub2 to HG_BlendedGasHybridGlassFurnace2</v>
      </c>
    </row>
    <row r="198" spans="16:17" x14ac:dyDescent="0.35">
      <c r="P198" s="2" t="s">
        <v>3673</v>
      </c>
      <c r="Q198" s="342" t="str">
        <f t="shared" si="26"/>
        <v>CH4Hub2 to HG_GasGlassFurnace</v>
      </c>
    </row>
    <row r="199" spans="16:17" x14ac:dyDescent="0.35">
      <c r="P199" s="2" t="s">
        <v>3900</v>
      </c>
      <c r="Q199" s="342" t="str">
        <f t="shared" si="26"/>
        <v>CH4Hub2 to HG_GasGlassFurnace_stock</v>
      </c>
    </row>
    <row r="200" spans="16:17" x14ac:dyDescent="0.35">
      <c r="P200" s="2" t="s">
        <v>3682</v>
      </c>
      <c r="Q200" s="342" t="str">
        <f t="shared" si="26"/>
        <v>CH4Hub2 to HG_GasGlassFurnace2</v>
      </c>
    </row>
    <row r="201" spans="16:17" x14ac:dyDescent="0.35">
      <c r="P201" s="2" t="s">
        <v>3674</v>
      </c>
      <c r="Q201" s="342" t="str">
        <f t="shared" si="26"/>
        <v>CH4Hub2 to HG_GasHybridGlassFurnace</v>
      </c>
    </row>
    <row r="202" spans="16:17" x14ac:dyDescent="0.35">
      <c r="P202" s="2" t="s">
        <v>3901</v>
      </c>
      <c r="Q202" s="342" t="str">
        <f t="shared" si="26"/>
        <v>CH4Hub2 to HG_GasHybridGlassFurnace_stock</v>
      </c>
    </row>
    <row r="203" spans="16:17" x14ac:dyDescent="0.35">
      <c r="P203" s="2" t="s">
        <v>3683</v>
      </c>
      <c r="Q203" s="342" t="str">
        <f t="shared" si="26"/>
        <v>CH4Hub2 to HG_GasHybridGlassFurnace2</v>
      </c>
    </row>
    <row r="204" spans="16:17" x14ac:dyDescent="0.35">
      <c r="P204" s="2" t="s">
        <v>3677</v>
      </c>
      <c r="Q204" s="342" t="str">
        <f t="shared" si="26"/>
        <v>CH4Hub2 to HG_OxyFuelGlassFurnace</v>
      </c>
    </row>
    <row r="205" spans="16:17" x14ac:dyDescent="0.35">
      <c r="P205" s="2" t="s">
        <v>3902</v>
      </c>
      <c r="Q205" s="342" t="str">
        <f t="shared" si="26"/>
        <v>CH4Hub2 to HG_OxyFuelGlassFurnace_stock</v>
      </c>
    </row>
    <row r="206" spans="16:17" x14ac:dyDescent="0.35">
      <c r="P206" s="2" t="s">
        <v>3686</v>
      </c>
      <c r="Q206" s="342" t="str">
        <f t="shared" si="26"/>
        <v>CH4Hub2 to HG_OxyFuelGlassFurnace2</v>
      </c>
    </row>
    <row r="207" spans="16:17" x14ac:dyDescent="0.35">
      <c r="P207" s="2" t="s">
        <v>3680</v>
      </c>
      <c r="Q207" s="342" t="str">
        <f t="shared" si="26"/>
        <v>CH4Hub2 to HG_SuperboostGlassFurnace</v>
      </c>
    </row>
    <row r="208" spans="16:17" x14ac:dyDescent="0.35">
      <c r="P208" s="2" t="s">
        <v>3689</v>
      </c>
      <c r="Q208" s="342" t="str">
        <f t="shared" si="26"/>
        <v>CH4Hub2 to HG_SuperboostGlassFurnace2</v>
      </c>
    </row>
    <row r="209" spans="16:17" x14ac:dyDescent="0.35">
      <c r="P209" s="2" t="s">
        <v>3735</v>
      </c>
      <c r="Q209" s="342" t="str">
        <f t="shared" si="26"/>
        <v>CH4Hub2 to SG_BlendedGasHybridGlassFurnace</v>
      </c>
    </row>
    <row r="210" spans="16:17" x14ac:dyDescent="0.35">
      <c r="P210" s="2" t="s">
        <v>3744</v>
      </c>
      <c r="Q210" s="342" t="str">
        <f t="shared" si="26"/>
        <v>CH4Hub2 to SG_BlendedGasHybridGlassFurnace2</v>
      </c>
    </row>
    <row r="211" spans="16:17" x14ac:dyDescent="0.35">
      <c r="P211" s="2" t="s">
        <v>3730</v>
      </c>
      <c r="Q211" s="342" t="str">
        <f t="shared" si="26"/>
        <v>CH4Hub2 to SG_GasGlassFurnace</v>
      </c>
    </row>
    <row r="212" spans="16:17" x14ac:dyDescent="0.35">
      <c r="P212" s="2" t="s">
        <v>3739</v>
      </c>
      <c r="Q212" s="342" t="str">
        <f t="shared" si="26"/>
        <v>CH4Hub2 to SG_GasGlassFurnace2</v>
      </c>
    </row>
    <row r="213" spans="16:17" x14ac:dyDescent="0.35">
      <c r="P213" s="2" t="s">
        <v>3731</v>
      </c>
      <c r="Q213" s="342" t="str">
        <f t="shared" si="26"/>
        <v>CH4Hub2 to SG_GasHybridGlassFurnace</v>
      </c>
    </row>
    <row r="214" spans="16:17" x14ac:dyDescent="0.35">
      <c r="P214" s="2" t="s">
        <v>3903</v>
      </c>
      <c r="Q214" s="342" t="str">
        <f t="shared" si="26"/>
        <v>CH4Hub2 to SG_GasHybridGlassFurnace_stock</v>
      </c>
    </row>
    <row r="215" spans="16:17" x14ac:dyDescent="0.35">
      <c r="P215" s="2" t="s">
        <v>3740</v>
      </c>
      <c r="Q215" s="342" t="str">
        <f t="shared" si="26"/>
        <v>CH4Hub2 to SG_GasHybridGlassFurnace2</v>
      </c>
    </row>
    <row r="216" spans="16:17" x14ac:dyDescent="0.35">
      <c r="P216" s="2" t="s">
        <v>3734</v>
      </c>
      <c r="Q216" s="342" t="str">
        <f t="shared" si="26"/>
        <v>CH4Hub2 to SG_OxyFuelGlassFurnace</v>
      </c>
    </row>
    <row r="217" spans="16:17" x14ac:dyDescent="0.35">
      <c r="P217" s="2" t="s">
        <v>3904</v>
      </c>
      <c r="Q217" s="342" t="str">
        <f t="shared" si="26"/>
        <v>CH4Hub2 to SG_OxyFuelGlassFurnace_stock</v>
      </c>
    </row>
    <row r="218" spans="16:17" x14ac:dyDescent="0.35">
      <c r="P218" s="2" t="s">
        <v>3743</v>
      </c>
      <c r="Q218" s="342" t="str">
        <f t="shared" si="26"/>
        <v>CH4Hub2 to SG_OxyFuelGlassFurnace2</v>
      </c>
    </row>
    <row r="219" spans="16:17" x14ac:dyDescent="0.35">
      <c r="P219" s="2" t="s">
        <v>3737</v>
      </c>
      <c r="Q219" s="342" t="str">
        <f t="shared" si="26"/>
        <v>CH4Hub2 to SG_SuperboostGlassFurnace</v>
      </c>
    </row>
    <row r="220" spans="16:17" x14ac:dyDescent="0.35">
      <c r="P220" s="2" t="s">
        <v>3746</v>
      </c>
      <c r="Q220" s="342" t="str">
        <f t="shared" si="26"/>
        <v>CH4Hub2 to SG_SuperboostGlassFurnace2</v>
      </c>
    </row>
  </sheetData>
  <dataConsolidate/>
  <phoneticPr fontId="31" type="noConversion"/>
  <pageMargins left="0.7" right="0.7" top="0.78740157499999996" bottom="0.78740157499999996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70C0"/>
  </sheetPr>
  <dimension ref="B1:AB24"/>
  <sheetViews>
    <sheetView zoomScale="70" zoomScaleNormal="70" workbookViewId="0">
      <selection activeCell="Y12" sqref="Y12"/>
    </sheetView>
  </sheetViews>
  <sheetFormatPr baseColWidth="10" defaultColWidth="11.453125" defaultRowHeight="14" x14ac:dyDescent="0.35"/>
  <cols>
    <col min="1" max="3" width="11.453125" style="2"/>
    <col min="4" max="4" width="42.81640625" style="2" bestFit="1" customWidth="1"/>
    <col min="5" max="5" width="22.54296875" style="2" bestFit="1" customWidth="1"/>
    <col min="6" max="6" width="22.54296875" style="191" customWidth="1"/>
    <col min="7" max="7" width="19.81640625" style="2" bestFit="1" customWidth="1"/>
    <col min="8" max="8" width="11.54296875" style="2" bestFit="1" customWidth="1"/>
    <col min="9" max="10" width="14.81640625" style="2" bestFit="1" customWidth="1"/>
    <col min="11" max="11" width="11.54296875" style="2" bestFit="1" customWidth="1"/>
    <col min="12" max="12" width="14.81640625" style="2" bestFit="1" customWidth="1"/>
    <col min="13" max="13" width="11.54296875" style="2" bestFit="1" customWidth="1"/>
    <col min="14" max="14" width="14.81640625" style="2" bestFit="1" customWidth="1"/>
    <col min="15" max="16" width="11.453125" style="2"/>
    <col min="17" max="17" width="18.1796875" style="2" bestFit="1" customWidth="1"/>
    <col min="18" max="18" width="11.453125" style="2"/>
    <col min="19" max="19" width="18.1796875" style="2" bestFit="1" customWidth="1"/>
    <col min="20" max="20" width="18.1796875" style="191" customWidth="1"/>
    <col min="21" max="16384" width="11.453125" style="2"/>
  </cols>
  <sheetData>
    <row r="1" spans="2:28" ht="15" thickBot="1" x14ac:dyDescent="0.4">
      <c r="B1" s="190"/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</row>
    <row r="2" spans="2:28" ht="14.5" x14ac:dyDescent="0.35">
      <c r="B2" s="191" t="s">
        <v>1809</v>
      </c>
      <c r="C2" s="190"/>
      <c r="D2" s="196" t="s">
        <v>1211</v>
      </c>
      <c r="E2" s="209"/>
      <c r="F2" s="209"/>
      <c r="G2" s="89">
        <v>2</v>
      </c>
      <c r="H2" s="89">
        <v>3</v>
      </c>
      <c r="I2" s="89">
        <v>4</v>
      </c>
      <c r="J2" s="89">
        <v>5</v>
      </c>
      <c r="K2" s="89">
        <v>6</v>
      </c>
      <c r="L2" s="89">
        <v>7</v>
      </c>
      <c r="M2" s="89">
        <v>8</v>
      </c>
      <c r="N2" s="89">
        <v>9</v>
      </c>
      <c r="O2" s="192"/>
      <c r="P2" s="192"/>
      <c r="Q2" s="190"/>
      <c r="R2" s="190"/>
      <c r="S2" s="196" t="s">
        <v>1212</v>
      </c>
      <c r="T2" s="209"/>
      <c r="U2" s="89">
        <v>2</v>
      </c>
      <c r="V2" s="89">
        <v>3</v>
      </c>
      <c r="W2" s="89">
        <v>4</v>
      </c>
      <c r="X2" s="89">
        <v>5</v>
      </c>
      <c r="Y2" s="89">
        <v>6</v>
      </c>
      <c r="Z2" s="89">
        <v>7</v>
      </c>
      <c r="AA2" s="89">
        <v>8</v>
      </c>
      <c r="AB2" s="89">
        <v>9</v>
      </c>
    </row>
    <row r="3" spans="2:28" ht="14.5" x14ac:dyDescent="0.35">
      <c r="B3" s="191" t="s">
        <v>1810</v>
      </c>
      <c r="C3" s="191" t="s">
        <v>1811</v>
      </c>
      <c r="D3" s="205" t="s">
        <v>1258</v>
      </c>
      <c r="E3" s="210" t="s">
        <v>1259</v>
      </c>
      <c r="F3" s="210"/>
      <c r="G3" s="133" t="s">
        <v>1417</v>
      </c>
      <c r="H3" s="133">
        <v>2020</v>
      </c>
      <c r="I3" s="133">
        <v>2025</v>
      </c>
      <c r="J3" s="133">
        <v>2030</v>
      </c>
      <c r="K3" s="133">
        <v>2035</v>
      </c>
      <c r="L3" s="133">
        <v>2040</v>
      </c>
      <c r="M3" s="133">
        <v>2045</v>
      </c>
      <c r="N3" s="133" t="s">
        <v>4477</v>
      </c>
      <c r="O3" s="193"/>
      <c r="P3" s="193"/>
      <c r="Q3" s="190"/>
      <c r="R3" s="190"/>
      <c r="S3" s="202"/>
      <c r="T3" s="215"/>
      <c r="U3" s="133" t="s">
        <v>1417</v>
      </c>
      <c r="V3" s="133">
        <v>2020</v>
      </c>
      <c r="W3" s="133">
        <v>2025</v>
      </c>
      <c r="X3" s="133">
        <v>2030</v>
      </c>
      <c r="Y3" s="133">
        <v>2035</v>
      </c>
      <c r="Z3" s="133">
        <v>2040</v>
      </c>
      <c r="AA3" s="133">
        <v>2045</v>
      </c>
      <c r="AB3" s="133">
        <v>2050</v>
      </c>
    </row>
    <row r="4" spans="2:28" ht="14.5" x14ac:dyDescent="0.35">
      <c r="B4" s="191">
        <v>0.33</v>
      </c>
      <c r="C4" s="191">
        <v>0.33</v>
      </c>
      <c r="D4" s="206" t="s">
        <v>462</v>
      </c>
      <c r="E4" s="210" t="s">
        <v>1247</v>
      </c>
      <c r="F4" s="210" t="s">
        <v>1924</v>
      </c>
      <c r="G4" s="212" t="e">
        <f>VLOOKUP($D4,capacities!$A$2:$J$2856,G$2,FALSE)*$B4</f>
        <v>#N/A</v>
      </c>
      <c r="H4" s="212" t="e">
        <f>VLOOKUP($D4,capacities!$A$2:$J$2856,H$2,FALSE)*$B4</f>
        <v>#N/A</v>
      </c>
      <c r="I4" s="56" t="e">
        <f>VLOOKUP($D4,capacities!$A$2:$J$2856,I$2,FALSE)*$B4</f>
        <v>#N/A</v>
      </c>
      <c r="J4" s="212" t="e">
        <f>VLOOKUP($D4,capacities!$A$2:$J$2856,J$2,FALSE)*$B4</f>
        <v>#N/A</v>
      </c>
      <c r="K4" s="212" t="e">
        <f>VLOOKUP($D4,capacities!$A$2:$J$2856,K$2,FALSE)*$B4</f>
        <v>#N/A</v>
      </c>
      <c r="L4" s="212" t="e">
        <f>VLOOKUP($D4,capacities!$A$2:$J$2856,L$2,FALSE)*$C4</f>
        <v>#N/A</v>
      </c>
      <c r="M4" s="212" t="e">
        <f>VLOOKUP($D4,capacities!$A$2:$J$2856,M$2,FALSE)*$C4</f>
        <v>#N/A</v>
      </c>
      <c r="N4" s="973">
        <v>4.164096196956492E-4</v>
      </c>
      <c r="O4" s="193"/>
      <c r="P4" s="193"/>
      <c r="Q4" s="190"/>
      <c r="R4" s="190"/>
      <c r="S4" s="205" t="s">
        <v>1247</v>
      </c>
      <c r="T4" s="210" t="s">
        <v>1924</v>
      </c>
      <c r="U4" s="212" t="e">
        <f>'Wasserstoff - Produktion'!E4/'Wasserstoff - Inst. Kapazitäten'!G4</f>
        <v>#N/A</v>
      </c>
      <c r="V4" s="212" t="s">
        <v>1812</v>
      </c>
      <c r="W4" s="212" t="e">
        <f>'Wasserstoff - Produktion'!G4/'Wasserstoff - Inst. Kapazitäten'!I4</f>
        <v>#N/A</v>
      </c>
      <c r="X4" s="212" t="e">
        <f>'Wasserstoff - Produktion'!H4/'Wasserstoff - Inst. Kapazitäten'!J4</f>
        <v>#N/A</v>
      </c>
      <c r="Y4" s="212" t="e">
        <f>'Wasserstoff - Produktion'!I4/'Wasserstoff - Inst. Kapazitäten'!K4</f>
        <v>#N/A</v>
      </c>
      <c r="Z4" s="212" t="e">
        <f>'Wasserstoff - Produktion'!J4/'Wasserstoff - Inst. Kapazitäten'!L4</f>
        <v>#N/A</v>
      </c>
      <c r="AA4" s="212" t="e">
        <f>'Wasserstoff - Produktion'!K4/'Wasserstoff - Inst. Kapazitäten'!M4</f>
        <v>#N/A</v>
      </c>
      <c r="AB4" s="212">
        <f>'Wasserstoff - Produktion'!L4/'Wasserstoff - Inst. Kapazitäten'!N4</f>
        <v>296.98108986800867</v>
      </c>
    </row>
    <row r="5" spans="2:28" ht="14.5" x14ac:dyDescent="0.35">
      <c r="B5" s="191">
        <v>0.33</v>
      </c>
      <c r="C5" s="191">
        <v>0.33</v>
      </c>
      <c r="D5" s="206" t="s">
        <v>515</v>
      </c>
      <c r="E5" s="199" t="s">
        <v>1248</v>
      </c>
      <c r="F5" s="199" t="s">
        <v>1925</v>
      </c>
      <c r="G5" s="212" t="e">
        <f>VLOOKUP($D5,capacities!$A$2:$J$2856,G$2,FALSE)*$B5</f>
        <v>#N/A</v>
      </c>
      <c r="H5" s="212" t="e">
        <f>VLOOKUP($D5,capacities!$A$2:$J$2856,H$2,FALSE)*$B5</f>
        <v>#N/A</v>
      </c>
      <c r="I5" s="212" t="e">
        <f>VLOOKUP($D5,capacities!$A$2:$J$2856,I$2,FALSE)*$B5</f>
        <v>#N/A</v>
      </c>
      <c r="J5" s="56" t="e">
        <f>VLOOKUP($D5,capacities!$A$2:$J$2856,J$2,FALSE)*$B5</f>
        <v>#N/A</v>
      </c>
      <c r="K5" s="212" t="e">
        <f>VLOOKUP($D5,capacities!$A$2:$J$2856,K$2,FALSE)*$B5</f>
        <v>#N/A</v>
      </c>
      <c r="L5" s="212" t="e">
        <f>VLOOKUP($D5,capacities!$A$2:$J$2856,L$2,FALSE)*$C5</f>
        <v>#N/A</v>
      </c>
      <c r="M5" s="212" t="e">
        <f>VLOOKUP($D5,capacities!$A$2:$J$2856,M$2,FALSE)*$C5</f>
        <v>#N/A</v>
      </c>
      <c r="N5" s="973">
        <v>4.2460650565410529E-4</v>
      </c>
      <c r="O5" s="193"/>
      <c r="P5" s="193"/>
      <c r="Q5" s="190"/>
      <c r="R5" s="190"/>
      <c r="S5" s="198" t="s">
        <v>1248</v>
      </c>
      <c r="T5" s="199" t="s">
        <v>1925</v>
      </c>
      <c r="U5" s="212" t="e">
        <f>'Wasserstoff - Produktion'!E5/'Wasserstoff - Inst. Kapazitäten'!G5</f>
        <v>#N/A</v>
      </c>
      <c r="V5" s="212" t="s">
        <v>1812</v>
      </c>
      <c r="W5" s="212" t="e">
        <f>'Wasserstoff - Produktion'!G5/'Wasserstoff - Inst. Kapazitäten'!I5</f>
        <v>#N/A</v>
      </c>
      <c r="X5" s="212" t="e">
        <f>'Wasserstoff - Produktion'!H5/'Wasserstoff - Inst. Kapazitäten'!J5</f>
        <v>#N/A</v>
      </c>
      <c r="Y5" s="212" t="e">
        <f>'Wasserstoff - Produktion'!I5/'Wasserstoff - Inst. Kapazitäten'!K5</f>
        <v>#N/A</v>
      </c>
      <c r="Z5" s="212" t="e">
        <f>'Wasserstoff - Produktion'!J5/'Wasserstoff - Inst. Kapazitäten'!L5</f>
        <v>#N/A</v>
      </c>
      <c r="AA5" s="212" t="e">
        <f>'Wasserstoff - Produktion'!K5/'Wasserstoff - Inst. Kapazitäten'!M5</f>
        <v>#N/A</v>
      </c>
      <c r="AB5" s="212">
        <f>'Wasserstoff - Produktion'!L5/'Wasserstoff - Inst. Kapazitäten'!N5</f>
        <v>399.55666465097624</v>
      </c>
    </row>
    <row r="6" spans="2:28" ht="14.5" x14ac:dyDescent="0.35">
      <c r="B6" s="191">
        <v>1</v>
      </c>
      <c r="C6" s="191">
        <v>1</v>
      </c>
      <c r="D6" s="206" t="s">
        <v>299</v>
      </c>
      <c r="E6" s="199" t="s">
        <v>4238</v>
      </c>
      <c r="F6" s="199" t="s">
        <v>4232</v>
      </c>
      <c r="G6" s="212" t="e">
        <f>VLOOKUP($D6,capacities!$A$2:$J$2856,G$2,FALSE)*$B6</f>
        <v>#N/A</v>
      </c>
      <c r="H6" s="212" t="e">
        <f>VLOOKUP($D6,capacities!$A$2:$J$2856,H$2,FALSE)*$B6</f>
        <v>#N/A</v>
      </c>
      <c r="I6" s="212" t="e">
        <f>VLOOKUP($D6,capacities!$A$2:$J$2856,I$2,FALSE)*$B6</f>
        <v>#N/A</v>
      </c>
      <c r="J6" s="56" t="e">
        <f>VLOOKUP($D6,capacities!$A$2:$J$2856,J$2,FALSE)*$B6</f>
        <v>#N/A</v>
      </c>
      <c r="K6" s="212" t="e">
        <f>VLOOKUP($D6,capacities!$A$2:$J$2856,K$2,FALSE)*$B6</f>
        <v>#N/A</v>
      </c>
      <c r="L6" s="212" t="e">
        <f>VLOOKUP($D6,capacities!$A$2:$J$2856,L$2,FALSE)*$C6</f>
        <v>#N/A</v>
      </c>
      <c r="M6" s="56" t="e">
        <f>VLOOKUP($D6,capacities!$A$2:$J$2856,M$2,FALSE)*$C6</f>
        <v>#N/A</v>
      </c>
      <c r="N6" s="973">
        <v>31.900595985822179</v>
      </c>
      <c r="O6" s="193"/>
      <c r="P6" s="193"/>
      <c r="Q6" s="190"/>
      <c r="R6" s="190"/>
      <c r="S6" s="198" t="s">
        <v>299</v>
      </c>
      <c r="T6" s="199" t="s">
        <v>1673</v>
      </c>
      <c r="U6" s="212" t="e">
        <f>'Wasserstoff - Produktion'!E6/'Wasserstoff - Inst. Kapazitäten'!G6</f>
        <v>#N/A</v>
      </c>
      <c r="V6" s="212" t="s">
        <v>1812</v>
      </c>
      <c r="W6" s="212" t="e">
        <f>'Wasserstoff - Produktion'!G6/'Wasserstoff - Inst. Kapazitäten'!I6</f>
        <v>#N/A</v>
      </c>
      <c r="X6" s="212" t="e">
        <f>'Wasserstoff - Produktion'!H6/'Wasserstoff - Inst. Kapazitäten'!J6</f>
        <v>#N/A</v>
      </c>
      <c r="Y6" s="212" t="e">
        <f>'Wasserstoff - Produktion'!I6/'Wasserstoff - Inst. Kapazitäten'!K6</f>
        <v>#N/A</v>
      </c>
      <c r="Z6" s="212" t="e">
        <f>'Wasserstoff - Produktion'!J6/'Wasserstoff - Inst. Kapazitäten'!L6</f>
        <v>#N/A</v>
      </c>
      <c r="AA6" s="212" t="e">
        <f>'Wasserstoff - Produktion'!K6/'Wasserstoff - Inst. Kapazitäten'!M6</f>
        <v>#N/A</v>
      </c>
      <c r="AB6" s="212">
        <f>'Wasserstoff - Produktion'!L6/'Wasserstoff - Inst. Kapazitäten'!N6</f>
        <v>8760.0000000000018</v>
      </c>
    </row>
    <row r="7" spans="2:28" ht="14.5" x14ac:dyDescent="0.35">
      <c r="B7" s="342">
        <v>1</v>
      </c>
      <c r="C7" s="342">
        <v>1</v>
      </c>
      <c r="D7" s="206" t="s">
        <v>4221</v>
      </c>
      <c r="E7" s="344" t="s">
        <v>4233</v>
      </c>
      <c r="F7" s="344" t="s">
        <v>4236</v>
      </c>
      <c r="G7" s="212" t="e">
        <f>VLOOKUP($D7,capacities!$A$2:$J$2856,G$2,FALSE)*$B7</f>
        <v>#N/A</v>
      </c>
      <c r="H7" s="212" t="e">
        <f>VLOOKUP($D7,capacities!$A$2:$J$2856,H$2,FALSE)*$B7</f>
        <v>#N/A</v>
      </c>
      <c r="I7" s="212" t="e">
        <f>VLOOKUP($D7,capacities!$A$2:$J$2856,I$2,FALSE)*$B7</f>
        <v>#N/A</v>
      </c>
      <c r="J7" s="56" t="e">
        <f>VLOOKUP($D7,capacities!$A$2:$J$2856,J$2,FALSE)*$B7</f>
        <v>#N/A</v>
      </c>
      <c r="K7" s="212" t="e">
        <f>VLOOKUP($D7,capacities!$A$2:$J$2856,K$2,FALSE)*$B7</f>
        <v>#N/A</v>
      </c>
      <c r="L7" s="212" t="e">
        <f>VLOOKUP($D7,capacities!$A$2:$J$2856,L$2,FALSE)*$C7</f>
        <v>#N/A</v>
      </c>
      <c r="M7" s="56" t="e">
        <f>VLOOKUP($D7,capacities!$A$2:$J$2856,M$2,FALSE)*$C7</f>
        <v>#N/A</v>
      </c>
      <c r="N7" s="973" t="e">
        <v>#N/A</v>
      </c>
      <c r="O7" s="193"/>
      <c r="P7" s="193"/>
      <c r="Q7" s="190"/>
      <c r="R7" s="190"/>
      <c r="S7" s="198" t="s">
        <v>1249</v>
      </c>
      <c r="T7" s="199" t="s">
        <v>1926</v>
      </c>
      <c r="U7" s="212" t="e">
        <f>'Wasserstoff - Produktion'!E9/'Wasserstoff - Inst. Kapazitäten'!G9</f>
        <v>#N/A</v>
      </c>
      <c r="V7" s="212" t="s">
        <v>1812</v>
      </c>
      <c r="W7" s="212" t="e">
        <f>'Wasserstoff - Produktion'!G9/'Wasserstoff - Inst. Kapazitäten'!I9</f>
        <v>#N/A</v>
      </c>
      <c r="X7" s="212" t="e">
        <f>'Wasserstoff - Produktion'!H9/'Wasserstoff - Inst. Kapazitäten'!J9</f>
        <v>#N/A</v>
      </c>
      <c r="Y7" s="212" t="e">
        <f>'Wasserstoff - Produktion'!I9/'Wasserstoff - Inst. Kapazitäten'!K9</f>
        <v>#N/A</v>
      </c>
      <c r="Z7" s="212" t="e">
        <f>'Wasserstoff - Produktion'!J9/'Wasserstoff - Inst. Kapazitäten'!L9</f>
        <v>#N/A</v>
      </c>
      <c r="AA7" s="212" t="e">
        <f>'Wasserstoff - Produktion'!K9/'Wasserstoff - Inst. Kapazitäten'!M9</f>
        <v>#N/A</v>
      </c>
      <c r="AB7" s="212">
        <f>'Wasserstoff - Produktion'!L9/'Wasserstoff - Inst. Kapazitäten'!N9</f>
        <v>1982.6580969048887</v>
      </c>
    </row>
    <row r="8" spans="2:28" ht="14.5" x14ac:dyDescent="0.35">
      <c r="B8" s="342">
        <v>1</v>
      </c>
      <c r="C8" s="342">
        <v>1</v>
      </c>
      <c r="D8" s="206" t="s">
        <v>4222</v>
      </c>
      <c r="E8" s="344" t="s">
        <v>4235</v>
      </c>
      <c r="F8" s="344" t="s">
        <v>4237</v>
      </c>
      <c r="G8" s="212" t="e">
        <f>VLOOKUP($D8,capacities!$A$2:$J$2856,G$2,FALSE)*$B8</f>
        <v>#N/A</v>
      </c>
      <c r="H8" s="212" t="e">
        <f>VLOOKUP($D8,capacities!$A$2:$J$2856,H$2,FALSE)*$B8</f>
        <v>#N/A</v>
      </c>
      <c r="I8" s="212" t="e">
        <f>VLOOKUP($D8,capacities!$A$2:$J$2856,I$2,FALSE)*$B8</f>
        <v>#N/A</v>
      </c>
      <c r="J8" s="56" t="e">
        <f>VLOOKUP($D8,capacities!$A$2:$J$2856,J$2,FALSE)*$B8</f>
        <v>#N/A</v>
      </c>
      <c r="K8" s="212" t="e">
        <f>VLOOKUP($D8,capacities!$A$2:$J$2856,K$2,FALSE)*$B8</f>
        <v>#N/A</v>
      </c>
      <c r="L8" s="212" t="e">
        <f>VLOOKUP($D8,capacities!$A$2:$J$2856,L$2,FALSE)*$C8</f>
        <v>#N/A</v>
      </c>
      <c r="M8" s="56" t="e">
        <f>VLOOKUP($D8,capacities!$A$2:$J$2856,M$2,FALSE)*$C8</f>
        <v>#N/A</v>
      </c>
      <c r="N8" s="973">
        <v>17.090254830590041</v>
      </c>
      <c r="O8" s="193"/>
      <c r="P8" s="193"/>
      <c r="Q8" s="190"/>
      <c r="R8" s="190"/>
      <c r="S8" s="198" t="s">
        <v>1252</v>
      </c>
      <c r="T8" s="199" t="s">
        <v>1929</v>
      </c>
      <c r="U8" s="212" t="e">
        <f>'Wasserstoff - Produktion'!E10/'Wasserstoff - Inst. Kapazitäten'!G10</f>
        <v>#N/A</v>
      </c>
      <c r="V8" s="212" t="s">
        <v>1812</v>
      </c>
      <c r="W8" s="212" t="s">
        <v>5030</v>
      </c>
      <c r="X8" s="212" t="e">
        <f>'Wasserstoff - Produktion'!H10/'Wasserstoff - Inst. Kapazitäten'!J10</f>
        <v>#N/A</v>
      </c>
      <c r="Y8" s="212" t="e">
        <f>'Wasserstoff - Produktion'!I10/'Wasserstoff - Inst. Kapazitäten'!K10</f>
        <v>#N/A</v>
      </c>
      <c r="Z8" s="212" t="e">
        <f>'Wasserstoff - Produktion'!J10/'Wasserstoff - Inst. Kapazitäten'!L10</f>
        <v>#N/A</v>
      </c>
      <c r="AA8" s="212" t="e">
        <f>'Wasserstoff - Produktion'!K10/'Wasserstoff - Inst. Kapazitäten'!M10</f>
        <v>#N/A</v>
      </c>
      <c r="AB8" s="212" t="e">
        <f>'Wasserstoff - Produktion'!L10/'Wasserstoff - Inst. Kapazitäten'!N10</f>
        <v>#N/A</v>
      </c>
    </row>
    <row r="9" spans="2:28" ht="14.5" x14ac:dyDescent="0.35">
      <c r="B9" s="191">
        <v>0.65</v>
      </c>
      <c r="C9" s="191">
        <v>0.7</v>
      </c>
      <c r="D9" s="206" t="s">
        <v>16</v>
      </c>
      <c r="E9" s="199" t="s">
        <v>1249</v>
      </c>
      <c r="F9" s="199" t="s">
        <v>1926</v>
      </c>
      <c r="G9" s="212" t="e">
        <f>VLOOKUP($D9,capacities!$A$2:$J$2856,G$2,FALSE)*$B9</f>
        <v>#N/A</v>
      </c>
      <c r="H9" s="212" t="e">
        <f>VLOOKUP($D9,capacities!$A$2:$J$2856,H$2,FALSE)*$B9</f>
        <v>#N/A</v>
      </c>
      <c r="I9" s="212" t="e">
        <f>VLOOKUP($D9,capacities!$A$2:$J$2856,I$2,FALSE)*$B9</f>
        <v>#N/A</v>
      </c>
      <c r="J9" s="212" t="e">
        <f>VLOOKUP($D9,capacities!$A$2:$J$2856,J$2,FALSE)*$B9</f>
        <v>#N/A</v>
      </c>
      <c r="K9" s="212" t="e">
        <f>VLOOKUP($D9,capacities!$A$2:$J$2856,K$2,FALSE)*$B9</f>
        <v>#N/A</v>
      </c>
      <c r="L9" s="212" t="e">
        <f>VLOOKUP($D9,capacities!$A$2:$J$2856,L$2,FALSE)*$C9</f>
        <v>#N/A</v>
      </c>
      <c r="M9" s="212" t="e">
        <f>VLOOKUP($D9,capacities!$A$2:$J$2856,M$2,FALSE)*$C9</f>
        <v>#N/A</v>
      </c>
      <c r="N9" s="973">
        <v>35.209647887630183</v>
      </c>
      <c r="O9" s="193"/>
      <c r="P9" s="193"/>
      <c r="Q9" s="190"/>
      <c r="R9" s="190"/>
      <c r="S9" s="198" t="s">
        <v>1250</v>
      </c>
      <c r="T9" s="199" t="s">
        <v>1928</v>
      </c>
      <c r="U9" s="212" t="e">
        <f>'Wasserstoff - Produktion'!E12/'Wasserstoff - Inst. Kapazitäten'!G12</f>
        <v>#N/A</v>
      </c>
      <c r="V9" s="212" t="s">
        <v>1812</v>
      </c>
      <c r="W9" s="212" t="e">
        <f>'Wasserstoff - Produktion'!G12/'Wasserstoff - Inst. Kapazitäten'!I12</f>
        <v>#N/A</v>
      </c>
      <c r="X9" s="212" t="e">
        <f>'Wasserstoff - Produktion'!H12/'Wasserstoff - Inst. Kapazitäten'!J12</f>
        <v>#N/A</v>
      </c>
      <c r="Y9" s="212" t="e">
        <f>'Wasserstoff - Produktion'!I12/'Wasserstoff - Inst. Kapazitäten'!K12</f>
        <v>#N/A</v>
      </c>
      <c r="Z9" s="212" t="e">
        <f>'Wasserstoff - Produktion'!J12/'Wasserstoff - Inst. Kapazitäten'!L12</f>
        <v>#N/A</v>
      </c>
      <c r="AA9" s="212" t="e">
        <f>'Wasserstoff - Produktion'!K12/'Wasserstoff - Inst. Kapazitäten'!M12</f>
        <v>#N/A</v>
      </c>
      <c r="AB9" s="212">
        <f>'Wasserstoff - Produktion'!L12/'Wasserstoff - Inst. Kapazitäten'!N12</f>
        <v>2930.9463772464173</v>
      </c>
    </row>
    <row r="10" spans="2:28" ht="14.5" x14ac:dyDescent="0.35">
      <c r="B10" s="191">
        <v>0.85</v>
      </c>
      <c r="C10" s="191">
        <v>0.85</v>
      </c>
      <c r="D10" s="206" t="s">
        <v>13</v>
      </c>
      <c r="E10" s="199" t="s">
        <v>1252</v>
      </c>
      <c r="F10" s="199" t="s">
        <v>1929</v>
      </c>
      <c r="G10" s="212" t="e">
        <f>VLOOKUP($D10,capacities!$A$2:$J$2856,G$2,FALSE)*$B10</f>
        <v>#N/A</v>
      </c>
      <c r="H10" s="56" t="e">
        <f>VLOOKUP($D10,capacities!$A$2:$J$2856,H$2,FALSE)*$B10</f>
        <v>#N/A</v>
      </c>
      <c r="I10" s="212" t="e">
        <f>VLOOKUP($D10,capacities!$A$2:$J$2856,I$2,FALSE)*$B10</f>
        <v>#N/A</v>
      </c>
      <c r="J10" s="212" t="e">
        <f>VLOOKUP($D10,capacities!$A$2:$J$2856,J$2,FALSE)*$B10</f>
        <v>#N/A</v>
      </c>
      <c r="K10" s="212" t="e">
        <f>VLOOKUP($D10,capacities!$A$2:$J$2856,K$2,FALSE)*$B10</f>
        <v>#N/A</v>
      </c>
      <c r="L10" s="212" t="e">
        <f>VLOOKUP($D10,capacities!$A$2:$J$2856,L$2,FALSE)*$C10</f>
        <v>#N/A</v>
      </c>
      <c r="M10" s="212" t="e">
        <f>VLOOKUP($D10,capacities!$A$2:$J$2856,M$2,FALSE)*$C10</f>
        <v>#N/A</v>
      </c>
      <c r="N10" s="973" t="e">
        <v>#N/A</v>
      </c>
      <c r="O10" s="193"/>
      <c r="P10" s="193"/>
      <c r="Q10" s="190"/>
      <c r="R10" s="190"/>
      <c r="S10" s="203" t="s">
        <v>1251</v>
      </c>
      <c r="T10" s="204" t="s">
        <v>1930</v>
      </c>
      <c r="U10" s="212" t="e">
        <f>'Wasserstoff - Produktion'!E13/'Wasserstoff - Inst. Kapazitäten'!G13</f>
        <v>#N/A</v>
      </c>
      <c r="V10" s="212" t="s">
        <v>1812</v>
      </c>
      <c r="W10" s="212" t="e">
        <f>'Wasserstoff - Produktion'!G13/'Wasserstoff - Inst. Kapazitäten'!I13</f>
        <v>#N/A</v>
      </c>
      <c r="X10" s="212" t="e">
        <f>'Wasserstoff - Produktion'!H13/'Wasserstoff - Inst. Kapazitäten'!J13</f>
        <v>#N/A</v>
      </c>
      <c r="Y10" s="212" t="e">
        <f>'Wasserstoff - Produktion'!I13/'Wasserstoff - Inst. Kapazitäten'!K13</f>
        <v>#N/A</v>
      </c>
      <c r="Z10" s="212" t="e">
        <f>'Wasserstoff - Produktion'!J13/'Wasserstoff - Inst. Kapazitäten'!L13</f>
        <v>#N/A</v>
      </c>
      <c r="AA10" s="212" t="e">
        <f>'Wasserstoff - Produktion'!K13/'Wasserstoff - Inst. Kapazitäten'!M13</f>
        <v>#N/A</v>
      </c>
      <c r="AB10" s="212" t="e">
        <f>'Wasserstoff - Produktion'!L13/'Wasserstoff - Inst. Kapazitäten'!N13</f>
        <v>#N/A</v>
      </c>
    </row>
    <row r="11" spans="2:28" ht="14.5" x14ac:dyDescent="0.35">
      <c r="B11" s="342">
        <v>0.84</v>
      </c>
      <c r="C11" s="342">
        <v>0.84</v>
      </c>
      <c r="D11" s="206" t="s">
        <v>4244</v>
      </c>
      <c r="E11" s="344" t="s">
        <v>4254</v>
      </c>
      <c r="F11" s="344" t="s">
        <v>4253</v>
      </c>
      <c r="G11" s="212" t="e">
        <f>VLOOKUP($D11,capacities!$A$2:$J$2856,G$2,FALSE)*$B11</f>
        <v>#N/A</v>
      </c>
      <c r="H11" s="56" t="e">
        <f>VLOOKUP($D11,capacities!$A$2:$J$2856,H$2,FALSE)*$B11</f>
        <v>#N/A</v>
      </c>
      <c r="I11" s="212" t="e">
        <f>VLOOKUP($D11,capacities!$A$2:$J$2856,I$2,FALSE)*$B11</f>
        <v>#N/A</v>
      </c>
      <c r="J11" s="212" t="e">
        <f>VLOOKUP($D11,capacities!$A$2:$J$2856,J$2,FALSE)*$B11</f>
        <v>#N/A</v>
      </c>
      <c r="K11" s="212" t="e">
        <f>VLOOKUP($D11,capacities!$A$2:$J$2856,K$2,FALSE)*$B11</f>
        <v>#N/A</v>
      </c>
      <c r="L11" s="212" t="e">
        <f>VLOOKUP($D11,capacities!$A$2:$J$2856,L$2,FALSE)*$C11</f>
        <v>#N/A</v>
      </c>
      <c r="M11" s="212" t="e">
        <f>VLOOKUP($D11,capacities!$A$2:$J$2856,M$2,FALSE)*$C11</f>
        <v>#N/A</v>
      </c>
      <c r="N11" s="973" t="e">
        <v>#N/A</v>
      </c>
      <c r="O11" s="193"/>
      <c r="P11" s="193"/>
      <c r="Q11" s="190"/>
      <c r="R11" s="190"/>
      <c r="S11" s="343" t="s">
        <v>1253</v>
      </c>
      <c r="T11" s="344" t="s">
        <v>1927</v>
      </c>
      <c r="U11" s="212" t="e">
        <f>'Wasserstoff - Produktion'!E14/'Wasserstoff - Inst. Kapazitäten'!G14</f>
        <v>#VALUE!</v>
      </c>
      <c r="V11" s="212" t="s">
        <v>1812</v>
      </c>
      <c r="W11" s="212" t="s">
        <v>5031</v>
      </c>
      <c r="X11" s="212" t="s">
        <v>5032</v>
      </c>
      <c r="Y11" s="212" t="s">
        <v>5033</v>
      </c>
      <c r="Z11" s="212" t="e">
        <f>'Wasserstoff - Produktion'!J14/'Wasserstoff - Inst. Kapazitäten'!L14</f>
        <v>#VALUE!</v>
      </c>
      <c r="AA11" s="212" t="e">
        <f>'Wasserstoff - Produktion'!K14/'Wasserstoff - Inst. Kapazitäten'!M14</f>
        <v>#VALUE!</v>
      </c>
      <c r="AB11" s="212">
        <f>'Wasserstoff - Produktion'!L14/'Wasserstoff - Inst. Kapazitäten'!N14</f>
        <v>3726.640461235711</v>
      </c>
    </row>
    <row r="12" spans="2:28" ht="14.5" x14ac:dyDescent="0.35">
      <c r="B12" s="191">
        <v>0.65</v>
      </c>
      <c r="C12" s="191">
        <v>0.7</v>
      </c>
      <c r="D12" s="207" t="s">
        <v>17</v>
      </c>
      <c r="E12" s="199" t="s">
        <v>1250</v>
      </c>
      <c r="F12" s="199" t="s">
        <v>1928</v>
      </c>
      <c r="G12" s="212" t="e">
        <f>VLOOKUP($D12,capacities!$A$2:$J$2856,G$2,FALSE)*$B12</f>
        <v>#N/A</v>
      </c>
      <c r="H12" s="212" t="e">
        <f>VLOOKUP($D12,capacities!$A$2:$J$2856,H$2,FALSE)*$B12</f>
        <v>#N/A</v>
      </c>
      <c r="I12" s="212" t="e">
        <f>VLOOKUP($D12,capacities!$A$2:$J$2856,I$2,FALSE)*$B12</f>
        <v>#N/A</v>
      </c>
      <c r="J12" s="212" t="e">
        <f>VLOOKUP($D12,capacities!$A$2:$J$2856,J$2,FALSE)*$B12</f>
        <v>#N/A</v>
      </c>
      <c r="K12" s="212" t="e">
        <f>VLOOKUP($D12,capacities!$A$2:$J$2856,K$2,FALSE)*$B12</f>
        <v>#N/A</v>
      </c>
      <c r="L12" s="56" t="e">
        <f>VLOOKUP($D12,capacities!$A$2:$J$2856,L$2,FALSE)*$C12</f>
        <v>#N/A</v>
      </c>
      <c r="M12" s="212" t="e">
        <f>VLOOKUP($D12,capacities!$A$2:$J$2856,M$2,FALSE)*$C12</f>
        <v>#N/A</v>
      </c>
      <c r="N12" s="973">
        <v>11.660211356748624</v>
      </c>
      <c r="O12" s="193"/>
      <c r="P12" s="193"/>
      <c r="Q12" s="190"/>
      <c r="R12" s="190"/>
      <c r="S12" s="204" t="s">
        <v>2572</v>
      </c>
      <c r="T12" s="204" t="s">
        <v>2692</v>
      </c>
      <c r="U12" s="212" t="e">
        <f>'Wasserstoff - Produktion'!E15/'Wasserstoff - Inst. Kapazitäten'!G15</f>
        <v>#N/A</v>
      </c>
      <c r="V12" s="212" t="s">
        <v>1812</v>
      </c>
      <c r="W12" s="212" t="e">
        <f>'Wasserstoff - Produktion'!G15/'Wasserstoff - Inst. Kapazitäten'!I15</f>
        <v>#N/A</v>
      </c>
      <c r="X12" s="212" t="e">
        <f>'Wasserstoff - Produktion'!H15/'Wasserstoff - Inst. Kapazitäten'!J15</f>
        <v>#N/A</v>
      </c>
      <c r="Y12" s="212" t="e">
        <f>'Wasserstoff - Produktion'!I15/'Wasserstoff - Inst. Kapazitäten'!K15</f>
        <v>#N/A</v>
      </c>
      <c r="Z12" s="212" t="e">
        <f>'Wasserstoff - Produktion'!J15/'Wasserstoff - Inst. Kapazitäten'!L15</f>
        <v>#N/A</v>
      </c>
      <c r="AA12" s="212" t="e">
        <f>'Wasserstoff - Produktion'!K15/'Wasserstoff - Inst. Kapazitäten'!M15</f>
        <v>#N/A</v>
      </c>
      <c r="AB12" s="212" t="e">
        <f>'Wasserstoff - Produktion'!L15/'Wasserstoff - Inst. Kapazitäten'!N15</f>
        <v>#N/A</v>
      </c>
    </row>
    <row r="13" spans="2:28" ht="14.5" x14ac:dyDescent="0.35">
      <c r="B13" s="191">
        <v>0.8</v>
      </c>
      <c r="C13" s="191">
        <v>0.8</v>
      </c>
      <c r="D13" s="206" t="s">
        <v>14</v>
      </c>
      <c r="E13" s="204" t="s">
        <v>1251</v>
      </c>
      <c r="F13" s="204" t="s">
        <v>1930</v>
      </c>
      <c r="G13" s="212" t="e">
        <f>VLOOKUP($D13,capacities!$A$2:$J$2856,G$2,FALSE)*$B13</f>
        <v>#N/A</v>
      </c>
      <c r="H13" s="212" t="e">
        <f>VLOOKUP($D13,capacities!$A$2:$J$2856,H$2,FALSE)*$B13</f>
        <v>#N/A</v>
      </c>
      <c r="I13" s="212" t="e">
        <f>VLOOKUP($D13,capacities!$A$2:$J$2856,I$2,FALSE)*$B13</f>
        <v>#N/A</v>
      </c>
      <c r="J13" s="212" t="e">
        <f>VLOOKUP($D13,capacities!$A$2:$J$2856,J$2,FALSE)*$B13</f>
        <v>#N/A</v>
      </c>
      <c r="K13" s="56" t="e">
        <f>VLOOKUP($D13,capacities!$A$2:$J$2856,K$2,FALSE)*$B13</f>
        <v>#N/A</v>
      </c>
      <c r="L13" s="212" t="e">
        <f>VLOOKUP($D13,capacities!$A$2:$J$2856,L$2,FALSE)*$C13</f>
        <v>#N/A</v>
      </c>
      <c r="M13" s="212" t="e">
        <f>VLOOKUP($D13,capacities!$A$2:$J$2856,M$2,FALSE)*$C13</f>
        <v>#N/A</v>
      </c>
      <c r="N13" s="973" t="e">
        <v>#N/A</v>
      </c>
      <c r="O13" s="193"/>
      <c r="P13" s="193"/>
      <c r="Q13" s="190"/>
      <c r="R13" s="190"/>
      <c r="S13" s="190"/>
      <c r="T13" s="190"/>
      <c r="U13" s="190"/>
      <c r="V13" s="190"/>
      <c r="W13" s="190"/>
      <c r="X13" s="190"/>
      <c r="Y13" s="190"/>
      <c r="Z13" s="190"/>
      <c r="AA13" s="190"/>
      <c r="AB13" s="190"/>
    </row>
    <row r="14" spans="2:28" ht="14.5" x14ac:dyDescent="0.35">
      <c r="B14" s="191">
        <v>0.7</v>
      </c>
      <c r="C14" s="191">
        <v>0.7</v>
      </c>
      <c r="D14" s="206" t="s">
        <v>47</v>
      </c>
      <c r="E14" s="344" t="s">
        <v>2320</v>
      </c>
      <c r="F14" s="344" t="s">
        <v>2320</v>
      </c>
      <c r="G14" s="212" t="s">
        <v>5029</v>
      </c>
      <c r="H14" s="212" t="s">
        <v>5029</v>
      </c>
      <c r="I14" s="212" t="s">
        <v>5029</v>
      </c>
      <c r="J14" s="212" t="s">
        <v>5029</v>
      </c>
      <c r="K14" s="212" t="s">
        <v>5029</v>
      </c>
      <c r="L14" s="212" t="s">
        <v>5029</v>
      </c>
      <c r="M14" s="212" t="s">
        <v>5029</v>
      </c>
      <c r="N14" s="904">
        <v>2.6616181328386701E-4</v>
      </c>
      <c r="O14" s="193"/>
      <c r="P14" s="193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90"/>
      <c r="AB14" s="190"/>
    </row>
    <row r="15" spans="2:28" ht="14.5" x14ac:dyDescent="0.35">
      <c r="B15" s="342">
        <v>0.62</v>
      </c>
      <c r="C15" s="342">
        <v>0.62</v>
      </c>
      <c r="D15" s="207" t="s">
        <v>2456</v>
      </c>
      <c r="E15" s="204" t="s">
        <v>2572</v>
      </c>
      <c r="F15" s="204" t="s">
        <v>2692</v>
      </c>
      <c r="G15" s="212" t="e">
        <f>VLOOKUP($D15,capacities!$A$2:$J$2856,G$2,FALSE)*$B15</f>
        <v>#N/A</v>
      </c>
      <c r="H15" s="212" t="e">
        <f>VLOOKUP($D15,capacities!$A$2:$J$2856,H$2,FALSE)*$B15</f>
        <v>#N/A</v>
      </c>
      <c r="I15" s="212" t="e">
        <f>VLOOKUP($D15,capacities!$A$2:$J$2856,I$2,FALSE)*$B15</f>
        <v>#N/A</v>
      </c>
      <c r="J15" s="212" t="e">
        <f>VLOOKUP($D15,capacities!$A$2:$J$2856,J$2,FALSE)*$B15</f>
        <v>#N/A</v>
      </c>
      <c r="K15" s="212" t="e">
        <f>VLOOKUP($D15,capacities!$A$2:$J$2856,K$2,FALSE)*$B15</f>
        <v>#N/A</v>
      </c>
      <c r="L15" s="212" t="e">
        <f>VLOOKUP($D15,capacities!$A$2:$J$2856,L$2,FALSE)*$C15</f>
        <v>#N/A</v>
      </c>
      <c r="M15" s="212" t="e">
        <f>VLOOKUP($D15,capacities!$A$2:$J$2856,M$2,FALSE)*$C15</f>
        <v>#N/A</v>
      </c>
      <c r="N15" s="973" t="e">
        <v>#N/A</v>
      </c>
      <c r="O15" s="193"/>
      <c r="P15" s="193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B15" s="190"/>
    </row>
    <row r="16" spans="2:28" ht="14.5" x14ac:dyDescent="0.35">
      <c r="B16" s="190"/>
      <c r="C16" s="190"/>
      <c r="D16" s="194"/>
      <c r="E16" s="194"/>
      <c r="F16" s="194"/>
      <c r="G16" s="193"/>
      <c r="H16" s="193"/>
      <c r="I16" s="193"/>
      <c r="J16" s="193"/>
      <c r="K16" s="193"/>
      <c r="L16" s="193"/>
      <c r="M16" s="193"/>
      <c r="N16" s="193"/>
      <c r="O16" s="193"/>
      <c r="P16" s="193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</row>
    <row r="17" spans="2:16" ht="14.5" x14ac:dyDescent="0.35">
      <c r="B17" s="190"/>
      <c r="C17" s="190"/>
      <c r="D17" s="194"/>
      <c r="E17" s="194"/>
      <c r="F17" s="194"/>
      <c r="G17" s="193"/>
      <c r="H17" s="193"/>
      <c r="I17" s="193"/>
      <c r="J17" s="193"/>
      <c r="K17" s="193"/>
      <c r="L17" s="193"/>
      <c r="M17" s="193"/>
      <c r="N17" s="193"/>
      <c r="O17" s="193"/>
      <c r="P17" s="193"/>
    </row>
    <row r="18" spans="2:16" ht="14.5" x14ac:dyDescent="0.35">
      <c r="B18" s="190"/>
      <c r="C18" s="190"/>
      <c r="D18" s="194"/>
      <c r="E18" s="194"/>
      <c r="F18" s="194"/>
      <c r="G18" s="193"/>
      <c r="H18" s="193"/>
      <c r="I18" s="193"/>
      <c r="J18" s="193"/>
      <c r="K18" s="193"/>
      <c r="L18" s="193"/>
      <c r="M18" s="193"/>
      <c r="N18" s="193"/>
      <c r="O18" s="193"/>
      <c r="P18" s="193"/>
    </row>
    <row r="19" spans="2:16" ht="14.5" x14ac:dyDescent="0.35">
      <c r="B19" s="190"/>
      <c r="C19" s="190"/>
      <c r="D19" s="194"/>
      <c r="E19" s="194"/>
      <c r="F19" s="194"/>
      <c r="G19" s="193"/>
      <c r="H19" s="193"/>
      <c r="I19" s="193"/>
      <c r="J19" s="193"/>
      <c r="K19" s="193"/>
      <c r="L19" s="193"/>
      <c r="M19" s="193"/>
      <c r="N19" s="193"/>
      <c r="O19" s="193"/>
      <c r="P19" s="193"/>
    </row>
    <row r="20" spans="2:16" x14ac:dyDescent="0.35">
      <c r="D20" s="194"/>
      <c r="E20" s="194"/>
      <c r="F20" s="194"/>
      <c r="G20" s="193"/>
      <c r="H20" s="193"/>
      <c r="I20" s="193"/>
      <c r="J20" s="193"/>
      <c r="K20" s="193"/>
      <c r="L20" s="193"/>
      <c r="M20" s="193"/>
      <c r="N20" s="193"/>
      <c r="O20" s="193"/>
      <c r="P20" s="193"/>
    </row>
    <row r="21" spans="2:16" x14ac:dyDescent="0.35">
      <c r="D21" s="194"/>
      <c r="E21" s="194"/>
      <c r="F21" s="194"/>
      <c r="G21" s="193"/>
      <c r="H21" s="193"/>
      <c r="I21" s="193"/>
      <c r="J21" s="193"/>
      <c r="K21" s="193"/>
      <c r="L21" s="193"/>
      <c r="M21" s="193"/>
      <c r="N21" s="193"/>
      <c r="O21" s="193"/>
      <c r="P21" s="193"/>
    </row>
    <row r="22" spans="2:16" x14ac:dyDescent="0.35">
      <c r="D22" s="194"/>
      <c r="E22" s="194"/>
      <c r="F22" s="194"/>
      <c r="G22" s="193"/>
      <c r="H22" s="193"/>
      <c r="I22" s="193"/>
      <c r="J22" s="193"/>
      <c r="K22" s="193"/>
      <c r="L22" s="193"/>
      <c r="M22" s="193"/>
      <c r="N22" s="193"/>
    </row>
    <row r="23" spans="2:16" x14ac:dyDescent="0.35">
      <c r="D23" s="194"/>
      <c r="E23" s="194"/>
      <c r="F23" s="194"/>
      <c r="G23" s="193"/>
      <c r="H23" s="193"/>
      <c r="I23" s="193"/>
      <c r="J23" s="193"/>
      <c r="K23" s="193"/>
      <c r="L23" s="193"/>
      <c r="M23" s="193"/>
      <c r="N23" s="193"/>
    </row>
    <row r="24" spans="2:16" x14ac:dyDescent="0.35">
      <c r="D24" s="194"/>
      <c r="E24" s="194"/>
      <c r="F24" s="194"/>
      <c r="G24" s="193"/>
      <c r="H24" s="193"/>
      <c r="I24" s="193"/>
      <c r="J24" s="193"/>
      <c r="K24" s="193"/>
      <c r="L24" s="193"/>
      <c r="M24" s="193"/>
      <c r="N24" s="193"/>
    </row>
  </sheetData>
  <dataConsolidate/>
  <phoneticPr fontId="31" type="noConversion"/>
  <pageMargins left="0.7" right="0.7" top="0.78740157499999996" bottom="0.78740157499999996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70C0"/>
  </sheetPr>
  <dimension ref="B1:BK65"/>
  <sheetViews>
    <sheetView zoomScale="70" zoomScaleNormal="70" workbookViewId="0">
      <selection activeCell="A8" sqref="A8"/>
    </sheetView>
  </sheetViews>
  <sheetFormatPr baseColWidth="10" defaultColWidth="11.453125" defaultRowHeight="14" x14ac:dyDescent="0.35"/>
  <cols>
    <col min="1" max="1" width="11.453125" style="2"/>
    <col min="2" max="2" width="38.54296875" style="2" bestFit="1" customWidth="1"/>
    <col min="3" max="3" width="38.54296875" style="191" customWidth="1"/>
    <col min="4" max="5" width="11.453125" style="2" customWidth="1"/>
    <col min="6" max="13" width="11.453125" style="2"/>
    <col min="14" max="14" width="52.1796875" style="2" bestFit="1" customWidth="1"/>
    <col min="15" max="15" width="22.54296875" style="2" bestFit="1" customWidth="1"/>
    <col min="16" max="16" width="22.54296875" style="191" customWidth="1"/>
    <col min="17" max="26" width="11.453125" style="2"/>
    <col min="27" max="27" width="42.54296875" style="2" bestFit="1" customWidth="1"/>
    <col min="28" max="28" width="22.54296875" style="2" bestFit="1" customWidth="1"/>
    <col min="29" max="29" width="22.54296875" style="191" customWidth="1"/>
    <col min="30" max="39" width="11.453125" style="2"/>
    <col min="40" max="40" width="45" style="2" bestFit="1" customWidth="1"/>
    <col min="41" max="41" width="22.54296875" style="2" bestFit="1" customWidth="1"/>
    <col min="42" max="42" width="22.54296875" style="191" customWidth="1"/>
    <col min="43" max="44" width="11.453125" style="2"/>
    <col min="45" max="45" width="11.54296875" style="2" bestFit="1" customWidth="1"/>
    <col min="46" max="46" width="14" style="2" bestFit="1" customWidth="1"/>
    <col min="47" max="47" width="12.81640625" style="2" bestFit="1" customWidth="1"/>
    <col min="48" max="48" width="11.453125" style="2"/>
    <col min="49" max="50" width="14" style="2" bestFit="1" customWidth="1"/>
    <col min="51" max="52" width="11.453125" style="2"/>
    <col min="53" max="53" width="43.81640625" style="2" bestFit="1" customWidth="1"/>
    <col min="54" max="54" width="22.54296875" style="2" bestFit="1" customWidth="1"/>
    <col min="55" max="55" width="17.453125" style="191" bestFit="1" customWidth="1"/>
    <col min="56" max="16384" width="11.453125" style="2"/>
  </cols>
  <sheetData>
    <row r="1" spans="2:63" ht="14.5" thickBot="1" x14ac:dyDescent="0.4"/>
    <row r="2" spans="2:63" ht="14.5" x14ac:dyDescent="0.35">
      <c r="B2" s="3" t="s">
        <v>1217</v>
      </c>
      <c r="C2" s="209"/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N2" s="345" t="s">
        <v>1219</v>
      </c>
      <c r="O2" s="345"/>
      <c r="P2" s="345"/>
      <c r="Q2" s="92">
        <v>2</v>
      </c>
      <c r="R2" s="92">
        <v>3</v>
      </c>
      <c r="S2" s="92">
        <v>4</v>
      </c>
      <c r="T2" s="92">
        <v>5</v>
      </c>
      <c r="U2" s="92">
        <v>6</v>
      </c>
      <c r="V2" s="92">
        <v>7</v>
      </c>
      <c r="W2" s="92">
        <v>8</v>
      </c>
      <c r="X2" s="92">
        <v>9</v>
      </c>
      <c r="AA2" s="3" t="s">
        <v>1271</v>
      </c>
      <c r="AB2" s="29"/>
      <c r="AC2" s="209"/>
      <c r="AD2" s="89">
        <v>2</v>
      </c>
      <c r="AE2" s="89">
        <v>3</v>
      </c>
      <c r="AF2" s="89">
        <v>4</v>
      </c>
      <c r="AG2" s="89">
        <v>5</v>
      </c>
      <c r="AH2" s="89">
        <v>6</v>
      </c>
      <c r="AI2" s="89">
        <v>7</v>
      </c>
      <c r="AJ2" s="89">
        <v>8</v>
      </c>
      <c r="AK2" s="89">
        <v>9</v>
      </c>
      <c r="AN2" s="196" t="s">
        <v>1272</v>
      </c>
      <c r="AO2" s="209"/>
      <c r="AP2" s="209"/>
      <c r="AQ2" s="89">
        <v>2</v>
      </c>
      <c r="AR2" s="89">
        <v>3</v>
      </c>
      <c r="AS2" s="89">
        <v>4</v>
      </c>
      <c r="AT2" s="89">
        <v>5</v>
      </c>
      <c r="AU2" s="89">
        <v>6</v>
      </c>
      <c r="AV2" s="89">
        <v>7</v>
      </c>
      <c r="AW2" s="89">
        <v>8</v>
      </c>
      <c r="AX2" s="90">
        <v>9</v>
      </c>
      <c r="BA2" s="25" t="s">
        <v>1273</v>
      </c>
      <c r="BB2" s="29"/>
      <c r="BC2" s="209"/>
      <c r="BD2" s="89">
        <v>2</v>
      </c>
      <c r="BE2" s="89">
        <v>3</v>
      </c>
      <c r="BF2" s="89">
        <v>4</v>
      </c>
      <c r="BG2" s="89">
        <v>5</v>
      </c>
      <c r="BH2" s="89">
        <v>6</v>
      </c>
      <c r="BI2" s="89">
        <v>7</v>
      </c>
      <c r="BJ2" s="89">
        <v>8</v>
      </c>
      <c r="BK2" s="89">
        <v>9</v>
      </c>
    </row>
    <row r="3" spans="2:63" ht="14.5" x14ac:dyDescent="0.35">
      <c r="B3" s="23" t="s">
        <v>1157</v>
      </c>
      <c r="C3" s="210"/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 t="s">
        <v>4477</v>
      </c>
      <c r="L3" s="321" t="s">
        <v>4411</v>
      </c>
      <c r="N3" s="210" t="s">
        <v>1258</v>
      </c>
      <c r="O3" s="210" t="s">
        <v>1259</v>
      </c>
      <c r="P3" s="210"/>
      <c r="Q3" s="102" t="s">
        <v>1417</v>
      </c>
      <c r="R3" s="102">
        <v>2020</v>
      </c>
      <c r="S3" s="102">
        <v>2025</v>
      </c>
      <c r="T3" s="102">
        <v>2030</v>
      </c>
      <c r="U3" s="102">
        <v>2035</v>
      </c>
      <c r="V3" s="102">
        <v>2040</v>
      </c>
      <c r="W3" s="102">
        <v>2045</v>
      </c>
      <c r="X3" s="102">
        <v>2050</v>
      </c>
      <c r="Y3" s="321" t="s">
        <v>4054</v>
      </c>
      <c r="AA3" s="23" t="s">
        <v>1258</v>
      </c>
      <c r="AB3" s="30" t="s">
        <v>1259</v>
      </c>
      <c r="AC3" s="210"/>
      <c r="AD3" s="133" t="s">
        <v>1417</v>
      </c>
      <c r="AE3" s="133">
        <v>2020</v>
      </c>
      <c r="AF3" s="133">
        <v>2025</v>
      </c>
      <c r="AG3" s="133">
        <v>2030</v>
      </c>
      <c r="AH3" s="133">
        <v>2035</v>
      </c>
      <c r="AI3" s="133">
        <v>2040</v>
      </c>
      <c r="AJ3" s="133">
        <v>2045</v>
      </c>
      <c r="AK3" s="133">
        <v>2050</v>
      </c>
      <c r="AN3" s="205" t="s">
        <v>1258</v>
      </c>
      <c r="AO3" s="210" t="s">
        <v>1259</v>
      </c>
      <c r="AP3" s="210"/>
      <c r="AQ3" s="102" t="s">
        <v>1417</v>
      </c>
      <c r="AR3" s="102">
        <v>2020</v>
      </c>
      <c r="AS3" s="102">
        <v>2025</v>
      </c>
      <c r="AT3" s="102">
        <v>2030</v>
      </c>
      <c r="AU3" s="102">
        <v>2035</v>
      </c>
      <c r="AV3" s="102">
        <v>2040</v>
      </c>
      <c r="AW3" s="102">
        <v>2045</v>
      </c>
      <c r="AX3" s="274">
        <v>2050</v>
      </c>
      <c r="BA3" s="23" t="s">
        <v>1258</v>
      </c>
      <c r="BB3" s="30" t="s">
        <v>1259</v>
      </c>
      <c r="BC3" s="210"/>
      <c r="BD3" s="133" t="s">
        <v>1417</v>
      </c>
      <c r="BE3" s="133">
        <v>2020</v>
      </c>
      <c r="BF3" s="133">
        <v>2025</v>
      </c>
      <c r="BG3" s="133">
        <v>2030</v>
      </c>
      <c r="BH3" s="133">
        <v>2035</v>
      </c>
      <c r="BI3" s="133">
        <v>2040</v>
      </c>
      <c r="BJ3" s="133">
        <v>2045</v>
      </c>
      <c r="BK3" s="133">
        <v>2050</v>
      </c>
    </row>
    <row r="4" spans="2:63" x14ac:dyDescent="0.3">
      <c r="B4" s="19" t="s">
        <v>1163</v>
      </c>
      <c r="C4" s="38" t="s">
        <v>1919</v>
      </c>
      <c r="D4" s="16" t="e">
        <f t="shared" ref="D4:J4" si="0">SUM(AD4:AD9)</f>
        <v>#N/A</v>
      </c>
      <c r="E4" s="346" t="e">
        <f t="shared" si="0"/>
        <v>#N/A</v>
      </c>
      <c r="F4" s="346" t="e">
        <f t="shared" si="0"/>
        <v>#N/A</v>
      </c>
      <c r="G4" s="346" t="e">
        <f t="shared" si="0"/>
        <v>#N/A</v>
      </c>
      <c r="H4" s="346" t="e">
        <f t="shared" si="0"/>
        <v>#N/A</v>
      </c>
      <c r="I4" s="346" t="e">
        <f t="shared" si="0"/>
        <v>#N/A</v>
      </c>
      <c r="J4" s="346" t="e">
        <f t="shared" si="0"/>
        <v>#N/A</v>
      </c>
      <c r="K4" s="369">
        <v>37445.175848094528</v>
      </c>
      <c r="L4" s="2">
        <v>13676.502047682599</v>
      </c>
      <c r="N4" s="337" t="s">
        <v>139</v>
      </c>
      <c r="O4" s="38" t="s">
        <v>1743</v>
      </c>
      <c r="P4" s="38" t="s">
        <v>1935</v>
      </c>
      <c r="Q4" s="346" t="e">
        <f>VLOOKUP($N4,flows!$A$2:$J$4985,Q$2,FALSE)</f>
        <v>#N/A</v>
      </c>
      <c r="R4" s="346" t="e">
        <f>VLOOKUP($N4,flows!$A$2:$J$4985,R$2,FALSE)</f>
        <v>#N/A</v>
      </c>
      <c r="S4" s="346" t="e">
        <f>VLOOKUP($N4,flows!$A$2:$J$4985,S$2,FALSE)</f>
        <v>#N/A</v>
      </c>
      <c r="T4" s="346" t="e">
        <f>VLOOKUP($N4,flows!$A$2:$J$4985,T$2,FALSE)</f>
        <v>#N/A</v>
      </c>
      <c r="U4" s="346" t="e">
        <f>VLOOKUP($N4,flows!$A$2:$J$4985,U$2,FALSE)</f>
        <v>#N/A</v>
      </c>
      <c r="V4" s="346" t="e">
        <f>VLOOKUP($N4,flows!$A$2:$J$4985,V$2,FALSE)</f>
        <v>#N/A</v>
      </c>
      <c r="W4" s="346" t="e">
        <f>VLOOKUP($N4,flows!$A$2:$J$4985,W$2,FALSE)</f>
        <v>#N/A</v>
      </c>
      <c r="X4" s="346" t="e">
        <f>VLOOKUP($N4,flows!$A$2:$J$4985,X$2,FALSE)</f>
        <v>#N/A</v>
      </c>
      <c r="Y4" s="2">
        <v>22063.116024519572</v>
      </c>
      <c r="AA4" s="26" t="s">
        <v>140</v>
      </c>
      <c r="AB4" s="38" t="s">
        <v>1220</v>
      </c>
      <c r="AC4" s="38" t="s">
        <v>1220</v>
      </c>
      <c r="AD4" s="16" t="e">
        <f>VLOOKUP($AA4,flows!$A$2:$J$4985,AD$2,FALSE)</f>
        <v>#N/A</v>
      </c>
      <c r="AE4" s="346" t="e">
        <f>VLOOKUP($AA4,flows!$A$2:$J$4985,AE$2,FALSE)</f>
        <v>#N/A</v>
      </c>
      <c r="AF4" s="346" t="e">
        <f>VLOOKUP($AA4,flows!$A$2:$J$4985,AF$2,FALSE)</f>
        <v>#N/A</v>
      </c>
      <c r="AG4" s="346" t="e">
        <f>VLOOKUP($AA4,flows!$A$2:$J$4985,AG$2,FALSE)</f>
        <v>#N/A</v>
      </c>
      <c r="AH4" s="346" t="e">
        <f>VLOOKUP($AA4,flows!$A$2:$J$4985,AH$2,FALSE)</f>
        <v>#N/A</v>
      </c>
      <c r="AI4" s="346" t="e">
        <f>VLOOKUP($AA4,flows!$A$2:$J$4985,AI$2,FALSE)</f>
        <v>#N/A</v>
      </c>
      <c r="AJ4" s="346" t="e">
        <f>VLOOKUP($AA4,flows!$A$2:$J$4985,AJ$2,FALSE)</f>
        <v>#N/A</v>
      </c>
      <c r="AK4" s="346" t="e">
        <f>VLOOKUP($AA4,flows!$A$2:$J$4985,AK$2,FALSE)</f>
        <v>#N/A</v>
      </c>
      <c r="AN4" s="206" t="s">
        <v>149</v>
      </c>
      <c r="AO4" s="337" t="s">
        <v>1933</v>
      </c>
      <c r="AP4" s="337" t="s">
        <v>1835</v>
      </c>
      <c r="AQ4" s="346" t="e">
        <f>VLOOKUP($AN4,flows!$A$2:$J$4985,AQ$2,FALSE)</f>
        <v>#N/A</v>
      </c>
      <c r="AR4" s="346" t="e">
        <f>VLOOKUP($AN4,flows!$A$2:$J$4985,AR$2,FALSE)</f>
        <v>#N/A</v>
      </c>
      <c r="AS4" s="346" t="e">
        <f>VLOOKUP($AN4,flows!$A$2:$J$4985,AS$2,FALSE)</f>
        <v>#N/A</v>
      </c>
      <c r="AT4" s="346" t="e">
        <f>VLOOKUP($AN4,flows!$A$2:$J$4985,AT$2,FALSE)</f>
        <v>#N/A</v>
      </c>
      <c r="AU4" s="346" t="e">
        <f>VLOOKUP($AN4,flows!$A$2:$J$4985,AU$2,FALSE)</f>
        <v>#N/A</v>
      </c>
      <c r="AV4" s="346" t="e">
        <f>VLOOKUP($AN4,flows!$A$2:$J$4985,AV$2,FALSE)</f>
        <v>#N/A</v>
      </c>
      <c r="AW4" s="346" t="e">
        <f>VLOOKUP($AN4,flows!$A$2:$J$4985,AW$2,FALSE)</f>
        <v>#N/A</v>
      </c>
      <c r="AX4" s="336" t="e">
        <f>VLOOKUP($AN4,flows!$A$2:$J$4985,AX$2,FALSE)</f>
        <v>#N/A</v>
      </c>
      <c r="BA4" s="26" t="s">
        <v>147</v>
      </c>
      <c r="BB4" s="31" t="s">
        <v>1186</v>
      </c>
      <c r="BC4" s="194" t="s">
        <v>1931</v>
      </c>
      <c r="BD4" s="16" t="e">
        <f>VLOOKUP($BA4,flows!$A$2:$J$4985,BD$2,FALSE)</f>
        <v>#N/A</v>
      </c>
      <c r="BE4" s="346" t="e">
        <f>VLOOKUP($BA4,flows!$A$2:$J$4985,BE$2,FALSE)</f>
        <v>#N/A</v>
      </c>
      <c r="BF4" s="346" t="e">
        <f>VLOOKUP($BA4,flows!$A$2:$J$4985,BF$2,FALSE)</f>
        <v>#N/A</v>
      </c>
      <c r="BG4" s="346" t="e">
        <f>VLOOKUP($BA4,flows!$A$2:$J$4985,BG$2,FALSE)</f>
        <v>#N/A</v>
      </c>
      <c r="BH4" s="346" t="e">
        <f>VLOOKUP($BA4,flows!$A$2:$J$4985,BH$2,FALSE)</f>
        <v>#N/A</v>
      </c>
      <c r="BI4" s="346" t="e">
        <f>VLOOKUP($BA4,flows!$A$2:$J$4985,BI$2,FALSE)</f>
        <v>#N/A</v>
      </c>
      <c r="BJ4" s="346" t="e">
        <f>VLOOKUP($BA4,flows!$A$2:$J$4985,BJ$2,FALSE)</f>
        <v>#N/A</v>
      </c>
      <c r="BK4" s="346" t="e">
        <f>VLOOKUP($BA4,flows!$A$2:$J$4985,BK$2,FALSE)</f>
        <v>#N/A</v>
      </c>
    </row>
    <row r="5" spans="2:63" x14ac:dyDescent="0.3">
      <c r="B5" s="19" t="s">
        <v>1218</v>
      </c>
      <c r="C5" s="38" t="s">
        <v>1528</v>
      </c>
      <c r="D5" s="16" t="e">
        <f>SUM(BD4:BD7)</f>
        <v>#N/A</v>
      </c>
      <c r="E5" s="346" t="e">
        <f t="shared" ref="E5:J5" si="1">SUM(BE4:BE7)</f>
        <v>#N/A</v>
      </c>
      <c r="F5" s="346" t="e">
        <f t="shared" si="1"/>
        <v>#N/A</v>
      </c>
      <c r="G5" s="346" t="e">
        <f t="shared" si="1"/>
        <v>#N/A</v>
      </c>
      <c r="H5" s="346" t="e">
        <f t="shared" si="1"/>
        <v>#N/A</v>
      </c>
      <c r="I5" s="346" t="e">
        <f t="shared" si="1"/>
        <v>#N/A</v>
      </c>
      <c r="J5" s="346" t="e">
        <f t="shared" si="1"/>
        <v>#N/A</v>
      </c>
      <c r="K5" s="369">
        <v>58850.308929571816</v>
      </c>
      <c r="L5" s="2">
        <v>64655.682988985631</v>
      </c>
      <c r="N5" s="337" t="s">
        <v>2863</v>
      </c>
      <c r="O5" s="38" t="s">
        <v>4057</v>
      </c>
      <c r="P5" s="38" t="s">
        <v>2578</v>
      </c>
      <c r="Q5" s="56" t="e">
        <f>VLOOKUP($N5,flows!$A$2:$J$4985,Q$2,FALSE)</f>
        <v>#N/A</v>
      </c>
      <c r="R5" s="56" t="e">
        <f>VLOOKUP($N5,flows!$A$2:$J$4985,R$2,FALSE)</f>
        <v>#N/A</v>
      </c>
      <c r="S5" s="56" t="e">
        <f>VLOOKUP($N5,flows!$A$2:$J$4985,S$2,FALSE)</f>
        <v>#N/A</v>
      </c>
      <c r="T5" s="56" t="e">
        <f>VLOOKUP($N5,flows!$A$2:$J$4985,T$2,FALSE)</f>
        <v>#N/A</v>
      </c>
      <c r="U5" s="56" t="e">
        <f>VLOOKUP($N5,flows!$A$2:$J$4985,U$2,FALSE)</f>
        <v>#N/A</v>
      </c>
      <c r="V5" s="56" t="e">
        <f>VLOOKUP($N5,flows!$A$2:$J$4985,V$2,FALSE)</f>
        <v>#N/A</v>
      </c>
      <c r="W5" s="56" t="e">
        <f>VLOOKUP($N5,flows!$A$2:$J$4985,W$2,FALSE)</f>
        <v>#N/A</v>
      </c>
      <c r="X5" s="56" t="e">
        <f>VLOOKUP($N5,flows!$A$2:$J$4985,X$2,FALSE)</f>
        <v>#N/A</v>
      </c>
      <c r="Y5" s="2">
        <v>45653.605458957703</v>
      </c>
      <c r="AA5" s="26" t="s">
        <v>141</v>
      </c>
      <c r="AB5" s="38" t="s">
        <v>1254</v>
      </c>
      <c r="AC5" s="38" t="s">
        <v>1254</v>
      </c>
      <c r="AD5" s="346" t="e">
        <f>VLOOKUP($AA5,flows!$A$2:$J$4985,AD$2,FALSE)</f>
        <v>#N/A</v>
      </c>
      <c r="AE5" s="346" t="e">
        <f>VLOOKUP($AA5,flows!$A$2:$J$4985,AE$2,FALSE)</f>
        <v>#N/A</v>
      </c>
      <c r="AF5" s="346" t="e">
        <f>VLOOKUP($AA5,flows!$A$2:$J$4985,AF$2,FALSE)</f>
        <v>#N/A</v>
      </c>
      <c r="AG5" s="346" t="e">
        <f>VLOOKUP($AA5,flows!$A$2:$J$4985,AG$2,FALSE)</f>
        <v>#N/A</v>
      </c>
      <c r="AH5" s="346" t="e">
        <f>VLOOKUP($AA5,flows!$A$2:$J$4985,AH$2,FALSE)</f>
        <v>#N/A</v>
      </c>
      <c r="AI5" s="346" t="e">
        <f>VLOOKUP($AA5,flows!$A$2:$J$4985,AI$2,FALSE)</f>
        <v>#N/A</v>
      </c>
      <c r="AJ5" s="346" t="e">
        <f>VLOOKUP($AA5,flows!$A$2:$J$4985,AJ$2,FALSE)</f>
        <v>#N/A</v>
      </c>
      <c r="AK5" s="346" t="e">
        <f>VLOOKUP($AA5,flows!$A$2:$J$4985,AK$2,FALSE)</f>
        <v>#N/A</v>
      </c>
      <c r="AN5" s="206" t="s">
        <v>146</v>
      </c>
      <c r="AO5" s="337" t="s">
        <v>1222</v>
      </c>
      <c r="AP5" s="337" t="s">
        <v>1535</v>
      </c>
      <c r="AQ5" s="346" t="e">
        <f>VLOOKUP($AN5,flows!$A$2:$J$4985,AQ$2,FALSE)</f>
        <v>#N/A</v>
      </c>
      <c r="AR5" s="346" t="e">
        <f>VLOOKUP($AN5,flows!$A$2:$J$4985,AR$2,FALSE)</f>
        <v>#N/A</v>
      </c>
      <c r="AS5" s="346" t="e">
        <f>VLOOKUP($AN5,flows!$A$2:$J$4985,AS$2,FALSE)</f>
        <v>#N/A</v>
      </c>
      <c r="AT5" s="346" t="e">
        <f>VLOOKUP($AN5,flows!$A$2:$J$4985,AT$2,FALSE)</f>
        <v>#N/A</v>
      </c>
      <c r="AU5" s="346" t="e">
        <f>VLOOKUP($AN5,flows!$A$2:$J$4985,AU$2,FALSE)</f>
        <v>#N/A</v>
      </c>
      <c r="AV5" s="346" t="e">
        <f>VLOOKUP($AN5,flows!$A$2:$J$4985,AV$2,FALSE)</f>
        <v>#N/A</v>
      </c>
      <c r="AW5" s="346" t="e">
        <f>VLOOKUP($AN5,flows!$A$2:$J$4985,AW$2,FALSE)</f>
        <v>#N/A</v>
      </c>
      <c r="AX5" s="336" t="e">
        <f>VLOOKUP($AN5,flows!$A$2:$J$4985,AX$2,FALSE)</f>
        <v>#N/A</v>
      </c>
      <c r="BA5" s="5" t="s">
        <v>150</v>
      </c>
      <c r="BB5" s="38" t="s">
        <v>1221</v>
      </c>
      <c r="BC5" s="38" t="s">
        <v>1537</v>
      </c>
      <c r="BD5" s="346" t="e">
        <f>VLOOKUP($BA5,flows!$A$2:$J$4985,BD$2,FALSE)</f>
        <v>#N/A</v>
      </c>
      <c r="BE5" s="346" t="e">
        <f>VLOOKUP($BA5,flows!$A$2:$J$4985,BE$2,FALSE)</f>
        <v>#N/A</v>
      </c>
      <c r="BF5" s="346" t="e">
        <f>VLOOKUP($BA5,flows!$A$2:$J$4985,BF$2,FALSE)</f>
        <v>#N/A</v>
      </c>
      <c r="BG5" s="346" t="e">
        <f>VLOOKUP($BA5,flows!$A$2:$J$4985,BG$2,FALSE)</f>
        <v>#N/A</v>
      </c>
      <c r="BH5" s="346" t="e">
        <f>VLOOKUP($BA5,flows!$A$2:$J$4985,BH$2,FALSE)</f>
        <v>#N/A</v>
      </c>
      <c r="BI5" s="346" t="e">
        <f>VLOOKUP($BA5,flows!$A$2:$J$4985,BI$2,FALSE)</f>
        <v>#N/A</v>
      </c>
      <c r="BJ5" s="346" t="e">
        <f>VLOOKUP($BA5,flows!$A$2:$J$4985,BJ$2,FALSE)</f>
        <v>#N/A</v>
      </c>
      <c r="BK5" s="346" t="e">
        <f>VLOOKUP($BA5,flows!$A$2:$J$4985,BK$2,FALSE)</f>
        <v>#N/A</v>
      </c>
    </row>
    <row r="6" spans="2:63" x14ac:dyDescent="0.3">
      <c r="B6" s="19" t="s">
        <v>1166</v>
      </c>
      <c r="C6" s="38" t="s">
        <v>1468</v>
      </c>
      <c r="D6" s="346" t="e">
        <f t="shared" ref="D6:J6" si="2">SUM(Q4:Q11)+D8</f>
        <v>#N/A</v>
      </c>
      <c r="E6" s="346" t="e">
        <f t="shared" si="2"/>
        <v>#N/A</v>
      </c>
      <c r="F6" s="346" t="e">
        <f>SUM(S4:S11)+F8</f>
        <v>#N/A</v>
      </c>
      <c r="G6" s="346" t="e">
        <f t="shared" si="2"/>
        <v>#N/A</v>
      </c>
      <c r="H6" s="346" t="e">
        <f t="shared" si="2"/>
        <v>#N/A</v>
      </c>
      <c r="I6" s="346" t="e">
        <f t="shared" si="2"/>
        <v>#N/A</v>
      </c>
      <c r="J6" s="346" t="e">
        <f t="shared" si="2"/>
        <v>#N/A</v>
      </c>
      <c r="K6" s="369">
        <v>308147.93968128605</v>
      </c>
      <c r="L6" s="2">
        <v>276899.63519169681</v>
      </c>
      <c r="N6" s="337" t="s">
        <v>142</v>
      </c>
      <c r="O6" s="38" t="s">
        <v>1294</v>
      </c>
      <c r="P6" s="38" t="s">
        <v>1841</v>
      </c>
      <c r="Q6" s="346" t="e">
        <f>VLOOKUP($N6,flows!$A$2:$J$4985,Q$2,FALSE)</f>
        <v>#N/A</v>
      </c>
      <c r="R6" s="346" t="e">
        <f>VLOOKUP($N6,flows!$A$2:$J$4985,R$2,FALSE)</f>
        <v>#N/A</v>
      </c>
      <c r="S6" s="346" t="e">
        <f>VLOOKUP($N6,flows!$A$2:$J$4985,S$2,FALSE)</f>
        <v>#N/A</v>
      </c>
      <c r="T6" s="346" t="e">
        <f>VLOOKUP($N6,flows!$A$2:$J$4985,T$2,FALSE)</f>
        <v>#N/A</v>
      </c>
      <c r="U6" s="346" t="e">
        <f>VLOOKUP($N6,flows!$A$2:$J$4985,U$2,FALSE)</f>
        <v>#N/A</v>
      </c>
      <c r="V6" s="346" t="e">
        <f>VLOOKUP($N6,flows!$A$2:$J$4985,V$2,FALSE)</f>
        <v>#N/A</v>
      </c>
      <c r="W6" s="346" t="e">
        <f>VLOOKUP($N6,flows!$A$2:$J$4985,W$2,FALSE)</f>
        <v>#N/A</v>
      </c>
      <c r="X6" s="346" t="e">
        <f>VLOOKUP($N6,flows!$A$2:$J$4985,X$2,FALSE)</f>
        <v>#N/A</v>
      </c>
      <c r="Y6" s="2">
        <v>65636.918108186117</v>
      </c>
      <c r="AA6" s="26" t="s">
        <v>143</v>
      </c>
      <c r="AB6" s="38" t="s">
        <v>1215</v>
      </c>
      <c r="AC6" s="38" t="s">
        <v>1537</v>
      </c>
      <c r="AD6" s="346" t="e">
        <f>VLOOKUP($AA6,flows!$A$2:$J$4985,AD$2,FALSE)</f>
        <v>#N/A</v>
      </c>
      <c r="AE6" s="346" t="e">
        <f>VLOOKUP($AA6,flows!$A$2:$J$4985,AE$2,FALSE)</f>
        <v>#N/A</v>
      </c>
      <c r="AF6" s="346" t="e">
        <f>VLOOKUP($AA6,flows!$A$2:$J$4985,AF$2,FALSE)</f>
        <v>#N/A</v>
      </c>
      <c r="AG6" s="346" t="e">
        <f>VLOOKUP($AA6,flows!$A$2:$J$4985,AG$2,FALSE)</f>
        <v>#N/A</v>
      </c>
      <c r="AH6" s="346" t="e">
        <f>VLOOKUP($AA6,flows!$A$2:$J$4985,AH$2,FALSE)</f>
        <v>#N/A</v>
      </c>
      <c r="AI6" s="346" t="e">
        <f>VLOOKUP($AA6,flows!$A$2:$J$4985,AI$2,FALSE)</f>
        <v>#N/A</v>
      </c>
      <c r="AJ6" s="346" t="e">
        <f>VLOOKUP($AA6,flows!$A$2:$J$4985,AJ$2,FALSE)</f>
        <v>#N/A</v>
      </c>
      <c r="AK6" s="346" t="e">
        <f>VLOOKUP($AA6,flows!$A$2:$J$4985,AK$2,FALSE)</f>
        <v>#N/A</v>
      </c>
      <c r="AN6" s="206" t="s">
        <v>153</v>
      </c>
      <c r="AO6" s="337" t="s">
        <v>1223</v>
      </c>
      <c r="AP6" s="337" t="s">
        <v>1836</v>
      </c>
      <c r="AQ6" s="346" t="e">
        <f>VLOOKUP($AN6,flows!$A$2:$J$4985,AQ$2,FALSE)</f>
        <v>#N/A</v>
      </c>
      <c r="AR6" s="346" t="e">
        <f>VLOOKUP($AN6,flows!$A$2:$J$4985,AR$2,FALSE)</f>
        <v>#N/A</v>
      </c>
      <c r="AS6" s="346" t="e">
        <f>VLOOKUP($AN6,flows!$A$2:$J$4985,AS$2,FALSE)</f>
        <v>#N/A</v>
      </c>
      <c r="AT6" s="346" t="e">
        <f>VLOOKUP($AN6,flows!$A$2:$J$4985,AT$2,FALSE)</f>
        <v>#N/A</v>
      </c>
      <c r="AU6" s="346" t="e">
        <f>VLOOKUP($AN6,flows!$A$2:$J$4985,AU$2,FALSE)</f>
        <v>#N/A</v>
      </c>
      <c r="AV6" s="346" t="e">
        <f>VLOOKUP($AN6,flows!$A$2:$J$4985,AV$2,FALSE)</f>
        <v>#N/A</v>
      </c>
      <c r="AW6" s="346" t="e">
        <f>VLOOKUP($AN6,flows!$A$2:$J$4985,AW$2,FALSE)</f>
        <v>#N/A</v>
      </c>
      <c r="AX6" s="336" t="e">
        <f>VLOOKUP($AN6,flows!$A$2:$J$4985,AX$2,FALSE)</f>
        <v>#N/A</v>
      </c>
      <c r="BA6" s="26" t="s">
        <v>151</v>
      </c>
      <c r="BB6" s="38" t="s">
        <v>25</v>
      </c>
      <c r="BC6" s="38" t="s">
        <v>1932</v>
      </c>
      <c r="BD6" s="346" t="e">
        <f>VLOOKUP($BA6,flows!$A$2:$J$4985,BD$2,FALSE)</f>
        <v>#N/A</v>
      </c>
      <c r="BE6" s="346" t="e">
        <f>VLOOKUP($BA6,flows!$A$2:$J$4985,BE$2,FALSE)</f>
        <v>#N/A</v>
      </c>
      <c r="BF6" s="346" t="e">
        <f>VLOOKUP($BA6,flows!$A$2:$J$4985,BF$2,FALSE)</f>
        <v>#N/A</v>
      </c>
      <c r="BG6" s="346" t="e">
        <f>VLOOKUP($BA6,flows!$A$2:$J$4985,BG$2,FALSE)</f>
        <v>#N/A</v>
      </c>
      <c r="BH6" s="346" t="e">
        <f>VLOOKUP($BA6,flows!$A$2:$J$4985,BH$2,FALSE)</f>
        <v>#N/A</v>
      </c>
      <c r="BI6" s="346" t="e">
        <f>VLOOKUP($BA6,flows!$A$2:$J$4985,BI$2,FALSE)</f>
        <v>#N/A</v>
      </c>
      <c r="BJ6" s="346" t="e">
        <f>VLOOKUP($BA6,flows!$A$2:$J$4985,BJ$2,FALSE)</f>
        <v>#N/A</v>
      </c>
      <c r="BK6" s="346" t="e">
        <f>VLOOKUP($BA6,flows!$A$2:$J$4985,BK$2,FALSE)</f>
        <v>#N/A</v>
      </c>
    </row>
    <row r="7" spans="2:63" ht="14.5" thickBot="1" x14ac:dyDescent="0.35">
      <c r="B7" s="20" t="s">
        <v>1165</v>
      </c>
      <c r="C7" s="39" t="s">
        <v>1813</v>
      </c>
      <c r="D7" s="17" t="e">
        <f>SUM(AQ4:AQ8)</f>
        <v>#N/A</v>
      </c>
      <c r="E7" s="17" t="e">
        <f t="shared" ref="E7:J7" si="3">SUM(AR4:AR8)</f>
        <v>#N/A</v>
      </c>
      <c r="F7" s="17" t="e">
        <f t="shared" si="3"/>
        <v>#N/A</v>
      </c>
      <c r="G7" s="17" t="e">
        <f t="shared" si="3"/>
        <v>#N/A</v>
      </c>
      <c r="H7" s="17" t="e">
        <f t="shared" si="3"/>
        <v>#N/A</v>
      </c>
      <c r="I7" s="17" t="e">
        <f t="shared" si="3"/>
        <v>#N/A</v>
      </c>
      <c r="J7" s="17" t="e">
        <f t="shared" si="3"/>
        <v>#N/A</v>
      </c>
      <c r="K7" s="974">
        <v>123188.14349880537</v>
      </c>
      <c r="L7" s="2">
        <v>155516.60377624212</v>
      </c>
      <c r="N7" s="344" t="s">
        <v>2501</v>
      </c>
      <c r="O7" s="344" t="s">
        <v>2581</v>
      </c>
      <c r="P7" s="344" t="s">
        <v>2581</v>
      </c>
      <c r="Q7" s="346">
        <f>VLOOKUP($N7,flows!$A$2:$J$4985,Q$2,FALSE)</f>
        <v>19994.034243544658</v>
      </c>
      <c r="R7" s="346">
        <f>VLOOKUP($N7,flows!$A$2:$J$4985,R$2,FALSE)</f>
        <v>0</v>
      </c>
      <c r="S7" s="346">
        <f>VLOOKUP($N7,flows!$A$2:$J$4985,S$2,FALSE)</f>
        <v>11.1103123195491</v>
      </c>
      <c r="T7" s="346">
        <f>VLOOKUP($N7,flows!$A$2:$J$4985,T$2,FALSE)</f>
        <v>2052.9227293398508</v>
      </c>
      <c r="U7" s="346">
        <f>VLOOKUP($N7,flows!$A$2:$J$4985,U$2,FALSE)</f>
        <v>6262.7511512241936</v>
      </c>
      <c r="V7" s="346">
        <f>VLOOKUP($N7,flows!$A$2:$J$4985,V$2,FALSE)</f>
        <v>14900.681204055691</v>
      </c>
      <c r="W7" s="346">
        <f>VLOOKUP($N7,flows!$A$2:$J$4985,W$2,FALSE)</f>
        <v>19994.04384051351</v>
      </c>
      <c r="X7" s="346">
        <f>VLOOKUP($N7,flows!$A$2:$J$4985,X$2,FALSE)</f>
        <v>0</v>
      </c>
      <c r="Y7" s="2">
        <v>0</v>
      </c>
      <c r="AA7" s="26" t="s">
        <v>144</v>
      </c>
      <c r="AB7" s="38" t="s">
        <v>21</v>
      </c>
      <c r="AC7" s="38" t="s">
        <v>1932</v>
      </c>
      <c r="AD7" s="346" t="e">
        <f>VLOOKUP($AA7,flows!$A$2:$J$4985,AD$2,FALSE)</f>
        <v>#N/A</v>
      </c>
      <c r="AE7" s="346" t="e">
        <f>VLOOKUP($AA7,flows!$A$2:$J$4985,AE$2,FALSE)</f>
        <v>#N/A</v>
      </c>
      <c r="AF7" s="346" t="e">
        <f>VLOOKUP($AA7,flows!$A$2:$J$4985,AF$2,FALSE)</f>
        <v>#N/A</v>
      </c>
      <c r="AG7" s="346" t="e">
        <f>VLOOKUP($AA7,flows!$A$2:$J$4985,AG$2,FALSE)</f>
        <v>#N/A</v>
      </c>
      <c r="AH7" s="346" t="e">
        <f>VLOOKUP($AA7,flows!$A$2:$J$4985,AH$2,FALSE)</f>
        <v>#N/A</v>
      </c>
      <c r="AI7" s="346" t="e">
        <f>VLOOKUP($AA7,flows!$A$2:$J$4985,AI$2,FALSE)</f>
        <v>#N/A</v>
      </c>
      <c r="AJ7" s="346" t="e">
        <f>VLOOKUP($AA7,flows!$A$2:$J$4985,AJ$2,FALSE)</f>
        <v>#N/A</v>
      </c>
      <c r="AK7" s="346" t="e">
        <f>VLOOKUP($AA7,flows!$A$2:$J$4985,AK$2,FALSE)</f>
        <v>#N/A</v>
      </c>
      <c r="AN7" s="206" t="s">
        <v>154</v>
      </c>
      <c r="AO7" s="337" t="s">
        <v>1224</v>
      </c>
      <c r="AP7" s="337" t="s">
        <v>1536</v>
      </c>
      <c r="AQ7" s="346" t="e">
        <f>VLOOKUP($AN7,flows!$A$2:$J$4985,AQ$2,FALSE)</f>
        <v>#N/A</v>
      </c>
      <c r="AR7" s="346" t="e">
        <f>VLOOKUP($AN7,flows!$A$2:$J$4985,AR$2,FALSE)</f>
        <v>#N/A</v>
      </c>
      <c r="AS7" s="346" t="e">
        <f>VLOOKUP($AN7,flows!$A$2:$J$4985,AS$2,FALSE)</f>
        <v>#N/A</v>
      </c>
      <c r="AT7" s="346" t="e">
        <f>VLOOKUP($AN7,flows!$A$2:$J$4985,AT$2,FALSE)</f>
        <v>#N/A</v>
      </c>
      <c r="AU7" s="346" t="e">
        <f>VLOOKUP($AN7,flows!$A$2:$J$4985,AU$2,FALSE)</f>
        <v>#N/A</v>
      </c>
      <c r="AV7" s="346" t="e">
        <f>VLOOKUP($AN7,flows!$A$2:$J$4985,AV$2,FALSE)</f>
        <v>#N/A</v>
      </c>
      <c r="AW7" s="346" t="e">
        <f>VLOOKUP($AN7,flows!$A$2:$J$4985,AW$2,FALSE)</f>
        <v>#N/A</v>
      </c>
      <c r="AX7" s="336" t="e">
        <f>VLOOKUP($AN7,flows!$A$2:$J$4985,AX$2,FALSE)</f>
        <v>#N/A</v>
      </c>
      <c r="BA7" s="26" t="s">
        <v>152</v>
      </c>
      <c r="BB7" s="38" t="s">
        <v>47</v>
      </c>
      <c r="BC7" s="38" t="s">
        <v>1927</v>
      </c>
      <c r="BD7" s="346">
        <f>IFERROR(VLOOKUP($BA7,flows!$A$2:$J$4985,BD$2,FALSE),0)</f>
        <v>0</v>
      </c>
      <c r="BE7" s="346">
        <f>IFERROR(VLOOKUP($BA7,flows!$A$2:$J$4985,BE$2,FALSE),0)</f>
        <v>0</v>
      </c>
      <c r="BF7" s="346">
        <f>IFERROR(VLOOKUP($BA7,flows!$A$2:$J$4985,BF$2,FALSE),0)</f>
        <v>0</v>
      </c>
      <c r="BG7" s="346">
        <f>IFERROR(VLOOKUP($BA7,flows!$A$2:$J$4985,BG$2,FALSE),0)</f>
        <v>0</v>
      </c>
      <c r="BH7" s="346">
        <f>IFERROR(VLOOKUP($BA7,flows!$A$2:$J$4985,BH$2,FALSE),0)</f>
        <v>0</v>
      </c>
      <c r="BI7" s="346">
        <f>IFERROR(VLOOKUP($BA7,flows!$A$2:$J$4985,BI$2,FALSE),0)</f>
        <v>0</v>
      </c>
      <c r="BJ7" s="346">
        <f>IFERROR(VLOOKUP($BA7,flows!$A$2:$J$4985,BJ$2,FALSE),0)</f>
        <v>0</v>
      </c>
      <c r="BK7" s="346">
        <f>IFERROR(VLOOKUP($BA7,flows!$A$2:$J$4985,BK$2,FALSE),0)</f>
        <v>0</v>
      </c>
    </row>
    <row r="8" spans="2:63" ht="14.5" thickBot="1" x14ac:dyDescent="0.35">
      <c r="B8" s="2" t="s">
        <v>2827</v>
      </c>
      <c r="C8" s="191" t="s">
        <v>2826</v>
      </c>
      <c r="D8" s="2">
        <v>0</v>
      </c>
      <c r="E8" s="2">
        <v>43316</v>
      </c>
      <c r="F8" s="2">
        <f>E8-($E$8/5)</f>
        <v>34652.800000000003</v>
      </c>
      <c r="G8" s="342">
        <f t="shared" ref="G8:J8" si="4">F8-($E$8/5)</f>
        <v>25989.600000000002</v>
      </c>
      <c r="H8" s="342">
        <f t="shared" si="4"/>
        <v>17326.400000000001</v>
      </c>
      <c r="I8" s="342">
        <f t="shared" si="4"/>
        <v>8663.2000000000007</v>
      </c>
      <c r="J8" s="342">
        <f t="shared" si="4"/>
        <v>0</v>
      </c>
      <c r="K8" s="342"/>
      <c r="N8" s="344" t="s">
        <v>2502</v>
      </c>
      <c r="O8" s="344" t="s">
        <v>2574</v>
      </c>
      <c r="P8" s="344" t="s">
        <v>2574</v>
      </c>
      <c r="Q8" s="346">
        <f>VLOOKUP($N8,flows!$A$2:$J$4985,Q$2,FALSE)</f>
        <v>104511.4136197503</v>
      </c>
      <c r="R8" s="346">
        <f>VLOOKUP($N8,flows!$A$2:$J$4985,R$2,FALSE)</f>
        <v>0</v>
      </c>
      <c r="S8" s="346">
        <f>VLOOKUP($N8,flows!$A$2:$J$4985,S$2,FALSE)</f>
        <v>3.10998941178803</v>
      </c>
      <c r="T8" s="346">
        <f>VLOOKUP($N8,flows!$A$2:$J$4985,T$2,FALSE)</f>
        <v>1.717662760262742E-2</v>
      </c>
      <c r="U8" s="346">
        <f>VLOOKUP($N8,flows!$A$2:$J$4985,U$2,FALSE)</f>
        <v>1.8831213207467921E-2</v>
      </c>
      <c r="V8" s="346">
        <f>VLOOKUP($N8,flows!$A$2:$J$4985,V$2,FALSE)</f>
        <v>1.3604642614255839E-3</v>
      </c>
      <c r="W8" s="346">
        <f>VLOOKUP($N8,flows!$A$2:$J$4985,W$2,FALSE)</f>
        <v>104344.81818443909</v>
      </c>
      <c r="X8" s="346">
        <f>VLOOKUP($N8,flows!$A$2:$J$4985,X$2,FALSE)</f>
        <v>0</v>
      </c>
      <c r="Y8" s="2">
        <v>0</v>
      </c>
      <c r="AA8" s="26" t="s">
        <v>145</v>
      </c>
      <c r="AB8" s="38" t="s">
        <v>1216</v>
      </c>
      <c r="AC8" s="38" t="s">
        <v>1916</v>
      </c>
      <c r="AD8" s="346" t="e">
        <f>VLOOKUP($AA8,flows!$A$2:$J$4985,AD$2,FALSE)</f>
        <v>#N/A</v>
      </c>
      <c r="AE8" s="346" t="e">
        <f>VLOOKUP($AA8,flows!$A$2:$J$4985,AE$2,FALSE)</f>
        <v>#N/A</v>
      </c>
      <c r="AF8" s="346" t="e">
        <f>VLOOKUP($AA8,flows!$A$2:$J$4985,AF$2,FALSE)</f>
        <v>#N/A</v>
      </c>
      <c r="AG8" s="346" t="e">
        <f>VLOOKUP($AA8,flows!$A$2:$J$4985,AG$2,FALSE)</f>
        <v>#N/A</v>
      </c>
      <c r="AH8" s="346" t="e">
        <f>VLOOKUP($AA8,flows!$A$2:$J$4985,AH$2,FALSE)</f>
        <v>#N/A</v>
      </c>
      <c r="AI8" s="346" t="e">
        <f>VLOOKUP($AA8,flows!$A$2:$J$4985,AI$2,FALSE)</f>
        <v>#N/A</v>
      </c>
      <c r="AJ8" s="346" t="e">
        <f>VLOOKUP($AA8,flows!$A$2:$J$4985,AJ$2,FALSE)</f>
        <v>#N/A</v>
      </c>
      <c r="AK8" s="346" t="e">
        <f>VLOOKUP($AA8,flows!$A$2:$J$4985,AK$2,FALSE)</f>
        <v>#N/A</v>
      </c>
      <c r="AO8" s="2" t="s">
        <v>2873</v>
      </c>
      <c r="AP8" s="342" t="s">
        <v>2873</v>
      </c>
      <c r="AQ8" s="319" t="e">
        <f>'Chemische Industrie'!CW32</f>
        <v>#DIV/0!</v>
      </c>
      <c r="AR8" s="319">
        <f>'Chemische Industrie'!CX32</f>
        <v>0</v>
      </c>
      <c r="AS8" s="319" t="e">
        <f>'Chemische Industrie'!CY32</f>
        <v>#DIV/0!</v>
      </c>
      <c r="AT8" s="319" t="e">
        <f>'Chemische Industrie'!CZ32</f>
        <v>#DIV/0!</v>
      </c>
      <c r="AU8" s="319" t="e">
        <f>'Chemische Industrie'!DA32</f>
        <v>#DIV/0!</v>
      </c>
      <c r="AV8" s="319" t="e">
        <f>'Chemische Industrie'!DB32</f>
        <v>#DIV/0!</v>
      </c>
      <c r="AW8" s="319" t="e">
        <f>'Chemische Industrie'!DC32</f>
        <v>#DIV/0!</v>
      </c>
      <c r="AX8" s="319" t="e">
        <f>'Chemische Industrie'!DD32</f>
        <v>#DIV/0!</v>
      </c>
      <c r="BA8" s="28"/>
      <c r="BB8" s="33"/>
      <c r="BC8" s="33"/>
      <c r="BD8" s="35"/>
      <c r="BE8" s="35"/>
      <c r="BF8" s="35"/>
      <c r="BG8" s="35"/>
      <c r="BH8" s="35"/>
      <c r="BI8" s="35"/>
      <c r="BJ8" s="35"/>
      <c r="BK8" s="35"/>
    </row>
    <row r="9" spans="2:63" x14ac:dyDescent="0.3">
      <c r="N9" s="337"/>
      <c r="O9" s="344" t="s">
        <v>2650</v>
      </c>
      <c r="P9" s="344" t="s">
        <v>2650</v>
      </c>
      <c r="Q9" s="484" t="e">
        <f>'Chemische Industrie'!CW28</f>
        <v>#DIV/0!</v>
      </c>
      <c r="R9" s="484">
        <f>'Chemische Industrie'!CX28</f>
        <v>0</v>
      </c>
      <c r="S9" s="484" t="e">
        <f>'Chemische Industrie'!CY28</f>
        <v>#DIV/0!</v>
      </c>
      <c r="T9" s="484" t="e">
        <f>'Chemische Industrie'!CZ28</f>
        <v>#DIV/0!</v>
      </c>
      <c r="U9" s="484" t="e">
        <f>'Chemische Industrie'!DA28</f>
        <v>#DIV/0!</v>
      </c>
      <c r="V9" s="484" t="e">
        <f>'Chemische Industrie'!DB28</f>
        <v>#DIV/0!</v>
      </c>
      <c r="W9" s="484" t="e">
        <f>'Chemische Industrie'!DC28</f>
        <v>#DIV/0!</v>
      </c>
      <c r="X9" s="484" t="e">
        <f>'Chemische Industrie'!DD28</f>
        <v>#DIV/0!</v>
      </c>
      <c r="Y9" s="2">
        <v>0</v>
      </c>
      <c r="AA9" s="27" t="s">
        <v>148</v>
      </c>
      <c r="AB9" s="38" t="s">
        <v>1214</v>
      </c>
      <c r="AC9" s="38" t="s">
        <v>1934</v>
      </c>
      <c r="AD9" s="346" t="e">
        <f>VLOOKUP($AA9,flows!$A$2:$J$4985,AD$2,FALSE)</f>
        <v>#N/A</v>
      </c>
      <c r="AE9" s="346" t="e">
        <f>VLOOKUP($AA9,flows!$A$2:$J$4985,AE$2,FALSE)</f>
        <v>#N/A</v>
      </c>
      <c r="AF9" s="346" t="e">
        <f>VLOOKUP($AA9,flows!$A$2:$J$4985,AF$2,FALSE)</f>
        <v>#N/A</v>
      </c>
      <c r="AG9" s="346" t="e">
        <f>VLOOKUP($AA9,flows!$A$2:$J$4985,AG$2,FALSE)</f>
        <v>#N/A</v>
      </c>
      <c r="AH9" s="346" t="e">
        <f>VLOOKUP($AA9,flows!$A$2:$J$4985,AH$2,FALSE)</f>
        <v>#N/A</v>
      </c>
      <c r="AI9" s="346" t="e">
        <f>VLOOKUP($AA9,flows!$A$2:$J$4985,AI$2,FALSE)</f>
        <v>#N/A</v>
      </c>
      <c r="AJ9" s="346" t="e">
        <f>VLOOKUP($AA9,flows!$A$2:$J$4985,AJ$2,FALSE)</f>
        <v>#N/A</v>
      </c>
      <c r="AK9" s="346" t="e">
        <f>VLOOKUP($AA9,flows!$A$2:$J$4985,AK$2,FALSE)</f>
        <v>#N/A</v>
      </c>
    </row>
    <row r="10" spans="2:63" x14ac:dyDescent="0.35">
      <c r="O10" s="2" t="s">
        <v>2265</v>
      </c>
      <c r="P10" s="191" t="s">
        <v>3905</v>
      </c>
      <c r="Q10" s="2">
        <f>Glasindustrie!E644</f>
        <v>0.28147051885882707</v>
      </c>
      <c r="R10" s="342">
        <f>Glasindustrie!F644</f>
        <v>0</v>
      </c>
      <c r="S10" s="342">
        <f>Glasindustrie!G644</f>
        <v>62.126159477568152</v>
      </c>
      <c r="T10" s="342">
        <f>Glasindustrie!H644</f>
        <v>38.376061177381892</v>
      </c>
      <c r="U10" s="342">
        <f>Glasindustrie!I644</f>
        <v>47.245522251308195</v>
      </c>
      <c r="V10" s="342">
        <f>Glasindustrie!J644</f>
        <v>2.2420790991307909E-3</v>
      </c>
      <c r="W10" s="342">
        <f>Glasindustrie!K644</f>
        <v>9.2715329084526151E-4</v>
      </c>
      <c r="X10" s="342">
        <f>Glasindustrie!L644</f>
        <v>0</v>
      </c>
      <c r="Y10" s="2">
        <v>0</v>
      </c>
      <c r="AC10" s="2"/>
      <c r="AE10" s="191"/>
      <c r="AP10" s="2"/>
      <c r="AR10" s="191"/>
      <c r="BC10" s="2"/>
    </row>
    <row r="11" spans="2:63" x14ac:dyDescent="0.35">
      <c r="N11" s="2" t="s">
        <v>4040</v>
      </c>
      <c r="O11" s="2" t="s">
        <v>1287</v>
      </c>
      <c r="P11" s="191" t="s">
        <v>1910</v>
      </c>
      <c r="Q11" s="346">
        <f>VLOOKUP($N11,flows!$A$2:$J$4985,Q$2,FALSE)</f>
        <v>3995.8668414623198</v>
      </c>
      <c r="R11" s="346">
        <f>VLOOKUP($N11,flows!$A$2:$J$4985,R$2,FALSE)</f>
        <v>0</v>
      </c>
      <c r="S11" s="346">
        <f>VLOOKUP($N11,flows!$A$2:$J$4985,S$2,FALSE)</f>
        <v>3.322414673289396</v>
      </c>
      <c r="T11" s="346">
        <f>VLOOKUP($N11,flows!$A$2:$J$4985,T$2,FALSE)</f>
        <v>118.58656860986881</v>
      </c>
      <c r="U11" s="346">
        <f>VLOOKUP($N11,flows!$A$2:$J$4985,U$2,FALSE)</f>
        <v>1152.8536139575949</v>
      </c>
      <c r="V11" s="346">
        <f>VLOOKUP($N11,flows!$A$2:$J$4985,V$2,FALSE)</f>
        <v>4088.2188069708509</v>
      </c>
      <c r="W11" s="346">
        <f>VLOOKUP($N11,flows!$A$2:$J$4985,W$2,FALSE)</f>
        <v>5431.9029001919635</v>
      </c>
      <c r="X11" s="346">
        <f>VLOOKUP($N11,flows!$A$2:$J$4985,X$2,FALSE)</f>
        <v>0</v>
      </c>
      <c r="Y11" s="2">
        <v>0</v>
      </c>
    </row>
    <row r="12" spans="2:63" x14ac:dyDescent="0.35">
      <c r="N12" s="337" t="s">
        <v>4223</v>
      </c>
      <c r="O12" s="344" t="s">
        <v>4055</v>
      </c>
      <c r="P12" s="344" t="s">
        <v>4056</v>
      </c>
      <c r="Q12" s="346">
        <f>VLOOKUP($N12,flows!$A$2:$J$4985,Q$2,FALSE)</f>
        <v>4005.039287317009</v>
      </c>
      <c r="R12" s="346">
        <f>VLOOKUP($N12,flows!$A$2:$J$4985,R$2,FALSE)</f>
        <v>0</v>
      </c>
      <c r="S12" s="346">
        <f>VLOOKUP($N12,flows!$A$2:$J$4985,S$2,FALSE)</f>
        <v>1.651125082986914</v>
      </c>
      <c r="T12" s="346">
        <f>VLOOKUP($N12,flows!$A$2:$J$4985,T$2,FALSE)</f>
        <v>9.1672203015324312E-3</v>
      </c>
      <c r="U12" s="346">
        <f>VLOOKUP($N12,flows!$A$2:$J$4985,U$2,FALSE)</f>
        <v>4712.9720061677363</v>
      </c>
      <c r="V12" s="346">
        <f>VLOOKUP($N12,flows!$A$2:$J$4985,V$2,FALSE)</f>
        <v>4.9331093052695459E-2</v>
      </c>
      <c r="W12" s="346">
        <f>VLOOKUP($N12,flows!$A$2:$J$4985,W$2,FALSE)</f>
        <v>4056.4651695948169</v>
      </c>
      <c r="X12" s="346">
        <f>VLOOKUP($N12,flows!$A$2:$J$4985,X$2,FALSE)</f>
        <v>0</v>
      </c>
      <c r="Y12" s="2">
        <v>0</v>
      </c>
    </row>
    <row r="13" spans="2:63" x14ac:dyDescent="0.35">
      <c r="O13" s="342" t="s">
        <v>4057</v>
      </c>
      <c r="P13" s="342" t="s">
        <v>2254</v>
      </c>
      <c r="Q13" s="2" t="e">
        <f>Q5+Q12</f>
        <v>#N/A</v>
      </c>
      <c r="R13" s="342" t="e">
        <f t="shared" ref="R13:X13" si="5">R5+R12</f>
        <v>#N/A</v>
      </c>
      <c r="S13" s="342" t="e">
        <f t="shared" si="5"/>
        <v>#N/A</v>
      </c>
      <c r="T13" s="342" t="e">
        <f t="shared" si="5"/>
        <v>#N/A</v>
      </c>
      <c r="U13" s="342" t="e">
        <f t="shared" si="5"/>
        <v>#N/A</v>
      </c>
      <c r="V13" s="342" t="e">
        <f t="shared" si="5"/>
        <v>#N/A</v>
      </c>
      <c r="W13" s="342" t="e">
        <f t="shared" si="5"/>
        <v>#N/A</v>
      </c>
      <c r="X13" s="342" t="e">
        <f t="shared" si="5"/>
        <v>#N/A</v>
      </c>
    </row>
    <row r="52" spans="2:11" x14ac:dyDescent="0.35">
      <c r="B52" s="2" t="str">
        <f>B2</f>
        <v>Hydrogen consumption by sector</v>
      </c>
    </row>
    <row r="53" spans="2:11" x14ac:dyDescent="0.35">
      <c r="B53" s="2" t="str">
        <f t="shared" ref="B53:K53" si="6">B3</f>
        <v>Flows in GWh</v>
      </c>
      <c r="E53" s="2">
        <f>E3</f>
        <v>2020</v>
      </c>
      <c r="F53" s="2">
        <f t="shared" si="6"/>
        <v>2025</v>
      </c>
      <c r="G53" s="2">
        <f t="shared" si="6"/>
        <v>2030</v>
      </c>
      <c r="H53" s="2">
        <f t="shared" si="6"/>
        <v>2035</v>
      </c>
      <c r="I53" s="2">
        <f t="shared" si="6"/>
        <v>2040</v>
      </c>
      <c r="J53" s="2">
        <f t="shared" si="6"/>
        <v>2045</v>
      </c>
      <c r="K53" s="2" t="str">
        <f t="shared" si="6"/>
        <v>2045 48 Tage</v>
      </c>
    </row>
    <row r="54" spans="2:11" x14ac:dyDescent="0.35">
      <c r="B54" s="342" t="s">
        <v>2300</v>
      </c>
      <c r="C54" s="342" t="s">
        <v>2301</v>
      </c>
      <c r="E54" s="2" t="e">
        <f t="shared" ref="E54:K54" si="7">AE4+AE5+AE6+AE7+AE9</f>
        <v>#N/A</v>
      </c>
      <c r="F54" s="342" t="e">
        <f t="shared" si="7"/>
        <v>#N/A</v>
      </c>
      <c r="G54" s="342" t="e">
        <f t="shared" si="7"/>
        <v>#N/A</v>
      </c>
      <c r="H54" s="342" t="e">
        <f t="shared" si="7"/>
        <v>#N/A</v>
      </c>
      <c r="I54" s="342" t="e">
        <f t="shared" si="7"/>
        <v>#N/A</v>
      </c>
      <c r="J54" s="342" t="e">
        <f t="shared" si="7"/>
        <v>#N/A</v>
      </c>
      <c r="K54" s="342" t="e">
        <f t="shared" si="7"/>
        <v>#N/A</v>
      </c>
    </row>
    <row r="55" spans="2:11" x14ac:dyDescent="0.35">
      <c r="B55" s="2" t="s">
        <v>2306</v>
      </c>
      <c r="C55" s="191" t="s">
        <v>2307</v>
      </c>
      <c r="E55" s="2" t="e">
        <f>E5</f>
        <v>#N/A</v>
      </c>
      <c r="F55" s="342" t="e">
        <f t="shared" ref="F55:K55" si="8">F5</f>
        <v>#N/A</v>
      </c>
      <c r="G55" s="342" t="e">
        <f t="shared" si="8"/>
        <v>#N/A</v>
      </c>
      <c r="H55" s="342" t="e">
        <f>H5</f>
        <v>#N/A</v>
      </c>
      <c r="I55" s="342" t="e">
        <f t="shared" si="8"/>
        <v>#N/A</v>
      </c>
      <c r="J55" s="342" t="e">
        <f t="shared" si="8"/>
        <v>#N/A</v>
      </c>
      <c r="K55" s="342">
        <f t="shared" si="8"/>
        <v>58850.308929571816</v>
      </c>
    </row>
    <row r="56" spans="2:11" x14ac:dyDescent="0.35">
      <c r="B56" s="342" t="s">
        <v>2308</v>
      </c>
      <c r="C56" s="342" t="s">
        <v>2309</v>
      </c>
      <c r="E56" s="2" t="e">
        <f t="shared" ref="E56:K56" si="9">R5</f>
        <v>#N/A</v>
      </c>
      <c r="F56" s="342" t="e">
        <f t="shared" si="9"/>
        <v>#N/A</v>
      </c>
      <c r="G56" s="342" t="e">
        <f t="shared" si="9"/>
        <v>#N/A</v>
      </c>
      <c r="H56" s="342" t="e">
        <f t="shared" si="9"/>
        <v>#N/A</v>
      </c>
      <c r="I56" s="342" t="e">
        <f t="shared" si="9"/>
        <v>#N/A</v>
      </c>
      <c r="J56" s="342" t="e">
        <f t="shared" si="9"/>
        <v>#N/A</v>
      </c>
      <c r="K56" s="342" t="e">
        <f t="shared" si="9"/>
        <v>#N/A</v>
      </c>
    </row>
    <row r="57" spans="2:11" x14ac:dyDescent="0.35">
      <c r="B57" s="342" t="s">
        <v>2694</v>
      </c>
      <c r="C57" s="342" t="s">
        <v>2696</v>
      </c>
      <c r="D57" s="342"/>
      <c r="E57" s="342">
        <f>R8</f>
        <v>0</v>
      </c>
      <c r="F57" s="342">
        <f t="shared" ref="F57:K57" si="10">S8</f>
        <v>3.10998941178803</v>
      </c>
      <c r="G57" s="342">
        <f t="shared" si="10"/>
        <v>1.717662760262742E-2</v>
      </c>
      <c r="H57" s="342">
        <f t="shared" si="10"/>
        <v>1.8831213207467921E-2</v>
      </c>
      <c r="I57" s="342">
        <f t="shared" si="10"/>
        <v>1.3604642614255839E-3</v>
      </c>
      <c r="J57" s="342">
        <f t="shared" si="10"/>
        <v>104344.81818443909</v>
      </c>
      <c r="K57" s="342">
        <f t="shared" si="10"/>
        <v>0</v>
      </c>
    </row>
    <row r="58" spans="2:11" x14ac:dyDescent="0.35">
      <c r="B58" s="342" t="s">
        <v>2695</v>
      </c>
      <c r="C58" s="342" t="s">
        <v>2697</v>
      </c>
      <c r="D58" s="342"/>
      <c r="E58" s="342">
        <f>R7</f>
        <v>0</v>
      </c>
      <c r="F58" s="342">
        <f t="shared" ref="F58:K58" si="11">S7</f>
        <v>11.1103123195491</v>
      </c>
      <c r="G58" s="342">
        <f t="shared" si="11"/>
        <v>2052.9227293398508</v>
      </c>
      <c r="H58" s="342">
        <f t="shared" si="11"/>
        <v>6262.7511512241936</v>
      </c>
      <c r="I58" s="342">
        <f t="shared" si="11"/>
        <v>14900.681204055691</v>
      </c>
      <c r="J58" s="342">
        <f t="shared" si="11"/>
        <v>19994.04384051351</v>
      </c>
      <c r="K58" s="342">
        <f t="shared" si="11"/>
        <v>0</v>
      </c>
    </row>
    <row r="59" spans="2:11" x14ac:dyDescent="0.35">
      <c r="B59" s="342" t="s">
        <v>2312</v>
      </c>
      <c r="C59" s="342" t="s">
        <v>2313</v>
      </c>
      <c r="E59" s="2" t="e">
        <f t="shared" ref="E59:K59" si="12">AR4</f>
        <v>#N/A</v>
      </c>
      <c r="F59" s="342" t="e">
        <f t="shared" si="12"/>
        <v>#N/A</v>
      </c>
      <c r="G59" s="342" t="e">
        <f t="shared" si="12"/>
        <v>#N/A</v>
      </c>
      <c r="H59" s="342" t="e">
        <f t="shared" si="12"/>
        <v>#N/A</v>
      </c>
      <c r="I59" s="342" t="e">
        <f t="shared" si="12"/>
        <v>#N/A</v>
      </c>
      <c r="J59" s="342" t="e">
        <f t="shared" si="12"/>
        <v>#N/A</v>
      </c>
      <c r="K59" s="342" t="e">
        <f t="shared" si="12"/>
        <v>#N/A</v>
      </c>
    </row>
    <row r="60" spans="2:11" x14ac:dyDescent="0.35">
      <c r="B60" s="342" t="s">
        <v>2302</v>
      </c>
      <c r="C60" s="342" t="s">
        <v>2303</v>
      </c>
      <c r="E60" s="2" t="e">
        <f t="shared" ref="E60:K60" si="13">AE8</f>
        <v>#N/A</v>
      </c>
      <c r="F60" s="342" t="e">
        <f t="shared" si="13"/>
        <v>#N/A</v>
      </c>
      <c r="G60" s="342" t="e">
        <f t="shared" si="13"/>
        <v>#N/A</v>
      </c>
      <c r="H60" s="342" t="e">
        <f t="shared" si="13"/>
        <v>#N/A</v>
      </c>
      <c r="I60" s="342" t="e">
        <f t="shared" si="13"/>
        <v>#N/A</v>
      </c>
      <c r="J60" s="342" t="e">
        <f t="shared" si="13"/>
        <v>#N/A</v>
      </c>
      <c r="K60" s="342" t="e">
        <f t="shared" si="13"/>
        <v>#N/A</v>
      </c>
    </row>
    <row r="61" spans="2:11" x14ac:dyDescent="0.35">
      <c r="B61" s="342" t="s">
        <v>2304</v>
      </c>
      <c r="C61" s="342" t="s">
        <v>2305</v>
      </c>
      <c r="E61" s="2" t="e">
        <f>#REF!</f>
        <v>#REF!</v>
      </c>
      <c r="F61" s="342" t="e">
        <f>#REF!</f>
        <v>#REF!</v>
      </c>
      <c r="G61" s="342" t="e">
        <f>#REF!</f>
        <v>#REF!</v>
      </c>
      <c r="H61" s="342" t="e">
        <f>#REF!</f>
        <v>#REF!</v>
      </c>
      <c r="I61" s="342" t="e">
        <f>#REF!</f>
        <v>#REF!</v>
      </c>
      <c r="J61" s="342" t="e">
        <f>#REF!</f>
        <v>#REF!</v>
      </c>
      <c r="K61" s="342" t="e">
        <f>#REF!</f>
        <v>#REF!</v>
      </c>
    </row>
    <row r="62" spans="2:11" x14ac:dyDescent="0.35">
      <c r="B62" s="2" t="s">
        <v>2310</v>
      </c>
      <c r="C62" s="191" t="s">
        <v>2311</v>
      </c>
      <c r="E62" s="2" t="e">
        <f t="shared" ref="E62:K62" si="14">R4+R6</f>
        <v>#N/A</v>
      </c>
      <c r="F62" s="342" t="e">
        <f t="shared" si="14"/>
        <v>#N/A</v>
      </c>
      <c r="G62" s="342" t="e">
        <f t="shared" si="14"/>
        <v>#N/A</v>
      </c>
      <c r="H62" s="342" t="e">
        <f t="shared" si="14"/>
        <v>#N/A</v>
      </c>
      <c r="I62" s="342" t="e">
        <f t="shared" si="14"/>
        <v>#N/A</v>
      </c>
      <c r="J62" s="342" t="e">
        <f t="shared" si="14"/>
        <v>#N/A</v>
      </c>
      <c r="K62" s="342" t="e">
        <f t="shared" si="14"/>
        <v>#N/A</v>
      </c>
    </row>
    <row r="63" spans="2:11" x14ac:dyDescent="0.35">
      <c r="B63" s="2" t="s">
        <v>2314</v>
      </c>
      <c r="C63" s="191" t="s">
        <v>2315</v>
      </c>
      <c r="E63" s="2" t="e">
        <f t="shared" ref="E63:K63" si="15">AR7</f>
        <v>#N/A</v>
      </c>
      <c r="F63" s="342" t="e">
        <f t="shared" si="15"/>
        <v>#N/A</v>
      </c>
      <c r="G63" s="342" t="e">
        <f t="shared" si="15"/>
        <v>#N/A</v>
      </c>
      <c r="H63" s="342" t="e">
        <f t="shared" si="15"/>
        <v>#N/A</v>
      </c>
      <c r="I63" s="342" t="e">
        <f t="shared" si="15"/>
        <v>#N/A</v>
      </c>
      <c r="J63" s="342" t="e">
        <f t="shared" si="15"/>
        <v>#N/A</v>
      </c>
      <c r="K63" s="342" t="e">
        <f t="shared" si="15"/>
        <v>#N/A</v>
      </c>
    </row>
    <row r="64" spans="2:11" x14ac:dyDescent="0.35">
      <c r="B64" s="342" t="s">
        <v>2316</v>
      </c>
      <c r="C64" s="342" t="s">
        <v>2317</v>
      </c>
      <c r="E64" s="2" t="e">
        <f t="shared" ref="E64:K65" si="16">AR5</f>
        <v>#N/A</v>
      </c>
      <c r="F64" s="342" t="e">
        <f t="shared" si="16"/>
        <v>#N/A</v>
      </c>
      <c r="G64" s="342" t="e">
        <f t="shared" si="16"/>
        <v>#N/A</v>
      </c>
      <c r="H64" s="342" t="e">
        <f t="shared" si="16"/>
        <v>#N/A</v>
      </c>
      <c r="I64" s="342" t="e">
        <f t="shared" si="16"/>
        <v>#N/A</v>
      </c>
      <c r="J64" s="342" t="e">
        <f t="shared" si="16"/>
        <v>#N/A</v>
      </c>
      <c r="K64" s="342" t="e">
        <f t="shared" si="16"/>
        <v>#N/A</v>
      </c>
    </row>
    <row r="65" spans="2:11" x14ac:dyDescent="0.35">
      <c r="B65" s="342" t="s">
        <v>2318</v>
      </c>
      <c r="C65" s="342" t="s">
        <v>2319</v>
      </c>
      <c r="E65" s="2" t="e">
        <f t="shared" si="16"/>
        <v>#N/A</v>
      </c>
      <c r="F65" s="342" t="e">
        <f t="shared" si="16"/>
        <v>#N/A</v>
      </c>
      <c r="G65" s="342" t="e">
        <f t="shared" si="16"/>
        <v>#N/A</v>
      </c>
      <c r="H65" s="342" t="e">
        <f t="shared" si="16"/>
        <v>#N/A</v>
      </c>
      <c r="I65" s="342" t="e">
        <f t="shared" si="16"/>
        <v>#N/A</v>
      </c>
      <c r="J65" s="342" t="e">
        <f t="shared" si="16"/>
        <v>#N/A</v>
      </c>
      <c r="K65" s="342" t="e">
        <f t="shared" si="16"/>
        <v>#N/A</v>
      </c>
    </row>
  </sheetData>
  <dataConsolidate/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70C0"/>
  </sheetPr>
  <dimension ref="B1:N72"/>
  <sheetViews>
    <sheetView zoomScale="70" zoomScaleNormal="70" workbookViewId="0">
      <selection activeCell="Q32" sqref="Q32"/>
    </sheetView>
  </sheetViews>
  <sheetFormatPr baseColWidth="10" defaultColWidth="11.453125" defaultRowHeight="14" x14ac:dyDescent="0.35"/>
  <cols>
    <col min="1" max="1" width="11.453125" style="2"/>
    <col min="2" max="2" width="42.81640625" style="2" bestFit="1" customWidth="1"/>
    <col min="3" max="3" width="38.54296875" style="2" customWidth="1"/>
    <col min="4" max="4" width="38.54296875" style="191" customWidth="1"/>
    <col min="5" max="5" width="19.54296875" style="2" bestFit="1" customWidth="1"/>
    <col min="6" max="16384" width="11.453125" style="2"/>
  </cols>
  <sheetData>
    <row r="1" spans="2:14" ht="14.5" thickBot="1" x14ac:dyDescent="0.4"/>
    <row r="2" spans="2:14" ht="14.5" x14ac:dyDescent="0.35">
      <c r="B2" s="3" t="s">
        <v>1213</v>
      </c>
      <c r="C2" s="29"/>
      <c r="D2" s="209"/>
      <c r="E2" s="89">
        <v>2</v>
      </c>
      <c r="F2" s="89">
        <v>3</v>
      </c>
      <c r="G2" s="89">
        <v>4</v>
      </c>
      <c r="H2" s="89">
        <v>5</v>
      </c>
      <c r="I2" s="89">
        <v>6</v>
      </c>
      <c r="J2" s="89">
        <v>7</v>
      </c>
      <c r="K2" s="89">
        <v>8</v>
      </c>
      <c r="L2" s="89">
        <v>9</v>
      </c>
      <c r="M2" s="2" t="s">
        <v>4399</v>
      </c>
      <c r="N2" s="2" t="s">
        <v>4332</v>
      </c>
    </row>
    <row r="3" spans="2:14" ht="14.5" x14ac:dyDescent="0.35">
      <c r="B3" s="23" t="s">
        <v>1258</v>
      </c>
      <c r="C3" s="30" t="s">
        <v>1259</v>
      </c>
      <c r="D3" s="210"/>
      <c r="E3" s="133" t="s">
        <v>1417</v>
      </c>
      <c r="F3" s="133">
        <v>2020</v>
      </c>
      <c r="G3" s="133">
        <v>2025</v>
      </c>
      <c r="H3" s="133">
        <v>2030</v>
      </c>
      <c r="I3" s="133">
        <v>2035</v>
      </c>
      <c r="J3" s="133">
        <v>2040</v>
      </c>
      <c r="K3" s="133">
        <v>2045</v>
      </c>
      <c r="L3" s="133" t="s">
        <v>4477</v>
      </c>
      <c r="M3" s="2" t="s">
        <v>4411</v>
      </c>
    </row>
    <row r="4" spans="2:14" x14ac:dyDescent="0.35">
      <c r="B4" s="26" t="s">
        <v>1072</v>
      </c>
      <c r="C4" s="30" t="s">
        <v>1247</v>
      </c>
      <c r="D4" s="210" t="s">
        <v>1924</v>
      </c>
      <c r="E4" s="56" t="e">
        <f>VLOOKUP($B4,flows!$A$2:$J$4985,E$2,FALSE)</f>
        <v>#N/A</v>
      </c>
      <c r="F4" s="56" t="e">
        <f>VLOOKUP($B4,flows!$A$2:$J$4985,F$2,FALSE)</f>
        <v>#N/A</v>
      </c>
      <c r="G4" s="56" t="e">
        <f>VLOOKUP($B4,flows!$A$2:$J$4985,G$2,FALSE)</f>
        <v>#N/A</v>
      </c>
      <c r="H4" s="56" t="e">
        <f>VLOOKUP($B4,flows!$A$2:$J$4985,H$2,FALSE)</f>
        <v>#N/A</v>
      </c>
      <c r="I4" s="56" t="e">
        <f>VLOOKUP($B4,flows!$A$2:$J$4985,I$2,FALSE)</f>
        <v>#N/A</v>
      </c>
      <c r="J4" s="56" t="e">
        <f>VLOOKUP($B4,flows!$A$2:$J$4985,J$2,FALSE)</f>
        <v>#N/A</v>
      </c>
      <c r="K4" s="56" t="e">
        <f>VLOOKUP($B4,flows!$A$2:$J$4985,K$2,FALSE)</f>
        <v>#N/A</v>
      </c>
      <c r="L4" s="904">
        <v>0.1236657826887369</v>
      </c>
      <c r="M4" s="2">
        <v>1.379509100580093</v>
      </c>
    </row>
    <row r="5" spans="2:14" x14ac:dyDescent="0.35">
      <c r="B5" s="26" t="s">
        <v>1136</v>
      </c>
      <c r="C5" s="6" t="s">
        <v>1248</v>
      </c>
      <c r="D5" s="199" t="s">
        <v>1925</v>
      </c>
      <c r="E5" s="56" t="e">
        <f>VLOOKUP($B5,flows!$A$2:$J$4985,E$2,FALSE)</f>
        <v>#N/A</v>
      </c>
      <c r="F5" s="56" t="e">
        <f>VLOOKUP($B5,flows!$A$2:$J$4985,F$2,FALSE)</f>
        <v>#N/A</v>
      </c>
      <c r="G5" s="56" t="e">
        <f>VLOOKUP($B5,flows!$A$2:$J$4985,G$2,FALSE)</f>
        <v>#N/A</v>
      </c>
      <c r="H5" s="56" t="e">
        <f>VLOOKUP($B5,flows!$A$2:$J$4985,H$2,FALSE)</f>
        <v>#N/A</v>
      </c>
      <c r="I5" s="56" t="e">
        <f>VLOOKUP($B5,flows!$A$2:$J$4985,I$2,FALSE)</f>
        <v>#N/A</v>
      </c>
      <c r="J5" s="56" t="e">
        <f>VLOOKUP($B5,flows!$A$2:$J$4985,J$2,FALSE)</f>
        <v>#N/A</v>
      </c>
      <c r="K5" s="56" t="e">
        <f>VLOOKUP($B5,flows!$A$2:$J$4985,K$2,FALSE)</f>
        <v>#N/A</v>
      </c>
      <c r="L5" s="904">
        <v>0.16965435918826019</v>
      </c>
      <c r="M5" s="2">
        <v>2.0374510847732612</v>
      </c>
    </row>
    <row r="6" spans="2:14" x14ac:dyDescent="0.35">
      <c r="B6" s="907" t="s">
        <v>771</v>
      </c>
      <c r="C6" s="6" t="s">
        <v>4234</v>
      </c>
      <c r="D6" s="199" t="s">
        <v>4232</v>
      </c>
      <c r="E6" s="56" t="e">
        <f>VLOOKUP($B6,flows!$A$2:$J$4985,E$2,FALSE)</f>
        <v>#N/A</v>
      </c>
      <c r="F6" s="56" t="e">
        <f>VLOOKUP($B6,flows!$A$2:$J$4985,F$2,FALSE)</f>
        <v>#N/A</v>
      </c>
      <c r="G6" s="56" t="e">
        <f>VLOOKUP($B6,flows!$A$2:$J$4985,G$2,FALSE)</f>
        <v>#N/A</v>
      </c>
      <c r="H6" s="56" t="e">
        <f>VLOOKUP($B6,flows!$A$2:$J$4985,H$2,FALSE)</f>
        <v>#N/A</v>
      </c>
      <c r="I6" s="56" t="e">
        <f>VLOOKUP($B6,flows!$A$2:$J$4985,I$2,FALSE)</f>
        <v>#N/A</v>
      </c>
      <c r="J6" s="56" t="e">
        <f>VLOOKUP($B6,flows!$A$2:$J$4985,J$2,FALSE)</f>
        <v>#N/A</v>
      </c>
      <c r="K6" s="56" t="e">
        <f>VLOOKUP($B6,flows!$A$2:$J$4985,K$2,FALSE)</f>
        <v>#N/A</v>
      </c>
      <c r="L6" s="904">
        <v>279449.22083580232</v>
      </c>
      <c r="M6" s="903">
        <v>359106.9460614858</v>
      </c>
      <c r="N6" s="2" t="e">
        <f>K6-M6</f>
        <v>#N/A</v>
      </c>
    </row>
    <row r="7" spans="2:14" x14ac:dyDescent="0.35">
      <c r="B7" s="206" t="s">
        <v>4224</v>
      </c>
      <c r="C7" s="344" t="s">
        <v>4233</v>
      </c>
      <c r="D7" s="344" t="s">
        <v>4236</v>
      </c>
      <c r="E7" s="56" t="e">
        <f>VLOOKUP($B7,flows!$A$2:$J$4985,E$2,FALSE)</f>
        <v>#N/A</v>
      </c>
      <c r="F7" s="56" t="e">
        <f>VLOOKUP($B7,flows!$A$2:$J$4985,F$2,FALSE)</f>
        <v>#N/A</v>
      </c>
      <c r="G7" s="56" t="e">
        <f>VLOOKUP($B7,flows!$A$2:$J$4985,G$2,FALSE)</f>
        <v>#N/A</v>
      </c>
      <c r="H7" s="56" t="e">
        <f>VLOOKUP($B7,flows!$A$2:$J$4985,H$2,FALSE)</f>
        <v>#N/A</v>
      </c>
      <c r="I7" s="56" t="e">
        <f>VLOOKUP($B7,flows!$A$2:$J$4985,I$2,FALSE)</f>
        <v>#N/A</v>
      </c>
      <c r="J7" s="56" t="e">
        <f>VLOOKUP($B7,flows!$A$2:$J$4985,J$2,FALSE)</f>
        <v>#N/A</v>
      </c>
      <c r="K7" s="56" t="e">
        <f>VLOOKUP($B7,flows!$A$2:$J$4985,K$2,FALSE)</f>
        <v>#N/A</v>
      </c>
      <c r="L7" s="904">
        <v>0</v>
      </c>
      <c r="M7" s="2">
        <v>2.4572781156377208E-8</v>
      </c>
    </row>
    <row r="8" spans="2:14" x14ac:dyDescent="0.35">
      <c r="B8" s="206" t="s">
        <v>4225</v>
      </c>
      <c r="C8" s="344" t="s">
        <v>4235</v>
      </c>
      <c r="D8" s="344" t="s">
        <v>4237</v>
      </c>
      <c r="E8" s="56" t="e">
        <f>VLOOKUP($B8,flows!$A$2:$J$4985,E$2,FALSE)</f>
        <v>#N/A</v>
      </c>
      <c r="F8" s="56" t="e">
        <f>VLOOKUP($B8,flows!$A$2:$J$4985,F$2,FALSE)</f>
        <v>#N/A</v>
      </c>
      <c r="G8" s="56" t="e">
        <f>VLOOKUP($B8,flows!$A$2:$J$4985,G$2,FALSE)</f>
        <v>#N/A</v>
      </c>
      <c r="H8" s="56" t="e">
        <f>VLOOKUP($B8,flows!$A$2:$J$4985,H$2,FALSE)</f>
        <v>#N/A</v>
      </c>
      <c r="I8" s="56" t="e">
        <f>VLOOKUP($B8,flows!$A$2:$J$4985,I$2,FALSE)</f>
        <v>#N/A</v>
      </c>
      <c r="J8" s="56" t="e">
        <f>VLOOKUP($B8,flows!$A$2:$J$4985,J$2,FALSE)</f>
        <v>#N/A</v>
      </c>
      <c r="K8" s="56" t="e">
        <f>VLOOKUP($B8,flows!$A$2:$J$4985,K$2,FALSE)</f>
        <v>#N/A</v>
      </c>
      <c r="L8" s="904">
        <v>149710.6323159688</v>
      </c>
      <c r="M8" s="2">
        <v>66660.090354431799</v>
      </c>
    </row>
    <row r="9" spans="2:14" x14ac:dyDescent="0.35">
      <c r="B9" s="906" t="s">
        <v>877</v>
      </c>
      <c r="C9" s="6" t="s">
        <v>1249</v>
      </c>
      <c r="D9" s="199" t="s">
        <v>1926</v>
      </c>
      <c r="E9" s="56" t="e">
        <f>VLOOKUP($B9,flows!$A$2:$J$4985,E$2,FALSE)</f>
        <v>#N/A</v>
      </c>
      <c r="F9" s="56" t="e">
        <f>VLOOKUP($B9,flows!$A$2:$J$4985,F$2,FALSE)</f>
        <v>#N/A</v>
      </c>
      <c r="G9" s="56" t="e">
        <f>VLOOKUP($B9,flows!$A$2:$J$4985,G$2,FALSE)</f>
        <v>#N/A</v>
      </c>
      <c r="H9" s="56" t="e">
        <f>VLOOKUP($B9,flows!$A$2:$J$4985,H$2,FALSE)</f>
        <v>#N/A</v>
      </c>
      <c r="I9" s="56" t="e">
        <f>VLOOKUP($B9,flows!$A$2:$J$4985,I$2,FALSE)</f>
        <v>#N/A</v>
      </c>
      <c r="J9" s="56" t="e">
        <f>VLOOKUP($B9,flows!$A$2:$J$4985,J$2,FALSE)</f>
        <v>#N/A</v>
      </c>
      <c r="K9" s="56" t="e">
        <f>VLOOKUP($B9,flows!$A$2:$J$4985,K$2,FALSE)</f>
        <v>#N/A</v>
      </c>
      <c r="L9" s="904">
        <v>69808.69347358009</v>
      </c>
      <c r="M9" s="905">
        <v>54218.75051784447</v>
      </c>
      <c r="N9" s="2" t="e">
        <f>K9-M9</f>
        <v>#N/A</v>
      </c>
    </row>
    <row r="10" spans="2:14" x14ac:dyDescent="0.35">
      <c r="B10" s="26" t="s">
        <v>4250</v>
      </c>
      <c r="C10" s="6" t="s">
        <v>1252</v>
      </c>
      <c r="D10" s="199" t="s">
        <v>1929</v>
      </c>
      <c r="E10" s="212" t="e">
        <f>VLOOKUP($B10,flows!$A$2:$J$4985,E$2,FALSE)*(1-Erdgas!F16)</f>
        <v>#N/A</v>
      </c>
      <c r="F10" s="212" t="e">
        <f>VLOOKUP($B10,flows!$A$2:$J$4985,F$2,FALSE)*(1-Erdgas!G16)</f>
        <v>#N/A</v>
      </c>
      <c r="G10" s="212" t="e">
        <f>VLOOKUP($B10,flows!$A$2:$J$4985,G$2,FALSE)*(1-Erdgas!H16)</f>
        <v>#N/A</v>
      </c>
      <c r="H10" s="212" t="e">
        <f>VLOOKUP($B10,flows!$A$2:$J$4985,H$2,FALSE)*(1-Erdgas!I16)</f>
        <v>#N/A</v>
      </c>
      <c r="I10" s="212" t="e">
        <f>VLOOKUP($B10,flows!$A$2:$J$4985,I$2,FALSE)*(1-Erdgas!J16)</f>
        <v>#N/A</v>
      </c>
      <c r="J10" s="212" t="e">
        <f>VLOOKUP($B10,flows!$A$2:$J$4985,J$2,FALSE)*(1-Erdgas!K16)</f>
        <v>#N/A</v>
      </c>
      <c r="K10" s="212" t="e">
        <f>VLOOKUP($B10,flows!$A$2:$J$4985,K$2,FALSE)*(1-Erdgas!L16)</f>
        <v>#N/A</v>
      </c>
      <c r="L10" s="904">
        <v>0</v>
      </c>
      <c r="M10" s="2">
        <v>5.2218340088759272E-4</v>
      </c>
    </row>
    <row r="11" spans="2:14" x14ac:dyDescent="0.35">
      <c r="B11" s="206" t="s">
        <v>4249</v>
      </c>
      <c r="C11" s="344" t="s">
        <v>4252</v>
      </c>
      <c r="D11" s="344" t="s">
        <v>4253</v>
      </c>
      <c r="E11" s="212">
        <f>VLOOKUP($B11,flows!$A$2:$J$4985,E$2,FALSE)*(1-Erdgas!F17)</f>
        <v>0</v>
      </c>
      <c r="F11" s="212">
        <f>VLOOKUP($B11,flows!$A$2:$J$4985,F$2,FALSE)*(1-Erdgas!G17)</f>
        <v>0</v>
      </c>
      <c r="G11" s="212">
        <f>VLOOKUP($B11,flows!$A$2:$J$4985,G$2,FALSE)*(1-Erdgas!H17)</f>
        <v>0</v>
      </c>
      <c r="H11" s="212">
        <f>VLOOKUP($B11,flows!$A$2:$J$4985,H$2,FALSE)*(1-Erdgas!I17)</f>
        <v>0</v>
      </c>
      <c r="I11" s="212">
        <f>VLOOKUP($B11,flows!$A$2:$J$4985,I$2,FALSE)*(1-Erdgas!J17)</f>
        <v>0</v>
      </c>
      <c r="J11" s="212">
        <f>VLOOKUP($B11,flows!$A$2:$J$4985,J$2,FALSE)*(1-Erdgas!K17)</f>
        <v>0</v>
      </c>
      <c r="K11" s="212">
        <f>VLOOKUP($B11,flows!$A$2:$J$4985,K$2,FALSE)*(1-Erdgas!L17)</f>
        <v>0</v>
      </c>
      <c r="L11" s="904">
        <v>0</v>
      </c>
      <c r="M11" s="2">
        <v>5.8788200747163204</v>
      </c>
    </row>
    <row r="12" spans="2:14" x14ac:dyDescent="0.35">
      <c r="B12" s="908" t="s">
        <v>1043</v>
      </c>
      <c r="C12" s="6" t="s">
        <v>1250</v>
      </c>
      <c r="D12" s="199" t="s">
        <v>1928</v>
      </c>
      <c r="E12" s="56" t="e">
        <f>VLOOKUP($B12,flows!$A$2:$J$4985,E$2,FALSE)</f>
        <v>#N/A</v>
      </c>
      <c r="F12" s="56" t="e">
        <f>VLOOKUP($B12,flows!$A$2:$J$4985,F$2,FALSE)</f>
        <v>#N/A</v>
      </c>
      <c r="G12" s="56" t="e">
        <f>VLOOKUP($B12,flows!$A$2:$J$4985,G$2,FALSE)</f>
        <v>#N/A</v>
      </c>
      <c r="H12" s="56" t="e">
        <f>VLOOKUP($B12,flows!$A$2:$J$4985,H$2,FALSE)</f>
        <v>#N/A</v>
      </c>
      <c r="I12" s="56" t="e">
        <f>VLOOKUP($B12,flows!$A$2:$J$4985,I$2,FALSE)</f>
        <v>#N/A</v>
      </c>
      <c r="J12" s="56" t="e">
        <f>VLOOKUP($B12,flows!$A$2:$J$4985,J$2,FALSE)</f>
        <v>#N/A</v>
      </c>
      <c r="K12" s="56" t="e">
        <f>VLOOKUP($B12,flows!$A$2:$J$4985,K$2,FALSE)</f>
        <v>#N/A</v>
      </c>
      <c r="L12" s="904">
        <v>34175.454233989913</v>
      </c>
      <c r="M12" s="909">
        <v>35581.941529581512</v>
      </c>
      <c r="N12" s="2" t="e">
        <f>K12-M12</f>
        <v>#N/A</v>
      </c>
    </row>
    <row r="13" spans="2:14" x14ac:dyDescent="0.35">
      <c r="B13" s="26" t="s">
        <v>1045</v>
      </c>
      <c r="C13" s="13" t="s">
        <v>1251</v>
      </c>
      <c r="D13" s="204" t="s">
        <v>1930</v>
      </c>
      <c r="E13" s="212" t="e">
        <f>VLOOKUP($B13,flows!$A$2:$J$4985,E$2,FALSE)*(1-Erdgas!F16)</f>
        <v>#N/A</v>
      </c>
      <c r="F13" s="212" t="e">
        <f>VLOOKUP($B13,flows!$A$2:$J$4985,F$2,FALSE)*(1-Erdgas!G16)</f>
        <v>#N/A</v>
      </c>
      <c r="G13" s="212" t="e">
        <f>VLOOKUP($B13,flows!$A$2:$J$4985,G$2,FALSE)*(1-Erdgas!H16)</f>
        <v>#N/A</v>
      </c>
      <c r="H13" s="212" t="e">
        <f>VLOOKUP($B13,flows!$A$2:$J$4985,H$2,FALSE)*(1-Erdgas!I16)</f>
        <v>#N/A</v>
      </c>
      <c r="I13" s="212" t="e">
        <f>VLOOKUP($B13,flows!$A$2:$J$4985,I$2,FALSE)*(1-Erdgas!J16)</f>
        <v>#N/A</v>
      </c>
      <c r="J13" s="212" t="e">
        <f>VLOOKUP($B13,flows!$A$2:$J$4985,J$2,FALSE)*(1-Erdgas!K16)</f>
        <v>#N/A</v>
      </c>
      <c r="K13" s="212" t="e">
        <f>VLOOKUP($B13,flows!$A$2:$J$4985,K$2,FALSE)*(1-Erdgas!L16)</f>
        <v>#N/A</v>
      </c>
      <c r="L13" s="904">
        <v>0</v>
      </c>
      <c r="M13" s="2">
        <v>1.472201310503509E-4</v>
      </c>
    </row>
    <row r="14" spans="2:14" x14ac:dyDescent="0.35">
      <c r="B14" s="206" t="s">
        <v>1048</v>
      </c>
      <c r="C14" s="344" t="s">
        <v>2320</v>
      </c>
      <c r="D14" s="344" t="s">
        <v>2320</v>
      </c>
      <c r="E14" s="56">
        <f>IFERROR(VLOOKUP($B14,flows!$A$2:$J$4985,E$2,FALSE),0)</f>
        <v>0</v>
      </c>
      <c r="F14" s="56">
        <f>IFERROR(VLOOKUP($B14,flows!$A$2:$J$4985,F$2,FALSE),0)</f>
        <v>0</v>
      </c>
      <c r="G14" s="56">
        <f>IFERROR(VLOOKUP($B14,flows!$A$2:$J$4985,G$2,FALSE),0)</f>
        <v>0</v>
      </c>
      <c r="H14" s="56">
        <f>IFERROR(VLOOKUP($B14,flows!$A$2:$J$4985,H$2,FALSE),0)</f>
        <v>0</v>
      </c>
      <c r="I14" s="56">
        <f>IFERROR(VLOOKUP($B14,flows!$A$2:$J$4985,I$2,FALSE),0)</f>
        <v>0</v>
      </c>
      <c r="J14" s="56">
        <f>IFERROR(VLOOKUP($B14,flows!$A$2:$J$4985,J$2,FALSE),0)</f>
        <v>0</v>
      </c>
      <c r="K14" s="56">
        <f>IFERROR(VLOOKUP($B14,flows!$A$2:$J$4985,K$2,FALSE),0)</f>
        <v>0</v>
      </c>
      <c r="L14" s="904">
        <v>0.99188938261952331</v>
      </c>
      <c r="M14" s="2">
        <v>6.7086637621620309</v>
      </c>
    </row>
    <row r="15" spans="2:14" x14ac:dyDescent="0.35">
      <c r="B15" s="337" t="s">
        <v>2475</v>
      </c>
      <c r="C15" s="344" t="s">
        <v>2572</v>
      </c>
      <c r="D15" s="344" t="s">
        <v>2692</v>
      </c>
      <c r="E15" s="212" t="e">
        <f>VLOOKUP($B15,flows!$A$2:$J$4985,E$2,FALSE)*(1-Erdgas!F16)</f>
        <v>#N/A</v>
      </c>
      <c r="F15" s="212" t="e">
        <f>VLOOKUP($B15,flows!$A$2:$J$4985,F$2,FALSE)*(1-Erdgas!G16)</f>
        <v>#N/A</v>
      </c>
      <c r="G15" s="212" t="e">
        <f>VLOOKUP($B15,flows!$A$2:$J$4985,G$2,FALSE)*(1-Erdgas!H16)</f>
        <v>#N/A</v>
      </c>
      <c r="H15" s="212" t="e">
        <f>VLOOKUP($B15,flows!$A$2:$J$4985,H$2,FALSE)*(1-Erdgas!I16)</f>
        <v>#N/A</v>
      </c>
      <c r="I15" s="212" t="e">
        <f>VLOOKUP($B15,flows!$A$2:$J$4985,I$2,FALSE)*(1-Erdgas!J16)</f>
        <v>#N/A</v>
      </c>
      <c r="J15" s="212" t="e">
        <f>VLOOKUP($B15,flows!$A$2:$J$4985,J$2,FALSE)*(1-Erdgas!K16)</f>
        <v>#N/A</v>
      </c>
      <c r="K15" s="212" t="e">
        <f>VLOOKUP($B15,flows!$A$2:$J$4985,K$2,FALSE)*(1-Erdgas!L16)</f>
        <v>#N/A</v>
      </c>
      <c r="L15" s="904">
        <v>0</v>
      </c>
      <c r="M15" s="2">
        <v>0</v>
      </c>
    </row>
    <row r="16" spans="2:14" x14ac:dyDescent="0.35">
      <c r="B16" s="337" t="s">
        <v>2483</v>
      </c>
      <c r="C16" s="344" t="s">
        <v>2613</v>
      </c>
      <c r="D16" s="344" t="s">
        <v>2614</v>
      </c>
      <c r="E16" s="56">
        <f>VLOOKUP($B16,flows!$A$2:$J$4985,E$2,FALSE)</f>
        <v>5109.0805212861833</v>
      </c>
      <c r="F16" s="56">
        <f>VLOOKUP($B16,flows!$A$2:$J$4985,F$2,FALSE)</f>
        <v>2747.9524313497768</v>
      </c>
      <c r="G16" s="56">
        <f>VLOOKUP($B16,flows!$A$2:$J$4985,G$2,FALSE)</f>
        <v>2906.5679729771732</v>
      </c>
      <c r="H16" s="56">
        <f>VLOOKUP($B16,flows!$A$2:$J$4985,H$2,FALSE)</f>
        <v>3954.5885939112841</v>
      </c>
      <c r="I16" s="56">
        <f>VLOOKUP($B16,flows!$A$2:$J$4985,I$2,FALSE)</f>
        <v>4531.0580889957419</v>
      </c>
      <c r="J16" s="56">
        <f>VLOOKUP($B16,flows!$A$2:$J$4985,J$2,FALSE)</f>
        <v>4820.1056121851198</v>
      </c>
      <c r="K16" s="56">
        <f>VLOOKUP($B16,flows!$A$2:$J$4985,K$2,FALSE)</f>
        <v>5109.103537742988</v>
      </c>
      <c r="L16" s="904">
        <v>5108.2153713572943</v>
      </c>
      <c r="M16" s="2">
        <v>5393.8897759272131</v>
      </c>
    </row>
    <row r="17" spans="2:13" x14ac:dyDescent="0.35">
      <c r="B17" s="337" t="s">
        <v>2480</v>
      </c>
      <c r="C17" s="344" t="s">
        <v>2613</v>
      </c>
      <c r="D17" s="344" t="s">
        <v>2614</v>
      </c>
      <c r="E17" s="56">
        <f>VLOOKUP($B17,flows!$A$2:$J$4985,E$2,FALSE)</f>
        <v>2.3326701064104921E-2</v>
      </c>
      <c r="F17" s="56">
        <f>VLOOKUP($B17,flows!$A$2:$J$4985,F$2,FALSE)</f>
        <v>915.98414334898348</v>
      </c>
      <c r="G17" s="56">
        <f>VLOOKUP($B17,flows!$A$2:$J$4985,G$2,FALSE)</f>
        <v>968.30234120496868</v>
      </c>
      <c r="H17" s="56">
        <f>VLOOKUP($B17,flows!$A$2:$J$4985,H$2,FALSE)</f>
        <v>287.42701121023248</v>
      </c>
      <c r="I17" s="56">
        <f>VLOOKUP($B17,flows!$A$2:$J$4985,I$2,FALSE)</f>
        <v>2.7139633108424531E-3</v>
      </c>
      <c r="J17" s="56">
        <f>VLOOKUP($B17,flows!$A$2:$J$4985,J$2,FALSE)</f>
        <v>3.879646583463827E-4</v>
      </c>
      <c r="K17" s="56">
        <f>VLOOKUP($B17,flows!$A$2:$J$4985,K$2,FALSE)</f>
        <v>2.6241100384600098E-4</v>
      </c>
      <c r="L17" s="904">
        <v>0.88910109848792018</v>
      </c>
      <c r="M17" s="2">
        <v>4.2159423925631572</v>
      </c>
    </row>
    <row r="18" spans="2:13" x14ac:dyDescent="0.35">
      <c r="B18" s="337"/>
      <c r="C18" s="344" t="s">
        <v>4041</v>
      </c>
      <c r="D18" s="344" t="s">
        <v>4042</v>
      </c>
      <c r="E18" s="56">
        <f t="shared" ref="E18:K18" si="0">SUM(E16:E17)</f>
        <v>5109.1038479872477</v>
      </c>
      <c r="F18" s="56">
        <f t="shared" si="0"/>
        <v>3663.9365746987605</v>
      </c>
      <c r="G18" s="56">
        <f t="shared" si="0"/>
        <v>3874.870314182142</v>
      </c>
      <c r="H18" s="56">
        <f t="shared" si="0"/>
        <v>4242.0156051215163</v>
      </c>
      <c r="I18" s="56">
        <f t="shared" si="0"/>
        <v>4531.060802959053</v>
      </c>
      <c r="J18" s="56">
        <f t="shared" si="0"/>
        <v>4820.1060001497781</v>
      </c>
      <c r="K18" s="56">
        <f t="shared" si="0"/>
        <v>5109.1038001539919</v>
      </c>
      <c r="L18" s="904">
        <v>5109.1044724557823</v>
      </c>
      <c r="M18" s="2">
        <v>5398.1057183197763</v>
      </c>
    </row>
    <row r="19" spans="2:13" x14ac:dyDescent="0.35">
      <c r="B19" s="337"/>
      <c r="C19" s="344" t="s">
        <v>4074</v>
      </c>
      <c r="D19" s="344" t="s">
        <v>4075</v>
      </c>
      <c r="E19" s="212" t="e">
        <f>E4+E5+(VLOOKUP($B13,flows!$A$2:$J$4985,E$2,FALSE)+VLOOKUP($B10,flows!$A$2:$J$4985,E$2,FALSE)+VLOOKUP($B15,flows!$A$2:$J$4985,E$2,FALSE))*Erdgas!F16</f>
        <v>#N/A</v>
      </c>
      <c r="F19" s="212" t="e">
        <f>F4+F5+(VLOOKUP($B13,flows!$A$2:$J$4985,F$2,FALSE)+VLOOKUP($B10,flows!$A$2:$J$4985,F$2,FALSE)+VLOOKUP($B15,flows!$A$2:$J$4985,F$2,FALSE))*Erdgas!G16</f>
        <v>#N/A</v>
      </c>
      <c r="G19" s="212" t="e">
        <f>G4+G5+(VLOOKUP($B13,flows!$A$2:$J$4985,G$2,FALSE)+VLOOKUP($B10,flows!$A$2:$J$4985,G$2,FALSE)+VLOOKUP($B15,flows!$A$2:$J$4985,G$2,FALSE))*Erdgas!H16</f>
        <v>#N/A</v>
      </c>
      <c r="H19" s="212" t="e">
        <f>H4+H5+(VLOOKUP($B13,flows!$A$2:$J$4985,H$2,FALSE)+VLOOKUP($B10,flows!$A$2:$J$4985,H$2,FALSE)+VLOOKUP($B15,flows!$A$2:$J$4985,H$2,FALSE))*Erdgas!I16</f>
        <v>#N/A</v>
      </c>
      <c r="I19" s="212" t="e">
        <f>I4+I5+(VLOOKUP($B13,flows!$A$2:$J$4985,I$2,FALSE)+VLOOKUP($B10,flows!$A$2:$J$4985,I$2,FALSE)+VLOOKUP($B15,flows!$A$2:$J$4985,I$2,FALSE))*Erdgas!J16</f>
        <v>#N/A</v>
      </c>
      <c r="J19" s="212" t="e">
        <f>J4+J5+(VLOOKUP($B13,flows!$A$2:$J$4985,J$2,FALSE)+VLOOKUP($B10,flows!$A$2:$J$4985,J$2,FALSE)+VLOOKUP($B15,flows!$A$2:$J$4985,J$2,FALSE))*Erdgas!K16</f>
        <v>#N/A</v>
      </c>
      <c r="K19" s="212" t="e">
        <f>K4+K5+(VLOOKUP($B13,flows!$A$2:$J$4985,K$2,FALSE)+VLOOKUP($B10,flows!$A$2:$J$4985,K$2,FALSE)+VLOOKUP($B15,flows!$A$2:$J$4985,K$2,FALSE))*Erdgas!L16</f>
        <v>#N/A</v>
      </c>
      <c r="L19" s="973">
        <v>0.29332014187699706</v>
      </c>
      <c r="M19" s="2">
        <v>28.978986747140784</v>
      </c>
    </row>
    <row r="20" spans="2:13" ht="14.5" x14ac:dyDescent="0.35">
      <c r="B20" s="31"/>
      <c r="C20" s="31"/>
      <c r="D20" s="283" t="s">
        <v>2213</v>
      </c>
      <c r="E20" s="284" t="e">
        <f t="shared" ref="E20:K20" si="1">((E6+E8+E19+E18)+(E9+E12))/SUM(E6:E19)</f>
        <v>#N/A</v>
      </c>
      <c r="F20" s="284" t="e">
        <f t="shared" si="1"/>
        <v>#N/A</v>
      </c>
      <c r="G20" s="284" t="e">
        <f t="shared" si="1"/>
        <v>#N/A</v>
      </c>
      <c r="H20" s="284" t="e">
        <f t="shared" si="1"/>
        <v>#N/A</v>
      </c>
      <c r="I20" s="284" t="e">
        <f t="shared" si="1"/>
        <v>#N/A</v>
      </c>
      <c r="J20" s="284" t="e">
        <f t="shared" si="1"/>
        <v>#N/A</v>
      </c>
      <c r="K20" s="284" t="e">
        <f t="shared" si="1"/>
        <v>#N/A</v>
      </c>
      <c r="L20" s="975">
        <v>0.99059543674035588</v>
      </c>
      <c r="M20" s="2">
        <v>0.99138080873646905</v>
      </c>
    </row>
    <row r="21" spans="2:13" x14ac:dyDescent="0.35">
      <c r="B21" s="31"/>
      <c r="C21" s="31" t="s">
        <v>1673</v>
      </c>
      <c r="D21" s="194" t="s">
        <v>1673</v>
      </c>
      <c r="E21" s="13" t="e">
        <f t="shared" ref="E21:K21" si="2">E6+E7+E8</f>
        <v>#N/A</v>
      </c>
      <c r="F21" s="204" t="e">
        <f t="shared" si="2"/>
        <v>#N/A</v>
      </c>
      <c r="G21" s="204" t="e">
        <f t="shared" si="2"/>
        <v>#N/A</v>
      </c>
      <c r="H21" s="204" t="e">
        <f t="shared" si="2"/>
        <v>#N/A</v>
      </c>
      <c r="I21" s="204" t="e">
        <f t="shared" si="2"/>
        <v>#N/A</v>
      </c>
      <c r="J21" s="204" t="e">
        <f t="shared" si="2"/>
        <v>#N/A</v>
      </c>
      <c r="K21" s="204" t="e">
        <f t="shared" si="2"/>
        <v>#N/A</v>
      </c>
      <c r="L21" s="369">
        <v>429159.85315177112</v>
      </c>
      <c r="M21" s="2">
        <v>425767.03641594213</v>
      </c>
    </row>
    <row r="22" spans="2:13" x14ac:dyDescent="0.35">
      <c r="B22" s="31"/>
      <c r="C22" s="861" t="s">
        <v>4414</v>
      </c>
      <c r="D22" s="861"/>
      <c r="E22" s="69" t="e">
        <f t="shared" ref="E22:K22" si="3">E21/(SUM(E4:E19))</f>
        <v>#N/A</v>
      </c>
      <c r="F22" s="69" t="e">
        <f t="shared" si="3"/>
        <v>#N/A</v>
      </c>
      <c r="G22" s="69" t="e">
        <f t="shared" si="3"/>
        <v>#N/A</v>
      </c>
      <c r="H22" s="69" t="e">
        <f t="shared" si="3"/>
        <v>#N/A</v>
      </c>
      <c r="I22" s="69" t="e">
        <f t="shared" si="3"/>
        <v>#N/A</v>
      </c>
      <c r="J22" s="69" t="e">
        <f t="shared" si="3"/>
        <v>#N/A</v>
      </c>
      <c r="K22" s="69" t="e">
        <f t="shared" si="3"/>
        <v>#N/A</v>
      </c>
      <c r="L22" s="976">
        <v>0.78982048926682435</v>
      </c>
    </row>
    <row r="23" spans="2:13" x14ac:dyDescent="0.35">
      <c r="B23" s="31"/>
      <c r="C23" s="31"/>
      <c r="D23" s="194"/>
      <c r="E23" s="13"/>
      <c r="F23" s="13"/>
      <c r="G23" s="13"/>
      <c r="H23" s="13"/>
      <c r="I23" s="13"/>
      <c r="J23" s="13"/>
      <c r="K23" s="13"/>
      <c r="L23" s="13"/>
    </row>
    <row r="24" spans="2:13" x14ac:dyDescent="0.35">
      <c r="B24" s="31"/>
      <c r="C24" s="31"/>
      <c r="D24" s="194"/>
      <c r="E24" s="13"/>
      <c r="F24" s="13"/>
      <c r="G24" s="13"/>
      <c r="H24" s="13"/>
      <c r="I24" s="13"/>
      <c r="J24" s="13"/>
      <c r="K24" s="13"/>
      <c r="L24" s="13"/>
    </row>
    <row r="25" spans="2:13" x14ac:dyDescent="0.35">
      <c r="B25" s="31"/>
      <c r="C25" s="31"/>
      <c r="D25" s="194"/>
      <c r="E25" s="13"/>
      <c r="F25" s="13"/>
      <c r="G25" s="13"/>
      <c r="H25" s="13"/>
      <c r="I25" s="13"/>
      <c r="J25" s="13"/>
      <c r="K25" s="13"/>
      <c r="L25" s="13"/>
    </row>
    <row r="26" spans="2:13" x14ac:dyDescent="0.35">
      <c r="B26" s="31"/>
      <c r="C26" s="31"/>
      <c r="D26" s="194"/>
      <c r="E26" s="13"/>
      <c r="F26" s="13"/>
      <c r="G26" s="13"/>
      <c r="H26" s="13"/>
      <c r="I26" s="13"/>
      <c r="J26" s="13"/>
      <c r="K26" s="13"/>
      <c r="L26" s="13"/>
    </row>
    <row r="27" spans="2:13" x14ac:dyDescent="0.35">
      <c r="B27" s="31"/>
      <c r="C27" s="31"/>
      <c r="D27" s="194"/>
      <c r="E27" s="13"/>
      <c r="F27" s="13"/>
      <c r="G27" s="13"/>
      <c r="H27" s="13"/>
      <c r="I27" s="13"/>
      <c r="J27" s="13"/>
      <c r="K27" s="13"/>
      <c r="L27" s="13"/>
    </row>
    <row r="28" spans="2:13" x14ac:dyDescent="0.35">
      <c r="B28" s="31"/>
      <c r="C28" s="31"/>
      <c r="D28" s="194"/>
      <c r="E28" s="13"/>
      <c r="F28" s="13"/>
      <c r="G28" s="13"/>
      <c r="H28" s="13"/>
      <c r="I28" s="13"/>
      <c r="J28" s="13"/>
      <c r="K28" s="13"/>
      <c r="L28" s="13"/>
    </row>
    <row r="29" spans="2:13" x14ac:dyDescent="0.35">
      <c r="B29" s="31"/>
      <c r="C29" s="31"/>
      <c r="D29" s="194"/>
      <c r="E29" s="13"/>
      <c r="F29" s="13"/>
      <c r="G29" s="13"/>
      <c r="H29" s="13"/>
      <c r="I29" s="13"/>
      <c r="J29" s="13"/>
      <c r="K29" s="13"/>
      <c r="L29" s="13"/>
    </row>
    <row r="42" spans="3:5" ht="14.5" x14ac:dyDescent="0.35">
      <c r="C42" s="145"/>
      <c r="D42" s="145"/>
      <c r="E42" s="137"/>
    </row>
    <row r="43" spans="3:5" ht="14.5" x14ac:dyDescent="0.35">
      <c r="C43" s="137"/>
      <c r="D43" s="137"/>
      <c r="E43" s="137"/>
    </row>
    <row r="44" spans="3:5" ht="14.5" x14ac:dyDescent="0.35">
      <c r="C44" s="137"/>
      <c r="D44" s="137"/>
      <c r="E44" s="137"/>
    </row>
    <row r="45" spans="3:5" ht="14.5" x14ac:dyDescent="0.35">
      <c r="C45" s="137"/>
      <c r="D45" s="137"/>
      <c r="E45" s="137"/>
    </row>
    <row r="46" spans="3:5" ht="14.5" x14ac:dyDescent="0.35">
      <c r="C46" s="137"/>
      <c r="D46" s="137"/>
      <c r="E46" s="137"/>
    </row>
    <row r="47" spans="3:5" ht="14.5" x14ac:dyDescent="0.35">
      <c r="C47" s="137"/>
      <c r="D47" s="137"/>
      <c r="E47" s="137"/>
    </row>
    <row r="48" spans="3:5" ht="14.5" x14ac:dyDescent="0.35">
      <c r="C48" s="137"/>
      <c r="D48" s="137"/>
      <c r="E48" s="137"/>
    </row>
    <row r="49" spans="2:13" ht="14.5" x14ac:dyDescent="0.35">
      <c r="C49" s="137"/>
      <c r="D49" s="137"/>
      <c r="E49" s="137"/>
    </row>
    <row r="50" spans="2:13" ht="14.5" x14ac:dyDescent="0.35">
      <c r="C50" s="137"/>
      <c r="D50" s="137"/>
      <c r="E50" s="137"/>
    </row>
    <row r="51" spans="2:13" ht="14.5" x14ac:dyDescent="0.35">
      <c r="C51" s="137"/>
      <c r="D51" s="137"/>
      <c r="E51" s="137"/>
    </row>
    <row r="62" spans="2:13" x14ac:dyDescent="0.35">
      <c r="M62" s="321" t="s">
        <v>4054</v>
      </c>
    </row>
    <row r="63" spans="2:13" ht="14.5" thickBot="1" x14ac:dyDescent="0.4">
      <c r="M63" s="2">
        <v>0.11671017136221795</v>
      </c>
    </row>
    <row r="64" spans="2:13" ht="14.5" x14ac:dyDescent="0.35">
      <c r="B64" s="2" t="str">
        <f>B2</f>
        <v>Hydrogen production</v>
      </c>
      <c r="E64" s="89">
        <v>2</v>
      </c>
      <c r="F64" s="89">
        <v>3</v>
      </c>
      <c r="G64" s="89">
        <v>4</v>
      </c>
      <c r="H64" s="89">
        <v>5</v>
      </c>
      <c r="I64" s="89">
        <v>6</v>
      </c>
      <c r="J64" s="89">
        <v>7</v>
      </c>
      <c r="K64" s="89">
        <v>8</v>
      </c>
      <c r="L64" s="89">
        <v>9</v>
      </c>
      <c r="M64" s="2">
        <v>219355.248572838</v>
      </c>
    </row>
    <row r="65" spans="2:13" ht="14.5" x14ac:dyDescent="0.35">
      <c r="B65" s="2" t="str">
        <f>B3</f>
        <v>Abfragewerte</v>
      </c>
      <c r="C65" s="2" t="str">
        <f>C3</f>
        <v>Diagrammbeschriftung</v>
      </c>
      <c r="E65" s="133" t="s">
        <v>1417</v>
      </c>
      <c r="F65" s="133">
        <v>2020</v>
      </c>
      <c r="G65" s="133">
        <v>2025</v>
      </c>
      <c r="H65" s="133">
        <v>2030</v>
      </c>
      <c r="I65" s="133">
        <v>2035</v>
      </c>
      <c r="J65" s="133">
        <v>2040</v>
      </c>
      <c r="K65" s="133">
        <v>2045</v>
      </c>
      <c r="L65" s="133">
        <v>2050</v>
      </c>
      <c r="M65" s="2">
        <v>179354.72966871105</v>
      </c>
    </row>
    <row r="66" spans="2:13" x14ac:dyDescent="0.35">
      <c r="B66" s="2" t="str">
        <f>B5</f>
        <v>WoodGasification to H2Hub</v>
      </c>
      <c r="C66" s="2" t="s">
        <v>2330</v>
      </c>
      <c r="D66" s="191" t="s">
        <v>2331</v>
      </c>
      <c r="E66" s="861" t="e">
        <f>E19</f>
        <v>#N/A</v>
      </c>
      <c r="F66" s="861" t="e">
        <f t="shared" ref="F66:L66" si="4">F19</f>
        <v>#N/A</v>
      </c>
      <c r="G66" s="861" t="e">
        <f t="shared" si="4"/>
        <v>#N/A</v>
      </c>
      <c r="H66" s="861" t="e">
        <f t="shared" si="4"/>
        <v>#N/A</v>
      </c>
      <c r="I66" s="861" t="e">
        <f t="shared" si="4"/>
        <v>#N/A</v>
      </c>
      <c r="J66" s="861" t="e">
        <f t="shared" si="4"/>
        <v>#N/A</v>
      </c>
      <c r="K66" s="861" t="e">
        <f t="shared" si="4"/>
        <v>#N/A</v>
      </c>
      <c r="L66" s="861">
        <f t="shared" si="4"/>
        <v>0.29332014187699706</v>
      </c>
      <c r="M66" s="2">
        <v>0.29534594338082631</v>
      </c>
    </row>
    <row r="67" spans="2:13" x14ac:dyDescent="0.35">
      <c r="B67" s="2" t="str">
        <f>B6</f>
        <v>H2Import to H2Hub</v>
      </c>
      <c r="C67" s="2" t="str">
        <f t="shared" ref="C67:L67" si="5">C6</f>
        <v>Import green H2 Ship</v>
      </c>
      <c r="D67" s="191" t="str">
        <f t="shared" si="5"/>
        <v>Import grüner H2 Schiff</v>
      </c>
      <c r="E67" s="2" t="e">
        <f t="shared" si="5"/>
        <v>#N/A</v>
      </c>
      <c r="F67" s="2" t="e">
        <f t="shared" si="5"/>
        <v>#N/A</v>
      </c>
      <c r="G67" s="2" t="e">
        <f t="shared" si="5"/>
        <v>#N/A</v>
      </c>
      <c r="H67" s="2" t="e">
        <f t="shared" si="5"/>
        <v>#N/A</v>
      </c>
      <c r="I67" s="2" t="e">
        <f t="shared" si="5"/>
        <v>#N/A</v>
      </c>
      <c r="J67" s="2" t="e">
        <f t="shared" si="5"/>
        <v>#N/A</v>
      </c>
      <c r="K67" s="2" t="e">
        <f t="shared" si="5"/>
        <v>#N/A</v>
      </c>
      <c r="L67" s="2">
        <f t="shared" si="5"/>
        <v>279449.22083580232</v>
      </c>
      <c r="M67" s="2">
        <v>93.55210085778775</v>
      </c>
    </row>
    <row r="68" spans="2:13" x14ac:dyDescent="0.35">
      <c r="B68" s="2" t="str">
        <f>B9</f>
        <v>LS-Electrolysis to H2Hub</v>
      </c>
      <c r="C68" s="2" t="s">
        <v>2327</v>
      </c>
      <c r="D68" s="191" t="s">
        <v>2328</v>
      </c>
      <c r="E68" s="2" t="e">
        <f t="shared" ref="E68:L69" si="6">E9+E12</f>
        <v>#N/A</v>
      </c>
      <c r="F68" s="342" t="e">
        <f t="shared" si="6"/>
        <v>#N/A</v>
      </c>
      <c r="G68" s="342" t="e">
        <f t="shared" si="6"/>
        <v>#N/A</v>
      </c>
      <c r="H68" s="342" t="e">
        <f t="shared" si="6"/>
        <v>#N/A</v>
      </c>
      <c r="I68" s="342" t="e">
        <f t="shared" si="6"/>
        <v>#N/A</v>
      </c>
      <c r="J68" s="342" t="e">
        <f t="shared" si="6"/>
        <v>#N/A</v>
      </c>
      <c r="K68" s="342" t="e">
        <f t="shared" si="6"/>
        <v>#N/A</v>
      </c>
      <c r="L68" s="342">
        <f t="shared" si="6"/>
        <v>103984.14770756999</v>
      </c>
      <c r="M68" s="2">
        <v>0</v>
      </c>
    </row>
    <row r="69" spans="2:13" x14ac:dyDescent="0.35">
      <c r="B69" s="2" t="str">
        <f>B10</f>
        <v>LS-Reformer to ReformerHub0</v>
      </c>
      <c r="C69" s="2" t="s">
        <v>1771</v>
      </c>
      <c r="D69" s="191" t="s">
        <v>2329</v>
      </c>
      <c r="E69" s="2" t="e">
        <f t="shared" si="6"/>
        <v>#N/A</v>
      </c>
      <c r="F69" s="342" t="e">
        <f t="shared" si="6"/>
        <v>#N/A</v>
      </c>
      <c r="G69" s="342" t="e">
        <f t="shared" si="6"/>
        <v>#N/A</v>
      </c>
      <c r="H69" s="342" t="e">
        <f t="shared" si="6"/>
        <v>#N/A</v>
      </c>
      <c r="I69" s="342" t="e">
        <f t="shared" si="6"/>
        <v>#N/A</v>
      </c>
      <c r="J69" s="342" t="e">
        <f t="shared" si="6"/>
        <v>#N/A</v>
      </c>
      <c r="K69" s="342" t="e">
        <f t="shared" si="6"/>
        <v>#N/A</v>
      </c>
      <c r="L69" s="342">
        <f t="shared" si="6"/>
        <v>0</v>
      </c>
      <c r="M69" s="2">
        <v>0</v>
      </c>
    </row>
    <row r="70" spans="2:13" x14ac:dyDescent="0.35">
      <c r="B70" s="2" t="str">
        <f t="shared" ref="B70:L70" si="7">B14</f>
        <v>SS-rSOFC to HH-H2Hub</v>
      </c>
      <c r="C70" s="2" t="str">
        <f t="shared" si="7"/>
        <v>rSOC</v>
      </c>
      <c r="D70" s="191" t="str">
        <f t="shared" si="7"/>
        <v>rSOC</v>
      </c>
      <c r="E70" s="2">
        <f t="shared" si="7"/>
        <v>0</v>
      </c>
      <c r="F70" s="2">
        <f t="shared" si="7"/>
        <v>0</v>
      </c>
      <c r="G70" s="2">
        <f t="shared" si="7"/>
        <v>0</v>
      </c>
      <c r="H70" s="2">
        <f t="shared" si="7"/>
        <v>0</v>
      </c>
      <c r="I70" s="2">
        <f t="shared" si="7"/>
        <v>0</v>
      </c>
      <c r="J70" s="2">
        <f t="shared" si="7"/>
        <v>0</v>
      </c>
      <c r="K70" s="2">
        <f t="shared" si="7"/>
        <v>0</v>
      </c>
      <c r="L70" s="2">
        <f t="shared" si="7"/>
        <v>0.99188938261952331</v>
      </c>
    </row>
    <row r="71" spans="2:13" x14ac:dyDescent="0.35">
      <c r="C71" s="2" t="s">
        <v>2572</v>
      </c>
      <c r="D71" s="191" t="s">
        <v>2693</v>
      </c>
      <c r="E71" s="342" t="e">
        <f t="shared" ref="E71:L71" si="8">E15</f>
        <v>#N/A</v>
      </c>
      <c r="F71" s="342" t="e">
        <f t="shared" si="8"/>
        <v>#N/A</v>
      </c>
      <c r="G71" s="342" t="e">
        <f t="shared" si="8"/>
        <v>#N/A</v>
      </c>
      <c r="H71" s="342" t="e">
        <f t="shared" si="8"/>
        <v>#N/A</v>
      </c>
      <c r="I71" s="342" t="e">
        <f t="shared" si="8"/>
        <v>#N/A</v>
      </c>
      <c r="J71" s="342" t="e">
        <f t="shared" si="8"/>
        <v>#N/A</v>
      </c>
      <c r="K71" s="342" t="e">
        <f t="shared" si="8"/>
        <v>#N/A</v>
      </c>
      <c r="L71" s="342">
        <f t="shared" si="8"/>
        <v>0</v>
      </c>
    </row>
    <row r="72" spans="2:13" x14ac:dyDescent="0.35">
      <c r="C72" s="344" t="s">
        <v>4041</v>
      </c>
      <c r="D72" s="344" t="s">
        <v>4042</v>
      </c>
      <c r="E72" s="2">
        <f>E18</f>
        <v>5109.1038479872477</v>
      </c>
      <c r="F72" s="342">
        <f t="shared" ref="F72:L72" si="9">F18</f>
        <v>3663.9365746987605</v>
      </c>
      <c r="G72" s="342">
        <f t="shared" si="9"/>
        <v>3874.870314182142</v>
      </c>
      <c r="H72" s="342">
        <f t="shared" si="9"/>
        <v>4242.0156051215163</v>
      </c>
      <c r="I72" s="342">
        <f t="shared" si="9"/>
        <v>4531.060802959053</v>
      </c>
      <c r="J72" s="342">
        <f t="shared" si="9"/>
        <v>4820.1060001497781</v>
      </c>
      <c r="K72" s="342">
        <f t="shared" si="9"/>
        <v>5109.1038001539919</v>
      </c>
      <c r="L72" s="342">
        <f t="shared" si="9"/>
        <v>5109.1044724557823</v>
      </c>
    </row>
  </sheetData>
  <dataConsolidate/>
  <pageMargins left="0.7" right="0.7" top="0.78740157499999996" bottom="0.78740157499999996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70C0"/>
  </sheetPr>
  <dimension ref="B1:N6"/>
  <sheetViews>
    <sheetView zoomScale="85" zoomScaleNormal="85" workbookViewId="0">
      <selection activeCell="L5" sqref="L5"/>
    </sheetView>
  </sheetViews>
  <sheetFormatPr baseColWidth="10" defaultColWidth="11.453125" defaultRowHeight="14" x14ac:dyDescent="0.3"/>
  <cols>
    <col min="1" max="1" width="11.453125" style="60"/>
    <col min="2" max="2" width="39.453125" style="60" bestFit="1" customWidth="1"/>
    <col min="3" max="3" width="22.54296875" style="60" bestFit="1" customWidth="1"/>
    <col min="4" max="4" width="5.453125" style="60" bestFit="1" customWidth="1"/>
    <col min="5" max="16384" width="11.453125" style="60"/>
  </cols>
  <sheetData>
    <row r="1" spans="2:14" ht="14.5" thickBot="1" x14ac:dyDescent="0.35"/>
    <row r="2" spans="2:14" ht="14.5" x14ac:dyDescent="0.35">
      <c r="B2" s="50" t="s">
        <v>1274</v>
      </c>
      <c r="C2" s="51" t="s">
        <v>1158</v>
      </c>
      <c r="D2" s="51"/>
      <c r="E2" s="89">
        <v>2</v>
      </c>
      <c r="F2" s="89">
        <v>3</v>
      </c>
      <c r="G2" s="89">
        <v>4</v>
      </c>
      <c r="H2" s="89">
        <v>5</v>
      </c>
      <c r="I2" s="89">
        <v>6</v>
      </c>
      <c r="J2" s="89">
        <v>7</v>
      </c>
      <c r="K2" s="89">
        <v>8</v>
      </c>
      <c r="L2" s="89">
        <v>9</v>
      </c>
      <c r="N2" s="61"/>
    </row>
    <row r="3" spans="2:14" ht="14.5" x14ac:dyDescent="0.35">
      <c r="B3" s="52" t="s">
        <v>1258</v>
      </c>
      <c r="C3" s="53" t="s">
        <v>1259</v>
      </c>
      <c r="D3" s="53"/>
      <c r="E3" s="133" t="s">
        <v>1417</v>
      </c>
      <c r="F3" s="133">
        <v>2020</v>
      </c>
      <c r="G3" s="133">
        <v>2025</v>
      </c>
      <c r="H3" s="133">
        <v>2030</v>
      </c>
      <c r="I3" s="133">
        <v>2035</v>
      </c>
      <c r="J3" s="133">
        <v>2040</v>
      </c>
      <c r="K3" s="133">
        <v>2045</v>
      </c>
      <c r="L3" s="133" t="s">
        <v>4477</v>
      </c>
    </row>
    <row r="4" spans="2:14" x14ac:dyDescent="0.3">
      <c r="B4" s="55" t="s">
        <v>110</v>
      </c>
      <c r="C4" s="54" t="s">
        <v>4408</v>
      </c>
      <c r="D4" s="54" t="s">
        <v>4409</v>
      </c>
      <c r="E4" s="56" t="e">
        <f>VLOOKUP($B4,capacities!$A$2:$J$1504,E$2,FALSE)</f>
        <v>#N/A</v>
      </c>
      <c r="F4" s="56" t="e">
        <f>VLOOKUP($B4,capacities!$A$2:$J$1504,F$2,FALSE)</f>
        <v>#N/A</v>
      </c>
      <c r="G4" s="56" t="e">
        <f>VLOOKUP($B4,capacities!$A$2:$J$1504,G$2,FALSE)</f>
        <v>#N/A</v>
      </c>
      <c r="H4" s="56" t="e">
        <f>VLOOKUP($B4,capacities!$A$2:$J$1504,H$2,FALSE)</f>
        <v>#N/A</v>
      </c>
      <c r="I4" s="56" t="e">
        <f>VLOOKUP($B4,capacities!$A$2:$J$1504,I$2,FALSE)</f>
        <v>#N/A</v>
      </c>
      <c r="J4" s="56" t="e">
        <f>VLOOKUP($B4,capacities!$A$2:$J$1504,J$2,FALSE)</f>
        <v>#N/A</v>
      </c>
      <c r="K4" s="56" t="e">
        <f>VLOOKUP($B4,capacities!$A$2:$J$1504,K$2,FALSE)</f>
        <v>#N/A</v>
      </c>
      <c r="L4" s="904">
        <v>34990.42026634331</v>
      </c>
    </row>
    <row r="5" spans="2:14" x14ac:dyDescent="0.3">
      <c r="B5" s="55" t="s">
        <v>4406</v>
      </c>
      <c r="C5" s="54" t="s">
        <v>4407</v>
      </c>
      <c r="D5" s="54" t="s">
        <v>4410</v>
      </c>
      <c r="E5" s="56" t="e">
        <f>VLOOKUP($B5,capacities!$A$2:$J$2800,E$2,FALSE)</f>
        <v>#N/A</v>
      </c>
      <c r="F5" s="56" t="e">
        <f>VLOOKUP($B5,capacities!$A$2:$J$2800,F$2,FALSE)</f>
        <v>#N/A</v>
      </c>
      <c r="G5" s="56" t="e">
        <f>VLOOKUP($B5,capacities!$A$2:$J$2800,G$2,FALSE)</f>
        <v>#N/A</v>
      </c>
      <c r="H5" s="56" t="e">
        <f>VLOOKUP($B5,capacities!$A$2:$J$2800,H$2,FALSE)</f>
        <v>#N/A</v>
      </c>
      <c r="I5" s="56" t="e">
        <f>VLOOKUP($B5,capacities!$A$2:$J$2800,I$2,FALSE)</f>
        <v>#N/A</v>
      </c>
      <c r="J5" s="56" t="e">
        <f>VLOOKUP($B5,capacities!$A$2:$J$2800,J$2,FALSE)</f>
        <v>#N/A</v>
      </c>
      <c r="K5" s="56" t="e">
        <f>VLOOKUP($B5,capacities!$A$2:$J$2800,K$2,FALSE)</f>
        <v>#N/A</v>
      </c>
      <c r="L5" s="904">
        <v>23235.219067812232</v>
      </c>
    </row>
    <row r="6" spans="2:14" ht="14.5" thickBot="1" x14ac:dyDescent="0.35">
      <c r="B6" s="57" t="s">
        <v>114</v>
      </c>
      <c r="C6" s="58" t="s">
        <v>1170</v>
      </c>
      <c r="D6" s="58" t="s">
        <v>1540</v>
      </c>
      <c r="E6" s="56" t="e">
        <f>VLOOKUP($B6,capacities!$A$2:$J$2800,E$2,FALSE)</f>
        <v>#N/A</v>
      </c>
      <c r="F6" s="56" t="e">
        <f>VLOOKUP($B6,capacities!$A$2:$J$2800,F$2,FALSE)</f>
        <v>#N/A</v>
      </c>
      <c r="G6" s="56" t="e">
        <f>VLOOKUP($B6,capacities!$A$2:$J$2800,G$2,FALSE)</f>
        <v>#N/A</v>
      </c>
      <c r="H6" s="56" t="e">
        <f>VLOOKUP($B6,capacities!$A$2:$J$2800,H$2,FALSE)</f>
        <v>#N/A</v>
      </c>
      <c r="I6" s="56" t="e">
        <f>VLOOKUP($B6,capacities!$A$2:$J$2800,I$2,FALSE)</f>
        <v>#N/A</v>
      </c>
      <c r="J6" s="56" t="e">
        <f>VLOOKUP($B6,capacities!$A$2:$J$2800,J$2,FALSE)</f>
        <v>#N/A</v>
      </c>
      <c r="K6" s="56" t="e">
        <f>VLOOKUP($B6,capacities!$A$2:$J$2800,K$2,FALSE)</f>
        <v>#N/A</v>
      </c>
      <c r="L6" s="904">
        <v>8.8995750132214765E-2</v>
      </c>
    </row>
  </sheetData>
  <pageMargins left="0.7" right="0.7" top="0.78740157499999996" bottom="0.78740157499999996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3"/>
  </sheetPr>
  <dimension ref="A1:S76"/>
  <sheetViews>
    <sheetView topLeftCell="A61" zoomScaleNormal="100" workbookViewId="0">
      <selection activeCell="BE14" sqref="BE14"/>
    </sheetView>
  </sheetViews>
  <sheetFormatPr baseColWidth="10" defaultColWidth="11.453125" defaultRowHeight="14.5" x14ac:dyDescent="0.35"/>
  <cols>
    <col min="1" max="1" width="15.453125" style="64" bestFit="1" customWidth="1"/>
    <col min="2" max="2" width="15.453125" style="190" customWidth="1"/>
    <col min="3" max="3" width="20.1796875" style="64" bestFit="1" customWidth="1"/>
    <col min="4" max="4" width="12" style="64" bestFit="1" customWidth="1"/>
    <col min="5" max="16384" width="11.453125" style="64"/>
  </cols>
  <sheetData>
    <row r="1" spans="1:19" ht="15" thickBot="1" x14ac:dyDescent="0.4"/>
    <row r="2" spans="1:19" x14ac:dyDescent="0.35">
      <c r="A2" s="87"/>
      <c r="B2" s="89"/>
      <c r="C2" s="88" t="s">
        <v>1473</v>
      </c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  <c r="M2" s="91" t="s">
        <v>1473</v>
      </c>
      <c r="N2" s="89"/>
      <c r="O2" s="89"/>
      <c r="P2" s="89"/>
      <c r="Q2" s="89"/>
      <c r="R2" s="89"/>
      <c r="S2" s="89"/>
    </row>
    <row r="3" spans="1:19" x14ac:dyDescent="0.35">
      <c r="A3" s="40" t="s">
        <v>1415</v>
      </c>
      <c r="B3" s="92"/>
      <c r="C3" s="92"/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>
        <v>2050</v>
      </c>
      <c r="M3" s="133">
        <v>2020</v>
      </c>
      <c r="N3" s="133">
        <v>2025</v>
      </c>
      <c r="O3" s="133">
        <v>2030</v>
      </c>
      <c r="P3" s="133">
        <v>2035</v>
      </c>
      <c r="Q3" s="133">
        <v>2040</v>
      </c>
      <c r="R3" s="133">
        <v>2045</v>
      </c>
      <c r="S3" s="133">
        <v>2050</v>
      </c>
    </row>
    <row r="4" spans="1:19" x14ac:dyDescent="0.35">
      <c r="A4" s="40" t="s">
        <v>176</v>
      </c>
      <c r="B4" s="92" t="s">
        <v>1793</v>
      </c>
      <c r="C4" s="92" t="s">
        <v>1762</v>
      </c>
      <c r="D4" s="96" t="e">
        <f>VLOOKUP($A4,capacities!$A$2:$J$2352,D$2,FALSE)</f>
        <v>#N/A</v>
      </c>
      <c r="E4" s="96" t="e">
        <f>VLOOKUP($A4,capacities!$A$2:$J$2352,E$2,FALSE)</f>
        <v>#N/A</v>
      </c>
      <c r="F4" s="96" t="e">
        <f>VLOOKUP($A4,capacities!$A$2:$J$2352,F$2,FALSE)</f>
        <v>#N/A</v>
      </c>
      <c r="G4" s="96" t="e">
        <f>VLOOKUP($A4,capacities!$A$2:$J$2352,G$2,FALSE)</f>
        <v>#N/A</v>
      </c>
      <c r="H4" s="96" t="e">
        <f>VLOOKUP($A4,capacities!$A$2:$J$2352,H$2,FALSE)</f>
        <v>#N/A</v>
      </c>
      <c r="I4" s="96" t="e">
        <f>VLOOKUP($A4,capacities!$A$2:$J$2352,I$2,FALSE)</f>
        <v>#N/A</v>
      </c>
      <c r="J4" s="96" t="e">
        <f>VLOOKUP($A4,capacities!$A$2:$J$2352,J$2,FALSE)</f>
        <v>#N/A</v>
      </c>
      <c r="K4" s="96" t="e">
        <f>VLOOKUP($A4,capacities!$A$2:$J$2352,K$2,FALSE)</f>
        <v>#N/A</v>
      </c>
      <c r="M4" s="104" t="e">
        <f t="shared" ref="M4:S10" si="0">E4/E$11</f>
        <v>#N/A</v>
      </c>
      <c r="N4" s="97" t="e">
        <f t="shared" si="0"/>
        <v>#N/A</v>
      </c>
      <c r="O4" s="97" t="e">
        <f t="shared" si="0"/>
        <v>#N/A</v>
      </c>
      <c r="P4" s="97" t="e">
        <f t="shared" si="0"/>
        <v>#N/A</v>
      </c>
      <c r="Q4" s="97" t="e">
        <f t="shared" si="0"/>
        <v>#N/A</v>
      </c>
      <c r="R4" s="97" t="e">
        <f t="shared" si="0"/>
        <v>#N/A</v>
      </c>
      <c r="S4" s="97" t="e">
        <f t="shared" si="0"/>
        <v>#N/A</v>
      </c>
    </row>
    <row r="5" spans="1:19" x14ac:dyDescent="0.35">
      <c r="A5" s="40" t="s">
        <v>227</v>
      </c>
      <c r="B5" s="92" t="s">
        <v>1317</v>
      </c>
      <c r="C5" s="92" t="s">
        <v>1317</v>
      </c>
      <c r="D5" s="96" t="e">
        <f>VLOOKUP($A5,capacities!$A$2:$J$2352,D$2,FALSE)</f>
        <v>#N/A</v>
      </c>
      <c r="E5" s="96" t="e">
        <f>VLOOKUP($A5,capacities!$A$2:$J$2352,E$2,FALSE)</f>
        <v>#N/A</v>
      </c>
      <c r="F5" s="96" t="e">
        <f>VLOOKUP($A5,capacities!$A$2:$J$2352,F$2,FALSE)</f>
        <v>#N/A</v>
      </c>
      <c r="G5" s="96" t="e">
        <f>VLOOKUP($A5,capacities!$A$2:$J$2352,G$2,FALSE)</f>
        <v>#N/A</v>
      </c>
      <c r="H5" s="96" t="e">
        <f>VLOOKUP($A5,capacities!$A$2:$J$2352,H$2,FALSE)</f>
        <v>#N/A</v>
      </c>
      <c r="I5" s="96" t="e">
        <f>VLOOKUP($A5,capacities!$A$2:$J$2352,I$2,FALSE)</f>
        <v>#N/A</v>
      </c>
      <c r="J5" s="96" t="e">
        <f>VLOOKUP($A5,capacities!$A$2:$J$2352,J$2,FALSE)</f>
        <v>#N/A</v>
      </c>
      <c r="K5" s="96" t="e">
        <f>VLOOKUP($A5,capacities!$A$2:$J$2352,K$2,FALSE)</f>
        <v>#N/A</v>
      </c>
      <c r="M5" s="104" t="e">
        <f t="shared" si="0"/>
        <v>#N/A</v>
      </c>
      <c r="N5" s="97" t="e">
        <f t="shared" si="0"/>
        <v>#N/A</v>
      </c>
      <c r="O5" s="97" t="e">
        <f t="shared" si="0"/>
        <v>#N/A</v>
      </c>
      <c r="P5" s="97" t="e">
        <f t="shared" si="0"/>
        <v>#N/A</v>
      </c>
      <c r="Q5" s="97" t="e">
        <f t="shared" si="0"/>
        <v>#N/A</v>
      </c>
      <c r="R5" s="97" t="e">
        <f t="shared" si="0"/>
        <v>#N/A</v>
      </c>
      <c r="S5" s="97" t="e">
        <f t="shared" si="0"/>
        <v>#N/A</v>
      </c>
    </row>
    <row r="6" spans="1:19" x14ac:dyDescent="0.35">
      <c r="A6" s="40" t="s">
        <v>268</v>
      </c>
      <c r="B6" s="92" t="s">
        <v>1955</v>
      </c>
      <c r="C6" s="92" t="s">
        <v>1763</v>
      </c>
      <c r="D6" s="96" t="e">
        <f>VLOOKUP($A6,capacities!$A$2:$J$2352,D$2,FALSE)</f>
        <v>#N/A</v>
      </c>
      <c r="E6" s="96" t="e">
        <f>VLOOKUP($A6,capacities!$A$2:$J$2352,E$2,FALSE)</f>
        <v>#N/A</v>
      </c>
      <c r="F6" s="96" t="e">
        <f>VLOOKUP($A6,capacities!$A$2:$J$2352,F$2,FALSE)</f>
        <v>#N/A</v>
      </c>
      <c r="G6" s="96" t="e">
        <f>VLOOKUP($A6,capacities!$A$2:$J$2352,G$2,FALSE)</f>
        <v>#N/A</v>
      </c>
      <c r="H6" s="96" t="e">
        <f>VLOOKUP($A6,capacities!$A$2:$J$2352,H$2,FALSE)</f>
        <v>#N/A</v>
      </c>
      <c r="I6" s="96" t="e">
        <f>VLOOKUP($A6,capacities!$A$2:$J$2352,I$2,FALSE)</f>
        <v>#N/A</v>
      </c>
      <c r="J6" s="96" t="e">
        <f>VLOOKUP($A6,capacities!$A$2:$J$2352,J$2,FALSE)</f>
        <v>#N/A</v>
      </c>
      <c r="K6" s="96" t="e">
        <f>VLOOKUP($A6,capacities!$A$2:$J$2352,K$2,FALSE)</f>
        <v>#N/A</v>
      </c>
      <c r="M6" s="104" t="e">
        <f t="shared" si="0"/>
        <v>#N/A</v>
      </c>
      <c r="N6" s="97" t="e">
        <f t="shared" si="0"/>
        <v>#N/A</v>
      </c>
      <c r="O6" s="97" t="e">
        <f t="shared" si="0"/>
        <v>#N/A</v>
      </c>
      <c r="P6" s="97" t="e">
        <f t="shared" si="0"/>
        <v>#N/A</v>
      </c>
      <c r="Q6" s="97" t="e">
        <f t="shared" si="0"/>
        <v>#N/A</v>
      </c>
      <c r="R6" s="97" t="e">
        <f t="shared" si="0"/>
        <v>#N/A</v>
      </c>
      <c r="S6" s="97" t="e">
        <f t="shared" si="0"/>
        <v>#N/A</v>
      </c>
    </row>
    <row r="7" spans="1:19" x14ac:dyDescent="0.35">
      <c r="A7" s="40" t="s">
        <v>291</v>
      </c>
      <c r="B7" s="137" t="s">
        <v>1764</v>
      </c>
      <c r="C7" s="92" t="s">
        <v>1764</v>
      </c>
      <c r="D7" s="96" t="e">
        <f>VLOOKUP($A7,capacities!$A$2:$J$2352,D$2,FALSE)</f>
        <v>#N/A</v>
      </c>
      <c r="E7" s="96" t="e">
        <f>VLOOKUP($A7,capacities!$A$2:$J$2352,E$2,FALSE)</f>
        <v>#N/A</v>
      </c>
      <c r="F7" s="96" t="e">
        <f>VLOOKUP($A7,capacities!$A$2:$J$2352,F$2,FALSE)</f>
        <v>#N/A</v>
      </c>
      <c r="G7" s="96" t="e">
        <f>VLOOKUP($A7,capacities!$A$2:$J$2352,G$2,FALSE)</f>
        <v>#N/A</v>
      </c>
      <c r="H7" s="96" t="e">
        <f>VLOOKUP($A7,capacities!$A$2:$J$2352,H$2,FALSE)</f>
        <v>#N/A</v>
      </c>
      <c r="I7" s="96" t="e">
        <f>VLOOKUP($A7,capacities!$A$2:$J$2352,I$2,FALSE)</f>
        <v>#N/A</v>
      </c>
      <c r="J7" s="96" t="e">
        <f>VLOOKUP($A7,capacities!$A$2:$J$2352,J$2,FALSE)</f>
        <v>#N/A</v>
      </c>
      <c r="K7" s="96" t="e">
        <f>VLOOKUP($A7,capacities!$A$2:$J$2352,K$2,FALSE)</f>
        <v>#N/A</v>
      </c>
      <c r="M7" s="104" t="e">
        <f t="shared" si="0"/>
        <v>#N/A</v>
      </c>
      <c r="N7" s="97" t="e">
        <f t="shared" si="0"/>
        <v>#N/A</v>
      </c>
      <c r="O7" s="97" t="e">
        <f t="shared" si="0"/>
        <v>#N/A</v>
      </c>
      <c r="P7" s="97" t="e">
        <f t="shared" si="0"/>
        <v>#N/A</v>
      </c>
      <c r="Q7" s="97" t="e">
        <f t="shared" si="0"/>
        <v>#N/A</v>
      </c>
      <c r="R7" s="97" t="e">
        <f t="shared" si="0"/>
        <v>#N/A</v>
      </c>
      <c r="S7" s="97" t="e">
        <f t="shared" si="0"/>
        <v>#N/A</v>
      </c>
    </row>
    <row r="8" spans="1:19" x14ac:dyDescent="0.35">
      <c r="A8" s="40" t="s">
        <v>321</v>
      </c>
      <c r="B8" s="137" t="s">
        <v>1956</v>
      </c>
      <c r="C8" s="92" t="s">
        <v>1765</v>
      </c>
      <c r="D8" s="96" t="e">
        <f>VLOOKUP($A8,capacities!$A$2:$J$2352,D$2,FALSE)</f>
        <v>#N/A</v>
      </c>
      <c r="E8" s="96" t="e">
        <f>VLOOKUP($A8,capacities!$A$2:$J$2352,E$2,FALSE)</f>
        <v>#N/A</v>
      </c>
      <c r="F8" s="96" t="e">
        <f>VLOOKUP($A8,capacities!$A$2:$J$2352,F$2,FALSE)</f>
        <v>#N/A</v>
      </c>
      <c r="G8" s="96" t="e">
        <f>VLOOKUP($A8,capacities!$A$2:$J$2352,G$2,FALSE)</f>
        <v>#N/A</v>
      </c>
      <c r="H8" s="96" t="e">
        <f>VLOOKUP($A8,capacities!$A$2:$J$2352,H$2,FALSE)</f>
        <v>#N/A</v>
      </c>
      <c r="I8" s="96" t="e">
        <f>VLOOKUP($A8,capacities!$A$2:$J$2352,I$2,FALSE)</f>
        <v>#N/A</v>
      </c>
      <c r="J8" s="96" t="e">
        <f>VLOOKUP($A8,capacities!$A$2:$J$2352,J$2,FALSE)</f>
        <v>#N/A</v>
      </c>
      <c r="K8" s="96" t="e">
        <f>VLOOKUP($A8,capacities!$A$2:$J$2352,K$2,FALSE)</f>
        <v>#N/A</v>
      </c>
      <c r="M8" s="104" t="e">
        <f t="shared" si="0"/>
        <v>#N/A</v>
      </c>
      <c r="N8" s="97" t="e">
        <f t="shared" si="0"/>
        <v>#N/A</v>
      </c>
      <c r="O8" s="97" t="e">
        <f t="shared" si="0"/>
        <v>#N/A</v>
      </c>
      <c r="P8" s="97" t="e">
        <f t="shared" si="0"/>
        <v>#N/A</v>
      </c>
      <c r="Q8" s="97" t="e">
        <f t="shared" si="0"/>
        <v>#N/A</v>
      </c>
      <c r="R8" s="97" t="e">
        <f t="shared" si="0"/>
        <v>#N/A</v>
      </c>
      <c r="S8" s="97" t="e">
        <f t="shared" si="0"/>
        <v>#N/A</v>
      </c>
    </row>
    <row r="9" spans="1:19" x14ac:dyDescent="0.35">
      <c r="A9" s="40" t="s">
        <v>322</v>
      </c>
      <c r="B9" s="137" t="s">
        <v>1957</v>
      </c>
      <c r="C9" s="92" t="s">
        <v>1766</v>
      </c>
      <c r="D9" s="96" t="e">
        <f>VLOOKUP($A9,capacities!$A$2:$J$2352,D$2,FALSE)</f>
        <v>#N/A</v>
      </c>
      <c r="E9" s="96" t="e">
        <f>VLOOKUP($A9,capacities!$A$2:$J$2352,E$2,FALSE)</f>
        <v>#N/A</v>
      </c>
      <c r="F9" s="96" t="e">
        <f>VLOOKUP($A9,capacities!$A$2:$J$2352,F$2,FALSE)</f>
        <v>#N/A</v>
      </c>
      <c r="G9" s="96" t="e">
        <f>VLOOKUP($A9,capacities!$A$2:$J$2352,G$2,FALSE)</f>
        <v>#N/A</v>
      </c>
      <c r="H9" s="96" t="e">
        <f>VLOOKUP($A9,capacities!$A$2:$J$2352,H$2,FALSE)</f>
        <v>#N/A</v>
      </c>
      <c r="I9" s="96" t="e">
        <f>VLOOKUP($A9,capacities!$A$2:$J$2352,I$2,FALSE)</f>
        <v>#N/A</v>
      </c>
      <c r="J9" s="96" t="e">
        <f>VLOOKUP($A9,capacities!$A$2:$J$2352,J$2,FALSE)</f>
        <v>#N/A</v>
      </c>
      <c r="K9" s="96" t="e">
        <f>VLOOKUP($A9,capacities!$A$2:$J$2352,K$2,FALSE)</f>
        <v>#N/A</v>
      </c>
      <c r="M9" s="104" t="e">
        <f t="shared" si="0"/>
        <v>#N/A</v>
      </c>
      <c r="N9" s="97" t="e">
        <f t="shared" si="0"/>
        <v>#N/A</v>
      </c>
      <c r="O9" s="97" t="e">
        <f t="shared" si="0"/>
        <v>#N/A</v>
      </c>
      <c r="P9" s="97" t="e">
        <f t="shared" si="0"/>
        <v>#N/A</v>
      </c>
      <c r="Q9" s="97" t="e">
        <f t="shared" si="0"/>
        <v>#N/A</v>
      </c>
      <c r="R9" s="97" t="e">
        <f t="shared" si="0"/>
        <v>#N/A</v>
      </c>
      <c r="S9" s="97" t="e">
        <f t="shared" si="0"/>
        <v>#N/A</v>
      </c>
    </row>
    <row r="10" spans="1:19" ht="15" thickBot="1" x14ac:dyDescent="0.4">
      <c r="A10" s="40" t="s">
        <v>323</v>
      </c>
      <c r="B10" s="137" t="s">
        <v>1958</v>
      </c>
      <c r="C10" s="92" t="s">
        <v>1767</v>
      </c>
      <c r="D10" s="96" t="e">
        <f>VLOOKUP($A10,capacities!$A$2:$J$2352,D$2,FALSE)</f>
        <v>#N/A</v>
      </c>
      <c r="E10" s="96" t="e">
        <f>VLOOKUP($A10,capacities!$A$2:$J$2352,E$2,FALSE)</f>
        <v>#N/A</v>
      </c>
      <c r="F10" s="96" t="e">
        <f>VLOOKUP($A10,capacities!$A$2:$J$2352,F$2,FALSE)</f>
        <v>#N/A</v>
      </c>
      <c r="G10" s="96" t="e">
        <f>VLOOKUP($A10,capacities!$A$2:$J$2352,G$2,FALSE)</f>
        <v>#N/A</v>
      </c>
      <c r="H10" s="96" t="e">
        <f>VLOOKUP($A10,capacities!$A$2:$J$2352,H$2,FALSE)</f>
        <v>#N/A</v>
      </c>
      <c r="I10" s="96" t="e">
        <f>VLOOKUP($A10,capacities!$A$2:$J$2352,I$2,FALSE)</f>
        <v>#N/A</v>
      </c>
      <c r="J10" s="96" t="e">
        <f>VLOOKUP($A10,capacities!$A$2:$J$2352,J$2,FALSE)</f>
        <v>#N/A</v>
      </c>
      <c r="K10" s="96" t="e">
        <f>VLOOKUP($A10,capacities!$A$2:$J$2352,K$2,FALSE)</f>
        <v>#N/A</v>
      </c>
      <c r="M10" s="105" t="e">
        <f t="shared" si="0"/>
        <v>#N/A</v>
      </c>
      <c r="N10" s="100" t="e">
        <f t="shared" si="0"/>
        <v>#N/A</v>
      </c>
      <c r="O10" s="100" t="e">
        <f t="shared" si="0"/>
        <v>#N/A</v>
      </c>
      <c r="P10" s="100" t="e">
        <f t="shared" si="0"/>
        <v>#N/A</v>
      </c>
      <c r="Q10" s="100" t="e">
        <f t="shared" si="0"/>
        <v>#N/A</v>
      </c>
      <c r="R10" s="100" t="e">
        <f t="shared" si="0"/>
        <v>#N/A</v>
      </c>
      <c r="S10" s="100" t="e">
        <f t="shared" si="0"/>
        <v>#N/A</v>
      </c>
    </row>
    <row r="11" spans="1:19" ht="15" thickBot="1" x14ac:dyDescent="0.4">
      <c r="A11" s="95" t="s">
        <v>1229</v>
      </c>
      <c r="B11" s="103"/>
      <c r="C11" s="77"/>
      <c r="D11" s="101" t="e">
        <f>SUM(D4:D10)</f>
        <v>#N/A</v>
      </c>
      <c r="E11" s="101" t="e">
        <f t="shared" ref="E11:K11" si="1">SUM(E4:E10)</f>
        <v>#N/A</v>
      </c>
      <c r="F11" s="101" t="e">
        <f t="shared" si="1"/>
        <v>#N/A</v>
      </c>
      <c r="G11" s="101" t="e">
        <f t="shared" si="1"/>
        <v>#N/A</v>
      </c>
      <c r="H11" s="101" t="e">
        <f t="shared" si="1"/>
        <v>#N/A</v>
      </c>
      <c r="I11" s="101" t="e">
        <f t="shared" si="1"/>
        <v>#N/A</v>
      </c>
      <c r="J11" s="101" t="e">
        <f t="shared" si="1"/>
        <v>#N/A</v>
      </c>
      <c r="K11" s="101" t="e">
        <f t="shared" si="1"/>
        <v>#N/A</v>
      </c>
    </row>
    <row r="12" spans="1:19" ht="15" thickBot="1" x14ac:dyDescent="0.4"/>
    <row r="13" spans="1:19" x14ac:dyDescent="0.35">
      <c r="A13" s="87"/>
      <c r="B13" s="89"/>
      <c r="C13" s="88" t="s">
        <v>1474</v>
      </c>
      <c r="D13" s="89">
        <v>2</v>
      </c>
      <c r="E13" s="89">
        <v>3</v>
      </c>
      <c r="F13" s="89">
        <v>4</v>
      </c>
      <c r="G13" s="89">
        <v>5</v>
      </c>
      <c r="H13" s="89">
        <v>6</v>
      </c>
      <c r="I13" s="89">
        <v>7</v>
      </c>
      <c r="J13" s="89">
        <v>8</v>
      </c>
      <c r="K13" s="89">
        <v>9</v>
      </c>
      <c r="M13" s="91" t="s">
        <v>1474</v>
      </c>
      <c r="N13" s="89"/>
      <c r="O13" s="89"/>
      <c r="P13" s="89"/>
      <c r="Q13" s="89"/>
      <c r="R13" s="89"/>
      <c r="S13" s="89"/>
    </row>
    <row r="14" spans="1:19" x14ac:dyDescent="0.35">
      <c r="A14" s="40" t="s">
        <v>1415</v>
      </c>
      <c r="B14" s="92"/>
      <c r="C14" s="92"/>
      <c r="D14" s="133" t="s">
        <v>1417</v>
      </c>
      <c r="E14" s="133">
        <v>2020</v>
      </c>
      <c r="F14" s="133">
        <v>2025</v>
      </c>
      <c r="G14" s="133">
        <v>2030</v>
      </c>
      <c r="H14" s="133">
        <v>2035</v>
      </c>
      <c r="I14" s="133">
        <v>2040</v>
      </c>
      <c r="J14" s="133">
        <v>2045</v>
      </c>
      <c r="K14" s="133">
        <v>2050</v>
      </c>
      <c r="M14" s="133">
        <v>2020</v>
      </c>
      <c r="N14" s="133">
        <v>2025</v>
      </c>
      <c r="O14" s="133">
        <v>2030</v>
      </c>
      <c r="P14" s="133">
        <v>2035</v>
      </c>
      <c r="Q14" s="133">
        <v>2040</v>
      </c>
      <c r="R14" s="133">
        <v>2045</v>
      </c>
      <c r="S14" s="133">
        <v>2050</v>
      </c>
    </row>
    <row r="15" spans="1:19" x14ac:dyDescent="0.35">
      <c r="A15" s="40"/>
      <c r="B15" s="92"/>
      <c r="C15" s="92"/>
      <c r="D15" s="92"/>
      <c r="E15" s="92"/>
      <c r="F15" s="92"/>
      <c r="G15" s="92"/>
      <c r="H15" s="92"/>
      <c r="I15" s="92"/>
      <c r="J15" s="92"/>
      <c r="K15" s="92"/>
      <c r="M15" s="40"/>
      <c r="N15" s="92"/>
      <c r="O15" s="92"/>
      <c r="P15" s="92"/>
      <c r="Q15" s="92"/>
      <c r="R15" s="92"/>
      <c r="S15" s="92"/>
    </row>
    <row r="16" spans="1:19" x14ac:dyDescent="0.35">
      <c r="A16" s="40" t="s">
        <v>231</v>
      </c>
      <c r="B16" s="92" t="s">
        <v>1317</v>
      </c>
      <c r="C16" s="92" t="s">
        <v>1317</v>
      </c>
      <c r="D16" s="96" t="e">
        <f>VLOOKUP($A16,capacities!$A$2:$J$2352,D$2,FALSE)</f>
        <v>#N/A</v>
      </c>
      <c r="E16" s="96" t="e">
        <f>VLOOKUP($A16,capacities!$A$2:$J$2352,E$2,FALSE)</f>
        <v>#N/A</v>
      </c>
      <c r="F16" s="96" t="e">
        <f>VLOOKUP($A16,capacities!$A$2:$J$2352,F$2,FALSE)</f>
        <v>#N/A</v>
      </c>
      <c r="G16" s="96" t="e">
        <f>VLOOKUP($A16,capacities!$A$2:$J$2352,G$2,FALSE)</f>
        <v>#N/A</v>
      </c>
      <c r="H16" s="96" t="e">
        <f>VLOOKUP($A16,capacities!$A$2:$J$2352,H$2,FALSE)</f>
        <v>#N/A</v>
      </c>
      <c r="I16" s="96" t="e">
        <f>VLOOKUP($A16,capacities!$A$2:$J$2352,I$2,FALSE)</f>
        <v>#N/A</v>
      </c>
      <c r="J16" s="96" t="e">
        <f>VLOOKUP($A16,capacities!$A$2:$J$2352,J$2,FALSE)</f>
        <v>#N/A</v>
      </c>
      <c r="K16" s="96" t="e">
        <f>VLOOKUP($A16,capacities!$A$2:$J$2352,K$2,FALSE)</f>
        <v>#N/A</v>
      </c>
      <c r="M16" s="104" t="e">
        <f t="shared" ref="M16:S20" si="2">E16/E$21</f>
        <v>#N/A</v>
      </c>
      <c r="N16" s="97" t="e">
        <f t="shared" si="2"/>
        <v>#N/A</v>
      </c>
      <c r="O16" s="97" t="e">
        <f t="shared" si="2"/>
        <v>#N/A</v>
      </c>
      <c r="P16" s="97" t="e">
        <f t="shared" si="2"/>
        <v>#N/A</v>
      </c>
      <c r="Q16" s="97" t="e">
        <f t="shared" si="2"/>
        <v>#N/A</v>
      </c>
      <c r="R16" s="97" t="e">
        <f t="shared" si="2"/>
        <v>#N/A</v>
      </c>
      <c r="S16" s="97" t="e">
        <f t="shared" si="2"/>
        <v>#N/A</v>
      </c>
    </row>
    <row r="17" spans="1:19" x14ac:dyDescent="0.35">
      <c r="A17" s="40" t="s">
        <v>262</v>
      </c>
      <c r="B17" s="92" t="s">
        <v>1793</v>
      </c>
      <c r="C17" s="92" t="s">
        <v>1762</v>
      </c>
      <c r="D17" s="96" t="e">
        <f>VLOOKUP($A17,capacities!$A$2:$J$2352,D$2,FALSE)</f>
        <v>#N/A</v>
      </c>
      <c r="E17" s="96" t="e">
        <f>VLOOKUP($A17,capacities!$A$2:$J$2352,E$2,FALSE)</f>
        <v>#N/A</v>
      </c>
      <c r="F17" s="96" t="e">
        <f>VLOOKUP($A17,capacities!$A$2:$J$2352,F$2,FALSE)</f>
        <v>#N/A</v>
      </c>
      <c r="G17" s="96" t="e">
        <f>VLOOKUP($A17,capacities!$A$2:$J$2352,G$2,FALSE)</f>
        <v>#N/A</v>
      </c>
      <c r="H17" s="96" t="e">
        <f>VLOOKUP($A17,capacities!$A$2:$J$2352,H$2,FALSE)</f>
        <v>#N/A</v>
      </c>
      <c r="I17" s="96" t="e">
        <f>VLOOKUP($A17,capacities!$A$2:$J$2352,I$2,FALSE)</f>
        <v>#N/A</v>
      </c>
      <c r="J17" s="96" t="e">
        <f>VLOOKUP($A17,capacities!$A$2:$J$2352,J$2,FALSE)</f>
        <v>#N/A</v>
      </c>
      <c r="K17" s="96" t="e">
        <f>VLOOKUP($A17,capacities!$A$2:$J$2352,K$2,FALSE)</f>
        <v>#N/A</v>
      </c>
      <c r="M17" s="104" t="e">
        <f t="shared" si="2"/>
        <v>#N/A</v>
      </c>
      <c r="N17" s="97" t="e">
        <f t="shared" si="2"/>
        <v>#N/A</v>
      </c>
      <c r="O17" s="97" t="e">
        <f t="shared" si="2"/>
        <v>#N/A</v>
      </c>
      <c r="P17" s="97" t="e">
        <f t="shared" si="2"/>
        <v>#N/A</v>
      </c>
      <c r="Q17" s="97" t="e">
        <f t="shared" si="2"/>
        <v>#N/A</v>
      </c>
      <c r="R17" s="97" t="e">
        <f t="shared" si="2"/>
        <v>#N/A</v>
      </c>
      <c r="S17" s="97" t="e">
        <f t="shared" si="2"/>
        <v>#N/A</v>
      </c>
    </row>
    <row r="18" spans="1:19" x14ac:dyDescent="0.35">
      <c r="A18" s="40" t="s">
        <v>263</v>
      </c>
      <c r="B18" s="92" t="s">
        <v>1768</v>
      </c>
      <c r="C18" s="92" t="s">
        <v>1768</v>
      </c>
      <c r="D18" s="96">
        <v>0</v>
      </c>
      <c r="E18" s="96">
        <v>0</v>
      </c>
      <c r="F18" s="96">
        <v>0</v>
      </c>
      <c r="G18" s="96">
        <v>0</v>
      </c>
      <c r="H18" s="96">
        <v>0</v>
      </c>
      <c r="I18" s="96">
        <v>0</v>
      </c>
      <c r="J18" s="96">
        <v>0</v>
      </c>
      <c r="K18" s="96">
        <v>0</v>
      </c>
      <c r="M18" s="104" t="e">
        <f t="shared" si="2"/>
        <v>#N/A</v>
      </c>
      <c r="N18" s="97" t="e">
        <f t="shared" si="2"/>
        <v>#N/A</v>
      </c>
      <c r="O18" s="97" t="e">
        <f t="shared" si="2"/>
        <v>#N/A</v>
      </c>
      <c r="P18" s="97" t="e">
        <f t="shared" si="2"/>
        <v>#N/A</v>
      </c>
      <c r="Q18" s="97" t="e">
        <f t="shared" si="2"/>
        <v>#N/A</v>
      </c>
      <c r="R18" s="97" t="e">
        <f t="shared" si="2"/>
        <v>#N/A</v>
      </c>
      <c r="S18" s="97" t="e">
        <f t="shared" si="2"/>
        <v>#N/A</v>
      </c>
    </row>
    <row r="19" spans="1:19" x14ac:dyDescent="0.35">
      <c r="A19" s="40" t="s">
        <v>272</v>
      </c>
      <c r="B19" s="137" t="s">
        <v>1955</v>
      </c>
      <c r="C19" s="92" t="s">
        <v>1763</v>
      </c>
      <c r="D19" s="96" t="e">
        <f>VLOOKUP($A19,capacities!$A$2:$J$2352,D$2,FALSE)</f>
        <v>#N/A</v>
      </c>
      <c r="E19" s="96" t="e">
        <f>VLOOKUP($A19,capacities!$A$2:$J$2352,E$2,FALSE)</f>
        <v>#N/A</v>
      </c>
      <c r="F19" s="96" t="e">
        <f>VLOOKUP($A19,capacities!$A$2:$J$2352,F$2,FALSE)</f>
        <v>#N/A</v>
      </c>
      <c r="G19" s="96" t="e">
        <f>VLOOKUP($A19,capacities!$A$2:$J$2352,G$2,FALSE)</f>
        <v>#N/A</v>
      </c>
      <c r="H19" s="96" t="e">
        <f>VLOOKUP($A19,capacities!$A$2:$J$2352,H$2,FALSE)</f>
        <v>#N/A</v>
      </c>
      <c r="I19" s="96" t="e">
        <f>VLOOKUP($A19,capacities!$A$2:$J$2352,I$2,FALSE)</f>
        <v>#N/A</v>
      </c>
      <c r="J19" s="96" t="e">
        <f>VLOOKUP($A19,capacities!$A$2:$J$2352,J$2,FALSE)</f>
        <v>#N/A</v>
      </c>
      <c r="K19" s="96" t="e">
        <f>VLOOKUP($A19,capacities!$A$2:$J$2352,K$2,FALSE)</f>
        <v>#N/A</v>
      </c>
      <c r="M19" s="104" t="e">
        <f t="shared" si="2"/>
        <v>#N/A</v>
      </c>
      <c r="N19" s="97" t="e">
        <f t="shared" si="2"/>
        <v>#N/A</v>
      </c>
      <c r="O19" s="97" t="e">
        <f t="shared" si="2"/>
        <v>#N/A</v>
      </c>
      <c r="P19" s="97" t="e">
        <f t="shared" si="2"/>
        <v>#N/A</v>
      </c>
      <c r="Q19" s="97" t="e">
        <f t="shared" si="2"/>
        <v>#N/A</v>
      </c>
      <c r="R19" s="97" t="e">
        <f t="shared" si="2"/>
        <v>#N/A</v>
      </c>
      <c r="S19" s="97" t="e">
        <f t="shared" si="2"/>
        <v>#N/A</v>
      </c>
    </row>
    <row r="20" spans="1:19" ht="15" thickBot="1" x14ac:dyDescent="0.4">
      <c r="A20" s="40" t="s">
        <v>293</v>
      </c>
      <c r="B20" s="137" t="s">
        <v>1764</v>
      </c>
      <c r="C20" s="92" t="s">
        <v>1764</v>
      </c>
      <c r="D20" s="96" t="e">
        <f>VLOOKUP($A20,capacities!$A$2:$J$2352,D$2,FALSE)</f>
        <v>#N/A</v>
      </c>
      <c r="E20" s="96" t="e">
        <f>VLOOKUP($A20,capacities!$A$2:$J$2352,E$2,FALSE)</f>
        <v>#N/A</v>
      </c>
      <c r="F20" s="96" t="e">
        <f>VLOOKUP($A20,capacities!$A$2:$J$2352,F$2,FALSE)</f>
        <v>#N/A</v>
      </c>
      <c r="G20" s="96" t="e">
        <f>VLOOKUP($A20,capacities!$A$2:$J$2352,G$2,FALSE)</f>
        <v>#N/A</v>
      </c>
      <c r="H20" s="96" t="e">
        <f>VLOOKUP($A20,capacities!$A$2:$J$2352,H$2,FALSE)</f>
        <v>#N/A</v>
      </c>
      <c r="I20" s="96" t="e">
        <f>VLOOKUP($A20,capacities!$A$2:$J$2352,I$2,FALSE)</f>
        <v>#N/A</v>
      </c>
      <c r="J20" s="96" t="e">
        <f>VLOOKUP($A20,capacities!$A$2:$J$2352,J$2,FALSE)</f>
        <v>#N/A</v>
      </c>
      <c r="K20" s="96" t="e">
        <f>VLOOKUP($A20,capacities!$A$2:$J$2352,K$2,FALSE)</f>
        <v>#N/A</v>
      </c>
      <c r="M20" s="105" t="e">
        <f t="shared" si="2"/>
        <v>#N/A</v>
      </c>
      <c r="N20" s="100" t="e">
        <f t="shared" si="2"/>
        <v>#N/A</v>
      </c>
      <c r="O20" s="100" t="e">
        <f t="shared" si="2"/>
        <v>#N/A</v>
      </c>
      <c r="P20" s="100" t="e">
        <f t="shared" si="2"/>
        <v>#N/A</v>
      </c>
      <c r="Q20" s="100" t="e">
        <f t="shared" si="2"/>
        <v>#N/A</v>
      </c>
      <c r="R20" s="100" t="e">
        <f t="shared" si="2"/>
        <v>#N/A</v>
      </c>
      <c r="S20" s="100" t="e">
        <f t="shared" si="2"/>
        <v>#N/A</v>
      </c>
    </row>
    <row r="21" spans="1:19" ht="15" thickBot="1" x14ac:dyDescent="0.4">
      <c r="A21" s="95" t="s">
        <v>1229</v>
      </c>
      <c r="B21" s="103"/>
      <c r="C21" s="77"/>
      <c r="D21" s="77" t="e">
        <f>SUM(D16:D20)</f>
        <v>#N/A</v>
      </c>
      <c r="E21" s="77" t="e">
        <f t="shared" ref="E21:K21" si="3">SUM(E16:E20)</f>
        <v>#N/A</v>
      </c>
      <c r="F21" s="77" t="e">
        <f t="shared" si="3"/>
        <v>#N/A</v>
      </c>
      <c r="G21" s="77" t="e">
        <f t="shared" si="3"/>
        <v>#N/A</v>
      </c>
      <c r="H21" s="77" t="e">
        <f t="shared" si="3"/>
        <v>#N/A</v>
      </c>
      <c r="I21" s="77" t="e">
        <f t="shared" si="3"/>
        <v>#N/A</v>
      </c>
      <c r="J21" s="77" t="e">
        <f t="shared" si="3"/>
        <v>#N/A</v>
      </c>
      <c r="K21" s="77" t="e">
        <f t="shared" si="3"/>
        <v>#N/A</v>
      </c>
    </row>
    <row r="22" spans="1:19" ht="15" thickBot="1" x14ac:dyDescent="0.4"/>
    <row r="23" spans="1:19" x14ac:dyDescent="0.35">
      <c r="A23" s="87"/>
      <c r="B23" s="89"/>
      <c r="C23" s="88" t="s">
        <v>1476</v>
      </c>
      <c r="D23" s="89">
        <v>2</v>
      </c>
      <c r="E23" s="89">
        <v>3</v>
      </c>
      <c r="F23" s="89">
        <v>4</v>
      </c>
      <c r="G23" s="89">
        <v>5</v>
      </c>
      <c r="H23" s="89">
        <v>6</v>
      </c>
      <c r="I23" s="89">
        <v>7</v>
      </c>
      <c r="J23" s="89">
        <v>8</v>
      </c>
      <c r="K23" s="89">
        <v>9</v>
      </c>
      <c r="M23" s="91" t="s">
        <v>1476</v>
      </c>
      <c r="N23" s="89"/>
      <c r="O23" s="89"/>
      <c r="P23" s="89"/>
      <c r="Q23" s="89"/>
      <c r="R23" s="89"/>
      <c r="S23" s="89"/>
    </row>
    <row r="24" spans="1:19" x14ac:dyDescent="0.35">
      <c r="A24" s="40" t="s">
        <v>1415</v>
      </c>
      <c r="B24" s="92"/>
      <c r="C24" s="92"/>
      <c r="D24" s="133" t="s">
        <v>1417</v>
      </c>
      <c r="E24" s="133">
        <v>2020</v>
      </c>
      <c r="F24" s="133">
        <v>2025</v>
      </c>
      <c r="G24" s="133">
        <v>2030</v>
      </c>
      <c r="H24" s="133">
        <v>2035</v>
      </c>
      <c r="I24" s="133">
        <v>2040</v>
      </c>
      <c r="J24" s="133">
        <v>2045</v>
      </c>
      <c r="K24" s="133">
        <v>2050</v>
      </c>
      <c r="M24" s="133">
        <v>2020</v>
      </c>
      <c r="N24" s="133">
        <v>2025</v>
      </c>
      <c r="O24" s="133">
        <v>2030</v>
      </c>
      <c r="P24" s="133">
        <v>2035</v>
      </c>
      <c r="Q24" s="133">
        <v>2040</v>
      </c>
      <c r="R24" s="133">
        <v>2045</v>
      </c>
      <c r="S24" s="133">
        <v>2050</v>
      </c>
    </row>
    <row r="25" spans="1:19" x14ac:dyDescent="0.35">
      <c r="A25" s="40"/>
      <c r="B25" s="92"/>
      <c r="C25" s="92"/>
      <c r="D25" s="92"/>
      <c r="E25" s="92"/>
      <c r="F25" s="92"/>
      <c r="G25" s="92"/>
      <c r="H25" s="92"/>
      <c r="I25" s="92"/>
      <c r="J25" s="92"/>
      <c r="K25" s="92"/>
      <c r="M25" s="40"/>
      <c r="N25" s="92"/>
      <c r="O25" s="92"/>
      <c r="P25" s="92"/>
      <c r="Q25" s="92"/>
      <c r="R25" s="92"/>
      <c r="S25" s="92"/>
    </row>
    <row r="26" spans="1:19" x14ac:dyDescent="0.35">
      <c r="A26" s="40" t="s">
        <v>232</v>
      </c>
      <c r="B26" s="92" t="s">
        <v>1317</v>
      </c>
      <c r="C26" s="92" t="s">
        <v>1317</v>
      </c>
      <c r="D26" s="96" t="e">
        <f>VLOOKUP($A26,capacities!$A$2:$J$2352,D$2,FALSE)</f>
        <v>#N/A</v>
      </c>
      <c r="E26" s="96" t="e">
        <f>VLOOKUP($A26,capacities!$A$2:$J$2352,E$2,FALSE)</f>
        <v>#N/A</v>
      </c>
      <c r="F26" s="96" t="e">
        <f>VLOOKUP($A26,capacities!$A$2:$J$2352,F$2,FALSE)</f>
        <v>#N/A</v>
      </c>
      <c r="G26" s="96" t="e">
        <f>VLOOKUP($A26,capacities!$A$2:$J$2352,G$2,FALSE)</f>
        <v>#N/A</v>
      </c>
      <c r="H26" s="96" t="e">
        <f>VLOOKUP($A26,capacities!$A$2:$J$2352,H$2,FALSE)</f>
        <v>#N/A</v>
      </c>
      <c r="I26" s="96" t="e">
        <f>VLOOKUP($A26,capacities!$A$2:$J$2352,I$2,FALSE)</f>
        <v>#N/A</v>
      </c>
      <c r="J26" s="96" t="e">
        <f>VLOOKUP($A26,capacities!$A$2:$J$2352,J$2,FALSE)</f>
        <v>#N/A</v>
      </c>
      <c r="K26" s="96" t="e">
        <f>VLOOKUP($A26,capacities!$A$2:$J$2352,K$2,FALSE)</f>
        <v>#N/A</v>
      </c>
      <c r="M26" s="104" t="e">
        <f t="shared" ref="M26:S29" si="4">E26/E$30</f>
        <v>#N/A</v>
      </c>
      <c r="N26" s="97" t="e">
        <f t="shared" si="4"/>
        <v>#N/A</v>
      </c>
      <c r="O26" s="97" t="e">
        <f t="shared" si="4"/>
        <v>#N/A</v>
      </c>
      <c r="P26" s="97" t="e">
        <f t="shared" si="4"/>
        <v>#N/A</v>
      </c>
      <c r="Q26" s="97" t="e">
        <f t="shared" si="4"/>
        <v>#N/A</v>
      </c>
      <c r="R26" s="97" t="e">
        <f t="shared" si="4"/>
        <v>#N/A</v>
      </c>
      <c r="S26" s="97" t="e">
        <f t="shared" si="4"/>
        <v>#N/A</v>
      </c>
    </row>
    <row r="27" spans="1:19" x14ac:dyDescent="0.35">
      <c r="A27" s="40" t="s">
        <v>264</v>
      </c>
      <c r="B27" s="92" t="s">
        <v>1793</v>
      </c>
      <c r="C27" s="92" t="s">
        <v>1762</v>
      </c>
      <c r="D27" s="96" t="e">
        <f>VLOOKUP($A27,capacities!$A$2:$J$2352,D$2,FALSE)</f>
        <v>#N/A</v>
      </c>
      <c r="E27" s="96" t="e">
        <f>VLOOKUP($A27,capacities!$A$2:$J$2352,E$2,FALSE)</f>
        <v>#N/A</v>
      </c>
      <c r="F27" s="96" t="e">
        <f>VLOOKUP($A27,capacities!$A$2:$J$2352,F$2,FALSE)</f>
        <v>#N/A</v>
      </c>
      <c r="G27" s="96" t="e">
        <f>VLOOKUP($A27,capacities!$A$2:$J$2352,G$2,FALSE)</f>
        <v>#N/A</v>
      </c>
      <c r="H27" s="96" t="e">
        <f>VLOOKUP($A27,capacities!$A$2:$J$2352,H$2,FALSE)</f>
        <v>#N/A</v>
      </c>
      <c r="I27" s="96" t="e">
        <f>VLOOKUP($A27,capacities!$A$2:$J$2352,I$2,FALSE)</f>
        <v>#N/A</v>
      </c>
      <c r="J27" s="96" t="e">
        <f>VLOOKUP($A27,capacities!$A$2:$J$2352,J$2,FALSE)</f>
        <v>#N/A</v>
      </c>
      <c r="K27" s="96" t="e">
        <f>VLOOKUP($A27,capacities!$A$2:$J$2352,K$2,FALSE)</f>
        <v>#N/A</v>
      </c>
      <c r="M27" s="104" t="e">
        <f t="shared" si="4"/>
        <v>#N/A</v>
      </c>
      <c r="N27" s="97" t="e">
        <f t="shared" si="4"/>
        <v>#N/A</v>
      </c>
      <c r="O27" s="97" t="e">
        <f t="shared" si="4"/>
        <v>#N/A</v>
      </c>
      <c r="P27" s="97" t="e">
        <f t="shared" si="4"/>
        <v>#N/A</v>
      </c>
      <c r="Q27" s="97" t="e">
        <f t="shared" si="4"/>
        <v>#N/A</v>
      </c>
      <c r="R27" s="97" t="e">
        <f t="shared" si="4"/>
        <v>#N/A</v>
      </c>
      <c r="S27" s="97" t="e">
        <f t="shared" si="4"/>
        <v>#N/A</v>
      </c>
    </row>
    <row r="28" spans="1:19" x14ac:dyDescent="0.35">
      <c r="A28" s="40" t="s">
        <v>273</v>
      </c>
      <c r="B28" s="92" t="s">
        <v>1955</v>
      </c>
      <c r="C28" s="92" t="s">
        <v>1763</v>
      </c>
      <c r="D28" s="96" t="e">
        <f>VLOOKUP($A28,capacities!$A$2:$J$2352,D$2,FALSE)</f>
        <v>#N/A</v>
      </c>
      <c r="E28" s="96" t="e">
        <f>VLOOKUP($A28,capacities!$A$2:$J$2352,E$2,FALSE)</f>
        <v>#N/A</v>
      </c>
      <c r="F28" s="96" t="e">
        <f>VLOOKUP($A28,capacities!$A$2:$J$2352,F$2,FALSE)</f>
        <v>#N/A</v>
      </c>
      <c r="G28" s="96" t="e">
        <f>VLOOKUP($A28,capacities!$A$2:$J$2352,G$2,FALSE)</f>
        <v>#N/A</v>
      </c>
      <c r="H28" s="96" t="e">
        <f>VLOOKUP($A28,capacities!$A$2:$J$2352,H$2,FALSE)</f>
        <v>#N/A</v>
      </c>
      <c r="I28" s="96" t="e">
        <f>VLOOKUP($A28,capacities!$A$2:$J$2352,I$2,FALSE)</f>
        <v>#N/A</v>
      </c>
      <c r="J28" s="96" t="e">
        <f>VLOOKUP($A28,capacities!$A$2:$J$2352,J$2,FALSE)</f>
        <v>#N/A</v>
      </c>
      <c r="K28" s="96" t="e">
        <f>VLOOKUP($A28,capacities!$A$2:$J$2352,K$2,FALSE)</f>
        <v>#N/A</v>
      </c>
      <c r="M28" s="104" t="e">
        <f t="shared" si="4"/>
        <v>#N/A</v>
      </c>
      <c r="N28" s="97" t="e">
        <f t="shared" si="4"/>
        <v>#N/A</v>
      </c>
      <c r="O28" s="97" t="e">
        <f t="shared" si="4"/>
        <v>#N/A</v>
      </c>
      <c r="P28" s="97" t="e">
        <f t="shared" si="4"/>
        <v>#N/A</v>
      </c>
      <c r="Q28" s="97" t="e">
        <f t="shared" si="4"/>
        <v>#N/A</v>
      </c>
      <c r="R28" s="97" t="e">
        <f t="shared" si="4"/>
        <v>#N/A</v>
      </c>
      <c r="S28" s="97" t="e">
        <f t="shared" si="4"/>
        <v>#N/A</v>
      </c>
    </row>
    <row r="29" spans="1:19" ht="15" thickBot="1" x14ac:dyDescent="0.4">
      <c r="A29" s="40" t="s">
        <v>294</v>
      </c>
      <c r="B29" s="137" t="s">
        <v>1764</v>
      </c>
      <c r="C29" s="92" t="s">
        <v>1764</v>
      </c>
      <c r="D29" s="96" t="e">
        <f>VLOOKUP($A29,capacities!$A$2:$J$2352,D$2,FALSE)</f>
        <v>#N/A</v>
      </c>
      <c r="E29" s="96" t="e">
        <f>VLOOKUP($A29,capacities!$A$2:$J$2352,E$2,FALSE)</f>
        <v>#N/A</v>
      </c>
      <c r="F29" s="96" t="e">
        <f>VLOOKUP($A29,capacities!$A$2:$J$2352,F$2,FALSE)</f>
        <v>#N/A</v>
      </c>
      <c r="G29" s="96" t="e">
        <f>VLOOKUP($A29,capacities!$A$2:$J$2352,G$2,FALSE)</f>
        <v>#N/A</v>
      </c>
      <c r="H29" s="96" t="e">
        <f>VLOOKUP($A29,capacities!$A$2:$J$2352,H$2,FALSE)</f>
        <v>#N/A</v>
      </c>
      <c r="I29" s="96" t="e">
        <f>VLOOKUP($A29,capacities!$A$2:$J$2352,I$2,FALSE)</f>
        <v>#N/A</v>
      </c>
      <c r="J29" s="96" t="e">
        <f>VLOOKUP($A29,capacities!$A$2:$J$2352,J$2,FALSE)</f>
        <v>#N/A</v>
      </c>
      <c r="K29" s="96" t="e">
        <f>VLOOKUP($A29,capacities!$A$2:$J$2352,K$2,FALSE)</f>
        <v>#N/A</v>
      </c>
      <c r="M29" s="105" t="e">
        <f t="shared" si="4"/>
        <v>#N/A</v>
      </c>
      <c r="N29" s="100" t="e">
        <f t="shared" si="4"/>
        <v>#N/A</v>
      </c>
      <c r="O29" s="100" t="e">
        <f t="shared" si="4"/>
        <v>#N/A</v>
      </c>
      <c r="P29" s="100" t="e">
        <f t="shared" si="4"/>
        <v>#N/A</v>
      </c>
      <c r="Q29" s="100" t="e">
        <f t="shared" si="4"/>
        <v>#N/A</v>
      </c>
      <c r="R29" s="100" t="e">
        <f t="shared" si="4"/>
        <v>#N/A</v>
      </c>
      <c r="S29" s="100" t="e">
        <f t="shared" si="4"/>
        <v>#N/A</v>
      </c>
    </row>
    <row r="30" spans="1:19" ht="15" thickBot="1" x14ac:dyDescent="0.4">
      <c r="A30" s="95" t="s">
        <v>1229</v>
      </c>
      <c r="B30" s="103"/>
      <c r="C30" s="77"/>
      <c r="D30" s="77" t="e">
        <f>SUM(D26:D29)</f>
        <v>#N/A</v>
      </c>
      <c r="E30" s="77" t="e">
        <f t="shared" ref="E30:K30" si="5">SUM(E26:E29)</f>
        <v>#N/A</v>
      </c>
      <c r="F30" s="77" t="e">
        <f t="shared" si="5"/>
        <v>#N/A</v>
      </c>
      <c r="G30" s="77" t="e">
        <f t="shared" si="5"/>
        <v>#N/A</v>
      </c>
      <c r="H30" s="77" t="e">
        <f t="shared" si="5"/>
        <v>#N/A</v>
      </c>
      <c r="I30" s="77" t="e">
        <f t="shared" si="5"/>
        <v>#N/A</v>
      </c>
      <c r="J30" s="77" t="e">
        <f t="shared" si="5"/>
        <v>#N/A</v>
      </c>
      <c r="K30" s="77" t="e">
        <f t="shared" si="5"/>
        <v>#N/A</v>
      </c>
      <c r="M30" s="85"/>
      <c r="N30" s="85"/>
      <c r="O30" s="85"/>
      <c r="P30" s="85"/>
      <c r="Q30" s="85"/>
      <c r="R30" s="85"/>
      <c r="S30" s="85"/>
    </row>
    <row r="31" spans="1:19" ht="15" thickBot="1" x14ac:dyDescent="0.4"/>
    <row r="32" spans="1:19" x14ac:dyDescent="0.35">
      <c r="A32" s="87"/>
      <c r="B32" s="89"/>
      <c r="C32" s="88" t="s">
        <v>1222</v>
      </c>
      <c r="D32" s="89">
        <v>2</v>
      </c>
      <c r="E32" s="89">
        <v>3</v>
      </c>
      <c r="F32" s="89">
        <v>4</v>
      </c>
      <c r="G32" s="89">
        <v>5</v>
      </c>
      <c r="H32" s="89">
        <v>6</v>
      </c>
      <c r="I32" s="89">
        <v>7</v>
      </c>
      <c r="J32" s="89">
        <v>8</v>
      </c>
      <c r="K32" s="89">
        <v>9</v>
      </c>
      <c r="M32" s="91" t="s">
        <v>1222</v>
      </c>
      <c r="N32" s="89"/>
      <c r="O32" s="89"/>
      <c r="P32" s="89"/>
      <c r="Q32" s="89"/>
      <c r="R32" s="89"/>
      <c r="S32" s="89"/>
    </row>
    <row r="33" spans="1:19" x14ac:dyDescent="0.35">
      <c r="A33" s="40" t="s">
        <v>1415</v>
      </c>
      <c r="B33" s="92"/>
      <c r="C33" s="92"/>
      <c r="D33" s="133" t="s">
        <v>1417</v>
      </c>
      <c r="E33" s="133">
        <v>2020</v>
      </c>
      <c r="F33" s="133">
        <v>2025</v>
      </c>
      <c r="G33" s="133">
        <v>2030</v>
      </c>
      <c r="H33" s="133">
        <v>2035</v>
      </c>
      <c r="I33" s="133">
        <v>2040</v>
      </c>
      <c r="J33" s="133">
        <v>2045</v>
      </c>
      <c r="K33" s="133">
        <v>2050</v>
      </c>
      <c r="M33" s="133">
        <v>2020</v>
      </c>
      <c r="N33" s="133">
        <v>2025</v>
      </c>
      <c r="O33" s="133">
        <v>2030</v>
      </c>
      <c r="P33" s="133">
        <v>2035</v>
      </c>
      <c r="Q33" s="133">
        <v>2040</v>
      </c>
      <c r="R33" s="133">
        <v>2045</v>
      </c>
      <c r="S33" s="133">
        <v>2050</v>
      </c>
    </row>
    <row r="34" spans="1:19" x14ac:dyDescent="0.35">
      <c r="A34" s="40"/>
      <c r="B34" s="92"/>
      <c r="C34" s="92"/>
      <c r="D34" s="92"/>
      <c r="E34" s="92"/>
      <c r="F34" s="92"/>
      <c r="G34" s="92"/>
      <c r="H34" s="92"/>
      <c r="I34" s="92"/>
      <c r="J34" s="92"/>
      <c r="K34" s="92"/>
      <c r="M34" s="40"/>
      <c r="N34" s="92"/>
      <c r="O34" s="92"/>
      <c r="P34" s="92"/>
      <c r="Q34" s="92"/>
      <c r="R34" s="92"/>
      <c r="S34" s="92"/>
    </row>
    <row r="35" spans="1:19" x14ac:dyDescent="0.35">
      <c r="A35" s="40" t="s">
        <v>226</v>
      </c>
      <c r="B35" s="92" t="s">
        <v>1317</v>
      </c>
      <c r="C35" s="92" t="s">
        <v>1317</v>
      </c>
      <c r="D35" s="96" t="e">
        <f>VLOOKUP($A35,capacities!$A$2:$J$2352,D$2,FALSE)</f>
        <v>#N/A</v>
      </c>
      <c r="E35" s="96" t="e">
        <f>VLOOKUP($A35,capacities!$A$2:$J$2352,E$2,FALSE)</f>
        <v>#N/A</v>
      </c>
      <c r="F35" s="96" t="e">
        <f>VLOOKUP($A35,capacities!$A$2:$J$2352,F$2,FALSE)</f>
        <v>#N/A</v>
      </c>
      <c r="G35" s="96" t="e">
        <f>VLOOKUP($A35,capacities!$A$2:$J$2352,G$2,FALSE)</f>
        <v>#N/A</v>
      </c>
      <c r="H35" s="96" t="e">
        <f>VLOOKUP($A35,capacities!$A$2:$J$2352,H$2,FALSE)</f>
        <v>#N/A</v>
      </c>
      <c r="I35" s="96" t="e">
        <f>VLOOKUP($A35,capacities!$A$2:$J$2352,I$2,FALSE)</f>
        <v>#N/A</v>
      </c>
      <c r="J35" s="96" t="e">
        <f>VLOOKUP($A35,capacities!$A$2:$J$2352,J$2,FALSE)</f>
        <v>#N/A</v>
      </c>
      <c r="K35" s="96" t="e">
        <f>VLOOKUP($A35,capacities!$A$2:$J$2352,K$2,FALSE)</f>
        <v>#N/A</v>
      </c>
      <c r="M35" s="104" t="e">
        <f t="shared" ref="M35:S39" si="6">E35/E$40</f>
        <v>#N/A</v>
      </c>
      <c r="N35" s="97" t="e">
        <f t="shared" si="6"/>
        <v>#N/A</v>
      </c>
      <c r="O35" s="97" t="e">
        <f t="shared" si="6"/>
        <v>#N/A</v>
      </c>
      <c r="P35" s="97" t="e">
        <f t="shared" si="6"/>
        <v>#N/A</v>
      </c>
      <c r="Q35" s="97" t="e">
        <f t="shared" si="6"/>
        <v>#N/A</v>
      </c>
      <c r="R35" s="97" t="e">
        <f t="shared" si="6"/>
        <v>#N/A</v>
      </c>
      <c r="S35" s="97" t="e">
        <f t="shared" si="6"/>
        <v>#N/A</v>
      </c>
    </row>
    <row r="36" spans="1:19" x14ac:dyDescent="0.35">
      <c r="A36" s="40" t="s">
        <v>235</v>
      </c>
      <c r="B36" s="92" t="s">
        <v>1793</v>
      </c>
      <c r="C36" s="92" t="s">
        <v>1762</v>
      </c>
      <c r="D36" s="96" t="e">
        <f>VLOOKUP($A36,capacities!$A$2:$J$2352,D$2,FALSE)</f>
        <v>#N/A</v>
      </c>
      <c r="E36" s="96" t="e">
        <f>VLOOKUP($A36,capacities!$A$2:$J$2352,E$2,FALSE)</f>
        <v>#N/A</v>
      </c>
      <c r="F36" s="96" t="e">
        <f>VLOOKUP($A36,capacities!$A$2:$J$2352,F$2,FALSE)</f>
        <v>#N/A</v>
      </c>
      <c r="G36" s="96" t="e">
        <f>VLOOKUP($A36,capacities!$A$2:$J$2352,G$2,FALSE)</f>
        <v>#N/A</v>
      </c>
      <c r="H36" s="96" t="e">
        <f>VLOOKUP($A36,capacities!$A$2:$J$2352,H$2,FALSE)</f>
        <v>#N/A</v>
      </c>
      <c r="I36" s="96" t="e">
        <f>VLOOKUP($A36,capacities!$A$2:$J$2352,I$2,FALSE)</f>
        <v>#N/A</v>
      </c>
      <c r="J36" s="96" t="e">
        <f>VLOOKUP($A36,capacities!$A$2:$J$2352,J$2,FALSE)</f>
        <v>#N/A</v>
      </c>
      <c r="K36" s="96" t="e">
        <f>VLOOKUP($A36,capacities!$A$2:$J$2352,K$2,FALSE)</f>
        <v>#N/A</v>
      </c>
      <c r="L36" s="900" t="s">
        <v>4460</v>
      </c>
      <c r="M36" s="104" t="e">
        <f>(E36+E37)/E$40</f>
        <v>#N/A</v>
      </c>
      <c r="N36" s="104" t="e">
        <f t="shared" ref="N36:S36" si="7">(F36+F37)/F$40</f>
        <v>#N/A</v>
      </c>
      <c r="O36" s="104" t="e">
        <f t="shared" si="7"/>
        <v>#N/A</v>
      </c>
      <c r="P36" s="104" t="e">
        <f t="shared" si="7"/>
        <v>#N/A</v>
      </c>
      <c r="Q36" s="104" t="e">
        <f t="shared" si="7"/>
        <v>#N/A</v>
      </c>
      <c r="R36" s="104" t="e">
        <f t="shared" si="7"/>
        <v>#N/A</v>
      </c>
      <c r="S36" s="104" t="e">
        <f t="shared" si="7"/>
        <v>#N/A</v>
      </c>
    </row>
    <row r="37" spans="1:19" x14ac:dyDescent="0.35">
      <c r="A37" s="40" t="s">
        <v>236</v>
      </c>
      <c r="B37" s="92" t="s">
        <v>1768</v>
      </c>
      <c r="C37" s="92" t="s">
        <v>1768</v>
      </c>
      <c r="D37" s="96" t="e">
        <f>VLOOKUP($A37,capacities!$A$2:$J$2352,D$2,FALSE)</f>
        <v>#N/A</v>
      </c>
      <c r="E37" s="96" t="e">
        <f>VLOOKUP($A37,capacities!$A$2:$J$2352,E$2,FALSE)</f>
        <v>#N/A</v>
      </c>
      <c r="F37" s="96" t="e">
        <f>VLOOKUP($A37,capacities!$A$2:$J$2352,F$2,FALSE)</f>
        <v>#N/A</v>
      </c>
      <c r="G37" s="96" t="e">
        <f>VLOOKUP($A37,capacities!$A$2:$J$2352,G$2,FALSE)</f>
        <v>#N/A</v>
      </c>
      <c r="H37" s="96" t="e">
        <f>VLOOKUP($A37,capacities!$A$2:$J$2352,H$2,FALSE)</f>
        <v>#N/A</v>
      </c>
      <c r="I37" s="96" t="e">
        <f>VLOOKUP($A37,capacities!$A$2:$J$2352,I$2,FALSE)</f>
        <v>#N/A</v>
      </c>
      <c r="J37" s="96" t="e">
        <f>VLOOKUP($A37,capacities!$A$2:$J$2352,J$2,FALSE)</f>
        <v>#N/A</v>
      </c>
      <c r="K37" s="96" t="e">
        <f>VLOOKUP($A37,capacities!$A$2:$J$2352,K$2,FALSE)</f>
        <v>#N/A</v>
      </c>
      <c r="L37" s="900" t="s">
        <v>4461</v>
      </c>
      <c r="M37" s="104" t="e">
        <f t="shared" si="6"/>
        <v>#N/A</v>
      </c>
      <c r="N37" s="97" t="e">
        <f t="shared" si="6"/>
        <v>#N/A</v>
      </c>
      <c r="O37" s="97" t="e">
        <f t="shared" si="6"/>
        <v>#N/A</v>
      </c>
      <c r="P37" s="97" t="e">
        <f t="shared" si="6"/>
        <v>#N/A</v>
      </c>
      <c r="Q37" s="97" t="e">
        <f t="shared" si="6"/>
        <v>#N/A</v>
      </c>
      <c r="R37" s="97" t="e">
        <f t="shared" si="6"/>
        <v>#N/A</v>
      </c>
      <c r="S37" s="97" t="e">
        <f t="shared" si="6"/>
        <v>#N/A</v>
      </c>
    </row>
    <row r="38" spans="1:19" x14ac:dyDescent="0.35">
      <c r="A38" s="40" t="s">
        <v>269</v>
      </c>
      <c r="B38" s="137" t="s">
        <v>1955</v>
      </c>
      <c r="C38" s="92" t="s">
        <v>1763</v>
      </c>
      <c r="D38" s="96" t="e">
        <f>VLOOKUP($A38,capacities!$A$2:$J$2352,D$2,FALSE)</f>
        <v>#N/A</v>
      </c>
      <c r="E38" s="96" t="e">
        <f>VLOOKUP($A38,capacities!$A$2:$J$2352,E$2,FALSE)</f>
        <v>#N/A</v>
      </c>
      <c r="F38" s="96" t="e">
        <f>VLOOKUP($A38,capacities!$A$2:$J$2352,F$2,FALSE)</f>
        <v>#N/A</v>
      </c>
      <c r="G38" s="96" t="e">
        <f>VLOOKUP($A38,capacities!$A$2:$J$2352,G$2,FALSE)</f>
        <v>#N/A</v>
      </c>
      <c r="H38" s="96" t="e">
        <f>VLOOKUP($A38,capacities!$A$2:$J$2352,H$2,FALSE)</f>
        <v>#N/A</v>
      </c>
      <c r="I38" s="96" t="e">
        <f>VLOOKUP($A38,capacities!$A$2:$J$2352,I$2,FALSE)</f>
        <v>#N/A</v>
      </c>
      <c r="J38" s="96" t="e">
        <f>VLOOKUP($A38,capacities!$A$2:$J$2352,J$2,FALSE)</f>
        <v>#N/A</v>
      </c>
      <c r="K38" s="96" t="e">
        <f>VLOOKUP($A38,capacities!$A$2:$J$2352,K$2,FALSE)</f>
        <v>#N/A</v>
      </c>
      <c r="M38" s="104" t="e">
        <f t="shared" si="6"/>
        <v>#N/A</v>
      </c>
      <c r="N38" s="97" t="e">
        <f t="shared" si="6"/>
        <v>#N/A</v>
      </c>
      <c r="O38" s="97" t="e">
        <f t="shared" si="6"/>
        <v>#N/A</v>
      </c>
      <c r="P38" s="97" t="e">
        <f t="shared" si="6"/>
        <v>#N/A</v>
      </c>
      <c r="Q38" s="97" t="e">
        <f t="shared" si="6"/>
        <v>#N/A</v>
      </c>
      <c r="R38" s="97" t="e">
        <f t="shared" si="6"/>
        <v>#N/A</v>
      </c>
      <c r="S38" s="97" t="e">
        <f t="shared" si="6"/>
        <v>#N/A</v>
      </c>
    </row>
    <row r="39" spans="1:19" ht="15" thickBot="1" x14ac:dyDescent="0.4">
      <c r="A39" s="40" t="s">
        <v>290</v>
      </c>
      <c r="B39" s="137" t="s">
        <v>1764</v>
      </c>
      <c r="C39" s="92" t="s">
        <v>1764</v>
      </c>
      <c r="D39" s="96" t="e">
        <f>VLOOKUP($A39,capacities!$A$2:$J$2352,D$2,FALSE)</f>
        <v>#N/A</v>
      </c>
      <c r="E39" s="96" t="e">
        <f>VLOOKUP($A39,capacities!$A$2:$J$2352,E$2,FALSE)</f>
        <v>#N/A</v>
      </c>
      <c r="F39" s="96" t="e">
        <f>VLOOKUP($A39,capacities!$A$2:$J$2352,F$2,FALSE)</f>
        <v>#N/A</v>
      </c>
      <c r="G39" s="96" t="e">
        <f>VLOOKUP($A39,capacities!$A$2:$J$2352,G$2,FALSE)</f>
        <v>#N/A</v>
      </c>
      <c r="H39" s="96" t="e">
        <f>VLOOKUP($A39,capacities!$A$2:$J$2352,H$2,FALSE)</f>
        <v>#N/A</v>
      </c>
      <c r="I39" s="96" t="e">
        <f>VLOOKUP($A39,capacities!$A$2:$J$2352,I$2,FALSE)</f>
        <v>#N/A</v>
      </c>
      <c r="J39" s="96" t="e">
        <f>VLOOKUP($A39,capacities!$A$2:$J$2352,J$2,FALSE)</f>
        <v>#N/A</v>
      </c>
      <c r="K39" s="96" t="e">
        <f>VLOOKUP($A39,capacities!$A$2:$J$2352,K$2,FALSE)</f>
        <v>#N/A</v>
      </c>
      <c r="M39" s="105" t="e">
        <f t="shared" si="6"/>
        <v>#N/A</v>
      </c>
      <c r="N39" s="100" t="e">
        <f t="shared" si="6"/>
        <v>#N/A</v>
      </c>
      <c r="O39" s="100" t="e">
        <f t="shared" si="6"/>
        <v>#N/A</v>
      </c>
      <c r="P39" s="100" t="e">
        <f t="shared" si="6"/>
        <v>#N/A</v>
      </c>
      <c r="Q39" s="100" t="e">
        <f t="shared" si="6"/>
        <v>#N/A</v>
      </c>
      <c r="R39" s="100" t="e">
        <f t="shared" si="6"/>
        <v>#N/A</v>
      </c>
      <c r="S39" s="100" t="e">
        <f t="shared" si="6"/>
        <v>#N/A</v>
      </c>
    </row>
    <row r="40" spans="1:19" ht="15" thickBot="1" x14ac:dyDescent="0.4">
      <c r="A40" s="95" t="s">
        <v>1229</v>
      </c>
      <c r="B40" s="103"/>
      <c r="C40" s="77"/>
      <c r="D40" s="77" t="e">
        <f>SUM(D35:D39)</f>
        <v>#N/A</v>
      </c>
      <c r="E40" s="77" t="e">
        <f t="shared" ref="E40:K40" si="8">SUM(E35:E39)</f>
        <v>#N/A</v>
      </c>
      <c r="F40" s="77" t="e">
        <f t="shared" si="8"/>
        <v>#N/A</v>
      </c>
      <c r="G40" s="77" t="e">
        <f t="shared" si="8"/>
        <v>#N/A</v>
      </c>
      <c r="H40" s="77" t="e">
        <f t="shared" si="8"/>
        <v>#N/A</v>
      </c>
      <c r="I40" s="77" t="e">
        <f t="shared" si="8"/>
        <v>#N/A</v>
      </c>
      <c r="J40" s="77" t="e">
        <f t="shared" si="8"/>
        <v>#N/A</v>
      </c>
      <c r="K40" s="77" t="e">
        <f t="shared" si="8"/>
        <v>#N/A</v>
      </c>
    </row>
    <row r="41" spans="1:19" ht="15" thickBot="1" x14ac:dyDescent="0.4"/>
    <row r="42" spans="1:19" x14ac:dyDescent="0.35">
      <c r="A42" s="87"/>
      <c r="B42" s="89"/>
      <c r="C42" s="88" t="s">
        <v>1479</v>
      </c>
      <c r="D42" s="89">
        <v>2</v>
      </c>
      <c r="E42" s="89">
        <v>3</v>
      </c>
      <c r="F42" s="89">
        <v>4</v>
      </c>
      <c r="G42" s="89">
        <v>5</v>
      </c>
      <c r="H42" s="89">
        <v>6</v>
      </c>
      <c r="I42" s="89">
        <v>7</v>
      </c>
      <c r="J42" s="89">
        <v>8</v>
      </c>
      <c r="K42" s="89">
        <v>9</v>
      </c>
      <c r="M42" s="91" t="s">
        <v>1479</v>
      </c>
      <c r="N42" s="89"/>
      <c r="O42" s="89"/>
      <c r="P42" s="89"/>
      <c r="Q42" s="89"/>
      <c r="R42" s="89"/>
      <c r="S42" s="89"/>
    </row>
    <row r="43" spans="1:19" x14ac:dyDescent="0.35">
      <c r="A43" s="40" t="s">
        <v>1415</v>
      </c>
      <c r="B43" s="92"/>
      <c r="C43" s="92"/>
      <c r="D43" s="133" t="s">
        <v>1417</v>
      </c>
      <c r="E43" s="133">
        <v>2020</v>
      </c>
      <c r="F43" s="133">
        <v>2025</v>
      </c>
      <c r="G43" s="133">
        <v>2030</v>
      </c>
      <c r="H43" s="133">
        <v>2035</v>
      </c>
      <c r="I43" s="133">
        <v>2040</v>
      </c>
      <c r="J43" s="133">
        <v>2045</v>
      </c>
      <c r="K43" s="133">
        <v>2050</v>
      </c>
      <c r="M43" s="133">
        <v>2020</v>
      </c>
      <c r="N43" s="133">
        <v>2025</v>
      </c>
      <c r="O43" s="133">
        <v>2030</v>
      </c>
      <c r="P43" s="133">
        <v>2035</v>
      </c>
      <c r="Q43" s="133">
        <v>2040</v>
      </c>
      <c r="R43" s="133">
        <v>2045</v>
      </c>
      <c r="S43" s="133">
        <v>2050</v>
      </c>
    </row>
    <row r="44" spans="1:19" x14ac:dyDescent="0.35">
      <c r="A44" s="40"/>
      <c r="B44" s="92"/>
      <c r="C44" s="92"/>
      <c r="D44" s="92"/>
      <c r="E44" s="92"/>
      <c r="F44" s="92"/>
      <c r="G44" s="92"/>
      <c r="H44" s="92"/>
      <c r="I44" s="92"/>
      <c r="J44" s="92"/>
      <c r="K44" s="92"/>
      <c r="M44" s="40"/>
      <c r="N44" s="92"/>
      <c r="O44" s="92"/>
      <c r="P44" s="92"/>
      <c r="Q44" s="92"/>
      <c r="R44" s="92"/>
      <c r="S44" s="92"/>
    </row>
    <row r="45" spans="1:19" x14ac:dyDescent="0.35">
      <c r="A45" s="40" t="s">
        <v>230</v>
      </c>
      <c r="B45" s="92" t="s">
        <v>1317</v>
      </c>
      <c r="C45" s="92" t="s">
        <v>1480</v>
      </c>
      <c r="D45" s="96" t="e">
        <f>VLOOKUP($A45,capacities!$A$2:$J$2352,D$2,FALSE)</f>
        <v>#N/A</v>
      </c>
      <c r="E45" s="96" t="e">
        <f>VLOOKUP($A45,capacities!$A$2:$J$2352,E$2,FALSE)</f>
        <v>#N/A</v>
      </c>
      <c r="F45" s="96" t="e">
        <f>VLOOKUP($A45,capacities!$A$2:$J$2352,F$2,FALSE)</f>
        <v>#N/A</v>
      </c>
      <c r="G45" s="96" t="e">
        <f>VLOOKUP($A45,capacities!$A$2:$J$2352,G$2,FALSE)</f>
        <v>#N/A</v>
      </c>
      <c r="H45" s="96" t="e">
        <f>VLOOKUP($A45,capacities!$A$2:$J$2352,H$2,FALSE)</f>
        <v>#N/A</v>
      </c>
      <c r="I45" s="96" t="e">
        <f>VLOOKUP($A45,capacities!$A$2:$J$2352,I$2,FALSE)</f>
        <v>#N/A</v>
      </c>
      <c r="J45" s="96" t="e">
        <f>VLOOKUP($A45,capacities!$A$2:$J$2352,J$2,FALSE)</f>
        <v>#N/A</v>
      </c>
      <c r="K45" s="96" t="e">
        <f>VLOOKUP($A45,capacities!$A$2:$J$2352,K$2,FALSE)</f>
        <v>#N/A</v>
      </c>
      <c r="M45" s="104" t="e">
        <f t="shared" ref="M45:S47" si="9">E45/E$48</f>
        <v>#N/A</v>
      </c>
      <c r="N45" s="97" t="e">
        <f t="shared" si="9"/>
        <v>#N/A</v>
      </c>
      <c r="O45" s="97" t="e">
        <f t="shared" si="9"/>
        <v>#N/A</v>
      </c>
      <c r="P45" s="97" t="e">
        <f t="shared" si="9"/>
        <v>#N/A</v>
      </c>
      <c r="Q45" s="97" t="e">
        <f t="shared" si="9"/>
        <v>#N/A</v>
      </c>
      <c r="R45" s="97" t="e">
        <f t="shared" si="9"/>
        <v>#N/A</v>
      </c>
      <c r="S45" s="97" t="e">
        <f t="shared" si="9"/>
        <v>#N/A</v>
      </c>
    </row>
    <row r="46" spans="1:19" x14ac:dyDescent="0.35">
      <c r="A46" s="40" t="s">
        <v>261</v>
      </c>
      <c r="B46" s="92" t="s">
        <v>1959</v>
      </c>
      <c r="C46" s="92" t="s">
        <v>1481</v>
      </c>
      <c r="D46" s="96" t="e">
        <f>VLOOKUP($A46,capacities!$A$2:$J$2352,D$2,FALSE)</f>
        <v>#N/A</v>
      </c>
      <c r="E46" s="96" t="e">
        <f>VLOOKUP($A46,capacities!$A$2:$J$2352,E$2,FALSE)</f>
        <v>#N/A</v>
      </c>
      <c r="F46" s="96" t="e">
        <f>VLOOKUP($A46,capacities!$A$2:$J$2352,F$2,FALSE)</f>
        <v>#N/A</v>
      </c>
      <c r="G46" s="96" t="e">
        <f>VLOOKUP($A46,capacities!$A$2:$J$2352,G$2,FALSE)</f>
        <v>#N/A</v>
      </c>
      <c r="H46" s="96" t="e">
        <f>VLOOKUP($A46,capacities!$A$2:$J$2352,H$2,FALSE)</f>
        <v>#N/A</v>
      </c>
      <c r="I46" s="96" t="e">
        <f>VLOOKUP($A46,capacities!$A$2:$J$2352,I$2,FALSE)</f>
        <v>#N/A</v>
      </c>
      <c r="J46" s="96" t="e">
        <f>VLOOKUP($A46,capacities!$A$2:$J$2352,J$2,FALSE)</f>
        <v>#N/A</v>
      </c>
      <c r="K46" s="96" t="e">
        <f>VLOOKUP($A46,capacities!$A$2:$J$2352,K$2,FALSE)</f>
        <v>#N/A</v>
      </c>
      <c r="M46" s="104" t="e">
        <f t="shared" si="9"/>
        <v>#N/A</v>
      </c>
      <c r="N46" s="97" t="e">
        <f t="shared" si="9"/>
        <v>#N/A</v>
      </c>
      <c r="O46" s="97" t="e">
        <f t="shared" si="9"/>
        <v>#N/A</v>
      </c>
      <c r="P46" s="97" t="e">
        <f t="shared" si="9"/>
        <v>#N/A</v>
      </c>
      <c r="Q46" s="97" t="e">
        <f t="shared" si="9"/>
        <v>#N/A</v>
      </c>
      <c r="R46" s="97" t="e">
        <f t="shared" si="9"/>
        <v>#N/A</v>
      </c>
      <c r="S46" s="97" t="e">
        <f t="shared" si="9"/>
        <v>#N/A</v>
      </c>
    </row>
    <row r="47" spans="1:19" ht="15" thickBot="1" x14ac:dyDescent="0.4">
      <c r="A47" s="40" t="s">
        <v>271</v>
      </c>
      <c r="B47" s="92" t="s">
        <v>1955</v>
      </c>
      <c r="C47" s="92" t="s">
        <v>1482</v>
      </c>
      <c r="D47" s="96" t="e">
        <f>VLOOKUP($A47,capacities!$A$2:$J$2352,D$2,FALSE)</f>
        <v>#N/A</v>
      </c>
      <c r="E47" s="96" t="e">
        <f>VLOOKUP($A47,capacities!$A$2:$J$2352,E$2,FALSE)</f>
        <v>#N/A</v>
      </c>
      <c r="F47" s="96" t="e">
        <f>VLOOKUP($A47,capacities!$A$2:$J$2352,F$2,FALSE)</f>
        <v>#N/A</v>
      </c>
      <c r="G47" s="96" t="e">
        <f>VLOOKUP($A47,capacities!$A$2:$J$2352,G$2,FALSE)</f>
        <v>#N/A</v>
      </c>
      <c r="H47" s="96" t="e">
        <f>VLOOKUP($A47,capacities!$A$2:$J$2352,H$2,FALSE)</f>
        <v>#N/A</v>
      </c>
      <c r="I47" s="96" t="e">
        <f>VLOOKUP($A47,capacities!$A$2:$J$2352,I$2,FALSE)</f>
        <v>#N/A</v>
      </c>
      <c r="J47" s="96" t="e">
        <f>VLOOKUP($A47,capacities!$A$2:$J$2352,J$2,FALSE)</f>
        <v>#N/A</v>
      </c>
      <c r="K47" s="96" t="e">
        <f>VLOOKUP($A47,capacities!$A$2:$J$2352,K$2,FALSE)</f>
        <v>#N/A</v>
      </c>
      <c r="M47" s="105" t="e">
        <f t="shared" si="9"/>
        <v>#N/A</v>
      </c>
      <c r="N47" s="100" t="e">
        <f t="shared" si="9"/>
        <v>#N/A</v>
      </c>
      <c r="O47" s="100" t="e">
        <f t="shared" si="9"/>
        <v>#N/A</v>
      </c>
      <c r="P47" s="100" t="e">
        <f t="shared" si="9"/>
        <v>#N/A</v>
      </c>
      <c r="Q47" s="100" t="e">
        <f t="shared" si="9"/>
        <v>#N/A</v>
      </c>
      <c r="R47" s="100" t="e">
        <f t="shared" si="9"/>
        <v>#N/A</v>
      </c>
      <c r="S47" s="100" t="e">
        <f t="shared" si="9"/>
        <v>#N/A</v>
      </c>
    </row>
    <row r="48" spans="1:19" ht="15" thickBot="1" x14ac:dyDescent="0.4">
      <c r="A48" s="95" t="s">
        <v>1229</v>
      </c>
      <c r="B48" s="103"/>
      <c r="C48" s="77"/>
      <c r="D48" s="77" t="e">
        <f>SUM(D45:D47)</f>
        <v>#N/A</v>
      </c>
      <c r="E48" s="77" t="e">
        <f t="shared" ref="E48:K48" si="10">SUM(E45:E47)</f>
        <v>#N/A</v>
      </c>
      <c r="F48" s="77" t="e">
        <f t="shared" si="10"/>
        <v>#N/A</v>
      </c>
      <c r="G48" s="77" t="e">
        <f t="shared" si="10"/>
        <v>#N/A</v>
      </c>
      <c r="H48" s="77" t="e">
        <f t="shared" si="10"/>
        <v>#N/A</v>
      </c>
      <c r="I48" s="77" t="e">
        <f t="shared" si="10"/>
        <v>#N/A</v>
      </c>
      <c r="J48" s="77" t="e">
        <f t="shared" si="10"/>
        <v>#N/A</v>
      </c>
      <c r="K48" s="77" t="e">
        <f t="shared" si="10"/>
        <v>#N/A</v>
      </c>
    </row>
    <row r="49" spans="1:19" ht="15" thickBot="1" x14ac:dyDescent="0.4"/>
    <row r="50" spans="1:19" x14ac:dyDescent="0.35">
      <c r="A50" s="87"/>
      <c r="B50" s="89"/>
      <c r="C50" s="88" t="s">
        <v>1483</v>
      </c>
      <c r="D50" s="89">
        <v>2</v>
      </c>
      <c r="E50" s="89">
        <v>3</v>
      </c>
      <c r="F50" s="89">
        <v>4</v>
      </c>
      <c r="G50" s="89">
        <v>5</v>
      </c>
      <c r="H50" s="89">
        <v>6</v>
      </c>
      <c r="I50" s="89">
        <v>7</v>
      </c>
      <c r="J50" s="89">
        <v>8</v>
      </c>
      <c r="K50" s="89">
        <v>9</v>
      </c>
      <c r="M50" s="91" t="s">
        <v>1483</v>
      </c>
      <c r="N50" s="89"/>
      <c r="O50" s="89"/>
      <c r="P50" s="89"/>
      <c r="Q50" s="89"/>
      <c r="R50" s="89"/>
      <c r="S50" s="89"/>
    </row>
    <row r="51" spans="1:19" x14ac:dyDescent="0.35">
      <c r="A51" s="40" t="s">
        <v>1415</v>
      </c>
      <c r="B51" s="92"/>
      <c r="C51" s="92"/>
      <c r="D51" s="133" t="s">
        <v>1417</v>
      </c>
      <c r="E51" s="133">
        <v>2020</v>
      </c>
      <c r="F51" s="133">
        <v>2025</v>
      </c>
      <c r="G51" s="133">
        <v>2030</v>
      </c>
      <c r="H51" s="133">
        <v>2035</v>
      </c>
      <c r="I51" s="133">
        <v>2040</v>
      </c>
      <c r="J51" s="133">
        <v>2045</v>
      </c>
      <c r="K51" s="133">
        <v>2050</v>
      </c>
      <c r="M51" s="133">
        <v>2020</v>
      </c>
      <c r="N51" s="133">
        <v>2025</v>
      </c>
      <c r="O51" s="133">
        <v>2030</v>
      </c>
      <c r="P51" s="133">
        <v>2035</v>
      </c>
      <c r="Q51" s="133">
        <v>2040</v>
      </c>
      <c r="R51" s="133">
        <v>2045</v>
      </c>
      <c r="S51" s="133">
        <v>2050</v>
      </c>
    </row>
    <row r="52" spans="1:19" x14ac:dyDescent="0.35">
      <c r="A52" s="40"/>
      <c r="B52" s="92"/>
      <c r="C52" s="92"/>
      <c r="D52" s="92"/>
      <c r="E52" s="92"/>
      <c r="F52" s="92"/>
      <c r="G52" s="92"/>
      <c r="H52" s="92"/>
      <c r="I52" s="92"/>
      <c r="J52" s="92"/>
      <c r="K52" s="92"/>
      <c r="M52" s="40"/>
      <c r="N52" s="92"/>
      <c r="O52" s="92"/>
      <c r="P52" s="92"/>
      <c r="Q52" s="92"/>
      <c r="R52" s="92"/>
      <c r="S52" s="92"/>
    </row>
    <row r="53" spans="1:19" x14ac:dyDescent="0.35">
      <c r="A53" s="40" t="s">
        <v>229</v>
      </c>
      <c r="B53" s="92" t="s">
        <v>1317</v>
      </c>
      <c r="C53" s="92" t="s">
        <v>1480</v>
      </c>
      <c r="D53" s="96" t="e">
        <f>VLOOKUP($A53,capacities!$A$2:$J$2352,D$2,FALSE)</f>
        <v>#N/A</v>
      </c>
      <c r="E53" s="96" t="e">
        <f>VLOOKUP($A53,capacities!$A$2:$J$2352,E$2,FALSE)</f>
        <v>#N/A</v>
      </c>
      <c r="F53" s="96" t="e">
        <f>VLOOKUP($A53,capacities!$A$2:$J$2352,F$2,FALSE)</f>
        <v>#N/A</v>
      </c>
      <c r="G53" s="96" t="e">
        <f>VLOOKUP($A53,capacities!$A$2:$J$2352,G$2,FALSE)</f>
        <v>#N/A</v>
      </c>
      <c r="H53" s="96" t="e">
        <f>VLOOKUP($A53,capacities!$A$2:$J$2352,H$2,FALSE)</f>
        <v>#N/A</v>
      </c>
      <c r="I53" s="96" t="e">
        <f>VLOOKUP($A53,capacities!$A$2:$J$2352,I$2,FALSE)</f>
        <v>#N/A</v>
      </c>
      <c r="J53" s="96" t="e">
        <f>VLOOKUP($A53,capacities!$A$2:$J$2352,J$2,FALSE)</f>
        <v>#N/A</v>
      </c>
      <c r="K53" s="96" t="e">
        <f>VLOOKUP($A53,capacities!$A$2:$J$2352,K$2,FALSE)</f>
        <v>#N/A</v>
      </c>
      <c r="M53" s="104" t="e">
        <f t="shared" ref="M53:S55" si="11">E53/E$56</f>
        <v>#N/A</v>
      </c>
      <c r="N53" s="97" t="e">
        <f t="shared" si="11"/>
        <v>#N/A</v>
      </c>
      <c r="O53" s="97" t="e">
        <f t="shared" si="11"/>
        <v>#N/A</v>
      </c>
      <c r="P53" s="97" t="e">
        <f t="shared" si="11"/>
        <v>#N/A</v>
      </c>
      <c r="Q53" s="97" t="e">
        <f t="shared" si="11"/>
        <v>#N/A</v>
      </c>
      <c r="R53" s="97" t="e">
        <f t="shared" si="11"/>
        <v>#N/A</v>
      </c>
      <c r="S53" s="97" t="e">
        <f t="shared" si="11"/>
        <v>#N/A</v>
      </c>
    </row>
    <row r="54" spans="1:19" x14ac:dyDescent="0.35">
      <c r="A54" s="40" t="s">
        <v>260</v>
      </c>
      <c r="B54" s="92" t="s">
        <v>1959</v>
      </c>
      <c r="C54" s="92" t="s">
        <v>1481</v>
      </c>
      <c r="D54" s="96" t="e">
        <f>VLOOKUP($A54,capacities!$A$2:$J$2352,D$2,FALSE)</f>
        <v>#N/A</v>
      </c>
      <c r="E54" s="96" t="e">
        <f>VLOOKUP($A54,capacities!$A$2:$J$2352,E$2,FALSE)</f>
        <v>#N/A</v>
      </c>
      <c r="F54" s="96" t="e">
        <f>VLOOKUP($A54,capacities!$A$2:$J$2352,F$2,FALSE)</f>
        <v>#N/A</v>
      </c>
      <c r="G54" s="96" t="e">
        <f>VLOOKUP($A54,capacities!$A$2:$J$2352,G$2,FALSE)</f>
        <v>#N/A</v>
      </c>
      <c r="H54" s="96" t="e">
        <f>VLOOKUP($A54,capacities!$A$2:$J$2352,H$2,FALSE)</f>
        <v>#N/A</v>
      </c>
      <c r="I54" s="96" t="e">
        <f>VLOOKUP($A54,capacities!$A$2:$J$2352,I$2,FALSE)</f>
        <v>#N/A</v>
      </c>
      <c r="J54" s="96" t="e">
        <f>VLOOKUP($A54,capacities!$A$2:$J$2352,J$2,FALSE)</f>
        <v>#N/A</v>
      </c>
      <c r="K54" s="96" t="e">
        <f>VLOOKUP($A54,capacities!$A$2:$J$2352,K$2,FALSE)</f>
        <v>#N/A</v>
      </c>
      <c r="M54" s="104" t="e">
        <f t="shared" si="11"/>
        <v>#N/A</v>
      </c>
      <c r="N54" s="97" t="e">
        <f t="shared" si="11"/>
        <v>#N/A</v>
      </c>
      <c r="O54" s="97" t="e">
        <f t="shared" si="11"/>
        <v>#N/A</v>
      </c>
      <c r="P54" s="97" t="e">
        <f t="shared" si="11"/>
        <v>#N/A</v>
      </c>
      <c r="Q54" s="97" t="e">
        <f t="shared" si="11"/>
        <v>#N/A</v>
      </c>
      <c r="R54" s="97" t="e">
        <f t="shared" si="11"/>
        <v>#N/A</v>
      </c>
      <c r="S54" s="97" t="e">
        <f t="shared" si="11"/>
        <v>#N/A</v>
      </c>
    </row>
    <row r="55" spans="1:19" ht="15" thickBot="1" x14ac:dyDescent="0.4">
      <c r="A55" s="40" t="s">
        <v>270</v>
      </c>
      <c r="B55" s="92" t="s">
        <v>1955</v>
      </c>
      <c r="C55" s="92" t="s">
        <v>1482</v>
      </c>
      <c r="D55" s="96" t="e">
        <f>VLOOKUP($A55,capacities!$A$2:$J$2352,D$2,FALSE)</f>
        <v>#N/A</v>
      </c>
      <c r="E55" s="96" t="e">
        <f>VLOOKUP($A55,capacities!$A$2:$J$2352,E$2,FALSE)</f>
        <v>#N/A</v>
      </c>
      <c r="F55" s="96" t="e">
        <f>VLOOKUP($A55,capacities!$A$2:$J$2352,F$2,FALSE)</f>
        <v>#N/A</v>
      </c>
      <c r="G55" s="96" t="e">
        <f>VLOOKUP($A55,capacities!$A$2:$J$2352,G$2,FALSE)</f>
        <v>#N/A</v>
      </c>
      <c r="H55" s="96" t="e">
        <f>VLOOKUP($A55,capacities!$A$2:$J$2352,H$2,FALSE)</f>
        <v>#N/A</v>
      </c>
      <c r="I55" s="96" t="e">
        <f>VLOOKUP($A55,capacities!$A$2:$J$2352,I$2,FALSE)</f>
        <v>#N/A</v>
      </c>
      <c r="J55" s="96" t="e">
        <f>VLOOKUP($A55,capacities!$A$2:$J$2352,J$2,FALSE)</f>
        <v>#N/A</v>
      </c>
      <c r="K55" s="96" t="e">
        <f>VLOOKUP($A55,capacities!$A$2:$J$2352,K$2,FALSE)</f>
        <v>#N/A</v>
      </c>
      <c r="M55" s="105" t="e">
        <f t="shared" si="11"/>
        <v>#N/A</v>
      </c>
      <c r="N55" s="100" t="e">
        <f t="shared" si="11"/>
        <v>#N/A</v>
      </c>
      <c r="O55" s="100" t="e">
        <f t="shared" si="11"/>
        <v>#N/A</v>
      </c>
      <c r="P55" s="100" t="e">
        <f t="shared" si="11"/>
        <v>#N/A</v>
      </c>
      <c r="Q55" s="100" t="e">
        <f t="shared" si="11"/>
        <v>#N/A</v>
      </c>
      <c r="R55" s="100" t="e">
        <f t="shared" si="11"/>
        <v>#N/A</v>
      </c>
      <c r="S55" s="100" t="e">
        <f t="shared" si="11"/>
        <v>#N/A</v>
      </c>
    </row>
    <row r="56" spans="1:19" ht="15" thickBot="1" x14ac:dyDescent="0.4">
      <c r="A56" s="95" t="s">
        <v>1229</v>
      </c>
      <c r="B56" s="103"/>
      <c r="C56" s="77"/>
      <c r="D56" s="77" t="e">
        <f>SUM(D53:D55)</f>
        <v>#N/A</v>
      </c>
      <c r="E56" s="77" t="e">
        <f t="shared" ref="E56:K56" si="12">SUM(E53:E55)</f>
        <v>#N/A</v>
      </c>
      <c r="F56" s="77" t="e">
        <f t="shared" si="12"/>
        <v>#N/A</v>
      </c>
      <c r="G56" s="77" t="e">
        <f t="shared" si="12"/>
        <v>#N/A</v>
      </c>
      <c r="H56" s="77" t="e">
        <f t="shared" si="12"/>
        <v>#N/A</v>
      </c>
      <c r="I56" s="77" t="e">
        <f t="shared" si="12"/>
        <v>#N/A</v>
      </c>
      <c r="J56" s="77" t="e">
        <f t="shared" si="12"/>
        <v>#N/A</v>
      </c>
      <c r="K56" s="77" t="e">
        <f t="shared" si="12"/>
        <v>#N/A</v>
      </c>
    </row>
    <row r="57" spans="1:19" s="132" customFormat="1" ht="15" thickBot="1" x14ac:dyDescent="0.4">
      <c r="A57" s="102"/>
      <c r="B57" s="102"/>
      <c r="C57" s="92"/>
      <c r="D57" s="92"/>
      <c r="E57" s="92"/>
      <c r="F57" s="92"/>
      <c r="G57" s="92"/>
      <c r="H57" s="92"/>
      <c r="I57" s="92"/>
      <c r="J57" s="92"/>
      <c r="K57" s="92"/>
    </row>
    <row r="58" spans="1:19" s="132" customFormat="1" x14ac:dyDescent="0.35">
      <c r="A58" s="87"/>
      <c r="B58" s="89"/>
      <c r="C58" s="88" t="s">
        <v>1223</v>
      </c>
      <c r="D58" s="89">
        <v>2</v>
      </c>
      <c r="E58" s="89">
        <v>3</v>
      </c>
      <c r="F58" s="89">
        <v>4</v>
      </c>
      <c r="G58" s="89">
        <v>5</v>
      </c>
      <c r="H58" s="89">
        <v>6</v>
      </c>
      <c r="I58" s="89">
        <v>7</v>
      </c>
      <c r="J58" s="89">
        <v>8</v>
      </c>
      <c r="K58" s="89">
        <v>9</v>
      </c>
      <c r="M58" s="91" t="s">
        <v>1223</v>
      </c>
      <c r="N58" s="89"/>
      <c r="O58" s="89"/>
      <c r="P58" s="89"/>
      <c r="Q58" s="89"/>
      <c r="R58" s="89"/>
      <c r="S58" s="89"/>
    </row>
    <row r="59" spans="1:19" s="132" customFormat="1" x14ac:dyDescent="0.35">
      <c r="A59" s="40" t="s">
        <v>1415</v>
      </c>
      <c r="B59" s="92"/>
      <c r="C59" s="92"/>
      <c r="D59" s="133" t="s">
        <v>1417</v>
      </c>
      <c r="E59" s="133">
        <v>2020</v>
      </c>
      <c r="F59" s="133">
        <v>2025</v>
      </c>
      <c r="G59" s="133">
        <v>2030</v>
      </c>
      <c r="H59" s="133">
        <v>2035</v>
      </c>
      <c r="I59" s="133">
        <v>2040</v>
      </c>
      <c r="J59" s="133">
        <v>2045</v>
      </c>
      <c r="K59" s="133">
        <v>2050</v>
      </c>
      <c r="M59" s="133">
        <v>2020</v>
      </c>
      <c r="N59" s="133">
        <v>2025</v>
      </c>
      <c r="O59" s="133">
        <v>2030</v>
      </c>
      <c r="P59" s="133">
        <v>2035</v>
      </c>
      <c r="Q59" s="133">
        <v>2040</v>
      </c>
      <c r="R59" s="133">
        <v>2045</v>
      </c>
      <c r="S59" s="133">
        <v>2050</v>
      </c>
    </row>
    <row r="60" spans="1:19" s="132" customFormat="1" x14ac:dyDescent="0.35">
      <c r="A60" s="40"/>
      <c r="B60" s="92"/>
      <c r="C60" s="92"/>
      <c r="D60" s="92"/>
      <c r="E60" s="92"/>
      <c r="F60" s="92"/>
      <c r="G60" s="92"/>
      <c r="H60" s="92"/>
      <c r="I60" s="92"/>
      <c r="J60" s="92"/>
      <c r="K60" s="92"/>
      <c r="M60" s="40"/>
      <c r="N60" s="92"/>
      <c r="O60" s="92"/>
      <c r="P60" s="92"/>
      <c r="Q60" s="92"/>
      <c r="R60" s="92"/>
      <c r="S60" s="92"/>
    </row>
    <row r="61" spans="1:19" s="132" customFormat="1" x14ac:dyDescent="0.35">
      <c r="A61" s="40"/>
      <c r="B61" s="92" t="s">
        <v>1317</v>
      </c>
      <c r="C61" s="92" t="s">
        <v>1480</v>
      </c>
      <c r="D61" s="96" t="e">
        <f>D53+D45</f>
        <v>#N/A</v>
      </c>
      <c r="E61" s="96" t="e">
        <f t="shared" ref="E61:K61" si="13">E53+E45</f>
        <v>#N/A</v>
      </c>
      <c r="F61" s="96" t="e">
        <f t="shared" si="13"/>
        <v>#N/A</v>
      </c>
      <c r="G61" s="96" t="e">
        <f t="shared" si="13"/>
        <v>#N/A</v>
      </c>
      <c r="H61" s="96" t="e">
        <f t="shared" si="13"/>
        <v>#N/A</v>
      </c>
      <c r="I61" s="96" t="e">
        <f t="shared" si="13"/>
        <v>#N/A</v>
      </c>
      <c r="J61" s="96" t="e">
        <f t="shared" si="13"/>
        <v>#N/A</v>
      </c>
      <c r="K61" s="96" t="e">
        <f t="shared" si="13"/>
        <v>#N/A</v>
      </c>
      <c r="M61" s="104" t="e">
        <f t="shared" ref="M61:S63" si="14">E61/E$64</f>
        <v>#N/A</v>
      </c>
      <c r="N61" s="97" t="e">
        <f t="shared" si="14"/>
        <v>#N/A</v>
      </c>
      <c r="O61" s="97" t="e">
        <f t="shared" si="14"/>
        <v>#N/A</v>
      </c>
      <c r="P61" s="97" t="e">
        <f t="shared" si="14"/>
        <v>#N/A</v>
      </c>
      <c r="Q61" s="97" t="e">
        <f t="shared" si="14"/>
        <v>#N/A</v>
      </c>
      <c r="R61" s="97" t="e">
        <f t="shared" si="14"/>
        <v>#N/A</v>
      </c>
      <c r="S61" s="97" t="e">
        <f t="shared" si="14"/>
        <v>#N/A</v>
      </c>
    </row>
    <row r="62" spans="1:19" s="132" customFormat="1" x14ac:dyDescent="0.35">
      <c r="A62" s="40"/>
      <c r="B62" s="92" t="s">
        <v>1959</v>
      </c>
      <c r="C62" s="92" t="s">
        <v>1481</v>
      </c>
      <c r="D62" s="96" t="e">
        <f t="shared" ref="D62:K63" si="15">D54+D46</f>
        <v>#N/A</v>
      </c>
      <c r="E62" s="96" t="e">
        <f t="shared" si="15"/>
        <v>#N/A</v>
      </c>
      <c r="F62" s="96" t="e">
        <f t="shared" si="15"/>
        <v>#N/A</v>
      </c>
      <c r="G62" s="96" t="e">
        <f t="shared" si="15"/>
        <v>#N/A</v>
      </c>
      <c r="H62" s="96" t="e">
        <f t="shared" si="15"/>
        <v>#N/A</v>
      </c>
      <c r="I62" s="96" t="e">
        <f t="shared" si="15"/>
        <v>#N/A</v>
      </c>
      <c r="J62" s="96" t="e">
        <f t="shared" si="15"/>
        <v>#N/A</v>
      </c>
      <c r="K62" s="96" t="e">
        <f t="shared" si="15"/>
        <v>#N/A</v>
      </c>
      <c r="M62" s="104" t="e">
        <f t="shared" si="14"/>
        <v>#N/A</v>
      </c>
      <c r="N62" s="97" t="e">
        <f t="shared" si="14"/>
        <v>#N/A</v>
      </c>
      <c r="O62" s="97" t="e">
        <f t="shared" si="14"/>
        <v>#N/A</v>
      </c>
      <c r="P62" s="97" t="e">
        <f t="shared" si="14"/>
        <v>#N/A</v>
      </c>
      <c r="Q62" s="97" t="e">
        <f t="shared" si="14"/>
        <v>#N/A</v>
      </c>
      <c r="R62" s="97" t="e">
        <f t="shared" si="14"/>
        <v>#N/A</v>
      </c>
      <c r="S62" s="97" t="e">
        <f t="shared" si="14"/>
        <v>#N/A</v>
      </c>
    </row>
    <row r="63" spans="1:19" s="132" customFormat="1" ht="15" thickBot="1" x14ac:dyDescent="0.4">
      <c r="A63" s="40"/>
      <c r="B63" s="92" t="s">
        <v>1955</v>
      </c>
      <c r="C63" s="92" t="s">
        <v>1482</v>
      </c>
      <c r="D63" s="96" t="e">
        <f t="shared" si="15"/>
        <v>#N/A</v>
      </c>
      <c r="E63" s="96" t="e">
        <f t="shared" si="15"/>
        <v>#N/A</v>
      </c>
      <c r="F63" s="96" t="e">
        <f t="shared" si="15"/>
        <v>#N/A</v>
      </c>
      <c r="G63" s="96" t="e">
        <f t="shared" si="15"/>
        <v>#N/A</v>
      </c>
      <c r="H63" s="96" t="e">
        <f t="shared" si="15"/>
        <v>#N/A</v>
      </c>
      <c r="I63" s="96" t="e">
        <f t="shared" si="15"/>
        <v>#N/A</v>
      </c>
      <c r="J63" s="96" t="e">
        <f t="shared" si="15"/>
        <v>#N/A</v>
      </c>
      <c r="K63" s="96" t="e">
        <f t="shared" si="15"/>
        <v>#N/A</v>
      </c>
      <c r="M63" s="105" t="e">
        <f t="shared" si="14"/>
        <v>#N/A</v>
      </c>
      <c r="N63" s="100" t="e">
        <f t="shared" si="14"/>
        <v>#N/A</v>
      </c>
      <c r="O63" s="100" t="e">
        <f t="shared" si="14"/>
        <v>#N/A</v>
      </c>
      <c r="P63" s="100" t="e">
        <f t="shared" si="14"/>
        <v>#N/A</v>
      </c>
      <c r="Q63" s="100" t="e">
        <f t="shared" si="14"/>
        <v>#N/A</v>
      </c>
      <c r="R63" s="100" t="e">
        <f t="shared" si="14"/>
        <v>#N/A</v>
      </c>
      <c r="S63" s="100" t="e">
        <f t="shared" si="14"/>
        <v>#N/A</v>
      </c>
    </row>
    <row r="64" spans="1:19" s="132" customFormat="1" ht="15" thickBot="1" x14ac:dyDescent="0.4">
      <c r="A64" s="95" t="s">
        <v>1229</v>
      </c>
      <c r="B64" s="103"/>
      <c r="C64" s="77"/>
      <c r="D64" s="77" t="e">
        <f t="shared" ref="D64:K64" si="16">D48+D56</f>
        <v>#N/A</v>
      </c>
      <c r="E64" s="77" t="e">
        <f t="shared" si="16"/>
        <v>#N/A</v>
      </c>
      <c r="F64" s="77" t="e">
        <f t="shared" si="16"/>
        <v>#N/A</v>
      </c>
      <c r="G64" s="77" t="e">
        <f t="shared" si="16"/>
        <v>#N/A</v>
      </c>
      <c r="H64" s="77" t="e">
        <f t="shared" si="16"/>
        <v>#N/A</v>
      </c>
      <c r="I64" s="77" t="e">
        <f t="shared" si="16"/>
        <v>#N/A</v>
      </c>
      <c r="J64" s="77" t="e">
        <f t="shared" si="16"/>
        <v>#N/A</v>
      </c>
      <c r="K64" s="77" t="e">
        <f t="shared" si="16"/>
        <v>#N/A</v>
      </c>
    </row>
    <row r="65" spans="1:19" ht="15" thickBot="1" x14ac:dyDescent="0.4"/>
    <row r="66" spans="1:19" x14ac:dyDescent="0.35">
      <c r="A66" s="87"/>
      <c r="B66" s="89"/>
      <c r="C66" s="88" t="s">
        <v>1484</v>
      </c>
      <c r="D66" s="89">
        <v>2</v>
      </c>
      <c r="E66" s="89">
        <v>3</v>
      </c>
      <c r="F66" s="89">
        <v>4</v>
      </c>
      <c r="G66" s="89">
        <v>5</v>
      </c>
      <c r="H66" s="89">
        <v>6</v>
      </c>
      <c r="I66" s="89">
        <v>7</v>
      </c>
      <c r="J66" s="89">
        <v>8</v>
      </c>
      <c r="K66" s="89">
        <v>9</v>
      </c>
    </row>
    <row r="67" spans="1:19" x14ac:dyDescent="0.35">
      <c r="A67" s="40" t="s">
        <v>1415</v>
      </c>
      <c r="B67" s="92"/>
      <c r="C67" s="92"/>
      <c r="D67" s="133" t="s">
        <v>1417</v>
      </c>
      <c r="E67" s="133">
        <v>2020</v>
      </c>
      <c r="F67" s="133">
        <v>2025</v>
      </c>
      <c r="G67" s="133">
        <v>2030</v>
      </c>
      <c r="H67" s="133">
        <v>2035</v>
      </c>
      <c r="I67" s="133">
        <v>2040</v>
      </c>
      <c r="J67" s="133">
        <v>2045</v>
      </c>
      <c r="K67" s="133">
        <v>2050</v>
      </c>
    </row>
    <row r="68" spans="1:19" x14ac:dyDescent="0.35">
      <c r="A68" s="40"/>
      <c r="B68" s="92"/>
      <c r="C68" s="92"/>
      <c r="D68" s="92"/>
      <c r="E68" s="92"/>
      <c r="F68" s="92"/>
      <c r="G68" s="92"/>
      <c r="H68" s="92"/>
      <c r="I68" s="92"/>
      <c r="J68" s="92"/>
      <c r="K68" s="92"/>
    </row>
    <row r="69" spans="1:19" ht="15" thickBot="1" x14ac:dyDescent="0.4">
      <c r="A69" s="41" t="s">
        <v>442</v>
      </c>
      <c r="B69" s="77"/>
      <c r="C69" s="77"/>
      <c r="D69" s="96" t="e">
        <f>VLOOKUP($A69,capacities!$A$2:$J$2352,D$2,FALSE)</f>
        <v>#N/A</v>
      </c>
      <c r="E69" s="96" t="e">
        <f>VLOOKUP($A69,capacities!$A$2:$J$2352,E$2,FALSE)</f>
        <v>#N/A</v>
      </c>
      <c r="F69" s="96" t="e">
        <f>VLOOKUP($A69,capacities!$A$2:$J$2352,F$2,FALSE)</f>
        <v>#N/A</v>
      </c>
      <c r="G69" s="96" t="e">
        <f>VLOOKUP($A69,capacities!$A$2:$J$2352,G$2,FALSE)</f>
        <v>#N/A</v>
      </c>
      <c r="H69" s="96" t="e">
        <f>VLOOKUP($A69,capacities!$A$2:$J$2352,H$2,FALSE)</f>
        <v>#N/A</v>
      </c>
      <c r="I69" s="96" t="e">
        <f>VLOOKUP($A69,capacities!$A$2:$J$2352,I$2,FALSE)</f>
        <v>#N/A</v>
      </c>
      <c r="J69" s="96" t="e">
        <f>VLOOKUP($A69,capacities!$A$2:$J$2352,J$2,FALSE)</f>
        <v>#N/A</v>
      </c>
      <c r="K69" s="96" t="e">
        <f>VLOOKUP($A69,capacities!$A$2:$J$2352,K$2,FALSE)</f>
        <v>#N/A</v>
      </c>
    </row>
    <row r="70" spans="1:19" ht="15" thickBot="1" x14ac:dyDescent="0.4"/>
    <row r="71" spans="1:19" x14ac:dyDescent="0.35">
      <c r="A71" s="87"/>
      <c r="B71" s="89"/>
      <c r="C71" s="88" t="s">
        <v>1485</v>
      </c>
      <c r="D71" s="89">
        <v>2</v>
      </c>
      <c r="E71" s="89">
        <v>3</v>
      </c>
      <c r="F71" s="89">
        <v>4</v>
      </c>
      <c r="G71" s="89">
        <v>5</v>
      </c>
      <c r="H71" s="89">
        <v>6</v>
      </c>
      <c r="I71" s="89">
        <v>7</v>
      </c>
      <c r="J71" s="89">
        <v>8</v>
      </c>
      <c r="K71" s="89">
        <v>9</v>
      </c>
      <c r="M71" s="91" t="s">
        <v>1485</v>
      </c>
      <c r="N71" s="89"/>
      <c r="O71" s="89"/>
      <c r="P71" s="89"/>
      <c r="Q71" s="89"/>
      <c r="R71" s="89"/>
      <c r="S71" s="89"/>
    </row>
    <row r="72" spans="1:19" x14ac:dyDescent="0.35">
      <c r="A72" s="40" t="s">
        <v>1415</v>
      </c>
      <c r="B72" s="92"/>
      <c r="C72" s="92"/>
      <c r="D72" s="133" t="s">
        <v>1417</v>
      </c>
      <c r="E72" s="133">
        <v>2020</v>
      </c>
      <c r="F72" s="133">
        <v>2025</v>
      </c>
      <c r="G72" s="133">
        <v>2030</v>
      </c>
      <c r="H72" s="133">
        <v>2035</v>
      </c>
      <c r="I72" s="133">
        <v>2040</v>
      </c>
      <c r="J72" s="133">
        <v>2045</v>
      </c>
      <c r="K72" s="133">
        <v>2050</v>
      </c>
      <c r="M72" s="133">
        <v>2020</v>
      </c>
      <c r="N72" s="133">
        <v>2025</v>
      </c>
      <c r="O72" s="133">
        <v>2030</v>
      </c>
      <c r="P72" s="133">
        <v>2035</v>
      </c>
      <c r="Q72" s="133">
        <v>2040</v>
      </c>
      <c r="R72" s="133">
        <v>2045</v>
      </c>
      <c r="S72" s="133">
        <v>2050</v>
      </c>
    </row>
    <row r="73" spans="1:19" x14ac:dyDescent="0.35">
      <c r="A73" s="40"/>
      <c r="B73" s="92"/>
      <c r="C73" s="92"/>
      <c r="D73" s="92"/>
      <c r="E73" s="92"/>
      <c r="F73" s="92"/>
      <c r="G73" s="92"/>
      <c r="H73" s="92"/>
      <c r="I73" s="92"/>
      <c r="J73" s="92"/>
      <c r="K73" s="92"/>
      <c r="M73" s="40"/>
      <c r="N73" s="92"/>
      <c r="O73" s="92"/>
      <c r="P73" s="92"/>
      <c r="Q73" s="92"/>
      <c r="R73" s="92"/>
      <c r="S73" s="92"/>
    </row>
    <row r="74" spans="1:19" x14ac:dyDescent="0.35">
      <c r="A74" s="40" t="s">
        <v>417</v>
      </c>
      <c r="B74" s="92"/>
      <c r="C74" s="92"/>
      <c r="D74" s="96" t="e">
        <f>VLOOKUP($A74,capacities!$A$2:$J$2352,D$2,FALSE)</f>
        <v>#N/A</v>
      </c>
      <c r="E74" s="96" t="e">
        <f>VLOOKUP($A74,capacities!$A$2:$J$2352,E$2,FALSE)</f>
        <v>#N/A</v>
      </c>
      <c r="F74" s="96" t="e">
        <f>VLOOKUP($A74,capacities!$A$2:$J$2352,F$2,FALSE)</f>
        <v>#N/A</v>
      </c>
      <c r="G74" s="96" t="e">
        <f>VLOOKUP($A74,capacities!$A$2:$J$2352,G$2,FALSE)</f>
        <v>#N/A</v>
      </c>
      <c r="H74" s="96" t="e">
        <f>VLOOKUP($A74,capacities!$A$2:$J$2352,H$2,FALSE)</f>
        <v>#N/A</v>
      </c>
      <c r="I74" s="96" t="e">
        <f>VLOOKUP($A74,capacities!$A$2:$J$2352,I$2,FALSE)</f>
        <v>#N/A</v>
      </c>
      <c r="J74" s="96" t="e">
        <f>VLOOKUP($A74,capacities!$A$2:$J$2352,J$2,FALSE)</f>
        <v>#N/A</v>
      </c>
      <c r="K74" s="96" t="e">
        <f>VLOOKUP($A74,capacities!$A$2:$J$2352,K$2,FALSE)</f>
        <v>#N/A</v>
      </c>
      <c r="M74" s="104" t="e">
        <f t="shared" ref="M74:S75" si="17">E74/E$76</f>
        <v>#N/A</v>
      </c>
      <c r="N74" s="97" t="e">
        <f t="shared" si="17"/>
        <v>#N/A</v>
      </c>
      <c r="O74" s="97" t="e">
        <f t="shared" si="17"/>
        <v>#N/A</v>
      </c>
      <c r="P74" s="97" t="e">
        <f t="shared" si="17"/>
        <v>#N/A</v>
      </c>
      <c r="Q74" s="97" t="e">
        <f t="shared" si="17"/>
        <v>#N/A</v>
      </c>
      <c r="R74" s="97" t="e">
        <f t="shared" si="17"/>
        <v>#N/A</v>
      </c>
      <c r="S74" s="97" t="e">
        <f t="shared" si="17"/>
        <v>#N/A</v>
      </c>
    </row>
    <row r="75" spans="1:19" ht="15" thickBot="1" x14ac:dyDescent="0.4">
      <c r="A75" s="40" t="s">
        <v>418</v>
      </c>
      <c r="B75" s="92"/>
      <c r="C75" s="92"/>
      <c r="D75" s="96" t="e">
        <f>VLOOKUP($A75,capacities!$A$2:$J$2352,D$2,FALSE)</f>
        <v>#N/A</v>
      </c>
      <c r="E75" s="96" t="e">
        <f>VLOOKUP($A75,capacities!$A$2:$J$2352,E$2,FALSE)</f>
        <v>#N/A</v>
      </c>
      <c r="F75" s="96" t="e">
        <f>VLOOKUP($A75,capacities!$A$2:$J$2352,F$2,FALSE)</f>
        <v>#N/A</v>
      </c>
      <c r="G75" s="96" t="e">
        <f>VLOOKUP($A75,capacities!$A$2:$J$2352,G$2,FALSE)</f>
        <v>#N/A</v>
      </c>
      <c r="H75" s="96" t="e">
        <f>VLOOKUP($A75,capacities!$A$2:$J$2352,H$2,FALSE)</f>
        <v>#N/A</v>
      </c>
      <c r="I75" s="96" t="e">
        <f>VLOOKUP($A75,capacities!$A$2:$J$2352,I$2,FALSE)</f>
        <v>#N/A</v>
      </c>
      <c r="J75" s="96" t="e">
        <f>VLOOKUP($A75,capacities!$A$2:$J$2352,J$2,FALSE)</f>
        <v>#N/A</v>
      </c>
      <c r="K75" s="96" t="e">
        <f>VLOOKUP($A75,capacities!$A$2:$J$2352,K$2,FALSE)</f>
        <v>#N/A</v>
      </c>
      <c r="M75" s="105" t="e">
        <f t="shared" si="17"/>
        <v>#N/A</v>
      </c>
      <c r="N75" s="100" t="e">
        <f t="shared" si="17"/>
        <v>#N/A</v>
      </c>
      <c r="O75" s="100" t="e">
        <f t="shared" si="17"/>
        <v>#N/A</v>
      </c>
      <c r="P75" s="100" t="e">
        <f t="shared" si="17"/>
        <v>#N/A</v>
      </c>
      <c r="Q75" s="100" t="e">
        <f t="shared" si="17"/>
        <v>#N/A</v>
      </c>
      <c r="R75" s="100" t="e">
        <f t="shared" si="17"/>
        <v>#N/A</v>
      </c>
      <c r="S75" s="100" t="e">
        <f t="shared" si="17"/>
        <v>#N/A</v>
      </c>
    </row>
    <row r="76" spans="1:19" ht="15" thickBot="1" x14ac:dyDescent="0.4">
      <c r="A76" s="95" t="s">
        <v>1229</v>
      </c>
      <c r="B76" s="103"/>
      <c r="C76" s="77"/>
      <c r="D76" s="101" t="e">
        <f>SUM(D74:D75)</f>
        <v>#N/A</v>
      </c>
      <c r="E76" s="77" t="e">
        <f t="shared" ref="E76:K76" si="18">SUM(E74:E75)</f>
        <v>#N/A</v>
      </c>
      <c r="F76" s="77" t="e">
        <f t="shared" si="18"/>
        <v>#N/A</v>
      </c>
      <c r="G76" s="77" t="e">
        <f t="shared" si="18"/>
        <v>#N/A</v>
      </c>
      <c r="H76" s="77" t="e">
        <f t="shared" si="18"/>
        <v>#N/A</v>
      </c>
      <c r="I76" s="77" t="e">
        <f t="shared" si="18"/>
        <v>#N/A</v>
      </c>
      <c r="J76" s="77" t="e">
        <f t="shared" si="18"/>
        <v>#N/A</v>
      </c>
      <c r="K76" s="77" t="e">
        <f t="shared" si="18"/>
        <v>#N/A</v>
      </c>
    </row>
  </sheetData>
  <pageMargins left="0.7" right="0.7" top="0.78740157499999996" bottom="0.78740157499999996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3"/>
  </sheetPr>
  <dimension ref="A1:AP106"/>
  <sheetViews>
    <sheetView topLeftCell="A55" zoomScale="60" zoomScaleNormal="60" workbookViewId="0">
      <selection activeCell="S69" sqref="S69"/>
    </sheetView>
  </sheetViews>
  <sheetFormatPr baseColWidth="10" defaultColWidth="11.453125" defaultRowHeight="14.5" x14ac:dyDescent="0.35"/>
  <cols>
    <col min="1" max="1" width="35.453125" style="64" bestFit="1" customWidth="1"/>
    <col min="2" max="2" width="35.453125" style="190" customWidth="1"/>
    <col min="3" max="3" width="20.1796875" style="64" bestFit="1" customWidth="1"/>
    <col min="4" max="12" width="11.453125" style="64"/>
    <col min="13" max="13" width="35.453125" style="64" bestFit="1" customWidth="1"/>
    <col min="14" max="14" width="11.54296875" style="64" bestFit="1" customWidth="1"/>
    <col min="15" max="24" width="11.453125" style="64"/>
    <col min="25" max="25" width="33.453125" style="64" bestFit="1" customWidth="1"/>
    <col min="26" max="26" width="11.453125" style="64"/>
    <col min="27" max="27" width="12.453125" style="64" bestFit="1" customWidth="1"/>
    <col min="28" max="16384" width="11.453125" style="64"/>
  </cols>
  <sheetData>
    <row r="1" spans="1:30" x14ac:dyDescent="0.35">
      <c r="A1" s="87"/>
      <c r="B1" s="89"/>
      <c r="C1" s="88" t="s">
        <v>1473</v>
      </c>
      <c r="D1" s="89">
        <v>2</v>
      </c>
      <c r="E1" s="89">
        <v>3</v>
      </c>
      <c r="F1" s="89">
        <v>4</v>
      </c>
      <c r="G1" s="89">
        <v>5</v>
      </c>
      <c r="H1" s="89">
        <v>6</v>
      </c>
      <c r="I1" s="89">
        <v>7</v>
      </c>
      <c r="J1" s="89">
        <v>8</v>
      </c>
      <c r="K1" s="89">
        <v>9</v>
      </c>
    </row>
    <row r="2" spans="1:30" x14ac:dyDescent="0.35">
      <c r="A2" s="40" t="s">
        <v>1415</v>
      </c>
      <c r="B2" s="92"/>
      <c r="C2" s="92"/>
      <c r="D2" s="133" t="s">
        <v>1417</v>
      </c>
      <c r="E2" s="133">
        <v>2020</v>
      </c>
      <c r="F2" s="133">
        <v>2025</v>
      </c>
      <c r="G2" s="133">
        <v>2030</v>
      </c>
      <c r="H2" s="133">
        <v>2035</v>
      </c>
      <c r="I2" s="133">
        <v>2040</v>
      </c>
      <c r="J2" s="133">
        <v>2045</v>
      </c>
      <c r="K2" s="133">
        <v>2050</v>
      </c>
      <c r="L2" s="133" t="s">
        <v>4054</v>
      </c>
    </row>
    <row r="3" spans="1:30" x14ac:dyDescent="0.35">
      <c r="A3" s="40" t="s">
        <v>533</v>
      </c>
      <c r="B3" s="92" t="s">
        <v>1569</v>
      </c>
      <c r="C3" s="92" t="s">
        <v>1569</v>
      </c>
      <c r="D3" s="96" t="e">
        <f>IF(D$11&lt;1,VLOOKUP($A3,flows!$A$2:$J$4985,D$1,FALSE)*1.5,VLOOKUP($A3,flows!$A$2:$J$4985,D$1,FALSE)*1.5*D$10/(D$10-D$11))</f>
        <v>#N/A</v>
      </c>
      <c r="E3" s="96" t="e">
        <f>IF(E$11&lt;1,VLOOKUP($A3,flows!$A$2:$J$4985,E$1,FALSE)*1.5,VLOOKUP($A3,flows!$A$2:$J$4985,E$1,FALSE)*1.5*E$10/(E$10-E$11))</f>
        <v>#N/A</v>
      </c>
      <c r="F3" s="96" t="e">
        <f>IF(F$11&lt;1,VLOOKUP($A3,flows!$A$2:$J$4985,F$1,FALSE)*1.5,VLOOKUP($A3,flows!$A$2:$J$4985,F$1,FALSE)*1.5*F$10/(F$10-F$11))</f>
        <v>#N/A</v>
      </c>
      <c r="G3" s="96" t="e">
        <f>IF(G$11&lt;1,VLOOKUP($A3,flows!$A$2:$J$4985,G$1,FALSE)*1.5,VLOOKUP($A3,flows!$A$2:$J$4985,G$1,FALSE)*1.5*G$10/(G$10-G$11))</f>
        <v>#N/A</v>
      </c>
      <c r="H3" s="96" t="e">
        <f>IF(H$11&lt;1,VLOOKUP($A3,flows!$A$2:$J$4985,H$1,FALSE)*1.5,VLOOKUP($A3,flows!$A$2:$J$4985,H$1,FALSE)*1.5*H$10/(H$10-H$11))</f>
        <v>#N/A</v>
      </c>
      <c r="I3" s="96" t="e">
        <f>IF(I$11&lt;1,VLOOKUP($A3,flows!$A$2:$J$4985,I$1,FALSE)*1.5,VLOOKUP($A3,flows!$A$2:$J$4985,I$1,FALSE)*1.5*I$10/(I$10-I$11))</f>
        <v>#N/A</v>
      </c>
      <c r="J3" s="96" t="e">
        <f>IF(J$11&lt;1,VLOOKUP($A3,flows!$A$2:$J$4985,J$1,FALSE)*1.5,VLOOKUP($A3,flows!$A$2:$J$4985,J$1,FALSE)*1.5*J$10/(J$10-J$11))</f>
        <v>#N/A</v>
      </c>
      <c r="K3" s="96" t="e">
        <f>IF(K$11&lt;1,VLOOKUP($A3,flows!$A$2:$J$4985,K$1,FALSE)*1.5,VLOOKUP($A3,flows!$A$2:$J$4985,K$1,FALSE)*1.5*K$10/(K$10-K$11))</f>
        <v>#N/A</v>
      </c>
      <c r="L3" s="64">
        <v>232216.5276684087</v>
      </c>
    </row>
    <row r="4" spans="1:30" x14ac:dyDescent="0.35">
      <c r="A4" s="40" t="s">
        <v>688</v>
      </c>
      <c r="B4" s="92" t="s">
        <v>2420</v>
      </c>
      <c r="C4" s="92" t="s">
        <v>2420</v>
      </c>
      <c r="D4" s="96" t="e">
        <f>IF(D$11&lt;1,VLOOKUP($A4,flows!$A$2:$J$4985,D$1,FALSE)*1.5,VLOOKUP($A4,flows!$A$2:$J$4985,D$1,FALSE)*1.5*D$10/(D$10-D$11))</f>
        <v>#N/A</v>
      </c>
      <c r="E4" s="96" t="e">
        <f>IF(E$11&lt;1,VLOOKUP($A4,flows!$A$2:$J$4985,E$1,FALSE)*1.5,VLOOKUP($A4,flows!$A$2:$J$4985,E$1,FALSE)*1.5*E$10/(E$10-E$11))</f>
        <v>#N/A</v>
      </c>
      <c r="F4" s="96" t="e">
        <f>IF(F$11&lt;1,VLOOKUP($A4,flows!$A$2:$J$4985,F$1,FALSE)*1.5,VLOOKUP($A4,flows!$A$2:$J$4985,F$1,FALSE)*1.5*F$10/(F$10-F$11))</f>
        <v>#N/A</v>
      </c>
      <c r="G4" s="96" t="e">
        <f>IF(G$11&lt;1,VLOOKUP($A4,flows!$A$2:$J$4985,G$1,FALSE)*1.5,VLOOKUP($A4,flows!$A$2:$J$4985,G$1,FALSE)*1.5*G$10/(G$10-G$11))</f>
        <v>#N/A</v>
      </c>
      <c r="H4" s="96" t="e">
        <f>IF(H$11&lt;1,VLOOKUP($A4,flows!$A$2:$J$4985,H$1,FALSE)*1.5,VLOOKUP($A4,flows!$A$2:$J$4985,H$1,FALSE)*1.5*H$10/(H$10-H$11))</f>
        <v>#N/A</v>
      </c>
      <c r="I4" s="96" t="e">
        <f>IF(I$11&lt;1,VLOOKUP($A4,flows!$A$2:$J$4985,I$1,FALSE)*1.5,VLOOKUP($A4,flows!$A$2:$J$4985,I$1,FALSE)*1.5*I$10/(I$10-I$11))</f>
        <v>#N/A</v>
      </c>
      <c r="J4" s="96" t="e">
        <f>IF(J$11&lt;1,VLOOKUP($A4,flows!$A$2:$J$4985,J$1,FALSE)*1.5,VLOOKUP($A4,flows!$A$2:$J$4985,J$1,FALSE)*1.5*J$10/(J$10-J$11))</f>
        <v>#N/A</v>
      </c>
      <c r="K4" s="96" t="e">
        <f>IF(K$11&lt;1,VLOOKUP($A4,flows!$A$2:$J$4985,K$1,FALSE)*1.5,VLOOKUP($A4,flows!$A$2:$J$4985,K$1,FALSE)*1.5*K$10/(K$10-K$11))</f>
        <v>#N/A</v>
      </c>
      <c r="L4" s="64">
        <v>64757.78249006519</v>
      </c>
    </row>
    <row r="5" spans="1:30" x14ac:dyDescent="0.35">
      <c r="A5" s="40" t="s">
        <v>733</v>
      </c>
      <c r="B5" s="92" t="s">
        <v>2299</v>
      </c>
      <c r="C5" s="92" t="s">
        <v>2299</v>
      </c>
      <c r="D5" s="96" t="e">
        <f>IF(D$11&lt;1,VLOOKUP($A5,flows!$A$2:$J$4985,D$1,FALSE)*1.5,VLOOKUP($A5,flows!$A$2:$J$4985,D$1,FALSE)*1.5*D$10/(D$10-D$11))</f>
        <v>#N/A</v>
      </c>
      <c r="E5" s="96" t="e">
        <f>IF(E$11&lt;1,VLOOKUP($A5,flows!$A$2:$J$4985,E$1,FALSE)*1.5,VLOOKUP($A5,flows!$A$2:$J$4985,E$1,FALSE)*1.5*E$10/(E$10-E$11))</f>
        <v>#N/A</v>
      </c>
      <c r="F5" s="96" t="e">
        <f>IF(F$11&lt;1,VLOOKUP($A5,flows!$A$2:$J$4985,F$1,FALSE)*1.5,VLOOKUP($A5,flows!$A$2:$J$4985,F$1,FALSE)*1.5*F$10/(F$10-F$11))</f>
        <v>#N/A</v>
      </c>
      <c r="G5" s="96" t="e">
        <f>IF(G$11&lt;1,VLOOKUP($A5,flows!$A$2:$J$4985,G$1,FALSE)*1.5,VLOOKUP($A5,flows!$A$2:$J$4985,G$1,FALSE)*1.5*G$10/(G$10-G$11))</f>
        <v>#N/A</v>
      </c>
      <c r="H5" s="96" t="e">
        <f>IF(H$11&lt;1,VLOOKUP($A5,flows!$A$2:$J$4985,H$1,FALSE)*1.5,VLOOKUP($A5,flows!$A$2:$J$4985,H$1,FALSE)*1.5*H$10/(H$10-H$11))</f>
        <v>#N/A</v>
      </c>
      <c r="I5" s="96" t="e">
        <f>IF(I$11&lt;1,VLOOKUP($A5,flows!$A$2:$J$4985,I$1,FALSE)*1.5,VLOOKUP($A5,flows!$A$2:$J$4985,I$1,FALSE)*1.5*I$10/(I$10-I$11))</f>
        <v>#N/A</v>
      </c>
      <c r="J5" s="96" t="e">
        <f>IF(J$11&lt;1,VLOOKUP($A5,flows!$A$2:$J$4985,J$1,FALSE)*1.5,VLOOKUP($A5,flows!$A$2:$J$4985,J$1,FALSE)*1.5*J$10/(J$10-J$11))</f>
        <v>#N/A</v>
      </c>
      <c r="K5" s="96" t="e">
        <f>IF(K$11&lt;1,VLOOKUP($A5,flows!$A$2:$J$4985,K$1,FALSE)*1.5,VLOOKUP($A5,flows!$A$2:$J$4985,K$1,FALSE)*1.5*K$10/(K$10-K$11))</f>
        <v>#N/A</v>
      </c>
      <c r="L5" s="64">
        <v>285638.2361287995</v>
      </c>
      <c r="AC5" s="129"/>
      <c r="AD5" s="129"/>
    </row>
    <row r="6" spans="1:30" x14ac:dyDescent="0.35">
      <c r="A6" s="40" t="s">
        <v>768</v>
      </c>
      <c r="B6" s="92" t="s">
        <v>2421</v>
      </c>
      <c r="C6" s="92" t="s">
        <v>2421</v>
      </c>
      <c r="D6" s="96" t="e">
        <f>IF(D$11&lt;1,VLOOKUP($A6,flows!$A$2:$J$4985,D$1,FALSE)*1.5,VLOOKUP($A6,flows!$A$2:$J$4985,D$1,FALSE)*1.5*D$10/(D$10-D$11))</f>
        <v>#N/A</v>
      </c>
      <c r="E6" s="96" t="e">
        <f>IF(E$11&lt;1,VLOOKUP($A6,flows!$A$2:$J$4985,E$1,FALSE)*1.5,VLOOKUP($A6,flows!$A$2:$J$4985,E$1,FALSE)*1.5*E$10/(E$10-E$11))</f>
        <v>#N/A</v>
      </c>
      <c r="F6" s="96" t="e">
        <f>IF(F$11&lt;1,VLOOKUP($A6,flows!$A$2:$J$4985,F$1,FALSE)*1.5,VLOOKUP($A6,flows!$A$2:$J$4985,F$1,FALSE)*1.5*F$10/(F$10-F$11))</f>
        <v>#N/A</v>
      </c>
      <c r="G6" s="96" t="e">
        <f>IF(G$11&lt;1,VLOOKUP($A6,flows!$A$2:$J$4985,G$1,FALSE)*1.5,VLOOKUP($A6,flows!$A$2:$J$4985,G$1,FALSE)*1.5*G$10/(G$10-G$11))</f>
        <v>#N/A</v>
      </c>
      <c r="H6" s="96" t="e">
        <f>IF(H$11&lt;1,VLOOKUP($A6,flows!$A$2:$J$4985,H$1,FALSE)*1.5,VLOOKUP($A6,flows!$A$2:$J$4985,H$1,FALSE)*1.5*H$10/(H$10-H$11))</f>
        <v>#N/A</v>
      </c>
      <c r="I6" s="96" t="e">
        <f>IF(I$11&lt;1,VLOOKUP($A6,flows!$A$2:$J$4985,I$1,FALSE)*1.5,VLOOKUP($A6,flows!$A$2:$J$4985,I$1,FALSE)*1.5*I$10/(I$10-I$11))</f>
        <v>#N/A</v>
      </c>
      <c r="J6" s="96" t="e">
        <f>IF(J$11&lt;1,VLOOKUP($A6,flows!$A$2:$J$4985,J$1,FALSE)*1.5,VLOOKUP($A6,flows!$A$2:$J$4985,J$1,FALSE)*1.5*J$10/(J$10-J$11))</f>
        <v>#N/A</v>
      </c>
      <c r="K6" s="96" t="e">
        <f>IF(K$11&lt;1,VLOOKUP($A6,flows!$A$2:$J$4985,K$1,FALSE)*1.5,VLOOKUP($A6,flows!$A$2:$J$4985,K$1,FALSE)*1.5*K$10/(K$10-K$11))</f>
        <v>#N/A</v>
      </c>
      <c r="L6" s="64">
        <v>121394.28459114842</v>
      </c>
      <c r="AC6" s="129"/>
      <c r="AD6" s="129"/>
    </row>
    <row r="7" spans="1:30" x14ac:dyDescent="0.35">
      <c r="A7" s="40" t="s">
        <v>855</v>
      </c>
      <c r="B7" s="92" t="s">
        <v>2391</v>
      </c>
      <c r="C7" s="92" t="s">
        <v>2391</v>
      </c>
      <c r="D7" s="96" t="e">
        <f>IF(D$11&lt;1,VLOOKUP($A7,flows!$A$2:$J$4985,D$1,FALSE)*1.5,VLOOKUP($A7,flows!$A$2:$J$4985,D$1,FALSE)*1.5*D$10/(D$10-D$11))</f>
        <v>#N/A</v>
      </c>
      <c r="E7" s="96" t="e">
        <f>IF(E$11&lt;1,VLOOKUP($A7,flows!$A$2:$J$4985,E$1,FALSE)*1.5,VLOOKUP($A7,flows!$A$2:$J$4985,E$1,FALSE)*1.5*E$10/(E$10-E$11))</f>
        <v>#N/A</v>
      </c>
      <c r="F7" s="96" t="e">
        <f>IF(F$11&lt;1,VLOOKUP($A7,flows!$A$2:$J$4985,F$1,FALSE)*1.5,VLOOKUP($A7,flows!$A$2:$J$4985,F$1,FALSE)*1.5*F$10/(F$10-F$11))</f>
        <v>#N/A</v>
      </c>
      <c r="G7" s="96" t="e">
        <f>IF(G$11&lt;1,VLOOKUP($A7,flows!$A$2:$J$4985,G$1,FALSE)*1.5,VLOOKUP($A7,flows!$A$2:$J$4985,G$1,FALSE)*1.5*G$10/(G$10-G$11))</f>
        <v>#N/A</v>
      </c>
      <c r="H7" s="96" t="e">
        <f>IF(H$11&lt;1,VLOOKUP($A7,flows!$A$2:$J$4985,H$1,FALSE)*1.5,VLOOKUP($A7,flows!$A$2:$J$4985,H$1,FALSE)*1.5*H$10/(H$10-H$11))</f>
        <v>#N/A</v>
      </c>
      <c r="I7" s="96" t="e">
        <f>IF(I$11&lt;1,VLOOKUP($A7,flows!$A$2:$J$4985,I$1,FALSE)*1.5,VLOOKUP($A7,flows!$A$2:$J$4985,I$1,FALSE)*1.5*I$10/(I$10-I$11))</f>
        <v>#N/A</v>
      </c>
      <c r="J7" s="96" t="e">
        <f>IF(J$11&lt;1,VLOOKUP($A7,flows!$A$2:$J$4985,J$1,FALSE)*1.5,VLOOKUP($A7,flows!$A$2:$J$4985,J$1,FALSE)*1.5*J$10/(J$10-J$11))</f>
        <v>#N/A</v>
      </c>
      <c r="K7" s="96" t="e">
        <f>IF(K$11&lt;1,VLOOKUP($A7,flows!$A$2:$J$4985,K$1,FALSE)*1.5,VLOOKUP($A7,flows!$A$2:$J$4985,K$1,FALSE)*1.5*K$10/(K$10-K$11))</f>
        <v>#N/A</v>
      </c>
      <c r="L7" s="64">
        <v>46693.314181671289</v>
      </c>
      <c r="AC7" s="129"/>
      <c r="AD7" s="129"/>
    </row>
    <row r="8" spans="1:30" x14ac:dyDescent="0.35">
      <c r="A8" s="40" t="s">
        <v>856</v>
      </c>
      <c r="B8" s="92" t="s">
        <v>2392</v>
      </c>
      <c r="C8" s="92" t="s">
        <v>2392</v>
      </c>
      <c r="D8" s="96" t="e">
        <f>IF(D$11&lt;1,VLOOKUP($A8,flows!$A$2:$J$4985,D$1,FALSE)*1.5,VLOOKUP($A8,flows!$A$2:$J$4985,D$1,FALSE)*1.5*D$10/(D$10-D$11))</f>
        <v>#N/A</v>
      </c>
      <c r="E8" s="96" t="e">
        <f>IF(E$11&lt;1,VLOOKUP($A8,flows!$A$2:$J$4985,E$1,FALSE)*1.5,VLOOKUP($A8,flows!$A$2:$J$4985,E$1,FALSE)*1.5*E$10/(E$10-E$11))</f>
        <v>#N/A</v>
      </c>
      <c r="F8" s="96" t="e">
        <f>IF(F$11&lt;1,VLOOKUP($A8,flows!$A$2:$J$4985,F$1,FALSE)*1.5,VLOOKUP($A8,flows!$A$2:$J$4985,F$1,FALSE)*1.5*F$10/(F$10-F$11))</f>
        <v>#N/A</v>
      </c>
      <c r="G8" s="96" t="e">
        <f>IF(G$11&lt;1,VLOOKUP($A8,flows!$A$2:$J$4985,G$1,FALSE)*1.5,VLOOKUP($A8,flows!$A$2:$J$4985,G$1,FALSE)*1.5*G$10/(G$10-G$11))</f>
        <v>#N/A</v>
      </c>
      <c r="H8" s="96" t="e">
        <f>IF(H$11&lt;1,VLOOKUP($A8,flows!$A$2:$J$4985,H$1,FALSE)*1.5,VLOOKUP($A8,flows!$A$2:$J$4985,H$1,FALSE)*1.5*H$10/(H$10-H$11))</f>
        <v>#N/A</v>
      </c>
      <c r="I8" s="96" t="e">
        <f>IF(I$11&lt;1,VLOOKUP($A8,flows!$A$2:$J$4985,I$1,FALSE)*1.5,VLOOKUP($A8,flows!$A$2:$J$4985,I$1,FALSE)*1.5*I$10/(I$10-I$11))</f>
        <v>#N/A</v>
      </c>
      <c r="J8" s="96" t="e">
        <f>IF(J$11&lt;1,VLOOKUP($A8,flows!$A$2:$J$4985,J$1,FALSE)*1.5,VLOOKUP($A8,flows!$A$2:$J$4985,J$1,FALSE)*1.5*J$10/(J$10-J$11))</f>
        <v>#N/A</v>
      </c>
      <c r="K8" s="96" t="e">
        <f>IF(K$11&lt;1,VLOOKUP($A8,flows!$A$2:$J$4985,K$1,FALSE)*1.5,VLOOKUP($A8,flows!$A$2:$J$4985,K$1,FALSE)*1.5*K$10/(K$10-K$11))</f>
        <v>#N/A</v>
      </c>
      <c r="L8" s="64">
        <v>65542.811794509209</v>
      </c>
      <c r="AC8" s="129"/>
      <c r="AD8" s="129"/>
    </row>
    <row r="9" spans="1:30" x14ac:dyDescent="0.35">
      <c r="A9" s="40" t="s">
        <v>857</v>
      </c>
      <c r="B9" s="92" t="s">
        <v>2393</v>
      </c>
      <c r="C9" s="92" t="s">
        <v>2393</v>
      </c>
      <c r="D9" s="96" t="e">
        <f>IF(D$11&lt;1,VLOOKUP($A9,flows!$A$2:$J$4985,D$1,FALSE)*1.5,VLOOKUP($A9,flows!$A$2:$J$4985,D$1,FALSE)*1.5*D$10/(D$10-D$11))</f>
        <v>#N/A</v>
      </c>
      <c r="E9" s="96" t="e">
        <f>IF(E$11&lt;1,VLOOKUP($A9,flows!$A$2:$J$4985,E$1,FALSE)*1.5,VLOOKUP($A9,flows!$A$2:$J$4985,E$1,FALSE)*1.5*E$10/(E$10-E$11))</f>
        <v>#N/A</v>
      </c>
      <c r="F9" s="96" t="e">
        <f>IF(F$11&lt;1,VLOOKUP($A9,flows!$A$2:$J$4985,F$1,FALSE)*1.5,VLOOKUP($A9,flows!$A$2:$J$4985,F$1,FALSE)*1.5*F$10/(F$10-F$11))</f>
        <v>#N/A</v>
      </c>
      <c r="G9" s="96" t="e">
        <f>IF(G$11&lt;1,VLOOKUP($A9,flows!$A$2:$J$4985,G$1,FALSE)*1.5,VLOOKUP($A9,flows!$A$2:$J$4985,G$1,FALSE)*1.5*G$10/(G$10-G$11))</f>
        <v>#N/A</v>
      </c>
      <c r="H9" s="96" t="e">
        <f>IF(H$11&lt;1,VLOOKUP($A9,flows!$A$2:$J$4985,H$1,FALSE)*1.5,VLOOKUP($A9,flows!$A$2:$J$4985,H$1,FALSE)*1.5*H$10/(H$10-H$11))</f>
        <v>#N/A</v>
      </c>
      <c r="I9" s="96" t="e">
        <f>IF(I$11&lt;1,VLOOKUP($A9,flows!$A$2:$J$4985,I$1,FALSE)*1.5,VLOOKUP($A9,flows!$A$2:$J$4985,I$1,FALSE)*1.5*I$10/(I$10-I$11))</f>
        <v>#N/A</v>
      </c>
      <c r="J9" s="96" t="e">
        <f>IF(J$11&lt;1,VLOOKUP($A9,flows!$A$2:$J$4985,J$1,FALSE)*1.5,VLOOKUP($A9,flows!$A$2:$J$4985,J$1,FALSE)*1.5*J$10/(J$10-J$11))</f>
        <v>#N/A</v>
      </c>
      <c r="K9" s="96" t="e">
        <f>IF(K$11&lt;1,VLOOKUP($A9,flows!$A$2:$J$4985,K$1,FALSE)*1.5,VLOOKUP($A9,flows!$A$2:$J$4985,K$1,FALSE)*1.5*K$10/(K$10-K$11))</f>
        <v>#N/A</v>
      </c>
      <c r="L9" s="64">
        <v>51096.914613676199</v>
      </c>
      <c r="AC9" s="129"/>
      <c r="AD9" s="129"/>
    </row>
    <row r="10" spans="1:30" ht="15" thickBot="1" x14ac:dyDescent="0.4">
      <c r="A10" s="382" t="s">
        <v>1229</v>
      </c>
      <c r="B10" s="383" t="s">
        <v>2698</v>
      </c>
      <c r="C10" s="383" t="s">
        <v>2385</v>
      </c>
      <c r="D10" s="384">
        <v>867339.89055168245</v>
      </c>
      <c r="E10" s="384">
        <v>956374.75222741254</v>
      </c>
      <c r="F10" s="384">
        <v>957705.28350822127</v>
      </c>
      <c r="G10" s="384">
        <v>959040.79671298654</v>
      </c>
      <c r="H10" s="384">
        <v>960376.32002029684</v>
      </c>
      <c r="I10" s="384">
        <v>937117.20626430784</v>
      </c>
      <c r="J10" s="384">
        <v>921967.76157370117</v>
      </c>
      <c r="K10" s="384">
        <v>890598.97820865572</v>
      </c>
      <c r="AC10" s="129"/>
      <c r="AD10" s="129"/>
    </row>
    <row r="11" spans="1:30" s="352" customFormat="1" x14ac:dyDescent="0.35">
      <c r="A11" s="362" t="s">
        <v>2518</v>
      </c>
      <c r="B11" s="102"/>
      <c r="C11" s="92"/>
      <c r="D11" s="96" t="e">
        <f>VLOOKUP($A11,flows!$A$2:$J$4985,D$1,FALSE)*1.5</f>
        <v>#N/A</v>
      </c>
      <c r="E11" s="96" t="e">
        <f>VLOOKUP($A11,flows!$A$2:$J$4985,E$1,FALSE)*1.5</f>
        <v>#N/A</v>
      </c>
      <c r="F11" s="96" t="e">
        <f>VLOOKUP($A11,flows!$A$2:$J$4985,F$1,FALSE)*1.5</f>
        <v>#N/A</v>
      </c>
      <c r="G11" s="96" t="e">
        <f>VLOOKUP($A11,flows!$A$2:$J$4985,G$1,FALSE)*1.5</f>
        <v>#N/A</v>
      </c>
      <c r="H11" s="96" t="e">
        <f>VLOOKUP($A11,flows!$A$2:$J$4985,H$1,FALSE)*1.5</f>
        <v>#N/A</v>
      </c>
      <c r="I11" s="96" t="e">
        <f>VLOOKUP($A11,flows!$A$2:$J$4985,I$1,FALSE)*1.5</f>
        <v>#N/A</v>
      </c>
      <c r="J11" s="96" t="e">
        <f>VLOOKUP($A11,flows!$A$2:$J$4985,J$1,FALSE)*1.5</f>
        <v>#N/A</v>
      </c>
      <c r="K11" s="96" t="e">
        <f>VLOOKUP($A11,flows!$A$2:$J$4985,K$1,FALSE)*1.5</f>
        <v>#N/A</v>
      </c>
      <c r="AC11" s="129"/>
      <c r="AD11" s="129"/>
    </row>
    <row r="12" spans="1:30" s="352" customFormat="1" x14ac:dyDescent="0.35">
      <c r="A12" s="362" t="s">
        <v>2503</v>
      </c>
      <c r="B12" s="102"/>
      <c r="C12" s="92"/>
      <c r="D12" s="96" t="e">
        <f>VLOOKUP($A12,flows!$A$2:$J$4985,D$1,FALSE)*1.5</f>
        <v>#N/A</v>
      </c>
      <c r="E12" s="96" t="e">
        <f>VLOOKUP($A12,flows!$A$2:$J$4985,E$1,FALSE)*1.5</f>
        <v>#N/A</v>
      </c>
      <c r="F12" s="96" t="e">
        <f>VLOOKUP($A12,flows!$A$2:$J$4985,F$1,FALSE)*1.5</f>
        <v>#N/A</v>
      </c>
      <c r="G12" s="96" t="e">
        <f>VLOOKUP($A12,flows!$A$2:$J$4985,G$1,FALSE)*1.5</f>
        <v>#N/A</v>
      </c>
      <c r="H12" s="96" t="e">
        <f>VLOOKUP($A12,flows!$A$2:$J$4985,H$1,FALSE)*1.5</f>
        <v>#N/A</v>
      </c>
      <c r="I12" s="96" t="e">
        <f>VLOOKUP($A12,flows!$A$2:$J$4985,I$1,FALSE)*1.5</f>
        <v>#N/A</v>
      </c>
      <c r="J12" s="96" t="e">
        <f>VLOOKUP($A12,flows!$A$2:$J$4985,J$1,FALSE)*1.5</f>
        <v>#N/A</v>
      </c>
      <c r="K12" s="96" t="e">
        <f>VLOOKUP($A12,flows!$A$2:$J$4985,K$1,FALSE)*1.5</f>
        <v>#N/A</v>
      </c>
      <c r="AC12" s="129"/>
      <c r="AD12" s="129"/>
    </row>
    <row r="13" spans="1:30" ht="15" thickBot="1" x14ac:dyDescent="0.4">
      <c r="D13" s="84"/>
      <c r="E13" s="84"/>
      <c r="F13" s="84"/>
      <c r="G13" s="84"/>
      <c r="H13" s="84"/>
      <c r="I13" s="84"/>
      <c r="J13" s="84"/>
      <c r="K13" s="84"/>
      <c r="AC13" s="129"/>
      <c r="AD13" s="129"/>
    </row>
    <row r="14" spans="1:30" x14ac:dyDescent="0.35">
      <c r="A14" s="87"/>
      <c r="B14" s="89"/>
      <c r="C14" s="88" t="s">
        <v>1474</v>
      </c>
      <c r="D14" s="89">
        <v>2</v>
      </c>
      <c r="E14" s="89">
        <v>3</v>
      </c>
      <c r="F14" s="89">
        <v>4</v>
      </c>
      <c r="G14" s="89">
        <v>5</v>
      </c>
      <c r="H14" s="89">
        <v>6</v>
      </c>
      <c r="I14" s="89">
        <v>7</v>
      </c>
      <c r="J14" s="89">
        <v>8</v>
      </c>
      <c r="K14" s="89">
        <v>9</v>
      </c>
      <c r="AC14" s="129"/>
      <c r="AD14" s="129"/>
    </row>
    <row r="15" spans="1:30" x14ac:dyDescent="0.35">
      <c r="A15" s="40" t="s">
        <v>1415</v>
      </c>
      <c r="B15" s="92"/>
      <c r="C15" s="92"/>
      <c r="D15" s="133" t="s">
        <v>1417</v>
      </c>
      <c r="E15" s="133">
        <v>2020</v>
      </c>
      <c r="F15" s="133">
        <v>2025</v>
      </c>
      <c r="G15" s="133">
        <v>2030</v>
      </c>
      <c r="H15" s="133">
        <v>2035</v>
      </c>
      <c r="I15" s="133">
        <v>2040</v>
      </c>
      <c r="J15" s="133">
        <v>2045</v>
      </c>
      <c r="K15" s="133">
        <v>2050</v>
      </c>
      <c r="AC15" s="129"/>
      <c r="AD15" s="129"/>
    </row>
    <row r="16" spans="1:30" x14ac:dyDescent="0.35">
      <c r="A16" s="40"/>
      <c r="B16" s="92"/>
      <c r="C16" s="92"/>
      <c r="D16" s="96"/>
      <c r="E16" s="96"/>
      <c r="F16" s="96"/>
      <c r="G16" s="96"/>
      <c r="H16" s="96"/>
      <c r="I16" s="96"/>
      <c r="J16" s="96"/>
      <c r="K16" s="96"/>
    </row>
    <row r="17" spans="1:11" x14ac:dyDescent="0.35">
      <c r="A17" s="40" t="s">
        <v>691</v>
      </c>
      <c r="B17" s="92" t="s">
        <v>2394</v>
      </c>
      <c r="C17" s="92" t="s">
        <v>2394</v>
      </c>
      <c r="D17" s="96" t="e">
        <f>VLOOKUP($A17,flows!$A$2:$J$4985,D$14,FALSE)</f>
        <v>#N/A</v>
      </c>
      <c r="E17" s="96" t="e">
        <f>VLOOKUP($A17,flows!$A$2:$J$4985,E$14,FALSE)</f>
        <v>#N/A</v>
      </c>
      <c r="F17" s="96" t="e">
        <f>VLOOKUP($A17,flows!$A$2:$J$4985,F$14,FALSE)</f>
        <v>#N/A</v>
      </c>
      <c r="G17" s="96" t="e">
        <f>VLOOKUP($A17,flows!$A$2:$J$4985,G$14,FALSE)</f>
        <v>#N/A</v>
      </c>
      <c r="H17" s="96" t="e">
        <f>VLOOKUP($A17,flows!$A$2:$J$4985,H$14,FALSE)</f>
        <v>#N/A</v>
      </c>
      <c r="I17" s="96" t="e">
        <f>VLOOKUP($A17,flows!$A$2:$J$4985,I$14,FALSE)</f>
        <v>#N/A</v>
      </c>
      <c r="J17" s="96" t="e">
        <f>VLOOKUP($A17,flows!$A$2:$J$4985,J$14,FALSE)</f>
        <v>#N/A</v>
      </c>
      <c r="K17" s="96" t="e">
        <f>VLOOKUP($A17,flows!$A$2:$J$4985,K$14,FALSE)</f>
        <v>#N/A</v>
      </c>
    </row>
    <row r="18" spans="1:11" x14ac:dyDescent="0.35">
      <c r="A18" s="40" t="s">
        <v>714</v>
      </c>
      <c r="B18" s="92" t="s">
        <v>2395</v>
      </c>
      <c r="C18" s="92" t="s">
        <v>2395</v>
      </c>
      <c r="D18" s="96" t="e">
        <f>VLOOKUP($A18,flows!$A$2:$J$4985,D$14,FALSE)</f>
        <v>#N/A</v>
      </c>
      <c r="E18" s="96" t="e">
        <f>VLOOKUP($A18,flows!$A$2:$J$4985,E$14,FALSE)</f>
        <v>#N/A</v>
      </c>
      <c r="F18" s="96" t="e">
        <f>VLOOKUP($A18,flows!$A$2:$J$4985,F$14,FALSE)</f>
        <v>#N/A</v>
      </c>
      <c r="G18" s="96" t="e">
        <f>VLOOKUP($A18,flows!$A$2:$J$4985,G$14,FALSE)</f>
        <v>#N/A</v>
      </c>
      <c r="H18" s="96" t="e">
        <f>VLOOKUP($A18,flows!$A$2:$J$4985,H$14,FALSE)</f>
        <v>#N/A</v>
      </c>
      <c r="I18" s="96" t="e">
        <f>VLOOKUP($A18,flows!$A$2:$J$4985,I$14,FALSE)</f>
        <v>#N/A</v>
      </c>
      <c r="J18" s="96" t="e">
        <f>VLOOKUP($A18,flows!$A$2:$J$4985,J$14,FALSE)</f>
        <v>#N/A</v>
      </c>
      <c r="K18" s="96" t="e">
        <f>VLOOKUP($A18,flows!$A$2:$J$4985,K$14,FALSE)</f>
        <v>#N/A</v>
      </c>
    </row>
    <row r="19" spans="1:11" x14ac:dyDescent="0.35">
      <c r="A19" s="40" t="s">
        <v>715</v>
      </c>
      <c r="B19" s="92" t="s">
        <v>2396</v>
      </c>
      <c r="C19" s="92" t="s">
        <v>2396</v>
      </c>
      <c r="D19" s="96" t="e">
        <f>VLOOKUP($A19,flows!$A$2:$J$4985,D$14,FALSE)</f>
        <v>#N/A</v>
      </c>
      <c r="E19" s="96" t="e">
        <f>VLOOKUP($A19,flows!$A$2:$J$4985,E$14,FALSE)</f>
        <v>#N/A</v>
      </c>
      <c r="F19" s="96" t="e">
        <f>VLOOKUP($A19,flows!$A$2:$J$4985,F$14,FALSE)</f>
        <v>#N/A</v>
      </c>
      <c r="G19" s="96" t="e">
        <f>VLOOKUP($A19,flows!$A$2:$J$4985,G$14,FALSE)</f>
        <v>#N/A</v>
      </c>
      <c r="H19" s="96" t="e">
        <f>VLOOKUP($A19,flows!$A$2:$J$4985,H$14,FALSE)</f>
        <v>#N/A</v>
      </c>
      <c r="I19" s="96" t="e">
        <f>VLOOKUP($A19,flows!$A$2:$J$4985,I$14,FALSE)</f>
        <v>#N/A</v>
      </c>
      <c r="J19" s="96" t="e">
        <f>VLOOKUP($A19,flows!$A$2:$J$4985,J$14,FALSE)</f>
        <v>#N/A</v>
      </c>
      <c r="K19" s="96" t="e">
        <f>VLOOKUP($A19,flows!$A$2:$J$4985,K$14,FALSE)</f>
        <v>#N/A</v>
      </c>
    </row>
    <row r="20" spans="1:11" x14ac:dyDescent="0.35">
      <c r="A20" s="40" t="s">
        <v>737</v>
      </c>
      <c r="B20" s="92" t="s">
        <v>2397</v>
      </c>
      <c r="C20" s="92" t="s">
        <v>2397</v>
      </c>
      <c r="D20" s="96" t="e">
        <f>VLOOKUP($A20,flows!$A$2:$J$4985,D$14,FALSE)</f>
        <v>#N/A</v>
      </c>
      <c r="E20" s="96" t="e">
        <f>VLOOKUP($A20,flows!$A$2:$J$4985,E$14,FALSE)</f>
        <v>#N/A</v>
      </c>
      <c r="F20" s="96" t="e">
        <f>VLOOKUP($A20,flows!$A$2:$J$4985,F$14,FALSE)</f>
        <v>#N/A</v>
      </c>
      <c r="G20" s="96" t="e">
        <f>VLOOKUP($A20,flows!$A$2:$J$4985,G$14,FALSE)</f>
        <v>#N/A</v>
      </c>
      <c r="H20" s="96" t="e">
        <f>VLOOKUP($A20,flows!$A$2:$J$4985,H$14,FALSE)</f>
        <v>#N/A</v>
      </c>
      <c r="I20" s="96" t="e">
        <f>VLOOKUP($A20,flows!$A$2:$J$4985,I$14,FALSE)</f>
        <v>#N/A</v>
      </c>
      <c r="J20" s="96" t="e">
        <f>VLOOKUP($A20,flows!$A$2:$J$4985,J$14,FALSE)</f>
        <v>#N/A</v>
      </c>
      <c r="K20" s="96" t="e">
        <f>VLOOKUP($A20,flows!$A$2:$J$4985,K$14,FALSE)</f>
        <v>#N/A</v>
      </c>
    </row>
    <row r="21" spans="1:11" x14ac:dyDescent="0.35">
      <c r="A21" s="40" t="s">
        <v>769</v>
      </c>
      <c r="B21" s="92" t="s">
        <v>2398</v>
      </c>
      <c r="C21" s="92" t="s">
        <v>2398</v>
      </c>
      <c r="D21" s="96" t="e">
        <f>VLOOKUP($A21,flows!$A$2:$J$4985,D$14,FALSE)</f>
        <v>#N/A</v>
      </c>
      <c r="E21" s="96" t="e">
        <f>VLOOKUP($A21,flows!$A$2:$J$4985,E$14,FALSE)</f>
        <v>#N/A</v>
      </c>
      <c r="F21" s="96" t="e">
        <f>VLOOKUP($A21,flows!$A$2:$J$4985,F$14,FALSE)</f>
        <v>#N/A</v>
      </c>
      <c r="G21" s="96" t="e">
        <f>VLOOKUP($A21,flows!$A$2:$J$4985,G$14,FALSE)</f>
        <v>#N/A</v>
      </c>
      <c r="H21" s="96" t="e">
        <f>VLOOKUP($A21,flows!$A$2:$J$4985,H$14,FALSE)</f>
        <v>#N/A</v>
      </c>
      <c r="I21" s="96" t="e">
        <f>VLOOKUP($A21,flows!$A$2:$J$4985,I$14,FALSE)</f>
        <v>#N/A</v>
      </c>
      <c r="J21" s="96" t="e">
        <f>VLOOKUP($A21,flows!$A$2:$J$4985,J$14,FALSE)</f>
        <v>#N/A</v>
      </c>
      <c r="K21" s="96" t="e">
        <f>VLOOKUP($A21,flows!$A$2:$J$4985,K$14,FALSE)</f>
        <v>#N/A</v>
      </c>
    </row>
    <row r="22" spans="1:11" x14ac:dyDescent="0.35">
      <c r="A22" s="99" t="s">
        <v>1229</v>
      </c>
      <c r="B22" s="102"/>
      <c r="C22" s="92"/>
      <c r="D22" s="96" t="e">
        <f t="shared" ref="D22:K22" si="0">SUM(D17:D21)</f>
        <v>#N/A</v>
      </c>
      <c r="E22" s="96" t="e">
        <f t="shared" si="0"/>
        <v>#N/A</v>
      </c>
      <c r="F22" s="96" t="e">
        <f t="shared" si="0"/>
        <v>#N/A</v>
      </c>
      <c r="G22" s="96" t="e">
        <f t="shared" si="0"/>
        <v>#N/A</v>
      </c>
      <c r="H22" s="96" t="e">
        <f t="shared" si="0"/>
        <v>#N/A</v>
      </c>
      <c r="I22" s="96" t="e">
        <f t="shared" si="0"/>
        <v>#N/A</v>
      </c>
      <c r="J22" s="96" t="e">
        <f t="shared" si="0"/>
        <v>#N/A</v>
      </c>
      <c r="K22" s="96" t="e">
        <f t="shared" si="0"/>
        <v>#N/A</v>
      </c>
    </row>
    <row r="23" spans="1:11" ht="15" thickBot="1" x14ac:dyDescent="0.4">
      <c r="A23" s="40"/>
      <c r="B23" s="92"/>
      <c r="C23" s="92"/>
      <c r="D23" s="96"/>
      <c r="E23" s="96"/>
      <c r="F23" s="96"/>
      <c r="G23" s="96"/>
      <c r="H23" s="96"/>
      <c r="I23" s="96"/>
      <c r="J23" s="96"/>
      <c r="K23" s="96"/>
    </row>
    <row r="24" spans="1:11" x14ac:dyDescent="0.35">
      <c r="A24" s="40"/>
      <c r="B24" s="92"/>
      <c r="C24" s="102" t="s">
        <v>1476</v>
      </c>
      <c r="D24" s="89">
        <v>2</v>
      </c>
      <c r="E24" s="89">
        <v>3</v>
      </c>
      <c r="F24" s="89">
        <v>4</v>
      </c>
      <c r="G24" s="89">
        <v>5</v>
      </c>
      <c r="H24" s="89">
        <v>6</v>
      </c>
      <c r="I24" s="89">
        <v>7</v>
      </c>
      <c r="J24" s="89">
        <v>8</v>
      </c>
      <c r="K24" s="89">
        <v>9</v>
      </c>
    </row>
    <row r="25" spans="1:11" x14ac:dyDescent="0.35">
      <c r="A25" s="40" t="s">
        <v>1415</v>
      </c>
      <c r="B25" s="92"/>
      <c r="C25" s="92"/>
      <c r="D25" s="133" t="s">
        <v>1417</v>
      </c>
      <c r="E25" s="133">
        <v>2020</v>
      </c>
      <c r="F25" s="133">
        <v>2025</v>
      </c>
      <c r="G25" s="133">
        <v>2030</v>
      </c>
      <c r="H25" s="133">
        <v>2035</v>
      </c>
      <c r="I25" s="133">
        <v>2040</v>
      </c>
      <c r="J25" s="133">
        <v>2045</v>
      </c>
      <c r="K25" s="133">
        <v>2050</v>
      </c>
    </row>
    <row r="26" spans="1:11" x14ac:dyDescent="0.35">
      <c r="A26" s="40"/>
      <c r="B26" s="92"/>
      <c r="C26" s="92"/>
      <c r="D26" s="96"/>
      <c r="E26" s="96"/>
      <c r="F26" s="96"/>
      <c r="G26" s="96"/>
      <c r="H26" s="96"/>
      <c r="I26" s="96"/>
      <c r="J26" s="96"/>
      <c r="K26" s="96"/>
    </row>
    <row r="27" spans="1:11" x14ac:dyDescent="0.35">
      <c r="A27" s="40" t="s">
        <v>692</v>
      </c>
      <c r="B27" s="92" t="s">
        <v>2399</v>
      </c>
      <c r="C27" s="92" t="s">
        <v>2399</v>
      </c>
      <c r="D27" s="96" t="e">
        <f>VLOOKUP($A27,flows!$A$2:$J$4985,D$24,FALSE)</f>
        <v>#N/A</v>
      </c>
      <c r="E27" s="96" t="e">
        <f>VLOOKUP($A27,flows!$A$2:$J$4985,E$24,FALSE)</f>
        <v>#N/A</v>
      </c>
      <c r="F27" s="96" t="e">
        <f>VLOOKUP($A27,flows!$A$2:$J$4985,F$24,FALSE)</f>
        <v>#N/A</v>
      </c>
      <c r="G27" s="96" t="e">
        <f>VLOOKUP($A27,flows!$A$2:$J$4985,G$24,FALSE)</f>
        <v>#N/A</v>
      </c>
      <c r="H27" s="96" t="e">
        <f>VLOOKUP($A27,flows!$A$2:$J$4985,H$24,FALSE)</f>
        <v>#N/A</v>
      </c>
      <c r="I27" s="96" t="e">
        <f>VLOOKUP($A27,flows!$A$2:$J$4985,I$24,FALSE)</f>
        <v>#N/A</v>
      </c>
      <c r="J27" s="96" t="e">
        <f>VLOOKUP($A27,flows!$A$2:$J$4985,J$24,FALSE)</f>
        <v>#N/A</v>
      </c>
      <c r="K27" s="96" t="e">
        <f>VLOOKUP($A27,flows!$A$2:$J$4985,K$24,FALSE)</f>
        <v>#N/A</v>
      </c>
    </row>
    <row r="28" spans="1:11" x14ac:dyDescent="0.35">
      <c r="A28" s="40" t="s">
        <v>716</v>
      </c>
      <c r="B28" s="92" t="s">
        <v>2400</v>
      </c>
      <c r="C28" s="92" t="s">
        <v>2400</v>
      </c>
      <c r="D28" s="96" t="e">
        <f>VLOOKUP($A28,flows!$A$2:$J$4985,D$24,FALSE)</f>
        <v>#N/A</v>
      </c>
      <c r="E28" s="96" t="e">
        <f>VLOOKUP($A28,flows!$A$2:$J$4985,E$24,FALSE)</f>
        <v>#N/A</v>
      </c>
      <c r="F28" s="96" t="e">
        <f>VLOOKUP($A28,flows!$A$2:$J$4985,F$24,FALSE)</f>
        <v>#N/A</v>
      </c>
      <c r="G28" s="96" t="e">
        <f>VLOOKUP($A28,flows!$A$2:$J$4985,G$24,FALSE)</f>
        <v>#N/A</v>
      </c>
      <c r="H28" s="96" t="e">
        <f>VLOOKUP($A28,flows!$A$2:$J$4985,H$24,FALSE)</f>
        <v>#N/A</v>
      </c>
      <c r="I28" s="96" t="e">
        <f>VLOOKUP($A28,flows!$A$2:$J$4985,I$24,FALSE)</f>
        <v>#N/A</v>
      </c>
      <c r="J28" s="96" t="e">
        <f>VLOOKUP($A28,flows!$A$2:$J$4985,J$24,FALSE)</f>
        <v>#N/A</v>
      </c>
      <c r="K28" s="96" t="e">
        <f>VLOOKUP($A28,flows!$A$2:$J$4985,K$24,FALSE)</f>
        <v>#N/A</v>
      </c>
    </row>
    <row r="29" spans="1:11" x14ac:dyDescent="0.35">
      <c r="A29" s="40" t="s">
        <v>738</v>
      </c>
      <c r="B29" s="92" t="s">
        <v>2401</v>
      </c>
      <c r="C29" s="92" t="s">
        <v>2401</v>
      </c>
      <c r="D29" s="96" t="e">
        <f>VLOOKUP($A29,flows!$A$2:$J$4985,D$24,FALSE)</f>
        <v>#N/A</v>
      </c>
      <c r="E29" s="96" t="e">
        <f>VLOOKUP($A29,flows!$A$2:$J$4985,E$24,FALSE)</f>
        <v>#N/A</v>
      </c>
      <c r="F29" s="96" t="e">
        <f>VLOOKUP($A29,flows!$A$2:$J$4985,F$24,FALSE)</f>
        <v>#N/A</v>
      </c>
      <c r="G29" s="96" t="e">
        <f>VLOOKUP($A29,flows!$A$2:$J$4985,G$24,FALSE)</f>
        <v>#N/A</v>
      </c>
      <c r="H29" s="96" t="e">
        <f>VLOOKUP($A29,flows!$A$2:$J$4985,H$24,FALSE)</f>
        <v>#N/A</v>
      </c>
      <c r="I29" s="96" t="e">
        <f>VLOOKUP($A29,flows!$A$2:$J$4985,I$24,FALSE)</f>
        <v>#N/A</v>
      </c>
      <c r="J29" s="96" t="e">
        <f>VLOOKUP($A29,flows!$A$2:$J$4985,J$24,FALSE)</f>
        <v>#N/A</v>
      </c>
      <c r="K29" s="96" t="e">
        <f>VLOOKUP($A29,flows!$A$2:$J$4985,K$24,FALSE)</f>
        <v>#N/A</v>
      </c>
    </row>
    <row r="30" spans="1:11" x14ac:dyDescent="0.35">
      <c r="A30" s="40" t="s">
        <v>770</v>
      </c>
      <c r="B30" s="92" t="s">
        <v>2402</v>
      </c>
      <c r="C30" s="92" t="s">
        <v>2402</v>
      </c>
      <c r="D30" s="96" t="e">
        <f>VLOOKUP($A30,flows!$A$2:$J$4985,D$24,FALSE)</f>
        <v>#N/A</v>
      </c>
      <c r="E30" s="96" t="e">
        <f>VLOOKUP($A30,flows!$A$2:$J$4985,E$24,FALSE)</f>
        <v>#N/A</v>
      </c>
      <c r="F30" s="96" t="e">
        <f>VLOOKUP($A30,flows!$A$2:$J$4985,F$24,FALSE)</f>
        <v>#N/A</v>
      </c>
      <c r="G30" s="96" t="e">
        <f>VLOOKUP($A30,flows!$A$2:$J$4985,G$24,FALSE)</f>
        <v>#N/A</v>
      </c>
      <c r="H30" s="96" t="e">
        <f>VLOOKUP($A30,flows!$A$2:$J$4985,H$24,FALSE)</f>
        <v>#N/A</v>
      </c>
      <c r="I30" s="96" t="e">
        <f>VLOOKUP($A30,flows!$A$2:$J$4985,I$24,FALSE)</f>
        <v>#N/A</v>
      </c>
      <c r="J30" s="96" t="e">
        <f>VLOOKUP($A30,flows!$A$2:$J$4985,J$24,FALSE)</f>
        <v>#N/A</v>
      </c>
      <c r="K30" s="96" t="e">
        <f>VLOOKUP($A30,flows!$A$2:$J$4985,K$24,FALSE)</f>
        <v>#N/A</v>
      </c>
    </row>
    <row r="31" spans="1:11" ht="15" thickBot="1" x14ac:dyDescent="0.4">
      <c r="A31" s="95" t="s">
        <v>1229</v>
      </c>
      <c r="B31" s="103"/>
      <c r="C31" s="77"/>
      <c r="D31" s="101" t="e">
        <f t="shared" ref="D31:K31" si="1">SUM(D27:D30)</f>
        <v>#N/A</v>
      </c>
      <c r="E31" s="101" t="e">
        <f t="shared" si="1"/>
        <v>#N/A</v>
      </c>
      <c r="F31" s="101" t="e">
        <f t="shared" si="1"/>
        <v>#N/A</v>
      </c>
      <c r="G31" s="101" t="e">
        <f t="shared" si="1"/>
        <v>#N/A</v>
      </c>
      <c r="H31" s="101" t="e">
        <f t="shared" si="1"/>
        <v>#N/A</v>
      </c>
      <c r="I31" s="101" t="e">
        <f t="shared" si="1"/>
        <v>#N/A</v>
      </c>
      <c r="J31" s="101" t="e">
        <f t="shared" si="1"/>
        <v>#N/A</v>
      </c>
      <c r="K31" s="101" t="e">
        <f t="shared" si="1"/>
        <v>#N/A</v>
      </c>
    </row>
    <row r="32" spans="1:11" x14ac:dyDescent="0.35">
      <c r="A32" s="40"/>
      <c r="B32" s="92"/>
      <c r="C32" s="92"/>
      <c r="D32" s="96"/>
      <c r="E32" s="96"/>
      <c r="F32" s="96"/>
      <c r="G32" s="96"/>
      <c r="H32" s="96"/>
      <c r="I32" s="96"/>
      <c r="J32" s="96"/>
      <c r="K32" s="96"/>
    </row>
    <row r="33" spans="1:11" ht="15" thickBot="1" x14ac:dyDescent="0.4">
      <c r="A33" s="95" t="s">
        <v>1486</v>
      </c>
      <c r="B33" s="103"/>
      <c r="C33" s="77"/>
      <c r="D33" s="101" t="e">
        <f t="shared" ref="D33:K33" si="2">SUM(D22,D31)</f>
        <v>#N/A</v>
      </c>
      <c r="E33" s="101" t="e">
        <f t="shared" si="2"/>
        <v>#N/A</v>
      </c>
      <c r="F33" s="101" t="e">
        <f t="shared" si="2"/>
        <v>#N/A</v>
      </c>
      <c r="G33" s="101" t="e">
        <f t="shared" si="2"/>
        <v>#N/A</v>
      </c>
      <c r="H33" s="101" t="e">
        <f t="shared" si="2"/>
        <v>#N/A</v>
      </c>
      <c r="I33" s="101" t="e">
        <f t="shared" si="2"/>
        <v>#N/A</v>
      </c>
      <c r="J33" s="101" t="e">
        <f t="shared" si="2"/>
        <v>#N/A</v>
      </c>
      <c r="K33" s="101" t="e">
        <f t="shared" si="2"/>
        <v>#N/A</v>
      </c>
    </row>
    <row r="34" spans="1:11" ht="15" thickBot="1" x14ac:dyDescent="0.4">
      <c r="D34" s="84"/>
      <c r="E34" s="84"/>
      <c r="F34" s="84"/>
      <c r="G34" s="84"/>
      <c r="H34" s="84"/>
      <c r="I34" s="84"/>
      <c r="J34" s="84"/>
      <c r="K34" s="84"/>
    </row>
    <row r="35" spans="1:11" x14ac:dyDescent="0.35">
      <c r="A35" s="87"/>
      <c r="B35" s="89"/>
      <c r="C35" s="88" t="s">
        <v>1222</v>
      </c>
      <c r="D35" s="89">
        <v>2</v>
      </c>
      <c r="E35" s="89">
        <v>3</v>
      </c>
      <c r="F35" s="89">
        <v>4</v>
      </c>
      <c r="G35" s="89">
        <v>5</v>
      </c>
      <c r="H35" s="89">
        <v>6</v>
      </c>
      <c r="I35" s="89">
        <v>7</v>
      </c>
      <c r="J35" s="89">
        <v>8</v>
      </c>
      <c r="K35" s="89">
        <v>9</v>
      </c>
    </row>
    <row r="36" spans="1:11" x14ac:dyDescent="0.35">
      <c r="A36" s="40" t="s">
        <v>1415</v>
      </c>
      <c r="B36" s="92"/>
      <c r="C36" s="92"/>
      <c r="D36" s="133" t="s">
        <v>1417</v>
      </c>
      <c r="E36" s="133">
        <v>2020</v>
      </c>
      <c r="F36" s="133">
        <v>2025</v>
      </c>
      <c r="G36" s="133">
        <v>2030</v>
      </c>
      <c r="H36" s="133">
        <v>2035</v>
      </c>
      <c r="I36" s="133">
        <v>2040</v>
      </c>
      <c r="J36" s="133">
        <v>2045</v>
      </c>
      <c r="K36" s="133">
        <v>2050</v>
      </c>
    </row>
    <row r="37" spans="1:11" x14ac:dyDescent="0.35">
      <c r="A37" s="40"/>
      <c r="B37" s="92"/>
      <c r="C37" s="92"/>
      <c r="D37" s="96"/>
      <c r="E37" s="96"/>
      <c r="F37" s="96"/>
      <c r="G37" s="96"/>
      <c r="H37" s="96"/>
      <c r="I37" s="96"/>
      <c r="J37" s="96"/>
      <c r="K37" s="96"/>
    </row>
    <row r="38" spans="1:11" x14ac:dyDescent="0.35">
      <c r="A38" s="40" t="s">
        <v>679</v>
      </c>
      <c r="B38" s="92" t="s">
        <v>2403</v>
      </c>
      <c r="C38" s="92" t="s">
        <v>2403</v>
      </c>
      <c r="D38" s="96" t="e">
        <f>VLOOKUP($A38,flows!$A$2:$J$4985,D$24,FALSE)</f>
        <v>#N/A</v>
      </c>
      <c r="E38" s="96" t="e">
        <f>VLOOKUP($A38,flows!$A$2:$J$4985,E$24,FALSE)</f>
        <v>#N/A</v>
      </c>
      <c r="F38" s="96" t="e">
        <f>VLOOKUP($A38,flows!$A$2:$J$4985,F$24,FALSE)</f>
        <v>#N/A</v>
      </c>
      <c r="G38" s="96" t="e">
        <f>VLOOKUP($A38,flows!$A$2:$J$4985,G$24,FALSE)</f>
        <v>#N/A</v>
      </c>
      <c r="H38" s="96" t="e">
        <f>VLOOKUP($A38,flows!$A$2:$J$4985,H$24,FALSE)</f>
        <v>#N/A</v>
      </c>
      <c r="I38" s="96" t="e">
        <f>VLOOKUP($A38,flows!$A$2:$J$4985,I$24,FALSE)</f>
        <v>#N/A</v>
      </c>
      <c r="J38" s="96" t="e">
        <f>VLOOKUP($A38,flows!$A$2:$J$4985,J$24,FALSE)</f>
        <v>#N/A</v>
      </c>
      <c r="K38" s="96" t="e">
        <f>VLOOKUP($A38,flows!$A$2:$J$4985,K$24,FALSE)</f>
        <v>#N/A</v>
      </c>
    </row>
    <row r="39" spans="1:11" x14ac:dyDescent="0.35">
      <c r="A39" s="40" t="s">
        <v>694</v>
      </c>
      <c r="B39" s="92" t="s">
        <v>1477</v>
      </c>
      <c r="C39" s="92" t="s">
        <v>1477</v>
      </c>
      <c r="D39" s="96" t="e">
        <f>VLOOKUP($A39,flows!$A$2:$J$4985,D$24,FALSE)</f>
        <v>#N/A</v>
      </c>
      <c r="E39" s="96" t="e">
        <f>VLOOKUP($A39,flows!$A$2:$J$4985,E$24,FALSE)</f>
        <v>#N/A</v>
      </c>
      <c r="F39" s="96" t="e">
        <f>VLOOKUP($A39,flows!$A$2:$J$4985,F$24,FALSE)</f>
        <v>#N/A</v>
      </c>
      <c r="G39" s="96" t="e">
        <f>VLOOKUP($A39,flows!$A$2:$J$4985,G$24,FALSE)</f>
        <v>#N/A</v>
      </c>
      <c r="H39" s="96" t="e">
        <f>VLOOKUP($A39,flows!$A$2:$J$4985,H$24,FALSE)</f>
        <v>#N/A</v>
      </c>
      <c r="I39" s="96" t="e">
        <f>VLOOKUP($A39,flows!$A$2:$J$4985,I$24,FALSE)</f>
        <v>#N/A</v>
      </c>
      <c r="J39" s="96" t="e">
        <f>VLOOKUP($A39,flows!$A$2:$J$4985,J$24,FALSE)</f>
        <v>#N/A</v>
      </c>
      <c r="K39" s="96" t="e">
        <f>VLOOKUP($A39,flows!$A$2:$J$4985,K$24,FALSE)</f>
        <v>#N/A</v>
      </c>
    </row>
    <row r="40" spans="1:11" x14ac:dyDescent="0.35">
      <c r="A40" s="40" t="s">
        <v>695</v>
      </c>
      <c r="B40" s="92" t="s">
        <v>1478</v>
      </c>
      <c r="C40" s="92" t="s">
        <v>1478</v>
      </c>
      <c r="D40" s="96" t="e">
        <f>VLOOKUP($A40,flows!$A$2:$J$4985,D$24,FALSE)</f>
        <v>#N/A</v>
      </c>
      <c r="E40" s="96" t="e">
        <f>VLOOKUP($A40,flows!$A$2:$J$4985,E$24,FALSE)</f>
        <v>#N/A</v>
      </c>
      <c r="F40" s="96" t="e">
        <f>VLOOKUP($A40,flows!$A$2:$J$4985,F$24,FALSE)</f>
        <v>#N/A</v>
      </c>
      <c r="G40" s="96" t="e">
        <f>VLOOKUP($A40,flows!$A$2:$J$4985,G$24,FALSE)</f>
        <v>#N/A</v>
      </c>
      <c r="H40" s="96" t="e">
        <f>VLOOKUP($A40,flows!$A$2:$J$4985,H$24,FALSE)</f>
        <v>#N/A</v>
      </c>
      <c r="I40" s="96" t="e">
        <f>VLOOKUP($A40,flows!$A$2:$J$4985,I$24,FALSE)</f>
        <v>#N/A</v>
      </c>
      <c r="J40" s="96" t="e">
        <f>VLOOKUP($A40,flows!$A$2:$J$4985,J$24,FALSE)</f>
        <v>#N/A</v>
      </c>
      <c r="K40" s="96" t="e">
        <f>VLOOKUP($A40,flows!$A$2:$J$4985,K$24,FALSE)</f>
        <v>#N/A</v>
      </c>
    </row>
    <row r="41" spans="1:11" x14ac:dyDescent="0.35">
      <c r="A41" s="40" t="s">
        <v>4462</v>
      </c>
      <c r="B41" s="900" t="s">
        <v>1477</v>
      </c>
      <c r="C41" s="900" t="s">
        <v>1477</v>
      </c>
      <c r="D41" s="84" t="e">
        <f>D39+D40</f>
        <v>#N/A</v>
      </c>
      <c r="E41" s="84" t="e">
        <f t="shared" ref="E41:K41" si="3">E39+E40</f>
        <v>#N/A</v>
      </c>
      <c r="F41" s="84" t="e">
        <f>F39+F40</f>
        <v>#N/A</v>
      </c>
      <c r="G41" s="84" t="e">
        <f t="shared" si="3"/>
        <v>#N/A</v>
      </c>
      <c r="H41" s="84" t="e">
        <f t="shared" si="3"/>
        <v>#N/A</v>
      </c>
      <c r="I41" s="84" t="e">
        <f t="shared" si="3"/>
        <v>#N/A</v>
      </c>
      <c r="J41" s="84" t="e">
        <f t="shared" si="3"/>
        <v>#N/A</v>
      </c>
      <c r="K41" s="84" t="e">
        <f t="shared" si="3"/>
        <v>#N/A</v>
      </c>
    </row>
    <row r="42" spans="1:11" x14ac:dyDescent="0.35">
      <c r="A42" s="40" t="s">
        <v>734</v>
      </c>
      <c r="B42" s="92" t="s">
        <v>2404</v>
      </c>
      <c r="C42" s="92" t="s">
        <v>2404</v>
      </c>
      <c r="D42" s="96" t="e">
        <f>VLOOKUP($A42,flows!$A$2:$J$4985,D$24,FALSE)</f>
        <v>#N/A</v>
      </c>
      <c r="E42" s="96" t="e">
        <f>VLOOKUP($A42,flows!$A$2:$J$4985,E$24,FALSE)</f>
        <v>#N/A</v>
      </c>
      <c r="F42" s="96" t="e">
        <f>VLOOKUP($A42,flows!$A$2:$J$4985,F$24,FALSE)</f>
        <v>#N/A</v>
      </c>
      <c r="G42" s="96" t="e">
        <f>VLOOKUP($A42,flows!$A$2:$J$4985,G$24,FALSE)</f>
        <v>#N/A</v>
      </c>
      <c r="H42" s="96" t="e">
        <f>VLOOKUP($A42,flows!$A$2:$J$4985,H$24,FALSE)</f>
        <v>#N/A</v>
      </c>
      <c r="I42" s="96" t="e">
        <f>VLOOKUP($A42,flows!$A$2:$J$4985,I$24,FALSE)</f>
        <v>#N/A</v>
      </c>
      <c r="J42" s="96" t="e">
        <f>VLOOKUP($A42,flows!$A$2:$J$4985,J$24,FALSE)</f>
        <v>#N/A</v>
      </c>
      <c r="K42" s="96" t="e">
        <f>VLOOKUP($A42,flows!$A$2:$J$4985,K$24,FALSE)</f>
        <v>#N/A</v>
      </c>
    </row>
    <row r="43" spans="1:11" x14ac:dyDescent="0.35">
      <c r="A43" s="40" t="s">
        <v>762</v>
      </c>
      <c r="B43" s="92" t="s">
        <v>2405</v>
      </c>
      <c r="C43" s="92" t="s">
        <v>2405</v>
      </c>
      <c r="D43" s="96" t="e">
        <f>VLOOKUP($A43,flows!$A$2:$J$4985,D$24,FALSE)</f>
        <v>#N/A</v>
      </c>
      <c r="E43" s="96" t="e">
        <f>VLOOKUP($A43,flows!$A$2:$J$4985,E$24,FALSE)</f>
        <v>#N/A</v>
      </c>
      <c r="F43" s="96" t="e">
        <f>VLOOKUP($A43,flows!$A$2:$J$4985,F$24,FALSE)</f>
        <v>#N/A</v>
      </c>
      <c r="G43" s="96" t="e">
        <f>VLOOKUP($A43,flows!$A$2:$J$4985,G$24,FALSE)</f>
        <v>#N/A</v>
      </c>
      <c r="H43" s="96" t="e">
        <f>VLOOKUP($A43,flows!$A$2:$J$4985,H$24,FALSE)</f>
        <v>#N/A</v>
      </c>
      <c r="I43" s="96" t="e">
        <f>VLOOKUP($A43,flows!$A$2:$J$4985,I$24,FALSE)</f>
        <v>#N/A</v>
      </c>
      <c r="J43" s="96" t="e">
        <f>VLOOKUP($A43,flows!$A$2:$J$4985,J$24,FALSE)</f>
        <v>#N/A</v>
      </c>
      <c r="K43" s="96" t="e">
        <f>VLOOKUP($A43,flows!$A$2:$J$4985,K$24,FALSE)</f>
        <v>#N/A</v>
      </c>
    </row>
    <row r="44" spans="1:11" ht="15" thickBot="1" x14ac:dyDescent="0.4">
      <c r="A44" s="95" t="s">
        <v>1229</v>
      </c>
      <c r="B44" s="103"/>
      <c r="C44" s="77"/>
      <c r="D44" s="101" t="e">
        <f t="shared" ref="D44:K44" si="4">SUM(D38:D43)</f>
        <v>#N/A</v>
      </c>
      <c r="E44" s="101" t="e">
        <f t="shared" si="4"/>
        <v>#N/A</v>
      </c>
      <c r="F44" s="101" t="e">
        <f t="shared" si="4"/>
        <v>#N/A</v>
      </c>
      <c r="G44" s="101" t="e">
        <f t="shared" si="4"/>
        <v>#N/A</v>
      </c>
      <c r="H44" s="101" t="e">
        <f t="shared" si="4"/>
        <v>#N/A</v>
      </c>
      <c r="I44" s="101" t="e">
        <f t="shared" si="4"/>
        <v>#N/A</v>
      </c>
      <c r="J44" s="101" t="e">
        <f t="shared" si="4"/>
        <v>#N/A</v>
      </c>
      <c r="K44" s="101" t="e">
        <f t="shared" si="4"/>
        <v>#N/A</v>
      </c>
    </row>
    <row r="45" spans="1:11" ht="15" thickBot="1" x14ac:dyDescent="0.4">
      <c r="A45" s="362" t="s">
        <v>2519</v>
      </c>
      <c r="D45" s="96" t="e">
        <f>VLOOKUP($A45,flows!$A$2:$J$4985,D$24,FALSE)</f>
        <v>#N/A</v>
      </c>
      <c r="E45" s="96" t="e">
        <f>VLOOKUP($A45,flows!$A$2:$J$4985,E$24,FALSE)</f>
        <v>#N/A</v>
      </c>
      <c r="F45" s="96" t="e">
        <f>VLOOKUP($A45,flows!$A$2:$J$4985,F$24,FALSE)</f>
        <v>#N/A</v>
      </c>
      <c r="G45" s="96" t="e">
        <f>VLOOKUP($A45,flows!$A$2:$J$4985,G$24,FALSE)</f>
        <v>#N/A</v>
      </c>
      <c r="H45" s="96" t="e">
        <f>VLOOKUP($A45,flows!$A$2:$J$4985,H$24,FALSE)</f>
        <v>#N/A</v>
      </c>
      <c r="I45" s="96" t="e">
        <f>VLOOKUP($A45,flows!$A$2:$J$4985,I$24,FALSE)</f>
        <v>#N/A</v>
      </c>
      <c r="J45" s="96" t="e">
        <f>VLOOKUP($A45,flows!$A$2:$J$4985,J$24,FALSE)</f>
        <v>#N/A</v>
      </c>
      <c r="K45" s="96" t="e">
        <f>VLOOKUP($A45,flows!$A$2:$J$4985,K$24,FALSE)</f>
        <v>#N/A</v>
      </c>
    </row>
    <row r="46" spans="1:11" x14ac:dyDescent="0.35">
      <c r="A46" s="87"/>
      <c r="B46" s="89"/>
      <c r="C46" s="88" t="s">
        <v>1479</v>
      </c>
      <c r="D46" s="89">
        <v>2</v>
      </c>
      <c r="E46" s="89">
        <v>3</v>
      </c>
      <c r="F46" s="89">
        <v>4</v>
      </c>
      <c r="G46" s="89">
        <v>5</v>
      </c>
      <c r="H46" s="89">
        <v>6</v>
      </c>
      <c r="I46" s="89">
        <v>7</v>
      </c>
      <c r="J46" s="89">
        <v>8</v>
      </c>
      <c r="K46" s="89">
        <v>9</v>
      </c>
    </row>
    <row r="47" spans="1:11" x14ac:dyDescent="0.35">
      <c r="A47" s="40" t="s">
        <v>1415</v>
      </c>
      <c r="B47" s="92"/>
      <c r="C47" s="92"/>
      <c r="D47" s="133" t="s">
        <v>1417</v>
      </c>
      <c r="E47" s="133">
        <v>2020</v>
      </c>
      <c r="F47" s="133">
        <v>2025</v>
      </c>
      <c r="G47" s="133">
        <v>2030</v>
      </c>
      <c r="H47" s="133">
        <v>2035</v>
      </c>
      <c r="I47" s="133">
        <v>2040</v>
      </c>
      <c r="J47" s="133">
        <v>2045</v>
      </c>
      <c r="K47" s="133">
        <v>2050</v>
      </c>
    </row>
    <row r="48" spans="1:11" x14ac:dyDescent="0.35">
      <c r="A48" s="40"/>
      <c r="B48" s="92"/>
      <c r="C48" s="92"/>
      <c r="D48" s="96"/>
      <c r="E48" s="96"/>
      <c r="F48" s="96"/>
      <c r="G48" s="96"/>
      <c r="H48" s="96"/>
      <c r="I48" s="96"/>
      <c r="J48" s="96"/>
      <c r="K48" s="96"/>
    </row>
    <row r="49" spans="1:11" x14ac:dyDescent="0.35">
      <c r="A49" s="40" t="s">
        <v>690</v>
      </c>
      <c r="B49" s="92" t="s">
        <v>2408</v>
      </c>
      <c r="C49" s="92" t="s">
        <v>2406</v>
      </c>
      <c r="D49" s="96" t="e">
        <f>VLOOKUP($A49,flows!$A$2:$J$4985,D$24,FALSE)</f>
        <v>#N/A</v>
      </c>
      <c r="E49" s="96" t="e">
        <f>VLOOKUP($A49,flows!$A$2:$J$4985,E$24,FALSE)</f>
        <v>#N/A</v>
      </c>
      <c r="F49" s="96" t="e">
        <f>VLOOKUP($A49,flows!$A$2:$J$4985,F$24,FALSE)</f>
        <v>#N/A</v>
      </c>
      <c r="G49" s="96" t="e">
        <f>VLOOKUP($A49,flows!$A$2:$J$4985,G$24,FALSE)</f>
        <v>#N/A</v>
      </c>
      <c r="H49" s="96" t="e">
        <f>VLOOKUP($A49,flows!$A$2:$J$4985,H$24,FALSE)</f>
        <v>#N/A</v>
      </c>
      <c r="I49" s="96" t="e">
        <f>VLOOKUP($A49,flows!$A$2:$J$4985,I$24,FALSE)</f>
        <v>#N/A</v>
      </c>
      <c r="J49" s="96" t="e">
        <f>VLOOKUP($A49,flows!$A$2:$J$4985,J$24,FALSE)</f>
        <v>#N/A</v>
      </c>
      <c r="K49" s="96" t="e">
        <f>VLOOKUP($A49,flows!$A$2:$J$4985,K$24,FALSE)</f>
        <v>#N/A</v>
      </c>
    </row>
    <row r="50" spans="1:11" x14ac:dyDescent="0.35">
      <c r="A50" s="40" t="s">
        <v>713</v>
      </c>
      <c r="B50" s="92" t="s">
        <v>2409</v>
      </c>
      <c r="C50" s="92" t="s">
        <v>2411</v>
      </c>
      <c r="D50" s="96" t="e">
        <f>VLOOKUP($A50,flows!$A$2:$J$4985,D$24,FALSE)</f>
        <v>#N/A</v>
      </c>
      <c r="E50" s="96" t="e">
        <f>VLOOKUP($A50,flows!$A$2:$J$4985,E$24,FALSE)</f>
        <v>#N/A</v>
      </c>
      <c r="F50" s="96" t="e">
        <f>VLOOKUP($A50,flows!$A$2:$J$4985,F$24,FALSE)</f>
        <v>#N/A</v>
      </c>
      <c r="G50" s="96" t="e">
        <f>VLOOKUP($A50,flows!$A$2:$J$4985,G$24,FALSE)</f>
        <v>#N/A</v>
      </c>
      <c r="H50" s="96" t="e">
        <f>VLOOKUP($A50,flows!$A$2:$J$4985,H$24,FALSE)</f>
        <v>#N/A</v>
      </c>
      <c r="I50" s="96" t="e">
        <f>VLOOKUP($A50,flows!$A$2:$J$4985,I$24,FALSE)</f>
        <v>#N/A</v>
      </c>
      <c r="J50" s="96" t="e">
        <f>VLOOKUP($A50,flows!$A$2:$J$4985,J$24,FALSE)</f>
        <v>#N/A</v>
      </c>
      <c r="K50" s="96" t="e">
        <f>VLOOKUP($A50,flows!$A$2:$J$4985,K$24,FALSE)</f>
        <v>#N/A</v>
      </c>
    </row>
    <row r="51" spans="1:11" x14ac:dyDescent="0.35">
      <c r="A51" s="40" t="s">
        <v>736</v>
      </c>
      <c r="B51" s="92" t="s">
        <v>2412</v>
      </c>
      <c r="C51" s="92" t="s">
        <v>2410</v>
      </c>
      <c r="D51" s="96" t="e">
        <f>VLOOKUP($A51,flows!$A$2:$J$4985,D$24,FALSE)</f>
        <v>#N/A</v>
      </c>
      <c r="E51" s="96" t="e">
        <f>VLOOKUP($A51,flows!$A$2:$J$4985,E$24,FALSE)</f>
        <v>#N/A</v>
      </c>
      <c r="F51" s="96" t="e">
        <f>VLOOKUP($A51,flows!$A$2:$J$4985,F$24,FALSE)</f>
        <v>#N/A</v>
      </c>
      <c r="G51" s="96" t="e">
        <f>VLOOKUP($A51,flows!$A$2:$J$4985,G$24,FALSE)</f>
        <v>#N/A</v>
      </c>
      <c r="H51" s="96" t="e">
        <f>VLOOKUP($A51,flows!$A$2:$J$4985,H$24,FALSE)</f>
        <v>#N/A</v>
      </c>
      <c r="I51" s="96" t="e">
        <f>VLOOKUP($A51,flows!$A$2:$J$4985,I$24,FALSE)</f>
        <v>#N/A</v>
      </c>
      <c r="J51" s="96" t="e">
        <f>VLOOKUP($A51,flows!$A$2:$J$4985,J$24,FALSE)</f>
        <v>#N/A</v>
      </c>
      <c r="K51" s="96" t="e">
        <f>VLOOKUP($A51,flows!$A$2:$J$4985,K$24,FALSE)</f>
        <v>#N/A</v>
      </c>
    </row>
    <row r="52" spans="1:11" x14ac:dyDescent="0.35">
      <c r="A52" s="99" t="s">
        <v>2699</v>
      </c>
      <c r="B52" s="102"/>
      <c r="C52" s="92"/>
      <c r="D52" s="96" t="e">
        <f t="shared" ref="D52:K52" si="5">SUM(D49:D51)</f>
        <v>#N/A</v>
      </c>
      <c r="E52" s="96" t="e">
        <f t="shared" si="5"/>
        <v>#N/A</v>
      </c>
      <c r="F52" s="96" t="e">
        <f t="shared" si="5"/>
        <v>#N/A</v>
      </c>
      <c r="G52" s="96" t="e">
        <f t="shared" si="5"/>
        <v>#N/A</v>
      </c>
      <c r="H52" s="96" t="e">
        <f t="shared" si="5"/>
        <v>#N/A</v>
      </c>
      <c r="I52" s="96" t="e">
        <f t="shared" si="5"/>
        <v>#N/A</v>
      </c>
      <c r="J52" s="96" t="e">
        <f t="shared" si="5"/>
        <v>#N/A</v>
      </c>
      <c r="K52" s="96" t="e">
        <f t="shared" si="5"/>
        <v>#N/A</v>
      </c>
    </row>
    <row r="53" spans="1:11" ht="15" thickBot="1" x14ac:dyDescent="0.4">
      <c r="A53" s="40"/>
      <c r="B53" s="92"/>
      <c r="C53" s="92"/>
      <c r="D53" s="96"/>
      <c r="E53" s="96"/>
      <c r="F53" s="96"/>
      <c r="G53" s="96"/>
      <c r="H53" s="96"/>
      <c r="I53" s="96"/>
      <c r="J53" s="96"/>
      <c r="K53" s="96"/>
    </row>
    <row r="54" spans="1:11" x14ac:dyDescent="0.35">
      <c r="A54" s="40"/>
      <c r="B54" s="92"/>
      <c r="C54" s="102" t="s">
        <v>1483</v>
      </c>
      <c r="D54" s="89">
        <v>2</v>
      </c>
      <c r="E54" s="89">
        <v>3</v>
      </c>
      <c r="F54" s="89">
        <v>4</v>
      </c>
      <c r="G54" s="89">
        <v>5</v>
      </c>
      <c r="H54" s="89">
        <v>6</v>
      </c>
      <c r="I54" s="89">
        <v>7</v>
      </c>
      <c r="J54" s="89">
        <v>8</v>
      </c>
      <c r="K54" s="89">
        <v>9</v>
      </c>
    </row>
    <row r="55" spans="1:11" x14ac:dyDescent="0.35">
      <c r="A55" s="40" t="s">
        <v>1415</v>
      </c>
      <c r="B55" s="92"/>
      <c r="C55" s="92"/>
      <c r="D55" s="133" t="s">
        <v>1417</v>
      </c>
      <c r="E55" s="133">
        <v>2020</v>
      </c>
      <c r="F55" s="133">
        <v>2025</v>
      </c>
      <c r="G55" s="133">
        <v>2030</v>
      </c>
      <c r="H55" s="133">
        <v>2035</v>
      </c>
      <c r="I55" s="133">
        <v>2040</v>
      </c>
      <c r="J55" s="133">
        <v>2045</v>
      </c>
      <c r="K55" s="133">
        <v>2050</v>
      </c>
    </row>
    <row r="56" spans="1:11" x14ac:dyDescent="0.35">
      <c r="A56" s="40"/>
      <c r="B56" s="92"/>
      <c r="C56" s="92"/>
      <c r="D56" s="96"/>
      <c r="E56" s="96"/>
      <c r="F56" s="96"/>
      <c r="G56" s="96"/>
      <c r="H56" s="96"/>
      <c r="I56" s="96"/>
      <c r="J56" s="96"/>
      <c r="K56" s="96"/>
    </row>
    <row r="57" spans="1:11" x14ac:dyDescent="0.35">
      <c r="A57" s="40" t="s">
        <v>689</v>
      </c>
      <c r="B57" s="92" t="s">
        <v>2415</v>
      </c>
      <c r="C57" s="92" t="s">
        <v>2407</v>
      </c>
      <c r="D57" s="96" t="e">
        <f>VLOOKUP($A57,flows!$A$2:$J$4985,D$24,FALSE)</f>
        <v>#N/A</v>
      </c>
      <c r="E57" s="96" t="e">
        <f>VLOOKUP($A57,flows!$A$2:$J$4985,E$24,FALSE)</f>
        <v>#N/A</v>
      </c>
      <c r="F57" s="96" t="e">
        <f>VLOOKUP($A57,flows!$A$2:$J$4985,F$24,FALSE)</f>
        <v>#N/A</v>
      </c>
      <c r="G57" s="96" t="e">
        <f>VLOOKUP($A57,flows!$A$2:$J$4985,G$24,FALSE)</f>
        <v>#N/A</v>
      </c>
      <c r="H57" s="96" t="e">
        <f>VLOOKUP($A57,flows!$A$2:$J$4985,H$24,FALSE)</f>
        <v>#N/A</v>
      </c>
      <c r="I57" s="96" t="e">
        <f>VLOOKUP($A57,flows!$A$2:$J$4985,I$24,FALSE)</f>
        <v>#N/A</v>
      </c>
      <c r="J57" s="96" t="e">
        <f>VLOOKUP($A57,flows!$A$2:$J$4985,J$24,FALSE)</f>
        <v>#N/A</v>
      </c>
      <c r="K57" s="96" t="e">
        <f>VLOOKUP($A57,flows!$A$2:$J$4985,K$24,FALSE)</f>
        <v>#N/A</v>
      </c>
    </row>
    <row r="58" spans="1:11" x14ac:dyDescent="0.35">
      <c r="A58" s="40" t="s">
        <v>712</v>
      </c>
      <c r="B58" s="92" t="s">
        <v>2416</v>
      </c>
      <c r="C58" s="92" t="s">
        <v>2413</v>
      </c>
      <c r="D58" s="96" t="e">
        <f>VLOOKUP($A58,flows!$A$2:$J$4985,D$24,FALSE)</f>
        <v>#N/A</v>
      </c>
      <c r="E58" s="96" t="e">
        <f>VLOOKUP($A58,flows!$A$2:$J$4985,E$24,FALSE)</f>
        <v>#N/A</v>
      </c>
      <c r="F58" s="96" t="e">
        <f>VLOOKUP($A58,flows!$A$2:$J$4985,F$24,FALSE)</f>
        <v>#N/A</v>
      </c>
      <c r="G58" s="96" t="e">
        <f>VLOOKUP($A58,flows!$A$2:$J$4985,G$24,FALSE)</f>
        <v>#N/A</v>
      </c>
      <c r="H58" s="96" t="e">
        <f>VLOOKUP($A58,flows!$A$2:$J$4985,H$24,FALSE)</f>
        <v>#N/A</v>
      </c>
      <c r="I58" s="96" t="e">
        <f>VLOOKUP($A58,flows!$A$2:$J$4985,I$24,FALSE)</f>
        <v>#N/A</v>
      </c>
      <c r="J58" s="96" t="e">
        <f>VLOOKUP($A58,flows!$A$2:$J$4985,J$24,FALSE)</f>
        <v>#N/A</v>
      </c>
      <c r="K58" s="96" t="e">
        <f>VLOOKUP($A58,flows!$A$2:$J$4985,K$24,FALSE)</f>
        <v>#N/A</v>
      </c>
    </row>
    <row r="59" spans="1:11" x14ac:dyDescent="0.35">
      <c r="A59" s="40" t="s">
        <v>735</v>
      </c>
      <c r="B59" s="92" t="s">
        <v>2417</v>
      </c>
      <c r="C59" s="92" t="s">
        <v>2414</v>
      </c>
      <c r="D59" s="96" t="e">
        <f>VLOOKUP($A59,flows!$A$2:$J$4985,D$24,FALSE)</f>
        <v>#N/A</v>
      </c>
      <c r="E59" s="96" t="e">
        <f>VLOOKUP($A59,flows!$A$2:$J$4985,E$24,FALSE)</f>
        <v>#N/A</v>
      </c>
      <c r="F59" s="96" t="e">
        <f>VLOOKUP($A59,flows!$A$2:$J$4985,F$24,FALSE)</f>
        <v>#N/A</v>
      </c>
      <c r="G59" s="96" t="e">
        <f>VLOOKUP($A59,flows!$A$2:$J$4985,G$24,FALSE)</f>
        <v>#N/A</v>
      </c>
      <c r="H59" s="96" t="e">
        <f>VLOOKUP($A59,flows!$A$2:$J$4985,H$24,FALSE)</f>
        <v>#N/A</v>
      </c>
      <c r="I59" s="96" t="e">
        <f>VLOOKUP($A59,flows!$A$2:$J$4985,I$24,FALSE)</f>
        <v>#N/A</v>
      </c>
      <c r="J59" s="96" t="e">
        <f>VLOOKUP($A59,flows!$A$2:$J$4985,J$24,FALSE)</f>
        <v>#N/A</v>
      </c>
      <c r="K59" s="96" t="e">
        <f>VLOOKUP($A59,flows!$A$2:$J$4985,K$24,FALSE)</f>
        <v>#N/A</v>
      </c>
    </row>
    <row r="60" spans="1:11" ht="15" thickBot="1" x14ac:dyDescent="0.4">
      <c r="A60" s="95" t="s">
        <v>2700</v>
      </c>
      <c r="B60" s="103"/>
      <c r="C60" s="77"/>
      <c r="D60" s="101" t="e">
        <f t="shared" ref="D60:K60" si="6">SUM(D57:D59)</f>
        <v>#N/A</v>
      </c>
      <c r="E60" s="101" t="e">
        <f t="shared" si="6"/>
        <v>#N/A</v>
      </c>
      <c r="F60" s="101" t="e">
        <f t="shared" si="6"/>
        <v>#N/A</v>
      </c>
      <c r="G60" s="101" t="e">
        <f t="shared" si="6"/>
        <v>#N/A</v>
      </c>
      <c r="H60" s="101" t="e">
        <f t="shared" si="6"/>
        <v>#N/A</v>
      </c>
      <c r="I60" s="101" t="e">
        <f t="shared" si="6"/>
        <v>#N/A</v>
      </c>
      <c r="J60" s="101" t="e">
        <f t="shared" si="6"/>
        <v>#N/A</v>
      </c>
      <c r="K60" s="101" t="e">
        <f t="shared" si="6"/>
        <v>#N/A</v>
      </c>
    </row>
    <row r="61" spans="1:11" x14ac:dyDescent="0.35">
      <c r="A61" s="40"/>
      <c r="B61" s="92"/>
      <c r="C61" s="92"/>
      <c r="D61" s="96"/>
      <c r="E61" s="96"/>
      <c r="F61" s="96"/>
      <c r="G61" s="96"/>
      <c r="H61" s="96"/>
      <c r="I61" s="96"/>
      <c r="J61" s="96"/>
      <c r="K61" s="96"/>
    </row>
    <row r="62" spans="1:11" ht="15" thickBot="1" x14ac:dyDescent="0.4">
      <c r="A62" s="95" t="s">
        <v>1487</v>
      </c>
      <c r="B62" s="103"/>
      <c r="C62" s="77"/>
      <c r="D62" s="101" t="e">
        <f>SUM(D60,D52)</f>
        <v>#N/A</v>
      </c>
      <c r="E62" s="101" t="e">
        <f t="shared" ref="E62:K62" si="7">SUM(E60,E52)</f>
        <v>#N/A</v>
      </c>
      <c r="F62" s="101" t="e">
        <f t="shared" si="7"/>
        <v>#N/A</v>
      </c>
      <c r="G62" s="101" t="e">
        <f t="shared" si="7"/>
        <v>#N/A</v>
      </c>
      <c r="H62" s="101" t="e">
        <f t="shared" si="7"/>
        <v>#N/A</v>
      </c>
      <c r="I62" s="101" t="e">
        <f t="shared" si="7"/>
        <v>#N/A</v>
      </c>
      <c r="J62" s="101" t="e">
        <f t="shared" si="7"/>
        <v>#N/A</v>
      </c>
      <c r="K62" s="101" t="e">
        <f t="shared" si="7"/>
        <v>#N/A</v>
      </c>
    </row>
    <row r="63" spans="1:11" ht="15" thickBot="1" x14ac:dyDescent="0.4">
      <c r="D63" s="84"/>
      <c r="E63" s="84"/>
      <c r="F63" s="84"/>
      <c r="G63" s="84"/>
      <c r="H63" s="84"/>
      <c r="I63" s="84"/>
      <c r="J63" s="84"/>
      <c r="K63" s="84"/>
    </row>
    <row r="64" spans="1:11" x14ac:dyDescent="0.35">
      <c r="A64" s="87"/>
      <c r="B64" s="89"/>
      <c r="C64" s="88" t="s">
        <v>1488</v>
      </c>
      <c r="D64" s="89">
        <v>2</v>
      </c>
      <c r="E64" s="89">
        <v>3</v>
      </c>
      <c r="F64" s="89">
        <v>4</v>
      </c>
      <c r="G64" s="89">
        <v>5</v>
      </c>
      <c r="H64" s="89">
        <v>6</v>
      </c>
      <c r="I64" s="89">
        <v>7</v>
      </c>
      <c r="J64" s="89">
        <v>8</v>
      </c>
      <c r="K64" s="89">
        <v>9</v>
      </c>
    </row>
    <row r="65" spans="1:42" x14ac:dyDescent="0.35">
      <c r="A65" s="40" t="s">
        <v>1415</v>
      </c>
      <c r="B65" s="92"/>
      <c r="C65" s="92"/>
      <c r="D65" s="133" t="s">
        <v>1417</v>
      </c>
      <c r="E65" s="133">
        <v>2020</v>
      </c>
      <c r="F65" s="133">
        <v>2025</v>
      </c>
      <c r="G65" s="133">
        <v>2030</v>
      </c>
      <c r="H65" s="133">
        <v>2035</v>
      </c>
      <c r="I65" s="133">
        <v>2040</v>
      </c>
      <c r="J65" s="133">
        <v>2045</v>
      </c>
      <c r="K65" s="133">
        <v>2050</v>
      </c>
    </row>
    <row r="66" spans="1:42" x14ac:dyDescent="0.35">
      <c r="A66" s="40"/>
      <c r="B66" s="92"/>
      <c r="C66" s="92"/>
      <c r="D66" s="96"/>
      <c r="E66" s="96"/>
      <c r="F66" s="96"/>
      <c r="G66" s="96"/>
      <c r="H66" s="96"/>
      <c r="I66" s="96"/>
      <c r="J66" s="96"/>
      <c r="K66" s="96"/>
    </row>
    <row r="67" spans="1:42" ht="15" thickBot="1" x14ac:dyDescent="0.4">
      <c r="A67" s="41" t="s">
        <v>1050</v>
      </c>
      <c r="B67" s="77"/>
      <c r="C67" s="77" t="s">
        <v>1484</v>
      </c>
      <c r="D67" s="96" t="e">
        <f>VLOOKUP($A67,flows!$A$2:$J$4985,D$24,FALSE)</f>
        <v>#N/A</v>
      </c>
      <c r="E67" s="96" t="e">
        <f>VLOOKUP($A67,flows!$A$2:$J$4985,E$24,FALSE)</f>
        <v>#N/A</v>
      </c>
      <c r="F67" s="96" t="e">
        <f>VLOOKUP($A67,flows!$A$2:$J$4985,F$24,FALSE)</f>
        <v>#N/A</v>
      </c>
      <c r="G67" s="96" t="e">
        <f>VLOOKUP($A67,flows!$A$2:$J$4985,G$24,FALSE)</f>
        <v>#N/A</v>
      </c>
      <c r="H67" s="96" t="e">
        <f>VLOOKUP($A67,flows!$A$2:$J$4985,H$24,FALSE)</f>
        <v>#N/A</v>
      </c>
      <c r="I67" s="96" t="e">
        <f>VLOOKUP($A67,flows!$A$2:$J$4985,I$24,FALSE)</f>
        <v>#N/A</v>
      </c>
      <c r="J67" s="96" t="e">
        <f>VLOOKUP($A67,flows!$A$2:$J$4985,J$24,FALSE)</f>
        <v>#N/A</v>
      </c>
      <c r="K67" s="96" t="e">
        <f>VLOOKUP($A67,flows!$A$2:$J$4985,K$24,FALSE)</f>
        <v>#N/A</v>
      </c>
    </row>
    <row r="68" spans="1:42" ht="15" thickBot="1" x14ac:dyDescent="0.4">
      <c r="D68" s="84"/>
      <c r="E68" s="84"/>
      <c r="F68" s="84"/>
      <c r="G68" s="84"/>
      <c r="H68" s="84"/>
      <c r="I68" s="84"/>
      <c r="J68" s="84"/>
      <c r="K68" s="84"/>
    </row>
    <row r="69" spans="1:42" x14ac:dyDescent="0.35">
      <c r="A69" s="87"/>
      <c r="B69" s="89"/>
      <c r="C69" s="88" t="s">
        <v>1489</v>
      </c>
      <c r="D69" s="89">
        <v>2</v>
      </c>
      <c r="E69" s="89">
        <v>3</v>
      </c>
      <c r="F69" s="89">
        <v>4</v>
      </c>
      <c r="G69" s="89">
        <v>5</v>
      </c>
      <c r="H69" s="89">
        <v>6</v>
      </c>
      <c r="I69" s="89">
        <v>7</v>
      </c>
      <c r="J69" s="89">
        <v>8</v>
      </c>
      <c r="K69" s="89">
        <v>9</v>
      </c>
    </row>
    <row r="70" spans="1:42" x14ac:dyDescent="0.35">
      <c r="A70" s="40" t="s">
        <v>1415</v>
      </c>
      <c r="B70" s="92"/>
      <c r="C70" s="92"/>
      <c r="D70" s="133" t="s">
        <v>1417</v>
      </c>
      <c r="E70" s="133">
        <v>2020</v>
      </c>
      <c r="F70" s="133">
        <v>2025</v>
      </c>
      <c r="G70" s="133">
        <v>2030</v>
      </c>
      <c r="H70" s="133">
        <v>2035</v>
      </c>
      <c r="I70" s="133">
        <v>2040</v>
      </c>
      <c r="J70" s="133">
        <v>2045</v>
      </c>
      <c r="K70" s="133">
        <v>2050</v>
      </c>
    </row>
    <row r="71" spans="1:42" x14ac:dyDescent="0.35">
      <c r="A71" s="40"/>
      <c r="B71" s="92"/>
      <c r="C71" s="92"/>
      <c r="D71" s="96"/>
      <c r="E71" s="96"/>
      <c r="F71" s="96"/>
      <c r="G71" s="96"/>
      <c r="H71" s="96"/>
      <c r="I71" s="96"/>
      <c r="J71" s="96"/>
      <c r="K71" s="96"/>
    </row>
    <row r="72" spans="1:42" x14ac:dyDescent="0.35">
      <c r="A72" s="40" t="s">
        <v>1009</v>
      </c>
      <c r="B72" s="92"/>
      <c r="C72" s="92" t="s">
        <v>2418</v>
      </c>
      <c r="D72" s="96" t="e">
        <f>VLOOKUP($A72,flows!$A$2:$J$4985,D$24,FALSE)</f>
        <v>#N/A</v>
      </c>
      <c r="E72" s="96" t="e">
        <f>VLOOKUP($A72,flows!$A$2:$J$4985,E$24,FALSE)</f>
        <v>#N/A</v>
      </c>
      <c r="F72" s="96" t="e">
        <f>VLOOKUP($A72,flows!$A$2:$J$4985,F$24,FALSE)</f>
        <v>#N/A</v>
      </c>
      <c r="G72" s="96" t="e">
        <f>VLOOKUP($A72,flows!$A$2:$J$4985,G$24,FALSE)</f>
        <v>#N/A</v>
      </c>
      <c r="H72" s="96" t="e">
        <f>VLOOKUP($A72,flows!$A$2:$J$4985,H$24,FALSE)</f>
        <v>#N/A</v>
      </c>
      <c r="I72" s="96" t="e">
        <f>VLOOKUP($A72,flows!$A$2:$J$4985,I$24,FALSE)</f>
        <v>#N/A</v>
      </c>
      <c r="J72" s="96" t="e">
        <f>VLOOKUP($A72,flows!$A$2:$J$4985,J$24,FALSE)</f>
        <v>#N/A</v>
      </c>
      <c r="K72" s="96" t="e">
        <f>VLOOKUP($A72,flows!$A$2:$J$4985,K$24,FALSE)</f>
        <v>#N/A</v>
      </c>
    </row>
    <row r="73" spans="1:42" x14ac:dyDescent="0.35">
      <c r="A73" s="40" t="s">
        <v>1010</v>
      </c>
      <c r="B73" s="92"/>
      <c r="C73" s="92" t="s">
        <v>2419</v>
      </c>
      <c r="D73" s="96" t="e">
        <f>VLOOKUP($A73,flows!$A$2:$J$4985,D$24,FALSE)</f>
        <v>#N/A</v>
      </c>
      <c r="E73" s="96" t="e">
        <f>VLOOKUP($A73,flows!$A$2:$J$4985,E$24,FALSE)</f>
        <v>#N/A</v>
      </c>
      <c r="F73" s="96" t="e">
        <f>VLOOKUP($A73,flows!$A$2:$J$4985,F$24,FALSE)</f>
        <v>#N/A</v>
      </c>
      <c r="G73" s="96" t="e">
        <f>VLOOKUP($A73,flows!$A$2:$J$4985,G$24,FALSE)</f>
        <v>#N/A</v>
      </c>
      <c r="H73" s="96" t="e">
        <f>VLOOKUP($A73,flows!$A$2:$J$4985,H$24,FALSE)</f>
        <v>#N/A</v>
      </c>
      <c r="I73" s="96" t="e">
        <f>VLOOKUP($A73,flows!$A$2:$J$4985,I$24,FALSE)</f>
        <v>#N/A</v>
      </c>
      <c r="J73" s="96" t="e">
        <f>VLOOKUP($A73,flows!$A$2:$J$4985,J$24,FALSE)</f>
        <v>#N/A</v>
      </c>
      <c r="K73" s="96" t="e">
        <f>VLOOKUP($A73,flows!$A$2:$J$4985,K$24,FALSE)</f>
        <v>#N/A</v>
      </c>
    </row>
    <row r="74" spans="1:42" ht="15" thickBot="1" x14ac:dyDescent="0.4">
      <c r="A74" s="95" t="s">
        <v>1229</v>
      </c>
      <c r="B74" s="103"/>
      <c r="C74" s="77"/>
      <c r="D74" s="101" t="e">
        <f>SUM(D72:D73)</f>
        <v>#N/A</v>
      </c>
      <c r="E74" s="101" t="e">
        <f t="shared" ref="E74:K74" si="8">SUM(E72:E73)</f>
        <v>#N/A</v>
      </c>
      <c r="F74" s="101" t="e">
        <f t="shared" si="8"/>
        <v>#N/A</v>
      </c>
      <c r="G74" s="101" t="e">
        <f t="shared" si="8"/>
        <v>#N/A</v>
      </c>
      <c r="H74" s="101" t="e">
        <f t="shared" si="8"/>
        <v>#N/A</v>
      </c>
      <c r="I74" s="101" t="e">
        <f t="shared" si="8"/>
        <v>#N/A</v>
      </c>
      <c r="J74" s="101" t="e">
        <f t="shared" si="8"/>
        <v>#N/A</v>
      </c>
      <c r="K74" s="101" t="e">
        <f t="shared" si="8"/>
        <v>#N/A</v>
      </c>
      <c r="AI74" s="64" t="str">
        <f>'Verkehr - Bestand'!M58</f>
        <v>Train</v>
      </c>
    </row>
    <row r="76" spans="1:42" x14ac:dyDescent="0.35">
      <c r="AI76" s="133">
        <v>2020</v>
      </c>
      <c r="AJ76" s="133">
        <v>2025</v>
      </c>
      <c r="AK76" s="133">
        <v>2030</v>
      </c>
      <c r="AL76" s="133">
        <v>2035</v>
      </c>
      <c r="AM76" s="133">
        <v>2040</v>
      </c>
      <c r="AN76" s="133">
        <v>2045</v>
      </c>
      <c r="AO76" s="133">
        <v>2050</v>
      </c>
    </row>
    <row r="77" spans="1:42" x14ac:dyDescent="0.35">
      <c r="AG77" s="64" t="s">
        <v>2368</v>
      </c>
      <c r="AH77" s="40" t="s">
        <v>2366</v>
      </c>
      <c r="AI77" s="86" t="e">
        <f>'Verkehr - Bestand'!M61</f>
        <v>#N/A</v>
      </c>
      <c r="AJ77" s="64" t="e">
        <f>'Verkehr - Bestand'!N61</f>
        <v>#N/A</v>
      </c>
      <c r="AK77" s="64" t="e">
        <f>'Verkehr - Bestand'!O61</f>
        <v>#N/A</v>
      </c>
      <c r="AL77" s="64" t="e">
        <f>'Verkehr - Bestand'!P61</f>
        <v>#N/A</v>
      </c>
      <c r="AM77" s="64" t="e">
        <f>'Verkehr - Bestand'!Q61</f>
        <v>#N/A</v>
      </c>
      <c r="AN77" s="64" t="e">
        <f>'Verkehr - Bestand'!R61</f>
        <v>#N/A</v>
      </c>
      <c r="AO77" s="64" t="e">
        <f>'Verkehr - Bestand'!S61</f>
        <v>#N/A</v>
      </c>
      <c r="AP77" s="365"/>
    </row>
    <row r="78" spans="1:42" x14ac:dyDescent="0.35">
      <c r="C78" s="92"/>
      <c r="D78" s="106"/>
      <c r="E78" s="133">
        <v>2020</v>
      </c>
      <c r="F78" s="133">
        <v>2025</v>
      </c>
      <c r="G78" s="133">
        <v>2030</v>
      </c>
      <c r="H78" s="133">
        <v>2035</v>
      </c>
      <c r="I78" s="133">
        <v>2040</v>
      </c>
      <c r="J78" s="133">
        <v>2045</v>
      </c>
      <c r="K78" s="133">
        <v>2050</v>
      </c>
      <c r="AG78" s="64" t="s">
        <v>2369</v>
      </c>
      <c r="AH78" s="40" t="s">
        <v>2367</v>
      </c>
      <c r="AI78" s="64" t="e">
        <f>'Verkehr - Bestand'!M62</f>
        <v>#N/A</v>
      </c>
      <c r="AJ78" s="64" t="e">
        <f>'Verkehr - Bestand'!N62</f>
        <v>#N/A</v>
      </c>
      <c r="AK78" s="64" t="e">
        <f>'Verkehr - Bestand'!O62</f>
        <v>#N/A</v>
      </c>
      <c r="AL78" s="64" t="e">
        <f>'Verkehr - Bestand'!P62</f>
        <v>#N/A</v>
      </c>
      <c r="AM78" s="64" t="e">
        <f>'Verkehr - Bestand'!Q62</f>
        <v>#N/A</v>
      </c>
      <c r="AN78" s="64" t="e">
        <f>'Verkehr - Bestand'!R62</f>
        <v>#N/A</v>
      </c>
      <c r="AO78" s="64" t="e">
        <f>'Verkehr - Bestand'!S62</f>
        <v>#N/A</v>
      </c>
      <c r="AP78" s="365"/>
    </row>
    <row r="79" spans="1:42" x14ac:dyDescent="0.35">
      <c r="B79" s="92" t="s">
        <v>1569</v>
      </c>
      <c r="C79" s="92" t="s">
        <v>1569</v>
      </c>
      <c r="D79" s="96"/>
      <c r="E79" s="96" t="e">
        <f t="shared" ref="E79:K79" si="9">E3</f>
        <v>#N/A</v>
      </c>
      <c r="F79" s="96" t="e">
        <f t="shared" si="9"/>
        <v>#N/A</v>
      </c>
      <c r="G79" s="96" t="e">
        <f t="shared" si="9"/>
        <v>#N/A</v>
      </c>
      <c r="H79" s="96" t="e">
        <f t="shared" si="9"/>
        <v>#N/A</v>
      </c>
      <c r="I79" s="96" t="e">
        <f t="shared" si="9"/>
        <v>#N/A</v>
      </c>
      <c r="J79" s="96" t="e">
        <f t="shared" si="9"/>
        <v>#N/A</v>
      </c>
      <c r="K79" s="96" t="e">
        <f t="shared" si="9"/>
        <v>#N/A</v>
      </c>
      <c r="AG79" s="64" t="s">
        <v>2370</v>
      </c>
      <c r="AH79" s="40" t="s">
        <v>1482</v>
      </c>
      <c r="AI79" s="64" t="e">
        <f>'Verkehr - Bestand'!M63</f>
        <v>#N/A</v>
      </c>
      <c r="AJ79" s="64" t="e">
        <f>'Verkehr - Bestand'!N63</f>
        <v>#N/A</v>
      </c>
      <c r="AK79" s="64" t="e">
        <f>'Verkehr - Bestand'!O63</f>
        <v>#N/A</v>
      </c>
      <c r="AL79" s="64" t="e">
        <f>'Verkehr - Bestand'!P63</f>
        <v>#N/A</v>
      </c>
      <c r="AM79" s="64" t="e">
        <f>'Verkehr - Bestand'!Q63</f>
        <v>#N/A</v>
      </c>
      <c r="AN79" s="64" t="e">
        <f>'Verkehr - Bestand'!R63</f>
        <v>#N/A</v>
      </c>
      <c r="AO79" s="64" t="e">
        <f>'Verkehr - Bestand'!S63</f>
        <v>#N/A</v>
      </c>
      <c r="AP79" s="365"/>
    </row>
    <row r="80" spans="1:42" x14ac:dyDescent="0.35">
      <c r="B80" s="92" t="s">
        <v>2420</v>
      </c>
      <c r="C80" s="92" t="s">
        <v>2422</v>
      </c>
      <c r="D80" s="96"/>
      <c r="E80" s="96" t="e">
        <f t="shared" ref="E80:K80" si="10">E4*E94</f>
        <v>#N/A</v>
      </c>
      <c r="F80" s="96" t="e">
        <f t="shared" si="10"/>
        <v>#N/A</v>
      </c>
      <c r="G80" s="96" t="e">
        <f t="shared" si="10"/>
        <v>#N/A</v>
      </c>
      <c r="H80" s="96" t="e">
        <f t="shared" si="10"/>
        <v>#N/A</v>
      </c>
      <c r="I80" s="96" t="e">
        <f t="shared" si="10"/>
        <v>#N/A</v>
      </c>
      <c r="J80" s="96" t="e">
        <f t="shared" si="10"/>
        <v>#N/A</v>
      </c>
      <c r="K80" s="96" t="e">
        <f t="shared" si="10"/>
        <v>#N/A</v>
      </c>
      <c r="AP80" s="365"/>
    </row>
    <row r="81" spans="2:42" x14ac:dyDescent="0.35">
      <c r="B81" s="92" t="s">
        <v>2299</v>
      </c>
      <c r="C81" s="92" t="s">
        <v>2299</v>
      </c>
      <c r="D81" s="96"/>
      <c r="E81" s="96" t="e">
        <f t="shared" ref="E81:K81" si="11">E5</f>
        <v>#N/A</v>
      </c>
      <c r="F81" s="96" t="e">
        <f t="shared" si="11"/>
        <v>#N/A</v>
      </c>
      <c r="G81" s="96" t="e">
        <f t="shared" si="11"/>
        <v>#N/A</v>
      </c>
      <c r="H81" s="96" t="e">
        <f t="shared" si="11"/>
        <v>#N/A</v>
      </c>
      <c r="I81" s="96" t="e">
        <f t="shared" si="11"/>
        <v>#N/A</v>
      </c>
      <c r="J81" s="96" t="e">
        <f t="shared" si="11"/>
        <v>#N/A</v>
      </c>
      <c r="K81" s="96" t="e">
        <f t="shared" si="11"/>
        <v>#N/A</v>
      </c>
      <c r="AI81" s="84" t="e">
        <f t="shared" ref="AI81:AO81" si="12">E60+E52</f>
        <v>#N/A</v>
      </c>
      <c r="AJ81" s="84" t="e">
        <f t="shared" si="12"/>
        <v>#N/A</v>
      </c>
      <c r="AK81" s="84" t="e">
        <f t="shared" si="12"/>
        <v>#N/A</v>
      </c>
      <c r="AL81" s="84" t="e">
        <f t="shared" si="12"/>
        <v>#N/A</v>
      </c>
      <c r="AM81" s="84" t="e">
        <f t="shared" si="12"/>
        <v>#N/A</v>
      </c>
      <c r="AN81" s="84" t="e">
        <f t="shared" si="12"/>
        <v>#N/A</v>
      </c>
      <c r="AO81" s="84" t="e">
        <f t="shared" si="12"/>
        <v>#N/A</v>
      </c>
      <c r="AP81" s="84"/>
    </row>
    <row r="82" spans="2:42" x14ac:dyDescent="0.35">
      <c r="B82" s="92" t="s">
        <v>2421</v>
      </c>
      <c r="C82" s="92" t="s">
        <v>2425</v>
      </c>
      <c r="D82" s="96"/>
      <c r="E82" s="96" t="e">
        <f t="shared" ref="E82:K82" si="13">E6*E101</f>
        <v>#N/A</v>
      </c>
      <c r="F82" s="96" t="e">
        <f t="shared" si="13"/>
        <v>#N/A</v>
      </c>
      <c r="G82" s="96" t="e">
        <f t="shared" si="13"/>
        <v>#N/A</v>
      </c>
      <c r="H82" s="96" t="e">
        <f t="shared" si="13"/>
        <v>#N/A</v>
      </c>
      <c r="I82" s="96" t="e">
        <f t="shared" si="13"/>
        <v>#N/A</v>
      </c>
      <c r="J82" s="96" t="e">
        <f t="shared" si="13"/>
        <v>#N/A</v>
      </c>
      <c r="K82" s="96" t="e">
        <f t="shared" si="13"/>
        <v>#N/A</v>
      </c>
      <c r="AI82" s="133">
        <v>2020</v>
      </c>
      <c r="AJ82" s="133">
        <v>2025</v>
      </c>
      <c r="AK82" s="133">
        <v>2030</v>
      </c>
      <c r="AL82" s="133">
        <v>2035</v>
      </c>
      <c r="AM82" s="133">
        <v>2040</v>
      </c>
      <c r="AN82" s="133">
        <v>2045</v>
      </c>
      <c r="AO82" s="133">
        <v>2050</v>
      </c>
      <c r="AP82" s="365"/>
    </row>
    <row r="83" spans="2:42" x14ac:dyDescent="0.35">
      <c r="B83" s="92" t="s">
        <v>2391</v>
      </c>
      <c r="C83" s="92" t="s">
        <v>2391</v>
      </c>
      <c r="D83" s="96"/>
      <c r="E83" s="96" t="e">
        <f t="shared" ref="E83:K85" si="14">E7</f>
        <v>#N/A</v>
      </c>
      <c r="F83" s="96" t="e">
        <f t="shared" si="14"/>
        <v>#N/A</v>
      </c>
      <c r="G83" s="96" t="e">
        <f t="shared" si="14"/>
        <v>#N/A</v>
      </c>
      <c r="H83" s="96" t="e">
        <f t="shared" si="14"/>
        <v>#N/A</v>
      </c>
      <c r="I83" s="96" t="e">
        <f t="shared" si="14"/>
        <v>#N/A</v>
      </c>
      <c r="J83" s="96" t="e">
        <f t="shared" si="14"/>
        <v>#N/A</v>
      </c>
      <c r="K83" s="96" t="e">
        <f t="shared" si="14"/>
        <v>#N/A</v>
      </c>
      <c r="AG83" s="352" t="s">
        <v>2368</v>
      </c>
      <c r="AH83" s="40" t="s">
        <v>2366</v>
      </c>
      <c r="AI83" s="365" t="e">
        <f>AI77*AI$81</f>
        <v>#N/A</v>
      </c>
      <c r="AJ83" s="365" t="e">
        <f t="shared" ref="AJ83:AO83" si="15">AJ77*AJ$81</f>
        <v>#N/A</v>
      </c>
      <c r="AK83" s="365" t="e">
        <f>AK77*AK$81</f>
        <v>#N/A</v>
      </c>
      <c r="AL83" s="365" t="e">
        <f t="shared" si="15"/>
        <v>#N/A</v>
      </c>
      <c r="AM83" s="365" t="e">
        <f t="shared" si="15"/>
        <v>#N/A</v>
      </c>
      <c r="AN83" s="365" t="e">
        <f t="shared" si="15"/>
        <v>#N/A</v>
      </c>
      <c r="AO83" s="365" t="e">
        <f t="shared" si="15"/>
        <v>#N/A</v>
      </c>
      <c r="AP83" s="365"/>
    </row>
    <row r="84" spans="2:42" x14ac:dyDescent="0.35">
      <c r="B84" s="92" t="s">
        <v>2392</v>
      </c>
      <c r="C84" s="92" t="s">
        <v>2392</v>
      </c>
      <c r="D84" s="96"/>
      <c r="E84" s="96" t="e">
        <f t="shared" si="14"/>
        <v>#N/A</v>
      </c>
      <c r="F84" s="96" t="e">
        <f t="shared" si="14"/>
        <v>#N/A</v>
      </c>
      <c r="G84" s="96" t="e">
        <f t="shared" si="14"/>
        <v>#N/A</v>
      </c>
      <c r="H84" s="96" t="e">
        <f t="shared" si="14"/>
        <v>#N/A</v>
      </c>
      <c r="I84" s="96" t="e">
        <f t="shared" si="14"/>
        <v>#N/A</v>
      </c>
      <c r="J84" s="96" t="e">
        <f t="shared" si="14"/>
        <v>#N/A</v>
      </c>
      <c r="K84" s="96" t="e">
        <f t="shared" si="14"/>
        <v>#N/A</v>
      </c>
      <c r="AG84" s="352" t="s">
        <v>2369</v>
      </c>
      <c r="AH84" s="40" t="s">
        <v>2367</v>
      </c>
      <c r="AI84" s="365" t="e">
        <f t="shared" ref="AI84:AO85" si="16">AI78*AI$81</f>
        <v>#N/A</v>
      </c>
      <c r="AJ84" s="365" t="e">
        <f t="shared" si="16"/>
        <v>#N/A</v>
      </c>
      <c r="AK84" s="365" t="e">
        <f>AK78*AK$81</f>
        <v>#N/A</v>
      </c>
      <c r="AL84" s="365" t="e">
        <f t="shared" si="16"/>
        <v>#N/A</v>
      </c>
      <c r="AM84" s="365" t="e">
        <f t="shared" si="16"/>
        <v>#N/A</v>
      </c>
      <c r="AN84" s="365" t="e">
        <f t="shared" si="16"/>
        <v>#N/A</v>
      </c>
      <c r="AO84" s="365" t="e">
        <f t="shared" si="16"/>
        <v>#N/A</v>
      </c>
      <c r="AP84" s="365"/>
    </row>
    <row r="85" spans="2:42" x14ac:dyDescent="0.35">
      <c r="B85" s="92" t="s">
        <v>2393</v>
      </c>
      <c r="C85" s="92" t="s">
        <v>2393</v>
      </c>
      <c r="D85" s="96"/>
      <c r="E85" s="96" t="e">
        <f t="shared" si="14"/>
        <v>#N/A</v>
      </c>
      <c r="F85" s="96" t="e">
        <f t="shared" si="14"/>
        <v>#N/A</v>
      </c>
      <c r="G85" s="96" t="e">
        <f t="shared" si="14"/>
        <v>#N/A</v>
      </c>
      <c r="H85" s="96" t="e">
        <f t="shared" si="14"/>
        <v>#N/A</v>
      </c>
      <c r="I85" s="96" t="e">
        <f t="shared" si="14"/>
        <v>#N/A</v>
      </c>
      <c r="J85" s="96" t="e">
        <f t="shared" si="14"/>
        <v>#N/A</v>
      </c>
      <c r="K85" s="96" t="e">
        <f t="shared" si="14"/>
        <v>#N/A</v>
      </c>
      <c r="AG85" s="352" t="s">
        <v>2370</v>
      </c>
      <c r="AH85" s="40" t="s">
        <v>1482</v>
      </c>
      <c r="AI85" s="365" t="e">
        <f t="shared" si="16"/>
        <v>#N/A</v>
      </c>
      <c r="AJ85" s="365" t="e">
        <f t="shared" si="16"/>
        <v>#N/A</v>
      </c>
      <c r="AK85" s="365" t="e">
        <f>AK79*AK$81</f>
        <v>#N/A</v>
      </c>
      <c r="AL85" s="365" t="e">
        <f t="shared" si="16"/>
        <v>#N/A</v>
      </c>
      <c r="AM85" s="365" t="e">
        <f t="shared" si="16"/>
        <v>#N/A</v>
      </c>
      <c r="AN85" s="365" t="e">
        <f t="shared" si="16"/>
        <v>#N/A</v>
      </c>
      <c r="AO85" s="365" t="e">
        <f t="shared" si="16"/>
        <v>#N/A</v>
      </c>
      <c r="AP85" s="365"/>
    </row>
    <row r="86" spans="2:42" x14ac:dyDescent="0.35">
      <c r="B86" s="92"/>
      <c r="C86" s="92" t="s">
        <v>2423</v>
      </c>
      <c r="D86" s="84"/>
      <c r="E86" s="84" t="e">
        <f t="shared" ref="E86:K86" si="17">E4*(E96+E97+E98)</f>
        <v>#N/A</v>
      </c>
      <c r="F86" s="84" t="e">
        <f t="shared" si="17"/>
        <v>#N/A</v>
      </c>
      <c r="G86" s="84" t="e">
        <f t="shared" si="17"/>
        <v>#N/A</v>
      </c>
      <c r="H86" s="84" t="e">
        <f t="shared" si="17"/>
        <v>#N/A</v>
      </c>
      <c r="I86" s="84" t="e">
        <f t="shared" si="17"/>
        <v>#N/A</v>
      </c>
      <c r="J86" s="84" t="e">
        <f t="shared" si="17"/>
        <v>#N/A</v>
      </c>
      <c r="K86" s="84" t="e">
        <f t="shared" si="17"/>
        <v>#N/A</v>
      </c>
    </row>
    <row r="87" spans="2:42" x14ac:dyDescent="0.35">
      <c r="B87" s="92"/>
      <c r="C87" s="92" t="s">
        <v>2426</v>
      </c>
      <c r="D87" s="84"/>
      <c r="E87" s="84" t="e">
        <f t="shared" ref="E87:K87" si="18">E6*(E104+E106)</f>
        <v>#N/A</v>
      </c>
      <c r="F87" s="84" t="e">
        <f t="shared" si="18"/>
        <v>#N/A</v>
      </c>
      <c r="G87" s="84" t="e">
        <f t="shared" si="18"/>
        <v>#N/A</v>
      </c>
      <c r="H87" s="84" t="e">
        <f t="shared" si="18"/>
        <v>#N/A</v>
      </c>
      <c r="I87" s="84" t="e">
        <f t="shared" si="18"/>
        <v>#N/A</v>
      </c>
      <c r="J87" s="84" t="e">
        <f t="shared" si="18"/>
        <v>#N/A</v>
      </c>
      <c r="K87" s="84" t="e">
        <f t="shared" si="18"/>
        <v>#N/A</v>
      </c>
    </row>
    <row r="88" spans="2:42" x14ac:dyDescent="0.35">
      <c r="B88" s="92"/>
      <c r="C88" s="92" t="s">
        <v>2424</v>
      </c>
      <c r="D88" s="84"/>
      <c r="E88" s="84" t="e">
        <f t="shared" ref="E88:K88" si="19">E4*E95</f>
        <v>#N/A</v>
      </c>
      <c r="F88" s="84" t="e">
        <f t="shared" si="19"/>
        <v>#N/A</v>
      </c>
      <c r="G88" s="84" t="e">
        <f t="shared" si="19"/>
        <v>#N/A</v>
      </c>
      <c r="H88" s="84" t="e">
        <f t="shared" si="19"/>
        <v>#N/A</v>
      </c>
      <c r="I88" s="84" t="e">
        <f t="shared" si="19"/>
        <v>#N/A</v>
      </c>
      <c r="J88" s="84" t="e">
        <f t="shared" si="19"/>
        <v>#N/A</v>
      </c>
      <c r="K88" s="84" t="e">
        <f t="shared" si="19"/>
        <v>#N/A</v>
      </c>
    </row>
    <row r="89" spans="2:42" x14ac:dyDescent="0.35">
      <c r="B89" s="92"/>
      <c r="C89" s="92" t="s">
        <v>2427</v>
      </c>
      <c r="D89" s="84"/>
      <c r="E89" s="84" t="e">
        <f t="shared" ref="E89:K89" si="20">E6*(E102+E105)</f>
        <v>#N/A</v>
      </c>
      <c r="F89" s="84" t="e">
        <f t="shared" si="20"/>
        <v>#N/A</v>
      </c>
      <c r="G89" s="84" t="e">
        <f t="shared" si="20"/>
        <v>#N/A</v>
      </c>
      <c r="H89" s="84" t="e">
        <f t="shared" si="20"/>
        <v>#N/A</v>
      </c>
      <c r="I89" s="84" t="e">
        <f t="shared" si="20"/>
        <v>#N/A</v>
      </c>
      <c r="J89" s="84" t="e">
        <f t="shared" si="20"/>
        <v>#N/A</v>
      </c>
      <c r="K89" s="84" t="e">
        <f t="shared" si="20"/>
        <v>#N/A</v>
      </c>
    </row>
    <row r="90" spans="2:42" x14ac:dyDescent="0.35">
      <c r="B90" s="92"/>
      <c r="C90" s="92" t="s">
        <v>2428</v>
      </c>
      <c r="D90" s="84"/>
      <c r="E90" s="84" t="e">
        <f t="shared" ref="E90:K90" si="21">E6*E103</f>
        <v>#N/A</v>
      </c>
      <c r="F90" s="84" t="e">
        <f t="shared" si="21"/>
        <v>#N/A</v>
      </c>
      <c r="G90" s="84" t="e">
        <f t="shared" si="21"/>
        <v>#N/A</v>
      </c>
      <c r="H90" s="84" t="e">
        <f t="shared" si="21"/>
        <v>#N/A</v>
      </c>
      <c r="I90" s="84" t="e">
        <f t="shared" si="21"/>
        <v>#N/A</v>
      </c>
      <c r="J90" s="84" t="e">
        <f t="shared" si="21"/>
        <v>#N/A</v>
      </c>
      <c r="K90" s="84" t="e">
        <f t="shared" si="21"/>
        <v>#N/A</v>
      </c>
    </row>
    <row r="91" spans="2:42" x14ac:dyDescent="0.35">
      <c r="D91" s="84"/>
      <c r="E91" s="84" t="e">
        <f t="shared" ref="E91:K91" si="22">SUM(E79:E90)</f>
        <v>#N/A</v>
      </c>
      <c r="F91" s="84" t="e">
        <f>SUM(F79:F90)</f>
        <v>#N/A</v>
      </c>
      <c r="G91" s="84" t="e">
        <f t="shared" si="22"/>
        <v>#N/A</v>
      </c>
      <c r="H91" s="84" t="e">
        <f t="shared" si="22"/>
        <v>#N/A</v>
      </c>
      <c r="I91" s="84" t="e">
        <f t="shared" si="22"/>
        <v>#N/A</v>
      </c>
      <c r="J91" s="84" t="e">
        <f t="shared" si="22"/>
        <v>#N/A</v>
      </c>
      <c r="K91" s="84" t="e">
        <f t="shared" si="22"/>
        <v>#N/A</v>
      </c>
    </row>
    <row r="93" spans="2:42" x14ac:dyDescent="0.35">
      <c r="D93" s="341" t="s">
        <v>2297</v>
      </c>
      <c r="E93" s="133">
        <v>2020</v>
      </c>
      <c r="F93" s="133">
        <v>2025</v>
      </c>
      <c r="G93" s="133">
        <v>2030</v>
      </c>
      <c r="H93" s="133">
        <v>2035</v>
      </c>
      <c r="I93" s="133">
        <v>2040</v>
      </c>
      <c r="J93" s="133">
        <v>2045</v>
      </c>
      <c r="K93" s="133">
        <v>2050</v>
      </c>
    </row>
    <row r="94" spans="2:42" x14ac:dyDescent="0.35">
      <c r="D94" s="64" t="str">
        <f>'Verkehr - EE im Kraftstoff'!W4</f>
        <v>Diesel</v>
      </c>
      <c r="E94" s="348" t="e">
        <f>'Verkehr - EE im Kraftstoff'!X4</f>
        <v>#N/A</v>
      </c>
      <c r="F94" s="348" t="e">
        <f>'Verkehr - EE im Kraftstoff'!Y4</f>
        <v>#N/A</v>
      </c>
      <c r="G94" s="348" t="e">
        <f>'Verkehr - EE im Kraftstoff'!Z4</f>
        <v>#N/A</v>
      </c>
      <c r="H94" s="348" t="e">
        <f>'Verkehr - EE im Kraftstoff'!AA4</f>
        <v>#N/A</v>
      </c>
      <c r="I94" s="348" t="e">
        <f>'Verkehr - EE im Kraftstoff'!AB4</f>
        <v>#N/A</v>
      </c>
      <c r="J94" s="348" t="e">
        <f>'Verkehr - EE im Kraftstoff'!AC4</f>
        <v>#N/A</v>
      </c>
      <c r="K94" s="348" t="e">
        <f>'Verkehr - EE im Kraftstoff'!AD4</f>
        <v>#N/A</v>
      </c>
    </row>
    <row r="95" spans="2:42" x14ac:dyDescent="0.35">
      <c r="D95" s="64" t="str">
        <f>'Verkehr - EE im Kraftstoff'!W5</f>
        <v>Bio Diesel</v>
      </c>
      <c r="E95" s="348" t="e">
        <f>'Verkehr - EE im Kraftstoff'!X5</f>
        <v>#N/A</v>
      </c>
      <c r="F95" s="348" t="e">
        <f>'Verkehr - EE im Kraftstoff'!Y5</f>
        <v>#N/A</v>
      </c>
      <c r="G95" s="348" t="e">
        <f>'Verkehr - EE im Kraftstoff'!Z5</f>
        <v>#N/A</v>
      </c>
      <c r="H95" s="348" t="e">
        <f>'Verkehr - EE im Kraftstoff'!AA5</f>
        <v>#N/A</v>
      </c>
      <c r="I95" s="348" t="e">
        <f>'Verkehr - EE im Kraftstoff'!AB5</f>
        <v>#N/A</v>
      </c>
      <c r="J95" s="348" t="e">
        <f>'Verkehr - EE im Kraftstoff'!AC5</f>
        <v>#N/A</v>
      </c>
      <c r="K95" s="348" t="e">
        <f>'Verkehr - EE im Kraftstoff'!AD5</f>
        <v>#N/A</v>
      </c>
    </row>
    <row r="96" spans="2:42" x14ac:dyDescent="0.35">
      <c r="D96" s="64" t="str">
        <f>'Verkehr - EE im Kraftstoff'!W6</f>
        <v>FT Diesel</v>
      </c>
      <c r="E96" s="348" t="e">
        <f>'Verkehr - EE im Kraftstoff'!X6</f>
        <v>#N/A</v>
      </c>
      <c r="F96" s="348" t="e">
        <f>'Verkehr - EE im Kraftstoff'!Y6</f>
        <v>#N/A</v>
      </c>
      <c r="G96" s="348" t="e">
        <f>'Verkehr - EE im Kraftstoff'!Z6</f>
        <v>#N/A</v>
      </c>
      <c r="H96" s="348" t="e">
        <f>'Verkehr - EE im Kraftstoff'!AA6</f>
        <v>#N/A</v>
      </c>
      <c r="I96" s="348" t="e">
        <f>'Verkehr - EE im Kraftstoff'!AB6</f>
        <v>#N/A</v>
      </c>
      <c r="J96" s="348" t="e">
        <f>'Verkehr - EE im Kraftstoff'!AC6</f>
        <v>#N/A</v>
      </c>
      <c r="K96" s="348" t="e">
        <f>'Verkehr - EE im Kraftstoff'!AD6</f>
        <v>#N/A</v>
      </c>
    </row>
    <row r="97" spans="4:11" x14ac:dyDescent="0.35">
      <c r="D97" s="64" t="str">
        <f>'Verkehr - EE im Kraftstoff'!W7</f>
        <v>Syn Diesel</v>
      </c>
      <c r="E97" s="348" t="e">
        <f>'Verkehr - EE im Kraftstoff'!X7</f>
        <v>#N/A</v>
      </c>
      <c r="F97" s="348" t="e">
        <f>'Verkehr - EE im Kraftstoff'!Y7</f>
        <v>#N/A</v>
      </c>
      <c r="G97" s="348" t="e">
        <f>'Verkehr - EE im Kraftstoff'!Z7</f>
        <v>#N/A</v>
      </c>
      <c r="H97" s="348" t="e">
        <f>'Verkehr - EE im Kraftstoff'!AA7</f>
        <v>#N/A</v>
      </c>
      <c r="I97" s="348" t="e">
        <f>'Verkehr - EE im Kraftstoff'!AB7</f>
        <v>#N/A</v>
      </c>
      <c r="J97" s="348" t="e">
        <f>'Verkehr - EE im Kraftstoff'!AC7</f>
        <v>#N/A</v>
      </c>
      <c r="K97" s="348" t="e">
        <f>'Verkehr - EE im Kraftstoff'!AD7</f>
        <v>#N/A</v>
      </c>
    </row>
    <row r="98" spans="4:11" x14ac:dyDescent="0.35">
      <c r="D98" s="64" t="str">
        <f>'Verkehr - EE im Kraftstoff'!W8</f>
        <v>Import</v>
      </c>
      <c r="E98" s="348" t="e">
        <f>'Verkehr - EE im Kraftstoff'!X8</f>
        <v>#N/A</v>
      </c>
      <c r="F98" s="348" t="e">
        <f>'Verkehr - EE im Kraftstoff'!Y8</f>
        <v>#N/A</v>
      </c>
      <c r="G98" s="348" t="e">
        <f>'Verkehr - EE im Kraftstoff'!Z8</f>
        <v>#N/A</v>
      </c>
      <c r="H98" s="348" t="e">
        <f>'Verkehr - EE im Kraftstoff'!AA8</f>
        <v>#N/A</v>
      </c>
      <c r="I98" s="348" t="e">
        <f>'Verkehr - EE im Kraftstoff'!AB8</f>
        <v>#N/A</v>
      </c>
      <c r="J98" s="348" t="e">
        <f>'Verkehr - EE im Kraftstoff'!AC8</f>
        <v>#N/A</v>
      </c>
      <c r="K98" s="348" t="e">
        <f>'Verkehr - EE im Kraftstoff'!AD8</f>
        <v>#N/A</v>
      </c>
    </row>
    <row r="99" spans="4:11" x14ac:dyDescent="0.35">
      <c r="E99" s="348"/>
      <c r="F99" s="348"/>
      <c r="G99" s="348"/>
      <c r="H99" s="348"/>
      <c r="I99" s="348"/>
      <c r="J99" s="348"/>
      <c r="K99" s="348"/>
    </row>
    <row r="100" spans="4:11" x14ac:dyDescent="0.35">
      <c r="D100" s="64" t="s">
        <v>2298</v>
      </c>
      <c r="E100" s="133">
        <v>2020</v>
      </c>
      <c r="F100" s="133">
        <v>2025</v>
      </c>
      <c r="G100" s="133">
        <v>2030</v>
      </c>
      <c r="H100" s="133">
        <v>2035</v>
      </c>
      <c r="I100" s="133">
        <v>2040</v>
      </c>
      <c r="J100" s="133">
        <v>2045</v>
      </c>
      <c r="K100" s="133">
        <v>2050</v>
      </c>
    </row>
    <row r="101" spans="4:11" x14ac:dyDescent="0.35">
      <c r="D101" s="64" t="str">
        <f>'Verkehr - EE im Kraftstoff'!W16</f>
        <v>Gasoline</v>
      </c>
      <c r="E101" s="348" t="e">
        <f>'Verkehr - EE im Kraftstoff'!X16</f>
        <v>#N/A</v>
      </c>
      <c r="F101" s="348" t="e">
        <f>'Verkehr - EE im Kraftstoff'!Y16</f>
        <v>#N/A</v>
      </c>
      <c r="G101" s="348" t="e">
        <f>'Verkehr - EE im Kraftstoff'!Z16</f>
        <v>#N/A</v>
      </c>
      <c r="H101" s="348" t="e">
        <f>'Verkehr - EE im Kraftstoff'!AA16</f>
        <v>#N/A</v>
      </c>
      <c r="I101" s="348" t="e">
        <f>'Verkehr - EE im Kraftstoff'!AB16</f>
        <v>#N/A</v>
      </c>
      <c r="J101" s="348" t="e">
        <f>'Verkehr - EE im Kraftstoff'!AC16</f>
        <v>#N/A</v>
      </c>
      <c r="K101" s="348" t="e">
        <f>'Verkehr - EE im Kraftstoff'!AD16</f>
        <v>#DIV/0!</v>
      </c>
    </row>
    <row r="102" spans="4:11" x14ac:dyDescent="0.35">
      <c r="D102" s="64" t="str">
        <f>'Verkehr - EE im Kraftstoff'!W17</f>
        <v>Bio Ethanol</v>
      </c>
      <c r="E102" s="348" t="e">
        <f>'Verkehr - EE im Kraftstoff'!X17</f>
        <v>#N/A</v>
      </c>
      <c r="F102" s="348" t="e">
        <f>'Verkehr - EE im Kraftstoff'!Y17</f>
        <v>#N/A</v>
      </c>
      <c r="G102" s="348" t="e">
        <f>'Verkehr - EE im Kraftstoff'!Z17</f>
        <v>#N/A</v>
      </c>
      <c r="H102" s="348" t="e">
        <f>'Verkehr - EE im Kraftstoff'!AA17</f>
        <v>#N/A</v>
      </c>
      <c r="I102" s="348" t="e">
        <f>'Verkehr - EE im Kraftstoff'!AB17</f>
        <v>#N/A</v>
      </c>
      <c r="J102" s="348" t="e">
        <f>'Verkehr - EE im Kraftstoff'!AC17</f>
        <v>#N/A</v>
      </c>
      <c r="K102" s="348" t="e">
        <f>'Verkehr - EE im Kraftstoff'!AD17</f>
        <v>#N/A</v>
      </c>
    </row>
    <row r="103" spans="4:11" x14ac:dyDescent="0.35">
      <c r="D103" s="64" t="str">
        <f>'Verkehr - EE im Kraftstoff'!W18</f>
        <v>Methane</v>
      </c>
      <c r="E103" s="348" t="e">
        <f>'Verkehr - EE im Kraftstoff'!X18</f>
        <v>#N/A</v>
      </c>
      <c r="F103" s="348" t="e">
        <f>'Verkehr - EE im Kraftstoff'!Y18</f>
        <v>#N/A</v>
      </c>
      <c r="G103" s="348" t="e">
        <f>'Verkehr - EE im Kraftstoff'!Z18</f>
        <v>#N/A</v>
      </c>
      <c r="H103" s="348" t="e">
        <f>'Verkehr - EE im Kraftstoff'!AA18</f>
        <v>#N/A</v>
      </c>
      <c r="I103" s="348" t="e">
        <f>'Verkehr - EE im Kraftstoff'!AB18</f>
        <v>#N/A</v>
      </c>
      <c r="J103" s="348" t="e">
        <f>'Verkehr - EE im Kraftstoff'!AC18</f>
        <v>#N/A</v>
      </c>
      <c r="K103" s="348" t="e">
        <f>'Verkehr - EE im Kraftstoff'!AD18</f>
        <v>#N/A</v>
      </c>
    </row>
    <row r="104" spans="4:11" x14ac:dyDescent="0.35">
      <c r="D104" s="64" t="str">
        <f>'Verkehr - EE im Kraftstoff'!W19</f>
        <v>FT Gas</v>
      </c>
      <c r="E104" s="348" t="e">
        <f>'Verkehr - EE im Kraftstoff'!X19</f>
        <v>#N/A</v>
      </c>
      <c r="F104" s="348" t="e">
        <f>'Verkehr - EE im Kraftstoff'!Y19</f>
        <v>#N/A</v>
      </c>
      <c r="G104" s="348" t="e">
        <f>'Verkehr - EE im Kraftstoff'!Z19</f>
        <v>#N/A</v>
      </c>
      <c r="H104" s="348" t="e">
        <f>'Verkehr - EE im Kraftstoff'!AA19</f>
        <v>#N/A</v>
      </c>
      <c r="I104" s="348" t="e">
        <f>'Verkehr - EE im Kraftstoff'!AB19</f>
        <v>#N/A</v>
      </c>
      <c r="J104" s="348" t="e">
        <f>'Verkehr - EE im Kraftstoff'!AC19</f>
        <v>#N/A</v>
      </c>
      <c r="K104" s="348" t="e">
        <f>'Verkehr - EE im Kraftstoff'!AD19</f>
        <v>#DIV/0!</v>
      </c>
    </row>
    <row r="105" spans="4:11" x14ac:dyDescent="0.35">
      <c r="D105" s="64" t="str">
        <f>'Verkehr - EE im Kraftstoff'!W20</f>
        <v>Bio Gas</v>
      </c>
      <c r="E105" s="348" t="e">
        <f>'Verkehr - EE im Kraftstoff'!X20</f>
        <v>#N/A</v>
      </c>
      <c r="F105" s="348" t="e">
        <f>'Verkehr - EE im Kraftstoff'!Y20</f>
        <v>#N/A</v>
      </c>
      <c r="G105" s="348" t="e">
        <f>'Verkehr - EE im Kraftstoff'!Z20</f>
        <v>#N/A</v>
      </c>
      <c r="H105" s="348" t="e">
        <f>'Verkehr - EE im Kraftstoff'!AA20</f>
        <v>#N/A</v>
      </c>
      <c r="I105" s="348" t="e">
        <f>'Verkehr - EE im Kraftstoff'!AB20</f>
        <v>#N/A</v>
      </c>
      <c r="J105" s="348" t="e">
        <f>'Verkehr - EE im Kraftstoff'!AC20</f>
        <v>#N/A</v>
      </c>
      <c r="K105" s="348" t="e">
        <f>'Verkehr - EE im Kraftstoff'!AD20</f>
        <v>#DIV/0!</v>
      </c>
    </row>
    <row r="106" spans="4:11" x14ac:dyDescent="0.35">
      <c r="D106" s="64" t="str">
        <f>'Verkehr - EE im Kraftstoff'!W21</f>
        <v>Import</v>
      </c>
      <c r="E106" s="348" t="e">
        <f>'Verkehr - EE im Kraftstoff'!X21</f>
        <v>#N/A</v>
      </c>
      <c r="F106" s="348" t="e">
        <f>'Verkehr - EE im Kraftstoff'!Y21</f>
        <v>#N/A</v>
      </c>
      <c r="G106" s="348" t="e">
        <f>'Verkehr - EE im Kraftstoff'!Z21</f>
        <v>#N/A</v>
      </c>
      <c r="H106" s="348" t="e">
        <f>'Verkehr - EE im Kraftstoff'!AA21</f>
        <v>#N/A</v>
      </c>
      <c r="I106" s="348" t="e">
        <f>'Verkehr - EE im Kraftstoff'!AB21</f>
        <v>#N/A</v>
      </c>
      <c r="J106" s="348" t="e">
        <f>'Verkehr - EE im Kraftstoff'!AC21</f>
        <v>#N/A</v>
      </c>
      <c r="K106" s="348" t="e">
        <f>'Verkehr - EE im Kraftstoff'!AD21</f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3"/>
  </sheetPr>
  <dimension ref="A1:AH62"/>
  <sheetViews>
    <sheetView topLeftCell="A34" zoomScale="70" zoomScaleNormal="70" workbookViewId="0">
      <selection activeCell="M88" sqref="M88"/>
    </sheetView>
  </sheetViews>
  <sheetFormatPr baseColWidth="10" defaultColWidth="11.453125" defaultRowHeight="14.5" x14ac:dyDescent="0.35"/>
  <cols>
    <col min="1" max="1" width="35.453125" style="132" bestFit="1" customWidth="1"/>
    <col min="2" max="2" width="20.1796875" style="132" bestFit="1" customWidth="1"/>
    <col min="3" max="11" width="11.453125" style="132"/>
    <col min="12" max="12" width="33.453125" style="132" bestFit="1" customWidth="1"/>
    <col min="13" max="13" width="33.453125" style="190" customWidth="1"/>
    <col min="14" max="14" width="20.1796875" style="132" bestFit="1" customWidth="1"/>
    <col min="15" max="16384" width="11.453125" style="132"/>
  </cols>
  <sheetData>
    <row r="1" spans="1:22" ht="15" thickBot="1" x14ac:dyDescent="0.4">
      <c r="A1" s="133" t="s">
        <v>1165</v>
      </c>
      <c r="L1" s="133" t="s">
        <v>1492</v>
      </c>
    </row>
    <row r="2" spans="1:22" x14ac:dyDescent="0.35">
      <c r="A2" s="87"/>
      <c r="B2" s="88" t="s">
        <v>1317</v>
      </c>
      <c r="C2" s="89">
        <v>2</v>
      </c>
      <c r="D2" s="89">
        <v>3</v>
      </c>
      <c r="E2" s="89">
        <v>4</v>
      </c>
      <c r="F2" s="89">
        <v>5</v>
      </c>
      <c r="G2" s="89">
        <v>6</v>
      </c>
      <c r="H2" s="89">
        <v>7</v>
      </c>
      <c r="I2" s="89">
        <v>8</v>
      </c>
      <c r="J2" s="89">
        <v>9</v>
      </c>
      <c r="L2" s="87"/>
      <c r="M2" s="89"/>
      <c r="N2" s="88" t="s">
        <v>1317</v>
      </c>
      <c r="O2" s="89">
        <v>2</v>
      </c>
      <c r="P2" s="89">
        <v>3</v>
      </c>
      <c r="Q2" s="89">
        <v>4</v>
      </c>
      <c r="R2" s="89">
        <v>5</v>
      </c>
      <c r="S2" s="89">
        <v>6</v>
      </c>
      <c r="T2" s="89">
        <v>7</v>
      </c>
      <c r="U2" s="89">
        <v>8</v>
      </c>
      <c r="V2" s="89">
        <v>9</v>
      </c>
    </row>
    <row r="3" spans="1:22" x14ac:dyDescent="0.35">
      <c r="A3" s="40" t="s">
        <v>1415</v>
      </c>
      <c r="B3" s="92"/>
      <c r="C3" s="133" t="s">
        <v>1417</v>
      </c>
      <c r="D3" s="133">
        <v>2020</v>
      </c>
      <c r="E3" s="133">
        <v>2025</v>
      </c>
      <c r="F3" s="133">
        <v>2030</v>
      </c>
      <c r="G3" s="133">
        <v>2035</v>
      </c>
      <c r="H3" s="133">
        <v>2040</v>
      </c>
      <c r="I3" s="133">
        <v>2045</v>
      </c>
      <c r="J3" s="133">
        <v>2050</v>
      </c>
      <c r="L3" s="40" t="s">
        <v>1415</v>
      </c>
      <c r="M3" s="92"/>
      <c r="N3" s="92"/>
      <c r="O3" s="133" t="s">
        <v>1417</v>
      </c>
      <c r="P3" s="133">
        <v>2020</v>
      </c>
      <c r="Q3" s="133">
        <v>2025</v>
      </c>
      <c r="R3" s="133">
        <v>2030</v>
      </c>
      <c r="S3" s="133">
        <v>2035</v>
      </c>
      <c r="T3" s="133">
        <v>2040</v>
      </c>
      <c r="U3" s="133">
        <v>2045</v>
      </c>
      <c r="V3" s="133">
        <v>2050</v>
      </c>
    </row>
    <row r="4" spans="1:22" x14ac:dyDescent="0.35">
      <c r="A4" s="40" t="s">
        <v>688</v>
      </c>
      <c r="B4" s="92" t="s">
        <v>1325</v>
      </c>
      <c r="C4" s="96" t="e">
        <f>VLOOKUP($A4,flows!$A$2:$J$4985,C$2,FALSE)</f>
        <v>#N/A</v>
      </c>
      <c r="D4" s="96" t="e">
        <f>VLOOKUP($A4,flows!$A$2:$J$4985,D$2,FALSE)</f>
        <v>#N/A</v>
      </c>
      <c r="E4" s="96" t="e">
        <f>VLOOKUP($A4,flows!$A$2:$J$4985,E$2,FALSE)</f>
        <v>#N/A</v>
      </c>
      <c r="F4" s="96" t="e">
        <f>VLOOKUP($A4,flows!$A$2:$J$4985,F$2,FALSE)</f>
        <v>#N/A</v>
      </c>
      <c r="G4" s="96" t="e">
        <f>VLOOKUP($A4,flows!$A$2:$J$4985,G$2,FALSE)</f>
        <v>#N/A</v>
      </c>
      <c r="H4" s="96" t="e">
        <f>VLOOKUP($A4,flows!$A$2:$J$4985,H$2,FALSE)</f>
        <v>#N/A</v>
      </c>
      <c r="I4" s="96" t="e">
        <f>VLOOKUP($A4,flows!$A$2:$J$4985,I$2,FALSE)</f>
        <v>#N/A</v>
      </c>
      <c r="J4" s="96" t="e">
        <f>VLOOKUP($A4,flows!$A$2:$J$4985,J$2,FALSE)</f>
        <v>#N/A</v>
      </c>
      <c r="L4" s="40" t="s">
        <v>681</v>
      </c>
      <c r="M4" s="92" t="s">
        <v>1534</v>
      </c>
      <c r="N4" s="92" t="s">
        <v>1473</v>
      </c>
      <c r="O4" s="96" t="e">
        <f>VLOOKUP($L4,flows!$A$2:$J$4985,O$2,FALSE)</f>
        <v>#N/A</v>
      </c>
      <c r="P4" s="96" t="e">
        <f>VLOOKUP($L4,flows!$A$2:$J$4985,P$2,FALSE)</f>
        <v>#N/A</v>
      </c>
      <c r="Q4" s="96" t="e">
        <f>VLOOKUP($L4,flows!$A$2:$J$4985,Q$2,FALSE)</f>
        <v>#N/A</v>
      </c>
      <c r="R4" s="96" t="e">
        <f>VLOOKUP($L4,flows!$A$2:$J$4985,R$2,FALSE)</f>
        <v>#N/A</v>
      </c>
      <c r="S4" s="96" t="e">
        <f>VLOOKUP($L4,flows!$A$2:$J$4985,S$2,FALSE)</f>
        <v>#N/A</v>
      </c>
      <c r="T4" s="96" t="e">
        <f>VLOOKUP($L4,flows!$A$2:$J$4985,T$2,FALSE)</f>
        <v>#N/A</v>
      </c>
      <c r="U4" s="96" t="e">
        <f>VLOOKUP($L4,flows!$A$2:$J$4985,U$2,FALSE)</f>
        <v>#N/A</v>
      </c>
      <c r="V4" s="96" t="e">
        <f>VLOOKUP($L4,flows!$A$2:$J$4985,V$2,FALSE)</f>
        <v>#N/A</v>
      </c>
    </row>
    <row r="5" spans="1:22" x14ac:dyDescent="0.35">
      <c r="A5" s="40" t="s">
        <v>855</v>
      </c>
      <c r="B5" s="92" t="s">
        <v>1757</v>
      </c>
      <c r="C5" s="96" t="e">
        <f>VLOOKUP($A5,flows!$A$2:$J$4985,C$2,FALSE)</f>
        <v>#N/A</v>
      </c>
      <c r="D5" s="96" t="e">
        <f>VLOOKUP($A5,flows!$A$2:$J$4985,D$2,FALSE)</f>
        <v>#N/A</v>
      </c>
      <c r="E5" s="96" t="e">
        <f>VLOOKUP($A5,flows!$A$2:$J$4985,E$2,FALSE)</f>
        <v>#N/A</v>
      </c>
      <c r="F5" s="96" t="e">
        <f>VLOOKUP($A5,flows!$A$2:$J$4985,F$2,FALSE)</f>
        <v>#N/A</v>
      </c>
      <c r="G5" s="96" t="e">
        <f>VLOOKUP($A5,flows!$A$2:$J$4985,G$2,FALSE)</f>
        <v>#N/A</v>
      </c>
      <c r="H5" s="96" t="e">
        <f>VLOOKUP($A5,flows!$A$2:$J$4985,H$2,FALSE)</f>
        <v>#N/A</v>
      </c>
      <c r="I5" s="96" t="e">
        <f>VLOOKUP($A5,flows!$A$2:$J$4985,I$2,FALSE)</f>
        <v>#N/A</v>
      </c>
      <c r="J5" s="96" t="e">
        <f>VLOOKUP($A5,flows!$A$2:$J$4985,J$2,FALSE)</f>
        <v>#N/A</v>
      </c>
      <c r="L5" s="40" t="s">
        <v>686</v>
      </c>
      <c r="M5" s="92" t="s">
        <v>1750</v>
      </c>
      <c r="N5" s="92" t="s">
        <v>2429</v>
      </c>
      <c r="O5" s="96" t="e">
        <f>VLOOKUP($L5,flows!$A$2:$J$4985,O$2,FALSE)</f>
        <v>#N/A</v>
      </c>
      <c r="P5" s="96" t="e">
        <f>VLOOKUP($L5,flows!$A$2:$J$4985,P$2,FALSE)</f>
        <v>#N/A</v>
      </c>
      <c r="Q5" s="96" t="e">
        <f>VLOOKUP($L5,flows!$A$2:$J$4985,Q$2,FALSE)</f>
        <v>#N/A</v>
      </c>
      <c r="R5" s="96" t="e">
        <f>VLOOKUP($L5,flows!$A$2:$J$4985,R$2,FALSE)</f>
        <v>#N/A</v>
      </c>
      <c r="S5" s="96" t="e">
        <f>VLOOKUP($L5,flows!$A$2:$J$4985,S$2,FALSE)</f>
        <v>#N/A</v>
      </c>
      <c r="T5" s="96" t="e">
        <f>VLOOKUP($L5,flows!$A$2:$J$4985,T$2,FALSE)</f>
        <v>#N/A</v>
      </c>
      <c r="U5" s="96" t="e">
        <f>VLOOKUP($L5,flows!$A$2:$J$4985,U$2,FALSE)</f>
        <v>#N/A</v>
      </c>
      <c r="V5" s="96" t="e">
        <f>VLOOKUP($L5,flows!$A$2:$J$4985,V$2,FALSE)</f>
        <v>#N/A</v>
      </c>
    </row>
    <row r="6" spans="1:22" x14ac:dyDescent="0.35">
      <c r="A6" s="40" t="s">
        <v>691</v>
      </c>
      <c r="B6" s="92" t="s">
        <v>1748</v>
      </c>
      <c r="C6" s="96" t="e">
        <f>VLOOKUP($A6,flows!$A$2:$J$4985,C$2,FALSE)</f>
        <v>#N/A</v>
      </c>
      <c r="D6" s="96" t="e">
        <f>VLOOKUP($A6,flows!$A$2:$J$4985,D$2,FALSE)</f>
        <v>#N/A</v>
      </c>
      <c r="E6" s="96" t="e">
        <f>VLOOKUP($A6,flows!$A$2:$J$4985,E$2,FALSE)</f>
        <v>#N/A</v>
      </c>
      <c r="F6" s="96" t="e">
        <f>VLOOKUP($A6,flows!$A$2:$J$4985,F$2,FALSE)</f>
        <v>#N/A</v>
      </c>
      <c r="G6" s="96" t="e">
        <f>VLOOKUP($A6,flows!$A$2:$J$4985,G$2,FALSE)</f>
        <v>#N/A</v>
      </c>
      <c r="H6" s="96" t="e">
        <f>VLOOKUP($A6,flows!$A$2:$J$4985,H$2,FALSE)</f>
        <v>#N/A</v>
      </c>
      <c r="I6" s="96" t="e">
        <f>VLOOKUP($A6,flows!$A$2:$J$4985,I$2,FALSE)</f>
        <v>#N/A</v>
      </c>
      <c r="J6" s="96" t="e">
        <f>VLOOKUP($A6,flows!$A$2:$J$4985,J$2,FALSE)</f>
        <v>#N/A</v>
      </c>
      <c r="L6" s="40" t="s">
        <v>684</v>
      </c>
      <c r="M6" s="92" t="s">
        <v>1536</v>
      </c>
      <c r="N6" s="92" t="s">
        <v>2430</v>
      </c>
      <c r="O6" s="96" t="e">
        <f>VLOOKUP($L6,flows!$A$2:$J$4985,O$2,FALSE)</f>
        <v>#N/A</v>
      </c>
      <c r="P6" s="96" t="e">
        <f>VLOOKUP($L6,flows!$A$2:$J$4985,P$2,FALSE)</f>
        <v>#N/A</v>
      </c>
      <c r="Q6" s="96" t="e">
        <f>VLOOKUP($L6,flows!$A$2:$J$4985,Q$2,FALSE)</f>
        <v>#N/A</v>
      </c>
      <c r="R6" s="96" t="e">
        <f>VLOOKUP($L6,flows!$A$2:$J$4985,R$2,FALSE)</f>
        <v>#N/A</v>
      </c>
      <c r="S6" s="96" t="e">
        <f>VLOOKUP($L6,flows!$A$2:$J$4985,S$2,FALSE)</f>
        <v>#N/A</v>
      </c>
      <c r="T6" s="96" t="e">
        <f>VLOOKUP($L6,flows!$A$2:$J$4985,T$2,FALSE)</f>
        <v>#N/A</v>
      </c>
      <c r="U6" s="96" t="e">
        <f>VLOOKUP($L6,flows!$A$2:$J$4985,U$2,FALSE)</f>
        <v>#N/A</v>
      </c>
      <c r="V6" s="96" t="e">
        <f>VLOOKUP($L6,flows!$A$2:$J$4985,V$2,FALSE)</f>
        <v>#N/A</v>
      </c>
    </row>
    <row r="7" spans="1:22" x14ac:dyDescent="0.35">
      <c r="A7" s="40" t="s">
        <v>692</v>
      </c>
      <c r="B7" s="92" t="s">
        <v>1749</v>
      </c>
      <c r="C7" s="96" t="e">
        <f>VLOOKUP($A7,flows!$A$2:$J$4985,C$2,FALSE)</f>
        <v>#N/A</v>
      </c>
      <c r="D7" s="96" t="e">
        <f>VLOOKUP($A7,flows!$A$2:$J$4985,D$2,FALSE)</f>
        <v>#N/A</v>
      </c>
      <c r="E7" s="96" t="e">
        <f>VLOOKUP($A7,flows!$A$2:$J$4985,E$2,FALSE)</f>
        <v>#N/A</v>
      </c>
      <c r="F7" s="96" t="e">
        <f>VLOOKUP($A7,flows!$A$2:$J$4985,F$2,FALSE)</f>
        <v>#N/A</v>
      </c>
      <c r="G7" s="96" t="e">
        <f>VLOOKUP($A7,flows!$A$2:$J$4985,G$2,FALSE)</f>
        <v>#N/A</v>
      </c>
      <c r="H7" s="96" t="e">
        <f>VLOOKUP($A7,flows!$A$2:$J$4985,H$2,FALSE)</f>
        <v>#N/A</v>
      </c>
      <c r="I7" s="96" t="e">
        <f>VLOOKUP($A7,flows!$A$2:$J$4985,I$2,FALSE)</f>
        <v>#N/A</v>
      </c>
      <c r="J7" s="96" t="e">
        <f>VLOOKUP($A7,flows!$A$2:$J$4985,J$2,FALSE)</f>
        <v>#N/A</v>
      </c>
      <c r="L7" s="40" t="s">
        <v>685</v>
      </c>
      <c r="M7" s="137" t="s">
        <v>1960</v>
      </c>
      <c r="N7" s="92" t="s">
        <v>2431</v>
      </c>
      <c r="O7" s="96" t="e">
        <f>VLOOKUP($L7,flows!$A$2:$J$4985,O$2,FALSE)</f>
        <v>#N/A</v>
      </c>
      <c r="P7" s="96" t="e">
        <f>VLOOKUP($L7,flows!$A$2:$J$4985,P$2,FALSE)</f>
        <v>#N/A</v>
      </c>
      <c r="Q7" s="96" t="e">
        <f>VLOOKUP($L7,flows!$A$2:$J$4985,Q$2,FALSE)</f>
        <v>#N/A</v>
      </c>
      <c r="R7" s="96" t="e">
        <f>VLOOKUP($L7,flows!$A$2:$J$4985,R$2,FALSE)</f>
        <v>#N/A</v>
      </c>
      <c r="S7" s="96" t="e">
        <f>VLOOKUP($L7,flows!$A$2:$J$4985,S$2,FALSE)</f>
        <v>#N/A</v>
      </c>
      <c r="T7" s="96" t="e">
        <f>VLOOKUP($L7,flows!$A$2:$J$4985,T$2,FALSE)</f>
        <v>#N/A</v>
      </c>
      <c r="U7" s="96" t="e">
        <f>VLOOKUP($L7,flows!$A$2:$J$4985,U$2,FALSE)</f>
        <v>#N/A</v>
      </c>
      <c r="V7" s="96" t="e">
        <f>VLOOKUP($L7,flows!$A$2:$J$4985,V$2,FALSE)</f>
        <v>#N/A</v>
      </c>
    </row>
    <row r="8" spans="1:22" x14ac:dyDescent="0.35">
      <c r="A8" s="40" t="s">
        <v>679</v>
      </c>
      <c r="B8" s="92" t="s">
        <v>1222</v>
      </c>
      <c r="C8" s="96" t="e">
        <f>VLOOKUP($A8,flows!$A$2:$J$4985,C$2,FALSE)</f>
        <v>#N/A</v>
      </c>
      <c r="D8" s="96" t="e">
        <f>VLOOKUP($A8,flows!$A$2:$J$4985,D$2,FALSE)</f>
        <v>#N/A</v>
      </c>
      <c r="E8" s="96" t="e">
        <f>VLOOKUP($A8,flows!$A$2:$J$4985,E$2,FALSE)</f>
        <v>#N/A</v>
      </c>
      <c r="F8" s="96" t="e">
        <f>VLOOKUP($A8,flows!$A$2:$J$4985,F$2,FALSE)</f>
        <v>#N/A</v>
      </c>
      <c r="G8" s="96" t="e">
        <f>VLOOKUP($A8,flows!$A$2:$J$4985,G$2,FALSE)</f>
        <v>#N/A</v>
      </c>
      <c r="H8" s="96" t="e">
        <f>VLOOKUP($A8,flows!$A$2:$J$4985,H$2,FALSE)</f>
        <v>#N/A</v>
      </c>
      <c r="I8" s="96" t="e">
        <f>VLOOKUP($A8,flows!$A$2:$J$4985,I$2,FALSE)</f>
        <v>#N/A</v>
      </c>
      <c r="J8" s="96" t="e">
        <f>VLOOKUP($A8,flows!$A$2:$J$4985,J$2,FALSE)</f>
        <v>#N/A</v>
      </c>
      <c r="L8" s="40" t="s">
        <v>680</v>
      </c>
      <c r="M8" s="137" t="s">
        <v>1535</v>
      </c>
      <c r="N8" s="92" t="s">
        <v>2435</v>
      </c>
      <c r="O8" s="96" t="e">
        <f>VLOOKUP($L8,flows!$A$2:$J$4985,O$2,FALSE)</f>
        <v>#N/A</v>
      </c>
      <c r="P8" s="96" t="e">
        <f>VLOOKUP($L8,flows!$A$2:$J$4985,P$2,FALSE)</f>
        <v>#N/A</v>
      </c>
      <c r="Q8" s="96" t="e">
        <f>VLOOKUP($L8,flows!$A$2:$J$4985,Q$2,FALSE)</f>
        <v>#N/A</v>
      </c>
      <c r="R8" s="96" t="e">
        <f>VLOOKUP($L8,flows!$A$2:$J$4985,R$2,FALSE)</f>
        <v>#N/A</v>
      </c>
      <c r="S8" s="96" t="e">
        <f>VLOOKUP($L8,flows!$A$2:$J$4985,S$2,FALSE)</f>
        <v>#N/A</v>
      </c>
      <c r="T8" s="96" t="e">
        <f>VLOOKUP($L8,flows!$A$2:$J$4985,T$2,FALSE)</f>
        <v>#N/A</v>
      </c>
      <c r="U8" s="96" t="e">
        <f>VLOOKUP($L8,flows!$A$2:$J$4985,U$2,FALSE)</f>
        <v>#N/A</v>
      </c>
      <c r="V8" s="96" t="e">
        <f>VLOOKUP($L8,flows!$A$2:$J$4985,V$2,FALSE)</f>
        <v>#N/A</v>
      </c>
    </row>
    <row r="9" spans="1:22" x14ac:dyDescent="0.35">
      <c r="A9" s="40" t="s">
        <v>690</v>
      </c>
      <c r="B9" s="92" t="s">
        <v>1479</v>
      </c>
      <c r="C9" s="96" t="e">
        <f>VLOOKUP($A9,flows!$A$2:$J$4985,C$2,FALSE)</f>
        <v>#N/A</v>
      </c>
      <c r="D9" s="96" t="e">
        <f>VLOOKUP($A9,flows!$A$2:$J$4985,D$2,FALSE)</f>
        <v>#N/A</v>
      </c>
      <c r="E9" s="96" t="e">
        <f>VLOOKUP($A9,flows!$A$2:$J$4985,E$2,FALSE)</f>
        <v>#N/A</v>
      </c>
      <c r="F9" s="96" t="e">
        <f>VLOOKUP($A9,flows!$A$2:$J$4985,F$2,FALSE)</f>
        <v>#N/A</v>
      </c>
      <c r="G9" s="96" t="e">
        <f>VLOOKUP($A9,flows!$A$2:$J$4985,G$2,FALSE)</f>
        <v>#N/A</v>
      </c>
      <c r="H9" s="96" t="e">
        <f>VLOOKUP($A9,flows!$A$2:$J$4985,H$2,FALSE)</f>
        <v>#N/A</v>
      </c>
      <c r="I9" s="96" t="e">
        <f>VLOOKUP($A9,flows!$A$2:$J$4985,I$2,FALSE)</f>
        <v>#N/A</v>
      </c>
      <c r="J9" s="96" t="e">
        <f>VLOOKUP($A9,flows!$A$2:$J$4985,J$2,FALSE)</f>
        <v>#N/A</v>
      </c>
      <c r="L9" s="40" t="s">
        <v>683</v>
      </c>
      <c r="M9" s="137" t="s">
        <v>2436</v>
      </c>
      <c r="N9" s="92" t="s">
        <v>2432</v>
      </c>
      <c r="O9" s="96" t="e">
        <f>VLOOKUP($L9,flows!$A$2:$J$4985,O$2,FALSE)</f>
        <v>#N/A</v>
      </c>
      <c r="P9" s="96" t="e">
        <f>VLOOKUP($L9,flows!$A$2:$J$4985,P$2,FALSE)</f>
        <v>#N/A</v>
      </c>
      <c r="Q9" s="96" t="e">
        <f>VLOOKUP($L9,flows!$A$2:$J$4985,Q$2,FALSE)</f>
        <v>#N/A</v>
      </c>
      <c r="R9" s="96" t="e">
        <f>VLOOKUP($L9,flows!$A$2:$J$4985,R$2,FALSE)</f>
        <v>#N/A</v>
      </c>
      <c r="S9" s="96" t="e">
        <f>VLOOKUP($L9,flows!$A$2:$J$4985,S$2,FALSE)</f>
        <v>#N/A</v>
      </c>
      <c r="T9" s="96" t="e">
        <f>VLOOKUP($L9,flows!$A$2:$J$4985,T$2,FALSE)</f>
        <v>#N/A</v>
      </c>
      <c r="U9" s="96" t="e">
        <f>VLOOKUP($L9,flows!$A$2:$J$4985,U$2,FALSE)</f>
        <v>#N/A</v>
      </c>
      <c r="V9" s="96" t="e">
        <f>VLOOKUP($L9,flows!$A$2:$J$4985,V$2,FALSE)</f>
        <v>#N/A</v>
      </c>
    </row>
    <row r="10" spans="1:22" x14ac:dyDescent="0.35">
      <c r="A10" s="40" t="s">
        <v>689</v>
      </c>
      <c r="B10" s="92" t="s">
        <v>1483</v>
      </c>
      <c r="C10" s="96" t="e">
        <f>VLOOKUP($A10,flows!$A$2:$J$4985,C$2,FALSE)</f>
        <v>#N/A</v>
      </c>
      <c r="D10" s="96" t="e">
        <f>VLOOKUP($A10,flows!$A$2:$J$4985,D$2,FALSE)</f>
        <v>#N/A</v>
      </c>
      <c r="E10" s="96" t="e">
        <f>VLOOKUP($A10,flows!$A$2:$J$4985,E$2,FALSE)</f>
        <v>#N/A</v>
      </c>
      <c r="F10" s="96" t="e">
        <f>VLOOKUP($A10,flows!$A$2:$J$4985,F$2,FALSE)</f>
        <v>#N/A</v>
      </c>
      <c r="G10" s="96" t="e">
        <f>VLOOKUP($A10,flows!$A$2:$J$4985,G$2,FALSE)</f>
        <v>#N/A</v>
      </c>
      <c r="H10" s="96" t="e">
        <f>VLOOKUP($A10,flows!$A$2:$J$4985,H$2,FALSE)</f>
        <v>#N/A</v>
      </c>
      <c r="I10" s="96" t="e">
        <f>VLOOKUP($A10,flows!$A$2:$J$4985,I$2,FALSE)</f>
        <v>#N/A</v>
      </c>
      <c r="J10" s="96" t="e">
        <f>VLOOKUP($A10,flows!$A$2:$J$4985,J$2,FALSE)</f>
        <v>#N/A</v>
      </c>
      <c r="L10" s="40" t="s">
        <v>682</v>
      </c>
      <c r="M10" s="137" t="s">
        <v>2437</v>
      </c>
      <c r="N10" s="92" t="s">
        <v>2433</v>
      </c>
      <c r="O10" s="96" t="e">
        <f>VLOOKUP($L10,flows!$A$2:$J$4985,O$2,FALSE)</f>
        <v>#N/A</v>
      </c>
      <c r="P10" s="96" t="e">
        <f>VLOOKUP($L10,flows!$A$2:$J$4985,P$2,FALSE)</f>
        <v>#N/A</v>
      </c>
      <c r="Q10" s="96" t="e">
        <f>VLOOKUP($L10,flows!$A$2:$J$4985,Q$2,FALSE)</f>
        <v>#N/A</v>
      </c>
      <c r="R10" s="96" t="e">
        <f>VLOOKUP($L10,flows!$A$2:$J$4985,R$2,FALSE)</f>
        <v>#N/A</v>
      </c>
      <c r="S10" s="96" t="e">
        <f>VLOOKUP($L10,flows!$A$2:$J$4985,S$2,FALSE)</f>
        <v>#N/A</v>
      </c>
      <c r="T10" s="96" t="e">
        <f>VLOOKUP($L10,flows!$A$2:$J$4985,T$2,FALSE)</f>
        <v>#N/A</v>
      </c>
      <c r="U10" s="96" t="e">
        <f>VLOOKUP($L10,flows!$A$2:$J$4985,U$2,FALSE)</f>
        <v>#N/A</v>
      </c>
      <c r="V10" s="96" t="e">
        <f>VLOOKUP($L10,flows!$A$2:$J$4985,V$2,FALSE)</f>
        <v>#N/A</v>
      </c>
    </row>
    <row r="11" spans="1:22" x14ac:dyDescent="0.35">
      <c r="A11" s="40"/>
      <c r="B11" s="137" t="s">
        <v>1223</v>
      </c>
      <c r="C11" s="96" t="e">
        <f>C9+C10</f>
        <v>#N/A</v>
      </c>
      <c r="D11" s="96" t="e">
        <f t="shared" ref="D11:J11" si="0">D9+D10</f>
        <v>#N/A</v>
      </c>
      <c r="E11" s="96" t="e">
        <f t="shared" si="0"/>
        <v>#N/A</v>
      </c>
      <c r="F11" s="96" t="e">
        <f t="shared" si="0"/>
        <v>#N/A</v>
      </c>
      <c r="G11" s="96" t="e">
        <f t="shared" si="0"/>
        <v>#N/A</v>
      </c>
      <c r="H11" s="96" t="e">
        <f t="shared" si="0"/>
        <v>#N/A</v>
      </c>
      <c r="I11" s="96" t="e">
        <f t="shared" si="0"/>
        <v>#N/A</v>
      </c>
      <c r="J11" s="96" t="e">
        <f t="shared" si="0"/>
        <v>#N/A</v>
      </c>
      <c r="L11" s="40"/>
      <c r="M11" s="137" t="s">
        <v>1963</v>
      </c>
      <c r="N11" s="137" t="s">
        <v>2434</v>
      </c>
      <c r="O11" s="96" t="e">
        <f>O9+O10</f>
        <v>#N/A</v>
      </c>
      <c r="P11" s="96" t="e">
        <f t="shared" ref="P11:V11" si="1">P9+P10</f>
        <v>#N/A</v>
      </c>
      <c r="Q11" s="96" t="e">
        <f t="shared" si="1"/>
        <v>#N/A</v>
      </c>
      <c r="R11" s="96" t="e">
        <f t="shared" si="1"/>
        <v>#N/A</v>
      </c>
      <c r="S11" s="96" t="e">
        <f t="shared" si="1"/>
        <v>#N/A</v>
      </c>
      <c r="T11" s="96" t="e">
        <f t="shared" si="1"/>
        <v>#N/A</v>
      </c>
      <c r="U11" s="96" t="e">
        <f t="shared" si="1"/>
        <v>#N/A</v>
      </c>
      <c r="V11" s="96" t="e">
        <f t="shared" si="1"/>
        <v>#N/A</v>
      </c>
    </row>
    <row r="12" spans="1:22" ht="15" thickBot="1" x14ac:dyDescent="0.4">
      <c r="A12" s="41" t="s">
        <v>1050</v>
      </c>
      <c r="B12" s="77" t="s">
        <v>1484</v>
      </c>
      <c r="C12" s="101" t="e">
        <f>VLOOKUP($A12,flows!$A$2:$J$4985,2,FALSE)</f>
        <v>#N/A</v>
      </c>
      <c r="D12" s="101" t="e">
        <f>VLOOKUP($A12,flows!$A$2:$J$4985,3,FALSE)</f>
        <v>#N/A</v>
      </c>
      <c r="E12" s="101" t="e">
        <f>VLOOKUP($A12,flows!$A$2:$J$4985,4,FALSE)</f>
        <v>#N/A</v>
      </c>
      <c r="F12" s="101" t="e">
        <f>VLOOKUP($A12,flows!$A$2:$J$4985,5,FALSE)</f>
        <v>#N/A</v>
      </c>
      <c r="G12" s="101" t="e">
        <f>VLOOKUP($A12,flows!$A$2:$J$4985,6,FALSE)</f>
        <v>#N/A</v>
      </c>
      <c r="H12" s="101" t="e">
        <f>VLOOKUP($A12,flows!$A$2:$J$4985,7,FALSE)</f>
        <v>#N/A</v>
      </c>
      <c r="I12" s="101" t="e">
        <f>VLOOKUP($A12,flows!$A$2:$J$4985,8,FALSE)</f>
        <v>#N/A</v>
      </c>
      <c r="J12" s="101" t="e">
        <f>VLOOKUP($A12,flows!$A$2:$J$4985,9,FALSE)</f>
        <v>#N/A</v>
      </c>
      <c r="L12" s="41" t="s">
        <v>687</v>
      </c>
      <c r="M12" s="77" t="s">
        <v>1964</v>
      </c>
      <c r="N12" s="77" t="s">
        <v>1484</v>
      </c>
      <c r="O12" s="101" t="e">
        <f>VLOOKUP($L12,flows!$A$2:$J$4985,2,FALSE)</f>
        <v>#N/A</v>
      </c>
      <c r="P12" s="101" t="e">
        <f>VLOOKUP($L12,flows!$A$2:$J$4985,3,FALSE)</f>
        <v>#N/A</v>
      </c>
      <c r="Q12" s="101" t="e">
        <f>VLOOKUP($L12,flows!$A$2:$J$4985,4,FALSE)</f>
        <v>#N/A</v>
      </c>
      <c r="R12" s="101" t="e">
        <f>VLOOKUP($L12,flows!$A$2:$J$4985,5,FALSE)</f>
        <v>#N/A</v>
      </c>
      <c r="S12" s="101" t="e">
        <f>VLOOKUP($L12,flows!$A$2:$J$4985,6,FALSE)</f>
        <v>#N/A</v>
      </c>
      <c r="T12" s="101" t="e">
        <f>VLOOKUP($L12,flows!$A$2:$J$4985,7,FALSE)</f>
        <v>#N/A</v>
      </c>
      <c r="U12" s="101" t="e">
        <f>VLOOKUP($L12,flows!$A$2:$J$4985,8,FALSE)</f>
        <v>#N/A</v>
      </c>
      <c r="V12" s="101" t="e">
        <f>VLOOKUP($L12,flows!$A$2:$J$4985,9,FALSE)</f>
        <v>#N/A</v>
      </c>
    </row>
    <row r="14" spans="1:22" ht="15" thickBot="1" x14ac:dyDescent="0.4"/>
    <row r="15" spans="1:22" x14ac:dyDescent="0.35">
      <c r="A15" s="87"/>
      <c r="B15" s="88" t="s">
        <v>1316</v>
      </c>
      <c r="C15" s="89">
        <v>2</v>
      </c>
      <c r="D15" s="89">
        <v>3</v>
      </c>
      <c r="E15" s="89">
        <v>4</v>
      </c>
      <c r="F15" s="89">
        <v>5</v>
      </c>
      <c r="G15" s="89">
        <v>6</v>
      </c>
      <c r="H15" s="89">
        <v>7</v>
      </c>
      <c r="I15" s="89">
        <v>8</v>
      </c>
      <c r="J15" s="89">
        <v>9</v>
      </c>
      <c r="L15" s="87"/>
      <c r="M15" s="89"/>
      <c r="N15" s="88" t="s">
        <v>1316</v>
      </c>
      <c r="O15" s="89">
        <v>2</v>
      </c>
      <c r="P15" s="89">
        <v>3</v>
      </c>
      <c r="Q15" s="89">
        <v>4</v>
      </c>
      <c r="R15" s="89">
        <v>5</v>
      </c>
      <c r="S15" s="89">
        <v>6</v>
      </c>
      <c r="T15" s="89">
        <v>7</v>
      </c>
      <c r="U15" s="89">
        <v>8</v>
      </c>
      <c r="V15" s="89">
        <v>9</v>
      </c>
    </row>
    <row r="16" spans="1:22" x14ac:dyDescent="0.35">
      <c r="A16" s="40" t="s">
        <v>1415</v>
      </c>
      <c r="B16" s="92"/>
      <c r="C16" s="133" t="s">
        <v>1417</v>
      </c>
      <c r="D16" s="133">
        <v>2020</v>
      </c>
      <c r="E16" s="133">
        <v>2025</v>
      </c>
      <c r="F16" s="133">
        <v>2030</v>
      </c>
      <c r="G16" s="133">
        <v>2035</v>
      </c>
      <c r="H16" s="133">
        <v>2040</v>
      </c>
      <c r="I16" s="133">
        <v>2045</v>
      </c>
      <c r="J16" s="133">
        <v>2050</v>
      </c>
      <c r="L16" s="40" t="s">
        <v>1415</v>
      </c>
      <c r="M16" s="92"/>
      <c r="N16" s="92"/>
      <c r="O16" s="133" t="s">
        <v>1417</v>
      </c>
      <c r="P16" s="133">
        <v>2020</v>
      </c>
      <c r="Q16" s="133">
        <v>2025</v>
      </c>
      <c r="R16" s="133">
        <v>2030</v>
      </c>
      <c r="S16" s="133">
        <v>2035</v>
      </c>
      <c r="T16" s="133">
        <v>2040</v>
      </c>
      <c r="U16" s="133">
        <v>2045</v>
      </c>
      <c r="V16" s="133">
        <v>2050</v>
      </c>
    </row>
    <row r="17" spans="1:22" x14ac:dyDescent="0.35">
      <c r="A17" s="40"/>
      <c r="B17" s="92"/>
      <c r="C17" s="92"/>
      <c r="D17" s="92"/>
      <c r="E17" s="92"/>
      <c r="F17" s="92"/>
      <c r="G17" s="92"/>
      <c r="H17" s="92"/>
      <c r="I17" s="92"/>
      <c r="J17" s="92"/>
      <c r="L17" s="40"/>
      <c r="M17" s="92"/>
      <c r="N17" s="92"/>
      <c r="O17" s="92"/>
      <c r="P17" s="92"/>
      <c r="Q17" s="92"/>
      <c r="R17" s="92"/>
      <c r="S17" s="92"/>
      <c r="T17" s="92"/>
      <c r="U17" s="92"/>
      <c r="V17" s="92"/>
    </row>
    <row r="18" spans="1:22" x14ac:dyDescent="0.35">
      <c r="A18" s="40" t="s">
        <v>768</v>
      </c>
      <c r="B18" s="92" t="s">
        <v>1325</v>
      </c>
      <c r="C18" s="96" t="e">
        <f>VLOOKUP($A18,flows!$A$2:$J$4985,C$2,FALSE)</f>
        <v>#N/A</v>
      </c>
      <c r="D18" s="96" t="e">
        <f>VLOOKUP($A18,flows!$A$2:$J$4985,D$2,FALSE)</f>
        <v>#N/A</v>
      </c>
      <c r="E18" s="96" t="e">
        <f>VLOOKUP($A18,flows!$A$2:$J$4985,E$2,FALSE)</f>
        <v>#N/A</v>
      </c>
      <c r="F18" s="96" t="e">
        <f>VLOOKUP($A18,flows!$A$2:$J$4985,F$2,FALSE)</f>
        <v>#N/A</v>
      </c>
      <c r="G18" s="96" t="e">
        <f>VLOOKUP($A18,flows!$A$2:$J$4985,G$2,FALSE)</f>
        <v>#N/A</v>
      </c>
      <c r="H18" s="96" t="e">
        <f>VLOOKUP($A18,flows!$A$2:$J$4985,H$2,FALSE)</f>
        <v>#N/A</v>
      </c>
      <c r="I18" s="96" t="e">
        <f>VLOOKUP($A18,flows!$A$2:$J$4985,I$2,FALSE)</f>
        <v>#N/A</v>
      </c>
      <c r="J18" s="96" t="e">
        <f>VLOOKUP($A18,flows!$A$2:$J$4985,J$2,FALSE)</f>
        <v>#N/A</v>
      </c>
      <c r="L18" s="40" t="s">
        <v>764</v>
      </c>
      <c r="M18" s="92" t="s">
        <v>1534</v>
      </c>
      <c r="N18" s="92" t="s">
        <v>1473</v>
      </c>
      <c r="O18" s="96" t="e">
        <f>VLOOKUP($L18,flows!$A$2:$J$4985,O$2,FALSE)</f>
        <v>#N/A</v>
      </c>
      <c r="P18" s="96" t="e">
        <f>VLOOKUP($L18,flows!$A$2:$J$4985,P$2,FALSE)</f>
        <v>#N/A</v>
      </c>
      <c r="Q18" s="96" t="e">
        <f>VLOOKUP($L18,flows!$A$2:$J$4985,Q$2,FALSE)</f>
        <v>#N/A</v>
      </c>
      <c r="R18" s="96" t="e">
        <f>VLOOKUP($L18,flows!$A$2:$J$4985,R$2,FALSE)</f>
        <v>#N/A</v>
      </c>
      <c r="S18" s="96" t="e">
        <f>VLOOKUP($L18,flows!$A$2:$J$4985,S$2,FALSE)</f>
        <v>#N/A</v>
      </c>
      <c r="T18" s="96" t="e">
        <f>VLOOKUP($L18,flows!$A$2:$J$4985,T$2,FALSE)</f>
        <v>#N/A</v>
      </c>
      <c r="U18" s="96" t="e">
        <f>VLOOKUP($L18,flows!$A$2:$J$4985,U$2,FALSE)</f>
        <v>#N/A</v>
      </c>
      <c r="V18" s="96" t="e">
        <f>VLOOKUP($L18,flows!$A$2:$J$4985,V$2,FALSE)</f>
        <v>#N/A</v>
      </c>
    </row>
    <row r="19" spans="1:22" x14ac:dyDescent="0.35">
      <c r="A19" s="40" t="s">
        <v>857</v>
      </c>
      <c r="B19" s="92" t="s">
        <v>1757</v>
      </c>
      <c r="C19" s="96" t="e">
        <f>VLOOKUP($A19,flows!$A$2:$J$4985,C$2,FALSE)</f>
        <v>#N/A</v>
      </c>
      <c r="D19" s="96" t="e">
        <f>VLOOKUP($A19,flows!$A$2:$J$4985,D$2,FALSE)</f>
        <v>#N/A</v>
      </c>
      <c r="E19" s="96" t="e">
        <f>VLOOKUP($A19,flows!$A$2:$J$4985,E$2,FALSE)</f>
        <v>#N/A</v>
      </c>
      <c r="F19" s="96" t="e">
        <f>VLOOKUP($A19,flows!$A$2:$J$4985,F$2,FALSE)</f>
        <v>#N/A</v>
      </c>
      <c r="G19" s="96" t="e">
        <f>VLOOKUP($A19,flows!$A$2:$J$4985,G$2,FALSE)</f>
        <v>#N/A</v>
      </c>
      <c r="H19" s="96" t="e">
        <f>VLOOKUP($A19,flows!$A$2:$J$4985,H$2,FALSE)</f>
        <v>#N/A</v>
      </c>
      <c r="I19" s="96" t="e">
        <f>VLOOKUP($A19,flows!$A$2:$J$4985,I$2,FALSE)</f>
        <v>#N/A</v>
      </c>
      <c r="J19" s="96" t="e">
        <f>VLOOKUP($A19,flows!$A$2:$J$4985,J$2,FALSE)</f>
        <v>#N/A</v>
      </c>
      <c r="L19" s="40" t="s">
        <v>767</v>
      </c>
      <c r="M19" s="92" t="s">
        <v>1750</v>
      </c>
      <c r="N19" s="92" t="s">
        <v>2429</v>
      </c>
      <c r="O19" s="96" t="e">
        <f>VLOOKUP($L19,flows!$A$2:$J$4985,O$2,FALSE)</f>
        <v>#N/A</v>
      </c>
      <c r="P19" s="96" t="e">
        <f>VLOOKUP($L19,flows!$A$2:$J$4985,P$2,FALSE)</f>
        <v>#N/A</v>
      </c>
      <c r="Q19" s="96" t="e">
        <f>VLOOKUP($L19,flows!$A$2:$J$4985,Q$2,FALSE)</f>
        <v>#N/A</v>
      </c>
      <c r="R19" s="96" t="e">
        <f>VLOOKUP($L19,flows!$A$2:$J$4985,R$2,FALSE)</f>
        <v>#N/A</v>
      </c>
      <c r="S19" s="96" t="e">
        <f>VLOOKUP($L19,flows!$A$2:$J$4985,S$2,FALSE)</f>
        <v>#N/A</v>
      </c>
      <c r="T19" s="96" t="e">
        <f>VLOOKUP($L19,flows!$A$2:$J$4985,T$2,FALSE)</f>
        <v>#N/A</v>
      </c>
      <c r="U19" s="96" t="e">
        <f>VLOOKUP($L19,flows!$A$2:$J$4985,U$2,FALSE)</f>
        <v>#N/A</v>
      </c>
      <c r="V19" s="96" t="e">
        <f>VLOOKUP($L19,flows!$A$2:$J$4985,V$2,FALSE)</f>
        <v>#N/A</v>
      </c>
    </row>
    <row r="20" spans="1:22" x14ac:dyDescent="0.35">
      <c r="A20" s="40" t="s">
        <v>769</v>
      </c>
      <c r="B20" s="92" t="s">
        <v>1748</v>
      </c>
      <c r="C20" s="96" t="e">
        <f>VLOOKUP($A20,flows!$A$2:$J$4985,C$2,FALSE)</f>
        <v>#N/A</v>
      </c>
      <c r="D20" s="96" t="e">
        <f>VLOOKUP($A20,flows!$A$2:$J$4985,D$2,FALSE)</f>
        <v>#N/A</v>
      </c>
      <c r="E20" s="96" t="e">
        <f>VLOOKUP($A20,flows!$A$2:$J$4985,E$2,FALSE)</f>
        <v>#N/A</v>
      </c>
      <c r="F20" s="96" t="e">
        <f>VLOOKUP($A20,flows!$A$2:$J$4985,F$2,FALSE)</f>
        <v>#N/A</v>
      </c>
      <c r="G20" s="96" t="e">
        <f>VLOOKUP($A20,flows!$A$2:$J$4985,G$2,FALSE)</f>
        <v>#N/A</v>
      </c>
      <c r="H20" s="96" t="e">
        <f>VLOOKUP($A20,flows!$A$2:$J$4985,H$2,FALSE)</f>
        <v>#N/A</v>
      </c>
      <c r="I20" s="96" t="e">
        <f>VLOOKUP($A20,flows!$A$2:$J$4985,I$2,FALSE)</f>
        <v>#N/A</v>
      </c>
      <c r="J20" s="96" t="e">
        <f>VLOOKUP($A20,flows!$A$2:$J$4985,J$2,FALSE)</f>
        <v>#N/A</v>
      </c>
      <c r="L20" s="40" t="s">
        <v>765</v>
      </c>
      <c r="M20" s="92" t="s">
        <v>1536</v>
      </c>
      <c r="N20" s="92" t="s">
        <v>2430</v>
      </c>
      <c r="O20" s="96" t="e">
        <f>VLOOKUP($L20,flows!$A$2:$J$4985,O$2,FALSE)</f>
        <v>#N/A</v>
      </c>
      <c r="P20" s="96" t="e">
        <f>VLOOKUP($L20,flows!$A$2:$J$4985,P$2,FALSE)</f>
        <v>#N/A</v>
      </c>
      <c r="Q20" s="96" t="e">
        <f>VLOOKUP($L20,flows!$A$2:$J$4985,Q$2,FALSE)</f>
        <v>#N/A</v>
      </c>
      <c r="R20" s="96" t="e">
        <f>VLOOKUP($L20,flows!$A$2:$J$4985,R$2,FALSE)</f>
        <v>#N/A</v>
      </c>
      <c r="S20" s="96" t="e">
        <f>VLOOKUP($L20,flows!$A$2:$J$4985,S$2,FALSE)</f>
        <v>#N/A</v>
      </c>
      <c r="T20" s="96" t="e">
        <f>VLOOKUP($L20,flows!$A$2:$J$4985,T$2,FALSE)</f>
        <v>#N/A</v>
      </c>
      <c r="U20" s="96" t="e">
        <f>VLOOKUP($L20,flows!$A$2:$J$4985,U$2,FALSE)</f>
        <v>#N/A</v>
      </c>
      <c r="V20" s="96" t="e">
        <f>VLOOKUP($L20,flows!$A$2:$J$4985,V$2,FALSE)</f>
        <v>#N/A</v>
      </c>
    </row>
    <row r="21" spans="1:22" x14ac:dyDescent="0.35">
      <c r="A21" s="40" t="s">
        <v>770</v>
      </c>
      <c r="B21" s="92" t="s">
        <v>1749</v>
      </c>
      <c r="C21" s="96" t="e">
        <f>VLOOKUP($A21,flows!$A$2:$J$4985,C$2,FALSE)</f>
        <v>#N/A</v>
      </c>
      <c r="D21" s="96" t="e">
        <f>VLOOKUP($A21,flows!$A$2:$J$4985,D$2,FALSE)</f>
        <v>#N/A</v>
      </c>
      <c r="E21" s="96" t="e">
        <f>VLOOKUP($A21,flows!$A$2:$J$4985,E$2,FALSE)</f>
        <v>#N/A</v>
      </c>
      <c r="F21" s="96" t="e">
        <f>VLOOKUP($A21,flows!$A$2:$J$4985,F$2,FALSE)</f>
        <v>#N/A</v>
      </c>
      <c r="G21" s="96" t="e">
        <f>VLOOKUP($A21,flows!$A$2:$J$4985,G$2,FALSE)</f>
        <v>#N/A</v>
      </c>
      <c r="H21" s="96" t="e">
        <f>VLOOKUP($A21,flows!$A$2:$J$4985,H$2,FALSE)</f>
        <v>#N/A</v>
      </c>
      <c r="I21" s="96" t="e">
        <f>VLOOKUP($A21,flows!$A$2:$J$4985,I$2,FALSE)</f>
        <v>#N/A</v>
      </c>
      <c r="J21" s="96" t="e">
        <f>VLOOKUP($A21,flows!$A$2:$J$4985,J$2,FALSE)</f>
        <v>#N/A</v>
      </c>
      <c r="L21" s="40" t="s">
        <v>766</v>
      </c>
      <c r="M21" s="137" t="s">
        <v>1960</v>
      </c>
      <c r="N21" s="92" t="s">
        <v>2431</v>
      </c>
      <c r="O21" s="96" t="e">
        <f>VLOOKUP($L21,flows!$A$2:$J$4985,O$2,FALSE)</f>
        <v>#N/A</v>
      </c>
      <c r="P21" s="96" t="e">
        <f>VLOOKUP($L21,flows!$A$2:$J$4985,P$2,FALSE)</f>
        <v>#N/A</v>
      </c>
      <c r="Q21" s="96" t="e">
        <f>VLOOKUP($L21,flows!$A$2:$J$4985,Q$2,FALSE)</f>
        <v>#N/A</v>
      </c>
      <c r="R21" s="96" t="e">
        <f>VLOOKUP($L21,flows!$A$2:$J$4985,R$2,FALSE)</f>
        <v>#N/A</v>
      </c>
      <c r="S21" s="96" t="e">
        <f>VLOOKUP($L21,flows!$A$2:$J$4985,S$2,FALSE)</f>
        <v>#N/A</v>
      </c>
      <c r="T21" s="96" t="e">
        <f>VLOOKUP($L21,flows!$A$2:$J$4985,T$2,FALSE)</f>
        <v>#N/A</v>
      </c>
      <c r="U21" s="96" t="e">
        <f>VLOOKUP($L21,flows!$A$2:$J$4985,U$2,FALSE)</f>
        <v>#N/A</v>
      </c>
      <c r="V21" s="96" t="e">
        <f>VLOOKUP($L21,flows!$A$2:$J$4985,V$2,FALSE)</f>
        <v>#N/A</v>
      </c>
    </row>
    <row r="22" spans="1:22" ht="15" thickBot="1" x14ac:dyDescent="0.4">
      <c r="A22" s="41" t="s">
        <v>762</v>
      </c>
      <c r="B22" s="77" t="s">
        <v>1222</v>
      </c>
      <c r="C22" s="96" t="e">
        <f>VLOOKUP($A22,flows!$A$2:$J$4985,C$2,FALSE)</f>
        <v>#N/A</v>
      </c>
      <c r="D22" s="96" t="e">
        <f>VLOOKUP($A22,flows!$A$2:$J$4985,D$2,FALSE)</f>
        <v>#N/A</v>
      </c>
      <c r="E22" s="96" t="e">
        <f>VLOOKUP($A22,flows!$A$2:$J$4985,E$2,FALSE)</f>
        <v>#N/A</v>
      </c>
      <c r="F22" s="96" t="e">
        <f>VLOOKUP($A22,flows!$A$2:$J$4985,F$2,FALSE)</f>
        <v>#N/A</v>
      </c>
      <c r="G22" s="96" t="e">
        <f>VLOOKUP($A22,flows!$A$2:$J$4985,G$2,FALSE)</f>
        <v>#N/A</v>
      </c>
      <c r="H22" s="96" t="e">
        <f>VLOOKUP($A22,flows!$A$2:$J$4985,H$2,FALSE)</f>
        <v>#N/A</v>
      </c>
      <c r="I22" s="96" t="e">
        <f>VLOOKUP($A22,flows!$A$2:$J$4985,I$2,FALSE)</f>
        <v>#N/A</v>
      </c>
      <c r="J22" s="96" t="e">
        <f>VLOOKUP($A22,flows!$A$2:$J$4985,J$2,FALSE)</f>
        <v>#N/A</v>
      </c>
      <c r="L22" s="41" t="s">
        <v>763</v>
      </c>
      <c r="M22" s="137" t="s">
        <v>1535</v>
      </c>
      <c r="N22" s="92" t="s">
        <v>2435</v>
      </c>
      <c r="O22" s="96" t="e">
        <f>VLOOKUP($L22,flows!$A$2:$J$4985,O$2,FALSE)</f>
        <v>#N/A</v>
      </c>
      <c r="P22" s="96" t="e">
        <f>VLOOKUP($L22,flows!$A$2:$J$4985,P$2,FALSE)</f>
        <v>#N/A</v>
      </c>
      <c r="Q22" s="96" t="e">
        <f>VLOOKUP($L22,flows!$A$2:$J$4985,Q$2,FALSE)</f>
        <v>#N/A</v>
      </c>
      <c r="R22" s="96" t="e">
        <f>VLOOKUP($L22,flows!$A$2:$J$4985,R$2,FALSE)</f>
        <v>#N/A</v>
      </c>
      <c r="S22" s="96" t="e">
        <f>VLOOKUP($L22,flows!$A$2:$J$4985,S$2,FALSE)</f>
        <v>#N/A</v>
      </c>
      <c r="T22" s="96" t="e">
        <f>VLOOKUP($L22,flows!$A$2:$J$4985,T$2,FALSE)</f>
        <v>#N/A</v>
      </c>
      <c r="U22" s="96" t="e">
        <f>VLOOKUP($L22,flows!$A$2:$J$4985,U$2,FALSE)</f>
        <v>#N/A</v>
      </c>
      <c r="V22" s="96" t="e">
        <f>VLOOKUP($L22,flows!$A$2:$J$4985,V$2,FALSE)</f>
        <v>#N/A</v>
      </c>
    </row>
    <row r="24" spans="1:22" ht="15" thickBot="1" x14ac:dyDescent="0.4"/>
    <row r="25" spans="1:22" x14ac:dyDescent="0.35">
      <c r="A25" s="87"/>
      <c r="B25" s="88" t="s">
        <v>1493</v>
      </c>
      <c r="C25" s="89">
        <v>2</v>
      </c>
      <c r="D25" s="89">
        <v>3</v>
      </c>
      <c r="E25" s="89">
        <v>4</v>
      </c>
      <c r="F25" s="89">
        <v>5</v>
      </c>
      <c r="G25" s="89">
        <v>6</v>
      </c>
      <c r="H25" s="89">
        <v>7</v>
      </c>
      <c r="I25" s="89">
        <v>8</v>
      </c>
      <c r="J25" s="89">
        <v>9</v>
      </c>
      <c r="L25" s="87"/>
      <c r="M25" s="89"/>
      <c r="N25" s="88" t="s">
        <v>1493</v>
      </c>
      <c r="O25" s="89">
        <v>2</v>
      </c>
      <c r="P25" s="89">
        <v>3</v>
      </c>
      <c r="Q25" s="89">
        <v>4</v>
      </c>
      <c r="R25" s="89">
        <v>5</v>
      </c>
      <c r="S25" s="89">
        <v>6</v>
      </c>
      <c r="T25" s="89">
        <v>7</v>
      </c>
      <c r="U25" s="89">
        <v>8</v>
      </c>
      <c r="V25" s="89">
        <v>9</v>
      </c>
    </row>
    <row r="26" spans="1:22" x14ac:dyDescent="0.35">
      <c r="A26" s="40" t="s">
        <v>1415</v>
      </c>
      <c r="B26" s="92"/>
      <c r="C26" s="133" t="s">
        <v>1417</v>
      </c>
      <c r="D26" s="133">
        <v>2020</v>
      </c>
      <c r="E26" s="133">
        <v>2025</v>
      </c>
      <c r="F26" s="133">
        <v>2030</v>
      </c>
      <c r="G26" s="133">
        <v>2035</v>
      </c>
      <c r="H26" s="133">
        <v>2040</v>
      </c>
      <c r="I26" s="133">
        <v>2045</v>
      </c>
      <c r="J26" s="133">
        <v>2050</v>
      </c>
      <c r="L26" s="40" t="s">
        <v>1415</v>
      </c>
      <c r="M26" s="92"/>
      <c r="N26" s="92"/>
      <c r="O26" s="133" t="s">
        <v>1417</v>
      </c>
      <c r="P26" s="133">
        <v>2020</v>
      </c>
      <c r="Q26" s="133">
        <v>2025</v>
      </c>
      <c r="R26" s="133">
        <v>2030</v>
      </c>
      <c r="S26" s="133">
        <v>2035</v>
      </c>
      <c r="T26" s="133">
        <v>2040</v>
      </c>
      <c r="U26" s="133">
        <v>2045</v>
      </c>
      <c r="V26" s="133">
        <v>2050</v>
      </c>
    </row>
    <row r="27" spans="1:22" x14ac:dyDescent="0.35">
      <c r="A27" s="40"/>
      <c r="B27" s="92"/>
      <c r="C27" s="92"/>
      <c r="D27" s="92"/>
      <c r="E27" s="92"/>
      <c r="F27" s="92"/>
      <c r="G27" s="92"/>
      <c r="H27" s="92"/>
      <c r="I27" s="92"/>
      <c r="J27" s="92"/>
      <c r="L27" s="40"/>
      <c r="M27" s="92"/>
      <c r="N27" s="92"/>
      <c r="O27" s="92"/>
      <c r="P27" s="92"/>
      <c r="Q27" s="92"/>
      <c r="R27" s="92"/>
      <c r="S27" s="92"/>
      <c r="T27" s="92"/>
      <c r="U27" s="92"/>
      <c r="V27" s="92"/>
    </row>
    <row r="28" spans="1:22" x14ac:dyDescent="0.35">
      <c r="A28" s="40" t="s">
        <v>533</v>
      </c>
      <c r="B28" s="92" t="s">
        <v>1325</v>
      </c>
      <c r="C28" s="96" t="e">
        <f>VLOOKUP($A28,flows!$A$2:$J$4985,C$2,FALSE)</f>
        <v>#N/A</v>
      </c>
      <c r="D28" s="96" t="e">
        <f>VLOOKUP($A28,flows!$A$2:$J$4985,D$2,FALSE)</f>
        <v>#N/A</v>
      </c>
      <c r="E28" s="96" t="e">
        <f>VLOOKUP($A28,flows!$A$2:$J$4985,E$2,FALSE)</f>
        <v>#N/A</v>
      </c>
      <c r="F28" s="96" t="e">
        <f>VLOOKUP($A28,flows!$A$2:$J$4985,F$2,FALSE)</f>
        <v>#N/A</v>
      </c>
      <c r="G28" s="96" t="e">
        <f>VLOOKUP($A28,flows!$A$2:$J$4985,G$2,FALSE)</f>
        <v>#N/A</v>
      </c>
      <c r="H28" s="96" t="e">
        <f>VLOOKUP($A28,flows!$A$2:$J$4985,H$2,FALSE)</f>
        <v>#N/A</v>
      </c>
      <c r="I28" s="96" t="e">
        <f>VLOOKUP($A28,flows!$A$2:$J$4985,I$2,FALSE)</f>
        <v>#N/A</v>
      </c>
      <c r="J28" s="96" t="e">
        <f>VLOOKUP($A28,flows!$A$2:$J$4985,J$2,FALSE)</f>
        <v>#N/A</v>
      </c>
      <c r="L28" s="40" t="s">
        <v>696</v>
      </c>
      <c r="M28" s="92" t="s">
        <v>1534</v>
      </c>
      <c r="N28" s="92" t="s">
        <v>1473</v>
      </c>
      <c r="O28" s="96" t="e">
        <f>VLOOKUP($L28,flows!$A$2:$J$4985,O$2,FALSE)</f>
        <v>#N/A</v>
      </c>
      <c r="P28" s="96" t="e">
        <f>VLOOKUP($L28,flows!$A$2:$J$4985,P$2,FALSE)</f>
        <v>#N/A</v>
      </c>
      <c r="Q28" s="96" t="e">
        <f>VLOOKUP($L28,flows!$A$2:$J$4985,Q$2,FALSE)</f>
        <v>#N/A</v>
      </c>
      <c r="R28" s="96" t="e">
        <f>VLOOKUP($L28,flows!$A$2:$J$4985,R$2,FALSE)</f>
        <v>#N/A</v>
      </c>
      <c r="S28" s="96" t="e">
        <f>VLOOKUP($L28,flows!$A$2:$J$4985,S$2,FALSE)</f>
        <v>#N/A</v>
      </c>
      <c r="T28" s="96" t="e">
        <f>VLOOKUP($L28,flows!$A$2:$J$4985,T$2,FALSE)</f>
        <v>#N/A</v>
      </c>
      <c r="U28" s="96" t="e">
        <f>VLOOKUP($L28,flows!$A$2:$J$4985,U$2,FALSE)</f>
        <v>#N/A</v>
      </c>
      <c r="V28" s="96" t="e">
        <f>VLOOKUP($L28,flows!$A$2:$J$4985,V$2,FALSE)</f>
        <v>#N/A</v>
      </c>
    </row>
    <row r="29" spans="1:22" x14ac:dyDescent="0.35">
      <c r="A29" s="40" t="s">
        <v>714</v>
      </c>
      <c r="B29" s="92" t="s">
        <v>1748</v>
      </c>
      <c r="C29" s="96" t="e">
        <f>VLOOKUP($A29,flows!$A$2:$J$4985,C$2,FALSE)</f>
        <v>#N/A</v>
      </c>
      <c r="D29" s="96" t="e">
        <f>VLOOKUP($A29,flows!$A$2:$J$4985,D$2,FALSE)</f>
        <v>#N/A</v>
      </c>
      <c r="E29" s="96" t="e">
        <f>VLOOKUP($A29,flows!$A$2:$J$4985,E$2,FALSE)</f>
        <v>#N/A</v>
      </c>
      <c r="F29" s="96" t="e">
        <f>VLOOKUP($A29,flows!$A$2:$J$4985,F$2,FALSE)</f>
        <v>#N/A</v>
      </c>
      <c r="G29" s="96" t="e">
        <f>VLOOKUP($A29,flows!$A$2:$J$4985,G$2,FALSE)</f>
        <v>#N/A</v>
      </c>
      <c r="H29" s="96" t="e">
        <f>VLOOKUP($A29,flows!$A$2:$J$4985,H$2,FALSE)</f>
        <v>#N/A</v>
      </c>
      <c r="I29" s="96" t="e">
        <f>VLOOKUP($A29,flows!$A$2:$J$4985,I$2,FALSE)</f>
        <v>#N/A</v>
      </c>
      <c r="J29" s="96" t="e">
        <f>VLOOKUP($A29,flows!$A$2:$J$4985,J$2,FALSE)</f>
        <v>#N/A</v>
      </c>
      <c r="L29" s="40" t="s">
        <v>697</v>
      </c>
      <c r="M29" s="92" t="s">
        <v>2391</v>
      </c>
      <c r="N29" s="92" t="s">
        <v>2391</v>
      </c>
      <c r="O29" s="96" t="e">
        <f>VLOOKUP($L29,flows!$A$2:$J$4985,O$2,FALSE)</f>
        <v>#N/A</v>
      </c>
      <c r="P29" s="96" t="e">
        <f>VLOOKUP($L29,flows!$A$2:$J$4985,P$2,FALSE)</f>
        <v>#N/A</v>
      </c>
      <c r="Q29" s="96" t="e">
        <f>VLOOKUP($L29,flows!$A$2:$J$4985,Q$2,FALSE)</f>
        <v>#N/A</v>
      </c>
      <c r="R29" s="96" t="e">
        <f>VLOOKUP($L29,flows!$A$2:$J$4985,R$2,FALSE)</f>
        <v>#N/A</v>
      </c>
      <c r="S29" s="96" t="e">
        <f>VLOOKUP($L29,flows!$A$2:$J$4985,S$2,FALSE)</f>
        <v>#N/A</v>
      </c>
      <c r="T29" s="96" t="e">
        <f>VLOOKUP($L29,flows!$A$2:$J$4985,T$2,FALSE)</f>
        <v>#N/A</v>
      </c>
      <c r="U29" s="96" t="e">
        <f>VLOOKUP($L29,flows!$A$2:$J$4985,U$2,FALSE)</f>
        <v>#N/A</v>
      </c>
      <c r="V29" s="96" t="e">
        <f>VLOOKUP($L29,flows!$A$2:$J$4985,V$2,FALSE)</f>
        <v>#N/A</v>
      </c>
    </row>
    <row r="30" spans="1:22" x14ac:dyDescent="0.35">
      <c r="A30" s="40" t="s">
        <v>715</v>
      </c>
      <c r="B30" s="92" t="s">
        <v>1475</v>
      </c>
      <c r="C30" s="96" t="e">
        <f>VLOOKUP($A30,flows!$A$2:$J$4985,C$2,FALSE)</f>
        <v>#N/A</v>
      </c>
      <c r="D30" s="96" t="e">
        <f>VLOOKUP($A30,flows!$A$2:$J$4985,D$2,FALSE)</f>
        <v>#N/A</v>
      </c>
      <c r="E30" s="96" t="e">
        <f>VLOOKUP($A30,flows!$A$2:$J$4985,E$2,FALSE)</f>
        <v>#N/A</v>
      </c>
      <c r="F30" s="96" t="e">
        <f>VLOOKUP($A30,flows!$A$2:$J$4985,F$2,FALSE)</f>
        <v>#N/A</v>
      </c>
      <c r="G30" s="96" t="e">
        <f>VLOOKUP($A30,flows!$A$2:$J$4985,G$2,FALSE)</f>
        <v>#N/A</v>
      </c>
      <c r="H30" s="96" t="e">
        <f>VLOOKUP($A30,flows!$A$2:$J$4985,H$2,FALSE)</f>
        <v>#N/A</v>
      </c>
      <c r="I30" s="96" t="e">
        <f>VLOOKUP($A30,flows!$A$2:$J$4985,I$2,FALSE)</f>
        <v>#N/A</v>
      </c>
      <c r="J30" s="96" t="e">
        <f>VLOOKUP($A30,flows!$A$2:$J$4985,J$2,FALSE)</f>
        <v>#N/A</v>
      </c>
      <c r="L30" s="40" t="s">
        <v>698</v>
      </c>
      <c r="M30" s="92" t="s">
        <v>2392</v>
      </c>
      <c r="N30" s="92" t="s">
        <v>2392</v>
      </c>
      <c r="O30" s="96" t="e">
        <f>VLOOKUP($L30,flows!$A$2:$J$4985,O$2,FALSE)</f>
        <v>#N/A</v>
      </c>
      <c r="P30" s="96" t="e">
        <f>VLOOKUP($L30,flows!$A$2:$J$4985,P$2,FALSE)</f>
        <v>#N/A</v>
      </c>
      <c r="Q30" s="96" t="e">
        <f>VLOOKUP($L30,flows!$A$2:$J$4985,Q$2,FALSE)</f>
        <v>#N/A</v>
      </c>
      <c r="R30" s="96" t="e">
        <f>VLOOKUP($L30,flows!$A$2:$J$4985,R$2,FALSE)</f>
        <v>#N/A</v>
      </c>
      <c r="S30" s="96" t="e">
        <f>VLOOKUP($L30,flows!$A$2:$J$4985,S$2,FALSE)</f>
        <v>#N/A</v>
      </c>
      <c r="T30" s="96" t="e">
        <f>VLOOKUP($L30,flows!$A$2:$J$4985,T$2,FALSE)</f>
        <v>#N/A</v>
      </c>
      <c r="U30" s="96" t="e">
        <f>VLOOKUP($L30,flows!$A$2:$J$4985,U$2,FALSE)</f>
        <v>#N/A</v>
      </c>
      <c r="V30" s="96" t="e">
        <f>VLOOKUP($L30,flows!$A$2:$J$4985,V$2,FALSE)</f>
        <v>#N/A</v>
      </c>
    </row>
    <row r="31" spans="1:22" x14ac:dyDescent="0.35">
      <c r="A31" s="40"/>
      <c r="B31" s="137" t="s">
        <v>1224</v>
      </c>
      <c r="C31" s="96" t="e">
        <f>C29+C30</f>
        <v>#N/A</v>
      </c>
      <c r="D31" s="96" t="e">
        <f t="shared" ref="D31:J31" si="2">D29+D30</f>
        <v>#N/A</v>
      </c>
      <c r="E31" s="96" t="e">
        <f t="shared" si="2"/>
        <v>#N/A</v>
      </c>
      <c r="F31" s="96" t="e">
        <f t="shared" si="2"/>
        <v>#N/A</v>
      </c>
      <c r="G31" s="96" t="e">
        <f t="shared" si="2"/>
        <v>#N/A</v>
      </c>
      <c r="H31" s="96" t="e">
        <f t="shared" si="2"/>
        <v>#N/A</v>
      </c>
      <c r="I31" s="96" t="e">
        <f t="shared" si="2"/>
        <v>#N/A</v>
      </c>
      <c r="J31" s="96" t="e">
        <f t="shared" si="2"/>
        <v>#N/A</v>
      </c>
      <c r="L31" s="40" t="s">
        <v>699</v>
      </c>
      <c r="M31" s="92" t="s">
        <v>2393</v>
      </c>
      <c r="N31" s="92" t="s">
        <v>2393</v>
      </c>
      <c r="O31" s="96" t="e">
        <f>VLOOKUP($L31,flows!$A$2:$J$4985,O$2,FALSE)</f>
        <v>#N/A</v>
      </c>
      <c r="P31" s="96" t="e">
        <f>VLOOKUP($L31,flows!$A$2:$J$4985,P$2,FALSE)</f>
        <v>#N/A</v>
      </c>
      <c r="Q31" s="96" t="e">
        <f>VLOOKUP($L31,flows!$A$2:$J$4985,Q$2,FALSE)</f>
        <v>#N/A</v>
      </c>
      <c r="R31" s="96" t="e">
        <f>VLOOKUP($L31,flows!$A$2:$J$4985,R$2,FALSE)</f>
        <v>#N/A</v>
      </c>
      <c r="S31" s="96" t="e">
        <f>VLOOKUP($L31,flows!$A$2:$J$4985,S$2,FALSE)</f>
        <v>#N/A</v>
      </c>
      <c r="T31" s="96" t="e">
        <f>VLOOKUP($L31,flows!$A$2:$J$4985,T$2,FALSE)</f>
        <v>#N/A</v>
      </c>
      <c r="U31" s="96" t="e">
        <f>VLOOKUP($L31,flows!$A$2:$J$4985,U$2,FALSE)</f>
        <v>#N/A</v>
      </c>
      <c r="V31" s="96" t="e">
        <f>VLOOKUP($L31,flows!$A$2:$J$4985,V$2,FALSE)</f>
        <v>#N/A</v>
      </c>
    </row>
    <row r="32" spans="1:22" x14ac:dyDescent="0.35">
      <c r="A32" s="40" t="s">
        <v>716</v>
      </c>
      <c r="B32" s="92" t="s">
        <v>1749</v>
      </c>
      <c r="C32" s="96" t="e">
        <f>VLOOKUP($A32,flows!$A$2:$J$4985,C$2,FALSE)</f>
        <v>#N/A</v>
      </c>
      <c r="D32" s="96" t="e">
        <f>VLOOKUP($A32,flows!$A$2:$J$4985,D$2,FALSE)</f>
        <v>#N/A</v>
      </c>
      <c r="E32" s="96" t="e">
        <f>VLOOKUP($A32,flows!$A$2:$J$4985,E$2,FALSE)</f>
        <v>#N/A</v>
      </c>
      <c r="F32" s="96" t="e">
        <f>VLOOKUP($A32,flows!$A$2:$J$4985,F$2,FALSE)</f>
        <v>#N/A</v>
      </c>
      <c r="G32" s="96" t="e">
        <f>VLOOKUP($A32,flows!$A$2:$J$4985,G$2,FALSE)</f>
        <v>#N/A</v>
      </c>
      <c r="H32" s="96" t="e">
        <f>VLOOKUP($A32,flows!$A$2:$J$4985,H$2,FALSE)</f>
        <v>#N/A</v>
      </c>
      <c r="I32" s="96" t="e">
        <f>VLOOKUP($A32,flows!$A$2:$J$4985,I$2,FALSE)</f>
        <v>#N/A</v>
      </c>
      <c r="J32" s="96" t="e">
        <f>VLOOKUP($A32,flows!$A$2:$J$4985,J$2,FALSE)</f>
        <v>#N/A</v>
      </c>
      <c r="L32" s="40"/>
      <c r="M32" s="92" t="s">
        <v>1750</v>
      </c>
      <c r="N32" s="92" t="s">
        <v>2429</v>
      </c>
      <c r="O32" s="96" t="e">
        <f>O29+O30+O31</f>
        <v>#N/A</v>
      </c>
      <c r="P32" s="96" t="e">
        <f t="shared" ref="P32:V32" si="3">P29+P30+P31</f>
        <v>#N/A</v>
      </c>
      <c r="Q32" s="96" t="e">
        <f t="shared" si="3"/>
        <v>#N/A</v>
      </c>
      <c r="R32" s="96" t="e">
        <f t="shared" si="3"/>
        <v>#N/A</v>
      </c>
      <c r="S32" s="96" t="e">
        <f t="shared" si="3"/>
        <v>#N/A</v>
      </c>
      <c r="T32" s="96" t="e">
        <f t="shared" si="3"/>
        <v>#N/A</v>
      </c>
      <c r="U32" s="96" t="e">
        <f t="shared" si="3"/>
        <v>#N/A</v>
      </c>
      <c r="V32" s="96" t="e">
        <f t="shared" si="3"/>
        <v>#N/A</v>
      </c>
    </row>
    <row r="33" spans="1:34" x14ac:dyDescent="0.35">
      <c r="A33" s="40" t="s">
        <v>694</v>
      </c>
      <c r="B33" s="92" t="s">
        <v>1222</v>
      </c>
      <c r="C33" s="96" t="e">
        <f>VLOOKUP($A33,flows!$A$2:$J$4985,C$2,FALSE)</f>
        <v>#N/A</v>
      </c>
      <c r="D33" s="96" t="e">
        <f>VLOOKUP($A33,flows!$A$2:$J$4985,D$2,FALSE)</f>
        <v>#N/A</v>
      </c>
      <c r="E33" s="96" t="e">
        <f>VLOOKUP($A33,flows!$A$2:$J$4985,E$2,FALSE)</f>
        <v>#N/A</v>
      </c>
      <c r="F33" s="96" t="e">
        <f>VLOOKUP($A33,flows!$A$2:$J$4985,F$2,FALSE)</f>
        <v>#N/A</v>
      </c>
      <c r="G33" s="96" t="e">
        <f>VLOOKUP($A33,flows!$A$2:$J$4985,G$2,FALSE)</f>
        <v>#N/A</v>
      </c>
      <c r="H33" s="96" t="e">
        <f>VLOOKUP($A33,flows!$A$2:$J$4985,H$2,FALSE)</f>
        <v>#N/A</v>
      </c>
      <c r="I33" s="96" t="e">
        <f>VLOOKUP($A33,flows!$A$2:$J$4985,I$2,FALSE)</f>
        <v>#N/A</v>
      </c>
      <c r="J33" s="96" t="e">
        <f>VLOOKUP($A33,flows!$A$2:$J$4985,J$2,FALSE)</f>
        <v>#N/A</v>
      </c>
      <c r="L33" s="40" t="s">
        <v>1100</v>
      </c>
      <c r="M33" s="137" t="s">
        <v>2444</v>
      </c>
      <c r="N33" s="92" t="s">
        <v>2395</v>
      </c>
      <c r="O33" s="96" t="e">
        <f>VLOOKUP($L33,flows!$A$2:$J$4985,O$2,FALSE)</f>
        <v>#N/A</v>
      </c>
      <c r="P33" s="96" t="e">
        <f>VLOOKUP($L33,flows!$A$2:$J$4985,P$2,FALSE)</f>
        <v>#N/A</v>
      </c>
      <c r="Q33" s="96" t="e">
        <f>VLOOKUP($L33,flows!$A$2:$J$4985,Q$2,FALSE)</f>
        <v>#N/A</v>
      </c>
      <c r="R33" s="96" t="e">
        <f>VLOOKUP($L33,flows!$A$2:$J$4985,R$2,FALSE)</f>
        <v>#N/A</v>
      </c>
      <c r="S33" s="96" t="e">
        <f>VLOOKUP($L33,flows!$A$2:$J$4985,S$2,FALSE)</f>
        <v>#N/A</v>
      </c>
      <c r="T33" s="96" t="e">
        <f>VLOOKUP($L33,flows!$A$2:$J$4985,T$2,FALSE)</f>
        <v>#N/A</v>
      </c>
      <c r="U33" s="96" t="e">
        <f>VLOOKUP($L33,flows!$A$2:$J$4985,U$2,FALSE)</f>
        <v>#N/A</v>
      </c>
      <c r="V33" s="96" t="e">
        <f>VLOOKUP($L33,flows!$A$2:$J$4985,V$2,FALSE)</f>
        <v>#N/A</v>
      </c>
    </row>
    <row r="34" spans="1:34" x14ac:dyDescent="0.35">
      <c r="A34" s="40" t="s">
        <v>695</v>
      </c>
      <c r="B34" s="92" t="s">
        <v>1478</v>
      </c>
      <c r="C34" s="96" t="e">
        <f>VLOOKUP($A34,flows!$A$2:$J$4985,C$2,FALSE)</f>
        <v>#N/A</v>
      </c>
      <c r="D34" s="96" t="e">
        <f>VLOOKUP($A34,flows!$A$2:$J$4985,D$2,FALSE)</f>
        <v>#N/A</v>
      </c>
      <c r="E34" s="96" t="e">
        <f>VLOOKUP($A34,flows!$A$2:$J$4985,E$2,FALSE)</f>
        <v>#N/A</v>
      </c>
      <c r="F34" s="96" t="e">
        <f>VLOOKUP($A34,flows!$A$2:$J$4985,F$2,FALSE)</f>
        <v>#N/A</v>
      </c>
      <c r="G34" s="96" t="e">
        <f>VLOOKUP($A34,flows!$A$2:$J$4985,G$2,FALSE)</f>
        <v>#N/A</v>
      </c>
      <c r="H34" s="96" t="e">
        <f>VLOOKUP($A34,flows!$A$2:$J$4985,H$2,FALSE)</f>
        <v>#N/A</v>
      </c>
      <c r="I34" s="96" t="e">
        <f>VLOOKUP($A34,flows!$A$2:$J$4985,I$2,FALSE)</f>
        <v>#N/A</v>
      </c>
      <c r="J34" s="96" t="e">
        <f>VLOOKUP($A34,flows!$A$2:$J$4985,J$2,FALSE)</f>
        <v>#N/A</v>
      </c>
      <c r="L34" s="40" t="s">
        <v>1102</v>
      </c>
      <c r="M34" s="137" t="s">
        <v>2443</v>
      </c>
      <c r="N34" s="92" t="s">
        <v>2396</v>
      </c>
      <c r="O34" s="96" t="e">
        <f>VLOOKUP($L34,flows!$A$2:$J$4985,O$2,FALSE)</f>
        <v>#N/A</v>
      </c>
      <c r="P34" s="96" t="e">
        <f>VLOOKUP($L34,flows!$A$2:$J$4985,P$2,FALSE)</f>
        <v>#N/A</v>
      </c>
      <c r="Q34" s="96" t="e">
        <f>VLOOKUP($L34,flows!$A$2:$J$4985,Q$2,FALSE)</f>
        <v>#N/A</v>
      </c>
      <c r="R34" s="96" t="e">
        <f>VLOOKUP($L34,flows!$A$2:$J$4985,R$2,FALSE)</f>
        <v>#N/A</v>
      </c>
      <c r="S34" s="96" t="e">
        <f>VLOOKUP($L34,flows!$A$2:$J$4985,S$2,FALSE)</f>
        <v>#N/A</v>
      </c>
      <c r="T34" s="96" t="e">
        <f>VLOOKUP($L34,flows!$A$2:$J$4985,T$2,FALSE)</f>
        <v>#N/A</v>
      </c>
      <c r="U34" s="96" t="e">
        <f>VLOOKUP($L34,flows!$A$2:$J$4985,U$2,FALSE)</f>
        <v>#N/A</v>
      </c>
      <c r="V34" s="96" t="e">
        <f>VLOOKUP($L34,flows!$A$2:$J$4985,V$2,FALSE)</f>
        <v>#N/A</v>
      </c>
    </row>
    <row r="35" spans="1:34" x14ac:dyDescent="0.35">
      <c r="A35" s="40"/>
      <c r="B35" s="137" t="s">
        <v>1222</v>
      </c>
      <c r="C35" s="96" t="e">
        <f>C33+C34</f>
        <v>#N/A</v>
      </c>
      <c r="D35" s="96" t="e">
        <f t="shared" ref="D35:J35" si="4">D33+D34</f>
        <v>#N/A</v>
      </c>
      <c r="E35" s="96" t="e">
        <f t="shared" si="4"/>
        <v>#N/A</v>
      </c>
      <c r="F35" s="96" t="e">
        <f t="shared" si="4"/>
        <v>#N/A</v>
      </c>
      <c r="G35" s="96" t="e">
        <f t="shared" si="4"/>
        <v>#N/A</v>
      </c>
      <c r="H35" s="96" t="e">
        <f t="shared" si="4"/>
        <v>#N/A</v>
      </c>
      <c r="I35" s="96" t="e">
        <f t="shared" si="4"/>
        <v>#N/A</v>
      </c>
      <c r="J35" s="96" t="e">
        <f t="shared" si="4"/>
        <v>#N/A</v>
      </c>
      <c r="L35" s="40"/>
      <c r="M35" s="92" t="s">
        <v>1536</v>
      </c>
      <c r="N35" s="92" t="s">
        <v>2430</v>
      </c>
      <c r="O35" s="96" t="e">
        <f>O33+O34</f>
        <v>#N/A</v>
      </c>
      <c r="P35" s="96" t="e">
        <f t="shared" ref="P35:V35" si="5">P33+P34</f>
        <v>#N/A</v>
      </c>
      <c r="Q35" s="96" t="e">
        <f t="shared" si="5"/>
        <v>#N/A</v>
      </c>
      <c r="R35" s="96" t="e">
        <f t="shared" si="5"/>
        <v>#N/A</v>
      </c>
      <c r="S35" s="96" t="e">
        <f t="shared" si="5"/>
        <v>#N/A</v>
      </c>
      <c r="T35" s="96" t="e">
        <f t="shared" si="5"/>
        <v>#N/A</v>
      </c>
      <c r="U35" s="96" t="e">
        <f t="shared" si="5"/>
        <v>#N/A</v>
      </c>
      <c r="V35" s="96" t="e">
        <f t="shared" si="5"/>
        <v>#N/A</v>
      </c>
    </row>
    <row r="36" spans="1:34" x14ac:dyDescent="0.35">
      <c r="A36" s="40" t="s">
        <v>713</v>
      </c>
      <c r="B36" s="92" t="s">
        <v>1479</v>
      </c>
      <c r="C36" s="96" t="e">
        <f>VLOOKUP($A36,flows!$A$2:$J$4985,C$2,FALSE)</f>
        <v>#N/A</v>
      </c>
      <c r="D36" s="96" t="e">
        <f>VLOOKUP($A36,flows!$A$2:$J$4985,D$2,FALSE)</f>
        <v>#N/A</v>
      </c>
      <c r="E36" s="96" t="e">
        <f>VLOOKUP($A36,flows!$A$2:$J$4985,E$2,FALSE)</f>
        <v>#N/A</v>
      </c>
      <c r="F36" s="96" t="e">
        <f>VLOOKUP($A36,flows!$A$2:$J$4985,F$2,FALSE)</f>
        <v>#N/A</v>
      </c>
      <c r="G36" s="96" t="e">
        <f>VLOOKUP($A36,flows!$A$2:$J$4985,G$2,FALSE)</f>
        <v>#N/A</v>
      </c>
      <c r="H36" s="96" t="e">
        <f>VLOOKUP($A36,flows!$A$2:$J$4985,H$2,FALSE)</f>
        <v>#N/A</v>
      </c>
      <c r="I36" s="96" t="e">
        <f>VLOOKUP($A36,flows!$A$2:$J$4985,I$2,FALSE)</f>
        <v>#N/A</v>
      </c>
      <c r="J36" s="96" t="e">
        <f>VLOOKUP($A36,flows!$A$2:$J$4985,J$2,FALSE)</f>
        <v>#N/A</v>
      </c>
      <c r="L36" s="40" t="s">
        <v>1690</v>
      </c>
      <c r="M36" s="137" t="s">
        <v>1960</v>
      </c>
      <c r="N36" s="92" t="s">
        <v>2431</v>
      </c>
      <c r="O36" s="96" t="e">
        <f>VLOOKUP($L36,flows!$A$2:$J$4985,O$2,FALSE)</f>
        <v>#N/A</v>
      </c>
      <c r="P36" s="96" t="e">
        <f>VLOOKUP($L36,flows!$A$2:$J$4985,P$2,FALSE)</f>
        <v>#N/A</v>
      </c>
      <c r="Q36" s="96" t="e">
        <f>VLOOKUP($L36,flows!$A$2:$J$4985,Q$2,FALSE)</f>
        <v>#N/A</v>
      </c>
      <c r="R36" s="96" t="e">
        <f>VLOOKUP($L36,flows!$A$2:$J$4985,R$2,FALSE)</f>
        <v>#N/A</v>
      </c>
      <c r="S36" s="96" t="e">
        <f>VLOOKUP($L36,flows!$A$2:$J$4985,S$2,FALSE)</f>
        <v>#N/A</v>
      </c>
      <c r="T36" s="96" t="e">
        <f>VLOOKUP($L36,flows!$A$2:$J$4985,T$2,FALSE)</f>
        <v>#N/A</v>
      </c>
      <c r="U36" s="96" t="e">
        <f>VLOOKUP($L36,flows!$A$2:$J$4985,U$2,FALSE)</f>
        <v>#N/A</v>
      </c>
      <c r="V36" s="96" t="e">
        <f>VLOOKUP($L36,flows!$A$2:$J$4985,V$2,FALSE)</f>
        <v>#N/A</v>
      </c>
    </row>
    <row r="37" spans="1:34" x14ac:dyDescent="0.35">
      <c r="A37" s="40" t="s">
        <v>712</v>
      </c>
      <c r="B37" s="92" t="s">
        <v>1483</v>
      </c>
      <c r="C37" s="96" t="e">
        <f>VLOOKUP($A37,flows!$A$2:$J$4985,C$2,FALSE)</f>
        <v>#N/A</v>
      </c>
      <c r="D37" s="96" t="e">
        <f>VLOOKUP($A37,flows!$A$2:$J$4985,D$2,FALSE)</f>
        <v>#N/A</v>
      </c>
      <c r="E37" s="96" t="e">
        <f>VLOOKUP($A37,flows!$A$2:$J$4985,E$2,FALSE)</f>
        <v>#N/A</v>
      </c>
      <c r="F37" s="96" t="e">
        <f>VLOOKUP($A37,flows!$A$2:$J$4985,F$2,FALSE)</f>
        <v>#N/A</v>
      </c>
      <c r="G37" s="96" t="e">
        <f>VLOOKUP($A37,flows!$A$2:$J$4985,G$2,FALSE)</f>
        <v>#N/A</v>
      </c>
      <c r="H37" s="96" t="e">
        <f>VLOOKUP($A37,flows!$A$2:$J$4985,H$2,FALSE)</f>
        <v>#N/A</v>
      </c>
      <c r="I37" s="96" t="e">
        <f>VLOOKUP($A37,flows!$A$2:$J$4985,I$2,FALSE)</f>
        <v>#N/A</v>
      </c>
      <c r="J37" s="96" t="e">
        <f>VLOOKUP($A37,flows!$A$2:$J$4985,J$2,FALSE)</f>
        <v>#N/A</v>
      </c>
      <c r="L37" s="40" t="s">
        <v>604</v>
      </c>
      <c r="M37" s="137" t="s">
        <v>1477</v>
      </c>
      <c r="N37" s="92" t="s">
        <v>1477</v>
      </c>
      <c r="O37" s="96" t="e">
        <f>VLOOKUP($L37,flows!$A$2:$J$4985,O$2,FALSE)</f>
        <v>#N/A</v>
      </c>
      <c r="P37" s="96" t="e">
        <f>VLOOKUP($L37,flows!$A$2:$J$4985,P$2,FALSE)</f>
        <v>#N/A</v>
      </c>
      <c r="Q37" s="96" t="e">
        <f>VLOOKUP($L37,flows!$A$2:$J$4985,Q$2,FALSE)</f>
        <v>#N/A</v>
      </c>
      <c r="R37" s="96" t="e">
        <f>VLOOKUP($L37,flows!$A$2:$J$4985,R$2,FALSE)</f>
        <v>#N/A</v>
      </c>
      <c r="S37" s="96" t="e">
        <f>VLOOKUP($L37,flows!$A$2:$J$4985,S$2,FALSE)</f>
        <v>#N/A</v>
      </c>
      <c r="T37" s="96" t="e">
        <f>VLOOKUP($L37,flows!$A$2:$J$4985,T$2,FALSE)</f>
        <v>#N/A</v>
      </c>
      <c r="U37" s="96" t="e">
        <f>VLOOKUP($L37,flows!$A$2:$J$4985,U$2,FALSE)</f>
        <v>#N/A</v>
      </c>
      <c r="V37" s="96" t="e">
        <f>VLOOKUP($L37,flows!$A$2:$J$4985,V$2,FALSE)</f>
        <v>#N/A</v>
      </c>
    </row>
    <row r="38" spans="1:34" ht="15" thickBot="1" x14ac:dyDescent="0.4">
      <c r="A38" s="41"/>
      <c r="B38" s="138" t="s">
        <v>1223</v>
      </c>
      <c r="C38" s="101" t="e">
        <f>C36+C37</f>
        <v>#N/A</v>
      </c>
      <c r="D38" s="101" t="e">
        <f t="shared" ref="D38:J38" si="6">D36+D37</f>
        <v>#N/A</v>
      </c>
      <c r="E38" s="101" t="e">
        <f t="shared" si="6"/>
        <v>#N/A</v>
      </c>
      <c r="F38" s="101" t="e">
        <f t="shared" si="6"/>
        <v>#N/A</v>
      </c>
      <c r="G38" s="101" t="e">
        <f t="shared" si="6"/>
        <v>#N/A</v>
      </c>
      <c r="H38" s="101" t="e">
        <f t="shared" si="6"/>
        <v>#N/A</v>
      </c>
      <c r="I38" s="101" t="e">
        <f t="shared" si="6"/>
        <v>#N/A</v>
      </c>
      <c r="J38" s="101" t="e">
        <f t="shared" si="6"/>
        <v>#N/A</v>
      </c>
      <c r="L38" s="40" t="s">
        <v>606</v>
      </c>
      <c r="M38" s="137" t="s">
        <v>2440</v>
      </c>
      <c r="N38" s="92" t="s">
        <v>2441</v>
      </c>
      <c r="O38" s="96" t="e">
        <f>VLOOKUP($L38,flows!$A$2:$J$4985,O$2,FALSE)</f>
        <v>#N/A</v>
      </c>
      <c r="P38" s="96" t="e">
        <f>VLOOKUP($L38,flows!$A$2:$J$4985,P$2,FALSE)</f>
        <v>#N/A</v>
      </c>
      <c r="Q38" s="96" t="e">
        <f>VLOOKUP($L38,flows!$A$2:$J$4985,Q$2,FALSE)</f>
        <v>#N/A</v>
      </c>
      <c r="R38" s="96" t="e">
        <f>VLOOKUP($L38,flows!$A$2:$J$4985,R$2,FALSE)</f>
        <v>#N/A</v>
      </c>
      <c r="S38" s="96" t="e">
        <f>VLOOKUP($L38,flows!$A$2:$J$4985,S$2,FALSE)</f>
        <v>#N/A</v>
      </c>
      <c r="T38" s="96" t="e">
        <f>VLOOKUP($L38,flows!$A$2:$J$4985,T$2,FALSE)</f>
        <v>#N/A</v>
      </c>
      <c r="U38" s="96" t="e">
        <f>VLOOKUP($L38,flows!$A$2:$J$4985,U$2,FALSE)</f>
        <v>#N/A</v>
      </c>
      <c r="V38" s="96" t="e">
        <f>VLOOKUP($L38,flows!$A$2:$J$4985,V$2,FALSE)</f>
        <v>#N/A</v>
      </c>
    </row>
    <row r="39" spans="1:34" x14ac:dyDescent="0.35">
      <c r="L39" s="40"/>
      <c r="M39" s="137" t="s">
        <v>1535</v>
      </c>
      <c r="N39" s="137" t="s">
        <v>2442</v>
      </c>
      <c r="O39" s="96" t="e">
        <f>O37+O38</f>
        <v>#N/A</v>
      </c>
      <c r="P39" s="96" t="e">
        <f t="shared" ref="P39:V39" si="7">P37+P38</f>
        <v>#N/A</v>
      </c>
      <c r="Q39" s="96" t="e">
        <f t="shared" si="7"/>
        <v>#N/A</v>
      </c>
      <c r="R39" s="96" t="e">
        <f t="shared" si="7"/>
        <v>#N/A</v>
      </c>
      <c r="S39" s="96" t="e">
        <f t="shared" si="7"/>
        <v>#N/A</v>
      </c>
      <c r="T39" s="96" t="e">
        <f t="shared" si="7"/>
        <v>#N/A</v>
      </c>
      <c r="U39" s="96" t="e">
        <f t="shared" si="7"/>
        <v>#N/A</v>
      </c>
      <c r="V39" s="96" t="e">
        <f t="shared" si="7"/>
        <v>#N/A</v>
      </c>
    </row>
    <row r="40" spans="1:34" x14ac:dyDescent="0.35">
      <c r="L40" s="40" t="s">
        <v>1096</v>
      </c>
      <c r="M40" s="137" t="s">
        <v>1961</v>
      </c>
      <c r="N40" s="92" t="s">
        <v>2432</v>
      </c>
      <c r="O40" s="96" t="e">
        <f>VLOOKUP($L40,flows!$A$2:$J$4985,O$2,FALSE)</f>
        <v>#N/A</v>
      </c>
      <c r="P40" s="96" t="e">
        <f>VLOOKUP($L40,flows!$A$2:$J$4985,P$2,FALSE)</f>
        <v>#N/A</v>
      </c>
      <c r="Q40" s="96" t="e">
        <f>VLOOKUP($L40,flows!$A$2:$J$4985,Q$2,FALSE)</f>
        <v>#N/A</v>
      </c>
      <c r="R40" s="96" t="e">
        <f>VLOOKUP($L40,flows!$A$2:$J$4985,R$2,FALSE)</f>
        <v>#N/A</v>
      </c>
      <c r="S40" s="96" t="e">
        <f>VLOOKUP($L40,flows!$A$2:$J$4985,S$2,FALSE)</f>
        <v>#N/A</v>
      </c>
      <c r="T40" s="96" t="e">
        <f>VLOOKUP($L40,flows!$A$2:$J$4985,T$2,FALSE)</f>
        <v>#N/A</v>
      </c>
      <c r="U40" s="96" t="e">
        <f>VLOOKUP($L40,flows!$A$2:$J$4985,U$2,FALSE)</f>
        <v>#N/A</v>
      </c>
      <c r="V40" s="96" t="e">
        <f>VLOOKUP($L40,flows!$A$2:$J$4985,V$2,FALSE)</f>
        <v>#N/A</v>
      </c>
    </row>
    <row r="41" spans="1:34" x14ac:dyDescent="0.35">
      <c r="L41" s="40" t="s">
        <v>1095</v>
      </c>
      <c r="M41" s="137" t="s">
        <v>1962</v>
      </c>
      <c r="N41" s="92" t="s">
        <v>2433</v>
      </c>
      <c r="O41" s="96" t="e">
        <f>VLOOKUP($L41,flows!$A$2:$J$4985,O$2,FALSE)</f>
        <v>#N/A</v>
      </c>
      <c r="P41" s="96" t="e">
        <f>VLOOKUP($L41,flows!$A$2:$J$4985,P$2,FALSE)</f>
        <v>#N/A</v>
      </c>
      <c r="Q41" s="96" t="e">
        <f>VLOOKUP($L41,flows!$A$2:$J$4985,Q$2,FALSE)</f>
        <v>#N/A</v>
      </c>
      <c r="R41" s="96" t="e">
        <f>VLOOKUP($L41,flows!$A$2:$J$4985,R$2,FALSE)</f>
        <v>#N/A</v>
      </c>
      <c r="S41" s="96" t="e">
        <f>VLOOKUP($L41,flows!$A$2:$J$4985,S$2,FALSE)</f>
        <v>#N/A</v>
      </c>
      <c r="T41" s="96" t="e">
        <f>VLOOKUP($L41,flows!$A$2:$J$4985,T$2,FALSE)</f>
        <v>#N/A</v>
      </c>
      <c r="U41" s="96" t="e">
        <f>VLOOKUP($L41,flows!$A$2:$J$4985,U$2,FALSE)</f>
        <v>#N/A</v>
      </c>
      <c r="V41" s="96" t="e">
        <f>VLOOKUP($L41,flows!$A$2:$J$4985,V$2,FALSE)</f>
        <v>#N/A</v>
      </c>
    </row>
    <row r="42" spans="1:34" ht="15" thickBot="1" x14ac:dyDescent="0.4">
      <c r="L42" s="41"/>
      <c r="M42" s="77" t="s">
        <v>1963</v>
      </c>
      <c r="N42" s="138" t="s">
        <v>2434</v>
      </c>
      <c r="O42" s="101" t="e">
        <f>O40+O41</f>
        <v>#N/A</v>
      </c>
      <c r="P42" s="101" t="e">
        <f t="shared" ref="P42:V42" si="8">P40+P41</f>
        <v>#N/A</v>
      </c>
      <c r="Q42" s="101" t="e">
        <f t="shared" si="8"/>
        <v>#N/A</v>
      </c>
      <c r="R42" s="101" t="e">
        <f t="shared" si="8"/>
        <v>#N/A</v>
      </c>
      <c r="S42" s="101" t="e">
        <f t="shared" si="8"/>
        <v>#N/A</v>
      </c>
      <c r="T42" s="101" t="e">
        <f t="shared" si="8"/>
        <v>#N/A</v>
      </c>
      <c r="U42" s="101" t="e">
        <f t="shared" si="8"/>
        <v>#N/A</v>
      </c>
      <c r="V42" s="101" t="e">
        <f t="shared" si="8"/>
        <v>#N/A</v>
      </c>
    </row>
    <row r="44" spans="1:34" ht="15" thickBot="1" x14ac:dyDescent="0.4"/>
    <row r="45" spans="1:34" x14ac:dyDescent="0.35">
      <c r="A45" s="87"/>
      <c r="B45" s="88" t="s">
        <v>1162</v>
      </c>
      <c r="C45" s="89">
        <v>2</v>
      </c>
      <c r="D45" s="89">
        <v>3</v>
      </c>
      <c r="E45" s="89">
        <v>4</v>
      </c>
      <c r="F45" s="89">
        <v>5</v>
      </c>
      <c r="G45" s="89">
        <v>6</v>
      </c>
      <c r="H45" s="89">
        <v>7</v>
      </c>
      <c r="I45" s="89">
        <v>8</v>
      </c>
      <c r="J45" s="89">
        <v>9</v>
      </c>
      <c r="L45" s="87"/>
      <c r="M45" s="89"/>
      <c r="N45" s="88" t="s">
        <v>1162</v>
      </c>
      <c r="O45" s="89">
        <v>2</v>
      </c>
      <c r="P45" s="89">
        <v>3</v>
      </c>
      <c r="Q45" s="89">
        <v>4</v>
      </c>
      <c r="R45" s="89">
        <v>5</v>
      </c>
      <c r="S45" s="89">
        <v>6</v>
      </c>
      <c r="T45" s="89">
        <v>7</v>
      </c>
      <c r="U45" s="89">
        <v>8</v>
      </c>
      <c r="V45" s="89">
        <v>9</v>
      </c>
    </row>
    <row r="46" spans="1:34" ht="18.5" x14ac:dyDescent="0.45">
      <c r="A46" s="40" t="s">
        <v>1415</v>
      </c>
      <c r="B46" s="92"/>
      <c r="C46" s="133" t="s">
        <v>1417</v>
      </c>
      <c r="D46" s="133">
        <v>2020</v>
      </c>
      <c r="E46" s="133">
        <v>2025</v>
      </c>
      <c r="F46" s="133">
        <v>2030</v>
      </c>
      <c r="G46" s="133">
        <v>2035</v>
      </c>
      <c r="H46" s="133">
        <v>2040</v>
      </c>
      <c r="I46" s="133">
        <v>2045</v>
      </c>
      <c r="J46" s="133">
        <v>2050</v>
      </c>
      <c r="L46" s="40" t="s">
        <v>1415</v>
      </c>
      <c r="M46" s="92"/>
      <c r="N46" s="92"/>
      <c r="O46" s="133" t="s">
        <v>1417</v>
      </c>
      <c r="P46" s="133">
        <v>2020</v>
      </c>
      <c r="Q46" s="133">
        <v>2025</v>
      </c>
      <c r="R46" s="133">
        <v>2030</v>
      </c>
      <c r="S46" s="133">
        <v>2035</v>
      </c>
      <c r="T46" s="133">
        <v>2040</v>
      </c>
      <c r="U46" s="133">
        <v>2045</v>
      </c>
      <c r="V46" s="133">
        <v>2050</v>
      </c>
      <c r="AH46" s="162"/>
    </row>
    <row r="47" spans="1:34" ht="18.5" x14ac:dyDescent="0.45">
      <c r="A47" s="40"/>
      <c r="B47" s="92"/>
      <c r="C47" s="92"/>
      <c r="D47" s="92"/>
      <c r="E47" s="92"/>
      <c r="F47" s="92"/>
      <c r="G47" s="92"/>
      <c r="H47" s="92"/>
      <c r="I47" s="92"/>
      <c r="J47" s="92"/>
      <c r="L47" s="40"/>
      <c r="M47" s="92"/>
      <c r="N47" s="92"/>
      <c r="O47" s="92"/>
      <c r="P47" s="92"/>
      <c r="Q47" s="92"/>
      <c r="R47" s="92"/>
      <c r="S47" s="92"/>
      <c r="T47" s="92"/>
      <c r="U47" s="92"/>
      <c r="V47" s="92"/>
      <c r="AH47" s="162"/>
    </row>
    <row r="48" spans="1:34" x14ac:dyDescent="0.35">
      <c r="A48" s="40" t="s">
        <v>733</v>
      </c>
      <c r="B48" s="92" t="s">
        <v>1325</v>
      </c>
      <c r="C48" s="96" t="e">
        <f>VLOOKUP($A48,flows!$A$2:$J$4985,C$2,FALSE)</f>
        <v>#N/A</v>
      </c>
      <c r="D48" s="96" t="e">
        <f>VLOOKUP($A48,flows!$A$2:$J$4985,D$2,FALSE)</f>
        <v>#N/A</v>
      </c>
      <c r="E48" s="96" t="e">
        <f>VLOOKUP($A48,flows!$A$2:$J$4985,E$2,FALSE)</f>
        <v>#N/A</v>
      </c>
      <c r="F48" s="96" t="e">
        <f>VLOOKUP($A48,flows!$A$2:$J$4985,F$2,FALSE)</f>
        <v>#N/A</v>
      </c>
      <c r="G48" s="96" t="e">
        <f>VLOOKUP($A48,flows!$A$2:$J$4985,G$2,FALSE)</f>
        <v>#N/A</v>
      </c>
      <c r="H48" s="96" t="e">
        <f>VLOOKUP($A48,flows!$A$2:$J$4985,H$2,FALSE)</f>
        <v>#N/A</v>
      </c>
      <c r="I48" s="96" t="e">
        <f>VLOOKUP($A48,flows!$A$2:$J$4985,I$2,FALSE)</f>
        <v>#N/A</v>
      </c>
      <c r="J48" s="96" t="e">
        <f>VLOOKUP($A48,flows!$A$2:$J$4985,J$2,FALSE)</f>
        <v>#N/A</v>
      </c>
      <c r="L48" s="40" t="s">
        <v>996</v>
      </c>
      <c r="M48" s="92" t="s">
        <v>1534</v>
      </c>
      <c r="N48" s="92" t="s">
        <v>1473</v>
      </c>
      <c r="O48" s="96" t="e">
        <f>VLOOKUP($L48,flows!$A$2:$J$4985,O$2,FALSE)</f>
        <v>#N/A</v>
      </c>
      <c r="P48" s="96" t="e">
        <f>VLOOKUP($L48,flows!$A$2:$J$4985,P$2,FALSE)</f>
        <v>#N/A</v>
      </c>
      <c r="Q48" s="96" t="e">
        <f>VLOOKUP($L48,flows!$A$2:$J$4985,Q$2,FALSE)</f>
        <v>#N/A</v>
      </c>
      <c r="R48" s="96" t="e">
        <f>VLOOKUP($L48,flows!$A$2:$J$4985,R$2,FALSE)</f>
        <v>#N/A</v>
      </c>
      <c r="S48" s="96" t="e">
        <f>VLOOKUP($L48,flows!$A$2:$J$4985,S$2,FALSE)</f>
        <v>#N/A</v>
      </c>
      <c r="T48" s="96" t="e">
        <f>VLOOKUP($L48,flows!$A$2:$J$4985,T$2,FALSE)</f>
        <v>#N/A</v>
      </c>
      <c r="U48" s="96" t="e">
        <f>VLOOKUP($L48,flows!$A$2:$J$4985,U$2,FALSE)</f>
        <v>#N/A</v>
      </c>
      <c r="V48" s="96" t="e">
        <f>VLOOKUP($L48,flows!$A$2:$J$4985,V$2,FALSE)</f>
        <v>#N/A</v>
      </c>
    </row>
    <row r="49" spans="1:22" x14ac:dyDescent="0.35">
      <c r="A49" s="40" t="s">
        <v>856</v>
      </c>
      <c r="B49" s="92" t="s">
        <v>1757</v>
      </c>
      <c r="C49" s="96" t="e">
        <f>VLOOKUP($A49,flows!$A$2:$J$4985,C$2,FALSE)</f>
        <v>#N/A</v>
      </c>
      <c r="D49" s="96" t="e">
        <f>VLOOKUP($A49,flows!$A$2:$J$4985,D$2,FALSE)</f>
        <v>#N/A</v>
      </c>
      <c r="E49" s="96" t="e">
        <f>VLOOKUP($A49,flows!$A$2:$J$4985,E$2,FALSE)</f>
        <v>#N/A</v>
      </c>
      <c r="F49" s="96" t="e">
        <f>VLOOKUP($A49,flows!$A$2:$J$4985,F$2,FALSE)</f>
        <v>#N/A</v>
      </c>
      <c r="G49" s="96" t="e">
        <f>VLOOKUP($A49,flows!$A$2:$J$4985,G$2,FALSE)</f>
        <v>#N/A</v>
      </c>
      <c r="H49" s="96" t="e">
        <f>VLOOKUP($A49,flows!$A$2:$J$4985,H$2,FALSE)</f>
        <v>#N/A</v>
      </c>
      <c r="I49" s="96" t="e">
        <f>VLOOKUP($A49,flows!$A$2:$J$4985,I$2,FALSE)</f>
        <v>#N/A</v>
      </c>
      <c r="J49" s="96" t="e">
        <f>VLOOKUP($A49,flows!$A$2:$J$4985,J$2,FALSE)</f>
        <v>#N/A</v>
      </c>
      <c r="L49" s="40" t="s">
        <v>998</v>
      </c>
      <c r="M49" s="92" t="s">
        <v>1750</v>
      </c>
      <c r="N49" s="92" t="s">
        <v>2429</v>
      </c>
      <c r="O49" s="96" t="e">
        <f>VLOOKUP($L49,flows!$A$2:$J$4985,O$2,FALSE)</f>
        <v>#N/A</v>
      </c>
      <c r="P49" s="96" t="e">
        <f>VLOOKUP($L49,flows!$A$2:$J$4985,P$2,FALSE)</f>
        <v>#N/A</v>
      </c>
      <c r="Q49" s="96" t="e">
        <f>VLOOKUP($L49,flows!$A$2:$J$4985,Q$2,FALSE)</f>
        <v>#N/A</v>
      </c>
      <c r="R49" s="96" t="e">
        <f>VLOOKUP($L49,flows!$A$2:$J$4985,R$2,FALSE)</f>
        <v>#N/A</v>
      </c>
      <c r="S49" s="96" t="e">
        <f>VLOOKUP($L49,flows!$A$2:$J$4985,S$2,FALSE)</f>
        <v>#N/A</v>
      </c>
      <c r="T49" s="96" t="e">
        <f>VLOOKUP($L49,flows!$A$2:$J$4985,T$2,FALSE)</f>
        <v>#N/A</v>
      </c>
      <c r="U49" s="96" t="e">
        <f>VLOOKUP($L49,flows!$A$2:$J$4985,U$2,FALSE)</f>
        <v>#N/A</v>
      </c>
      <c r="V49" s="96" t="e">
        <f>VLOOKUP($L49,flows!$A$2:$J$4985,V$2,FALSE)</f>
        <v>#N/A</v>
      </c>
    </row>
    <row r="50" spans="1:22" x14ac:dyDescent="0.35">
      <c r="A50" s="40" t="s">
        <v>737</v>
      </c>
      <c r="B50" s="92" t="s">
        <v>1748</v>
      </c>
      <c r="C50" s="96" t="e">
        <f>VLOOKUP($A50,flows!$A$2:$J$4985,C$2,FALSE)</f>
        <v>#N/A</v>
      </c>
      <c r="D50" s="96" t="e">
        <f>VLOOKUP($A50,flows!$A$2:$J$4985,D$2,FALSE)</f>
        <v>#N/A</v>
      </c>
      <c r="E50" s="96" t="e">
        <f>VLOOKUP($A50,flows!$A$2:$J$4985,E$2,FALSE)</f>
        <v>#N/A</v>
      </c>
      <c r="F50" s="96" t="e">
        <f>VLOOKUP($A50,flows!$A$2:$J$4985,F$2,FALSE)</f>
        <v>#N/A</v>
      </c>
      <c r="G50" s="96" t="e">
        <f>VLOOKUP($A50,flows!$A$2:$J$4985,G$2,FALSE)</f>
        <v>#N/A</v>
      </c>
      <c r="H50" s="96" t="e">
        <f>VLOOKUP($A50,flows!$A$2:$J$4985,H$2,FALSE)</f>
        <v>#N/A</v>
      </c>
      <c r="I50" s="96" t="e">
        <f>VLOOKUP($A50,flows!$A$2:$J$4985,I$2,FALSE)</f>
        <v>#N/A</v>
      </c>
      <c r="J50" s="96" t="e">
        <f>VLOOKUP($A50,flows!$A$2:$J$4985,J$2,FALSE)</f>
        <v>#N/A</v>
      </c>
      <c r="L50" s="40" t="s">
        <v>1104</v>
      </c>
      <c r="M50" s="92" t="s">
        <v>1536</v>
      </c>
      <c r="N50" s="92" t="s">
        <v>2430</v>
      </c>
      <c r="O50" s="96" t="e">
        <f>VLOOKUP($L50,flows!$A$2:$J$4985,O$2,FALSE)</f>
        <v>#N/A</v>
      </c>
      <c r="P50" s="96" t="e">
        <f>VLOOKUP($L50,flows!$A$2:$J$4985,P$2,FALSE)</f>
        <v>#N/A</v>
      </c>
      <c r="Q50" s="96" t="e">
        <f>VLOOKUP($L50,flows!$A$2:$J$4985,Q$2,FALSE)</f>
        <v>#N/A</v>
      </c>
      <c r="R50" s="96" t="e">
        <f>VLOOKUP($L50,flows!$A$2:$J$4985,R$2,FALSE)</f>
        <v>#N/A</v>
      </c>
      <c r="S50" s="96" t="e">
        <f>VLOOKUP($L50,flows!$A$2:$J$4985,S$2,FALSE)</f>
        <v>#N/A</v>
      </c>
      <c r="T50" s="96" t="e">
        <f>VLOOKUP($L50,flows!$A$2:$J$4985,T$2,FALSE)</f>
        <v>#N/A</v>
      </c>
      <c r="U50" s="96" t="e">
        <f>VLOOKUP($L50,flows!$A$2:$J$4985,U$2,FALSE)</f>
        <v>#N/A</v>
      </c>
      <c r="V50" s="96" t="e">
        <f>VLOOKUP($L50,flows!$A$2:$J$4985,V$2,FALSE)</f>
        <v>#N/A</v>
      </c>
    </row>
    <row r="51" spans="1:22" x14ac:dyDescent="0.35">
      <c r="A51" s="40" t="s">
        <v>738</v>
      </c>
      <c r="B51" s="92" t="s">
        <v>1749</v>
      </c>
      <c r="C51" s="96" t="e">
        <f>VLOOKUP($A51,flows!$A$2:$J$4985,C$2,FALSE)</f>
        <v>#N/A</v>
      </c>
      <c r="D51" s="96" t="e">
        <f>VLOOKUP($A51,flows!$A$2:$J$4985,D$2,FALSE)</f>
        <v>#N/A</v>
      </c>
      <c r="E51" s="96" t="e">
        <f>VLOOKUP($A51,flows!$A$2:$J$4985,E$2,FALSE)</f>
        <v>#N/A</v>
      </c>
      <c r="F51" s="96" t="e">
        <f>VLOOKUP($A51,flows!$A$2:$J$4985,F$2,FALSE)</f>
        <v>#N/A</v>
      </c>
      <c r="G51" s="96" t="e">
        <f>VLOOKUP($A51,flows!$A$2:$J$4985,G$2,FALSE)</f>
        <v>#N/A</v>
      </c>
      <c r="H51" s="96" t="e">
        <f>VLOOKUP($A51,flows!$A$2:$J$4985,H$2,FALSE)</f>
        <v>#N/A</v>
      </c>
      <c r="I51" s="96" t="e">
        <f>VLOOKUP($A51,flows!$A$2:$J$4985,I$2,FALSE)</f>
        <v>#N/A</v>
      </c>
      <c r="J51" s="96" t="e">
        <f>VLOOKUP($A51,flows!$A$2:$J$4985,J$2,FALSE)</f>
        <v>#N/A</v>
      </c>
      <c r="L51" s="40" t="s">
        <v>997</v>
      </c>
      <c r="M51" s="137" t="s">
        <v>1960</v>
      </c>
      <c r="N51" s="92" t="s">
        <v>2431</v>
      </c>
      <c r="O51" s="96" t="e">
        <f>VLOOKUP($L51,flows!$A$2:$J$4985,O$2,FALSE)</f>
        <v>#N/A</v>
      </c>
      <c r="P51" s="96" t="e">
        <f>VLOOKUP($L51,flows!$A$2:$J$4985,P$2,FALSE)</f>
        <v>#N/A</v>
      </c>
      <c r="Q51" s="96" t="e">
        <f>VLOOKUP($L51,flows!$A$2:$J$4985,Q$2,FALSE)</f>
        <v>#N/A</v>
      </c>
      <c r="R51" s="96" t="e">
        <f>VLOOKUP($L51,flows!$A$2:$J$4985,R$2,FALSE)</f>
        <v>#N/A</v>
      </c>
      <c r="S51" s="96" t="e">
        <f>VLOOKUP($L51,flows!$A$2:$J$4985,S$2,FALSE)</f>
        <v>#N/A</v>
      </c>
      <c r="T51" s="96" t="e">
        <f>VLOOKUP($L51,flows!$A$2:$J$4985,T$2,FALSE)</f>
        <v>#N/A</v>
      </c>
      <c r="U51" s="96" t="e">
        <f>VLOOKUP($L51,flows!$A$2:$J$4985,U$2,FALSE)</f>
        <v>#N/A</v>
      </c>
      <c r="V51" s="96" t="e">
        <f>VLOOKUP($L51,flows!$A$2:$J$4985,V$2,FALSE)</f>
        <v>#N/A</v>
      </c>
    </row>
    <row r="52" spans="1:22" x14ac:dyDescent="0.35">
      <c r="A52" s="40" t="s">
        <v>734</v>
      </c>
      <c r="B52" s="92" t="s">
        <v>1222</v>
      </c>
      <c r="C52" s="96" t="e">
        <f>VLOOKUP($A52,flows!$A$2:$J$4985,C$2,FALSE)</f>
        <v>#N/A</v>
      </c>
      <c r="D52" s="96" t="e">
        <f>VLOOKUP($A52,flows!$A$2:$J$4985,D$2,FALSE)</f>
        <v>#N/A</v>
      </c>
      <c r="E52" s="96" t="e">
        <f>VLOOKUP($A52,flows!$A$2:$J$4985,E$2,FALSE)</f>
        <v>#N/A</v>
      </c>
      <c r="F52" s="96" t="e">
        <f>VLOOKUP($A52,flows!$A$2:$J$4985,F$2,FALSE)</f>
        <v>#N/A</v>
      </c>
      <c r="G52" s="96" t="e">
        <f>VLOOKUP($A52,flows!$A$2:$J$4985,G$2,FALSE)</f>
        <v>#N/A</v>
      </c>
      <c r="H52" s="96" t="e">
        <f>VLOOKUP($A52,flows!$A$2:$J$4985,H$2,FALSE)</f>
        <v>#N/A</v>
      </c>
      <c r="I52" s="96" t="e">
        <f>VLOOKUP($A52,flows!$A$2:$J$4985,I$2,FALSE)</f>
        <v>#N/A</v>
      </c>
      <c r="J52" s="96" t="e">
        <f>VLOOKUP($A52,flows!$A$2:$J$4985,J$2,FALSE)</f>
        <v>#N/A</v>
      </c>
      <c r="L52" s="40" t="s">
        <v>608</v>
      </c>
      <c r="M52" s="137" t="s">
        <v>1535</v>
      </c>
      <c r="N52" s="92" t="s">
        <v>2442</v>
      </c>
      <c r="O52" s="96" t="e">
        <f>VLOOKUP($L52,flows!$A$2:$J$4985,O$2,FALSE)</f>
        <v>#N/A</v>
      </c>
      <c r="P52" s="96" t="e">
        <f>VLOOKUP($L52,flows!$A$2:$J$4985,P$2,FALSE)</f>
        <v>#N/A</v>
      </c>
      <c r="Q52" s="96" t="e">
        <f>VLOOKUP($L52,flows!$A$2:$J$4985,Q$2,FALSE)</f>
        <v>#N/A</v>
      </c>
      <c r="R52" s="96" t="e">
        <f>VLOOKUP($L52,flows!$A$2:$J$4985,R$2,FALSE)</f>
        <v>#N/A</v>
      </c>
      <c r="S52" s="96" t="e">
        <f>VLOOKUP($L52,flows!$A$2:$J$4985,S$2,FALSE)</f>
        <v>#N/A</v>
      </c>
      <c r="T52" s="96" t="e">
        <f>VLOOKUP($L52,flows!$A$2:$J$4985,T$2,FALSE)</f>
        <v>#N/A</v>
      </c>
      <c r="U52" s="96" t="e">
        <f>VLOOKUP($L52,flows!$A$2:$J$4985,U$2,FALSE)</f>
        <v>#N/A</v>
      </c>
      <c r="V52" s="96" t="e">
        <f>VLOOKUP($L52,flows!$A$2:$J$4985,V$2,FALSE)</f>
        <v>#N/A</v>
      </c>
    </row>
    <row r="53" spans="1:22" x14ac:dyDescent="0.35">
      <c r="A53" s="40" t="s">
        <v>736</v>
      </c>
      <c r="B53" s="92" t="s">
        <v>1479</v>
      </c>
      <c r="C53" s="96" t="e">
        <f>VLOOKUP($A53,flows!$A$2:$J$4985,C$2,FALSE)</f>
        <v>#N/A</v>
      </c>
      <c r="D53" s="96" t="e">
        <f>VLOOKUP($A53,flows!$A$2:$J$4985,D$2,FALSE)</f>
        <v>#N/A</v>
      </c>
      <c r="E53" s="96" t="e">
        <f>VLOOKUP($A53,flows!$A$2:$J$4985,E$2,FALSE)</f>
        <v>#N/A</v>
      </c>
      <c r="F53" s="96" t="e">
        <f>VLOOKUP($A53,flows!$A$2:$J$4985,F$2,FALSE)</f>
        <v>#N/A</v>
      </c>
      <c r="G53" s="96" t="e">
        <f>VLOOKUP($A53,flows!$A$2:$J$4985,G$2,FALSE)</f>
        <v>#N/A</v>
      </c>
      <c r="H53" s="96" t="e">
        <f>VLOOKUP($A53,flows!$A$2:$J$4985,H$2,FALSE)</f>
        <v>#N/A</v>
      </c>
      <c r="I53" s="96" t="e">
        <f>VLOOKUP($A53,flows!$A$2:$J$4985,I$2,FALSE)</f>
        <v>#N/A</v>
      </c>
      <c r="J53" s="96" t="e">
        <f>VLOOKUP($A53,flows!$A$2:$J$4985,J$2,FALSE)</f>
        <v>#N/A</v>
      </c>
      <c r="L53" s="40" t="s">
        <v>1098</v>
      </c>
      <c r="M53" s="137" t="s">
        <v>2436</v>
      </c>
      <c r="N53" s="92" t="s">
        <v>2432</v>
      </c>
      <c r="O53" s="96" t="e">
        <f>VLOOKUP($L53,flows!$A$2:$J$4985,O$2,FALSE)</f>
        <v>#N/A</v>
      </c>
      <c r="P53" s="96" t="e">
        <f>VLOOKUP($L53,flows!$A$2:$J$4985,P$2,FALSE)</f>
        <v>#N/A</v>
      </c>
      <c r="Q53" s="96" t="e">
        <f>VLOOKUP($L53,flows!$A$2:$J$4985,Q$2,FALSE)</f>
        <v>#N/A</v>
      </c>
      <c r="R53" s="96" t="e">
        <f>VLOOKUP($L53,flows!$A$2:$J$4985,R$2,FALSE)</f>
        <v>#N/A</v>
      </c>
      <c r="S53" s="96" t="e">
        <f>VLOOKUP($L53,flows!$A$2:$J$4985,S$2,FALSE)</f>
        <v>#N/A</v>
      </c>
      <c r="T53" s="96" t="e">
        <f>VLOOKUP($L53,flows!$A$2:$J$4985,T$2,FALSE)</f>
        <v>#N/A</v>
      </c>
      <c r="U53" s="96" t="e">
        <f>VLOOKUP($L53,flows!$A$2:$J$4985,U$2,FALSE)</f>
        <v>#N/A</v>
      </c>
      <c r="V53" s="96" t="e">
        <f>VLOOKUP($L53,flows!$A$2:$J$4985,V$2,FALSE)</f>
        <v>#N/A</v>
      </c>
    </row>
    <row r="54" spans="1:22" x14ac:dyDescent="0.35">
      <c r="A54" s="40" t="s">
        <v>735</v>
      </c>
      <c r="B54" s="92" t="s">
        <v>1483</v>
      </c>
      <c r="C54" s="96" t="e">
        <f>VLOOKUP($A54,flows!$A$2:$J$4985,C$2,FALSE)</f>
        <v>#N/A</v>
      </c>
      <c r="D54" s="96" t="e">
        <f>VLOOKUP($A54,flows!$A$2:$J$4985,D$2,FALSE)</f>
        <v>#N/A</v>
      </c>
      <c r="E54" s="96" t="e">
        <f>VLOOKUP($A54,flows!$A$2:$J$4985,E$2,FALSE)</f>
        <v>#N/A</v>
      </c>
      <c r="F54" s="96" t="e">
        <f>VLOOKUP($A54,flows!$A$2:$J$4985,F$2,FALSE)</f>
        <v>#N/A</v>
      </c>
      <c r="G54" s="96" t="e">
        <f>VLOOKUP($A54,flows!$A$2:$J$4985,G$2,FALSE)</f>
        <v>#N/A</v>
      </c>
      <c r="H54" s="96" t="e">
        <f>VLOOKUP($A54,flows!$A$2:$J$4985,H$2,FALSE)</f>
        <v>#N/A</v>
      </c>
      <c r="I54" s="96" t="e">
        <f>VLOOKUP($A54,flows!$A$2:$J$4985,I$2,FALSE)</f>
        <v>#N/A</v>
      </c>
      <c r="J54" s="96" t="e">
        <f>VLOOKUP($A54,flows!$A$2:$J$4985,J$2,FALSE)</f>
        <v>#N/A</v>
      </c>
      <c r="L54" s="40" t="s">
        <v>1097</v>
      </c>
      <c r="M54" s="137" t="s">
        <v>2437</v>
      </c>
      <c r="N54" s="92" t="s">
        <v>2433</v>
      </c>
      <c r="O54" s="96" t="e">
        <f>VLOOKUP($L54,flows!$A$2:$J$4985,O$2,FALSE)</f>
        <v>#N/A</v>
      </c>
      <c r="P54" s="96" t="e">
        <f>VLOOKUP($L54,flows!$A$2:$J$4985,P$2,FALSE)</f>
        <v>#N/A</v>
      </c>
      <c r="Q54" s="96" t="e">
        <f>VLOOKUP($L54,flows!$A$2:$J$4985,Q$2,FALSE)</f>
        <v>#N/A</v>
      </c>
      <c r="R54" s="96" t="e">
        <f>VLOOKUP($L54,flows!$A$2:$J$4985,R$2,FALSE)</f>
        <v>#N/A</v>
      </c>
      <c r="S54" s="96" t="e">
        <f>VLOOKUP($L54,flows!$A$2:$J$4985,S$2,FALSE)</f>
        <v>#N/A</v>
      </c>
      <c r="T54" s="96" t="e">
        <f>VLOOKUP($L54,flows!$A$2:$J$4985,T$2,FALSE)</f>
        <v>#N/A</v>
      </c>
      <c r="U54" s="96" t="e">
        <f>VLOOKUP($L54,flows!$A$2:$J$4985,U$2,FALSE)</f>
        <v>#N/A</v>
      </c>
      <c r="V54" s="96" t="e">
        <f>VLOOKUP($L54,flows!$A$2:$J$4985,V$2,FALSE)</f>
        <v>#N/A</v>
      </c>
    </row>
    <row r="55" spans="1:22" ht="15" thickBot="1" x14ac:dyDescent="0.4">
      <c r="A55" s="41"/>
      <c r="B55" s="138" t="s">
        <v>1223</v>
      </c>
      <c r="C55" s="101" t="e">
        <f>C53+C54</f>
        <v>#N/A</v>
      </c>
      <c r="D55" s="101" t="e">
        <f t="shared" ref="D55:J55" si="9">D53+D54</f>
        <v>#N/A</v>
      </c>
      <c r="E55" s="101" t="e">
        <f t="shared" si="9"/>
        <v>#N/A</v>
      </c>
      <c r="F55" s="101" t="e">
        <f t="shared" si="9"/>
        <v>#N/A</v>
      </c>
      <c r="G55" s="101" t="e">
        <f t="shared" si="9"/>
        <v>#N/A</v>
      </c>
      <c r="H55" s="101" t="e">
        <f t="shared" si="9"/>
        <v>#N/A</v>
      </c>
      <c r="I55" s="101" t="e">
        <f t="shared" si="9"/>
        <v>#N/A</v>
      </c>
      <c r="J55" s="101" t="e">
        <f t="shared" si="9"/>
        <v>#N/A</v>
      </c>
      <c r="L55" s="41"/>
      <c r="M55" s="77" t="s">
        <v>1963</v>
      </c>
      <c r="N55" s="138" t="s">
        <v>2434</v>
      </c>
      <c r="O55" s="101" t="e">
        <f>O53+O54</f>
        <v>#N/A</v>
      </c>
      <c r="P55" s="101" t="e">
        <f t="shared" ref="P55:V55" si="10">P53+P54</f>
        <v>#N/A</v>
      </c>
      <c r="Q55" s="101" t="e">
        <f t="shared" si="10"/>
        <v>#N/A</v>
      </c>
      <c r="R55" s="101" t="e">
        <f t="shared" si="10"/>
        <v>#N/A</v>
      </c>
      <c r="S55" s="101" t="e">
        <f t="shared" si="10"/>
        <v>#N/A</v>
      </c>
      <c r="T55" s="101" t="e">
        <f t="shared" si="10"/>
        <v>#N/A</v>
      </c>
      <c r="U55" s="101" t="e">
        <f t="shared" si="10"/>
        <v>#N/A</v>
      </c>
      <c r="V55" s="101" t="e">
        <f t="shared" si="10"/>
        <v>#N/A</v>
      </c>
    </row>
    <row r="56" spans="1:22" x14ac:dyDescent="0.35">
      <c r="T56" s="84"/>
      <c r="U56" s="84"/>
      <c r="V56" s="84"/>
    </row>
    <row r="57" spans="1:22" ht="15" thickBot="1" x14ac:dyDescent="0.4"/>
    <row r="58" spans="1:22" x14ac:dyDescent="0.35">
      <c r="A58" s="87"/>
      <c r="B58" s="88" t="s">
        <v>1318</v>
      </c>
      <c r="C58" s="89">
        <v>2</v>
      </c>
      <c r="D58" s="89">
        <v>3</v>
      </c>
      <c r="E58" s="89">
        <v>4</v>
      </c>
      <c r="F58" s="89">
        <v>5</v>
      </c>
      <c r="G58" s="89">
        <v>6</v>
      </c>
      <c r="H58" s="89">
        <v>7</v>
      </c>
      <c r="I58" s="89">
        <v>8</v>
      </c>
      <c r="J58" s="89">
        <v>9</v>
      </c>
      <c r="L58" s="87"/>
      <c r="M58" s="89"/>
      <c r="N58" s="88" t="s">
        <v>1318</v>
      </c>
      <c r="O58" s="89">
        <v>2</v>
      </c>
      <c r="P58" s="89">
        <v>3</v>
      </c>
      <c r="Q58" s="89">
        <v>4</v>
      </c>
      <c r="R58" s="89">
        <v>5</v>
      </c>
      <c r="S58" s="89">
        <v>6</v>
      </c>
      <c r="T58" s="89">
        <v>7</v>
      </c>
      <c r="U58" s="89">
        <v>8</v>
      </c>
      <c r="V58" s="89">
        <v>9</v>
      </c>
    </row>
    <row r="59" spans="1:22" x14ac:dyDescent="0.35">
      <c r="A59" s="40" t="s">
        <v>1415</v>
      </c>
      <c r="B59" s="92"/>
      <c r="C59" s="133" t="s">
        <v>1417</v>
      </c>
      <c r="D59" s="133">
        <v>2020</v>
      </c>
      <c r="E59" s="133">
        <v>2025</v>
      </c>
      <c r="F59" s="133">
        <v>2030</v>
      </c>
      <c r="G59" s="133">
        <v>2035</v>
      </c>
      <c r="H59" s="133">
        <v>2040</v>
      </c>
      <c r="I59" s="133">
        <v>2045</v>
      </c>
      <c r="J59" s="133">
        <v>2050</v>
      </c>
      <c r="L59" s="40" t="s">
        <v>1415</v>
      </c>
      <c r="M59" s="92"/>
      <c r="N59" s="92"/>
      <c r="O59" s="133" t="s">
        <v>1417</v>
      </c>
      <c r="P59" s="133">
        <v>2020</v>
      </c>
      <c r="Q59" s="133">
        <v>2025</v>
      </c>
      <c r="R59" s="133">
        <v>2030</v>
      </c>
      <c r="S59" s="133">
        <v>2035</v>
      </c>
      <c r="T59" s="133">
        <v>2040</v>
      </c>
      <c r="U59" s="133">
        <v>2045</v>
      </c>
      <c r="V59" s="133">
        <v>2050</v>
      </c>
    </row>
    <row r="60" spans="1:22" x14ac:dyDescent="0.35">
      <c r="A60" s="40"/>
      <c r="B60" s="92"/>
      <c r="C60" s="92"/>
      <c r="D60" s="92"/>
      <c r="E60" s="92"/>
      <c r="F60" s="92"/>
      <c r="G60" s="92"/>
      <c r="H60" s="92"/>
      <c r="I60" s="92"/>
      <c r="J60" s="92"/>
      <c r="L60" s="40"/>
      <c r="M60" s="92"/>
      <c r="N60" s="92"/>
      <c r="O60" s="92"/>
      <c r="P60" s="92"/>
      <c r="Q60" s="92"/>
      <c r="R60" s="92"/>
      <c r="S60" s="92"/>
      <c r="T60" s="92"/>
      <c r="U60" s="92"/>
      <c r="V60" s="92"/>
    </row>
    <row r="61" spans="1:22" x14ac:dyDescent="0.35">
      <c r="A61" s="40" t="s">
        <v>1009</v>
      </c>
      <c r="B61" s="92" t="s">
        <v>1490</v>
      </c>
      <c r="C61" s="96" t="e">
        <f>VLOOKUP($A61,flows!$A$2:$J$4985,C$2,FALSE)</f>
        <v>#N/A</v>
      </c>
      <c r="D61" s="96" t="e">
        <f>VLOOKUP($A61,flows!$A$2:$J$4985,D$2,FALSE)</f>
        <v>#N/A</v>
      </c>
      <c r="E61" s="96" t="e">
        <f>VLOOKUP($A61,flows!$A$2:$J$4985,E$2,FALSE)</f>
        <v>#N/A</v>
      </c>
      <c r="F61" s="96" t="e">
        <f>VLOOKUP($A61,flows!$A$2:$J$4985,F$2,FALSE)</f>
        <v>#N/A</v>
      </c>
      <c r="G61" s="96" t="e">
        <f>VLOOKUP($A61,flows!$A$2:$J$4985,G$2,FALSE)</f>
        <v>#N/A</v>
      </c>
      <c r="H61" s="96" t="e">
        <f>VLOOKUP($A61,flows!$A$2:$J$4985,H$2,FALSE)</f>
        <v>#N/A</v>
      </c>
      <c r="I61" s="96" t="e">
        <f>VLOOKUP($A61,flows!$A$2:$J$4985,I$2,FALSE)</f>
        <v>#N/A</v>
      </c>
      <c r="J61" s="96" t="e">
        <f>VLOOKUP($A61,flows!$A$2:$J$4985,J$2,FALSE)</f>
        <v>#N/A</v>
      </c>
      <c r="L61" s="40" t="s">
        <v>864</v>
      </c>
      <c r="M61" s="92" t="s">
        <v>2438</v>
      </c>
      <c r="N61" s="92" t="s">
        <v>2418</v>
      </c>
      <c r="O61" s="96" t="e">
        <f>VLOOKUP($L61,flows!$A$2:$J$4985,O$2,FALSE)</f>
        <v>#N/A</v>
      </c>
      <c r="P61" s="96" t="e">
        <f>VLOOKUP($L61,flows!$A$2:$J$4985,P$2,FALSE)</f>
        <v>#N/A</v>
      </c>
      <c r="Q61" s="96" t="e">
        <f>VLOOKUP($L61,flows!$A$2:$J$4985,Q$2,FALSE)</f>
        <v>#N/A</v>
      </c>
      <c r="R61" s="96" t="e">
        <f>VLOOKUP($L61,flows!$A$2:$J$4985,R$2,FALSE)</f>
        <v>#N/A</v>
      </c>
      <c r="S61" s="96" t="e">
        <f>VLOOKUP($L61,flows!$A$2:$J$4985,S$2,FALSE)</f>
        <v>#N/A</v>
      </c>
      <c r="T61" s="96" t="e">
        <f>VLOOKUP($L61,flows!$A$2:$J$4985,T$2,FALSE)</f>
        <v>#N/A</v>
      </c>
      <c r="U61" s="96" t="e">
        <f>VLOOKUP($L61,flows!$A$2:$J$4985,U$2,FALSE)</f>
        <v>#N/A</v>
      </c>
      <c r="V61" s="96" t="e">
        <f>VLOOKUP($L61,flows!$A$2:$J$4985,V$2,FALSE)</f>
        <v>#N/A</v>
      </c>
    </row>
    <row r="62" spans="1:22" ht="15" thickBot="1" x14ac:dyDescent="0.4">
      <c r="A62" s="41" t="s">
        <v>1010</v>
      </c>
      <c r="B62" s="77" t="s">
        <v>1491</v>
      </c>
      <c r="C62" s="96" t="e">
        <f>VLOOKUP($A62,flows!$A$2:$J$4985,C$2,FALSE)</f>
        <v>#N/A</v>
      </c>
      <c r="D62" s="96" t="e">
        <f>VLOOKUP($A62,flows!$A$2:$J$4985,D$2,FALSE)</f>
        <v>#N/A</v>
      </c>
      <c r="E62" s="96" t="e">
        <f>VLOOKUP($A62,flows!$A$2:$J$4985,E$2,FALSE)</f>
        <v>#N/A</v>
      </c>
      <c r="F62" s="96" t="e">
        <f>VLOOKUP($A62,flows!$A$2:$J$4985,F$2,FALSE)</f>
        <v>#N/A</v>
      </c>
      <c r="G62" s="96" t="e">
        <f>VLOOKUP($A62,flows!$A$2:$J$4985,G$2,FALSE)</f>
        <v>#N/A</v>
      </c>
      <c r="H62" s="96" t="e">
        <f>VLOOKUP($A62,flows!$A$2:$J$4985,H$2,FALSE)</f>
        <v>#N/A</v>
      </c>
      <c r="I62" s="96" t="e">
        <f>VLOOKUP($A62,flows!$A$2:$J$4985,I$2,FALSE)</f>
        <v>#N/A</v>
      </c>
      <c r="J62" s="96" t="e">
        <f>VLOOKUP($A62,flows!$A$2:$J$4985,J$2,FALSE)</f>
        <v>#N/A</v>
      </c>
      <c r="L62" s="41" t="s">
        <v>865</v>
      </c>
      <c r="M62" s="77" t="s">
        <v>2439</v>
      </c>
      <c r="N62" s="77" t="s">
        <v>2419</v>
      </c>
      <c r="O62" s="96" t="e">
        <f>VLOOKUP($L62,flows!$A$2:$J$4985,O$2,FALSE)</f>
        <v>#N/A</v>
      </c>
      <c r="P62" s="96" t="e">
        <f>VLOOKUP($L62,flows!$A$2:$J$4985,P$2,FALSE)</f>
        <v>#N/A</v>
      </c>
      <c r="Q62" s="96" t="e">
        <f>VLOOKUP($L62,flows!$A$2:$J$4985,Q$2,FALSE)</f>
        <v>#N/A</v>
      </c>
      <c r="R62" s="96" t="e">
        <f>VLOOKUP($L62,flows!$A$2:$J$4985,R$2,FALSE)</f>
        <v>#N/A</v>
      </c>
      <c r="S62" s="96" t="e">
        <f>VLOOKUP($L62,flows!$A$2:$J$4985,S$2,FALSE)</f>
        <v>#N/A</v>
      </c>
      <c r="T62" s="96" t="e">
        <f>VLOOKUP($L62,flows!$A$2:$J$4985,T$2,FALSE)</f>
        <v>#N/A</v>
      </c>
      <c r="U62" s="96" t="e">
        <f>VLOOKUP($L62,flows!$A$2:$J$4985,U$2,FALSE)</f>
        <v>#N/A</v>
      </c>
      <c r="V62" s="96" t="e">
        <f>VLOOKUP($L62,flows!$A$2:$J$4985,V$2,FALSE)</f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3"/>
  </sheetPr>
  <dimension ref="A1:AO83"/>
  <sheetViews>
    <sheetView zoomScale="55" zoomScaleNormal="55" workbookViewId="0">
      <selection activeCell="A79" sqref="A79"/>
    </sheetView>
  </sheetViews>
  <sheetFormatPr baseColWidth="10" defaultColWidth="11.453125" defaultRowHeight="14.5" x14ac:dyDescent="0.35"/>
  <cols>
    <col min="1" max="1" width="49" style="64" bestFit="1" customWidth="1"/>
    <col min="2" max="2" width="14.453125" style="64" bestFit="1" customWidth="1"/>
    <col min="3" max="3" width="15.81640625" style="64" bestFit="1" customWidth="1"/>
    <col min="4" max="11" width="11.453125" style="64"/>
    <col min="12" max="12" width="11.453125" style="190"/>
    <col min="13" max="13" width="11.54296875" style="64" bestFit="1" customWidth="1"/>
    <col min="14" max="16384" width="11.453125" style="64"/>
  </cols>
  <sheetData>
    <row r="1" spans="1:30" ht="15" thickBot="1" x14ac:dyDescent="0.4">
      <c r="W1" s="92"/>
      <c r="X1" s="92"/>
      <c r="Y1" s="92"/>
      <c r="Z1" s="92"/>
      <c r="AA1" s="92"/>
      <c r="AB1" s="92"/>
      <c r="AC1" s="92"/>
      <c r="AD1" s="92"/>
    </row>
    <row r="2" spans="1:30" x14ac:dyDescent="0.35">
      <c r="A2" s="87"/>
      <c r="B2" s="88" t="s">
        <v>1317</v>
      </c>
      <c r="C2" s="89">
        <v>2</v>
      </c>
      <c r="D2" s="89">
        <v>3</v>
      </c>
      <c r="E2" s="89">
        <v>4</v>
      </c>
      <c r="F2" s="89">
        <v>5</v>
      </c>
      <c r="G2" s="89">
        <v>6</v>
      </c>
      <c r="H2" s="89">
        <v>7</v>
      </c>
      <c r="I2" s="89">
        <v>8</v>
      </c>
      <c r="J2" s="89">
        <v>9</v>
      </c>
      <c r="M2" s="91" t="s">
        <v>1317</v>
      </c>
      <c r="N2" s="89">
        <v>2</v>
      </c>
      <c r="O2" s="89">
        <v>3</v>
      </c>
      <c r="P2" s="89">
        <v>4</v>
      </c>
      <c r="Q2" s="89">
        <v>5</v>
      </c>
      <c r="R2" s="89">
        <v>6</v>
      </c>
      <c r="S2" s="89">
        <v>7</v>
      </c>
      <c r="T2" s="89">
        <v>8</v>
      </c>
      <c r="U2" s="89">
        <v>9</v>
      </c>
      <c r="W2" s="91" t="s">
        <v>1317</v>
      </c>
      <c r="X2" s="89">
        <v>3</v>
      </c>
      <c r="Y2" s="89">
        <v>4</v>
      </c>
      <c r="Z2" s="89">
        <v>5</v>
      </c>
      <c r="AA2" s="89">
        <v>6</v>
      </c>
      <c r="AB2" s="89">
        <v>7</v>
      </c>
      <c r="AC2" s="89">
        <v>8</v>
      </c>
      <c r="AD2" s="89">
        <v>9</v>
      </c>
    </row>
    <row r="3" spans="1:30" x14ac:dyDescent="0.35">
      <c r="A3" s="40" t="s">
        <v>1415</v>
      </c>
      <c r="B3" s="92"/>
      <c r="C3" s="133" t="s">
        <v>1417</v>
      </c>
      <c r="D3" s="133">
        <v>2020</v>
      </c>
      <c r="E3" s="133">
        <v>2025</v>
      </c>
      <c r="F3" s="133">
        <v>2030</v>
      </c>
      <c r="G3" s="133">
        <v>2035</v>
      </c>
      <c r="H3" s="133">
        <v>2040</v>
      </c>
      <c r="I3" s="133">
        <v>2045</v>
      </c>
      <c r="J3" s="133">
        <v>2050</v>
      </c>
      <c r="M3" s="40"/>
      <c r="N3" s="133" t="s">
        <v>1417</v>
      </c>
      <c r="O3" s="133">
        <v>2020</v>
      </c>
      <c r="P3" s="133">
        <v>2025</v>
      </c>
      <c r="Q3" s="133">
        <v>2030</v>
      </c>
      <c r="R3" s="133">
        <v>2035</v>
      </c>
      <c r="S3" s="133">
        <v>2040</v>
      </c>
      <c r="T3" s="133">
        <v>2045</v>
      </c>
      <c r="U3" s="133">
        <v>2050</v>
      </c>
      <c r="W3" s="40"/>
      <c r="X3" s="133">
        <v>2020</v>
      </c>
      <c r="Y3" s="133">
        <v>2025</v>
      </c>
      <c r="Z3" s="133">
        <v>2030</v>
      </c>
      <c r="AA3" s="133">
        <v>2035</v>
      </c>
      <c r="AB3" s="133">
        <v>2040</v>
      </c>
      <c r="AC3" s="133">
        <v>2045</v>
      </c>
      <c r="AD3" s="133">
        <v>2050</v>
      </c>
    </row>
    <row r="4" spans="1:30" x14ac:dyDescent="0.35">
      <c r="A4" s="40" t="s">
        <v>3100</v>
      </c>
      <c r="B4" s="92" t="s">
        <v>1494</v>
      </c>
      <c r="C4" s="92" t="e">
        <f>VLOOKUP($A4,flows!$A$2:$J$4985,C$2,FALSE)</f>
        <v>#N/A</v>
      </c>
      <c r="D4" s="92" t="e">
        <f>VLOOKUP($A4,flows!$A$2:$J$4985,D$2,FALSE)</f>
        <v>#N/A</v>
      </c>
      <c r="E4" s="92" t="e">
        <f>VLOOKUP($A4,flows!$A$2:$J$4985,E$2,FALSE)</f>
        <v>#N/A</v>
      </c>
      <c r="F4" s="92" t="e">
        <f>VLOOKUP($A4,flows!$A$2:$J$4985,F$2,FALSE)</f>
        <v>#N/A</v>
      </c>
      <c r="G4" s="92" t="e">
        <f>VLOOKUP($A4,flows!$A$2:$J$4985,G$2,FALSE)</f>
        <v>#N/A</v>
      </c>
      <c r="H4" s="92" t="e">
        <f>VLOOKUP($A4,flows!$A$2:$J$4985,H$2,FALSE)</f>
        <v>#N/A</v>
      </c>
      <c r="I4" s="92" t="e">
        <f>VLOOKUP($A4,flows!$A$2:$J$4985,I$2,FALSE)</f>
        <v>#N/A</v>
      </c>
      <c r="J4" s="92" t="e">
        <f>VLOOKUP($A4,flows!$A$2:$J$4985,J$2,FALSE)</f>
        <v>#N/A</v>
      </c>
      <c r="L4" s="190" t="s">
        <v>1317</v>
      </c>
      <c r="M4" s="40" t="s">
        <v>1317</v>
      </c>
      <c r="N4" s="92" t="e">
        <f>SUM(C9:C11)-C14</f>
        <v>#N/A</v>
      </c>
      <c r="O4" s="92" t="e">
        <f>SUM(D9:D11)-D14</f>
        <v>#N/A</v>
      </c>
      <c r="P4" s="92" t="e">
        <f t="shared" ref="P4:T4" si="0">SUM(E9:E11)-E14</f>
        <v>#N/A</v>
      </c>
      <c r="Q4" s="92" t="e">
        <f t="shared" si="0"/>
        <v>#N/A</v>
      </c>
      <c r="R4" s="92" t="e">
        <f t="shared" si="0"/>
        <v>#N/A</v>
      </c>
      <c r="S4" s="92" t="e">
        <f t="shared" si="0"/>
        <v>#N/A</v>
      </c>
      <c r="T4" s="92" t="e">
        <f t="shared" si="0"/>
        <v>#N/A</v>
      </c>
      <c r="U4" s="92" t="e">
        <f>SUM(J9:J11)-J14</f>
        <v>#N/A</v>
      </c>
      <c r="W4" s="40" t="s">
        <v>1317</v>
      </c>
      <c r="X4" s="97" t="e">
        <f t="shared" ref="X4:AD8" si="1">O4/SUM(O$4:O$8)</f>
        <v>#N/A</v>
      </c>
      <c r="Y4" s="97" t="e">
        <f t="shared" si="1"/>
        <v>#N/A</v>
      </c>
      <c r="Z4" s="97" t="e">
        <f t="shared" si="1"/>
        <v>#N/A</v>
      </c>
      <c r="AA4" s="97" t="e">
        <f t="shared" si="1"/>
        <v>#N/A</v>
      </c>
      <c r="AB4" s="97" t="e">
        <f t="shared" si="1"/>
        <v>#N/A</v>
      </c>
      <c r="AC4" s="97" t="e">
        <f t="shared" si="1"/>
        <v>#N/A</v>
      </c>
      <c r="AD4" s="97" t="e">
        <f t="shared" si="1"/>
        <v>#N/A</v>
      </c>
    </row>
    <row r="5" spans="1:30" x14ac:dyDescent="0.35">
      <c r="A5" s="40" t="s">
        <v>3047</v>
      </c>
      <c r="B5" s="92" t="s">
        <v>1495</v>
      </c>
      <c r="C5" s="92" t="e">
        <f>VLOOKUP($A5,flows!$A$2:$J$4985,C$2,FALSE)</f>
        <v>#N/A</v>
      </c>
      <c r="D5" s="92" t="e">
        <f>VLOOKUP($A5,flows!$A$2:$J$4985,D$2,FALSE)</f>
        <v>#N/A</v>
      </c>
      <c r="E5" s="92" t="e">
        <f>VLOOKUP($A5,flows!$A$2:$J$4985,E$2,FALSE)</f>
        <v>#N/A</v>
      </c>
      <c r="F5" s="92" t="e">
        <f>VLOOKUP($A5,flows!$A$2:$J$4985,F$2,FALSE)</f>
        <v>#N/A</v>
      </c>
      <c r="G5" s="92" t="e">
        <f>VLOOKUP($A5,flows!$A$2:$J$4985,G$2,FALSE)</f>
        <v>#N/A</v>
      </c>
      <c r="H5" s="92" t="e">
        <f>VLOOKUP($A5,flows!$A$2:$J$4985,H$2,FALSE)</f>
        <v>#N/A</v>
      </c>
      <c r="I5" s="92" t="e">
        <f>VLOOKUP($A5,flows!$A$2:$J$4985,I$2,FALSE)</f>
        <v>#N/A</v>
      </c>
      <c r="J5" s="92" t="e">
        <f>VLOOKUP($A5,flows!$A$2:$J$4985,J$2,FALSE)</f>
        <v>#N/A</v>
      </c>
      <c r="L5" s="190" t="s">
        <v>1426</v>
      </c>
      <c r="M5" s="40" t="s">
        <v>1494</v>
      </c>
      <c r="N5" s="92" t="e">
        <f t="shared" ref="N5:U5" si="2">C4</f>
        <v>#N/A</v>
      </c>
      <c r="O5" s="92" t="e">
        <f t="shared" si="2"/>
        <v>#N/A</v>
      </c>
      <c r="P5" s="92" t="e">
        <f t="shared" si="2"/>
        <v>#N/A</v>
      </c>
      <c r="Q5" s="92" t="e">
        <f t="shared" si="2"/>
        <v>#N/A</v>
      </c>
      <c r="R5" s="92" t="e">
        <f t="shared" si="2"/>
        <v>#N/A</v>
      </c>
      <c r="S5" s="92" t="e">
        <f t="shared" si="2"/>
        <v>#N/A</v>
      </c>
      <c r="T5" s="92" t="e">
        <f t="shared" si="2"/>
        <v>#N/A</v>
      </c>
      <c r="U5" s="92" t="e">
        <f t="shared" si="2"/>
        <v>#N/A</v>
      </c>
      <c r="W5" s="40" t="s">
        <v>1494</v>
      </c>
      <c r="X5" s="97" t="e">
        <f t="shared" si="1"/>
        <v>#N/A</v>
      </c>
      <c r="Y5" s="97" t="e">
        <f t="shared" si="1"/>
        <v>#N/A</v>
      </c>
      <c r="Z5" s="97" t="e">
        <f t="shared" si="1"/>
        <v>#N/A</v>
      </c>
      <c r="AA5" s="97" t="e">
        <f t="shared" si="1"/>
        <v>#N/A</v>
      </c>
      <c r="AB5" s="97" t="e">
        <f t="shared" si="1"/>
        <v>#N/A</v>
      </c>
      <c r="AC5" s="97" t="e">
        <f t="shared" si="1"/>
        <v>#N/A</v>
      </c>
      <c r="AD5" s="97" t="e">
        <f t="shared" si="1"/>
        <v>#N/A</v>
      </c>
    </row>
    <row r="6" spans="1:30" x14ac:dyDescent="0.35">
      <c r="A6" s="40" t="s">
        <v>3049</v>
      </c>
      <c r="B6" s="92" t="s">
        <v>1495</v>
      </c>
      <c r="C6" s="92" t="e">
        <f>VLOOKUP($A6,flows!$A$2:$J$4985,C$2,FALSE)</f>
        <v>#N/A</v>
      </c>
      <c r="D6" s="92" t="e">
        <f>VLOOKUP($A6,flows!$A$2:$J$4985,D$2,FALSE)</f>
        <v>#N/A</v>
      </c>
      <c r="E6" s="92" t="e">
        <f>VLOOKUP($A6,flows!$A$2:$J$4985,E$2,FALSE)</f>
        <v>#N/A</v>
      </c>
      <c r="F6" s="92" t="e">
        <f>VLOOKUP($A6,flows!$A$2:$J$4985,F$2,FALSE)</f>
        <v>#N/A</v>
      </c>
      <c r="G6" s="92" t="e">
        <f>VLOOKUP($A6,flows!$A$2:$J$4985,G$2,FALSE)</f>
        <v>#N/A</v>
      </c>
      <c r="H6" s="92" t="e">
        <f>VLOOKUP($A6,flows!$A$2:$J$4985,H$2,FALSE)</f>
        <v>#N/A</v>
      </c>
      <c r="I6" s="92" t="e">
        <f>VLOOKUP($A6,flows!$A$2:$J$4985,I$2,FALSE)</f>
        <v>#N/A</v>
      </c>
      <c r="J6" s="92" t="e">
        <f>VLOOKUP($A6,flows!$A$2:$J$4985,J$2,FALSE)</f>
        <v>#N/A</v>
      </c>
      <c r="L6" s="190" t="s">
        <v>1965</v>
      </c>
      <c r="M6" s="40" t="s">
        <v>1495</v>
      </c>
      <c r="N6" s="92" t="e">
        <f>SUM(C5:C7)</f>
        <v>#N/A</v>
      </c>
      <c r="O6" s="92" t="e">
        <f t="shared" ref="O6:U6" si="3">SUM(D5:D7)</f>
        <v>#N/A</v>
      </c>
      <c r="P6" s="92" t="e">
        <f t="shared" si="3"/>
        <v>#N/A</v>
      </c>
      <c r="Q6" s="92" t="e">
        <f t="shared" si="3"/>
        <v>#N/A</v>
      </c>
      <c r="R6" s="92" t="e">
        <f t="shared" si="3"/>
        <v>#N/A</v>
      </c>
      <c r="S6" s="92" t="e">
        <f t="shared" si="3"/>
        <v>#N/A</v>
      </c>
      <c r="T6" s="92" t="e">
        <f t="shared" si="3"/>
        <v>#N/A</v>
      </c>
      <c r="U6" s="92" t="e">
        <f t="shared" si="3"/>
        <v>#N/A</v>
      </c>
      <c r="W6" s="40" t="s">
        <v>1495</v>
      </c>
      <c r="X6" s="97" t="e">
        <f t="shared" si="1"/>
        <v>#N/A</v>
      </c>
      <c r="Y6" s="97" t="e">
        <f t="shared" si="1"/>
        <v>#N/A</v>
      </c>
      <c r="Z6" s="97" t="e">
        <f t="shared" si="1"/>
        <v>#N/A</v>
      </c>
      <c r="AA6" s="97" t="e">
        <f t="shared" si="1"/>
        <v>#N/A</v>
      </c>
      <c r="AB6" s="97" t="e">
        <f t="shared" si="1"/>
        <v>#N/A</v>
      </c>
      <c r="AC6" s="97" t="e">
        <f t="shared" si="1"/>
        <v>#N/A</v>
      </c>
      <c r="AD6" s="97" t="e">
        <f t="shared" si="1"/>
        <v>#N/A</v>
      </c>
    </row>
    <row r="7" spans="1:30" x14ac:dyDescent="0.35">
      <c r="A7" s="40" t="s">
        <v>3974</v>
      </c>
      <c r="B7" s="92" t="s">
        <v>1495</v>
      </c>
      <c r="C7" s="92" t="e">
        <f>VLOOKUP($A7,flows!$A$2:$J$4985,C$2,FALSE)</f>
        <v>#N/A</v>
      </c>
      <c r="D7" s="92" t="e">
        <f>VLOOKUP($A7,flows!$A$2:$J$4985,D$2,FALSE)</f>
        <v>#N/A</v>
      </c>
      <c r="E7" s="92" t="e">
        <f>VLOOKUP($A7,flows!$A$2:$J$4985,E$2,FALSE)</f>
        <v>#N/A</v>
      </c>
      <c r="F7" s="92" t="e">
        <f>VLOOKUP($A7,flows!$A$2:$J$4985,F$2,FALSE)</f>
        <v>#N/A</v>
      </c>
      <c r="G7" s="92" t="e">
        <f>VLOOKUP($A7,flows!$A$2:$J$4985,G$2,FALSE)</f>
        <v>#N/A</v>
      </c>
      <c r="H7" s="92" t="e">
        <f>VLOOKUP($A7,flows!$A$2:$J$4985,H$2,FALSE)</f>
        <v>#N/A</v>
      </c>
      <c r="I7" s="92" t="e">
        <f>VLOOKUP($A7,flows!$A$2:$J$4985,I$2,FALSE)</f>
        <v>#N/A</v>
      </c>
      <c r="J7" s="92" t="e">
        <f>VLOOKUP($A7,flows!$A$2:$J$4985,J$2,FALSE)</f>
        <v>#N/A</v>
      </c>
      <c r="L7" s="190" t="s">
        <v>1966</v>
      </c>
      <c r="M7" s="40" t="s">
        <v>1496</v>
      </c>
      <c r="N7" s="92" t="e">
        <f t="shared" ref="N7:U7" si="4">SUM(C12:C13)</f>
        <v>#N/A</v>
      </c>
      <c r="O7" s="92" t="e">
        <f t="shared" si="4"/>
        <v>#N/A</v>
      </c>
      <c r="P7" s="92" t="e">
        <f t="shared" si="4"/>
        <v>#N/A</v>
      </c>
      <c r="Q7" s="92" t="e">
        <f t="shared" si="4"/>
        <v>#N/A</v>
      </c>
      <c r="R7" s="92" t="e">
        <f t="shared" si="4"/>
        <v>#N/A</v>
      </c>
      <c r="S7" s="92" t="e">
        <f t="shared" si="4"/>
        <v>#N/A</v>
      </c>
      <c r="T7" s="92" t="e">
        <f t="shared" si="4"/>
        <v>#N/A</v>
      </c>
      <c r="U7" s="92" t="e">
        <f t="shared" si="4"/>
        <v>#N/A</v>
      </c>
      <c r="W7" s="40" t="s">
        <v>1496</v>
      </c>
      <c r="X7" s="97" t="e">
        <f t="shared" si="1"/>
        <v>#N/A</v>
      </c>
      <c r="Y7" s="97" t="e">
        <f t="shared" si="1"/>
        <v>#N/A</v>
      </c>
      <c r="Z7" s="97" t="e">
        <f t="shared" si="1"/>
        <v>#N/A</v>
      </c>
      <c r="AA7" s="97" t="e">
        <f t="shared" si="1"/>
        <v>#N/A</v>
      </c>
      <c r="AB7" s="97" t="e">
        <f t="shared" si="1"/>
        <v>#N/A</v>
      </c>
      <c r="AC7" s="97" t="e">
        <f t="shared" si="1"/>
        <v>#N/A</v>
      </c>
      <c r="AD7" s="97" t="e">
        <f t="shared" si="1"/>
        <v>#N/A</v>
      </c>
    </row>
    <row r="8" spans="1:30" ht="15" thickBot="1" x14ac:dyDescent="0.4">
      <c r="A8" s="40" t="s">
        <v>3104</v>
      </c>
      <c r="B8" s="92" t="s">
        <v>1317</v>
      </c>
      <c r="C8" s="92" t="e">
        <f>VLOOKUP($A8,flows!$A$2:$J$4985,C$2,FALSE)</f>
        <v>#N/A</v>
      </c>
      <c r="D8" s="92" t="e">
        <f>VLOOKUP($A8,flows!$A$2:$J$4985,D$2,FALSE)</f>
        <v>#N/A</v>
      </c>
      <c r="E8" s="92" t="e">
        <f>VLOOKUP($A8,flows!$A$2:$J$4985,E$2,FALSE)</f>
        <v>#N/A</v>
      </c>
      <c r="F8" s="92" t="e">
        <f>VLOOKUP($A8,flows!$A$2:$J$4985,F$2,FALSE)</f>
        <v>#N/A</v>
      </c>
      <c r="G8" s="92" t="e">
        <f>VLOOKUP($A8,flows!$A$2:$J$4985,G$2,FALSE)</f>
        <v>#N/A</v>
      </c>
      <c r="H8" s="92" t="e">
        <f>VLOOKUP($A8,flows!$A$2:$J$4985,H$2,FALSE)</f>
        <v>#N/A</v>
      </c>
      <c r="I8" s="92" t="e">
        <f>VLOOKUP($A8,flows!$A$2:$J$4985,I$2,FALSE)</f>
        <v>#N/A</v>
      </c>
      <c r="J8" s="92" t="e">
        <f>VLOOKUP($A8,flows!$A$2:$J$4985,J$2,FALSE)</f>
        <v>#N/A</v>
      </c>
      <c r="L8" s="190" t="s">
        <v>1673</v>
      </c>
      <c r="M8" s="135" t="s">
        <v>1673</v>
      </c>
      <c r="N8" s="77" t="e">
        <f t="shared" ref="N8:U8" si="5">C8</f>
        <v>#N/A</v>
      </c>
      <c r="O8" s="77" t="e">
        <f t="shared" si="5"/>
        <v>#N/A</v>
      </c>
      <c r="P8" s="77" t="e">
        <f t="shared" si="5"/>
        <v>#N/A</v>
      </c>
      <c r="Q8" s="77" t="e">
        <f t="shared" si="5"/>
        <v>#N/A</v>
      </c>
      <c r="R8" s="77" t="e">
        <f t="shared" si="5"/>
        <v>#N/A</v>
      </c>
      <c r="S8" s="77" t="e">
        <f t="shared" si="5"/>
        <v>#N/A</v>
      </c>
      <c r="T8" s="77" t="e">
        <f t="shared" si="5"/>
        <v>#N/A</v>
      </c>
      <c r="U8" s="77" t="e">
        <f t="shared" si="5"/>
        <v>#N/A</v>
      </c>
      <c r="W8" s="135" t="s">
        <v>1673</v>
      </c>
      <c r="X8" s="100" t="e">
        <f t="shared" si="1"/>
        <v>#N/A</v>
      </c>
      <c r="Y8" s="100" t="e">
        <f t="shared" si="1"/>
        <v>#N/A</v>
      </c>
      <c r="Z8" s="100" t="e">
        <f t="shared" si="1"/>
        <v>#N/A</v>
      </c>
      <c r="AA8" s="100" t="e">
        <f t="shared" si="1"/>
        <v>#N/A</v>
      </c>
      <c r="AB8" s="100" t="e">
        <f t="shared" si="1"/>
        <v>#N/A</v>
      </c>
      <c r="AC8" s="100" t="e">
        <f t="shared" si="1"/>
        <v>#N/A</v>
      </c>
      <c r="AD8" s="100" t="e">
        <f t="shared" si="1"/>
        <v>#N/A</v>
      </c>
    </row>
    <row r="9" spans="1:30" x14ac:dyDescent="0.35">
      <c r="A9" s="40" t="s">
        <v>3106</v>
      </c>
      <c r="B9" s="92" t="s">
        <v>1317</v>
      </c>
      <c r="C9" s="92">
        <f>VLOOKUP($A9,flows!$A$2:$J$4985,C$2,FALSE)</f>
        <v>2.592591018694303E-2</v>
      </c>
      <c r="D9" s="92">
        <f>VLOOKUP($A9,flows!$A$2:$J$4985,D$2,FALSE)</f>
        <v>157334.65579891609</v>
      </c>
      <c r="E9" s="92">
        <f>VLOOKUP($A9,flows!$A$2:$J$4985,E$2,FALSE)</f>
        <v>96287.263839598178</v>
      </c>
      <c r="F9" s="92">
        <f>VLOOKUP($A9,flows!$A$2:$J$4985,F$2,FALSE)</f>
        <v>4.4620895479245928E-2</v>
      </c>
      <c r="G9" s="92">
        <f>VLOOKUP($A9,flows!$A$2:$J$4985,G$2,FALSE)</f>
        <v>2.551738427011127E-3</v>
      </c>
      <c r="H9" s="92">
        <f>VLOOKUP($A9,flows!$A$2:$J$4985,H$2,FALSE)</f>
        <v>7080.0517207808534</v>
      </c>
      <c r="I9" s="92">
        <f>VLOOKUP($A9,flows!$A$2:$J$4985,I$2,FALSE)</f>
        <v>8.3954647977620253E-5</v>
      </c>
      <c r="J9" s="92">
        <f>VLOOKUP($A9,flows!$A$2:$J$4985,J$2,FALSE)</f>
        <v>0</v>
      </c>
      <c r="W9" s="92"/>
      <c r="X9" s="92"/>
      <c r="Y9" s="92"/>
      <c r="Z9" s="92"/>
      <c r="AA9" s="92"/>
      <c r="AB9" s="92"/>
      <c r="AC9" s="92"/>
      <c r="AD9" s="92"/>
    </row>
    <row r="10" spans="1:30" x14ac:dyDescent="0.35">
      <c r="A10" s="40" t="s">
        <v>3108</v>
      </c>
      <c r="B10" s="92" t="s">
        <v>1317</v>
      </c>
      <c r="C10" s="92">
        <f>VLOOKUP($A10,flows!$A$2:$J$4985,C$2,FALSE)</f>
        <v>8.1011738179170373E-2</v>
      </c>
      <c r="D10" s="92">
        <f>VLOOKUP($A10,flows!$A$2:$J$4985,D$2,FALSE)</f>
        <v>191713.8177295904</v>
      </c>
      <c r="E10" s="92">
        <f>VLOOKUP($A10,flows!$A$2:$J$4985,E$2,FALSE)</f>
        <v>202199.0249673615</v>
      </c>
      <c r="F10" s="92">
        <f>VLOOKUP($A10,flows!$A$2:$J$4985,F$2,FALSE)</f>
        <v>180775.4606629505</v>
      </c>
      <c r="G10" s="92">
        <f>VLOOKUP($A10,flows!$A$2:$J$4985,G$2,FALSE)</f>
        <v>137327.72704504861</v>
      </c>
      <c r="H10" s="92">
        <f>VLOOKUP($A10,flows!$A$2:$J$4985,H$2,FALSE)</f>
        <v>42645.73330806983</v>
      </c>
      <c r="I10" s="92">
        <f>VLOOKUP($A10,flows!$A$2:$J$4985,I$2,FALSE)</f>
        <v>3.6643828087567349E-4</v>
      </c>
      <c r="J10" s="92">
        <f>VLOOKUP($A10,flows!$A$2:$J$4985,J$2,FALSE)</f>
        <v>0</v>
      </c>
      <c r="W10" s="92"/>
      <c r="X10" s="92"/>
      <c r="Y10" s="92"/>
      <c r="Z10" s="92"/>
      <c r="AA10" s="92"/>
      <c r="AB10" s="92"/>
      <c r="AC10" s="92"/>
      <c r="AD10" s="92"/>
    </row>
    <row r="11" spans="1:30" x14ac:dyDescent="0.35">
      <c r="A11" s="40" t="s">
        <v>3110</v>
      </c>
      <c r="B11" s="92" t="s">
        <v>1317</v>
      </c>
      <c r="C11" s="92">
        <f>VLOOKUP($A11,flows!$A$2:$J$4985,C$2,FALSE)</f>
        <v>1.6657790578894809E-2</v>
      </c>
      <c r="D11" s="92">
        <f>VLOOKUP($A11,flows!$A$2:$J$4985,D$2,FALSE)</f>
        <v>9.0789428520529888E-2</v>
      </c>
      <c r="E11" s="92">
        <f>VLOOKUP($A11,flows!$A$2:$J$4985,E$2,FALSE)</f>
        <v>2.0220027355711832</v>
      </c>
      <c r="F11" s="92">
        <f>VLOOKUP($A11,flows!$A$2:$J$4985,F$2,FALSE)</f>
        <v>2.7948491748514231E-3</v>
      </c>
      <c r="G11" s="92">
        <f>VLOOKUP($A11,flows!$A$2:$J$4985,G$2,FALSE)</f>
        <v>1.027448653262746E-3</v>
      </c>
      <c r="H11" s="92">
        <f>VLOOKUP($A11,flows!$A$2:$J$4985,H$2,FALSE)</f>
        <v>2.5215458539307802E-4</v>
      </c>
      <c r="I11" s="92">
        <f>VLOOKUP($A11,flows!$A$2:$J$4985,I$2,FALSE)</f>
        <v>5.3604375182528671E-5</v>
      </c>
      <c r="J11" s="92">
        <f>VLOOKUP($A11,flows!$A$2:$J$4985,J$2,FALSE)</f>
        <v>0</v>
      </c>
      <c r="W11" s="92"/>
      <c r="X11" s="92"/>
      <c r="Y11" s="92"/>
      <c r="Z11" s="92"/>
      <c r="AA11" s="92"/>
      <c r="AB11" s="92"/>
      <c r="AC11" s="92"/>
      <c r="AD11" s="92"/>
    </row>
    <row r="12" spans="1:30" x14ac:dyDescent="0.35">
      <c r="A12" s="40" t="s">
        <v>3077</v>
      </c>
      <c r="B12" s="92" t="s">
        <v>1496</v>
      </c>
      <c r="C12" s="92" t="e">
        <f>VLOOKUP($A12,flows!$A$2:$J$4985,C$2,FALSE)</f>
        <v>#N/A</v>
      </c>
      <c r="D12" s="92" t="e">
        <f>VLOOKUP($A12,flows!$A$2:$J$4985,D$2,FALSE)</f>
        <v>#N/A</v>
      </c>
      <c r="E12" s="92" t="e">
        <f>VLOOKUP($A12,flows!$A$2:$J$4985,E$2,FALSE)</f>
        <v>#N/A</v>
      </c>
      <c r="F12" s="92" t="e">
        <f>VLOOKUP($A12,flows!$A$2:$J$4985,F$2,FALSE)</f>
        <v>#N/A</v>
      </c>
      <c r="G12" s="92" t="e">
        <f>VLOOKUP($A12,flows!$A$2:$J$4985,G$2,FALSE)</f>
        <v>#N/A</v>
      </c>
      <c r="H12" s="92" t="e">
        <f>VLOOKUP($A12,flows!$A$2:$J$4985,H$2,FALSE)</f>
        <v>#N/A</v>
      </c>
      <c r="I12" s="92" t="e">
        <f>VLOOKUP($A12,flows!$A$2:$J$4985,I$2,FALSE)</f>
        <v>#N/A</v>
      </c>
      <c r="J12" s="92" t="e">
        <f>VLOOKUP($A12,flows!$A$2:$J$4985,J$2,FALSE)</f>
        <v>#N/A</v>
      </c>
      <c r="W12" s="92"/>
      <c r="X12" s="92"/>
      <c r="Y12" s="92"/>
      <c r="Z12" s="92"/>
      <c r="AA12" s="92"/>
      <c r="AB12" s="92"/>
      <c r="AC12" s="92"/>
      <c r="AD12" s="92"/>
    </row>
    <row r="13" spans="1:30" ht="15" thickBot="1" x14ac:dyDescent="0.4">
      <c r="A13" s="40" t="s">
        <v>3078</v>
      </c>
      <c r="B13" s="92" t="s">
        <v>1496</v>
      </c>
      <c r="C13" s="92" t="e">
        <f>VLOOKUP($A13,flows!$A$2:$J$2880,C$2,FALSE)</f>
        <v>#N/A</v>
      </c>
      <c r="D13" s="92" t="e">
        <f>VLOOKUP($A13,flows!$A$2:$J$2880,D$2,FALSE)</f>
        <v>#N/A</v>
      </c>
      <c r="E13" s="92" t="e">
        <f>VLOOKUP($A13,flows!$A$2:$J$2880,E$2,FALSE)</f>
        <v>#N/A</v>
      </c>
      <c r="F13" s="92" t="e">
        <f>VLOOKUP($A13,flows!$A$2:$J$2880,F$2,FALSE)</f>
        <v>#N/A</v>
      </c>
      <c r="G13" s="92" t="e">
        <f>VLOOKUP($A13,flows!$A$2:$J$2880,G$2,FALSE)</f>
        <v>#N/A</v>
      </c>
      <c r="H13" s="92" t="e">
        <f>VLOOKUP($A13,flows!$A$2:$J$2880,H$2,FALSE)</f>
        <v>#N/A</v>
      </c>
      <c r="I13" s="92" t="e">
        <f>VLOOKUP($A13,flows!$A$2:$J$2880,I$2,FALSE)</f>
        <v>#N/A</v>
      </c>
      <c r="J13" s="92" t="e">
        <f>VLOOKUP($A13,flows!$A$2:$J$2880,J$2,FALSE)</f>
        <v>#N/A</v>
      </c>
      <c r="W13" s="92"/>
      <c r="X13" s="92"/>
      <c r="Y13" s="92"/>
      <c r="Z13" s="92"/>
      <c r="AA13" s="92"/>
      <c r="AB13" s="92"/>
      <c r="AC13" s="92"/>
      <c r="AD13" s="92"/>
    </row>
    <row r="14" spans="1:30" x14ac:dyDescent="0.35">
      <c r="A14" s="40" t="s">
        <v>3101</v>
      </c>
      <c r="B14" s="92"/>
      <c r="C14" s="92" t="e">
        <f>VLOOKUP($A14,flows!$A$2:$J$4985,C$2,FALSE)</f>
        <v>#N/A</v>
      </c>
      <c r="D14" s="92" t="e">
        <f>VLOOKUP($A14,flows!$A$2:$J$4985,D$2,FALSE)</f>
        <v>#N/A</v>
      </c>
      <c r="E14" s="92" t="e">
        <f>VLOOKUP($A14,flows!$A$2:$J$4985,E$2,FALSE)</f>
        <v>#N/A</v>
      </c>
      <c r="F14" s="92" t="e">
        <f>VLOOKUP($A14,flows!$A$2:$J$4985,F$2,FALSE)</f>
        <v>#N/A</v>
      </c>
      <c r="G14" s="92" t="e">
        <f>VLOOKUP($A14,flows!$A$2:$J$4985,G$2,FALSE)</f>
        <v>#N/A</v>
      </c>
      <c r="H14" s="92" t="e">
        <f>VLOOKUP($A14,flows!$A$2:$J$4985,H$2,FALSE)</f>
        <v>#N/A</v>
      </c>
      <c r="I14" s="92" t="e">
        <f>VLOOKUP($A14,flows!$A$2:$J$4985,I$2,FALSE)</f>
        <v>#N/A</v>
      </c>
      <c r="J14" s="92" t="e">
        <f>VLOOKUP($A14,flows!$A$2:$J$4985,J$2,FALSE)</f>
        <v>#N/A</v>
      </c>
      <c r="M14" s="91" t="s">
        <v>1316</v>
      </c>
      <c r="N14" s="89">
        <v>2</v>
      </c>
      <c r="O14" s="89">
        <v>3</v>
      </c>
      <c r="P14" s="89">
        <v>4</v>
      </c>
      <c r="Q14" s="89">
        <v>5</v>
      </c>
      <c r="R14" s="89">
        <v>6</v>
      </c>
      <c r="S14" s="89">
        <v>7</v>
      </c>
      <c r="T14" s="89">
        <v>8</v>
      </c>
      <c r="U14" s="89">
        <v>9</v>
      </c>
      <c r="W14" s="91" t="s">
        <v>1316</v>
      </c>
      <c r="X14" s="89">
        <v>3</v>
      </c>
      <c r="Y14" s="89">
        <v>4</v>
      </c>
      <c r="Z14" s="89">
        <v>5</v>
      </c>
      <c r="AA14" s="89">
        <v>6</v>
      </c>
      <c r="AB14" s="89">
        <v>7</v>
      </c>
      <c r="AC14" s="89">
        <v>8</v>
      </c>
      <c r="AD14" s="89">
        <v>9</v>
      </c>
    </row>
    <row r="15" spans="1:30" x14ac:dyDescent="0.35">
      <c r="A15" s="40" t="s">
        <v>4480</v>
      </c>
      <c r="B15" s="92"/>
      <c r="C15" s="92" t="e">
        <f>VLOOKUP($A15,flows!$A$2:$J$4985,C$2,FALSE)</f>
        <v>#N/A</v>
      </c>
      <c r="D15" s="92" t="e">
        <f>VLOOKUP($A15,flows!$A$2:$J$4985,D$2,FALSE)</f>
        <v>#N/A</v>
      </c>
      <c r="E15" s="92" t="e">
        <f>VLOOKUP($A15,flows!$A$2:$J$4985,E$2,FALSE)</f>
        <v>#N/A</v>
      </c>
      <c r="F15" s="92" t="e">
        <f>VLOOKUP($A15,flows!$A$2:$J$4985,F$2,FALSE)</f>
        <v>#N/A</v>
      </c>
      <c r="G15" s="92" t="e">
        <f>VLOOKUP($A15,flows!$A$2:$J$4985,G$2,FALSE)</f>
        <v>#N/A</v>
      </c>
      <c r="H15" s="92" t="e">
        <f>VLOOKUP($A15,flows!$A$2:$J$4985,H$2,FALSE)</f>
        <v>#N/A</v>
      </c>
      <c r="I15" s="92" t="e">
        <f>VLOOKUP($A15,flows!$A$2:$J$4985,I$2,FALSE)</f>
        <v>#N/A</v>
      </c>
      <c r="J15" s="92" t="e">
        <f>VLOOKUP($A15,flows!$A$2:$J$4985,J$2,FALSE)</f>
        <v>#N/A</v>
      </c>
      <c r="M15" s="40"/>
      <c r="N15" s="133" t="s">
        <v>1417</v>
      </c>
      <c r="O15" s="133">
        <v>2020</v>
      </c>
      <c r="P15" s="133">
        <v>2025</v>
      </c>
      <c r="Q15" s="133">
        <v>2030</v>
      </c>
      <c r="R15" s="133">
        <v>2035</v>
      </c>
      <c r="S15" s="133">
        <v>2040</v>
      </c>
      <c r="T15" s="133">
        <v>2045</v>
      </c>
      <c r="U15" s="133">
        <v>2050</v>
      </c>
      <c r="W15" s="40"/>
      <c r="X15" s="133">
        <v>2020</v>
      </c>
      <c r="Y15" s="133">
        <v>2025</v>
      </c>
      <c r="Z15" s="133">
        <v>2030</v>
      </c>
      <c r="AA15" s="133">
        <v>2035</v>
      </c>
      <c r="AB15" s="133">
        <v>2040</v>
      </c>
      <c r="AC15" s="133">
        <v>2045</v>
      </c>
      <c r="AD15" s="133">
        <v>2050</v>
      </c>
    </row>
    <row r="16" spans="1:30" ht="15" thickBot="1" x14ac:dyDescent="0.4">
      <c r="A16" s="40" t="s">
        <v>4243</v>
      </c>
      <c r="B16" s="92"/>
      <c r="C16" s="92" t="e">
        <f>'Biomasse - Produktion'!D76</f>
        <v>#N/A</v>
      </c>
      <c r="D16" s="92" t="e">
        <f>'Biomasse - Produktion'!E76</f>
        <v>#N/A</v>
      </c>
      <c r="E16" s="92" t="e">
        <f>'Biomasse - Produktion'!F76</f>
        <v>#N/A</v>
      </c>
      <c r="F16" s="92" t="e">
        <f>'Biomasse - Produktion'!G76</f>
        <v>#N/A</v>
      </c>
      <c r="G16" s="92" t="e">
        <f>'Biomasse - Produktion'!H76</f>
        <v>#N/A</v>
      </c>
      <c r="H16" s="92" t="e">
        <f>'Biomasse - Produktion'!I76</f>
        <v>#N/A</v>
      </c>
      <c r="I16" s="92" t="e">
        <f>'Biomasse - Produktion'!J76</f>
        <v>#N/A</v>
      </c>
      <c r="J16" s="92" t="e">
        <f>'Biomasse - Produktion'!K76</f>
        <v>#N/A</v>
      </c>
      <c r="L16" s="190" t="s">
        <v>1571</v>
      </c>
      <c r="M16" s="40" t="s">
        <v>1316</v>
      </c>
      <c r="N16" s="92">
        <f t="shared" ref="N16:U16" si="6">SUM(C23)</f>
        <v>4.6083492523563687E-3</v>
      </c>
      <c r="O16" s="92">
        <f t="shared" si="6"/>
        <v>229913.22233336398</v>
      </c>
      <c r="P16" s="92">
        <f t="shared" si="6"/>
        <v>206783.07127582375</v>
      </c>
      <c r="Q16" s="92">
        <f t="shared" si="6"/>
        <v>134273.79403174229</v>
      </c>
      <c r="R16" s="92">
        <f t="shared" si="6"/>
        <v>89653.894243181407</v>
      </c>
      <c r="S16" s="92">
        <f t="shared" si="6"/>
        <v>29038.624665010833</v>
      </c>
      <c r="T16" s="92">
        <f t="shared" si="6"/>
        <v>1.5889059354883147E-5</v>
      </c>
      <c r="U16" s="92" t="e">
        <f t="shared" si="6"/>
        <v>#DIV/0!</v>
      </c>
      <c r="W16" s="40" t="s">
        <v>1316</v>
      </c>
      <c r="X16" s="97" t="e">
        <f t="shared" ref="X16:AD21" si="7">O16/SUM(O$16:O$21)</f>
        <v>#N/A</v>
      </c>
      <c r="Y16" s="97" t="e">
        <f t="shared" si="7"/>
        <v>#N/A</v>
      </c>
      <c r="Z16" s="97" t="e">
        <f t="shared" si="7"/>
        <v>#N/A</v>
      </c>
      <c r="AA16" s="97" t="e">
        <f t="shared" si="7"/>
        <v>#N/A</v>
      </c>
      <c r="AB16" s="97" t="e">
        <f t="shared" si="7"/>
        <v>#N/A</v>
      </c>
      <c r="AC16" s="97" t="e">
        <f t="shared" si="7"/>
        <v>#N/A</v>
      </c>
      <c r="AD16" s="97" t="e">
        <f t="shared" si="7"/>
        <v>#DIV/0!</v>
      </c>
    </row>
    <row r="17" spans="1:30" x14ac:dyDescent="0.35">
      <c r="A17" s="40"/>
      <c r="B17" s="102" t="s">
        <v>1316</v>
      </c>
      <c r="C17" s="89">
        <v>2</v>
      </c>
      <c r="D17" s="89">
        <v>3</v>
      </c>
      <c r="E17" s="89">
        <v>4</v>
      </c>
      <c r="F17" s="89">
        <v>5</v>
      </c>
      <c r="G17" s="89">
        <v>6</v>
      </c>
      <c r="H17" s="89">
        <v>7</v>
      </c>
      <c r="I17" s="89">
        <v>8</v>
      </c>
      <c r="J17" s="89">
        <v>9</v>
      </c>
      <c r="L17" s="190" t="s">
        <v>1943</v>
      </c>
      <c r="M17" s="40" t="s">
        <v>1497</v>
      </c>
      <c r="N17" s="92" t="e">
        <f t="shared" ref="N17:U17" si="8">C19</f>
        <v>#N/A</v>
      </c>
      <c r="O17" s="92" t="e">
        <f t="shared" si="8"/>
        <v>#N/A</v>
      </c>
      <c r="P17" s="92" t="e">
        <f t="shared" si="8"/>
        <v>#N/A</v>
      </c>
      <c r="Q17" s="92" t="e">
        <f t="shared" si="8"/>
        <v>#N/A</v>
      </c>
      <c r="R17" s="92" t="e">
        <f t="shared" si="8"/>
        <v>#N/A</v>
      </c>
      <c r="S17" s="92" t="e">
        <f t="shared" si="8"/>
        <v>#N/A</v>
      </c>
      <c r="T17" s="92" t="e">
        <f t="shared" si="8"/>
        <v>#N/A</v>
      </c>
      <c r="U17" s="92" t="e">
        <f t="shared" si="8"/>
        <v>#N/A</v>
      </c>
      <c r="W17" s="40" t="s">
        <v>1497</v>
      </c>
      <c r="X17" s="97" t="e">
        <f t="shared" si="7"/>
        <v>#N/A</v>
      </c>
      <c r="Y17" s="97" t="e">
        <f t="shared" si="7"/>
        <v>#N/A</v>
      </c>
      <c r="Z17" s="97" t="e">
        <f t="shared" si="7"/>
        <v>#N/A</v>
      </c>
      <c r="AA17" s="97" t="e">
        <f t="shared" si="7"/>
        <v>#N/A</v>
      </c>
      <c r="AB17" s="97" t="e">
        <f t="shared" si="7"/>
        <v>#N/A</v>
      </c>
      <c r="AC17" s="97" t="e">
        <f t="shared" si="7"/>
        <v>#N/A</v>
      </c>
      <c r="AD17" s="97" t="e">
        <f t="shared" si="7"/>
        <v>#N/A</v>
      </c>
    </row>
    <row r="18" spans="1:30" x14ac:dyDescent="0.35">
      <c r="A18" s="40" t="s">
        <v>1415</v>
      </c>
      <c r="B18" s="92"/>
      <c r="C18" s="133" t="s">
        <v>1417</v>
      </c>
      <c r="D18" s="133">
        <v>2020</v>
      </c>
      <c r="E18" s="133">
        <v>2025</v>
      </c>
      <c r="F18" s="133">
        <v>2030</v>
      </c>
      <c r="G18" s="133">
        <v>2035</v>
      </c>
      <c r="H18" s="133">
        <v>2040</v>
      </c>
      <c r="I18" s="133">
        <v>2045</v>
      </c>
      <c r="J18" s="133">
        <v>2050</v>
      </c>
      <c r="L18" s="190" t="s">
        <v>1967</v>
      </c>
      <c r="M18" s="40" t="s">
        <v>1499</v>
      </c>
      <c r="N18" s="92" t="e">
        <f t="shared" ref="N18:U18" si="9">C24</f>
        <v>#N/A</v>
      </c>
      <c r="O18" s="92" t="e">
        <f t="shared" si="9"/>
        <v>#N/A</v>
      </c>
      <c r="P18" s="92" t="e">
        <f t="shared" si="9"/>
        <v>#N/A</v>
      </c>
      <c r="Q18" s="92" t="e">
        <f t="shared" si="9"/>
        <v>#N/A</v>
      </c>
      <c r="R18" s="92" t="e">
        <f t="shared" si="9"/>
        <v>#N/A</v>
      </c>
      <c r="S18" s="92" t="e">
        <f t="shared" si="9"/>
        <v>#N/A</v>
      </c>
      <c r="T18" s="92" t="e">
        <f t="shared" si="9"/>
        <v>#N/A</v>
      </c>
      <c r="U18" s="92" t="e">
        <f t="shared" si="9"/>
        <v>#N/A</v>
      </c>
      <c r="W18" s="40" t="s">
        <v>1499</v>
      </c>
      <c r="X18" s="97" t="e">
        <f t="shared" si="7"/>
        <v>#N/A</v>
      </c>
      <c r="Y18" s="97" t="e">
        <f t="shared" si="7"/>
        <v>#N/A</v>
      </c>
      <c r="Z18" s="97" t="e">
        <f t="shared" si="7"/>
        <v>#N/A</v>
      </c>
      <c r="AA18" s="97" t="e">
        <f t="shared" si="7"/>
        <v>#N/A</v>
      </c>
      <c r="AB18" s="97" t="e">
        <f t="shared" si="7"/>
        <v>#N/A</v>
      </c>
      <c r="AC18" s="97" t="e">
        <f t="shared" si="7"/>
        <v>#N/A</v>
      </c>
      <c r="AD18" s="97" t="e">
        <f t="shared" si="7"/>
        <v>#N/A</v>
      </c>
    </row>
    <row r="19" spans="1:30" x14ac:dyDescent="0.35">
      <c r="A19" s="40" t="s">
        <v>4274</v>
      </c>
      <c r="B19" s="92" t="s">
        <v>1497</v>
      </c>
      <c r="C19" s="92" t="e">
        <f>VLOOKUP($A19,flows!$A$2:$J$4985,C$2,FALSE)</f>
        <v>#N/A</v>
      </c>
      <c r="D19" s="92" t="e">
        <f>VLOOKUP($A19,flows!$A$2:$J$4985,D$2,FALSE)</f>
        <v>#N/A</v>
      </c>
      <c r="E19" s="92" t="e">
        <f>VLOOKUP($A19,flows!$A$2:$J$4985,E$2,FALSE)</f>
        <v>#N/A</v>
      </c>
      <c r="F19" s="92" t="e">
        <f>VLOOKUP($A19,flows!$A$2:$J$4985,F$2,FALSE)</f>
        <v>#N/A</v>
      </c>
      <c r="G19" s="92" t="e">
        <f>VLOOKUP($A19,flows!$A$2:$J$4985,G$2,FALSE)</f>
        <v>#N/A</v>
      </c>
      <c r="H19" s="92" t="e">
        <f>VLOOKUP($A19,flows!$A$2:$J$4985,H$2,FALSE)</f>
        <v>#N/A</v>
      </c>
      <c r="I19" s="92" t="e">
        <f>VLOOKUP($A19,flows!$A$2:$J$4985,I$2,FALSE)</f>
        <v>#N/A</v>
      </c>
      <c r="J19" s="92" t="e">
        <f>VLOOKUP($A19,flows!$A$2:$J$4985,J$2,FALSE)</f>
        <v>#N/A</v>
      </c>
      <c r="L19" s="190" t="s">
        <v>1968</v>
      </c>
      <c r="M19" s="40" t="s">
        <v>1498</v>
      </c>
      <c r="N19" s="92">
        <f t="shared" ref="N19:U19" si="10">SUM(C20:C21)</f>
        <v>0</v>
      </c>
      <c r="O19" s="92">
        <f t="shared" si="10"/>
        <v>0</v>
      </c>
      <c r="P19" s="92">
        <f t="shared" si="10"/>
        <v>0</v>
      </c>
      <c r="Q19" s="92">
        <f t="shared" si="10"/>
        <v>0</v>
      </c>
      <c r="R19" s="92">
        <f t="shared" si="10"/>
        <v>0</v>
      </c>
      <c r="S19" s="92">
        <f t="shared" si="10"/>
        <v>0</v>
      </c>
      <c r="T19" s="92">
        <f t="shared" si="10"/>
        <v>0</v>
      </c>
      <c r="U19" s="92" t="e">
        <f t="shared" si="10"/>
        <v>#DIV/0!</v>
      </c>
      <c r="W19" s="40" t="s">
        <v>1498</v>
      </c>
      <c r="X19" s="97" t="e">
        <f t="shared" si="7"/>
        <v>#N/A</v>
      </c>
      <c r="Y19" s="97" t="e">
        <f t="shared" si="7"/>
        <v>#N/A</v>
      </c>
      <c r="Z19" s="97" t="e">
        <f t="shared" si="7"/>
        <v>#N/A</v>
      </c>
      <c r="AA19" s="97" t="e">
        <f t="shared" si="7"/>
        <v>#N/A</v>
      </c>
      <c r="AB19" s="97" t="e">
        <f t="shared" si="7"/>
        <v>#N/A</v>
      </c>
      <c r="AC19" s="97" t="e">
        <f t="shared" si="7"/>
        <v>#N/A</v>
      </c>
      <c r="AD19" s="97" t="e">
        <f t="shared" si="7"/>
        <v>#DIV/0!</v>
      </c>
    </row>
    <row r="20" spans="1:30" x14ac:dyDescent="0.35">
      <c r="A20" s="40"/>
      <c r="B20" s="92" t="s">
        <v>3035</v>
      </c>
      <c r="C20" s="92">
        <f>'Chemische Industrie'!CW9*'Chemische Industrie'!CW25</f>
        <v>0</v>
      </c>
      <c r="D20" s="92">
        <f>'Chemische Industrie'!CX9*'Chemische Industrie'!CX25</f>
        <v>0</v>
      </c>
      <c r="E20" s="92">
        <f>'Chemische Industrie'!CY9*'Chemische Industrie'!CY25</f>
        <v>0</v>
      </c>
      <c r="F20" s="92">
        <f>'Chemische Industrie'!CZ9*'Chemische Industrie'!CZ25</f>
        <v>0</v>
      </c>
      <c r="G20" s="92">
        <f>'Chemische Industrie'!DA9*'Chemische Industrie'!DA25</f>
        <v>0</v>
      </c>
      <c r="H20" s="92">
        <f>'Chemische Industrie'!DB9*'Chemische Industrie'!DB25</f>
        <v>0</v>
      </c>
      <c r="I20" s="92">
        <f>'Chemische Industrie'!DC9*'Chemische Industrie'!DC25</f>
        <v>0</v>
      </c>
      <c r="J20" s="92" t="e">
        <f>'Chemische Industrie'!DD9*'Chemische Industrie'!DD25</f>
        <v>#DIV/0!</v>
      </c>
      <c r="L20" s="190" t="s">
        <v>1969</v>
      </c>
      <c r="M20" s="40" t="s">
        <v>1500</v>
      </c>
      <c r="N20" s="92">
        <f t="shared" ref="N20:U20" si="11">SUM(C25:C26)</f>
        <v>0</v>
      </c>
      <c r="O20" s="92">
        <f t="shared" si="11"/>
        <v>0</v>
      </c>
      <c r="P20" s="92">
        <f t="shared" si="11"/>
        <v>0</v>
      </c>
      <c r="Q20" s="92">
        <f t="shared" si="11"/>
        <v>0</v>
      </c>
      <c r="R20" s="92">
        <f t="shared" si="11"/>
        <v>0</v>
      </c>
      <c r="S20" s="92">
        <f t="shared" si="11"/>
        <v>0</v>
      </c>
      <c r="T20" s="92">
        <f t="shared" si="11"/>
        <v>0</v>
      </c>
      <c r="U20" s="92" t="e">
        <f t="shared" si="11"/>
        <v>#DIV/0!</v>
      </c>
      <c r="W20" s="40" t="s">
        <v>1500</v>
      </c>
      <c r="X20" s="97" t="e">
        <f t="shared" si="7"/>
        <v>#N/A</v>
      </c>
      <c r="Y20" s="97" t="e">
        <f t="shared" si="7"/>
        <v>#N/A</v>
      </c>
      <c r="Z20" s="97" t="e">
        <f t="shared" si="7"/>
        <v>#N/A</v>
      </c>
      <c r="AA20" s="97" t="e">
        <f t="shared" si="7"/>
        <v>#N/A</v>
      </c>
      <c r="AB20" s="97" t="e">
        <f t="shared" si="7"/>
        <v>#N/A</v>
      </c>
      <c r="AC20" s="97" t="e">
        <f t="shared" si="7"/>
        <v>#N/A</v>
      </c>
      <c r="AD20" s="97" t="e">
        <f t="shared" si="7"/>
        <v>#DIV/0!</v>
      </c>
    </row>
    <row r="21" spans="1:30" ht="15" thickBot="1" x14ac:dyDescent="0.4">
      <c r="A21" s="40"/>
      <c r="B21" s="92" t="s">
        <v>3036</v>
      </c>
      <c r="C21" s="92">
        <f>'Chemische Industrie'!CW10*'Chemische Industrie'!CW25</f>
        <v>0</v>
      </c>
      <c r="D21" s="92">
        <f>'Chemische Industrie'!CX10*'Chemische Industrie'!CX25</f>
        <v>0</v>
      </c>
      <c r="E21" s="92">
        <f>'Chemische Industrie'!CY10*'Chemische Industrie'!CY25</f>
        <v>0</v>
      </c>
      <c r="F21" s="92">
        <f>'Chemische Industrie'!CZ10*'Chemische Industrie'!CZ25</f>
        <v>0</v>
      </c>
      <c r="G21" s="92">
        <f>'Chemische Industrie'!DA10*'Chemische Industrie'!DA25</f>
        <v>0</v>
      </c>
      <c r="H21" s="92">
        <f>'Chemische Industrie'!DB10*'Chemische Industrie'!DB25</f>
        <v>0</v>
      </c>
      <c r="I21" s="92">
        <f>'Chemische Industrie'!DC10*'Chemische Industrie'!DC25</f>
        <v>0</v>
      </c>
      <c r="J21" s="92" t="e">
        <f>'Chemische Industrie'!DD10*'Chemische Industrie'!DD25</f>
        <v>#DIV/0!</v>
      </c>
      <c r="L21" s="190" t="s">
        <v>1673</v>
      </c>
      <c r="M21" s="135" t="s">
        <v>1673</v>
      </c>
      <c r="N21" s="77" t="e">
        <f t="shared" ref="N21:U21" si="12">C22</f>
        <v>#N/A</v>
      </c>
      <c r="O21" s="77" t="e">
        <f t="shared" si="12"/>
        <v>#N/A</v>
      </c>
      <c r="P21" s="77" t="e">
        <f t="shared" si="12"/>
        <v>#N/A</v>
      </c>
      <c r="Q21" s="77" t="e">
        <f t="shared" si="12"/>
        <v>#N/A</v>
      </c>
      <c r="R21" s="77" t="e">
        <f t="shared" si="12"/>
        <v>#N/A</v>
      </c>
      <c r="S21" s="77" t="e">
        <f t="shared" si="12"/>
        <v>#N/A</v>
      </c>
      <c r="T21" s="77" t="e">
        <f t="shared" si="12"/>
        <v>#N/A</v>
      </c>
      <c r="U21" s="77" t="e">
        <f t="shared" si="12"/>
        <v>#N/A</v>
      </c>
      <c r="W21" s="135" t="s">
        <v>1673</v>
      </c>
      <c r="X21" s="100" t="e">
        <f t="shared" si="7"/>
        <v>#N/A</v>
      </c>
      <c r="Y21" s="100" t="e">
        <f t="shared" si="7"/>
        <v>#N/A</v>
      </c>
      <c r="Z21" s="100" t="e">
        <f t="shared" si="7"/>
        <v>#N/A</v>
      </c>
      <c r="AA21" s="100" t="e">
        <f t="shared" si="7"/>
        <v>#N/A</v>
      </c>
      <c r="AB21" s="100" t="e">
        <f t="shared" si="7"/>
        <v>#N/A</v>
      </c>
      <c r="AC21" s="100" t="e">
        <f t="shared" si="7"/>
        <v>#N/A</v>
      </c>
      <c r="AD21" s="100" t="e">
        <f t="shared" si="7"/>
        <v>#N/A</v>
      </c>
    </row>
    <row r="22" spans="1:30" x14ac:dyDescent="0.35">
      <c r="A22" s="40" t="s">
        <v>3115</v>
      </c>
      <c r="B22" s="92" t="s">
        <v>1316</v>
      </c>
      <c r="C22" s="92" t="e">
        <f>VLOOKUP($A22,flows!$A$2:$J$4985,C$2,FALSE)</f>
        <v>#N/A</v>
      </c>
      <c r="D22" s="92" t="e">
        <f>VLOOKUP($A22,flows!$A$2:$J$4985,D$2,FALSE)</f>
        <v>#N/A</v>
      </c>
      <c r="E22" s="92" t="e">
        <f>VLOOKUP($A22,flows!$A$2:$J$4985,E$2,FALSE)</f>
        <v>#N/A</v>
      </c>
      <c r="F22" s="92" t="e">
        <f>VLOOKUP($A22,flows!$A$2:$J$4985,F$2,FALSE)</f>
        <v>#N/A</v>
      </c>
      <c r="G22" s="92" t="e">
        <f>VLOOKUP($A22,flows!$A$2:$J$4985,G$2,FALSE)</f>
        <v>#N/A</v>
      </c>
      <c r="H22" s="92" t="e">
        <f>VLOOKUP($A22,flows!$A$2:$J$4985,H$2,FALSE)</f>
        <v>#N/A</v>
      </c>
      <c r="I22" s="92" t="e">
        <f>VLOOKUP($A22,flows!$A$2:$J$4985,I$2,FALSE)</f>
        <v>#N/A</v>
      </c>
      <c r="J22" s="92" t="e">
        <f>VLOOKUP($A22,flows!$A$2:$J$4985,J$2,FALSE)</f>
        <v>#N/A</v>
      </c>
      <c r="M22" s="137"/>
      <c r="W22" s="92"/>
      <c r="X22" s="92"/>
      <c r="Y22" s="92"/>
      <c r="Z22" s="92"/>
      <c r="AA22" s="92"/>
      <c r="AB22" s="92"/>
      <c r="AC22" s="92"/>
      <c r="AD22" s="92"/>
    </row>
    <row r="23" spans="1:30" x14ac:dyDescent="0.35">
      <c r="A23" s="40" t="s">
        <v>3113</v>
      </c>
      <c r="B23" s="92" t="s">
        <v>1316</v>
      </c>
      <c r="C23" s="92">
        <f>SUM('Chemische Industrie'!CW14:CW16)*'Chemische Industrie'!CW27</f>
        <v>4.6083492523563687E-3</v>
      </c>
      <c r="D23" s="92">
        <f>SUM('Chemische Industrie'!CX14:CX16)*'Chemische Industrie'!CX27</f>
        <v>229913.22233336398</v>
      </c>
      <c r="E23" s="92">
        <f>SUM('Chemische Industrie'!CY14:CY16)*'Chemische Industrie'!CY27</f>
        <v>206783.07127582375</v>
      </c>
      <c r="F23" s="92">
        <f>SUM('Chemische Industrie'!CZ14:CZ16)*'Chemische Industrie'!CZ27</f>
        <v>134273.79403174229</v>
      </c>
      <c r="G23" s="92">
        <f>SUM('Chemische Industrie'!DA14:DA16)*'Chemische Industrie'!DA27</f>
        <v>89653.894243181407</v>
      </c>
      <c r="H23" s="92">
        <f>SUM('Chemische Industrie'!DB14:DB16)*'Chemische Industrie'!DB27</f>
        <v>29038.624665010833</v>
      </c>
      <c r="I23" s="92">
        <f>SUM('Chemische Industrie'!DC14:DC16)*'Chemische Industrie'!DC27</f>
        <v>1.5889059354883147E-5</v>
      </c>
      <c r="J23" s="92" t="e">
        <f>SUM('Chemische Industrie'!DD14:DD16)*'Chemische Industrie'!DD27</f>
        <v>#DIV/0!</v>
      </c>
      <c r="W23" s="92"/>
      <c r="X23" s="92"/>
      <c r="Y23" s="92"/>
      <c r="Z23" s="92"/>
      <c r="AA23" s="92"/>
      <c r="AB23" s="92"/>
      <c r="AC23" s="92"/>
      <c r="AD23" s="92"/>
    </row>
    <row r="24" spans="1:30" ht="15" thickBot="1" x14ac:dyDescent="0.4">
      <c r="A24" s="40" t="s">
        <v>3112</v>
      </c>
      <c r="B24" s="92" t="s">
        <v>1499</v>
      </c>
      <c r="C24" s="92" t="e">
        <f>VLOOKUP($A24,flows!$A$2:$J$4985,C$2,FALSE)</f>
        <v>#N/A</v>
      </c>
      <c r="D24" s="92" t="e">
        <f>VLOOKUP($A24,flows!$A$2:$J$4985,D$2,FALSE)</f>
        <v>#N/A</v>
      </c>
      <c r="E24" s="92" t="e">
        <f>VLOOKUP($A24,flows!$A$2:$J$4985,E$2,FALSE)</f>
        <v>#N/A</v>
      </c>
      <c r="F24" s="92" t="e">
        <f>VLOOKUP($A24,flows!$A$2:$J$4985,F$2,FALSE)</f>
        <v>#N/A</v>
      </c>
      <c r="G24" s="92" t="e">
        <f>VLOOKUP($A24,flows!$A$2:$J$4985,G$2,FALSE)</f>
        <v>#N/A</v>
      </c>
      <c r="H24" s="92" t="e">
        <f>VLOOKUP($A24,flows!$A$2:$J$4985,H$2,FALSE)</f>
        <v>#N/A</v>
      </c>
      <c r="I24" s="92" t="e">
        <f>VLOOKUP($A24,flows!$A$2:$J$4985,I$2,FALSE)</f>
        <v>#N/A</v>
      </c>
      <c r="J24" s="92" t="e">
        <f>VLOOKUP($A24,flows!$A$2:$J$4985,J$2,FALSE)</f>
        <v>#N/A</v>
      </c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92"/>
      <c r="X24" s="92"/>
      <c r="Y24" s="92"/>
      <c r="Z24" s="92"/>
      <c r="AA24" s="92"/>
      <c r="AB24" s="92"/>
      <c r="AC24" s="92"/>
      <c r="AD24" s="92"/>
    </row>
    <row r="25" spans="1:30" s="132" customFormat="1" x14ac:dyDescent="0.35">
      <c r="A25" s="40" t="s">
        <v>3073</v>
      </c>
      <c r="B25" s="92" t="s">
        <v>1501</v>
      </c>
      <c r="C25" s="92">
        <f>'Chemische Industrie'!CW12*'Chemische Industrie'!CW25</f>
        <v>0</v>
      </c>
      <c r="D25" s="92">
        <f>'Chemische Industrie'!CX12*'Chemische Industrie'!CX25</f>
        <v>0</v>
      </c>
      <c r="E25" s="92">
        <f>'Chemische Industrie'!CY12*'Chemische Industrie'!CY25</f>
        <v>0</v>
      </c>
      <c r="F25" s="92">
        <f>'Chemische Industrie'!CZ12*'Chemische Industrie'!CZ25</f>
        <v>0</v>
      </c>
      <c r="G25" s="92">
        <f>'Chemische Industrie'!DA12*'Chemische Industrie'!DA25</f>
        <v>0</v>
      </c>
      <c r="H25" s="92">
        <f>'Chemische Industrie'!DB12*'Chemische Industrie'!DB25</f>
        <v>0</v>
      </c>
      <c r="I25" s="92">
        <f>'Chemische Industrie'!DC12*'Chemische Industrie'!DC25</f>
        <v>0</v>
      </c>
      <c r="J25" s="92" t="e">
        <f>'Chemische Industrie'!DD12*'Chemische Industrie'!DD25</f>
        <v>#DIV/0!</v>
      </c>
      <c r="L25" s="190"/>
      <c r="M25" s="64"/>
      <c r="N25" s="64"/>
      <c r="O25" s="64"/>
      <c r="P25" s="64"/>
      <c r="Q25" s="64"/>
      <c r="R25" s="64"/>
      <c r="S25" s="64"/>
      <c r="T25" s="64"/>
      <c r="U25" s="64"/>
      <c r="V25" s="190"/>
      <c r="W25" s="91" t="s">
        <v>1160</v>
      </c>
      <c r="X25" s="89">
        <v>3</v>
      </c>
      <c r="Y25" s="89">
        <v>4</v>
      </c>
      <c r="Z25" s="89">
        <v>5</v>
      </c>
      <c r="AA25" s="89">
        <v>6</v>
      </c>
      <c r="AB25" s="89">
        <v>7</v>
      </c>
      <c r="AC25" s="89">
        <v>8</v>
      </c>
      <c r="AD25" s="89">
        <v>9</v>
      </c>
    </row>
    <row r="26" spans="1:30" x14ac:dyDescent="0.35">
      <c r="A26" s="40" t="s">
        <v>3074</v>
      </c>
      <c r="B26" s="92" t="s">
        <v>1501</v>
      </c>
      <c r="C26" s="92">
        <f>'Chemische Industrie'!CW13*'Chemische Industrie'!CW25</f>
        <v>0</v>
      </c>
      <c r="D26" s="92">
        <f>'Chemische Industrie'!CX13*'Chemische Industrie'!CX25</f>
        <v>0</v>
      </c>
      <c r="E26" s="92">
        <f>'Chemische Industrie'!CY13*'Chemische Industrie'!CY25</f>
        <v>0</v>
      </c>
      <c r="F26" s="92">
        <f>'Chemische Industrie'!CZ13*'Chemische Industrie'!CZ25</f>
        <v>0</v>
      </c>
      <c r="G26" s="92">
        <f>'Chemische Industrie'!DA13*'Chemische Industrie'!DA25</f>
        <v>0</v>
      </c>
      <c r="H26" s="92">
        <f>'Chemische Industrie'!DB13*'Chemische Industrie'!DB25</f>
        <v>0</v>
      </c>
      <c r="I26" s="92">
        <f>'Chemische Industrie'!DC13*'Chemische Industrie'!DC25</f>
        <v>0</v>
      </c>
      <c r="J26" s="92" t="e">
        <f>'Chemische Industrie'!DD13*'Chemische Industrie'!DD25</f>
        <v>#DIV/0!</v>
      </c>
      <c r="V26" s="190"/>
      <c r="W26" s="40"/>
      <c r="X26" s="133">
        <v>2020</v>
      </c>
      <c r="Y26" s="133">
        <v>2025</v>
      </c>
      <c r="Z26" s="133">
        <v>2030</v>
      </c>
      <c r="AA26" s="133">
        <v>2035</v>
      </c>
      <c r="AB26" s="133">
        <v>2040</v>
      </c>
      <c r="AC26" s="133">
        <v>2045</v>
      </c>
      <c r="AD26" s="133">
        <v>2050</v>
      </c>
    </row>
    <row r="27" spans="1:30" x14ac:dyDescent="0.35">
      <c r="A27" s="40" t="s">
        <v>3102</v>
      </c>
      <c r="B27" s="137"/>
      <c r="C27" s="92" t="e">
        <f>VLOOKUP($A27,flows!$A$2:$J$4985,C$2,FALSE)</f>
        <v>#N/A</v>
      </c>
      <c r="D27" s="92" t="e">
        <f>VLOOKUP($A27,flows!$A$2:$J$4985,D$2,FALSE)</f>
        <v>#N/A</v>
      </c>
      <c r="E27" s="92" t="e">
        <f>VLOOKUP($A27,flows!$A$2:$J$4985,E$2,FALSE)</f>
        <v>#N/A</v>
      </c>
      <c r="F27" s="92" t="e">
        <f>VLOOKUP($A27,flows!$A$2:$J$4985,F$2,FALSE)</f>
        <v>#N/A</v>
      </c>
      <c r="G27" s="92" t="e">
        <f>VLOOKUP($A27,flows!$A$2:$J$4985,G$2,FALSE)</f>
        <v>#N/A</v>
      </c>
      <c r="H27" s="92" t="e">
        <f>VLOOKUP($A27,flows!$A$2:$J$4985,H$2,FALSE)</f>
        <v>#N/A</v>
      </c>
      <c r="I27" s="92" t="e">
        <f>VLOOKUP($A27,flows!$A$2:$J$4985,I$2,FALSE)</f>
        <v>#N/A</v>
      </c>
      <c r="J27" s="92" t="e">
        <f>VLOOKUP($A27,flows!$A$2:$J$4985,J$2,FALSE)</f>
        <v>#N/A</v>
      </c>
      <c r="V27" s="190" t="s">
        <v>1342</v>
      </c>
      <c r="W27" s="40" t="s">
        <v>1206</v>
      </c>
      <c r="X27" s="97" t="e">
        <f t="shared" ref="X27:X39" si="13">D33/SUM(D$33:D$45)</f>
        <v>#N/A</v>
      </c>
      <c r="Y27" s="97" t="e">
        <f t="shared" ref="Y27:Y39" si="14">E33/SUM(E$33:E$45)</f>
        <v>#N/A</v>
      </c>
      <c r="Z27" s="97" t="e">
        <f t="shared" ref="Z27:Z39" si="15">F33/SUM(F$33:F$45)</f>
        <v>#N/A</v>
      </c>
      <c r="AA27" s="97" t="e">
        <f t="shared" ref="AA27:AA39" si="16">G33/SUM(G$33:G$45)</f>
        <v>#N/A</v>
      </c>
      <c r="AB27" s="97" t="e">
        <f t="shared" ref="AB27:AB39" si="17">H33/SUM(H$33:H$45)</f>
        <v>#N/A</v>
      </c>
      <c r="AC27" s="97" t="e">
        <f t="shared" ref="AC27:AC39" si="18">I33/SUM(I$33:I$45)</f>
        <v>#N/A</v>
      </c>
      <c r="AD27" s="97" t="e">
        <f t="shared" ref="AD27:AD39" si="19">J33/SUM(J$33:J$45)</f>
        <v>#N/A</v>
      </c>
    </row>
    <row r="28" spans="1:30" x14ac:dyDescent="0.35">
      <c r="A28" s="40" t="s">
        <v>4481</v>
      </c>
      <c r="B28" s="137"/>
      <c r="C28" s="92" t="e">
        <f>VLOOKUP($A28,flows!$A$2:$J$4985,C$2,FALSE)</f>
        <v>#N/A</v>
      </c>
      <c r="D28" s="92" t="e">
        <f>VLOOKUP($A28,flows!$A$2:$J$4985,D$2,FALSE)</f>
        <v>#N/A</v>
      </c>
      <c r="E28" s="92" t="e">
        <f>VLOOKUP($A28,flows!$A$2:$J$4985,E$2,FALSE)</f>
        <v>#N/A</v>
      </c>
      <c r="F28" s="92" t="e">
        <f>VLOOKUP($A28,flows!$A$2:$J$4985,F$2,FALSE)</f>
        <v>#N/A</v>
      </c>
      <c r="G28" s="92" t="e">
        <f>VLOOKUP($A28,flows!$A$2:$J$4985,G$2,FALSE)</f>
        <v>#N/A</v>
      </c>
      <c r="H28" s="92" t="e">
        <f>VLOOKUP($A28,flows!$A$2:$J$4985,H$2,FALSE)</f>
        <v>#N/A</v>
      </c>
      <c r="I28" s="92" t="e">
        <f>VLOOKUP($A28,flows!$A$2:$J$4985,I$2,FALSE)</f>
        <v>#N/A</v>
      </c>
      <c r="J28" s="92" t="e">
        <f>VLOOKUP($A28,flows!$A$2:$J$4985,J$2,FALSE)</f>
        <v>#N/A</v>
      </c>
      <c r="V28" s="190" t="s">
        <v>1343</v>
      </c>
      <c r="W28" s="40" t="s">
        <v>1310</v>
      </c>
      <c r="X28" s="97" t="e">
        <f t="shared" si="13"/>
        <v>#N/A</v>
      </c>
      <c r="Y28" s="97" t="e">
        <f t="shared" si="14"/>
        <v>#N/A</v>
      </c>
      <c r="Z28" s="97" t="e">
        <f t="shared" si="15"/>
        <v>#N/A</v>
      </c>
      <c r="AA28" s="97" t="e">
        <f t="shared" si="16"/>
        <v>#N/A</v>
      </c>
      <c r="AB28" s="97" t="e">
        <f t="shared" si="17"/>
        <v>#N/A</v>
      </c>
      <c r="AC28" s="97" t="e">
        <f t="shared" si="18"/>
        <v>#N/A</v>
      </c>
      <c r="AD28" s="97" t="e">
        <f t="shared" si="19"/>
        <v>#N/A</v>
      </c>
    </row>
    <row r="29" spans="1:30" x14ac:dyDescent="0.35">
      <c r="A29" s="40"/>
      <c r="B29" s="379" t="s">
        <v>2213</v>
      </c>
      <c r="C29" s="379" t="e">
        <f t="shared" ref="C29:I29" si="20">(C19+C20+C21+C22+C25+C26)/SUM(C19:C26)</f>
        <v>#N/A</v>
      </c>
      <c r="D29" s="379" t="e">
        <f>(D19+D20+D21+D22+D25+D26)/SUM(D19:D26)</f>
        <v>#N/A</v>
      </c>
      <c r="E29" s="379" t="e">
        <f t="shared" si="20"/>
        <v>#N/A</v>
      </c>
      <c r="F29" s="379" t="e">
        <f t="shared" si="20"/>
        <v>#N/A</v>
      </c>
      <c r="G29" s="379" t="e">
        <f t="shared" si="20"/>
        <v>#N/A</v>
      </c>
      <c r="H29" s="379" t="e">
        <f t="shared" si="20"/>
        <v>#N/A</v>
      </c>
      <c r="I29" s="379" t="e">
        <f t="shared" si="20"/>
        <v>#N/A</v>
      </c>
      <c r="J29" s="379" t="e">
        <f>(J19+J20+J21+J22+J25+J26)/SUM(J19:J26)</f>
        <v>#N/A</v>
      </c>
      <c r="V29" s="190" t="s">
        <v>1936</v>
      </c>
      <c r="W29" s="40" t="s">
        <v>1421</v>
      </c>
      <c r="X29" s="97" t="e">
        <f t="shared" si="13"/>
        <v>#N/A</v>
      </c>
      <c r="Y29" s="97" t="e">
        <f t="shared" si="14"/>
        <v>#N/A</v>
      </c>
      <c r="Z29" s="97" t="e">
        <f t="shared" si="15"/>
        <v>#N/A</v>
      </c>
      <c r="AA29" s="97" t="e">
        <f t="shared" si="16"/>
        <v>#N/A</v>
      </c>
      <c r="AB29" s="97" t="e">
        <f t="shared" si="17"/>
        <v>#N/A</v>
      </c>
      <c r="AC29" s="97" t="e">
        <f t="shared" si="18"/>
        <v>#N/A</v>
      </c>
      <c r="AD29" s="97" t="e">
        <f t="shared" si="19"/>
        <v>#N/A</v>
      </c>
    </row>
    <row r="30" spans="1:30" ht="15" thickBot="1" x14ac:dyDescent="0.4">
      <c r="A30" s="40"/>
      <c r="B30" s="365"/>
      <c r="C30" s="365"/>
      <c r="D30" s="365"/>
      <c r="E30" s="365"/>
      <c r="F30" s="365"/>
      <c r="G30" s="365"/>
      <c r="H30" s="365"/>
      <c r="I30" s="365"/>
      <c r="J30" s="365"/>
      <c r="V30" s="190" t="s">
        <v>1340</v>
      </c>
      <c r="W30" s="40" t="s">
        <v>1161</v>
      </c>
      <c r="X30" s="97" t="e">
        <f t="shared" si="13"/>
        <v>#N/A</v>
      </c>
      <c r="Y30" s="97" t="e">
        <f t="shared" si="14"/>
        <v>#N/A</v>
      </c>
      <c r="Z30" s="97" t="e">
        <f t="shared" si="15"/>
        <v>#N/A</v>
      </c>
      <c r="AA30" s="97" t="e">
        <f t="shared" si="16"/>
        <v>#N/A</v>
      </c>
      <c r="AB30" s="97" t="e">
        <f t="shared" si="17"/>
        <v>#N/A</v>
      </c>
      <c r="AC30" s="97" t="e">
        <f t="shared" si="18"/>
        <v>#N/A</v>
      </c>
      <c r="AD30" s="97" t="e">
        <f t="shared" si="19"/>
        <v>#N/A</v>
      </c>
    </row>
    <row r="31" spans="1:30" x14ac:dyDescent="0.35">
      <c r="A31" s="40"/>
      <c r="B31" s="102" t="s">
        <v>1160</v>
      </c>
      <c r="C31" s="89">
        <v>2</v>
      </c>
      <c r="D31" s="89">
        <v>3</v>
      </c>
      <c r="E31" s="89">
        <v>4</v>
      </c>
      <c r="F31" s="89">
        <v>5</v>
      </c>
      <c r="G31" s="89">
        <v>6</v>
      </c>
      <c r="H31" s="89">
        <v>7</v>
      </c>
      <c r="I31" s="89">
        <v>8</v>
      </c>
      <c r="J31" s="89">
        <v>9</v>
      </c>
      <c r="V31" s="190" t="s">
        <v>1884</v>
      </c>
      <c r="W31" s="40" t="s">
        <v>1207</v>
      </c>
      <c r="X31" s="97" t="e">
        <f t="shared" si="13"/>
        <v>#N/A</v>
      </c>
      <c r="Y31" s="97" t="e">
        <f t="shared" si="14"/>
        <v>#N/A</v>
      </c>
      <c r="Z31" s="97" t="e">
        <f t="shared" si="15"/>
        <v>#N/A</v>
      </c>
      <c r="AA31" s="97" t="e">
        <f t="shared" si="16"/>
        <v>#N/A</v>
      </c>
      <c r="AB31" s="97" t="e">
        <f t="shared" si="17"/>
        <v>#N/A</v>
      </c>
      <c r="AC31" s="97" t="e">
        <f t="shared" si="18"/>
        <v>#N/A</v>
      </c>
      <c r="AD31" s="97" t="e">
        <f t="shared" si="19"/>
        <v>#N/A</v>
      </c>
    </row>
    <row r="32" spans="1:30" x14ac:dyDescent="0.35">
      <c r="A32" s="40" t="s">
        <v>1415</v>
      </c>
      <c r="B32" s="92"/>
      <c r="C32" s="133" t="s">
        <v>1417</v>
      </c>
      <c r="D32" s="133">
        <v>2020</v>
      </c>
      <c r="E32" s="133">
        <v>2025</v>
      </c>
      <c r="F32" s="133">
        <v>2030</v>
      </c>
      <c r="G32" s="133">
        <v>2035</v>
      </c>
      <c r="H32" s="133">
        <v>2040</v>
      </c>
      <c r="I32" s="133">
        <v>2045</v>
      </c>
      <c r="J32" s="133">
        <v>2050</v>
      </c>
      <c r="V32" s="190" t="s">
        <v>1440</v>
      </c>
      <c r="W32" s="40" t="s">
        <v>1440</v>
      </c>
      <c r="X32" s="97" t="e">
        <f t="shared" si="13"/>
        <v>#N/A</v>
      </c>
      <c r="Y32" s="97" t="e">
        <f t="shared" si="14"/>
        <v>#N/A</v>
      </c>
      <c r="Z32" s="97" t="e">
        <f t="shared" si="15"/>
        <v>#N/A</v>
      </c>
      <c r="AA32" s="97" t="e">
        <f t="shared" si="16"/>
        <v>#N/A</v>
      </c>
      <c r="AB32" s="97" t="e">
        <f t="shared" si="17"/>
        <v>#N/A</v>
      </c>
      <c r="AC32" s="97" t="e">
        <f t="shared" si="18"/>
        <v>#N/A</v>
      </c>
      <c r="AD32" s="97" t="e">
        <f t="shared" si="19"/>
        <v>#N/A</v>
      </c>
    </row>
    <row r="33" spans="1:41" x14ac:dyDescent="0.35">
      <c r="A33" s="40"/>
      <c r="B33" s="92" t="s">
        <v>1206</v>
      </c>
      <c r="C33" s="92" t="e">
        <f>'Strom - Flows'!C5</f>
        <v>#N/A</v>
      </c>
      <c r="D33" s="92" t="e">
        <f>'Strom - Flows'!D5</f>
        <v>#N/A</v>
      </c>
      <c r="E33" s="92" t="e">
        <f>'Strom - Flows'!E5</f>
        <v>#N/A</v>
      </c>
      <c r="F33" s="92" t="e">
        <f>'Strom - Flows'!F5</f>
        <v>#N/A</v>
      </c>
      <c r="G33" s="92" t="e">
        <f>'Strom - Flows'!G5</f>
        <v>#N/A</v>
      </c>
      <c r="H33" s="92" t="e">
        <f>'Strom - Flows'!H5</f>
        <v>#N/A</v>
      </c>
      <c r="I33" s="92" t="e">
        <f>'Strom - Flows'!I5</f>
        <v>#N/A</v>
      </c>
      <c r="J33" s="92" t="e">
        <f>'Strom - Flows'!J5</f>
        <v>#N/A</v>
      </c>
      <c r="V33" s="190" t="s">
        <v>1940</v>
      </c>
      <c r="W33" s="40" t="s">
        <v>1324</v>
      </c>
      <c r="X33" s="97" t="e">
        <f t="shared" si="13"/>
        <v>#N/A</v>
      </c>
      <c r="Y33" s="97" t="e">
        <f t="shared" si="14"/>
        <v>#N/A</v>
      </c>
      <c r="Z33" s="97" t="e">
        <f t="shared" si="15"/>
        <v>#N/A</v>
      </c>
      <c r="AA33" s="97" t="e">
        <f t="shared" si="16"/>
        <v>#N/A</v>
      </c>
      <c r="AB33" s="97" t="e">
        <f t="shared" si="17"/>
        <v>#N/A</v>
      </c>
      <c r="AC33" s="97" t="e">
        <f t="shared" si="18"/>
        <v>#N/A</v>
      </c>
      <c r="AD33" s="97" t="e">
        <f t="shared" si="19"/>
        <v>#N/A</v>
      </c>
    </row>
    <row r="34" spans="1:41" x14ac:dyDescent="0.35">
      <c r="A34" s="40"/>
      <c r="B34" s="92" t="s">
        <v>1310</v>
      </c>
      <c r="C34" s="92" t="e">
        <f>'Strom - Flows'!C6</f>
        <v>#N/A</v>
      </c>
      <c r="D34" s="92" t="e">
        <f>'Strom - Flows'!D6</f>
        <v>#N/A</v>
      </c>
      <c r="E34" s="92" t="e">
        <f>'Strom - Flows'!E6</f>
        <v>#N/A</v>
      </c>
      <c r="F34" s="92" t="e">
        <f>'Strom - Flows'!F6</f>
        <v>#N/A</v>
      </c>
      <c r="G34" s="92" t="e">
        <f>'Strom - Flows'!G6</f>
        <v>#N/A</v>
      </c>
      <c r="H34" s="92" t="e">
        <f>'Strom - Flows'!H6</f>
        <v>#N/A</v>
      </c>
      <c r="I34" s="92" t="e">
        <f>'Strom - Flows'!I6</f>
        <v>#N/A</v>
      </c>
      <c r="J34" s="92" t="e">
        <f>'Strom - Flows'!J6</f>
        <v>#N/A</v>
      </c>
      <c r="V34" s="190" t="s">
        <v>1941</v>
      </c>
      <c r="W34" s="40" t="s">
        <v>1323</v>
      </c>
      <c r="X34" s="97" t="e">
        <f t="shared" si="13"/>
        <v>#N/A</v>
      </c>
      <c r="Y34" s="97" t="e">
        <f t="shared" si="14"/>
        <v>#N/A</v>
      </c>
      <c r="Z34" s="97" t="e">
        <f t="shared" si="15"/>
        <v>#N/A</v>
      </c>
      <c r="AA34" s="97" t="e">
        <f t="shared" si="16"/>
        <v>#N/A</v>
      </c>
      <c r="AB34" s="97" t="e">
        <f t="shared" si="17"/>
        <v>#N/A</v>
      </c>
      <c r="AC34" s="97" t="e">
        <f t="shared" si="18"/>
        <v>#N/A</v>
      </c>
      <c r="AD34" s="97" t="e">
        <f t="shared" si="19"/>
        <v>#N/A</v>
      </c>
    </row>
    <row r="35" spans="1:41" x14ac:dyDescent="0.35">
      <c r="A35" s="40"/>
      <c r="B35" s="92" t="s">
        <v>1421</v>
      </c>
      <c r="C35" s="92" t="e">
        <f>'Strom - Flows'!C7</f>
        <v>#N/A</v>
      </c>
      <c r="D35" s="92" t="e">
        <f>'Strom - Flows'!D7</f>
        <v>#N/A</v>
      </c>
      <c r="E35" s="92" t="e">
        <f>'Strom - Flows'!E7</f>
        <v>#N/A</v>
      </c>
      <c r="F35" s="92" t="e">
        <f>'Strom - Flows'!F7</f>
        <v>#N/A</v>
      </c>
      <c r="G35" s="92" t="e">
        <f>'Strom - Flows'!G7</f>
        <v>#N/A</v>
      </c>
      <c r="H35" s="92" t="e">
        <f>'Strom - Flows'!H7</f>
        <v>#N/A</v>
      </c>
      <c r="I35" s="92" t="e">
        <f>'Strom - Flows'!I7</f>
        <v>#N/A</v>
      </c>
      <c r="J35" s="92" t="e">
        <f>'Strom - Flows'!J7</f>
        <v>#N/A</v>
      </c>
      <c r="V35" s="190" t="s">
        <v>1523</v>
      </c>
      <c r="W35" s="40" t="s">
        <v>1427</v>
      </c>
      <c r="X35" s="97" t="e">
        <f t="shared" si="13"/>
        <v>#N/A</v>
      </c>
      <c r="Y35" s="97" t="e">
        <f t="shared" si="14"/>
        <v>#N/A</v>
      </c>
      <c r="Z35" s="97" t="e">
        <f t="shared" si="15"/>
        <v>#N/A</v>
      </c>
      <c r="AA35" s="97" t="e">
        <f t="shared" si="16"/>
        <v>#N/A</v>
      </c>
      <c r="AB35" s="97" t="e">
        <f t="shared" si="17"/>
        <v>#N/A</v>
      </c>
      <c r="AC35" s="97" t="e">
        <f t="shared" si="18"/>
        <v>#N/A</v>
      </c>
      <c r="AD35" s="97" t="e">
        <f t="shared" si="19"/>
        <v>#N/A</v>
      </c>
    </row>
    <row r="36" spans="1:41" x14ac:dyDescent="0.35">
      <c r="A36" s="40"/>
      <c r="B36" s="92" t="s">
        <v>1161</v>
      </c>
      <c r="C36" s="92" t="e">
        <f>'Strom - Flows'!C8</f>
        <v>#N/A</v>
      </c>
      <c r="D36" s="92" t="e">
        <f>'Strom - Flows'!D8</f>
        <v>#N/A</v>
      </c>
      <c r="E36" s="92" t="e">
        <f>'Strom - Flows'!E8</f>
        <v>#N/A</v>
      </c>
      <c r="F36" s="92" t="e">
        <f>'Strom - Flows'!F8</f>
        <v>#N/A</v>
      </c>
      <c r="G36" s="92" t="e">
        <f>'Strom - Flows'!G8</f>
        <v>#N/A</v>
      </c>
      <c r="H36" s="92" t="e">
        <f>'Strom - Flows'!H8</f>
        <v>#N/A</v>
      </c>
      <c r="I36" s="92" t="e">
        <f>'Strom - Flows'!I8</f>
        <v>#N/A</v>
      </c>
      <c r="J36" s="92" t="e">
        <f>'Strom - Flows'!J8</f>
        <v>#N/A</v>
      </c>
      <c r="V36" s="190" t="s">
        <v>1885</v>
      </c>
      <c r="W36" s="40" t="s">
        <v>1209</v>
      </c>
      <c r="X36" s="97" t="e">
        <f t="shared" si="13"/>
        <v>#N/A</v>
      </c>
      <c r="Y36" s="97" t="e">
        <f t="shared" si="14"/>
        <v>#N/A</v>
      </c>
      <c r="Z36" s="97" t="e">
        <f t="shared" si="15"/>
        <v>#N/A</v>
      </c>
      <c r="AA36" s="97" t="e">
        <f t="shared" si="16"/>
        <v>#N/A</v>
      </c>
      <c r="AB36" s="97" t="e">
        <f t="shared" si="17"/>
        <v>#N/A</v>
      </c>
      <c r="AC36" s="97" t="e">
        <f t="shared" si="18"/>
        <v>#N/A</v>
      </c>
      <c r="AD36" s="97" t="e">
        <f t="shared" si="19"/>
        <v>#N/A</v>
      </c>
    </row>
    <row r="37" spans="1:41" x14ac:dyDescent="0.35">
      <c r="A37" s="40"/>
      <c r="B37" s="92" t="s">
        <v>1207</v>
      </c>
      <c r="C37" s="92" t="e">
        <f>'Strom - Flows'!C10</f>
        <v>#N/A</v>
      </c>
      <c r="D37" s="92" t="e">
        <f>'Strom - Flows'!D10</f>
        <v>#N/A</v>
      </c>
      <c r="E37" s="92" t="e">
        <f>'Strom - Flows'!E10</f>
        <v>#N/A</v>
      </c>
      <c r="F37" s="92" t="e">
        <f>'Strom - Flows'!F10</f>
        <v>#N/A</v>
      </c>
      <c r="G37" s="92" t="e">
        <f>'Strom - Flows'!G10</f>
        <v>#N/A</v>
      </c>
      <c r="H37" s="92" t="e">
        <f>'Strom - Flows'!H10</f>
        <v>#N/A</v>
      </c>
      <c r="I37" s="92" t="e">
        <f>'Strom - Flows'!I10</f>
        <v>#N/A</v>
      </c>
      <c r="J37" s="92" t="e">
        <f>'Strom - Flows'!J10</f>
        <v>#N/A</v>
      </c>
      <c r="V37" s="190" t="s">
        <v>1816</v>
      </c>
      <c r="W37" s="40" t="s">
        <v>1162</v>
      </c>
      <c r="X37" s="97" t="e">
        <f t="shared" si="13"/>
        <v>#N/A</v>
      </c>
      <c r="Y37" s="97" t="e">
        <f t="shared" si="14"/>
        <v>#N/A</v>
      </c>
      <c r="Z37" s="97" t="e">
        <f t="shared" si="15"/>
        <v>#N/A</v>
      </c>
      <c r="AA37" s="97" t="e">
        <f t="shared" si="16"/>
        <v>#N/A</v>
      </c>
      <c r="AB37" s="97" t="e">
        <f t="shared" si="17"/>
        <v>#N/A</v>
      </c>
      <c r="AC37" s="97" t="e">
        <f t="shared" si="18"/>
        <v>#N/A</v>
      </c>
      <c r="AD37" s="97" t="e">
        <f t="shared" si="19"/>
        <v>#N/A</v>
      </c>
    </row>
    <row r="38" spans="1:41" x14ac:dyDescent="0.35">
      <c r="A38" s="40"/>
      <c r="B38" s="92" t="s">
        <v>1440</v>
      </c>
      <c r="C38" s="92" t="e">
        <f>'Strom - Flows'!C11+'Strom - Flows'!C12</f>
        <v>#N/A</v>
      </c>
      <c r="D38" s="92" t="e">
        <f>'Strom - Flows'!D11+'Strom - Flows'!D12</f>
        <v>#N/A</v>
      </c>
      <c r="E38" s="92" t="e">
        <f>'Strom - Flows'!E11+'Strom - Flows'!E12</f>
        <v>#N/A</v>
      </c>
      <c r="F38" s="92" t="e">
        <f>'Strom - Flows'!F11+'Strom - Flows'!F12</f>
        <v>#N/A</v>
      </c>
      <c r="G38" s="92" t="e">
        <f>'Strom - Flows'!G11+'Strom - Flows'!G12</f>
        <v>#N/A</v>
      </c>
      <c r="H38" s="92" t="e">
        <f>'Strom - Flows'!H11+'Strom - Flows'!H12</f>
        <v>#N/A</v>
      </c>
      <c r="I38" s="92" t="e">
        <f>'Strom - Flows'!I11+'Strom - Flows'!I12</f>
        <v>#N/A</v>
      </c>
      <c r="J38" s="92" t="e">
        <f>'Strom - Flows'!J11+'Strom - Flows'!J12</f>
        <v>#N/A</v>
      </c>
      <c r="V38" s="190" t="s">
        <v>1942</v>
      </c>
      <c r="W38" s="40" t="s">
        <v>1208</v>
      </c>
      <c r="X38" s="97" t="e">
        <f t="shared" si="13"/>
        <v>#N/A</v>
      </c>
      <c r="Y38" s="97" t="e">
        <f t="shared" si="14"/>
        <v>#N/A</v>
      </c>
      <c r="Z38" s="97" t="e">
        <f t="shared" si="15"/>
        <v>#N/A</v>
      </c>
      <c r="AA38" s="97" t="e">
        <f t="shared" si="16"/>
        <v>#N/A</v>
      </c>
      <c r="AB38" s="97" t="e">
        <f t="shared" si="17"/>
        <v>#N/A</v>
      </c>
      <c r="AC38" s="97" t="e">
        <f t="shared" si="18"/>
        <v>#N/A</v>
      </c>
      <c r="AD38" s="97" t="e">
        <f t="shared" si="19"/>
        <v>#N/A</v>
      </c>
    </row>
    <row r="39" spans="1:41" ht="15" thickBot="1" x14ac:dyDescent="0.4">
      <c r="A39" s="40"/>
      <c r="B39" s="92" t="s">
        <v>1324</v>
      </c>
      <c r="C39" s="92" t="e">
        <f>'Strom - Flows'!C13</f>
        <v>#N/A</v>
      </c>
      <c r="D39" s="92" t="e">
        <f>'Strom - Flows'!D13</f>
        <v>#N/A</v>
      </c>
      <c r="E39" s="92" t="e">
        <f>'Strom - Flows'!E13</f>
        <v>#N/A</v>
      </c>
      <c r="F39" s="92" t="e">
        <f>'Strom - Flows'!F13</f>
        <v>#N/A</v>
      </c>
      <c r="G39" s="92" t="e">
        <f>'Strom - Flows'!G13</f>
        <v>#N/A</v>
      </c>
      <c r="H39" s="92" t="e">
        <f>'Strom - Flows'!H13</f>
        <v>#N/A</v>
      </c>
      <c r="I39" s="92" t="e">
        <f>'Strom - Flows'!I13</f>
        <v>#N/A</v>
      </c>
      <c r="J39" s="92" t="e">
        <f>'Strom - Flows'!J13</f>
        <v>#N/A</v>
      </c>
      <c r="V39" s="190" t="s">
        <v>1673</v>
      </c>
      <c r="W39" s="135" t="s">
        <v>1673</v>
      </c>
      <c r="X39" s="100" t="e">
        <f t="shared" si="13"/>
        <v>#N/A</v>
      </c>
      <c r="Y39" s="100" t="e">
        <f t="shared" si="14"/>
        <v>#N/A</v>
      </c>
      <c r="Z39" s="100" t="e">
        <f t="shared" si="15"/>
        <v>#N/A</v>
      </c>
      <c r="AA39" s="100" t="e">
        <f t="shared" si="16"/>
        <v>#N/A</v>
      </c>
      <c r="AB39" s="100" t="e">
        <f t="shared" si="17"/>
        <v>#N/A</v>
      </c>
      <c r="AC39" s="100" t="e">
        <f t="shared" si="18"/>
        <v>#N/A</v>
      </c>
      <c r="AD39" s="100" t="e">
        <f t="shared" si="19"/>
        <v>#N/A</v>
      </c>
    </row>
    <row r="40" spans="1:41" x14ac:dyDescent="0.35">
      <c r="A40" s="40"/>
      <c r="B40" s="92" t="s">
        <v>1323</v>
      </c>
      <c r="C40" s="92" t="e">
        <f>'Strom - Flows'!C14</f>
        <v>#N/A</v>
      </c>
      <c r="D40" s="92" t="e">
        <f>'Strom - Flows'!D14</f>
        <v>#N/A</v>
      </c>
      <c r="E40" s="92" t="e">
        <f>'Strom - Flows'!E14</f>
        <v>#N/A</v>
      </c>
      <c r="F40" s="92" t="e">
        <f>'Strom - Flows'!F14</f>
        <v>#N/A</v>
      </c>
      <c r="G40" s="92" t="e">
        <f>'Strom - Flows'!G14</f>
        <v>#N/A</v>
      </c>
      <c r="H40" s="92" t="e">
        <f>'Strom - Flows'!H14</f>
        <v>#N/A</v>
      </c>
      <c r="I40" s="92" t="e">
        <f>'Strom - Flows'!I14</f>
        <v>#N/A</v>
      </c>
      <c r="J40" s="92" t="e">
        <f>'Strom - Flows'!J14</f>
        <v>#N/A</v>
      </c>
      <c r="W40" s="132"/>
      <c r="X40" s="132"/>
      <c r="Y40" s="132"/>
      <c r="Z40" s="132"/>
      <c r="AA40" s="132"/>
      <c r="AB40" s="132"/>
      <c r="AC40" s="132"/>
      <c r="AD40" s="132"/>
    </row>
    <row r="41" spans="1:41" ht="15" thickBot="1" x14ac:dyDescent="0.4">
      <c r="A41" s="40"/>
      <c r="B41" s="92" t="s">
        <v>1427</v>
      </c>
      <c r="C41" s="92" t="e">
        <f>'Strom - Flows'!C15</f>
        <v>#N/A</v>
      </c>
      <c r="D41" s="92" t="e">
        <f>'Strom - Flows'!D15</f>
        <v>#N/A</v>
      </c>
      <c r="E41" s="92" t="e">
        <f>'Strom - Flows'!E15</f>
        <v>#N/A</v>
      </c>
      <c r="F41" s="92" t="e">
        <f>'Strom - Flows'!F15</f>
        <v>#N/A</v>
      </c>
      <c r="G41" s="92" t="e">
        <f>'Strom - Flows'!G15</f>
        <v>#N/A</v>
      </c>
      <c r="H41" s="92" t="e">
        <f>'Strom - Flows'!H15</f>
        <v>#N/A</v>
      </c>
      <c r="I41" s="92" t="e">
        <f>'Strom - Flows'!I15</f>
        <v>#N/A</v>
      </c>
      <c r="J41" s="92" t="e">
        <f>'Strom - Flows'!J15</f>
        <v>#N/A</v>
      </c>
    </row>
    <row r="42" spans="1:41" x14ac:dyDescent="0.35">
      <c r="A42" s="40"/>
      <c r="B42" s="92" t="s">
        <v>1209</v>
      </c>
      <c r="C42" s="92" t="e">
        <f>'Strom - Flows'!C16</f>
        <v>#N/A</v>
      </c>
      <c r="D42" s="92" t="e">
        <f>'Strom - Flows'!D16</f>
        <v>#N/A</v>
      </c>
      <c r="E42" s="92" t="e">
        <f>'Strom - Flows'!E16</f>
        <v>#N/A</v>
      </c>
      <c r="F42" s="92" t="e">
        <f>'Strom - Flows'!F16</f>
        <v>#N/A</v>
      </c>
      <c r="G42" s="92" t="e">
        <f>'Strom - Flows'!G16</f>
        <v>#N/A</v>
      </c>
      <c r="H42" s="92" t="e">
        <f>'Strom - Flows'!H16</f>
        <v>#N/A</v>
      </c>
      <c r="I42" s="92" t="e">
        <f>'Strom - Flows'!I16</f>
        <v>#N/A</v>
      </c>
      <c r="J42" s="92" t="e">
        <f>'Strom - Flows'!J16</f>
        <v>#N/A</v>
      </c>
      <c r="M42" s="91" t="s">
        <v>1162</v>
      </c>
      <c r="N42" s="89">
        <v>2</v>
      </c>
      <c r="O42" s="89">
        <v>3</v>
      </c>
      <c r="P42" s="89">
        <v>4</v>
      </c>
      <c r="Q42" s="89">
        <v>5</v>
      </c>
      <c r="R42" s="89">
        <v>6</v>
      </c>
      <c r="S42" s="89">
        <v>7</v>
      </c>
      <c r="T42" s="89">
        <v>8</v>
      </c>
      <c r="U42" s="89">
        <v>9</v>
      </c>
      <c r="W42" s="91" t="s">
        <v>1162</v>
      </c>
      <c r="X42" s="89">
        <v>3</v>
      </c>
      <c r="Y42" s="89">
        <v>4</v>
      </c>
      <c r="Z42" s="89">
        <v>5</v>
      </c>
      <c r="AA42" s="89">
        <v>6</v>
      </c>
      <c r="AB42" s="89">
        <v>7</v>
      </c>
      <c r="AC42" s="89">
        <v>8</v>
      </c>
      <c r="AD42" s="89">
        <v>9</v>
      </c>
      <c r="AO42" s="24"/>
    </row>
    <row r="43" spans="1:41" x14ac:dyDescent="0.35">
      <c r="A43" s="40"/>
      <c r="B43" s="92" t="s">
        <v>1162</v>
      </c>
      <c r="C43" s="92" t="e">
        <f>'Strom - Flows'!C17</f>
        <v>#N/A</v>
      </c>
      <c r="D43" s="92" t="e">
        <f>'Strom - Flows'!D17</f>
        <v>#N/A</v>
      </c>
      <c r="E43" s="92" t="e">
        <f>'Strom - Flows'!E17</f>
        <v>#N/A</v>
      </c>
      <c r="F43" s="92" t="e">
        <f>'Strom - Flows'!F17</f>
        <v>#N/A</v>
      </c>
      <c r="G43" s="92" t="e">
        <f>'Strom - Flows'!G17</f>
        <v>#N/A</v>
      </c>
      <c r="H43" s="92" t="e">
        <f>'Strom - Flows'!H17</f>
        <v>#N/A</v>
      </c>
      <c r="I43" s="92" t="e">
        <f>'Strom - Flows'!I17</f>
        <v>#N/A</v>
      </c>
      <c r="J43" s="92" t="e">
        <f>'Strom - Flows'!J17</f>
        <v>#N/A</v>
      </c>
      <c r="M43" s="40"/>
      <c r="N43" s="133" t="s">
        <v>1417</v>
      </c>
      <c r="O43" s="133">
        <v>2020</v>
      </c>
      <c r="P43" s="133">
        <v>2025</v>
      </c>
      <c r="Q43" s="133">
        <v>2030</v>
      </c>
      <c r="R43" s="133">
        <v>2035</v>
      </c>
      <c r="S43" s="133">
        <v>2040</v>
      </c>
      <c r="T43" s="133">
        <v>2045</v>
      </c>
      <c r="U43" s="133">
        <v>2050</v>
      </c>
      <c r="W43" s="40"/>
      <c r="X43" s="133">
        <v>2020</v>
      </c>
      <c r="Y43" s="133">
        <v>2025</v>
      </c>
      <c r="Z43" s="133">
        <v>2030</v>
      </c>
      <c r="AA43" s="133">
        <v>2035</v>
      </c>
      <c r="AB43" s="133">
        <v>2040</v>
      </c>
      <c r="AC43" s="133">
        <v>2045</v>
      </c>
      <c r="AD43" s="133">
        <v>2050</v>
      </c>
    </row>
    <row r="44" spans="1:41" x14ac:dyDescent="0.35">
      <c r="A44" s="40"/>
      <c r="B44" s="92" t="s">
        <v>1208</v>
      </c>
      <c r="C44" s="92" t="e">
        <f>'Strom - Flows'!C18</f>
        <v>#N/A</v>
      </c>
      <c r="D44" s="92" t="e">
        <f>'Strom - Flows'!D18</f>
        <v>#N/A</v>
      </c>
      <c r="E44" s="92" t="e">
        <f>'Strom - Flows'!E18</f>
        <v>#N/A</v>
      </c>
      <c r="F44" s="92" t="e">
        <f>'Strom - Flows'!F18</f>
        <v>#N/A</v>
      </c>
      <c r="G44" s="92" t="e">
        <f>'Strom - Flows'!G18</f>
        <v>#N/A</v>
      </c>
      <c r="H44" s="92" t="e">
        <f>'Strom - Flows'!H18</f>
        <v>#N/A</v>
      </c>
      <c r="I44" s="92" t="e">
        <f>'Strom - Flows'!I18</f>
        <v>#N/A</v>
      </c>
      <c r="J44" s="92" t="e">
        <f>'Strom - Flows'!J18</f>
        <v>#N/A</v>
      </c>
      <c r="L44" s="190" t="s">
        <v>1673</v>
      </c>
      <c r="M44" s="40" t="s">
        <v>1673</v>
      </c>
      <c r="N44" s="92" t="e">
        <f t="shared" ref="N44:U44" si="21">C49+C50+C51</f>
        <v>#N/A</v>
      </c>
      <c r="O44" s="92" t="e">
        <f t="shared" si="21"/>
        <v>#N/A</v>
      </c>
      <c r="P44" s="92" t="e">
        <f t="shared" si="21"/>
        <v>#N/A</v>
      </c>
      <c r="Q44" s="92" t="e">
        <f t="shared" si="21"/>
        <v>#N/A</v>
      </c>
      <c r="R44" s="92" t="e">
        <f t="shared" si="21"/>
        <v>#N/A</v>
      </c>
      <c r="S44" s="92" t="e">
        <f t="shared" si="21"/>
        <v>#N/A</v>
      </c>
      <c r="T44" s="92" t="e">
        <f t="shared" si="21"/>
        <v>#N/A</v>
      </c>
      <c r="U44" s="92" t="e">
        <f t="shared" si="21"/>
        <v>#N/A</v>
      </c>
      <c r="W44" s="40" t="s">
        <v>1673</v>
      </c>
      <c r="X44" s="97">
        <v>0</v>
      </c>
      <c r="Y44" s="97" t="e">
        <f t="shared" ref="Y44:AD47" si="22">P44/SUM(P$44:P$47)</f>
        <v>#N/A</v>
      </c>
      <c r="Z44" s="97" t="e">
        <f t="shared" si="22"/>
        <v>#N/A</v>
      </c>
      <c r="AA44" s="97" t="e">
        <f t="shared" si="22"/>
        <v>#N/A</v>
      </c>
      <c r="AB44" s="97" t="e">
        <f t="shared" si="22"/>
        <v>#N/A</v>
      </c>
      <c r="AC44" s="97" t="e">
        <f t="shared" si="22"/>
        <v>#N/A</v>
      </c>
      <c r="AD44" s="97" t="e">
        <f t="shared" si="22"/>
        <v>#N/A</v>
      </c>
    </row>
    <row r="45" spans="1:41" x14ac:dyDescent="0.35">
      <c r="A45" s="40"/>
      <c r="B45" s="92" t="s">
        <v>1673</v>
      </c>
      <c r="C45" s="92" t="e">
        <f>'Strom - Flows'!C19</f>
        <v>#N/A</v>
      </c>
      <c r="D45" s="92" t="e">
        <f>'Strom - Flows'!D19</f>
        <v>#N/A</v>
      </c>
      <c r="E45" s="92" t="e">
        <f>'Strom - Flows'!E19</f>
        <v>#N/A</v>
      </c>
      <c r="F45" s="92" t="e">
        <f>'Strom - Flows'!F19</f>
        <v>#N/A</v>
      </c>
      <c r="G45" s="92" t="e">
        <f>'Strom - Flows'!G19</f>
        <v>#N/A</v>
      </c>
      <c r="H45" s="92" t="e">
        <f>'Strom - Flows'!H19</f>
        <v>#N/A</v>
      </c>
      <c r="I45" s="92" t="e">
        <f>'Strom - Flows'!I19</f>
        <v>#N/A</v>
      </c>
      <c r="J45" s="92" t="e">
        <f>'Strom - Flows'!J19</f>
        <v>#N/A</v>
      </c>
      <c r="L45" s="365" t="s">
        <v>1503</v>
      </c>
      <c r="M45" s="40" t="s">
        <v>1503</v>
      </c>
      <c r="N45" s="92" t="e">
        <f t="shared" ref="N45:U45" si="23">SUM(C52:C54)</f>
        <v>#N/A</v>
      </c>
      <c r="O45" s="92" t="e">
        <f t="shared" si="23"/>
        <v>#N/A</v>
      </c>
      <c r="P45" s="92" t="e">
        <f t="shared" si="23"/>
        <v>#N/A</v>
      </c>
      <c r="Q45" s="92" t="e">
        <f t="shared" si="23"/>
        <v>#N/A</v>
      </c>
      <c r="R45" s="92" t="e">
        <f t="shared" si="23"/>
        <v>#N/A</v>
      </c>
      <c r="S45" s="92" t="e">
        <f t="shared" si="23"/>
        <v>#N/A</v>
      </c>
      <c r="T45" s="92" t="e">
        <f t="shared" si="23"/>
        <v>#N/A</v>
      </c>
      <c r="U45" s="92" t="e">
        <f t="shared" si="23"/>
        <v>#N/A</v>
      </c>
      <c r="W45" s="40" t="s">
        <v>1503</v>
      </c>
      <c r="X45" s="97">
        <v>0</v>
      </c>
      <c r="Y45" s="97" t="e">
        <f t="shared" si="22"/>
        <v>#N/A</v>
      </c>
      <c r="Z45" s="97" t="e">
        <f t="shared" si="22"/>
        <v>#N/A</v>
      </c>
      <c r="AA45" s="97" t="e">
        <f t="shared" si="22"/>
        <v>#N/A</v>
      </c>
      <c r="AB45" s="97" t="e">
        <f t="shared" si="22"/>
        <v>#N/A</v>
      </c>
      <c r="AC45" s="97" t="e">
        <f t="shared" si="22"/>
        <v>#N/A</v>
      </c>
      <c r="AD45" s="97" t="e">
        <f t="shared" si="22"/>
        <v>#N/A</v>
      </c>
    </row>
    <row r="46" spans="1:41" ht="15" thickBot="1" x14ac:dyDescent="0.4">
      <c r="A46" s="40"/>
      <c r="B46" s="92"/>
      <c r="C46" s="92"/>
      <c r="D46" s="92"/>
      <c r="E46" s="92"/>
      <c r="F46" s="92"/>
      <c r="G46" s="92"/>
      <c r="H46" s="92"/>
      <c r="I46" s="92"/>
      <c r="J46" s="92"/>
      <c r="L46" s="365" t="s">
        <v>1504</v>
      </c>
      <c r="M46" s="40" t="s">
        <v>1504</v>
      </c>
      <c r="N46" s="92" t="e">
        <f t="shared" ref="N46:U46" si="24">SUM(C55:C56)</f>
        <v>#N/A</v>
      </c>
      <c r="O46" s="92" t="e">
        <f t="shared" si="24"/>
        <v>#N/A</v>
      </c>
      <c r="P46" s="92" t="e">
        <f t="shared" si="24"/>
        <v>#N/A</v>
      </c>
      <c r="Q46" s="92" t="e">
        <f t="shared" si="24"/>
        <v>#N/A</v>
      </c>
      <c r="R46" s="92" t="e">
        <f t="shared" si="24"/>
        <v>#N/A</v>
      </c>
      <c r="S46" s="92" t="e">
        <f t="shared" si="24"/>
        <v>#N/A</v>
      </c>
      <c r="T46" s="92" t="e">
        <f t="shared" si="24"/>
        <v>#N/A</v>
      </c>
      <c r="U46" s="92" t="e">
        <f t="shared" si="24"/>
        <v>#N/A</v>
      </c>
      <c r="W46" s="40" t="s">
        <v>1504</v>
      </c>
      <c r="X46" s="97">
        <v>0</v>
      </c>
      <c r="Y46" s="97" t="e">
        <f t="shared" si="22"/>
        <v>#N/A</v>
      </c>
      <c r="Z46" s="97" t="e">
        <f t="shared" si="22"/>
        <v>#N/A</v>
      </c>
      <c r="AA46" s="97" t="e">
        <f t="shared" si="22"/>
        <v>#N/A</v>
      </c>
      <c r="AB46" s="97" t="e">
        <f t="shared" si="22"/>
        <v>#N/A</v>
      </c>
      <c r="AC46" s="97" t="e">
        <f t="shared" si="22"/>
        <v>#N/A</v>
      </c>
      <c r="AD46" s="97" t="e">
        <f t="shared" si="22"/>
        <v>#N/A</v>
      </c>
    </row>
    <row r="47" spans="1:41" x14ac:dyDescent="0.35">
      <c r="A47" s="40"/>
      <c r="B47" s="102" t="s">
        <v>1162</v>
      </c>
      <c r="C47" s="89">
        <v>2</v>
      </c>
      <c r="D47" s="89">
        <v>3</v>
      </c>
      <c r="E47" s="89">
        <v>4</v>
      </c>
      <c r="F47" s="89">
        <v>5</v>
      </c>
      <c r="G47" s="89">
        <v>6</v>
      </c>
      <c r="H47" s="89">
        <v>7</v>
      </c>
      <c r="I47" s="89">
        <v>8</v>
      </c>
      <c r="J47" s="89">
        <v>9</v>
      </c>
      <c r="L47" s="365" t="s">
        <v>1505</v>
      </c>
      <c r="M47" s="40" t="s">
        <v>1505</v>
      </c>
      <c r="N47" s="92" t="e">
        <f t="shared" ref="N47:U47" si="25">SUM(C57:C58)</f>
        <v>#N/A</v>
      </c>
      <c r="O47" s="92" t="e">
        <f t="shared" si="25"/>
        <v>#N/A</v>
      </c>
      <c r="P47" s="92" t="e">
        <f t="shared" si="25"/>
        <v>#N/A</v>
      </c>
      <c r="Q47" s="92" t="e">
        <f t="shared" si="25"/>
        <v>#N/A</v>
      </c>
      <c r="R47" s="92" t="e">
        <f t="shared" si="25"/>
        <v>#N/A</v>
      </c>
      <c r="S47" s="92" t="e">
        <f t="shared" si="25"/>
        <v>#N/A</v>
      </c>
      <c r="T47" s="92" t="e">
        <f t="shared" si="25"/>
        <v>#N/A</v>
      </c>
      <c r="U47" s="92" t="e">
        <f t="shared" si="25"/>
        <v>#N/A</v>
      </c>
      <c r="W47" s="40" t="s">
        <v>1505</v>
      </c>
      <c r="X47" s="97">
        <v>0</v>
      </c>
      <c r="Y47" s="97" t="e">
        <f t="shared" si="22"/>
        <v>#N/A</v>
      </c>
      <c r="Z47" s="97" t="e">
        <f t="shared" si="22"/>
        <v>#N/A</v>
      </c>
      <c r="AA47" s="97" t="e">
        <f t="shared" si="22"/>
        <v>#N/A</v>
      </c>
      <c r="AB47" s="97" t="e">
        <f t="shared" si="22"/>
        <v>#N/A</v>
      </c>
      <c r="AC47" s="97" t="e">
        <f t="shared" si="22"/>
        <v>#N/A</v>
      </c>
      <c r="AD47" s="97" t="e">
        <f t="shared" si="22"/>
        <v>#N/A</v>
      </c>
    </row>
    <row r="48" spans="1:41" x14ac:dyDescent="0.35">
      <c r="A48" s="40" t="s">
        <v>1415</v>
      </c>
      <c r="B48" s="92"/>
      <c r="C48" s="133" t="s">
        <v>1417</v>
      </c>
      <c r="D48" s="133">
        <v>2020</v>
      </c>
      <c r="E48" s="133">
        <v>2025</v>
      </c>
      <c r="F48" s="133">
        <v>2030</v>
      </c>
      <c r="G48" s="133">
        <v>2035</v>
      </c>
      <c r="H48" s="133">
        <v>2040</v>
      </c>
      <c r="I48" s="133">
        <v>2045</v>
      </c>
      <c r="J48" s="133">
        <v>2050</v>
      </c>
      <c r="L48" s="365" t="s">
        <v>2701</v>
      </c>
      <c r="M48" s="137" t="s">
        <v>2701</v>
      </c>
      <c r="N48" s="92">
        <f t="shared" ref="N48:U48" si="26">C60</f>
        <v>0</v>
      </c>
      <c r="O48" s="92">
        <f t="shared" si="26"/>
        <v>0</v>
      </c>
      <c r="P48" s="92">
        <f t="shared" si="26"/>
        <v>0</v>
      </c>
      <c r="Q48" s="92">
        <f t="shared" si="26"/>
        <v>0</v>
      </c>
      <c r="R48" s="92">
        <f t="shared" si="26"/>
        <v>0</v>
      </c>
      <c r="S48" s="92">
        <f t="shared" si="26"/>
        <v>0</v>
      </c>
      <c r="T48" s="92">
        <f t="shared" si="26"/>
        <v>0</v>
      </c>
      <c r="U48" s="92">
        <f t="shared" si="26"/>
        <v>0</v>
      </c>
      <c r="W48" s="134" t="s">
        <v>2701</v>
      </c>
      <c r="X48" s="385">
        <v>0</v>
      </c>
      <c r="Y48" s="385" t="e">
        <f t="shared" ref="Y48:AD48" si="27">P48/SUM(P44:P48)</f>
        <v>#N/A</v>
      </c>
      <c r="Z48" s="385" t="e">
        <f t="shared" si="27"/>
        <v>#N/A</v>
      </c>
      <c r="AA48" s="385" t="e">
        <f t="shared" si="27"/>
        <v>#N/A</v>
      </c>
      <c r="AB48" s="385" t="e">
        <f t="shared" si="27"/>
        <v>#N/A</v>
      </c>
      <c r="AC48" s="385" t="e">
        <f t="shared" si="27"/>
        <v>#N/A</v>
      </c>
      <c r="AD48" s="385" t="e">
        <f t="shared" si="27"/>
        <v>#N/A</v>
      </c>
    </row>
    <row r="49" spans="1:30" x14ac:dyDescent="0.35">
      <c r="A49" s="40" t="s">
        <v>771</v>
      </c>
      <c r="B49" s="92" t="s">
        <v>1502</v>
      </c>
      <c r="C49" s="92" t="e">
        <f>VLOOKUP($A49,flows!$A$2:$J$4985,C$2,FALSE)</f>
        <v>#N/A</v>
      </c>
      <c r="D49" s="92" t="e">
        <f>VLOOKUP($A49,flows!$A$2:$J$4985,D$2,FALSE)</f>
        <v>#N/A</v>
      </c>
      <c r="E49" s="92" t="e">
        <f>VLOOKUP($A49,flows!$A$2:$J$4985,E$2,FALSE)</f>
        <v>#N/A</v>
      </c>
      <c r="F49" s="92" t="e">
        <f>VLOOKUP($A49,flows!$A$2:$J$4985,F$2,FALSE)</f>
        <v>#N/A</v>
      </c>
      <c r="G49" s="92" t="e">
        <f>VLOOKUP($A49,flows!$A$2:$J$4985,G$2,FALSE)</f>
        <v>#N/A</v>
      </c>
      <c r="H49" s="92" t="e">
        <f>VLOOKUP($A49,flows!$A$2:$J$4985,H$2,FALSE)</f>
        <v>#N/A</v>
      </c>
      <c r="I49" s="92" t="e">
        <f>VLOOKUP($A49,flows!$A$2:$J$4985,I$2,FALSE)</f>
        <v>#N/A</v>
      </c>
      <c r="J49" s="92" t="e">
        <f>VLOOKUP($A49,flows!$A$2:$J$4985,J$2,FALSE)</f>
        <v>#N/A</v>
      </c>
      <c r="W49" s="92"/>
      <c r="X49" s="92"/>
      <c r="Y49" s="92"/>
      <c r="Z49" s="92"/>
      <c r="AA49" s="92"/>
      <c r="AB49" s="92"/>
      <c r="AC49" s="92"/>
      <c r="AD49" s="92"/>
    </row>
    <row r="50" spans="1:30" x14ac:dyDescent="0.35">
      <c r="A50" s="40" t="s">
        <v>4224</v>
      </c>
      <c r="B50" s="92" t="s">
        <v>1502</v>
      </c>
      <c r="C50" s="92" t="e">
        <f>VLOOKUP($A50,flows!$A$2:$J$4985,C$2,FALSE)</f>
        <v>#N/A</v>
      </c>
      <c r="D50" s="92" t="e">
        <f>VLOOKUP($A50,flows!$A$2:$J$4985,D$2,FALSE)</f>
        <v>#N/A</v>
      </c>
      <c r="E50" s="92" t="e">
        <f>VLOOKUP($A50,flows!$A$2:$J$4985,E$2,FALSE)</f>
        <v>#N/A</v>
      </c>
      <c r="F50" s="92" t="e">
        <f>VLOOKUP($A50,flows!$A$2:$J$4985,F$2,FALSE)</f>
        <v>#N/A</v>
      </c>
      <c r="G50" s="92" t="e">
        <f>VLOOKUP($A50,flows!$A$2:$J$4985,G$2,FALSE)</f>
        <v>#N/A</v>
      </c>
      <c r="H50" s="92" t="e">
        <f>VLOOKUP($A50,flows!$A$2:$J$4985,H$2,FALSE)</f>
        <v>#N/A</v>
      </c>
      <c r="I50" s="92" t="e">
        <f>VLOOKUP($A50,flows!$A$2:$J$4985,I$2,FALSE)</f>
        <v>#N/A</v>
      </c>
      <c r="J50" s="92" t="e">
        <f>VLOOKUP($A50,flows!$A$2:$J$4985,J$2,FALSE)</f>
        <v>#N/A</v>
      </c>
      <c r="W50" s="92"/>
      <c r="X50" s="92"/>
      <c r="Y50" s="92"/>
      <c r="Z50" s="92"/>
      <c r="AA50" s="92"/>
      <c r="AB50" s="92"/>
      <c r="AC50" s="92"/>
      <c r="AD50" s="92"/>
    </row>
    <row r="51" spans="1:30" x14ac:dyDescent="0.35">
      <c r="A51" s="40" t="s">
        <v>4225</v>
      </c>
      <c r="B51" s="92" t="s">
        <v>1502</v>
      </c>
      <c r="C51" s="92" t="e">
        <f>VLOOKUP($A51,flows!$A$2:$J$4985,C$2,FALSE)</f>
        <v>#N/A</v>
      </c>
      <c r="D51" s="92" t="e">
        <f>VLOOKUP($A51,flows!$A$2:$J$4985,D$2,FALSE)</f>
        <v>#N/A</v>
      </c>
      <c r="E51" s="92" t="e">
        <f>VLOOKUP($A51,flows!$A$2:$J$4985,E$2,FALSE)</f>
        <v>#N/A</v>
      </c>
      <c r="F51" s="92" t="e">
        <f>VLOOKUP($A51,flows!$A$2:$J$4985,F$2,FALSE)</f>
        <v>#N/A</v>
      </c>
      <c r="G51" s="92" t="e">
        <f>VLOOKUP($A51,flows!$A$2:$J$4985,G$2,FALSE)</f>
        <v>#N/A</v>
      </c>
      <c r="H51" s="92" t="e">
        <f>VLOOKUP($A51,flows!$A$2:$J$4985,H$2,FALSE)</f>
        <v>#N/A</v>
      </c>
      <c r="I51" s="92" t="e">
        <f>VLOOKUP($A51,flows!$A$2:$J$4985,I$2,FALSE)</f>
        <v>#N/A</v>
      </c>
      <c r="J51" s="92" t="e">
        <f>VLOOKUP($A51,flows!$A$2:$J$4985,J$2,FALSE)</f>
        <v>#N/A</v>
      </c>
      <c r="W51" s="92"/>
      <c r="X51" s="92"/>
      <c r="Y51" s="92"/>
      <c r="Z51" s="92"/>
      <c r="AA51" s="92"/>
      <c r="AB51" s="92"/>
      <c r="AC51" s="92"/>
      <c r="AD51" s="92"/>
    </row>
    <row r="52" spans="1:30" x14ac:dyDescent="0.35">
      <c r="A52" s="40" t="s">
        <v>877</v>
      </c>
      <c r="B52" s="92" t="s">
        <v>1503</v>
      </c>
      <c r="C52" s="92" t="e">
        <f>VLOOKUP($A52,flows!$A$2:$J$4985,C$2,FALSE)</f>
        <v>#N/A</v>
      </c>
      <c r="D52" s="92" t="e">
        <f>VLOOKUP($A52,flows!$A$2:$J$4985,D$2,FALSE)</f>
        <v>#N/A</v>
      </c>
      <c r="E52" s="92" t="e">
        <f>VLOOKUP($A52,flows!$A$2:$J$4985,E$2,FALSE)</f>
        <v>#N/A</v>
      </c>
      <c r="F52" s="92" t="e">
        <f>VLOOKUP($A52,flows!$A$2:$J$4985,F$2,FALSE)</f>
        <v>#N/A</v>
      </c>
      <c r="G52" s="92" t="e">
        <f>VLOOKUP($A52,flows!$A$2:$J$4985,G$2,FALSE)</f>
        <v>#N/A</v>
      </c>
      <c r="H52" s="92" t="e">
        <f>VLOOKUP($A52,flows!$A$2:$J$4985,H$2,FALSE)</f>
        <v>#N/A</v>
      </c>
      <c r="I52" s="92" t="e">
        <f>VLOOKUP($A52,flows!$A$2:$J$4985,I$2,FALSE)</f>
        <v>#N/A</v>
      </c>
      <c r="J52" s="92" t="e">
        <f>VLOOKUP($A52,flows!$A$2:$J$4985,J$2,FALSE)</f>
        <v>#N/A</v>
      </c>
      <c r="W52" s="92"/>
      <c r="X52" s="92"/>
      <c r="Y52" s="92"/>
      <c r="Z52" s="92"/>
      <c r="AA52" s="92"/>
      <c r="AB52" s="92"/>
      <c r="AC52" s="92"/>
      <c r="AD52" s="92"/>
    </row>
    <row r="53" spans="1:30" ht="15" thickBot="1" x14ac:dyDescent="0.4">
      <c r="A53" s="40" t="s">
        <v>1043</v>
      </c>
      <c r="B53" s="92" t="s">
        <v>1503</v>
      </c>
      <c r="C53" s="92" t="e">
        <f>VLOOKUP($A53,flows!$A$2:$J$4985,C$2,FALSE)</f>
        <v>#N/A</v>
      </c>
      <c r="D53" s="92" t="e">
        <f>VLOOKUP($A53,flows!$A$2:$J$4985,D$2,FALSE)</f>
        <v>#N/A</v>
      </c>
      <c r="E53" s="92" t="e">
        <f>VLOOKUP($A53,flows!$A$2:$J$4985,E$2,FALSE)</f>
        <v>#N/A</v>
      </c>
      <c r="F53" s="92" t="e">
        <f>VLOOKUP($A53,flows!$A$2:$J$4985,F$2,FALSE)</f>
        <v>#N/A</v>
      </c>
      <c r="G53" s="92" t="e">
        <f>VLOOKUP($A53,flows!$A$2:$J$4985,G$2,FALSE)</f>
        <v>#N/A</v>
      </c>
      <c r="H53" s="92" t="e">
        <f>VLOOKUP($A53,flows!$A$2:$J$4985,H$2,FALSE)</f>
        <v>#N/A</v>
      </c>
      <c r="I53" s="92" t="e">
        <f>VLOOKUP($A53,flows!$A$2:$J$4985,I$2,FALSE)</f>
        <v>#N/A</v>
      </c>
      <c r="J53" s="92" t="e">
        <f>VLOOKUP($A53,flows!$A$2:$J$4985,J$2,FALSE)</f>
        <v>#N/A</v>
      </c>
      <c r="W53" s="92"/>
      <c r="X53" s="92"/>
      <c r="Y53" s="92"/>
      <c r="Z53" s="92"/>
      <c r="AA53" s="92"/>
      <c r="AB53" s="92"/>
      <c r="AC53" s="92"/>
      <c r="AD53" s="92"/>
    </row>
    <row r="54" spans="1:30" x14ac:dyDescent="0.35">
      <c r="A54" s="40" t="s">
        <v>1048</v>
      </c>
      <c r="B54" s="92" t="s">
        <v>1503</v>
      </c>
      <c r="C54" s="92">
        <f>IFERROR(VLOOKUP($A54,flows!$A$2:$J$4985,C$2,FALSE),0)</f>
        <v>0</v>
      </c>
      <c r="D54" s="92">
        <f>IFERROR(VLOOKUP($A54,flows!$A$2:$J$4985,D$2,FALSE),0)</f>
        <v>0</v>
      </c>
      <c r="E54" s="92">
        <f>IFERROR(VLOOKUP($A54,flows!$A$2:$J$4985,E$2,FALSE),0)</f>
        <v>0</v>
      </c>
      <c r="F54" s="92">
        <f>IFERROR(VLOOKUP($A54,flows!$A$2:$J$4985,F$2,FALSE),0)</f>
        <v>0</v>
      </c>
      <c r="G54" s="92">
        <f>IFERROR(VLOOKUP($A54,flows!$A$2:$J$4985,G$2,FALSE),0)</f>
        <v>0</v>
      </c>
      <c r="H54" s="92">
        <f>IFERROR(VLOOKUP($A54,flows!$A$2:$J$4985,H$2,FALSE),0)</f>
        <v>0</v>
      </c>
      <c r="I54" s="92">
        <f>IFERROR(VLOOKUP($A54,flows!$A$2:$J$4985,I$2,FALSE),0)</f>
        <v>0</v>
      </c>
      <c r="J54" s="92">
        <f>IFERROR(VLOOKUP($A54,flows!$A$2:$J$4985,J$2,FALSE),0)</f>
        <v>0</v>
      </c>
      <c r="M54" s="91" t="s">
        <v>1318</v>
      </c>
      <c r="N54" s="89">
        <v>2</v>
      </c>
      <c r="O54" s="89">
        <v>3</v>
      </c>
      <c r="P54" s="89">
        <v>4</v>
      </c>
      <c r="Q54" s="89">
        <v>5</v>
      </c>
      <c r="R54" s="89">
        <v>6</v>
      </c>
      <c r="S54" s="89">
        <v>7</v>
      </c>
      <c r="T54" s="89">
        <v>8</v>
      </c>
      <c r="U54" s="89">
        <v>9</v>
      </c>
      <c r="W54" s="91" t="s">
        <v>1318</v>
      </c>
      <c r="X54" s="89">
        <v>3</v>
      </c>
      <c r="Y54" s="89">
        <v>4</v>
      </c>
      <c r="Z54" s="89">
        <v>5</v>
      </c>
      <c r="AA54" s="89">
        <v>6</v>
      </c>
      <c r="AB54" s="89">
        <v>7</v>
      </c>
      <c r="AC54" s="89">
        <v>8</v>
      </c>
      <c r="AD54" s="89">
        <v>9</v>
      </c>
    </row>
    <row r="55" spans="1:30" x14ac:dyDescent="0.35">
      <c r="A55" s="40" t="s">
        <v>1072</v>
      </c>
      <c r="B55" s="92" t="s">
        <v>1504</v>
      </c>
      <c r="C55" s="92" t="e">
        <f>VLOOKUP($A55,flows!$A$2:$J$4985,C$2,FALSE)</f>
        <v>#N/A</v>
      </c>
      <c r="D55" s="92" t="e">
        <f>VLOOKUP($A55,flows!$A$2:$J$4985,D$2,FALSE)</f>
        <v>#N/A</v>
      </c>
      <c r="E55" s="92" t="e">
        <f>VLOOKUP($A55,flows!$A$2:$J$4985,E$2,FALSE)</f>
        <v>#N/A</v>
      </c>
      <c r="F55" s="92" t="e">
        <f>VLOOKUP($A55,flows!$A$2:$J$4985,F$2,FALSE)</f>
        <v>#N/A</v>
      </c>
      <c r="G55" s="92" t="e">
        <f>VLOOKUP($A55,flows!$A$2:$J$4985,G$2,FALSE)</f>
        <v>#N/A</v>
      </c>
      <c r="H55" s="92" t="e">
        <f>VLOOKUP($A55,flows!$A$2:$J$4985,H$2,FALSE)</f>
        <v>#N/A</v>
      </c>
      <c r="I55" s="92" t="e">
        <f>VLOOKUP($A55,flows!$A$2:$J$4985,I$2,FALSE)</f>
        <v>#N/A</v>
      </c>
      <c r="J55" s="92" t="e">
        <f>VLOOKUP($A55,flows!$A$2:$J$4985,J$2,FALSE)</f>
        <v>#N/A</v>
      </c>
      <c r="M55" s="40"/>
      <c r="N55" s="133" t="s">
        <v>1417</v>
      </c>
      <c r="O55" s="133">
        <v>2020</v>
      </c>
      <c r="P55" s="133">
        <v>2025</v>
      </c>
      <c r="Q55" s="133">
        <v>2030</v>
      </c>
      <c r="R55" s="133">
        <v>2035</v>
      </c>
      <c r="S55" s="133">
        <v>2040</v>
      </c>
      <c r="T55" s="133">
        <v>2045</v>
      </c>
      <c r="U55" s="133">
        <v>2050</v>
      </c>
      <c r="W55" s="40"/>
      <c r="X55" s="133">
        <v>2020</v>
      </c>
      <c r="Y55" s="133">
        <v>2025</v>
      </c>
      <c r="Z55" s="133">
        <v>2030</v>
      </c>
      <c r="AA55" s="133">
        <v>2035</v>
      </c>
      <c r="AB55" s="133">
        <v>2040</v>
      </c>
      <c r="AC55" s="133">
        <v>2045</v>
      </c>
      <c r="AD55" s="133">
        <v>2050</v>
      </c>
    </row>
    <row r="56" spans="1:30" x14ac:dyDescent="0.35">
      <c r="A56" s="40" t="s">
        <v>1136</v>
      </c>
      <c r="B56" s="92" t="s">
        <v>1504</v>
      </c>
      <c r="C56" s="92" t="e">
        <f>VLOOKUP($A56,flows!$A$2:$J$4985,C$2,FALSE)</f>
        <v>#N/A</v>
      </c>
      <c r="D56" s="92" t="e">
        <f>VLOOKUP($A56,flows!$A$2:$J$4985,D$2,FALSE)</f>
        <v>#N/A</v>
      </c>
      <c r="E56" s="92" t="e">
        <f>VLOOKUP($A56,flows!$A$2:$J$4985,E$2,FALSE)</f>
        <v>#N/A</v>
      </c>
      <c r="F56" s="92" t="e">
        <f>VLOOKUP($A56,flows!$A$2:$J$4985,F$2,FALSE)</f>
        <v>#N/A</v>
      </c>
      <c r="G56" s="92" t="e">
        <f>VLOOKUP($A56,flows!$A$2:$J$4985,G$2,FALSE)</f>
        <v>#N/A</v>
      </c>
      <c r="H56" s="92" t="e">
        <f>VLOOKUP($A56,flows!$A$2:$J$4985,H$2,FALSE)</f>
        <v>#N/A</v>
      </c>
      <c r="I56" s="92" t="e">
        <f>VLOOKUP($A56,flows!$A$2:$J$4985,I$2,FALSE)</f>
        <v>#N/A</v>
      </c>
      <c r="J56" s="92" t="e">
        <f>VLOOKUP($A56,flows!$A$2:$J$4985,J$2,FALSE)</f>
        <v>#N/A</v>
      </c>
      <c r="L56" s="190" t="s">
        <v>1575</v>
      </c>
      <c r="M56" s="40" t="s">
        <v>1318</v>
      </c>
      <c r="N56" s="92" t="e">
        <f t="shared" ref="N56:U56" si="28">SUM(C68:C70)-C77-C78</f>
        <v>#N/A</v>
      </c>
      <c r="O56" s="92" t="e">
        <f t="shared" si="28"/>
        <v>#N/A</v>
      </c>
      <c r="P56" s="92" t="e">
        <f t="shared" si="28"/>
        <v>#N/A</v>
      </c>
      <c r="Q56" s="92" t="e">
        <f t="shared" si="28"/>
        <v>#N/A</v>
      </c>
      <c r="R56" s="92" t="e">
        <f t="shared" si="28"/>
        <v>#N/A</v>
      </c>
      <c r="S56" s="92" t="e">
        <f t="shared" si="28"/>
        <v>#N/A</v>
      </c>
      <c r="T56" s="92" t="e">
        <f t="shared" si="28"/>
        <v>#N/A</v>
      </c>
      <c r="U56" s="92" t="e">
        <f t="shared" si="28"/>
        <v>#N/A</v>
      </c>
      <c r="W56" s="40" t="s">
        <v>1318</v>
      </c>
      <c r="X56" s="97" t="e">
        <f t="shared" ref="X56:AD59" si="29">O56/SUM(O$56:O$59)</f>
        <v>#N/A</v>
      </c>
      <c r="Y56" s="97" t="e">
        <f t="shared" si="29"/>
        <v>#N/A</v>
      </c>
      <c r="Z56" s="97" t="e">
        <f t="shared" si="29"/>
        <v>#N/A</v>
      </c>
      <c r="AA56" s="97" t="e">
        <f t="shared" si="29"/>
        <v>#N/A</v>
      </c>
      <c r="AB56" s="97" t="e">
        <f t="shared" si="29"/>
        <v>#N/A</v>
      </c>
      <c r="AC56" s="97" t="e">
        <f t="shared" si="29"/>
        <v>#N/A</v>
      </c>
      <c r="AD56" s="97" t="e">
        <f t="shared" si="29"/>
        <v>#N/A</v>
      </c>
    </row>
    <row r="57" spans="1:30" x14ac:dyDescent="0.35">
      <c r="A57" s="40" t="s">
        <v>4250</v>
      </c>
      <c r="B57" s="92" t="s">
        <v>1505</v>
      </c>
      <c r="C57" s="92" t="e">
        <f>VLOOKUP($A57,flows!$A$2:$J$4985,C$2,FALSE)</f>
        <v>#N/A</v>
      </c>
      <c r="D57" s="92" t="e">
        <f>VLOOKUP($A57,flows!$A$2:$J$4985,D$2,FALSE)</f>
        <v>#N/A</v>
      </c>
      <c r="E57" s="92" t="e">
        <f>VLOOKUP($A57,flows!$A$2:$J$4985,E$2,FALSE)</f>
        <v>#N/A</v>
      </c>
      <c r="F57" s="92" t="e">
        <f>VLOOKUP($A57,flows!$A$2:$J$4985,F$2,FALSE)</f>
        <v>#N/A</v>
      </c>
      <c r="G57" s="92" t="e">
        <f>VLOOKUP($A57,flows!$A$2:$J$4985,G$2,FALSE)</f>
        <v>#N/A</v>
      </c>
      <c r="H57" s="92" t="e">
        <f>VLOOKUP($A57,flows!$A$2:$J$4985,H$2,FALSE)</f>
        <v>#N/A</v>
      </c>
      <c r="I57" s="92" t="e">
        <f>VLOOKUP($A57,flows!$A$2:$J$4985,I$2,FALSE)</f>
        <v>#N/A</v>
      </c>
      <c r="J57" s="92" t="e">
        <f>VLOOKUP($A57,flows!$A$2:$J$4985,J$2,FALSE)</f>
        <v>#N/A</v>
      </c>
      <c r="L57" s="190" t="s">
        <v>1970</v>
      </c>
      <c r="M57" s="40" t="s">
        <v>1506</v>
      </c>
      <c r="N57" s="92" t="e">
        <f>SUM(C71:C73)</f>
        <v>#N/A</v>
      </c>
      <c r="O57" s="92" t="e">
        <f t="shared" ref="O57:U57" si="30">SUM(D71:D73)</f>
        <v>#N/A</v>
      </c>
      <c r="P57" s="92" t="e">
        <f t="shared" si="30"/>
        <v>#N/A</v>
      </c>
      <c r="Q57" s="92" t="e">
        <f t="shared" si="30"/>
        <v>#N/A</v>
      </c>
      <c r="R57" s="92" t="e">
        <f t="shared" si="30"/>
        <v>#N/A</v>
      </c>
      <c r="S57" s="92" t="e">
        <f t="shared" si="30"/>
        <v>#N/A</v>
      </c>
      <c r="T57" s="92" t="e">
        <f t="shared" si="30"/>
        <v>#N/A</v>
      </c>
      <c r="U57" s="92" t="e">
        <f t="shared" si="30"/>
        <v>#N/A</v>
      </c>
      <c r="W57" s="40" t="s">
        <v>1506</v>
      </c>
      <c r="X57" s="97" t="e">
        <f t="shared" si="29"/>
        <v>#N/A</v>
      </c>
      <c r="Y57" s="97" t="e">
        <f t="shared" si="29"/>
        <v>#N/A</v>
      </c>
      <c r="Z57" s="97" t="e">
        <f t="shared" si="29"/>
        <v>#N/A</v>
      </c>
      <c r="AA57" s="97" t="e">
        <f t="shared" si="29"/>
        <v>#N/A</v>
      </c>
      <c r="AB57" s="97" t="e">
        <f t="shared" si="29"/>
        <v>#N/A</v>
      </c>
      <c r="AC57" s="97" t="e">
        <f t="shared" si="29"/>
        <v>#N/A</v>
      </c>
      <c r="AD57" s="97" t="e">
        <f t="shared" si="29"/>
        <v>#N/A</v>
      </c>
    </row>
    <row r="58" spans="1:30" x14ac:dyDescent="0.35">
      <c r="A58" s="40" t="s">
        <v>1045</v>
      </c>
      <c r="B58" s="92" t="s">
        <v>1505</v>
      </c>
      <c r="C58" s="92" t="e">
        <f>VLOOKUP($A58,flows!$A$2:$J$4985,C$2,FALSE)</f>
        <v>#N/A</v>
      </c>
      <c r="D58" s="92" t="e">
        <f>VLOOKUP($A58,flows!$A$2:$J$4985,D$2,FALSE)</f>
        <v>#N/A</v>
      </c>
      <c r="E58" s="92" t="e">
        <f>VLOOKUP($A58,flows!$A$2:$J$4985,E$2,FALSE)</f>
        <v>#N/A</v>
      </c>
      <c r="F58" s="92" t="e">
        <f>VLOOKUP($A58,flows!$A$2:$J$4985,F$2,FALSE)</f>
        <v>#N/A</v>
      </c>
      <c r="G58" s="92" t="e">
        <f>VLOOKUP($A58,flows!$A$2:$J$4985,G$2,FALSE)</f>
        <v>#N/A</v>
      </c>
      <c r="H58" s="92" t="e">
        <f>VLOOKUP($A58,flows!$A$2:$J$4985,H$2,FALSE)</f>
        <v>#N/A</v>
      </c>
      <c r="I58" s="92" t="e">
        <f>VLOOKUP($A58,flows!$A$2:$J$4985,I$2,FALSE)</f>
        <v>#N/A</v>
      </c>
      <c r="J58" s="92" t="e">
        <f>VLOOKUP($A58,flows!$A$2:$J$4985,J$2,FALSE)</f>
        <v>#N/A</v>
      </c>
      <c r="L58" s="190" t="s">
        <v>1971</v>
      </c>
      <c r="M58" s="40" t="s">
        <v>1507</v>
      </c>
      <c r="N58" s="92" t="e">
        <f>SUM(C74:C75)</f>
        <v>#N/A</v>
      </c>
      <c r="O58" s="92">
        <v>0</v>
      </c>
      <c r="P58" s="92" t="e">
        <f t="shared" ref="P58:U58" si="31">SUM(E74:E75)</f>
        <v>#N/A</v>
      </c>
      <c r="Q58" s="92" t="e">
        <f t="shared" si="31"/>
        <v>#N/A</v>
      </c>
      <c r="R58" s="92" t="e">
        <f t="shared" si="31"/>
        <v>#N/A</v>
      </c>
      <c r="S58" s="92" t="e">
        <f t="shared" si="31"/>
        <v>#N/A</v>
      </c>
      <c r="T58" s="92" t="e">
        <f t="shared" si="31"/>
        <v>#N/A</v>
      </c>
      <c r="U58" s="92" t="e">
        <f t="shared" si="31"/>
        <v>#N/A</v>
      </c>
      <c r="V58" s="132"/>
      <c r="W58" s="40" t="s">
        <v>1507</v>
      </c>
      <c r="X58" s="97" t="e">
        <f t="shared" si="29"/>
        <v>#N/A</v>
      </c>
      <c r="Y58" s="97" t="e">
        <f t="shared" si="29"/>
        <v>#N/A</v>
      </c>
      <c r="Z58" s="97" t="e">
        <f t="shared" si="29"/>
        <v>#N/A</v>
      </c>
      <c r="AA58" s="97" t="e">
        <f t="shared" si="29"/>
        <v>#N/A</v>
      </c>
      <c r="AB58" s="97" t="e">
        <f t="shared" si="29"/>
        <v>#N/A</v>
      </c>
      <c r="AC58" s="97" t="e">
        <f t="shared" si="29"/>
        <v>#N/A</v>
      </c>
      <c r="AD58" s="97" t="e">
        <f t="shared" si="29"/>
        <v>#N/A</v>
      </c>
    </row>
    <row r="59" spans="1:30" ht="15" thickBot="1" x14ac:dyDescent="0.4">
      <c r="A59" s="40" t="s">
        <v>4249</v>
      </c>
      <c r="B59" s="92" t="s">
        <v>1505</v>
      </c>
      <c r="C59" s="92">
        <f>VLOOKUP($A59,flows!$A$2:$J$4985,C$2,FALSE)</f>
        <v>0</v>
      </c>
      <c r="D59" s="92">
        <f>VLOOKUP($A59,flows!$A$2:$J$4985,D$2,FALSE)</f>
        <v>0</v>
      </c>
      <c r="E59" s="92">
        <f>VLOOKUP($A59,flows!$A$2:$J$4985,E$2,FALSE)</f>
        <v>0</v>
      </c>
      <c r="F59" s="92">
        <f>VLOOKUP($A59,flows!$A$2:$J$4985,F$2,FALSE)</f>
        <v>0</v>
      </c>
      <c r="G59" s="92">
        <f>VLOOKUP($A59,flows!$A$2:$J$4985,G$2,FALSE)</f>
        <v>0</v>
      </c>
      <c r="H59" s="92">
        <f>VLOOKUP($A59,flows!$A$2:$J$4985,H$2,FALSE)</f>
        <v>0</v>
      </c>
      <c r="I59" s="92">
        <f>VLOOKUP($A59,flows!$A$2:$J$4985,I$2,FALSE)</f>
        <v>0</v>
      </c>
      <c r="J59" s="92">
        <f>VLOOKUP($A59,flows!$A$2:$J$4985,J$2,FALSE)</f>
        <v>0</v>
      </c>
      <c r="L59" s="190" t="s">
        <v>1673</v>
      </c>
      <c r="M59" s="135" t="s">
        <v>1673</v>
      </c>
      <c r="N59" s="77" t="e">
        <f t="shared" ref="N59:U59" si="32">C67</f>
        <v>#N/A</v>
      </c>
      <c r="O59" s="77" t="e">
        <f t="shared" si="32"/>
        <v>#N/A</v>
      </c>
      <c r="P59" s="77" t="e">
        <f t="shared" si="32"/>
        <v>#N/A</v>
      </c>
      <c r="Q59" s="77" t="e">
        <f t="shared" si="32"/>
        <v>#N/A</v>
      </c>
      <c r="R59" s="77" t="e">
        <f t="shared" si="32"/>
        <v>#N/A</v>
      </c>
      <c r="S59" s="77" t="e">
        <f t="shared" si="32"/>
        <v>#N/A</v>
      </c>
      <c r="T59" s="77" t="e">
        <f t="shared" si="32"/>
        <v>#N/A</v>
      </c>
      <c r="U59" s="77" t="e">
        <f t="shared" si="32"/>
        <v>#N/A</v>
      </c>
      <c r="W59" s="41"/>
      <c r="X59" s="100" t="e">
        <f t="shared" si="29"/>
        <v>#N/A</v>
      </c>
      <c r="Y59" s="100" t="e">
        <f t="shared" si="29"/>
        <v>#N/A</v>
      </c>
      <c r="Z59" s="100" t="e">
        <f t="shared" si="29"/>
        <v>#N/A</v>
      </c>
      <c r="AA59" s="100" t="e">
        <f t="shared" si="29"/>
        <v>#N/A</v>
      </c>
      <c r="AB59" s="100" t="e">
        <f t="shared" si="29"/>
        <v>#N/A</v>
      </c>
      <c r="AC59" s="100" t="e">
        <f t="shared" si="29"/>
        <v>#N/A</v>
      </c>
      <c r="AD59" s="100" t="e">
        <f t="shared" si="29"/>
        <v>#N/A</v>
      </c>
    </row>
    <row r="60" spans="1:30" x14ac:dyDescent="0.35">
      <c r="A60" s="40" t="s">
        <v>2702</v>
      </c>
      <c r="B60" s="137" t="s">
        <v>2701</v>
      </c>
      <c r="C60" s="92">
        <f>VLOOKUP($A60,flows!$A$2:$J$4985,C$2,FALSE)</f>
        <v>0</v>
      </c>
      <c r="D60" s="92">
        <f>VLOOKUP($A60,flows!$A$2:$J$4985,D$2,FALSE)</f>
        <v>0</v>
      </c>
      <c r="E60" s="92">
        <f>VLOOKUP($A60,flows!$A$2:$J$4985,E$2,FALSE)</f>
        <v>0</v>
      </c>
      <c r="F60" s="92">
        <f>VLOOKUP($A60,flows!$A$2:$J$4985,F$2,FALSE)</f>
        <v>0</v>
      </c>
      <c r="G60" s="92">
        <f>VLOOKUP($A60,flows!$A$2:$J$4985,G$2,FALSE)</f>
        <v>0</v>
      </c>
      <c r="H60" s="92">
        <f>VLOOKUP($A60,flows!$A$2:$J$4985,H$2,FALSE)</f>
        <v>0</v>
      </c>
      <c r="I60" s="92">
        <f>VLOOKUP($A60,flows!$A$2:$J$4985,I$2,FALSE)</f>
        <v>0</v>
      </c>
      <c r="J60" s="92">
        <f>VLOOKUP($A60,flows!$A$2:$J$4985,J$2,FALSE)</f>
        <v>0</v>
      </c>
      <c r="W60" s="92"/>
      <c r="X60" s="92"/>
      <c r="Y60" s="92"/>
      <c r="Z60" s="92"/>
      <c r="AA60" s="92"/>
      <c r="AB60" s="92"/>
      <c r="AC60" s="92"/>
      <c r="AD60" s="92"/>
    </row>
    <row r="61" spans="1:30" x14ac:dyDescent="0.35">
      <c r="A61" s="40"/>
      <c r="B61" s="92"/>
      <c r="C61" s="92"/>
      <c r="D61" s="92"/>
      <c r="E61" s="92"/>
      <c r="F61" s="92"/>
      <c r="G61" s="92"/>
      <c r="H61" s="92"/>
      <c r="I61" s="92"/>
      <c r="J61" s="92"/>
    </row>
    <row r="62" spans="1:30" x14ac:dyDescent="0.35">
      <c r="A62" s="40"/>
      <c r="B62" s="92"/>
      <c r="C62" s="92"/>
      <c r="D62" s="92"/>
      <c r="E62" s="92"/>
      <c r="F62" s="92"/>
      <c r="G62" s="92"/>
      <c r="H62" s="92"/>
      <c r="I62" s="92"/>
      <c r="J62" s="92"/>
    </row>
    <row r="63" spans="1:30" x14ac:dyDescent="0.35">
      <c r="A63" s="40"/>
      <c r="B63" s="92"/>
      <c r="C63" s="92"/>
      <c r="D63" s="92"/>
      <c r="E63" s="92"/>
      <c r="F63" s="92"/>
      <c r="G63" s="92"/>
      <c r="H63" s="92"/>
      <c r="I63" s="92"/>
      <c r="J63" s="92"/>
    </row>
    <row r="64" spans="1:30" ht="15" thickBot="1" x14ac:dyDescent="0.4">
      <c r="A64" s="40"/>
      <c r="B64" s="92"/>
      <c r="C64" s="92"/>
      <c r="D64" s="92"/>
      <c r="E64" s="92"/>
      <c r="F64" s="92"/>
      <c r="G64" s="92"/>
      <c r="H64" s="92"/>
      <c r="I64" s="92"/>
      <c r="J64" s="92"/>
    </row>
    <row r="65" spans="1:10" x14ac:dyDescent="0.35">
      <c r="A65" s="40"/>
      <c r="B65" s="102" t="s">
        <v>1318</v>
      </c>
      <c r="C65" s="89">
        <v>2</v>
      </c>
      <c r="D65" s="89">
        <v>3</v>
      </c>
      <c r="E65" s="89">
        <v>4</v>
      </c>
      <c r="F65" s="89">
        <v>5</v>
      </c>
      <c r="G65" s="89">
        <v>6</v>
      </c>
      <c r="H65" s="89">
        <v>7</v>
      </c>
      <c r="I65" s="89">
        <v>8</v>
      </c>
      <c r="J65" s="89">
        <v>9</v>
      </c>
    </row>
    <row r="66" spans="1:10" x14ac:dyDescent="0.35">
      <c r="A66" s="40" t="s">
        <v>1415</v>
      </c>
      <c r="B66" s="92"/>
      <c r="C66" s="133" t="s">
        <v>1417</v>
      </c>
      <c r="D66" s="133">
        <v>2020</v>
      </c>
      <c r="E66" s="133">
        <v>2025</v>
      </c>
      <c r="F66" s="133">
        <v>2030</v>
      </c>
      <c r="G66" s="133">
        <v>2035</v>
      </c>
      <c r="H66" s="133">
        <v>2040</v>
      </c>
      <c r="I66" s="133">
        <v>2045</v>
      </c>
      <c r="J66" s="133">
        <v>2050</v>
      </c>
    </row>
    <row r="67" spans="1:10" x14ac:dyDescent="0.35">
      <c r="A67" s="40" t="s">
        <v>3105</v>
      </c>
      <c r="B67" s="92" t="s">
        <v>1318</v>
      </c>
      <c r="C67" s="92" t="e">
        <f>VLOOKUP($A67,flows!$A$2:$J$4985,C$2,FALSE)</f>
        <v>#N/A</v>
      </c>
      <c r="D67" s="92" t="e">
        <f>VLOOKUP($A67,flows!$A$2:$J$4985,D$2,FALSE)</f>
        <v>#N/A</v>
      </c>
      <c r="E67" s="92" t="e">
        <f>VLOOKUP($A67,flows!$A$2:$J$4985,E$2,FALSE)</f>
        <v>#N/A</v>
      </c>
      <c r="F67" s="92" t="e">
        <f>VLOOKUP($A67,flows!$A$2:$J$4985,F$2,FALSE)</f>
        <v>#N/A</v>
      </c>
      <c r="G67" s="92" t="e">
        <f>VLOOKUP($A67,flows!$A$2:$J$4985,G$2,FALSE)</f>
        <v>#N/A</v>
      </c>
      <c r="H67" s="92" t="e">
        <f>VLOOKUP($A67,flows!$A$2:$J$4985,H$2,FALSE)</f>
        <v>#N/A</v>
      </c>
      <c r="I67" s="92" t="e">
        <f>VLOOKUP($A67,flows!$A$2:$J$4985,I$2,FALSE)</f>
        <v>#N/A</v>
      </c>
      <c r="J67" s="92" t="e">
        <f>VLOOKUP($A67,flows!$A$2:$J$4985,J$2,FALSE)</f>
        <v>#N/A</v>
      </c>
    </row>
    <row r="68" spans="1:10" x14ac:dyDescent="0.35">
      <c r="A68" s="40" t="s">
        <v>3107</v>
      </c>
      <c r="B68" s="92" t="s">
        <v>1318</v>
      </c>
      <c r="C68" s="92">
        <f>VLOOKUP($A68,flows!$A$2:$J$4985,C$2,FALSE)</f>
        <v>1.296295509347152E-2</v>
      </c>
      <c r="D68" s="92">
        <f>VLOOKUP($A68,flows!$A$2:$J$4985,D$2,FALSE)</f>
        <v>78667.327899458047</v>
      </c>
      <c r="E68" s="92">
        <f>VLOOKUP($A68,flows!$A$2:$J$4985,E$2,FALSE)</f>
        <v>48143.631919799089</v>
      </c>
      <c r="F68" s="92">
        <f>VLOOKUP($A68,flows!$A$2:$J$4985,F$2,FALSE)</f>
        <v>2.2310447739622961E-2</v>
      </c>
      <c r="G68" s="92">
        <f>VLOOKUP($A68,flows!$A$2:$J$4985,G$2,FALSE)</f>
        <v>1.2758692135055631E-3</v>
      </c>
      <c r="H68" s="92">
        <f>VLOOKUP($A68,flows!$A$2:$J$4985,H$2,FALSE)</f>
        <v>3540.0258603904272</v>
      </c>
      <c r="I68" s="92">
        <f>VLOOKUP($A68,flows!$A$2:$J$4985,I$2,FALSE)</f>
        <v>4.1977323988810127E-5</v>
      </c>
      <c r="J68" s="92">
        <f>VLOOKUP($A68,flows!$A$2:$J$4985,J$2,FALSE)</f>
        <v>0</v>
      </c>
    </row>
    <row r="69" spans="1:10" x14ac:dyDescent="0.35">
      <c r="A69" s="40" t="s">
        <v>3109</v>
      </c>
      <c r="B69" s="92" t="s">
        <v>1318</v>
      </c>
      <c r="C69" s="92">
        <f>VLOOKUP($A69,flows!$A$2:$J$4985,C$2,FALSE)</f>
        <v>1.8695016502885471E-2</v>
      </c>
      <c r="D69" s="92">
        <f>VLOOKUP($A69,flows!$A$2:$J$4985,D$2,FALSE)</f>
        <v>44241.65024529009</v>
      </c>
      <c r="E69" s="92">
        <f>VLOOKUP($A69,flows!$A$2:$J$4985,E$2,FALSE)</f>
        <v>46661.313454006508</v>
      </c>
      <c r="F69" s="92">
        <f>VLOOKUP($A69,flows!$A$2:$J$4985,F$2,FALSE)</f>
        <v>41717.413999142424</v>
      </c>
      <c r="G69" s="92">
        <f>VLOOKUP($A69,flows!$A$2:$J$4985,G$2,FALSE)</f>
        <v>31691.013933472761</v>
      </c>
      <c r="H69" s="92">
        <f>VLOOKUP($A69,flows!$A$2:$J$4985,H$2,FALSE)</f>
        <v>9841.3230710930366</v>
      </c>
      <c r="I69" s="92">
        <f>VLOOKUP($A69,flows!$A$2:$J$4985,I$2,FALSE)</f>
        <v>8.4562680202078495E-5</v>
      </c>
      <c r="J69" s="92">
        <f>VLOOKUP($A69,flows!$A$2:$J$4985,J$2,FALSE)</f>
        <v>0</v>
      </c>
    </row>
    <row r="70" spans="1:10" x14ac:dyDescent="0.35">
      <c r="A70" s="40" t="s">
        <v>3111</v>
      </c>
      <c r="B70" s="92" t="s">
        <v>1318</v>
      </c>
      <c r="C70" s="92">
        <f>VLOOKUP($A70,flows!$A$2:$J$4985,C$2,FALSE)</f>
        <v>2.317605645759277E-2</v>
      </c>
      <c r="D70" s="92">
        <f>VLOOKUP($A70,flows!$A$2:$J$4985,D$2,FALSE)</f>
        <v>0.12631572663725901</v>
      </c>
      <c r="E70" s="92">
        <f>VLOOKUP($A70,flows!$A$2:$J$4985,E$2,FALSE)</f>
        <v>2.8132211973164289</v>
      </c>
      <c r="F70" s="92">
        <f>VLOOKUP($A70,flows!$A$2:$J$4985,F$2,FALSE)</f>
        <v>3.8884858084889369E-3</v>
      </c>
      <c r="G70" s="92">
        <f>VLOOKUP($A70,flows!$A$2:$J$4985,G$2,FALSE)</f>
        <v>1.429493778452516E-3</v>
      </c>
      <c r="H70" s="92">
        <f>VLOOKUP($A70,flows!$A$2:$J$4985,H$2,FALSE)</f>
        <v>3.5082377098167368E-4</v>
      </c>
      <c r="I70" s="92">
        <f>VLOOKUP($A70,flows!$A$2:$J$4985,I$2,FALSE)</f>
        <v>7.4580000253952926E-5</v>
      </c>
      <c r="J70" s="92">
        <f>VLOOKUP($A70,flows!$A$2:$J$4985,J$2,FALSE)</f>
        <v>0</v>
      </c>
    </row>
    <row r="71" spans="1:10" x14ac:dyDescent="0.35">
      <c r="A71" s="40" t="s">
        <v>3973</v>
      </c>
      <c r="B71" s="92" t="s">
        <v>1506</v>
      </c>
      <c r="C71" s="92" t="e">
        <f>VLOOKUP($A71,flows!$A$2:$J$4985,C$2,FALSE)</f>
        <v>#N/A</v>
      </c>
      <c r="D71" s="92" t="e">
        <f>VLOOKUP($A71,flows!$A$2:$J$4985,D$2,FALSE)</f>
        <v>#N/A</v>
      </c>
      <c r="E71" s="92" t="e">
        <f>VLOOKUP($A71,flows!$A$2:$J$4985,E$2,FALSE)</f>
        <v>#N/A</v>
      </c>
      <c r="F71" s="92" t="e">
        <f>VLOOKUP($A71,flows!$A$2:$J$4985,F$2,FALSE)</f>
        <v>#N/A</v>
      </c>
      <c r="G71" s="92" t="e">
        <f>VLOOKUP($A71,flows!$A$2:$J$4985,G$2,FALSE)</f>
        <v>#N/A</v>
      </c>
      <c r="H71" s="92" t="e">
        <f>VLOOKUP($A71,flows!$A$2:$J$4985,H$2,FALSE)</f>
        <v>#N/A</v>
      </c>
      <c r="I71" s="92" t="e">
        <f>VLOOKUP($A71,flows!$A$2:$J$4985,I$2,FALSE)</f>
        <v>#N/A</v>
      </c>
      <c r="J71" s="92" t="e">
        <f>VLOOKUP($A71,flows!$A$2:$J$4985,J$2,FALSE)</f>
        <v>#N/A</v>
      </c>
    </row>
    <row r="72" spans="1:10" x14ac:dyDescent="0.35">
      <c r="A72" s="40" t="s">
        <v>3051</v>
      </c>
      <c r="B72" s="92" t="s">
        <v>1506</v>
      </c>
      <c r="C72" s="92" t="e">
        <f>VLOOKUP($A72,flows!$A$2:$J$4985,C$2,FALSE)</f>
        <v>#N/A</v>
      </c>
      <c r="D72" s="92" t="e">
        <f>VLOOKUP($A72,flows!$A$2:$J$4985,D$2,FALSE)</f>
        <v>#N/A</v>
      </c>
      <c r="E72" s="92" t="e">
        <f>VLOOKUP($A72,flows!$A$2:$J$4985,E$2,FALSE)</f>
        <v>#N/A</v>
      </c>
      <c r="F72" s="92" t="e">
        <f>VLOOKUP($A72,flows!$A$2:$J$4985,F$2,FALSE)</f>
        <v>#N/A</v>
      </c>
      <c r="G72" s="92" t="e">
        <f>VLOOKUP($A72,flows!$A$2:$J$4985,G$2,FALSE)</f>
        <v>#N/A</v>
      </c>
      <c r="H72" s="92" t="e">
        <f>VLOOKUP($A72,flows!$A$2:$J$4985,H$2,FALSE)</f>
        <v>#N/A</v>
      </c>
      <c r="I72" s="92" t="e">
        <f>VLOOKUP($A72,flows!$A$2:$J$4985,I$2,FALSE)</f>
        <v>#N/A</v>
      </c>
      <c r="J72" s="92" t="e">
        <f>VLOOKUP($A72,flows!$A$2:$J$4985,J$2,FALSE)</f>
        <v>#N/A</v>
      </c>
    </row>
    <row r="73" spans="1:10" x14ac:dyDescent="0.35">
      <c r="A73" s="40" t="s">
        <v>3976</v>
      </c>
      <c r="B73" s="92" t="s">
        <v>1506</v>
      </c>
      <c r="C73" s="92" t="e">
        <f>VLOOKUP($A73,flows!$A$2:$J$4985,C$2,FALSE)</f>
        <v>#N/A</v>
      </c>
      <c r="D73" s="92" t="e">
        <f>VLOOKUP($A73,flows!$A$2:$J$4985,D$2,FALSE)</f>
        <v>#N/A</v>
      </c>
      <c r="E73" s="92" t="e">
        <f>VLOOKUP($A73,flows!$A$2:$J$4985,E$2,FALSE)</f>
        <v>#N/A</v>
      </c>
      <c r="F73" s="92" t="e">
        <f>VLOOKUP($A73,flows!$A$2:$J$4985,F$2,FALSE)</f>
        <v>#N/A</v>
      </c>
      <c r="G73" s="92" t="e">
        <f>VLOOKUP($A73,flows!$A$2:$J$4985,G$2,FALSE)</f>
        <v>#N/A</v>
      </c>
      <c r="H73" s="92" t="e">
        <f>VLOOKUP($A73,flows!$A$2:$J$4985,H$2,FALSE)</f>
        <v>#N/A</v>
      </c>
      <c r="I73" s="92" t="e">
        <f>VLOOKUP($A73,flows!$A$2:$J$4985,I$2,FALSE)</f>
        <v>#N/A</v>
      </c>
      <c r="J73" s="92" t="e">
        <f>VLOOKUP($A73,flows!$A$2:$J$4985,J$2,FALSE)</f>
        <v>#N/A</v>
      </c>
    </row>
    <row r="74" spans="1:10" x14ac:dyDescent="0.35">
      <c r="A74" s="40" t="s">
        <v>3075</v>
      </c>
      <c r="B74" s="92" t="s">
        <v>1507</v>
      </c>
      <c r="C74" s="92" t="e">
        <f>VLOOKUP($A74,flows!$A$2:$J$4985,C$2,FALSE)</f>
        <v>#N/A</v>
      </c>
      <c r="D74" s="92" t="e">
        <f>VLOOKUP($A74,flows!$A$2:$J$4985,D$2,FALSE)</f>
        <v>#N/A</v>
      </c>
      <c r="E74" s="92" t="e">
        <f>VLOOKUP($A74,flows!$A$2:$J$4985,E$2,FALSE)</f>
        <v>#N/A</v>
      </c>
      <c r="F74" s="92" t="e">
        <f>VLOOKUP($A74,flows!$A$2:$J$4985,F$2,FALSE)</f>
        <v>#N/A</v>
      </c>
      <c r="G74" s="92" t="e">
        <f>VLOOKUP($A74,flows!$A$2:$J$4985,G$2,FALSE)</f>
        <v>#N/A</v>
      </c>
      <c r="H74" s="92" t="e">
        <f>VLOOKUP($A74,flows!$A$2:$J$4985,H$2,FALSE)</f>
        <v>#N/A</v>
      </c>
      <c r="I74" s="92" t="e">
        <f>VLOOKUP($A74,flows!$A$2:$J$4985,I$2,FALSE)</f>
        <v>#N/A</v>
      </c>
      <c r="J74" s="92" t="e">
        <f>VLOOKUP($A74,flows!$A$2:$J$4985,J$2,FALSE)</f>
        <v>#N/A</v>
      </c>
    </row>
    <row r="75" spans="1:10" x14ac:dyDescent="0.35">
      <c r="A75" s="40" t="s">
        <v>3076</v>
      </c>
      <c r="B75" s="92" t="s">
        <v>1507</v>
      </c>
      <c r="C75" s="92" t="e">
        <f>VLOOKUP($A75,flows!$A$2:$J$2880,C$2,FALSE)</f>
        <v>#N/A</v>
      </c>
      <c r="D75" s="92" t="e">
        <f>VLOOKUP($A75,flows!$A$2:$J$2880,D$2,FALSE)</f>
        <v>#N/A</v>
      </c>
      <c r="E75" s="92" t="e">
        <f>VLOOKUP($A75,flows!$A$2:$J$2880,E$2,FALSE)</f>
        <v>#N/A</v>
      </c>
      <c r="F75" s="92" t="e">
        <f>VLOOKUP($A75,flows!$A$2:$J$2880,F$2,FALSE)</f>
        <v>#N/A</v>
      </c>
      <c r="G75" s="92" t="e">
        <f>VLOOKUP($A75,flows!$A$2:$J$2880,G$2,FALSE)</f>
        <v>#N/A</v>
      </c>
      <c r="H75" s="92" t="e">
        <f>VLOOKUP($A75,flows!$A$2:$J$2880,H$2,FALSE)</f>
        <v>#N/A</v>
      </c>
      <c r="I75" s="92" t="e">
        <f>VLOOKUP($A75,flows!$A$2:$J$2880,I$2,FALSE)</f>
        <v>#N/A</v>
      </c>
      <c r="J75" s="92" t="e">
        <f>VLOOKUP($A75,flows!$A$2:$J$2880,J$2,FALSE)</f>
        <v>#N/A</v>
      </c>
    </row>
    <row r="76" spans="1:10" ht="15" thickBot="1" x14ac:dyDescent="0.4">
      <c r="A76" s="40" t="s">
        <v>4479</v>
      </c>
      <c r="B76" s="138" t="s">
        <v>1761</v>
      </c>
      <c r="C76" s="92" t="e">
        <f>VLOOKUP($A76,flows!$A$2:$J$4985,C$2,FALSE)</f>
        <v>#N/A</v>
      </c>
      <c r="D76" s="92" t="e">
        <f>VLOOKUP($A76,flows!$A$2:$J$4985,D$2,FALSE)</f>
        <v>#N/A</v>
      </c>
      <c r="E76" s="92" t="e">
        <f>VLOOKUP($A76,flows!$A$2:$J$4985,E$2,FALSE)</f>
        <v>#N/A</v>
      </c>
      <c r="F76" s="92" t="e">
        <f>VLOOKUP($A76,flows!$A$2:$J$4985,F$2,FALSE)</f>
        <v>#N/A</v>
      </c>
      <c r="G76" s="92" t="e">
        <f>VLOOKUP($A76,flows!$A$2:$J$4985,G$2,FALSE)</f>
        <v>#N/A</v>
      </c>
      <c r="H76" s="92" t="e">
        <f>VLOOKUP($A76,flows!$A$2:$J$4985,H$2,FALSE)</f>
        <v>#N/A</v>
      </c>
      <c r="I76" s="92" t="e">
        <f>VLOOKUP($A76,flows!$A$2:$J$4985,I$2,FALSE)</f>
        <v>#N/A</v>
      </c>
      <c r="J76" s="92" t="e">
        <f>VLOOKUP($A76,flows!$A$2:$J$4985,J$2,FALSE)</f>
        <v>#N/A</v>
      </c>
    </row>
    <row r="77" spans="1:10" ht="15" thickBot="1" x14ac:dyDescent="0.4">
      <c r="A77" s="41" t="s">
        <v>3103</v>
      </c>
      <c r="B77" s="138" t="s">
        <v>1761</v>
      </c>
      <c r="C77" s="92" t="e">
        <f>VLOOKUP($A77,flows!$A$2:$J$4985,C$2,FALSE)</f>
        <v>#N/A</v>
      </c>
      <c r="D77" s="92" t="e">
        <f>VLOOKUP($A77,flows!$A$2:$J$4985,D$2,FALSE)</f>
        <v>#N/A</v>
      </c>
      <c r="E77" s="92" t="e">
        <f>VLOOKUP($A77,flows!$A$2:$J$4985,E$2,FALSE)</f>
        <v>#N/A</v>
      </c>
      <c r="F77" s="92" t="e">
        <f>VLOOKUP($A77,flows!$A$2:$J$4985,F$2,FALSE)</f>
        <v>#N/A</v>
      </c>
      <c r="G77" s="92" t="e">
        <f>VLOOKUP($A77,flows!$A$2:$J$4985,G$2,FALSE)</f>
        <v>#N/A</v>
      </c>
      <c r="H77" s="92" t="e">
        <f>VLOOKUP($A77,flows!$A$2:$J$4985,H$2,FALSE)</f>
        <v>#N/A</v>
      </c>
      <c r="I77" s="92" t="e">
        <f>VLOOKUP($A77,flows!$A$2:$J$4985,I$2,FALSE)</f>
        <v>#N/A</v>
      </c>
      <c r="J77" s="92" t="e">
        <f>VLOOKUP($A77,flows!$A$2:$J$4985,J$2,FALSE)</f>
        <v>#N/A</v>
      </c>
    </row>
    <row r="78" spans="1:10" x14ac:dyDescent="0.35">
      <c r="A78" s="134" t="s">
        <v>4478</v>
      </c>
      <c r="B78" s="137" t="s">
        <v>1761</v>
      </c>
      <c r="C78" s="92" t="e">
        <f>VLOOKUP($A78,flows!$A$2:$J$4985,C$2,FALSE)</f>
        <v>#N/A</v>
      </c>
      <c r="D78" s="92" t="e">
        <f>VLOOKUP($A78,flows!$A$2:$J$4985,D$2,FALSE)</f>
        <v>#N/A</v>
      </c>
      <c r="E78" s="92" t="e">
        <f>VLOOKUP($A78,flows!$A$2:$J$4985,E$2,FALSE)</f>
        <v>#N/A</v>
      </c>
      <c r="F78" s="92" t="e">
        <f>VLOOKUP($A78,flows!$A$2:$J$4985,F$2,FALSE)</f>
        <v>#N/A</v>
      </c>
      <c r="G78" s="92" t="e">
        <f>VLOOKUP($A78,flows!$A$2:$J$4985,G$2,FALSE)</f>
        <v>#N/A</v>
      </c>
      <c r="H78" s="92" t="e">
        <f>VLOOKUP($A78,flows!$A$2:$J$4985,H$2,FALSE)</f>
        <v>#N/A</v>
      </c>
      <c r="I78" s="92" t="e">
        <f>VLOOKUP($A78,flows!$A$2:$J$4985,I$2,FALSE)</f>
        <v>#N/A</v>
      </c>
      <c r="J78" s="92" t="e">
        <f>VLOOKUP($A78,flows!$A$2:$J$4985,J$2,FALSE)</f>
        <v>#N/A</v>
      </c>
    </row>
    <row r="79" spans="1:10" x14ac:dyDescent="0.35">
      <c r="A79" s="92"/>
      <c r="B79" s="137" t="s">
        <v>2683</v>
      </c>
      <c r="C79" s="92" t="e">
        <f t="shared" ref="C79:J79" si="33">SUM(C67:C75)-SUM(C76:C78)</f>
        <v>#N/A</v>
      </c>
      <c r="D79" s="92" t="e">
        <f>SUM(D67:D75)-SUM(D76:D78)</f>
        <v>#N/A</v>
      </c>
      <c r="E79" s="92" t="e">
        <f t="shared" si="33"/>
        <v>#N/A</v>
      </c>
      <c r="F79" s="92" t="e">
        <f t="shared" si="33"/>
        <v>#N/A</v>
      </c>
      <c r="G79" s="92" t="e">
        <f t="shared" si="33"/>
        <v>#N/A</v>
      </c>
      <c r="H79" s="92" t="e">
        <f t="shared" si="33"/>
        <v>#N/A</v>
      </c>
      <c r="I79" s="92" t="e">
        <f t="shared" si="33"/>
        <v>#N/A</v>
      </c>
      <c r="J79" s="92" t="e">
        <f t="shared" si="33"/>
        <v>#N/A</v>
      </c>
    </row>
    <row r="80" spans="1:10" x14ac:dyDescent="0.35">
      <c r="A80" s="841" t="s">
        <v>3932</v>
      </c>
      <c r="C80" s="92">
        <f>VLOOKUP($A80,flows!$A$2:$J$4985,C$2,FALSE)</f>
        <v>12099.69668094585</v>
      </c>
      <c r="D80" s="92">
        <f>VLOOKUP($A80,flows!$A$2:$J$4985,D$2,FALSE)</f>
        <v>3.7636091633585708E-2</v>
      </c>
      <c r="E80" s="92">
        <f>VLOOKUP($A80,flows!$A$2:$J$4985,E$2,FALSE)</f>
        <v>1.451041484672013</v>
      </c>
      <c r="F80" s="92">
        <f>VLOOKUP($A80,flows!$A$2:$J$4985,F$2,FALSE)</f>
        <v>4.0793888881896908E-3</v>
      </c>
      <c r="G80" s="92">
        <f>VLOOKUP($A80,flows!$A$2:$J$4985,G$2,FALSE)</f>
        <v>29.99794013894202</v>
      </c>
      <c r="H80" s="92">
        <f>VLOOKUP($A80,flows!$A$2:$J$4985,H$2,FALSE)</f>
        <v>383.25318564610632</v>
      </c>
      <c r="I80" s="92">
        <f>VLOOKUP($A80,flows!$A$2:$J$4985,I$2,FALSE)</f>
        <v>13420.05596372792</v>
      </c>
      <c r="J80" s="92">
        <f>VLOOKUP($A80,flows!$A$2:$J$4985,J$2,FALSE)</f>
        <v>0</v>
      </c>
    </row>
    <row r="81" spans="1:10" x14ac:dyDescent="0.35">
      <c r="A81" s="841" t="s">
        <v>3933</v>
      </c>
      <c r="C81" s="92">
        <f>VLOOKUP($A81,flows!$A$2:$J$4985,C$2,FALSE)</f>
        <v>7.0308600784088513E-3</v>
      </c>
      <c r="D81" s="92">
        <f>VLOOKUP($A81,flows!$A$2:$J$4985,D$2,FALSE)</f>
        <v>14341.69293281564</v>
      </c>
      <c r="E81" s="92">
        <f>VLOOKUP($A81,flows!$A$2:$J$4985,E$2,FALSE)</f>
        <v>14519.168798062041</v>
      </c>
      <c r="F81" s="92">
        <f>VLOOKUP($A81,flows!$A$2:$J$4985,F$2,FALSE)</f>
        <v>14327.216228888439</v>
      </c>
      <c r="G81" s="92">
        <f>VLOOKUP($A81,flows!$A$2:$J$4985,G$2,FALSE)</f>
        <v>14161.732801854079</v>
      </c>
      <c r="H81" s="92">
        <f>VLOOKUP($A81,flows!$A$2:$J$4985,H$2,FALSE)</f>
        <v>13381.349162992239</v>
      </c>
      <c r="I81" s="92">
        <f>VLOOKUP($A81,flows!$A$2:$J$4985,I$2,FALSE)</f>
        <v>2.5281032435056611E-5</v>
      </c>
      <c r="J81" s="92">
        <f>VLOOKUP($A81,flows!$A$2:$J$4985,J$2,FALSE)</f>
        <v>0</v>
      </c>
    </row>
    <row r="82" spans="1:10" x14ac:dyDescent="0.35">
      <c r="A82" s="137" t="s">
        <v>3934</v>
      </c>
      <c r="C82" s="64">
        <f>C80/SUM(C80:C81)</f>
        <v>0.99999941892295496</v>
      </c>
      <c r="D82" s="842">
        <f t="shared" ref="D82:J82" si="34">D80/SUM(D80:D81)</f>
        <v>2.6242364164322242E-6</v>
      </c>
      <c r="E82" s="842">
        <f t="shared" si="34"/>
        <v>9.9929720680388655E-5</v>
      </c>
      <c r="F82" s="842">
        <f t="shared" si="34"/>
        <v>2.8472996159854456E-7</v>
      </c>
      <c r="G82" s="842">
        <f t="shared" si="34"/>
        <v>2.1137619282881946E-3</v>
      </c>
      <c r="H82" s="842">
        <f t="shared" si="34"/>
        <v>2.7843389582846857E-2</v>
      </c>
      <c r="I82" s="842">
        <f t="shared" si="34"/>
        <v>0.99999999811617524</v>
      </c>
      <c r="J82" s="842" t="e">
        <f t="shared" si="34"/>
        <v>#DIV/0!</v>
      </c>
    </row>
    <row r="83" spans="1:10" x14ac:dyDescent="0.35">
      <c r="A83" s="137" t="s">
        <v>3935</v>
      </c>
      <c r="C83" s="842">
        <f>C81/SUM(C80:C81)</f>
        <v>5.8107704501463926E-7</v>
      </c>
      <c r="D83" s="842">
        <f t="shared" ref="D83:J83" si="35">D81/SUM(D80:D81)</f>
        <v>0.9999973757635835</v>
      </c>
      <c r="E83" s="842">
        <f t="shared" si="35"/>
        <v>0.9999000702793196</v>
      </c>
      <c r="F83" s="842">
        <f t="shared" si="35"/>
        <v>0.9999997152700385</v>
      </c>
      <c r="G83" s="842">
        <f t="shared" si="35"/>
        <v>0.99788623807171173</v>
      </c>
      <c r="H83" s="842">
        <f t="shared" si="35"/>
        <v>0.97215661041715318</v>
      </c>
      <c r="I83" s="842">
        <f t="shared" si="35"/>
        <v>1.8838246618167478E-9</v>
      </c>
      <c r="J83" s="842" t="e">
        <f t="shared" si="35"/>
        <v>#DIV/0!</v>
      </c>
    </row>
  </sheetData>
  <phoneticPr fontId="31" type="noConversion"/>
  <pageMargins left="0.7" right="0.7" top="0.78740157499999996" bottom="0.78740157499999996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6" tint="-0.499984740745262"/>
  </sheetPr>
  <dimension ref="A1:K28"/>
  <sheetViews>
    <sheetView zoomScale="55" zoomScaleNormal="55" workbookViewId="0">
      <selection activeCell="H16" sqref="H16"/>
    </sheetView>
  </sheetViews>
  <sheetFormatPr baseColWidth="10" defaultColWidth="11.453125" defaultRowHeight="14.5" x14ac:dyDescent="0.35"/>
  <cols>
    <col min="1" max="1" width="33.54296875" style="132" bestFit="1" customWidth="1"/>
    <col min="2" max="2" width="33.54296875" style="190" customWidth="1"/>
    <col min="3" max="3" width="14.453125" style="132" bestFit="1" customWidth="1"/>
    <col min="4" max="6" width="11.453125" style="132"/>
    <col min="7" max="9" width="12" style="132" bestFit="1" customWidth="1"/>
    <col min="10" max="16384" width="11.453125" style="132"/>
  </cols>
  <sheetData>
    <row r="1" spans="1:11" ht="15" thickBot="1" x14ac:dyDescent="0.4"/>
    <row r="2" spans="1:11" x14ac:dyDescent="0.35">
      <c r="A2" s="87"/>
      <c r="B2" s="89"/>
      <c r="C2" s="88" t="s">
        <v>1647</v>
      </c>
      <c r="D2" s="89">
        <v>2</v>
      </c>
      <c r="E2" s="89">
        <v>3</v>
      </c>
      <c r="F2" s="89">
        <v>4</v>
      </c>
      <c r="G2" s="89">
        <v>5</v>
      </c>
      <c r="H2" s="89">
        <v>6</v>
      </c>
      <c r="I2" s="89">
        <v>7</v>
      </c>
      <c r="J2" s="89">
        <v>8</v>
      </c>
      <c r="K2" s="89">
        <v>9</v>
      </c>
    </row>
    <row r="3" spans="1:11" x14ac:dyDescent="0.35">
      <c r="A3" s="40" t="s">
        <v>1415</v>
      </c>
      <c r="B3" s="92"/>
      <c r="C3" s="92"/>
      <c r="D3" s="133" t="s">
        <v>1417</v>
      </c>
      <c r="E3" s="133">
        <v>2020</v>
      </c>
      <c r="F3" s="133">
        <v>2025</v>
      </c>
      <c r="G3" s="133">
        <v>2030</v>
      </c>
      <c r="H3" s="133">
        <v>2035</v>
      </c>
      <c r="I3" s="133">
        <v>2040</v>
      </c>
      <c r="J3" s="133">
        <v>2045</v>
      </c>
      <c r="K3" s="133">
        <v>2050</v>
      </c>
    </row>
    <row r="4" spans="1:11" x14ac:dyDescent="0.35">
      <c r="A4" s="40" t="s">
        <v>1686</v>
      </c>
      <c r="B4" s="92" t="s">
        <v>1648</v>
      </c>
      <c r="C4" s="92" t="s">
        <v>1648</v>
      </c>
      <c r="D4" s="92" t="e">
        <f>VLOOKUP($A4,flows!$A$2:$J$4985,D$2,FALSE)/8760</f>
        <v>#N/A</v>
      </c>
      <c r="E4" s="92" t="e">
        <f>VLOOKUP($A4,flows!$A$2:$J$4985,E$2,FALSE)/8760</f>
        <v>#N/A</v>
      </c>
      <c r="F4" s="92" t="e">
        <f>VLOOKUP($A4,flows!$A$2:$J$4985,F$2,FALSE)/8760</f>
        <v>#N/A</v>
      </c>
      <c r="G4" s="92" t="e">
        <f>VLOOKUP($A4,flows!$A$2:$J$4985,G$2,FALSE)/8760</f>
        <v>#N/A</v>
      </c>
      <c r="H4" s="92" t="e">
        <f>VLOOKUP($A4,flows!$A$2:$J$4985,H$2,FALSE)/8760</f>
        <v>#N/A</v>
      </c>
      <c r="I4" s="92" t="e">
        <f>VLOOKUP($A4,flows!$A$2:$J$4985,I$2,FALSE)/8760</f>
        <v>#N/A</v>
      </c>
      <c r="J4" s="92" t="e">
        <f>VLOOKUP($A4,flows!$A$2:$J$4985,J$2,FALSE)/8760</f>
        <v>#N/A</v>
      </c>
      <c r="K4" s="92" t="e">
        <f>VLOOKUP($A4,flows!$A$2:$J$4985,K$2,FALSE)/8760</f>
        <v>#N/A</v>
      </c>
    </row>
    <row r="5" spans="1:11" x14ac:dyDescent="0.35">
      <c r="A5" s="40" t="s">
        <v>1687</v>
      </c>
      <c r="B5" s="92" t="s">
        <v>1972</v>
      </c>
      <c r="C5" s="92" t="s">
        <v>1625</v>
      </c>
      <c r="D5" s="92" t="e">
        <f>VLOOKUP($A5,flows!$A$2:$J$4985,D$2,FALSE)/8760</f>
        <v>#N/A</v>
      </c>
      <c r="E5" s="92" t="e">
        <f>VLOOKUP($A5,flows!$A$2:$J$4985,E$2,FALSE)/8760</f>
        <v>#N/A</v>
      </c>
      <c r="F5" s="92" t="e">
        <f>VLOOKUP($A5,flows!$A$2:$J$4985,F$2,FALSE)/8760</f>
        <v>#N/A</v>
      </c>
      <c r="G5" s="92" t="e">
        <f>VLOOKUP($A5,flows!$A$2:$J$4985,G$2,FALSE)/8760</f>
        <v>#N/A</v>
      </c>
      <c r="H5" s="92" t="e">
        <f>VLOOKUP($A5,flows!$A$2:$J$4985,H$2,FALSE)/8760</f>
        <v>#N/A</v>
      </c>
      <c r="I5" s="92" t="e">
        <f>VLOOKUP($A5,flows!$A$2:$J$4985,I$2,FALSE)/8760</f>
        <v>#N/A</v>
      </c>
      <c r="J5" s="92" t="e">
        <f>VLOOKUP($A5,flows!$A$2:$J$4985,J$2,FALSE)/8760</f>
        <v>#N/A</v>
      </c>
      <c r="K5" s="92" t="e">
        <f>VLOOKUP($A5,flows!$A$2:$J$4985,K$2,FALSE)/8760</f>
        <v>#N/A</v>
      </c>
    </row>
    <row r="6" spans="1:11" x14ac:dyDescent="0.35">
      <c r="A6" s="40" t="s">
        <v>1688</v>
      </c>
      <c r="B6" s="92" t="s">
        <v>1973</v>
      </c>
      <c r="C6" s="137" t="s">
        <v>1515</v>
      </c>
      <c r="D6" s="92" t="e">
        <f>VLOOKUP($A6,flows!$A$2:$J$4985,D$2,FALSE)/8760</f>
        <v>#N/A</v>
      </c>
      <c r="E6" s="92" t="e">
        <f>VLOOKUP($A6,flows!$A$2:$J$4985,E$2,FALSE)/8760</f>
        <v>#N/A</v>
      </c>
      <c r="F6" s="92" t="e">
        <f>VLOOKUP($A6,flows!$A$2:$J$4985,F$2,FALSE)/8760</f>
        <v>#N/A</v>
      </c>
      <c r="G6" s="92" t="e">
        <f>VLOOKUP($A6,flows!$A$2:$J$4985,G$2,FALSE)/8760</f>
        <v>#N/A</v>
      </c>
      <c r="H6" s="92" t="e">
        <f>VLOOKUP($A6,flows!$A$2:$J$4985,H$2,FALSE)/8760</f>
        <v>#N/A</v>
      </c>
      <c r="I6" s="92" t="e">
        <f>VLOOKUP($A6,flows!$A$2:$J$4985,I$2,FALSE)/8760</f>
        <v>#N/A</v>
      </c>
      <c r="J6" s="92" t="e">
        <f>VLOOKUP($A6,flows!$A$2:$J$4985,J$2,FALSE)/8760</f>
        <v>#N/A</v>
      </c>
      <c r="K6" s="92" t="e">
        <f>VLOOKUP($A6,flows!$A$2:$J$4985,K$2,FALSE)/8760</f>
        <v>#N/A</v>
      </c>
    </row>
    <row r="7" spans="1:11" x14ac:dyDescent="0.35">
      <c r="A7" s="40" t="s">
        <v>1689</v>
      </c>
      <c r="B7" s="137" t="s">
        <v>1974</v>
      </c>
      <c r="C7" s="137" t="s">
        <v>1516</v>
      </c>
      <c r="D7" s="92" t="e">
        <f>VLOOKUP($A7,flows!$A$2:$J$4985,D$2,FALSE)/8760</f>
        <v>#N/A</v>
      </c>
      <c r="E7" s="92" t="e">
        <f>VLOOKUP($A7,flows!$A$2:$J$4985,E$2,FALSE)/8760</f>
        <v>#N/A</v>
      </c>
      <c r="F7" s="92" t="e">
        <f>VLOOKUP($A7,flows!$A$2:$J$4985,F$2,FALSE)/8760</f>
        <v>#N/A</v>
      </c>
      <c r="G7" s="92" t="e">
        <f>VLOOKUP($A7,flows!$A$2:$J$4985,G$2,FALSE)/8760</f>
        <v>#N/A</v>
      </c>
      <c r="H7" s="92" t="e">
        <f>VLOOKUP($A7,flows!$A$2:$J$4985,H$2,FALSE)/8760</f>
        <v>#N/A</v>
      </c>
      <c r="I7" s="92" t="e">
        <f>VLOOKUP($A7,flows!$A$2:$J$4985,I$2,FALSE)/8760</f>
        <v>#N/A</v>
      </c>
      <c r="J7" s="92" t="e">
        <f>VLOOKUP($A7,flows!$A$2:$J$4985,J$2,FALSE)/8760</f>
        <v>#N/A</v>
      </c>
      <c r="K7" s="92" t="e">
        <f>VLOOKUP($A7,flows!$A$2:$J$4985,K$2,FALSE)/8760</f>
        <v>#N/A</v>
      </c>
    </row>
    <row r="8" spans="1:11" x14ac:dyDescent="0.35">
      <c r="A8" s="40"/>
      <c r="B8" s="92"/>
      <c r="C8" s="102" t="s">
        <v>1229</v>
      </c>
      <c r="D8" s="92" t="e">
        <f>SUM(D4:D7)</f>
        <v>#N/A</v>
      </c>
      <c r="E8" s="92" t="e">
        <f t="shared" ref="E8:K8" si="0">SUM(E4:E7)</f>
        <v>#N/A</v>
      </c>
      <c r="F8" s="92" t="e">
        <f t="shared" si="0"/>
        <v>#N/A</v>
      </c>
      <c r="G8" s="92" t="e">
        <f t="shared" si="0"/>
        <v>#N/A</v>
      </c>
      <c r="H8" s="92" t="e">
        <f t="shared" si="0"/>
        <v>#N/A</v>
      </c>
      <c r="I8" s="92" t="e">
        <f t="shared" si="0"/>
        <v>#N/A</v>
      </c>
      <c r="J8" s="92" t="e">
        <f t="shared" si="0"/>
        <v>#N/A</v>
      </c>
      <c r="K8" s="92" t="e">
        <f t="shared" si="0"/>
        <v>#N/A</v>
      </c>
    </row>
    <row r="9" spans="1:11" x14ac:dyDescent="0.35">
      <c r="A9" s="40"/>
      <c r="B9" s="92"/>
      <c r="C9" s="92"/>
      <c r="D9" s="92"/>
      <c r="E9" s="92"/>
      <c r="F9" s="92"/>
      <c r="G9" s="92"/>
      <c r="H9" s="92"/>
      <c r="I9" s="92"/>
      <c r="J9" s="92"/>
      <c r="K9" s="92"/>
    </row>
    <row r="10" spans="1:11" x14ac:dyDescent="0.35">
      <c r="A10" s="40"/>
      <c r="B10" s="92"/>
      <c r="C10" s="92"/>
      <c r="D10" s="92"/>
      <c r="E10" s="92"/>
      <c r="F10" s="92"/>
      <c r="G10" s="92"/>
      <c r="H10" s="92"/>
      <c r="I10" s="92"/>
      <c r="J10" s="92"/>
      <c r="K10" s="92"/>
    </row>
    <row r="11" spans="1:11" x14ac:dyDescent="0.35">
      <c r="A11" s="40" t="s">
        <v>1693</v>
      </c>
      <c r="B11" s="92" t="s">
        <v>1648</v>
      </c>
      <c r="C11" s="137" t="s">
        <v>1648</v>
      </c>
      <c r="D11" s="92" t="e">
        <f>VLOOKUP($A11,flows!$A$2:$J$4985,D$2,FALSE)/8760</f>
        <v>#N/A</v>
      </c>
      <c r="E11" s="92" t="e">
        <f>VLOOKUP($A11,flows!$A$2:$J$4985,E$2,FALSE)/8760</f>
        <v>#N/A</v>
      </c>
      <c r="F11" s="92" t="e">
        <f>VLOOKUP($A11,flows!$A$2:$J$4985,F$2,FALSE)/8760</f>
        <v>#N/A</v>
      </c>
      <c r="G11" s="92" t="e">
        <f>VLOOKUP($A11,flows!$A$2:$J$4985,G$2,FALSE)/8760</f>
        <v>#N/A</v>
      </c>
      <c r="H11" s="92" t="e">
        <f>VLOOKUP($A11,flows!$A$2:$J$4985,H$2,FALSE)/8760</f>
        <v>#N/A</v>
      </c>
      <c r="I11" s="92" t="e">
        <f>VLOOKUP($A11,flows!$A$2:$J$4985,I$2,FALSE)/8760</f>
        <v>#N/A</v>
      </c>
      <c r="J11" s="92" t="e">
        <f>VLOOKUP($A11,flows!$A$2:$J$4985,J$2,FALSE)/8760</f>
        <v>#N/A</v>
      </c>
      <c r="K11" s="92" t="e">
        <f>VLOOKUP($A11,flows!$A$2:$J$4985,K$2,FALSE)/8760</f>
        <v>#N/A</v>
      </c>
    </row>
    <row r="12" spans="1:11" x14ac:dyDescent="0.35">
      <c r="A12" s="40" t="s">
        <v>1692</v>
      </c>
      <c r="B12" s="92" t="s">
        <v>1975</v>
      </c>
      <c r="C12" s="137" t="s">
        <v>1626</v>
      </c>
      <c r="D12" s="92" t="e">
        <f>VLOOKUP($A12,flows!$A$2:$J$4985,D$2,FALSE)/8760</f>
        <v>#N/A</v>
      </c>
      <c r="E12" s="92" t="e">
        <f>VLOOKUP($A12,flows!$A$2:$J$4985,E$2,FALSE)/8760</f>
        <v>#N/A</v>
      </c>
      <c r="F12" s="92" t="e">
        <f>VLOOKUP($A12,flows!$A$2:$J$4985,F$2,FALSE)/8760</f>
        <v>#N/A</v>
      </c>
      <c r="G12" s="92" t="e">
        <f>VLOOKUP($A12,flows!$A$2:$J$4985,G$2,FALSE)/8760</f>
        <v>#N/A</v>
      </c>
      <c r="H12" s="92" t="e">
        <f>VLOOKUP($A12,flows!$A$2:$J$4985,H$2,FALSE)/8760</f>
        <v>#N/A</v>
      </c>
      <c r="I12" s="92" t="e">
        <f>VLOOKUP($A12,flows!$A$2:$J$4985,I$2,FALSE)/8760</f>
        <v>#N/A</v>
      </c>
      <c r="J12" s="92" t="e">
        <f>VLOOKUP($A12,flows!$A$2:$J$4985,J$2,FALSE)/8760</f>
        <v>#N/A</v>
      </c>
      <c r="K12" s="92" t="e">
        <f>VLOOKUP($A12,flows!$A$2:$J$4985,K$2,FALSE)/8760</f>
        <v>#N/A</v>
      </c>
    </row>
    <row r="13" spans="1:11" ht="15" thickBot="1" x14ac:dyDescent="0.4">
      <c r="A13" s="41"/>
      <c r="B13" s="77"/>
      <c r="C13" s="103" t="s">
        <v>1229</v>
      </c>
      <c r="D13" s="77" t="e">
        <f>SUM(D11:D12)</f>
        <v>#N/A</v>
      </c>
      <c r="E13" s="77" t="e">
        <f t="shared" ref="E13:K13" si="1">SUM(E11:E12)</f>
        <v>#N/A</v>
      </c>
      <c r="F13" s="77" t="e">
        <f t="shared" si="1"/>
        <v>#N/A</v>
      </c>
      <c r="G13" s="77" t="e">
        <f t="shared" si="1"/>
        <v>#N/A</v>
      </c>
      <c r="H13" s="77" t="e">
        <f t="shared" si="1"/>
        <v>#N/A</v>
      </c>
      <c r="I13" s="77" t="e">
        <f t="shared" si="1"/>
        <v>#N/A</v>
      </c>
      <c r="J13" s="77" t="e">
        <f t="shared" si="1"/>
        <v>#N/A</v>
      </c>
      <c r="K13" s="77" t="e">
        <f t="shared" si="1"/>
        <v>#N/A</v>
      </c>
    </row>
    <row r="14" spans="1:11" ht="15" thickBot="1" x14ac:dyDescent="0.4"/>
    <row r="15" spans="1:11" x14ac:dyDescent="0.35">
      <c r="A15" s="87" t="s">
        <v>1649</v>
      </c>
      <c r="B15" s="89"/>
      <c r="C15" s="89" t="s">
        <v>1650</v>
      </c>
      <c r="D15" s="89">
        <v>30</v>
      </c>
      <c r="E15" s="89">
        <v>30</v>
      </c>
      <c r="F15" s="89">
        <v>30</v>
      </c>
      <c r="G15" s="89">
        <v>30</v>
      </c>
      <c r="H15" s="89">
        <v>30</v>
      </c>
      <c r="I15" s="89">
        <v>30</v>
      </c>
      <c r="J15" s="89">
        <v>30</v>
      </c>
      <c r="K15" s="89">
        <v>30</v>
      </c>
    </row>
    <row r="16" spans="1:11" ht="15" thickBot="1" x14ac:dyDescent="0.4">
      <c r="A16" s="41" t="s">
        <v>1651</v>
      </c>
      <c r="B16" s="77"/>
      <c r="C16" s="77" t="s">
        <v>1650</v>
      </c>
      <c r="D16" s="77">
        <v>17</v>
      </c>
      <c r="E16" s="77">
        <f>0.46*17</f>
        <v>7.82</v>
      </c>
      <c r="F16" s="77">
        <f>0.76*17</f>
        <v>12.92</v>
      </c>
      <c r="G16" s="77">
        <v>17</v>
      </c>
      <c r="H16" s="77">
        <v>17</v>
      </c>
      <c r="I16" s="77">
        <v>17</v>
      </c>
      <c r="J16" s="77">
        <v>17</v>
      </c>
      <c r="K16" s="77">
        <v>17</v>
      </c>
    </row>
    <row r="18" spans="1:11" x14ac:dyDescent="0.35">
      <c r="C18" s="102"/>
      <c r="D18" s="92"/>
      <c r="E18" s="92"/>
      <c r="F18" s="92"/>
      <c r="G18" s="92"/>
      <c r="H18" s="92"/>
      <c r="I18" s="92"/>
      <c r="J18" s="92"/>
      <c r="K18" s="92"/>
    </row>
    <row r="19" spans="1:11" x14ac:dyDescent="0.35">
      <c r="A19" s="40"/>
      <c r="B19" s="92"/>
      <c r="C19" s="92"/>
      <c r="D19" s="92"/>
      <c r="E19" s="92"/>
      <c r="F19" s="92"/>
      <c r="G19" s="92"/>
      <c r="H19" s="92"/>
      <c r="I19" s="92"/>
      <c r="J19" s="92"/>
      <c r="K19" s="92"/>
    </row>
    <row r="20" spans="1:11" x14ac:dyDescent="0.35">
      <c r="A20" s="40"/>
      <c r="B20" s="92"/>
      <c r="C20" s="92"/>
      <c r="D20" s="92"/>
      <c r="E20" s="92"/>
      <c r="F20" s="92"/>
      <c r="G20" s="92"/>
      <c r="H20" s="92"/>
      <c r="I20" s="92"/>
      <c r="J20" s="92"/>
      <c r="K20" s="92"/>
    </row>
    <row r="21" spans="1:11" x14ac:dyDescent="0.35">
      <c r="A21" s="40"/>
      <c r="B21" s="92"/>
      <c r="C21" s="137"/>
      <c r="D21" s="92"/>
      <c r="E21" s="92"/>
      <c r="F21" s="92"/>
      <c r="G21" s="92"/>
      <c r="H21" s="92"/>
      <c r="I21" s="92"/>
      <c r="J21" s="92"/>
      <c r="K21" s="92"/>
    </row>
    <row r="22" spans="1:11" x14ac:dyDescent="0.35">
      <c r="A22" s="40"/>
      <c r="B22" s="137"/>
      <c r="C22" s="137"/>
      <c r="D22" s="92"/>
      <c r="E22" s="92"/>
      <c r="F22" s="92"/>
      <c r="G22" s="92"/>
      <c r="H22" s="92"/>
      <c r="I22" s="92"/>
      <c r="J22" s="92"/>
      <c r="K22" s="92"/>
    </row>
    <row r="23" spans="1:11" x14ac:dyDescent="0.35">
      <c r="A23" s="40"/>
      <c r="B23" s="92"/>
      <c r="C23" s="102"/>
      <c r="D23" s="92"/>
      <c r="E23" s="92"/>
      <c r="F23" s="92"/>
      <c r="G23" s="92"/>
      <c r="H23" s="92"/>
      <c r="I23" s="92"/>
      <c r="J23" s="92"/>
      <c r="K23" s="92"/>
    </row>
    <row r="24" spans="1:11" x14ac:dyDescent="0.35">
      <c r="A24" s="40"/>
      <c r="B24" s="92"/>
      <c r="C24" s="92"/>
      <c r="D24" s="92"/>
      <c r="E24" s="92"/>
      <c r="F24" s="92"/>
      <c r="G24" s="92"/>
      <c r="H24" s="92"/>
      <c r="I24" s="92"/>
      <c r="J24" s="92"/>
      <c r="K24" s="92"/>
    </row>
    <row r="25" spans="1:11" x14ac:dyDescent="0.35">
      <c r="A25" s="40"/>
      <c r="B25" s="92"/>
      <c r="C25" s="92"/>
      <c r="D25" s="92"/>
      <c r="E25" s="92"/>
      <c r="F25" s="92"/>
      <c r="G25" s="92"/>
      <c r="H25" s="92"/>
      <c r="I25" s="92"/>
      <c r="J25" s="92"/>
      <c r="K25" s="92"/>
    </row>
    <row r="26" spans="1:11" x14ac:dyDescent="0.35">
      <c r="A26" s="40"/>
      <c r="B26" s="92"/>
      <c r="C26" s="137"/>
      <c r="D26" s="92"/>
      <c r="E26" s="92"/>
      <c r="F26" s="92"/>
      <c r="G26" s="92"/>
      <c r="H26" s="92"/>
      <c r="I26" s="92"/>
      <c r="J26" s="92"/>
      <c r="K26" s="92"/>
    </row>
    <row r="27" spans="1:11" x14ac:dyDescent="0.35">
      <c r="A27" s="40"/>
      <c r="B27" s="92"/>
      <c r="C27" s="137"/>
      <c r="D27" s="92"/>
      <c r="E27" s="92"/>
      <c r="F27" s="92"/>
      <c r="G27" s="92"/>
      <c r="H27" s="92"/>
      <c r="I27" s="92"/>
      <c r="J27" s="92"/>
      <c r="K27" s="92"/>
    </row>
    <row r="28" spans="1:11" x14ac:dyDescent="0.35">
      <c r="C28" s="102"/>
      <c r="D28" s="92"/>
      <c r="E28" s="92"/>
      <c r="F28" s="92"/>
      <c r="G28" s="92"/>
      <c r="H28" s="92"/>
      <c r="I28" s="92"/>
      <c r="J28" s="92"/>
      <c r="K28" s="9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-0.499984740745262"/>
  </sheetPr>
  <dimension ref="A1:K18"/>
  <sheetViews>
    <sheetView zoomScaleNormal="100" workbookViewId="0">
      <selection activeCell="K15" sqref="K15"/>
    </sheetView>
  </sheetViews>
  <sheetFormatPr baseColWidth="10" defaultColWidth="11.453125" defaultRowHeight="14.5" x14ac:dyDescent="0.35"/>
  <cols>
    <col min="1" max="1" width="26.54296875" style="132" bestFit="1" customWidth="1"/>
    <col min="2" max="2" width="26.54296875" style="190" customWidth="1"/>
    <col min="3" max="3" width="12.54296875" style="132" bestFit="1" customWidth="1"/>
    <col min="4" max="16384" width="11.453125" style="132"/>
  </cols>
  <sheetData>
    <row r="1" spans="1:11" ht="15" thickBot="1" x14ac:dyDescent="0.4">
      <c r="D1" s="89">
        <v>2</v>
      </c>
      <c r="E1" s="89">
        <v>3</v>
      </c>
      <c r="F1" s="89">
        <v>4</v>
      </c>
      <c r="G1" s="89">
        <v>5</v>
      </c>
      <c r="H1" s="89">
        <v>6</v>
      </c>
      <c r="I1" s="89">
        <v>7</v>
      </c>
      <c r="J1" s="89">
        <v>8</v>
      </c>
      <c r="K1" s="89">
        <v>9</v>
      </c>
    </row>
    <row r="2" spans="1:11" x14ac:dyDescent="0.35">
      <c r="A2" s="87" t="s">
        <v>1415</v>
      </c>
      <c r="B2" s="89"/>
      <c r="C2" s="89"/>
      <c r="D2" s="133" t="s">
        <v>1417</v>
      </c>
      <c r="E2" s="133">
        <v>2020</v>
      </c>
      <c r="F2" s="133">
        <v>2025</v>
      </c>
      <c r="G2" s="133">
        <v>2030</v>
      </c>
      <c r="H2" s="133">
        <v>2035</v>
      </c>
      <c r="I2" s="133">
        <v>2040</v>
      </c>
      <c r="J2" s="133">
        <v>2045</v>
      </c>
      <c r="K2" s="133">
        <v>2050</v>
      </c>
    </row>
    <row r="3" spans="1:11" x14ac:dyDescent="0.35">
      <c r="A3" s="40" t="s">
        <v>1084</v>
      </c>
      <c r="B3" s="92" t="s">
        <v>1549</v>
      </c>
      <c r="C3" s="92" t="s">
        <v>1420</v>
      </c>
      <c r="D3" s="92" t="e">
        <f>VLOOKUP($A3,flows!$A$2:$J$4985,D$1,FALSE)</f>
        <v>#N/A</v>
      </c>
      <c r="E3" s="92" t="e">
        <f>VLOOKUP($A3,flows!$A$2:$J$4985,E$1,FALSE)</f>
        <v>#N/A</v>
      </c>
      <c r="F3" s="92" t="e">
        <f>VLOOKUP($A3,flows!$A$2:$J$4985,F$1,FALSE)</f>
        <v>#N/A</v>
      </c>
      <c r="G3" s="92" t="e">
        <f>VLOOKUP($A3,flows!$A$2:$J$4985,G$1,FALSE)</f>
        <v>#N/A</v>
      </c>
      <c r="H3" s="92" t="e">
        <f>VLOOKUP($A3,flows!$A$2:$J$4985,H$1,FALSE)</f>
        <v>#N/A</v>
      </c>
      <c r="I3" s="92" t="e">
        <f>VLOOKUP($A3,flows!$A$2:$J$4985,I$1,FALSE)</f>
        <v>#N/A</v>
      </c>
      <c r="J3" s="92" t="e">
        <f>VLOOKUP($A3,flows!$A$2:$J$4985,J$1,FALSE)</f>
        <v>#N/A</v>
      </c>
      <c r="K3" s="92" t="e">
        <f>VLOOKUP($A3,flows!$A$2:$J$4985,K$1,FALSE)</f>
        <v>#N/A</v>
      </c>
    </row>
    <row r="4" spans="1:11" x14ac:dyDescent="0.35">
      <c r="A4" s="40"/>
      <c r="B4" s="92" t="s">
        <v>1976</v>
      </c>
      <c r="C4" s="92" t="s">
        <v>1631</v>
      </c>
      <c r="D4" s="96">
        <f>110*1000/3.6</f>
        <v>30555.555555555555</v>
      </c>
      <c r="E4" s="96">
        <f>110*1000/3.6</f>
        <v>30555.555555555555</v>
      </c>
      <c r="F4" s="96">
        <f t="shared" ref="F4:K4" si="0">110*1000/3.6</f>
        <v>30555.555555555555</v>
      </c>
      <c r="G4" s="96">
        <f t="shared" si="0"/>
        <v>30555.555555555555</v>
      </c>
      <c r="H4" s="96">
        <f t="shared" si="0"/>
        <v>30555.555555555555</v>
      </c>
      <c r="I4" s="96">
        <f t="shared" si="0"/>
        <v>30555.555555555555</v>
      </c>
      <c r="J4" s="96">
        <f t="shared" si="0"/>
        <v>30555.555555555555</v>
      </c>
      <c r="K4" s="96">
        <f t="shared" si="0"/>
        <v>30555.555555555555</v>
      </c>
    </row>
    <row r="5" spans="1:11" x14ac:dyDescent="0.35">
      <c r="A5" s="40"/>
      <c r="B5" s="92" t="s">
        <v>1977</v>
      </c>
      <c r="C5" s="92" t="s">
        <v>1632</v>
      </c>
      <c r="D5" s="148" t="e">
        <f t="shared" ref="D5:K5" si="1">D3/D4</f>
        <v>#N/A</v>
      </c>
      <c r="E5" s="148" t="e">
        <f t="shared" si="1"/>
        <v>#N/A</v>
      </c>
      <c r="F5" s="148" t="e">
        <f t="shared" si="1"/>
        <v>#N/A</v>
      </c>
      <c r="G5" s="148" t="e">
        <f t="shared" si="1"/>
        <v>#N/A</v>
      </c>
      <c r="H5" s="148" t="e">
        <f t="shared" si="1"/>
        <v>#N/A</v>
      </c>
      <c r="I5" s="148" t="e">
        <f t="shared" si="1"/>
        <v>#N/A</v>
      </c>
      <c r="J5" s="148" t="e">
        <f t="shared" si="1"/>
        <v>#N/A</v>
      </c>
      <c r="K5" s="148" t="e">
        <f t="shared" si="1"/>
        <v>#N/A</v>
      </c>
    </row>
    <row r="6" spans="1:11" ht="15" thickBot="1" x14ac:dyDescent="0.4">
      <c r="A6" s="41"/>
      <c r="B6" s="77" t="s">
        <v>1978</v>
      </c>
      <c r="C6" s="138" t="s">
        <v>1633</v>
      </c>
      <c r="D6" s="149" t="e">
        <f>1-D5</f>
        <v>#N/A</v>
      </c>
      <c r="E6" s="149" t="e">
        <f t="shared" ref="E6:K6" si="2">1-E5</f>
        <v>#N/A</v>
      </c>
      <c r="F6" s="149" t="e">
        <f t="shared" si="2"/>
        <v>#N/A</v>
      </c>
      <c r="G6" s="149" t="e">
        <f t="shared" si="2"/>
        <v>#N/A</v>
      </c>
      <c r="H6" s="149" t="e">
        <f t="shared" si="2"/>
        <v>#N/A</v>
      </c>
      <c r="I6" s="149" t="e">
        <f t="shared" si="2"/>
        <v>#N/A</v>
      </c>
      <c r="J6" s="149" t="e">
        <f t="shared" si="2"/>
        <v>#N/A</v>
      </c>
      <c r="K6" s="149" t="e">
        <f t="shared" si="2"/>
        <v>#N/A</v>
      </c>
    </row>
    <row r="7" spans="1:11" ht="15" thickBot="1" x14ac:dyDescent="0.4">
      <c r="A7" s="92"/>
      <c r="B7" s="92"/>
      <c r="C7" s="137"/>
      <c r="D7" s="386"/>
      <c r="E7" s="386"/>
      <c r="F7" s="386"/>
      <c r="G7" s="386"/>
      <c r="H7" s="386"/>
      <c r="I7" s="386"/>
      <c r="J7" s="386"/>
      <c r="K7" s="386"/>
    </row>
    <row r="8" spans="1:11" ht="15" thickBot="1" x14ac:dyDescent="0.4">
      <c r="D8" s="89">
        <v>2</v>
      </c>
      <c r="E8" s="89">
        <v>3</v>
      </c>
      <c r="F8" s="89">
        <v>4</v>
      </c>
      <c r="G8" s="89">
        <v>5</v>
      </c>
      <c r="H8" s="89">
        <v>6</v>
      </c>
      <c r="I8" s="89">
        <v>7</v>
      </c>
      <c r="J8" s="89">
        <v>8</v>
      </c>
      <c r="K8" s="89">
        <v>9</v>
      </c>
    </row>
    <row r="9" spans="1:11" x14ac:dyDescent="0.35">
      <c r="A9" s="87" t="s">
        <v>1415</v>
      </c>
      <c r="B9" s="89"/>
      <c r="C9" s="89"/>
      <c r="D9" s="133" t="s">
        <v>1417</v>
      </c>
      <c r="E9" s="133">
        <v>2020</v>
      </c>
      <c r="F9" s="133">
        <v>2025</v>
      </c>
      <c r="G9" s="133">
        <v>2030</v>
      </c>
      <c r="H9" s="133">
        <v>2035</v>
      </c>
      <c r="I9" s="133">
        <v>2040</v>
      </c>
      <c r="J9" s="133">
        <v>2045</v>
      </c>
      <c r="K9" s="133">
        <v>2050</v>
      </c>
    </row>
    <row r="10" spans="1:11" x14ac:dyDescent="0.35">
      <c r="A10" s="40" t="s">
        <v>1074</v>
      </c>
      <c r="B10" s="137" t="s">
        <v>1981</v>
      </c>
      <c r="C10" s="92" t="s">
        <v>1641</v>
      </c>
      <c r="D10" s="92" t="e">
        <f>VLOOKUP($A10,flows!$A$2:$J$4985,D$8,FALSE)</f>
        <v>#N/A</v>
      </c>
      <c r="E10" s="92" t="e">
        <f>VLOOKUP($A10,flows!$A$2:$J$4985,E$8,FALSE)</f>
        <v>#N/A</v>
      </c>
      <c r="F10" s="92" t="e">
        <f>VLOOKUP($A10,flows!$A$2:$J$4985,F$8,FALSE)</f>
        <v>#N/A</v>
      </c>
      <c r="G10" s="92" t="e">
        <f>VLOOKUP($A10,flows!$A$2:$J$4985,G$8,FALSE)</f>
        <v>#N/A</v>
      </c>
      <c r="H10" s="92" t="e">
        <f>VLOOKUP($A10,flows!$A$2:$J$4985,H$8,FALSE)</f>
        <v>#N/A</v>
      </c>
      <c r="I10" s="92" t="e">
        <f>VLOOKUP($A10,flows!$A$2:$J$4985,I$8,FALSE)</f>
        <v>#N/A</v>
      </c>
      <c r="J10" s="92" t="e">
        <f>VLOOKUP($A10,flows!$A$2:$J$4985,J$8,FALSE)</f>
        <v>#N/A</v>
      </c>
      <c r="K10" s="92" t="e">
        <f>VLOOKUP($A10,flows!$A$2:$J$4985,K$8,FALSE)</f>
        <v>#N/A</v>
      </c>
    </row>
    <row r="11" spans="1:11" x14ac:dyDescent="0.35">
      <c r="A11" s="40" t="s">
        <v>1075</v>
      </c>
      <c r="B11" s="137" t="s">
        <v>1982</v>
      </c>
      <c r="C11" s="92" t="s">
        <v>1642</v>
      </c>
      <c r="D11" s="92" t="e">
        <f>VLOOKUP($A11,flows!$A$2:$J$4985,D$8,FALSE)</f>
        <v>#N/A</v>
      </c>
      <c r="E11" s="92" t="e">
        <f>VLOOKUP($A11,flows!$A$2:$J$4985,E$8,FALSE)</f>
        <v>#N/A</v>
      </c>
      <c r="F11" s="92" t="e">
        <f>VLOOKUP($A11,flows!$A$2:$J$4985,F$8,FALSE)</f>
        <v>#N/A</v>
      </c>
      <c r="G11" s="92" t="e">
        <f>VLOOKUP($A11,flows!$A$2:$J$4985,G$8,FALSE)</f>
        <v>#N/A</v>
      </c>
      <c r="H11" s="92" t="e">
        <f>VLOOKUP($A11,flows!$A$2:$J$4985,H$8,FALSE)</f>
        <v>#N/A</v>
      </c>
      <c r="I11" s="92" t="e">
        <f>VLOOKUP($A11,flows!$A$2:$J$4985,I$8,FALSE)</f>
        <v>#N/A</v>
      </c>
      <c r="J11" s="92" t="e">
        <f>VLOOKUP($A11,flows!$A$2:$J$4985,J$8,FALSE)</f>
        <v>#N/A</v>
      </c>
      <c r="K11" s="92" t="e">
        <f>VLOOKUP($A11,flows!$A$2:$J$4985,K$8,FALSE)</f>
        <v>#N/A</v>
      </c>
    </row>
    <row r="12" spans="1:11" x14ac:dyDescent="0.35">
      <c r="A12" s="40" t="s">
        <v>1076</v>
      </c>
      <c r="B12" s="137" t="s">
        <v>1983</v>
      </c>
      <c r="C12" s="92" t="s">
        <v>1643</v>
      </c>
      <c r="D12" s="92" t="e">
        <f>VLOOKUP($A12,flows!$A$2:$J$4985,D$8,FALSE)</f>
        <v>#N/A</v>
      </c>
      <c r="E12" s="92" t="e">
        <f>VLOOKUP($A12,flows!$A$2:$J$4985,E$8,FALSE)</f>
        <v>#N/A</v>
      </c>
      <c r="F12" s="92" t="e">
        <f>VLOOKUP($A12,flows!$A$2:$J$4985,F$8,FALSE)</f>
        <v>#N/A</v>
      </c>
      <c r="G12" s="92" t="e">
        <f>VLOOKUP($A12,flows!$A$2:$J$4985,G$8,FALSE)</f>
        <v>#N/A</v>
      </c>
      <c r="H12" s="92" t="e">
        <f>VLOOKUP($A12,flows!$A$2:$J$4985,H$8,FALSE)</f>
        <v>#N/A</v>
      </c>
      <c r="I12" s="92" t="e">
        <f>VLOOKUP($A12,flows!$A$2:$J$4985,I$8,FALSE)</f>
        <v>#N/A</v>
      </c>
      <c r="J12" s="92" t="e">
        <f>VLOOKUP($A12,flows!$A$2:$J$4985,J$8,FALSE)</f>
        <v>#N/A</v>
      </c>
      <c r="K12" s="92" t="e">
        <f>VLOOKUP($A12,flows!$A$2:$J$4985,K$8,FALSE)</f>
        <v>#N/A</v>
      </c>
    </row>
    <row r="13" spans="1:11" x14ac:dyDescent="0.35">
      <c r="A13" s="40" t="s">
        <v>1077</v>
      </c>
      <c r="B13" s="137" t="s">
        <v>1979</v>
      </c>
      <c r="C13" s="92" t="s">
        <v>1634</v>
      </c>
      <c r="D13" s="92" t="e">
        <f>VLOOKUP($A13,flows!$A$2:$J$4985,D$8,FALSE)</f>
        <v>#N/A</v>
      </c>
      <c r="E13" s="92" t="e">
        <f>VLOOKUP($A13,flows!$A$2:$J$4985,E$8,FALSE)</f>
        <v>#N/A</v>
      </c>
      <c r="F13" s="92" t="e">
        <f>VLOOKUP($A13,flows!$A$2:$J$4985,F$8,FALSE)</f>
        <v>#N/A</v>
      </c>
      <c r="G13" s="92" t="e">
        <f>VLOOKUP($A13,flows!$A$2:$J$4985,G$8,FALSE)</f>
        <v>#N/A</v>
      </c>
      <c r="H13" s="92" t="e">
        <f>VLOOKUP($A13,flows!$A$2:$J$4985,H$8,FALSE)</f>
        <v>#N/A</v>
      </c>
      <c r="I13" s="92" t="e">
        <f>VLOOKUP($A13,flows!$A$2:$J$4985,I$8,FALSE)</f>
        <v>#N/A</v>
      </c>
      <c r="J13" s="92" t="e">
        <f>VLOOKUP($A13,flows!$A$2:$J$4985,J$8,FALSE)</f>
        <v>#N/A</v>
      </c>
      <c r="K13" s="92" t="e">
        <f>VLOOKUP($A13,flows!$A$2:$J$4985,K$8,FALSE)</f>
        <v>#N/A</v>
      </c>
    </row>
    <row r="14" spans="1:11" x14ac:dyDescent="0.35">
      <c r="A14" s="40" t="s">
        <v>1078</v>
      </c>
      <c r="B14" s="137" t="s">
        <v>1980</v>
      </c>
      <c r="C14" s="92" t="s">
        <v>1644</v>
      </c>
      <c r="D14" s="92" t="e">
        <f>VLOOKUP($A14,flows!$A$2:$J$4985,D$8,FALSE)</f>
        <v>#N/A</v>
      </c>
      <c r="E14" s="92" t="e">
        <f>VLOOKUP($A14,flows!$A$2:$J$4985,E$8,FALSE)</f>
        <v>#N/A</v>
      </c>
      <c r="F14" s="92" t="e">
        <f>VLOOKUP($A14,flows!$A$2:$J$4985,F$8,FALSE)</f>
        <v>#N/A</v>
      </c>
      <c r="G14" s="92" t="e">
        <f>VLOOKUP($A14,flows!$A$2:$J$4985,G$8,FALSE)</f>
        <v>#N/A</v>
      </c>
      <c r="H14" s="92" t="e">
        <f>VLOOKUP($A14,flows!$A$2:$J$4985,H$8,FALSE)</f>
        <v>#N/A</v>
      </c>
      <c r="I14" s="92" t="e">
        <f>VLOOKUP($A14,flows!$A$2:$J$4985,I$8,FALSE)</f>
        <v>#N/A</v>
      </c>
      <c r="J14" s="92" t="e">
        <f>VLOOKUP($A14,flows!$A$2:$J$4985,J$8,FALSE)</f>
        <v>#N/A</v>
      </c>
      <c r="K14" s="92" t="e">
        <f>VLOOKUP($A14,flows!$A$2:$J$4985,K$8,FALSE)</f>
        <v>#N/A</v>
      </c>
    </row>
    <row r="15" spans="1:11" x14ac:dyDescent="0.35">
      <c r="A15" s="40" t="s">
        <v>1079</v>
      </c>
      <c r="B15" s="137" t="s">
        <v>1984</v>
      </c>
      <c r="C15" s="92" t="s">
        <v>1636</v>
      </c>
      <c r="D15" s="92" t="e">
        <f>VLOOKUP($A15,flows!$A$2:$J$4985,D$8,FALSE)</f>
        <v>#N/A</v>
      </c>
      <c r="E15" s="92" t="e">
        <f>VLOOKUP($A15,flows!$A$2:$J$4985,E$8,FALSE)</f>
        <v>#N/A</v>
      </c>
      <c r="F15" s="92" t="e">
        <f>VLOOKUP($A15,flows!$A$2:$J$4985,F$8,FALSE)</f>
        <v>#N/A</v>
      </c>
      <c r="G15" s="92" t="e">
        <f>VLOOKUP($A15,flows!$A$2:$J$4985,G$8,FALSE)</f>
        <v>#N/A</v>
      </c>
      <c r="H15" s="92" t="e">
        <f>VLOOKUP($A15,flows!$A$2:$J$4985,H$8,FALSE)</f>
        <v>#N/A</v>
      </c>
      <c r="I15" s="92" t="e">
        <f>VLOOKUP($A15,flows!$A$2:$J$4985,I$8,FALSE)</f>
        <v>#N/A</v>
      </c>
      <c r="J15" s="92" t="e">
        <f>VLOOKUP($A15,flows!$A$2:$J$4985,J$8,FALSE)</f>
        <v>#N/A</v>
      </c>
      <c r="K15" s="92" t="e">
        <f>VLOOKUP($A15,flows!$A$2:$J$4985,K$8,FALSE)</f>
        <v>#N/A</v>
      </c>
    </row>
    <row r="16" spans="1:11" x14ac:dyDescent="0.35">
      <c r="A16" s="40" t="s">
        <v>1080</v>
      </c>
      <c r="B16" s="137" t="s">
        <v>1985</v>
      </c>
      <c r="C16" s="92" t="s">
        <v>1628</v>
      </c>
      <c r="D16" s="92" t="e">
        <f>VLOOKUP($A16,flows!$A$2:$J$4985,D$8,FALSE)</f>
        <v>#N/A</v>
      </c>
      <c r="E16" s="92" t="e">
        <f>VLOOKUP($A16,flows!$A$2:$J$4985,E$8,FALSE)</f>
        <v>#N/A</v>
      </c>
      <c r="F16" s="92" t="e">
        <f>VLOOKUP($A16,flows!$A$2:$J$4985,F$8,FALSE)</f>
        <v>#N/A</v>
      </c>
      <c r="G16" s="92" t="e">
        <f>VLOOKUP($A16,flows!$A$2:$J$4985,G$8,FALSE)</f>
        <v>#N/A</v>
      </c>
      <c r="H16" s="92" t="e">
        <f>VLOOKUP($A16,flows!$A$2:$J$4985,H$8,FALSE)</f>
        <v>#N/A</v>
      </c>
      <c r="I16" s="92" t="e">
        <f>VLOOKUP($A16,flows!$A$2:$J$4985,I$8,FALSE)</f>
        <v>#N/A</v>
      </c>
      <c r="J16" s="92" t="e">
        <f>VLOOKUP($A16,flows!$A$2:$J$4985,J$8,FALSE)</f>
        <v>#N/A</v>
      </c>
      <c r="K16" s="92" t="e">
        <f>VLOOKUP($A16,flows!$A$2:$J$4985,K$8,FALSE)</f>
        <v>#N/A</v>
      </c>
    </row>
    <row r="17" spans="1:11" x14ac:dyDescent="0.35">
      <c r="A17" s="40" t="s">
        <v>1081</v>
      </c>
      <c r="B17" s="137" t="s">
        <v>1986</v>
      </c>
      <c r="C17" s="92" t="s">
        <v>1646</v>
      </c>
      <c r="D17" s="92" t="e">
        <f>VLOOKUP($A17,flows!$A$2:$J$4985,D$8,FALSE)</f>
        <v>#N/A</v>
      </c>
      <c r="E17" s="92" t="e">
        <f>VLOOKUP($A17,flows!$A$2:$J$4985,E$8,FALSE)</f>
        <v>#N/A</v>
      </c>
      <c r="F17" s="92" t="e">
        <f>VLOOKUP($A17,flows!$A$2:$J$4985,F$8,FALSE)</f>
        <v>#N/A</v>
      </c>
      <c r="G17" s="92" t="e">
        <f>VLOOKUP($A17,flows!$A$2:$J$4985,G$8,FALSE)</f>
        <v>#N/A</v>
      </c>
      <c r="H17" s="92" t="e">
        <f>VLOOKUP($A17,flows!$A$2:$J$4985,H$8,FALSE)</f>
        <v>#N/A</v>
      </c>
      <c r="I17" s="92" t="e">
        <f>VLOOKUP($A17,flows!$A$2:$J$4985,I$8,FALSE)</f>
        <v>#N/A</v>
      </c>
      <c r="J17" s="92" t="e">
        <f>VLOOKUP($A17,flows!$A$2:$J$4985,J$8,FALSE)</f>
        <v>#N/A</v>
      </c>
      <c r="K17" s="92" t="e">
        <f>VLOOKUP($A17,flows!$A$2:$J$4985,K$8,FALSE)</f>
        <v>#N/A</v>
      </c>
    </row>
    <row r="18" spans="1:11" ht="15" thickBot="1" x14ac:dyDescent="0.4">
      <c r="A18" s="41" t="s">
        <v>1082</v>
      </c>
      <c r="B18" s="77" t="s">
        <v>1987</v>
      </c>
      <c r="C18" s="77" t="s">
        <v>1639</v>
      </c>
      <c r="D18" s="92" t="e">
        <f>VLOOKUP($A18,flows!$A$2:$J$4985,D$8,FALSE)</f>
        <v>#N/A</v>
      </c>
      <c r="E18" s="92" t="e">
        <f>VLOOKUP($A18,flows!$A$2:$J$4985,E$8,FALSE)</f>
        <v>#N/A</v>
      </c>
      <c r="F18" s="92" t="e">
        <f>VLOOKUP($A18,flows!$A$2:$J$4985,F$8,FALSE)</f>
        <v>#N/A</v>
      </c>
      <c r="G18" s="92" t="e">
        <f>VLOOKUP($A18,flows!$A$2:$J$4985,G$8,FALSE)</f>
        <v>#N/A</v>
      </c>
      <c r="H18" s="92" t="e">
        <f>VLOOKUP($A18,flows!$A$2:$J$4985,H$8,FALSE)</f>
        <v>#N/A</v>
      </c>
      <c r="I18" s="92" t="e">
        <f>VLOOKUP($A18,flows!$A$2:$J$4985,I$8,FALSE)</f>
        <v>#N/A</v>
      </c>
      <c r="J18" s="92" t="e">
        <f>VLOOKUP($A18,flows!$A$2:$J$4985,J$8,FALSE)</f>
        <v>#N/A</v>
      </c>
      <c r="K18" s="92" t="e">
        <f>VLOOKUP($A18,flows!$A$2:$J$4985,K$8,FALSE)</f>
        <v>#N/A</v>
      </c>
    </row>
  </sheetData>
  <pageMargins left="0.7" right="0.7" top="0.78740157499999996" bottom="0.78740157499999996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-0.499984740745262"/>
  </sheetPr>
  <dimension ref="A1:K34"/>
  <sheetViews>
    <sheetView zoomScaleNormal="100" workbookViewId="0">
      <selection activeCell="J42" sqref="J42"/>
    </sheetView>
  </sheetViews>
  <sheetFormatPr baseColWidth="10" defaultColWidth="11.453125" defaultRowHeight="14.5" x14ac:dyDescent="0.35"/>
  <cols>
    <col min="1" max="1" width="34.54296875" style="132" bestFit="1" customWidth="1"/>
    <col min="2" max="2" width="34.54296875" style="190" customWidth="1"/>
    <col min="3" max="3" width="13.54296875" style="132" customWidth="1"/>
    <col min="4" max="16384" width="11.453125" style="132"/>
  </cols>
  <sheetData>
    <row r="1" spans="1:11" ht="15" thickBot="1" x14ac:dyDescent="0.4">
      <c r="D1" s="89">
        <v>2</v>
      </c>
      <c r="E1" s="89">
        <v>3</v>
      </c>
      <c r="F1" s="89">
        <v>4</v>
      </c>
      <c r="G1" s="89">
        <v>5</v>
      </c>
      <c r="H1" s="89">
        <v>6</v>
      </c>
      <c r="I1" s="89">
        <v>7</v>
      </c>
      <c r="J1" s="89">
        <v>8</v>
      </c>
      <c r="K1" s="89">
        <v>9</v>
      </c>
    </row>
    <row r="2" spans="1:11" x14ac:dyDescent="0.35">
      <c r="A2" s="87" t="s">
        <v>1415</v>
      </c>
      <c r="B2" s="89"/>
      <c r="C2" s="89"/>
      <c r="D2" s="133" t="s">
        <v>1417</v>
      </c>
      <c r="E2" s="133">
        <v>2020</v>
      </c>
      <c r="F2" s="133">
        <v>2025</v>
      </c>
      <c r="G2" s="133">
        <v>2030</v>
      </c>
      <c r="H2" s="133">
        <v>2035</v>
      </c>
      <c r="I2" s="133">
        <v>2040</v>
      </c>
      <c r="J2" s="133">
        <v>2045</v>
      </c>
      <c r="K2" s="133">
        <v>2050</v>
      </c>
    </row>
    <row r="3" spans="1:11" x14ac:dyDescent="0.35">
      <c r="A3" s="40" t="s">
        <v>862</v>
      </c>
      <c r="B3" s="92" t="s">
        <v>1988</v>
      </c>
      <c r="C3" s="92" t="s">
        <v>1510</v>
      </c>
      <c r="D3" s="92" t="e">
        <f>VLOOKUP($A3,flows!$A$2:$J$4985,D$1,FALSE)</f>
        <v>#N/A</v>
      </c>
      <c r="E3" s="92" t="e">
        <f>VLOOKUP($A3,flows!$A$2:$J$4985,E$1,FALSE)</f>
        <v>#N/A</v>
      </c>
      <c r="F3" s="92" t="e">
        <f>VLOOKUP($A3,flows!$A$2:$J$4985,F$1,FALSE)</f>
        <v>#N/A</v>
      </c>
      <c r="G3" s="92" t="e">
        <f>VLOOKUP($A3,flows!$A$2:$J$4985,G$1,FALSE)</f>
        <v>#N/A</v>
      </c>
      <c r="H3" s="92" t="e">
        <f>VLOOKUP($A3,flows!$A$2:$J$4985,H$1,FALSE)</f>
        <v>#N/A</v>
      </c>
      <c r="I3" s="92" t="e">
        <f>VLOOKUP($A3,flows!$A$2:$J$4985,I$1,FALSE)</f>
        <v>#N/A</v>
      </c>
      <c r="J3" s="92" t="e">
        <f>VLOOKUP($A3,flows!$A$2:$J$4985,J$1,FALSE)</f>
        <v>#N/A</v>
      </c>
      <c r="K3" s="92" t="e">
        <f>VLOOKUP($A3,flows!$A$2:$J$4985,K$1,FALSE)</f>
        <v>#N/A</v>
      </c>
    </row>
    <row r="4" spans="1:11" x14ac:dyDescent="0.35">
      <c r="A4" s="40" t="s">
        <v>1129</v>
      </c>
      <c r="B4" s="92" t="s">
        <v>1989</v>
      </c>
      <c r="C4" s="92" t="s">
        <v>1418</v>
      </c>
      <c r="D4" s="92" t="e">
        <f>VLOOKUP($A4,flows!$A$2:$J$2900,D$1,FALSE)</f>
        <v>#N/A</v>
      </c>
      <c r="E4" s="92" t="e">
        <f>VLOOKUP($A4,flows!$A$2:$J$2900,E$1,FALSE)</f>
        <v>#N/A</v>
      </c>
      <c r="F4" s="92" t="e">
        <f>VLOOKUP($A4,flows!$A$2:$J$2900,F$1,FALSE)</f>
        <v>#N/A</v>
      </c>
      <c r="G4" s="92" t="e">
        <f>VLOOKUP($A4,flows!$A$2:$J$2900,G$1,FALSE)</f>
        <v>#N/A</v>
      </c>
      <c r="H4" s="92" t="e">
        <f>VLOOKUP($A4,flows!$A$2:$J$2900,H$1,FALSE)</f>
        <v>#N/A</v>
      </c>
      <c r="I4" s="92" t="e">
        <f>VLOOKUP($A4,flows!$A$2:$J$2900,I$1,FALSE)</f>
        <v>#N/A</v>
      </c>
      <c r="J4" s="92" t="e">
        <f>VLOOKUP($A4,flows!$A$2:$J$2900,J$1,FALSE)</f>
        <v>#N/A</v>
      </c>
      <c r="K4" s="92" t="e">
        <f>VLOOKUP($A4,flows!$A$2:$J$2900,K$1,FALSE)</f>
        <v>#N/A</v>
      </c>
    </row>
    <row r="5" spans="1:11" x14ac:dyDescent="0.35">
      <c r="A5" s="40" t="s">
        <v>1121</v>
      </c>
      <c r="B5" s="92" t="s">
        <v>1990</v>
      </c>
      <c r="C5" s="92" t="s">
        <v>1422</v>
      </c>
      <c r="D5" s="92" t="e">
        <f>VLOOKUP($A5,flows!$A$2:$J$4985,D$1,FALSE)</f>
        <v>#N/A</v>
      </c>
      <c r="E5" s="92" t="e">
        <f>VLOOKUP($A5,flows!$A$2:$J$4985,E$1,FALSE)</f>
        <v>#N/A</v>
      </c>
      <c r="F5" s="92" t="e">
        <f>VLOOKUP($A5,flows!$A$2:$J$4985,F$1,FALSE)</f>
        <v>#N/A</v>
      </c>
      <c r="G5" s="92" t="e">
        <f>VLOOKUP($A5,flows!$A$2:$J$4985,G$1,FALSE)</f>
        <v>#N/A</v>
      </c>
      <c r="H5" s="92" t="e">
        <f>VLOOKUP($A5,flows!$A$2:$J$4985,H$1,FALSE)</f>
        <v>#N/A</v>
      </c>
      <c r="I5" s="92" t="e">
        <f>VLOOKUP($A5,flows!$A$2:$J$4985,I$1,FALSE)</f>
        <v>#N/A</v>
      </c>
      <c r="J5" s="92" t="e">
        <f>VLOOKUP($A5,flows!$A$2:$J$4985,J$1,FALSE)</f>
        <v>#N/A</v>
      </c>
      <c r="K5" s="92" t="e">
        <f>VLOOKUP($A5,flows!$A$2:$J$4985,K$1,FALSE)</f>
        <v>#N/A</v>
      </c>
    </row>
    <row r="6" spans="1:11" x14ac:dyDescent="0.35">
      <c r="A6" s="40" t="s">
        <v>1696</v>
      </c>
      <c r="B6" s="137" t="s">
        <v>1995</v>
      </c>
      <c r="C6" s="137" t="s">
        <v>1629</v>
      </c>
      <c r="D6" s="92" t="e">
        <f>VLOOKUP($A6,flows!$A$2:$J$4985,D$1,FALSE)</f>
        <v>#N/A</v>
      </c>
      <c r="E6" s="92" t="e">
        <f>VLOOKUP($A6,flows!$A$2:$J$4985,E$1,FALSE)</f>
        <v>#N/A</v>
      </c>
      <c r="F6" s="92" t="e">
        <f>VLOOKUP($A6,flows!$A$2:$J$4985,F$1,FALSE)</f>
        <v>#N/A</v>
      </c>
      <c r="G6" s="92" t="e">
        <f>VLOOKUP($A6,flows!$A$2:$J$4985,G$1,FALSE)</f>
        <v>#N/A</v>
      </c>
      <c r="H6" s="92" t="e">
        <f>VLOOKUP($A6,flows!$A$2:$J$4985,H$1,FALSE)</f>
        <v>#N/A</v>
      </c>
      <c r="I6" s="92" t="e">
        <f>VLOOKUP($A6,flows!$A$2:$J$4985,I$1,FALSE)</f>
        <v>#N/A</v>
      </c>
      <c r="J6" s="92" t="e">
        <f>VLOOKUP($A6,flows!$A$2:$J$4985,J$1,FALSE)</f>
        <v>#N/A</v>
      </c>
      <c r="K6" s="92" t="e">
        <f>VLOOKUP($A6,flows!$A$2:$J$4985,K$1,FALSE)</f>
        <v>#N/A</v>
      </c>
    </row>
    <row r="7" spans="1:11" ht="15" thickBot="1" x14ac:dyDescent="0.4">
      <c r="A7" s="41" t="s">
        <v>1697</v>
      </c>
      <c r="B7" s="77" t="s">
        <v>1996</v>
      </c>
      <c r="C7" s="77" t="s">
        <v>1630</v>
      </c>
      <c r="D7" s="92" t="e">
        <f>VLOOKUP($A7,flows!$A$2:$J$4985,D$1,FALSE)</f>
        <v>#N/A</v>
      </c>
      <c r="E7" s="92" t="e">
        <f>VLOOKUP($A7,flows!$A$2:$J$4985,E$1,FALSE)</f>
        <v>#N/A</v>
      </c>
      <c r="F7" s="92" t="e">
        <f>VLOOKUP($A7,flows!$A$2:$J$4985,F$1,FALSE)</f>
        <v>#N/A</v>
      </c>
      <c r="G7" s="92" t="e">
        <f>VLOOKUP($A7,flows!$A$2:$J$4985,G$1,FALSE)</f>
        <v>#N/A</v>
      </c>
      <c r="H7" s="92" t="e">
        <f>VLOOKUP($A7,flows!$A$2:$J$4985,H$1,FALSE)</f>
        <v>#N/A</v>
      </c>
      <c r="I7" s="92" t="e">
        <f>VLOOKUP($A7,flows!$A$2:$J$4985,I$1,FALSE)</f>
        <v>#N/A</v>
      </c>
      <c r="J7" s="92" t="e">
        <f>VLOOKUP($A7,flows!$A$2:$J$4985,J$1,FALSE)</f>
        <v>#N/A</v>
      </c>
      <c r="K7" s="92" t="e">
        <f>VLOOKUP($A7,flows!$A$2:$J$4985,K$1,FALSE)</f>
        <v>#N/A</v>
      </c>
    </row>
    <row r="9" spans="1:11" x14ac:dyDescent="0.35">
      <c r="C9" s="145" t="s">
        <v>1631</v>
      </c>
    </row>
    <row r="10" spans="1:11" x14ac:dyDescent="0.35">
      <c r="B10" s="92" t="s">
        <v>1988</v>
      </c>
      <c r="C10" s="132" t="s">
        <v>1510</v>
      </c>
      <c r="D10" s="132">
        <v>16111</v>
      </c>
      <c r="E10" s="132">
        <v>16111</v>
      </c>
      <c r="F10" s="132">
        <v>16111</v>
      </c>
      <c r="G10" s="132">
        <v>16111</v>
      </c>
      <c r="H10" s="132">
        <v>16111</v>
      </c>
      <c r="I10" s="132">
        <v>16111</v>
      </c>
      <c r="J10" s="132">
        <v>16111</v>
      </c>
      <c r="K10" s="132">
        <v>16111</v>
      </c>
    </row>
    <row r="11" spans="1:11" x14ac:dyDescent="0.35">
      <c r="B11" s="92" t="s">
        <v>1989</v>
      </c>
      <c r="C11" s="132" t="s">
        <v>1418</v>
      </c>
      <c r="D11" s="132">
        <v>141944</v>
      </c>
      <c r="E11" s="132">
        <v>141944</v>
      </c>
      <c r="F11" s="132">
        <v>141944</v>
      </c>
      <c r="G11" s="132">
        <v>141944</v>
      </c>
      <c r="H11" s="132">
        <v>141944</v>
      </c>
      <c r="I11" s="132">
        <v>141944</v>
      </c>
      <c r="J11" s="132">
        <v>141944</v>
      </c>
      <c r="K11" s="132">
        <v>141944</v>
      </c>
    </row>
    <row r="12" spans="1:11" x14ac:dyDescent="0.35">
      <c r="B12" s="92" t="s">
        <v>1990</v>
      </c>
      <c r="C12" s="132" t="s">
        <v>1422</v>
      </c>
      <c r="D12" s="132">
        <v>30559</v>
      </c>
      <c r="E12" s="132">
        <v>31000</v>
      </c>
      <c r="F12" s="132">
        <v>31000</v>
      </c>
      <c r="G12" s="132">
        <v>31000</v>
      </c>
      <c r="H12" s="132">
        <v>31000</v>
      </c>
      <c r="I12" s="132">
        <v>31000</v>
      </c>
      <c r="J12" s="132">
        <v>31000</v>
      </c>
      <c r="K12" s="132">
        <v>31000</v>
      </c>
    </row>
    <row r="14" spans="1:11" x14ac:dyDescent="0.35">
      <c r="C14" s="133" t="s">
        <v>1510</v>
      </c>
    </row>
    <row r="15" spans="1:11" x14ac:dyDescent="0.35">
      <c r="B15" s="190" t="s">
        <v>1977</v>
      </c>
      <c r="C15" s="132" t="s">
        <v>1632</v>
      </c>
      <c r="D15" s="146" t="e">
        <f>D3/D10</f>
        <v>#N/A</v>
      </c>
      <c r="E15" s="146" t="e">
        <f t="shared" ref="E15:K15" si="0">E3/E10</f>
        <v>#N/A</v>
      </c>
      <c r="F15" s="146" t="e">
        <f t="shared" si="0"/>
        <v>#N/A</v>
      </c>
      <c r="G15" s="146" t="e">
        <f t="shared" si="0"/>
        <v>#N/A</v>
      </c>
      <c r="H15" s="146" t="e">
        <f t="shared" si="0"/>
        <v>#N/A</v>
      </c>
      <c r="I15" s="146" t="e">
        <f t="shared" si="0"/>
        <v>#N/A</v>
      </c>
      <c r="J15" s="146" t="e">
        <f t="shared" si="0"/>
        <v>#N/A</v>
      </c>
      <c r="K15" s="146" t="e">
        <f t="shared" si="0"/>
        <v>#N/A</v>
      </c>
    </row>
    <row r="16" spans="1:11" x14ac:dyDescent="0.35">
      <c r="B16" s="190" t="s">
        <v>1978</v>
      </c>
      <c r="C16" s="132" t="s">
        <v>1633</v>
      </c>
      <c r="D16" s="147" t="e">
        <f>1-D15</f>
        <v>#N/A</v>
      </c>
      <c r="E16" s="147" t="e">
        <f t="shared" ref="E16:K16" si="1">1-E15</f>
        <v>#N/A</v>
      </c>
      <c r="F16" s="147" t="e">
        <f t="shared" si="1"/>
        <v>#N/A</v>
      </c>
      <c r="G16" s="147" t="e">
        <f t="shared" si="1"/>
        <v>#N/A</v>
      </c>
      <c r="H16" s="147" t="e">
        <f t="shared" si="1"/>
        <v>#N/A</v>
      </c>
      <c r="I16" s="147" t="e">
        <f t="shared" si="1"/>
        <v>#N/A</v>
      </c>
      <c r="J16" s="147" t="e">
        <f t="shared" si="1"/>
        <v>#N/A</v>
      </c>
      <c r="K16" s="147" t="e">
        <f t="shared" si="1"/>
        <v>#N/A</v>
      </c>
    </row>
    <row r="17" spans="1:11" x14ac:dyDescent="0.35">
      <c r="C17" s="133" t="s">
        <v>1418</v>
      </c>
    </row>
    <row r="18" spans="1:11" x14ac:dyDescent="0.35">
      <c r="B18" s="190" t="s">
        <v>1977</v>
      </c>
      <c r="C18" s="132" t="s">
        <v>1632</v>
      </c>
      <c r="D18" s="146" t="e">
        <f>D4/D11</f>
        <v>#N/A</v>
      </c>
      <c r="E18" s="146" t="e">
        <f>E4/E11</f>
        <v>#N/A</v>
      </c>
      <c r="F18" s="146" t="e">
        <f t="shared" ref="F18:K18" si="2">F4/F11</f>
        <v>#N/A</v>
      </c>
      <c r="G18" s="146" t="e">
        <f t="shared" si="2"/>
        <v>#N/A</v>
      </c>
      <c r="H18" s="146" t="e">
        <f t="shared" si="2"/>
        <v>#N/A</v>
      </c>
      <c r="I18" s="146" t="e">
        <f t="shared" si="2"/>
        <v>#N/A</v>
      </c>
      <c r="J18" s="146" t="e">
        <f t="shared" si="2"/>
        <v>#N/A</v>
      </c>
      <c r="K18" s="146" t="e">
        <f t="shared" si="2"/>
        <v>#N/A</v>
      </c>
    </row>
    <row r="19" spans="1:11" ht="15" thickBot="1" x14ac:dyDescent="0.4">
      <c r="B19" s="190" t="s">
        <v>1978</v>
      </c>
      <c r="C19" s="132" t="s">
        <v>1633</v>
      </c>
      <c r="D19" s="147" t="e">
        <f>1-D18</f>
        <v>#N/A</v>
      </c>
      <c r="E19" s="147" t="e">
        <f>1-E18</f>
        <v>#N/A</v>
      </c>
      <c r="F19" s="147" t="e">
        <f t="shared" ref="F19:K19" si="3">1-F18</f>
        <v>#N/A</v>
      </c>
      <c r="G19" s="147" t="e">
        <f t="shared" si="3"/>
        <v>#N/A</v>
      </c>
      <c r="H19" s="147" t="e">
        <f t="shared" si="3"/>
        <v>#N/A</v>
      </c>
      <c r="I19" s="147" t="e">
        <f t="shared" si="3"/>
        <v>#N/A</v>
      </c>
      <c r="J19" s="147" t="e">
        <f t="shared" si="3"/>
        <v>#N/A</v>
      </c>
      <c r="K19" s="147" t="e">
        <f t="shared" si="3"/>
        <v>#N/A</v>
      </c>
    </row>
    <row r="20" spans="1:11" ht="15" thickBot="1" x14ac:dyDescent="0.4">
      <c r="C20" s="133"/>
      <c r="D20" s="89">
        <v>2</v>
      </c>
      <c r="E20" s="89">
        <v>3</v>
      </c>
      <c r="F20" s="89">
        <v>4</v>
      </c>
      <c r="G20" s="89">
        <v>5</v>
      </c>
      <c r="H20" s="89">
        <v>6</v>
      </c>
      <c r="I20" s="89">
        <v>7</v>
      </c>
      <c r="J20" s="89">
        <v>8</v>
      </c>
      <c r="K20" s="89">
        <v>9</v>
      </c>
    </row>
    <row r="21" spans="1:11" x14ac:dyDescent="0.35">
      <c r="A21" s="87" t="s">
        <v>1415</v>
      </c>
      <c r="B21" s="89"/>
      <c r="C21" s="89"/>
      <c r="D21" s="133" t="s">
        <v>1417</v>
      </c>
      <c r="E21" s="133">
        <v>2020</v>
      </c>
      <c r="F21" s="133">
        <v>2025</v>
      </c>
      <c r="G21" s="133">
        <v>2030</v>
      </c>
      <c r="H21" s="133">
        <v>2035</v>
      </c>
      <c r="I21" s="133">
        <v>2040</v>
      </c>
      <c r="J21" s="133">
        <v>2045</v>
      </c>
      <c r="K21" s="133">
        <v>2050</v>
      </c>
    </row>
    <row r="22" spans="1:11" x14ac:dyDescent="0.35">
      <c r="A22" s="40" t="s">
        <v>635</v>
      </c>
      <c r="B22" s="92" t="s">
        <v>1979</v>
      </c>
      <c r="C22" s="92" t="s">
        <v>1634</v>
      </c>
      <c r="D22" s="92" t="e">
        <f>VLOOKUP($A22,flows!$A$2:$J$4985,D$1,FALSE)</f>
        <v>#N/A</v>
      </c>
      <c r="E22" s="92" t="e">
        <f>VLOOKUP($A22,flows!$A$2:$J$4985,E$1,FALSE)</f>
        <v>#N/A</v>
      </c>
      <c r="F22" s="92" t="e">
        <f>VLOOKUP($A22,flows!$A$2:$J$4985,F$1,FALSE)</f>
        <v>#N/A</v>
      </c>
      <c r="G22" s="92" t="e">
        <f>VLOOKUP($A22,flows!$A$2:$J$4985,G$1,FALSE)</f>
        <v>#N/A</v>
      </c>
      <c r="H22" s="92" t="e">
        <f>VLOOKUP($A22,flows!$A$2:$J$4985,H$1,FALSE)</f>
        <v>#N/A</v>
      </c>
      <c r="I22" s="92" t="e">
        <f>VLOOKUP($A22,flows!$A$2:$J$4985,I$1,FALSE)</f>
        <v>#N/A</v>
      </c>
      <c r="J22" s="92" t="e">
        <f>VLOOKUP($A22,flows!$A$2:$J$4985,J$1,FALSE)</f>
        <v>#N/A</v>
      </c>
      <c r="K22" s="92" t="e">
        <f>VLOOKUP($A22,flows!$A$2:$J$4985,K$1,FALSE)</f>
        <v>#N/A</v>
      </c>
    </row>
    <row r="23" spans="1:11" x14ac:dyDescent="0.35">
      <c r="A23" s="40" t="s">
        <v>636</v>
      </c>
      <c r="B23" s="137" t="s">
        <v>1991</v>
      </c>
      <c r="C23" s="92" t="s">
        <v>1635</v>
      </c>
      <c r="D23" s="92" t="e">
        <f>VLOOKUP($A23,flows!$A$2:$J$4985,D$1,FALSE)</f>
        <v>#N/A</v>
      </c>
      <c r="E23" s="92" t="e">
        <f>VLOOKUP($A23,flows!$A$2:$J$4985,E$1,FALSE)</f>
        <v>#N/A</v>
      </c>
      <c r="F23" s="92" t="e">
        <f>VLOOKUP($A23,flows!$A$2:$J$4985,F$1,FALSE)</f>
        <v>#N/A</v>
      </c>
      <c r="G23" s="92" t="e">
        <f>VLOOKUP($A23,flows!$A$2:$J$4985,G$1,FALSE)</f>
        <v>#N/A</v>
      </c>
      <c r="H23" s="92" t="e">
        <f>VLOOKUP($A23,flows!$A$2:$J$4985,H$1,FALSE)</f>
        <v>#N/A</v>
      </c>
      <c r="I23" s="92" t="e">
        <f>VLOOKUP($A23,flows!$A$2:$J$4985,I$1,FALSE)</f>
        <v>#N/A</v>
      </c>
      <c r="J23" s="92" t="e">
        <f>VLOOKUP($A23,flows!$A$2:$J$4985,J$1,FALSE)</f>
        <v>#N/A</v>
      </c>
      <c r="K23" s="92" t="e">
        <f>VLOOKUP($A23,flows!$A$2:$J$4985,K$1,FALSE)</f>
        <v>#N/A</v>
      </c>
    </row>
    <row r="24" spans="1:11" x14ac:dyDescent="0.35">
      <c r="A24" s="40" t="s">
        <v>637</v>
      </c>
      <c r="B24" s="137" t="s">
        <v>1984</v>
      </c>
      <c r="C24" s="92" t="s">
        <v>1636</v>
      </c>
      <c r="D24" s="92" t="e">
        <f>VLOOKUP($A24,flows!$A$2:$J$4985,D$1,FALSE)</f>
        <v>#N/A</v>
      </c>
      <c r="E24" s="92" t="e">
        <f>VLOOKUP($A24,flows!$A$2:$J$4985,E$1,FALSE)</f>
        <v>#N/A</v>
      </c>
      <c r="F24" s="92" t="e">
        <f>VLOOKUP($A24,flows!$A$2:$J$4985,F$1,FALSE)</f>
        <v>#N/A</v>
      </c>
      <c r="G24" s="92" t="e">
        <f>VLOOKUP($A24,flows!$A$2:$J$4985,G$1,FALSE)</f>
        <v>#N/A</v>
      </c>
      <c r="H24" s="92" t="e">
        <f>VLOOKUP($A24,flows!$A$2:$J$4985,H$1,FALSE)</f>
        <v>#N/A</v>
      </c>
      <c r="I24" s="92" t="e">
        <f>VLOOKUP($A24,flows!$A$2:$J$4985,I$1,FALSE)</f>
        <v>#N/A</v>
      </c>
      <c r="J24" s="92" t="e">
        <f>VLOOKUP($A24,flows!$A$2:$J$4985,J$1,FALSE)</f>
        <v>#N/A</v>
      </c>
      <c r="K24" s="92" t="e">
        <f>VLOOKUP($A24,flows!$A$2:$J$4985,K$1,FALSE)</f>
        <v>#N/A</v>
      </c>
    </row>
    <row r="25" spans="1:11" x14ac:dyDescent="0.35">
      <c r="A25" s="40" t="s">
        <v>638</v>
      </c>
      <c r="B25" s="137" t="s">
        <v>1992</v>
      </c>
      <c r="C25" s="92" t="s">
        <v>1637</v>
      </c>
      <c r="D25" s="92" t="e">
        <f>VLOOKUP($A25,flows!$A$2:$J$4985,D$1,FALSE)</f>
        <v>#N/A</v>
      </c>
      <c r="E25" s="92" t="e">
        <f>VLOOKUP($A25,flows!$A$2:$J$4985,E$1,FALSE)</f>
        <v>#N/A</v>
      </c>
      <c r="F25" s="92" t="e">
        <f>VLOOKUP($A25,flows!$A$2:$J$4985,F$1,FALSE)</f>
        <v>#N/A</v>
      </c>
      <c r="G25" s="92" t="e">
        <f>VLOOKUP($A25,flows!$A$2:$J$4985,G$1,FALSE)</f>
        <v>#N/A</v>
      </c>
      <c r="H25" s="92" t="e">
        <f>VLOOKUP($A25,flows!$A$2:$J$4985,H$1,FALSE)</f>
        <v>#N/A</v>
      </c>
      <c r="I25" s="92" t="e">
        <f>VLOOKUP($A25,flows!$A$2:$J$4985,I$1,FALSE)</f>
        <v>#N/A</v>
      </c>
      <c r="J25" s="92" t="e">
        <f>VLOOKUP($A25,flows!$A$2:$J$4985,J$1,FALSE)</f>
        <v>#N/A</v>
      </c>
      <c r="K25" s="92" t="e">
        <f>VLOOKUP($A25,flows!$A$2:$J$4985,K$1,FALSE)</f>
        <v>#N/A</v>
      </c>
    </row>
    <row r="26" spans="1:11" x14ac:dyDescent="0.35">
      <c r="A26" s="40" t="s">
        <v>639</v>
      </c>
      <c r="B26" s="137" t="s">
        <v>1985</v>
      </c>
      <c r="C26" s="92" t="s">
        <v>1628</v>
      </c>
      <c r="D26" s="92" t="e">
        <f>VLOOKUP($A26,flows!$A$2:$J$4985,D$1,FALSE)</f>
        <v>#N/A</v>
      </c>
      <c r="E26" s="92" t="e">
        <f>VLOOKUP($A26,flows!$A$2:$J$4985,E$1,FALSE)</f>
        <v>#N/A</v>
      </c>
      <c r="F26" s="92" t="e">
        <f>VLOOKUP($A26,flows!$A$2:$J$4985,F$1,FALSE)</f>
        <v>#N/A</v>
      </c>
      <c r="G26" s="92" t="e">
        <f>VLOOKUP($A26,flows!$A$2:$J$4985,G$1,FALSE)</f>
        <v>#N/A</v>
      </c>
      <c r="H26" s="92" t="e">
        <f>VLOOKUP($A26,flows!$A$2:$J$4985,H$1,FALSE)</f>
        <v>#N/A</v>
      </c>
      <c r="I26" s="92" t="e">
        <f>VLOOKUP($A26,flows!$A$2:$J$4985,I$1,FALSE)</f>
        <v>#N/A</v>
      </c>
      <c r="J26" s="92" t="e">
        <f>VLOOKUP($A26,flows!$A$2:$J$4985,J$1,FALSE)</f>
        <v>#N/A</v>
      </c>
      <c r="K26" s="92" t="e">
        <f>VLOOKUP($A26,flows!$A$2:$J$4985,K$1,FALSE)</f>
        <v>#N/A</v>
      </c>
    </row>
    <row r="27" spans="1:11" x14ac:dyDescent="0.35">
      <c r="A27" s="40" t="s">
        <v>640</v>
      </c>
      <c r="B27" s="137" t="s">
        <v>1986</v>
      </c>
      <c r="C27" s="92" t="s">
        <v>1638</v>
      </c>
      <c r="D27" s="92" t="e">
        <f>VLOOKUP($A27,flows!$A$2:$J$4985,D$1,FALSE)</f>
        <v>#N/A</v>
      </c>
      <c r="E27" s="92" t="e">
        <f>VLOOKUP($A27,flows!$A$2:$J$4985,E$1,FALSE)</f>
        <v>#N/A</v>
      </c>
      <c r="F27" s="92" t="e">
        <f>VLOOKUP($A27,flows!$A$2:$J$4985,F$1,FALSE)</f>
        <v>#N/A</v>
      </c>
      <c r="G27" s="92" t="e">
        <f>VLOOKUP($A27,flows!$A$2:$J$4985,G$1,FALSE)</f>
        <v>#N/A</v>
      </c>
      <c r="H27" s="92" t="e">
        <f>VLOOKUP($A27,flows!$A$2:$J$4985,H$1,FALSE)</f>
        <v>#N/A</v>
      </c>
      <c r="I27" s="92" t="e">
        <f>VLOOKUP($A27,flows!$A$2:$J$4985,I$1,FALSE)</f>
        <v>#N/A</v>
      </c>
      <c r="J27" s="92" t="e">
        <f>VLOOKUP($A27,flows!$A$2:$J$4985,J$1,FALSE)</f>
        <v>#N/A</v>
      </c>
      <c r="K27" s="92" t="e">
        <f>VLOOKUP($A27,flows!$A$2:$J$4985,K$1,FALSE)</f>
        <v>#N/A</v>
      </c>
    </row>
    <row r="28" spans="1:11" x14ac:dyDescent="0.35">
      <c r="A28" s="40" t="s">
        <v>641</v>
      </c>
      <c r="B28" s="137" t="s">
        <v>1987</v>
      </c>
      <c r="C28" s="92" t="s">
        <v>1639</v>
      </c>
      <c r="D28" s="92" t="e">
        <f>VLOOKUP($A28,flows!$A$2:$J$4985,D$1,FALSE)</f>
        <v>#N/A</v>
      </c>
      <c r="E28" s="92" t="e">
        <f>VLOOKUP($A28,flows!$A$2:$J$4985,E$1,FALSE)</f>
        <v>#N/A</v>
      </c>
      <c r="F28" s="92" t="e">
        <f>VLOOKUP($A28,flows!$A$2:$J$4985,F$1,FALSE)</f>
        <v>#N/A</v>
      </c>
      <c r="G28" s="92" t="e">
        <f>VLOOKUP($A28,flows!$A$2:$J$4985,G$1,FALSE)</f>
        <v>#N/A</v>
      </c>
      <c r="H28" s="92" t="e">
        <f>VLOOKUP($A28,flows!$A$2:$J$4985,H$1,FALSE)</f>
        <v>#N/A</v>
      </c>
      <c r="I28" s="92" t="e">
        <f>VLOOKUP($A28,flows!$A$2:$J$4985,I$1,FALSE)</f>
        <v>#N/A</v>
      </c>
      <c r="J28" s="92" t="e">
        <f>VLOOKUP($A28,flows!$A$2:$J$4985,J$1,FALSE)</f>
        <v>#N/A</v>
      </c>
      <c r="K28" s="92" t="e">
        <f>VLOOKUP($A28,flows!$A$2:$J$4985,K$1,FALSE)</f>
        <v>#N/A</v>
      </c>
    </row>
    <row r="29" spans="1:11" x14ac:dyDescent="0.35">
      <c r="A29" s="40" t="s">
        <v>1130</v>
      </c>
      <c r="B29" s="137" t="s">
        <v>1993</v>
      </c>
      <c r="C29" s="92" t="s">
        <v>1640</v>
      </c>
      <c r="D29" s="92" t="e">
        <f>VLOOKUP($A29,flows!$A$2:$J$2850,D$1,FALSE)</f>
        <v>#N/A</v>
      </c>
      <c r="E29" s="92" t="e">
        <f>VLOOKUP($A29,flows!$A$2:$J$2850,E$1,FALSE)</f>
        <v>#N/A</v>
      </c>
      <c r="F29" s="92" t="e">
        <f>VLOOKUP($A29,flows!$A$2:$J$2850,F$1,FALSE)</f>
        <v>#N/A</v>
      </c>
      <c r="G29" s="92" t="e">
        <f>VLOOKUP($A29,flows!$A$2:$J$2850,G$1,FALSE)</f>
        <v>#N/A</v>
      </c>
      <c r="H29" s="92" t="e">
        <f>VLOOKUP($A29,flows!$A$2:$J$2850,H$1,FALSE)</f>
        <v>#N/A</v>
      </c>
      <c r="I29" s="92" t="e">
        <f>VLOOKUP($A29,flows!$A$2:$J$2850,I$1,FALSE)</f>
        <v>#N/A</v>
      </c>
      <c r="J29" s="92" t="e">
        <f>VLOOKUP($A29,flows!$A$2:$J$2850,J$1,FALSE)</f>
        <v>#N/A</v>
      </c>
      <c r="K29" s="92" t="e">
        <f>VLOOKUP($A29,flows!$A$2:$J$2850,K$1,FALSE)</f>
        <v>#N/A</v>
      </c>
    </row>
    <row r="30" spans="1:11" x14ac:dyDescent="0.35">
      <c r="A30" s="40" t="s">
        <v>1131</v>
      </c>
      <c r="B30" s="137" t="s">
        <v>1981</v>
      </c>
      <c r="C30" s="92" t="s">
        <v>1641</v>
      </c>
      <c r="D30" s="92" t="e">
        <f>VLOOKUP($A30,flows!$A$2:$J$2850,D$1,FALSE)</f>
        <v>#N/A</v>
      </c>
      <c r="E30" s="92" t="e">
        <f>VLOOKUP($A30,flows!$A$2:$J$2850,E$1,FALSE)</f>
        <v>#N/A</v>
      </c>
      <c r="F30" s="92" t="e">
        <f>VLOOKUP($A30,flows!$A$2:$J$2850,F$1,FALSE)</f>
        <v>#N/A</v>
      </c>
      <c r="G30" s="92" t="e">
        <f>VLOOKUP($A30,flows!$A$2:$J$2850,G$1,FALSE)</f>
        <v>#N/A</v>
      </c>
      <c r="H30" s="92" t="e">
        <f>VLOOKUP($A30,flows!$A$2:$J$2850,H$1,FALSE)</f>
        <v>#N/A</v>
      </c>
      <c r="I30" s="92" t="e">
        <f>VLOOKUP($A30,flows!$A$2:$J$2850,I$1,FALSE)</f>
        <v>#N/A</v>
      </c>
      <c r="J30" s="92" t="e">
        <f>VLOOKUP($A30,flows!$A$2:$J$2850,J$1,FALSE)</f>
        <v>#N/A</v>
      </c>
      <c r="K30" s="92" t="e">
        <f>VLOOKUP($A30,flows!$A$2:$J$2850,K$1,FALSE)</f>
        <v>#N/A</v>
      </c>
    </row>
    <row r="31" spans="1:11" x14ac:dyDescent="0.35">
      <c r="A31" s="40" t="s">
        <v>1132</v>
      </c>
      <c r="B31" s="137" t="s">
        <v>1982</v>
      </c>
      <c r="C31" s="92" t="s">
        <v>1642</v>
      </c>
      <c r="D31" s="92" t="e">
        <f>VLOOKUP($A31,flows!$A$2:$J$2850,D$1,FALSE)</f>
        <v>#N/A</v>
      </c>
      <c r="E31" s="92" t="e">
        <f>VLOOKUP($A31,flows!$A$2:$J$2850,E$1,FALSE)</f>
        <v>#N/A</v>
      </c>
      <c r="F31" s="92" t="e">
        <f>VLOOKUP($A31,flows!$A$2:$J$2850,F$1,FALSE)</f>
        <v>#N/A</v>
      </c>
      <c r="G31" s="92" t="e">
        <f>VLOOKUP($A31,flows!$A$2:$J$2850,G$1,FALSE)</f>
        <v>#N/A</v>
      </c>
      <c r="H31" s="92" t="e">
        <f>VLOOKUP($A31,flows!$A$2:$J$2850,H$1,FALSE)</f>
        <v>#N/A</v>
      </c>
      <c r="I31" s="92" t="e">
        <f>VLOOKUP($A31,flows!$A$2:$J$2850,I$1,FALSE)</f>
        <v>#N/A</v>
      </c>
      <c r="J31" s="92" t="e">
        <f>VLOOKUP($A31,flows!$A$2:$J$2850,J$1,FALSE)</f>
        <v>#N/A</v>
      </c>
      <c r="K31" s="92" t="e">
        <f>VLOOKUP($A31,flows!$A$2:$J$2850,K$1,FALSE)</f>
        <v>#N/A</v>
      </c>
    </row>
    <row r="32" spans="1:11" x14ac:dyDescent="0.35">
      <c r="A32" s="40" t="s">
        <v>1133</v>
      </c>
      <c r="B32" s="137" t="s">
        <v>1983</v>
      </c>
      <c r="C32" s="92" t="s">
        <v>1643</v>
      </c>
      <c r="D32" s="92" t="e">
        <f>VLOOKUP($A32,flows!$A$2:$J$2850,D$1,FALSE)</f>
        <v>#N/A</v>
      </c>
      <c r="E32" s="92" t="e">
        <f>VLOOKUP($A32,flows!$A$2:$J$2850,E$1,FALSE)</f>
        <v>#N/A</v>
      </c>
      <c r="F32" s="92" t="e">
        <f>VLOOKUP($A32,flows!$A$2:$J$2850,F$1,FALSE)</f>
        <v>#N/A</v>
      </c>
      <c r="G32" s="92" t="e">
        <f>VLOOKUP($A32,flows!$A$2:$J$2850,G$1,FALSE)</f>
        <v>#N/A</v>
      </c>
      <c r="H32" s="92" t="e">
        <f>VLOOKUP($A32,flows!$A$2:$J$2850,H$1,FALSE)</f>
        <v>#N/A</v>
      </c>
      <c r="I32" s="92" t="e">
        <f>VLOOKUP($A32,flows!$A$2:$J$2850,I$1,FALSE)</f>
        <v>#N/A</v>
      </c>
      <c r="J32" s="92" t="e">
        <f>VLOOKUP($A32,flows!$A$2:$J$2850,J$1,FALSE)</f>
        <v>#N/A</v>
      </c>
      <c r="K32" s="92" t="e">
        <f>VLOOKUP($A32,flows!$A$2:$J$2850,K$1,FALSE)</f>
        <v>#N/A</v>
      </c>
    </row>
    <row r="33" spans="1:11" x14ac:dyDescent="0.35">
      <c r="A33" s="40" t="s">
        <v>1134</v>
      </c>
      <c r="B33" s="137" t="s">
        <v>1980</v>
      </c>
      <c r="C33" s="92" t="s">
        <v>1644</v>
      </c>
      <c r="D33" s="92" t="e">
        <f>VLOOKUP($A33,flows!$A$2:$J$2850,D$1,FALSE)</f>
        <v>#N/A</v>
      </c>
      <c r="E33" s="92" t="e">
        <f>VLOOKUP($A33,flows!$A$2:$J$2850,E$1,FALSE)</f>
        <v>#N/A</v>
      </c>
      <c r="F33" s="92" t="e">
        <f>VLOOKUP($A33,flows!$A$2:$J$2850,F$1,FALSE)</f>
        <v>#N/A</v>
      </c>
      <c r="G33" s="92" t="e">
        <f>VLOOKUP($A33,flows!$A$2:$J$2850,G$1,FALSE)</f>
        <v>#N/A</v>
      </c>
      <c r="H33" s="92" t="e">
        <f>VLOOKUP($A33,flows!$A$2:$J$2850,H$1,FALSE)</f>
        <v>#N/A</v>
      </c>
      <c r="I33" s="92" t="e">
        <f>VLOOKUP($A33,flows!$A$2:$J$2850,I$1,FALSE)</f>
        <v>#N/A</v>
      </c>
      <c r="J33" s="92" t="e">
        <f>VLOOKUP($A33,flows!$A$2:$J$2850,J$1,FALSE)</f>
        <v>#N/A</v>
      </c>
      <c r="K33" s="92" t="e">
        <f>VLOOKUP($A33,flows!$A$2:$J$2850,K$1,FALSE)</f>
        <v>#N/A</v>
      </c>
    </row>
    <row r="34" spans="1:11" ht="15" thickBot="1" x14ac:dyDescent="0.4">
      <c r="A34" s="41" t="s">
        <v>1135</v>
      </c>
      <c r="B34" s="77" t="s">
        <v>1994</v>
      </c>
      <c r="C34" s="77" t="s">
        <v>1645</v>
      </c>
      <c r="D34" s="92" t="e">
        <f>VLOOKUP($A34,flows!$A$2:$J$2850,D$1,FALSE)</f>
        <v>#N/A</v>
      </c>
      <c r="E34" s="92" t="e">
        <f>VLOOKUP($A34,flows!$A$2:$J$2850,E$1,FALSE)</f>
        <v>#N/A</v>
      </c>
      <c r="F34" s="92" t="e">
        <f>VLOOKUP($A34,flows!$A$2:$J$2850,F$1,FALSE)</f>
        <v>#N/A</v>
      </c>
      <c r="G34" s="92" t="e">
        <f>VLOOKUP($A34,flows!$A$2:$J$2850,G$1,FALSE)</f>
        <v>#N/A</v>
      </c>
      <c r="H34" s="92" t="e">
        <f>VLOOKUP($A34,flows!$A$2:$J$2850,H$1,FALSE)</f>
        <v>#N/A</v>
      </c>
      <c r="I34" s="92" t="e">
        <f>VLOOKUP($A34,flows!$A$2:$J$2850,I$1,FALSE)</f>
        <v>#N/A</v>
      </c>
      <c r="J34" s="92" t="e">
        <f>VLOOKUP($A34,flows!$A$2:$J$2850,J$1,FALSE)</f>
        <v>#N/A</v>
      </c>
      <c r="K34" s="92" t="e">
        <f>VLOOKUP($A34,flows!$A$2:$J$2850,K$1,FALSE)</f>
        <v>#N/A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-0.499984740745262"/>
  </sheetPr>
  <dimension ref="A1:K12"/>
  <sheetViews>
    <sheetView zoomScale="70" zoomScaleNormal="70" workbookViewId="0">
      <selection activeCell="D1" sqref="D1:K2"/>
    </sheetView>
  </sheetViews>
  <sheetFormatPr baseColWidth="10" defaultColWidth="11.453125" defaultRowHeight="14.5" x14ac:dyDescent="0.35"/>
  <cols>
    <col min="1" max="1" width="30.453125" style="132" bestFit="1" customWidth="1"/>
    <col min="2" max="2" width="30.453125" style="190" customWidth="1"/>
    <col min="3" max="3" width="13.81640625" style="132" bestFit="1" customWidth="1"/>
    <col min="4" max="16384" width="11.453125" style="132"/>
  </cols>
  <sheetData>
    <row r="1" spans="1:11" ht="15" thickBot="1" x14ac:dyDescent="0.4">
      <c r="D1" s="89">
        <v>2</v>
      </c>
      <c r="E1" s="89">
        <v>3</v>
      </c>
      <c r="F1" s="89">
        <v>4</v>
      </c>
      <c r="G1" s="89">
        <v>5</v>
      </c>
      <c r="H1" s="89">
        <v>6</v>
      </c>
      <c r="I1" s="89">
        <v>7</v>
      </c>
      <c r="J1" s="89">
        <v>8</v>
      </c>
      <c r="K1" s="89">
        <v>9</v>
      </c>
    </row>
    <row r="2" spans="1:11" x14ac:dyDescent="0.35">
      <c r="A2" s="87" t="s">
        <v>1415</v>
      </c>
      <c r="B2" s="89"/>
      <c r="C2" s="89"/>
      <c r="D2" s="133" t="s">
        <v>1417</v>
      </c>
      <c r="E2" s="133">
        <v>2020</v>
      </c>
      <c r="F2" s="133">
        <v>2025</v>
      </c>
      <c r="G2" s="133">
        <v>2030</v>
      </c>
      <c r="H2" s="133">
        <v>2035</v>
      </c>
      <c r="I2" s="133">
        <v>2040</v>
      </c>
      <c r="J2" s="133">
        <v>2045</v>
      </c>
      <c r="K2" s="133">
        <v>2050</v>
      </c>
    </row>
    <row r="3" spans="1:11" x14ac:dyDescent="0.35">
      <c r="A3" s="134" t="s">
        <v>1051</v>
      </c>
      <c r="B3" s="137" t="s">
        <v>1997</v>
      </c>
      <c r="C3" s="92" t="s">
        <v>1512</v>
      </c>
      <c r="D3" s="92" t="e">
        <f>VLOOKUP($A3,flows!$A$2:$J$4985,D$1,FALSE)</f>
        <v>#N/A</v>
      </c>
      <c r="E3" s="92" t="e">
        <f>VLOOKUP($A3,flows!$A$2:$J$4985,E$1,FALSE)</f>
        <v>#N/A</v>
      </c>
      <c r="F3" s="92" t="e">
        <f>VLOOKUP($A3,flows!$A$2:$J$4985,F$1,FALSE)</f>
        <v>#N/A</v>
      </c>
      <c r="G3" s="92" t="e">
        <f>VLOOKUP($A3,flows!$A$2:$J$4985,G$1,FALSE)</f>
        <v>#N/A</v>
      </c>
      <c r="H3" s="92" t="e">
        <f>VLOOKUP($A3,flows!$A$2:$J$4985,H$1,FALSE)</f>
        <v>#N/A</v>
      </c>
      <c r="I3" s="92" t="e">
        <f>VLOOKUP($A3,flows!$A$2:$J$4985,I$1,FALSE)</f>
        <v>#N/A</v>
      </c>
      <c r="J3" s="92" t="e">
        <f>VLOOKUP($A3,flows!$A$2:$J$4985,J$1,FALSE)</f>
        <v>#N/A</v>
      </c>
      <c r="K3" s="92" t="e">
        <f>VLOOKUP($A3,flows!$A$2:$J$4985,K$1,FALSE)</f>
        <v>#N/A</v>
      </c>
    </row>
    <row r="4" spans="1:11" x14ac:dyDescent="0.35">
      <c r="A4" s="134" t="s">
        <v>599</v>
      </c>
      <c r="B4" s="137" t="s">
        <v>1998</v>
      </c>
      <c r="C4" s="137" t="s">
        <v>1624</v>
      </c>
      <c r="D4" s="92" t="e">
        <f>VLOOKUP($A4,flows!$A$2:$J$4985,D$1,FALSE)</f>
        <v>#N/A</v>
      </c>
      <c r="E4" s="92" t="e">
        <f>VLOOKUP($A4,flows!$A$2:$J$4985,E$1,FALSE)</f>
        <v>#N/A</v>
      </c>
      <c r="F4" s="92" t="e">
        <f>VLOOKUP($A4,flows!$A$2:$J$4985,F$1,FALSE)</f>
        <v>#N/A</v>
      </c>
      <c r="G4" s="92" t="e">
        <f>VLOOKUP($A4,flows!$A$2:$J$4985,G$1,FALSE)</f>
        <v>#N/A</v>
      </c>
      <c r="H4" s="92" t="e">
        <f>VLOOKUP($A4,flows!$A$2:$J$4985,H$1,FALSE)</f>
        <v>#N/A</v>
      </c>
      <c r="I4" s="92" t="e">
        <f>VLOOKUP($A4,flows!$A$2:$J$4985,I$1,FALSE)</f>
        <v>#N/A</v>
      </c>
      <c r="J4" s="92" t="e">
        <f>VLOOKUP($A4,flows!$A$2:$J$4985,J$1,FALSE)</f>
        <v>#N/A</v>
      </c>
      <c r="K4" s="92" t="e">
        <f>VLOOKUP($A4,flows!$A$2:$J$4985,K$1,FALSE)</f>
        <v>#N/A</v>
      </c>
    </row>
    <row r="5" spans="1:11" x14ac:dyDescent="0.35">
      <c r="A5" s="134" t="s">
        <v>1698</v>
      </c>
      <c r="B5" s="137" t="s">
        <v>1972</v>
      </c>
      <c r="C5" s="137" t="s">
        <v>1625</v>
      </c>
      <c r="D5" s="92" t="e">
        <f>VLOOKUP($A5,flows!$A$2:$J$4985,D$1,FALSE)</f>
        <v>#N/A</v>
      </c>
      <c r="E5" s="92" t="e">
        <f>VLOOKUP($A5,flows!$A$2:$J$4985,E$1,FALSE)</f>
        <v>#N/A</v>
      </c>
      <c r="F5" s="92" t="e">
        <f>VLOOKUP($A5,flows!$A$2:$J$4985,F$1,FALSE)</f>
        <v>#N/A</v>
      </c>
      <c r="G5" s="92" t="e">
        <f>VLOOKUP($A5,flows!$A$2:$J$4985,G$1,FALSE)</f>
        <v>#N/A</v>
      </c>
      <c r="H5" s="92" t="e">
        <f>VLOOKUP($A5,flows!$A$2:$J$4985,H$1,FALSE)</f>
        <v>#N/A</v>
      </c>
      <c r="I5" s="92" t="e">
        <f>VLOOKUP($A5,flows!$A$2:$J$4985,I$1,FALSE)</f>
        <v>#N/A</v>
      </c>
      <c r="J5" s="92" t="e">
        <f>VLOOKUP($A5,flows!$A$2:$J$4985,J$1,FALSE)</f>
        <v>#N/A</v>
      </c>
      <c r="K5" s="92" t="e">
        <f>VLOOKUP($A5,flows!$A$2:$J$4985,K$1,FALSE)</f>
        <v>#N/A</v>
      </c>
    </row>
    <row r="6" spans="1:11" ht="15" thickBot="1" x14ac:dyDescent="0.4">
      <c r="A6" s="135" t="s">
        <v>1691</v>
      </c>
      <c r="B6" s="138" t="s">
        <v>1975</v>
      </c>
      <c r="C6" s="77" t="s">
        <v>1626</v>
      </c>
      <c r="D6" s="92" t="e">
        <f>VLOOKUP($A6,flows!$A$2:$J$4985,D$1,FALSE)</f>
        <v>#N/A</v>
      </c>
      <c r="E6" s="92" t="e">
        <f>VLOOKUP($A6,flows!$A$2:$J$4985,E$1,FALSE)</f>
        <v>#N/A</v>
      </c>
      <c r="F6" s="92" t="e">
        <f>VLOOKUP($A6,flows!$A$2:$J$4985,F$1,FALSE)</f>
        <v>#N/A</v>
      </c>
      <c r="G6" s="92" t="e">
        <f>VLOOKUP($A6,flows!$A$2:$J$4985,G$1,FALSE)</f>
        <v>#N/A</v>
      </c>
      <c r="H6" s="92" t="e">
        <f>VLOOKUP($A6,flows!$A$2:$J$4985,H$1,FALSE)</f>
        <v>#N/A</v>
      </c>
      <c r="I6" s="92" t="e">
        <f>VLOOKUP($A6,flows!$A$2:$J$4985,I$1,FALSE)</f>
        <v>#N/A</v>
      </c>
      <c r="J6" s="92" t="e">
        <f>VLOOKUP($A6,flows!$A$2:$J$4985,J$1,FALSE)</f>
        <v>#N/A</v>
      </c>
      <c r="K6" s="92" t="e">
        <f>VLOOKUP($A6,flows!$A$2:$J$4985,K$1,FALSE)</f>
        <v>#N/A</v>
      </c>
    </row>
    <row r="8" spans="1:11" ht="15" thickBot="1" x14ac:dyDescent="0.4"/>
    <row r="9" spans="1:11" ht="15" thickBot="1" x14ac:dyDescent="0.4">
      <c r="D9" s="89">
        <v>2</v>
      </c>
      <c r="E9" s="89">
        <v>3</v>
      </c>
      <c r="F9" s="89">
        <v>4</v>
      </c>
      <c r="G9" s="89">
        <v>5</v>
      </c>
      <c r="H9" s="89">
        <v>6</v>
      </c>
      <c r="I9" s="89">
        <v>7</v>
      </c>
      <c r="J9" s="89">
        <v>8</v>
      </c>
      <c r="K9" s="89">
        <v>9</v>
      </c>
    </row>
    <row r="10" spans="1:11" x14ac:dyDescent="0.35">
      <c r="A10" s="87" t="s">
        <v>1415</v>
      </c>
      <c r="B10" s="89"/>
      <c r="C10" s="89"/>
      <c r="D10" s="133" t="s">
        <v>1417</v>
      </c>
      <c r="E10" s="133">
        <v>2020</v>
      </c>
      <c r="F10" s="133">
        <v>2025</v>
      </c>
      <c r="G10" s="133">
        <v>2030</v>
      </c>
      <c r="H10" s="133">
        <v>2035</v>
      </c>
      <c r="I10" s="133">
        <v>2040</v>
      </c>
      <c r="J10" s="133">
        <v>2045</v>
      </c>
      <c r="K10" s="133">
        <v>2050</v>
      </c>
    </row>
    <row r="11" spans="1:11" x14ac:dyDescent="0.35">
      <c r="A11" s="40" t="s">
        <v>602</v>
      </c>
      <c r="B11" s="92" t="s">
        <v>1999</v>
      </c>
      <c r="C11" s="92" t="s">
        <v>182</v>
      </c>
      <c r="D11" s="92" t="e">
        <f>VLOOKUP($A11,flows!$A$2:$J$4985,D$9,FALSE)</f>
        <v>#N/A</v>
      </c>
      <c r="E11" s="92" t="e">
        <f>VLOOKUP($A11,flows!$A$2:$J$4985,E$9,FALSE)</f>
        <v>#N/A</v>
      </c>
      <c r="F11" s="92" t="e">
        <f>VLOOKUP($A11,flows!$A$2:$J$4985,F$9,FALSE)</f>
        <v>#N/A</v>
      </c>
      <c r="G11" s="92" t="e">
        <f>VLOOKUP($A11,flows!$A$2:$J$4985,G$9,FALSE)</f>
        <v>#N/A</v>
      </c>
      <c r="H11" s="92" t="e">
        <f>VLOOKUP($A11,flows!$A$2:$J$4985,H$9,FALSE)</f>
        <v>#N/A</v>
      </c>
      <c r="I11" s="92" t="e">
        <f>VLOOKUP($A11,flows!$A$2:$J$4985,I$9,FALSE)</f>
        <v>#N/A</v>
      </c>
      <c r="J11" s="92" t="e">
        <f>VLOOKUP($A11,flows!$A$2:$J$4985,J$9,FALSE)</f>
        <v>#N/A</v>
      </c>
      <c r="K11" s="92" t="e">
        <f>VLOOKUP($A11,flows!$A$2:$J$4985,K$9,FALSE)</f>
        <v>#N/A</v>
      </c>
    </row>
    <row r="12" spans="1:11" ht="15" thickBot="1" x14ac:dyDescent="0.4">
      <c r="A12" s="41" t="s">
        <v>1627</v>
      </c>
      <c r="B12" s="77" t="s">
        <v>1985</v>
      </c>
      <c r="C12" s="77" t="s">
        <v>1628</v>
      </c>
      <c r="D12" s="92" t="e">
        <f>VLOOKUP($A12,flows!$A$2:$J$4985,D$9,FALSE)</f>
        <v>#N/A</v>
      </c>
      <c r="E12" s="92" t="e">
        <f>VLOOKUP($A12,flows!$A$2:$J$4985,E$9,FALSE)</f>
        <v>#N/A</v>
      </c>
      <c r="F12" s="92" t="e">
        <f>VLOOKUP($A12,flows!$A$2:$J$4985,F$9,FALSE)</f>
        <v>#N/A</v>
      </c>
      <c r="G12" s="92" t="e">
        <f>VLOOKUP($A12,flows!$A$2:$J$4985,G$9,FALSE)</f>
        <v>#N/A</v>
      </c>
      <c r="H12" s="92" t="e">
        <f>VLOOKUP($A12,flows!$A$2:$J$4985,H$9,FALSE)</f>
        <v>#N/A</v>
      </c>
      <c r="I12" s="92" t="e">
        <f>VLOOKUP($A12,flows!$A$2:$J$4985,I$9,FALSE)</f>
        <v>#N/A</v>
      </c>
      <c r="J12" s="92" t="e">
        <f>VLOOKUP($A12,flows!$A$2:$J$4985,J$9,FALSE)</f>
        <v>#N/A</v>
      </c>
      <c r="K12" s="92" t="e">
        <f>VLOOKUP($A12,flows!$A$2:$J$4985,K$9,FALSE)</f>
        <v>#N/A</v>
      </c>
    </row>
  </sheetData>
  <pageMargins left="0.7" right="0.7" top="0.78740157499999996" bottom="0.78740157499999996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-0.499984740745262"/>
  </sheetPr>
  <dimension ref="A2:V91"/>
  <sheetViews>
    <sheetView topLeftCell="A40" zoomScale="70" zoomScaleNormal="70" workbookViewId="0">
      <selection activeCell="D38" sqref="D38"/>
    </sheetView>
  </sheetViews>
  <sheetFormatPr baseColWidth="10" defaultColWidth="11.453125" defaultRowHeight="14.5" x14ac:dyDescent="0.35"/>
  <cols>
    <col min="1" max="1" width="31.81640625" style="132" bestFit="1" customWidth="1"/>
    <col min="2" max="2" width="23.453125" style="190" customWidth="1"/>
    <col min="3" max="3" width="15" style="132" customWidth="1"/>
    <col min="4" max="12" width="11.453125" style="132"/>
    <col min="13" max="13" width="11.453125" style="190"/>
    <col min="14" max="14" width="13.81640625" style="132" bestFit="1" customWidth="1"/>
    <col min="15" max="15" width="11.81640625" style="132" bestFit="1" customWidth="1"/>
    <col min="16" max="21" width="11.453125" style="132"/>
    <col min="22" max="22" width="11.453125" style="365"/>
    <col min="23" max="16384" width="11.453125" style="132"/>
  </cols>
  <sheetData>
    <row r="2" spans="1:22" ht="15" thickBot="1" x14ac:dyDescent="0.4"/>
    <row r="3" spans="1:22" x14ac:dyDescent="0.35">
      <c r="A3" s="87"/>
      <c r="B3" s="88" t="s">
        <v>1454</v>
      </c>
      <c r="C3" s="88" t="s">
        <v>1209</v>
      </c>
      <c r="D3" s="89">
        <v>2</v>
      </c>
      <c r="E3" s="89">
        <v>3</v>
      </c>
      <c r="F3" s="89">
        <v>4</v>
      </c>
      <c r="G3" s="89">
        <v>5</v>
      </c>
      <c r="H3" s="89">
        <v>6</v>
      </c>
      <c r="I3" s="89">
        <v>7</v>
      </c>
      <c r="J3" s="89">
        <v>8</v>
      </c>
      <c r="K3" s="89">
        <v>9</v>
      </c>
      <c r="N3" s="88" t="s">
        <v>1454</v>
      </c>
      <c r="O3" s="89">
        <v>3</v>
      </c>
      <c r="P3" s="89">
        <v>4</v>
      </c>
      <c r="Q3" s="89">
        <v>5</v>
      </c>
      <c r="R3" s="89">
        <v>6</v>
      </c>
      <c r="S3" s="89">
        <v>7</v>
      </c>
      <c r="T3" s="89">
        <v>8</v>
      </c>
      <c r="U3" s="89">
        <v>9</v>
      </c>
      <c r="V3" s="92"/>
    </row>
    <row r="4" spans="1:22" x14ac:dyDescent="0.35">
      <c r="A4" s="40" t="s">
        <v>1415</v>
      </c>
      <c r="B4" s="92"/>
      <c r="C4" s="92"/>
      <c r="D4" s="133" t="s">
        <v>1417</v>
      </c>
      <c r="E4" s="133">
        <v>2020</v>
      </c>
      <c r="F4" s="133">
        <v>2025</v>
      </c>
      <c r="G4" s="133">
        <v>2030</v>
      </c>
      <c r="H4" s="133">
        <v>2035</v>
      </c>
      <c r="I4" s="133">
        <v>2040</v>
      </c>
      <c r="J4" s="133">
        <v>2045</v>
      </c>
      <c r="K4" s="133">
        <v>2050</v>
      </c>
      <c r="N4" s="40"/>
      <c r="O4" s="133">
        <v>2020</v>
      </c>
      <c r="P4" s="133">
        <v>2025</v>
      </c>
      <c r="Q4" s="133">
        <v>2030</v>
      </c>
      <c r="R4" s="133">
        <v>2035</v>
      </c>
      <c r="S4" s="133">
        <v>2040</v>
      </c>
      <c r="T4" s="133">
        <v>2045</v>
      </c>
      <c r="U4" s="133">
        <v>2050</v>
      </c>
      <c r="V4" s="133"/>
    </row>
    <row r="5" spans="1:22" x14ac:dyDescent="0.35">
      <c r="A5" s="40" t="s">
        <v>600</v>
      </c>
      <c r="B5" s="92"/>
      <c r="C5" s="92"/>
      <c r="D5" s="92" t="e">
        <f>VLOOKUP($A5,flows!$A$2:$J$4985,D$3,FALSE)</f>
        <v>#N/A</v>
      </c>
      <c r="E5" s="92" t="e">
        <f>VLOOKUP($A5,flows!$A$2:$J$4985,E$3,FALSE)</f>
        <v>#N/A</v>
      </c>
      <c r="F5" s="92" t="e">
        <f>VLOOKUP($A5,flows!$A$2:$J$4985,F$3,FALSE)</f>
        <v>#N/A</v>
      </c>
      <c r="G5" s="92" t="e">
        <f>VLOOKUP($A5,flows!$A$2:$J$4985,G$3,FALSE)</f>
        <v>#N/A</v>
      </c>
      <c r="H5" s="92" t="e">
        <f>VLOOKUP($A5,flows!$A$2:$J$4985,H$3,FALSE)</f>
        <v>#N/A</v>
      </c>
      <c r="I5" s="92" t="e">
        <f>VLOOKUP($A5,flows!$A$2:$J$4985,I$3,FALSE)</f>
        <v>#N/A</v>
      </c>
      <c r="J5" s="92" t="e">
        <f>VLOOKUP($A5,flows!$A$2:$J$4985,J$3,FALSE)</f>
        <v>#N/A</v>
      </c>
      <c r="K5" s="92" t="e">
        <f>VLOOKUP($A5,flows!$A$2:$J$4985,K$3,FALSE)</f>
        <v>#N/A</v>
      </c>
      <c r="M5" s="190" t="s">
        <v>1999</v>
      </c>
      <c r="N5" s="40" t="s">
        <v>182</v>
      </c>
      <c r="O5" s="92" t="e">
        <f t="shared" ref="O5:U6" si="0">E5</f>
        <v>#N/A</v>
      </c>
      <c r="P5" s="92" t="e">
        <f t="shared" si="0"/>
        <v>#N/A</v>
      </c>
      <c r="Q5" s="92" t="e">
        <f t="shared" si="0"/>
        <v>#N/A</v>
      </c>
      <c r="R5" s="92" t="e">
        <f t="shared" si="0"/>
        <v>#N/A</v>
      </c>
      <c r="S5" s="92" t="e">
        <f t="shared" si="0"/>
        <v>#N/A</v>
      </c>
      <c r="T5" s="92" t="e">
        <f t="shared" si="0"/>
        <v>#N/A</v>
      </c>
      <c r="U5" s="92" t="e">
        <f t="shared" si="0"/>
        <v>#N/A</v>
      </c>
      <c r="V5" s="92"/>
    </row>
    <row r="6" spans="1:22" x14ac:dyDescent="0.35">
      <c r="A6" s="40" t="s">
        <v>1008</v>
      </c>
      <c r="B6" s="92"/>
      <c r="C6" s="92"/>
      <c r="D6" s="92" t="e">
        <f>VLOOKUP($A6,flows!$A$2:$J$4985,D$3,FALSE)</f>
        <v>#N/A</v>
      </c>
      <c r="E6" s="92" t="e">
        <f>VLOOKUP($A6,flows!$A$2:$J$4985,E$3,FALSE)</f>
        <v>#N/A</v>
      </c>
      <c r="F6" s="92" t="e">
        <f>VLOOKUP($A6,flows!$A$2:$J$4985,F$3,FALSE)</f>
        <v>#N/A</v>
      </c>
      <c r="G6" s="92" t="e">
        <f>VLOOKUP($A6,flows!$A$2:$J$4985,G$3,FALSE)</f>
        <v>#N/A</v>
      </c>
      <c r="H6" s="92" t="e">
        <f>VLOOKUP($A6,flows!$A$2:$J$4985,H$3,FALSE)</f>
        <v>#N/A</v>
      </c>
      <c r="I6" s="92" t="e">
        <f>VLOOKUP($A6,flows!$A$2:$J$4985,I$3,FALSE)</f>
        <v>#N/A</v>
      </c>
      <c r="J6" s="92" t="e">
        <f>VLOOKUP($A6,flows!$A$2:$J$4985,J$3,FALSE)</f>
        <v>#N/A</v>
      </c>
      <c r="K6" s="92" t="e">
        <f>VLOOKUP($A6,flows!$A$2:$J$4985,K$3,FALSE)</f>
        <v>#N/A</v>
      </c>
      <c r="M6" s="190" t="s">
        <v>1953</v>
      </c>
      <c r="N6" s="40" t="s">
        <v>416</v>
      </c>
      <c r="O6" s="92" t="e">
        <f t="shared" si="0"/>
        <v>#N/A</v>
      </c>
      <c r="P6" s="92" t="e">
        <f t="shared" si="0"/>
        <v>#N/A</v>
      </c>
      <c r="Q6" s="92" t="e">
        <f t="shared" si="0"/>
        <v>#N/A</v>
      </c>
      <c r="R6" s="92" t="e">
        <f t="shared" si="0"/>
        <v>#N/A</v>
      </c>
      <c r="S6" s="92" t="e">
        <f t="shared" si="0"/>
        <v>#N/A</v>
      </c>
      <c r="T6" s="92" t="e">
        <f t="shared" si="0"/>
        <v>#N/A</v>
      </c>
      <c r="U6" s="92" t="e">
        <f t="shared" si="0"/>
        <v>#N/A</v>
      </c>
      <c r="V6" s="92"/>
    </row>
    <row r="7" spans="1:22" x14ac:dyDescent="0.35">
      <c r="A7" s="40" t="s">
        <v>1069</v>
      </c>
      <c r="B7" s="92"/>
      <c r="C7" s="92"/>
      <c r="D7" s="92" t="e">
        <f>VLOOKUP($A7,flows!$A$2:$J$4985,D$3,FALSE)</f>
        <v>#N/A</v>
      </c>
      <c r="E7" s="92" t="e">
        <f>VLOOKUP($A7,flows!$A$2:$J$4985,E$3,FALSE)</f>
        <v>#N/A</v>
      </c>
      <c r="F7" s="92" t="e">
        <f>VLOOKUP($A7,flows!$A$2:$J$4985,F$3,FALSE)</f>
        <v>#N/A</v>
      </c>
      <c r="G7" s="92" t="e">
        <f>VLOOKUP($A7,flows!$A$2:$J$4985,G$3,FALSE)</f>
        <v>#N/A</v>
      </c>
      <c r="H7" s="92" t="e">
        <f>VLOOKUP($A7,flows!$A$2:$J$4985,H$3,FALSE)</f>
        <v>#N/A</v>
      </c>
      <c r="I7" s="92" t="e">
        <f>VLOOKUP($A7,flows!$A$2:$J$4985,I$3,FALSE)</f>
        <v>#N/A</v>
      </c>
      <c r="J7" s="92" t="e">
        <f>VLOOKUP($A7,flows!$A$2:$J$4985,J$3,FALSE)</f>
        <v>#N/A</v>
      </c>
      <c r="K7" s="92" t="e">
        <f>VLOOKUP($A7,flows!$A$2:$J$4985,K$3,FALSE)</f>
        <v>#N/A</v>
      </c>
      <c r="M7" s="190" t="s">
        <v>2000</v>
      </c>
      <c r="N7" s="40" t="s">
        <v>1603</v>
      </c>
      <c r="O7" s="92" t="e">
        <f t="shared" ref="O7:U7" si="1">SUM(E7:E9)</f>
        <v>#N/A</v>
      </c>
      <c r="P7" s="92" t="e">
        <f t="shared" si="1"/>
        <v>#N/A</v>
      </c>
      <c r="Q7" s="92" t="e">
        <f t="shared" si="1"/>
        <v>#N/A</v>
      </c>
      <c r="R7" s="92" t="e">
        <f t="shared" si="1"/>
        <v>#N/A</v>
      </c>
      <c r="S7" s="92" t="e">
        <f t="shared" si="1"/>
        <v>#N/A</v>
      </c>
      <c r="T7" s="92" t="e">
        <f t="shared" si="1"/>
        <v>#N/A</v>
      </c>
      <c r="U7" s="92" t="e">
        <f t="shared" si="1"/>
        <v>#N/A</v>
      </c>
      <c r="V7" s="92"/>
    </row>
    <row r="8" spans="1:22" x14ac:dyDescent="0.35">
      <c r="A8" s="40" t="s">
        <v>1755</v>
      </c>
      <c r="B8" s="92"/>
      <c r="C8" s="92"/>
      <c r="D8" s="92" t="e">
        <f>VLOOKUP($A8,flows!$A$2:$J$4985,D$3,FALSE)</f>
        <v>#N/A</v>
      </c>
      <c r="E8" s="92" t="e">
        <f>VLOOKUP($A8,flows!$A$2:$J$4985,E$3,FALSE)</f>
        <v>#N/A</v>
      </c>
      <c r="F8" s="92" t="e">
        <f>VLOOKUP($A8,flows!$A$2:$J$4985,F$3,FALSE)</f>
        <v>#N/A</v>
      </c>
      <c r="G8" s="92" t="e">
        <f>VLOOKUP($A8,flows!$A$2:$J$4985,G$3,FALSE)</f>
        <v>#N/A</v>
      </c>
      <c r="H8" s="92" t="e">
        <f>VLOOKUP($A8,flows!$A$2:$J$4985,H$3,FALSE)</f>
        <v>#N/A</v>
      </c>
      <c r="I8" s="92" t="e">
        <f>VLOOKUP($A8,flows!$A$2:$J$4985,I$3,FALSE)</f>
        <v>#N/A</v>
      </c>
      <c r="J8" s="92" t="e">
        <f>VLOOKUP($A8,flows!$A$2:$J$4985,J$3,FALSE)</f>
        <v>#N/A</v>
      </c>
      <c r="K8" s="92" t="e">
        <f>VLOOKUP($A8,flows!$A$2:$J$4985,K$3,FALSE)</f>
        <v>#N/A</v>
      </c>
      <c r="M8" s="190" t="s">
        <v>2001</v>
      </c>
      <c r="N8" s="40" t="s">
        <v>510</v>
      </c>
      <c r="O8" s="92" t="e">
        <f t="shared" ref="O8:U8" si="2">E11</f>
        <v>#N/A</v>
      </c>
      <c r="P8" s="92" t="e">
        <f t="shared" si="2"/>
        <v>#N/A</v>
      </c>
      <c r="Q8" s="92" t="e">
        <f t="shared" si="2"/>
        <v>#N/A</v>
      </c>
      <c r="R8" s="92" t="e">
        <f t="shared" si="2"/>
        <v>#N/A</v>
      </c>
      <c r="S8" s="92" t="e">
        <f t="shared" si="2"/>
        <v>#N/A</v>
      </c>
      <c r="T8" s="92" t="e">
        <f t="shared" si="2"/>
        <v>#N/A</v>
      </c>
      <c r="U8" s="92" t="e">
        <f t="shared" si="2"/>
        <v>#N/A</v>
      </c>
      <c r="V8" s="92"/>
    </row>
    <row r="9" spans="1:22" x14ac:dyDescent="0.35">
      <c r="A9" s="40" t="s">
        <v>1070</v>
      </c>
      <c r="B9" s="92"/>
      <c r="C9" s="92"/>
      <c r="D9" s="92" t="e">
        <f>VLOOKUP($A9,flows!$A$2:$J$4985,D$3,FALSE)</f>
        <v>#N/A</v>
      </c>
      <c r="E9" s="92" t="e">
        <f>VLOOKUP($A9,flows!$A$2:$J$4985,E$3,FALSE)</f>
        <v>#N/A</v>
      </c>
      <c r="F9" s="92" t="e">
        <f>VLOOKUP($A9,flows!$A$2:$J$4985,F$3,FALSE)</f>
        <v>#N/A</v>
      </c>
      <c r="G9" s="92" t="e">
        <f>VLOOKUP($A9,flows!$A$2:$J$4985,G$3,FALSE)</f>
        <v>#N/A</v>
      </c>
      <c r="H9" s="92" t="e">
        <f>VLOOKUP($A9,flows!$A$2:$J$4985,H$3,FALSE)</f>
        <v>#N/A</v>
      </c>
      <c r="I9" s="92" t="e">
        <f>VLOOKUP($A9,flows!$A$2:$J$4985,I$3,FALSE)</f>
        <v>#N/A</v>
      </c>
      <c r="J9" s="92" t="e">
        <f>VLOOKUP($A9,flows!$A$2:$J$4985,J$3,FALSE)</f>
        <v>#N/A</v>
      </c>
      <c r="K9" s="92" t="e">
        <f>VLOOKUP($A9,flows!$A$2:$J$4985,K$3,FALSE)</f>
        <v>#N/A</v>
      </c>
      <c r="M9" s="190" t="s">
        <v>2002</v>
      </c>
      <c r="N9" s="40" t="s">
        <v>517</v>
      </c>
      <c r="O9" s="92" t="e">
        <f t="shared" ref="O9:U9" si="3">E16</f>
        <v>#N/A</v>
      </c>
      <c r="P9" s="92" t="e">
        <f t="shared" si="3"/>
        <v>#N/A</v>
      </c>
      <c r="Q9" s="92" t="e">
        <f t="shared" si="3"/>
        <v>#N/A</v>
      </c>
      <c r="R9" s="92" t="e">
        <f t="shared" si="3"/>
        <v>#N/A</v>
      </c>
      <c r="S9" s="92" t="e">
        <f t="shared" si="3"/>
        <v>#N/A</v>
      </c>
      <c r="T9" s="92" t="e">
        <f t="shared" si="3"/>
        <v>#N/A</v>
      </c>
      <c r="U9" s="92" t="e">
        <f t="shared" si="3"/>
        <v>#N/A</v>
      </c>
      <c r="V9" s="92"/>
    </row>
    <row r="10" spans="1:22" x14ac:dyDescent="0.35">
      <c r="A10" s="40" t="s">
        <v>1085</v>
      </c>
      <c r="B10" s="92"/>
      <c r="C10" s="92"/>
      <c r="D10" s="92" t="e">
        <f>VLOOKUP($A10,flows!$A$2:$J$4985,D$3,FALSE)</f>
        <v>#N/A</v>
      </c>
      <c r="E10" s="92" t="e">
        <f>VLOOKUP($A10,flows!$A$2:$J$4985,E$3,FALSE)</f>
        <v>#N/A</v>
      </c>
      <c r="F10" s="92" t="e">
        <f>VLOOKUP($A10,flows!$A$2:$J$4985,F$3,FALSE)</f>
        <v>#N/A</v>
      </c>
      <c r="G10" s="92" t="e">
        <f>VLOOKUP($A10,flows!$A$2:$J$4985,G$3,FALSE)</f>
        <v>#N/A</v>
      </c>
      <c r="H10" s="92" t="e">
        <f>VLOOKUP($A10,flows!$A$2:$J$4985,H$3,FALSE)</f>
        <v>#N/A</v>
      </c>
      <c r="I10" s="92" t="e">
        <f>VLOOKUP($A10,flows!$A$2:$J$4985,I$3,FALSE)</f>
        <v>#N/A</v>
      </c>
      <c r="J10" s="92" t="e">
        <f>VLOOKUP($A10,flows!$A$2:$J$4985,J$3,FALSE)</f>
        <v>#N/A</v>
      </c>
      <c r="K10" s="92" t="e">
        <f>VLOOKUP($A10,flows!$A$2:$J$4985,K$3,FALSE)</f>
        <v>#N/A</v>
      </c>
      <c r="M10" s="190" t="s">
        <v>2003</v>
      </c>
      <c r="N10" s="40" t="s">
        <v>1604</v>
      </c>
      <c r="O10" s="92" t="e">
        <f t="shared" ref="O10:U10" si="4">SUM(E12:E14)</f>
        <v>#N/A</v>
      </c>
      <c r="P10" s="92" t="e">
        <f t="shared" si="4"/>
        <v>#N/A</v>
      </c>
      <c r="Q10" s="92" t="e">
        <f t="shared" si="4"/>
        <v>#N/A</v>
      </c>
      <c r="R10" s="92" t="e">
        <f t="shared" si="4"/>
        <v>#N/A</v>
      </c>
      <c r="S10" s="92" t="e">
        <f t="shared" si="4"/>
        <v>#N/A</v>
      </c>
      <c r="T10" s="92" t="e">
        <f t="shared" si="4"/>
        <v>#N/A</v>
      </c>
      <c r="U10" s="92" t="e">
        <f t="shared" si="4"/>
        <v>#N/A</v>
      </c>
      <c r="V10" s="92"/>
    </row>
    <row r="11" spans="1:22" ht="15" thickBot="1" x14ac:dyDescent="0.4">
      <c r="A11" s="40" t="s">
        <v>1124</v>
      </c>
      <c r="B11" s="92"/>
      <c r="C11" s="92"/>
      <c r="D11" s="92" t="e">
        <f>VLOOKUP($A11,flows!$A$2:$J$4985,D$3,FALSE)</f>
        <v>#N/A</v>
      </c>
      <c r="E11" s="92" t="e">
        <f>VLOOKUP($A11,flows!$A$2:$J$4985,E$3,FALSE)</f>
        <v>#N/A</v>
      </c>
      <c r="F11" s="92" t="e">
        <f>VLOOKUP($A11,flows!$A$2:$J$4985,F$3,FALSE)</f>
        <v>#N/A</v>
      </c>
      <c r="G11" s="92" t="e">
        <f>VLOOKUP($A11,flows!$A$2:$J$4985,G$3,FALSE)</f>
        <v>#N/A</v>
      </c>
      <c r="H11" s="92" t="e">
        <f>VLOOKUP($A11,flows!$A$2:$J$4985,H$3,FALSE)</f>
        <v>#N/A</v>
      </c>
      <c r="I11" s="92" t="e">
        <f>VLOOKUP($A11,flows!$A$2:$J$4985,I$3,FALSE)</f>
        <v>#N/A</v>
      </c>
      <c r="J11" s="92" t="e">
        <f>VLOOKUP($A11,flows!$A$2:$J$4985,J$3,FALSE)</f>
        <v>#N/A</v>
      </c>
      <c r="K11" s="92" t="e">
        <f>VLOOKUP($A11,flows!$A$2:$J$4985,K$3,FALSE)</f>
        <v>#N/A</v>
      </c>
      <c r="M11" s="190" t="s">
        <v>1986</v>
      </c>
      <c r="N11" s="41" t="s">
        <v>1605</v>
      </c>
      <c r="O11" s="77" t="e">
        <f t="shared" ref="O11:U11" si="5">SUM(E10,E16)</f>
        <v>#N/A</v>
      </c>
      <c r="P11" s="77" t="e">
        <f t="shared" si="5"/>
        <v>#N/A</v>
      </c>
      <c r="Q11" s="77" t="e">
        <f t="shared" si="5"/>
        <v>#N/A</v>
      </c>
      <c r="R11" s="77" t="e">
        <f t="shared" si="5"/>
        <v>#N/A</v>
      </c>
      <c r="S11" s="77" t="e">
        <f t="shared" si="5"/>
        <v>#N/A</v>
      </c>
      <c r="T11" s="77" t="e">
        <f t="shared" si="5"/>
        <v>#N/A</v>
      </c>
      <c r="U11" s="77" t="e">
        <f t="shared" si="5"/>
        <v>#N/A</v>
      </c>
      <c r="V11" s="92"/>
    </row>
    <row r="12" spans="1:22" x14ac:dyDescent="0.35">
      <c r="A12" s="40" t="s">
        <v>1126</v>
      </c>
      <c r="B12" s="92"/>
      <c r="C12" s="92"/>
      <c r="D12" s="92" t="e">
        <f>VLOOKUP($A12,flows!$A$2:$J$2850,D$3,FALSE)</f>
        <v>#N/A</v>
      </c>
      <c r="E12" s="92" t="e">
        <f>VLOOKUP($A12,flows!$A$2:$J$2850,E$3,FALSE)</f>
        <v>#N/A</v>
      </c>
      <c r="F12" s="92" t="e">
        <f>VLOOKUP($A12,flows!$A$2:$J$2850,F$3,FALSE)</f>
        <v>#N/A</v>
      </c>
      <c r="G12" s="92" t="e">
        <f>VLOOKUP($A12,flows!$A$2:$J$2850,G$3,FALSE)</f>
        <v>#N/A</v>
      </c>
      <c r="H12" s="92" t="e">
        <f>VLOOKUP($A12,flows!$A$2:$J$2850,H$3,FALSE)</f>
        <v>#N/A</v>
      </c>
      <c r="I12" s="92" t="e">
        <f>VLOOKUP($A12,flows!$A$2:$J$2850,I$3,FALSE)</f>
        <v>#N/A</v>
      </c>
      <c r="J12" s="92" t="e">
        <f>VLOOKUP($A12,flows!$A$2:$J$2850,J$3,FALSE)</f>
        <v>#N/A</v>
      </c>
      <c r="K12" s="92" t="e">
        <f>VLOOKUP($A12,flows!$A$2:$J$2850,K$3,FALSE)</f>
        <v>#N/A</v>
      </c>
    </row>
    <row r="13" spans="1:22" x14ac:dyDescent="0.35">
      <c r="A13" s="40" t="s">
        <v>1753</v>
      </c>
      <c r="B13" s="92"/>
      <c r="C13" s="92"/>
      <c r="D13" s="92" t="e">
        <f>VLOOKUP($A13,flows!$A$2:$J$2850,D$3,FALSE)</f>
        <v>#N/A</v>
      </c>
      <c r="E13" s="92" t="e">
        <f>VLOOKUP($A13,flows!$A$2:$J$2850,E$3,FALSE)</f>
        <v>#N/A</v>
      </c>
      <c r="F13" s="92" t="e">
        <f>VLOOKUP($A13,flows!$A$2:$J$2850,F$3,FALSE)</f>
        <v>#N/A</v>
      </c>
      <c r="G13" s="92" t="e">
        <f>VLOOKUP($A13,flows!$A$2:$J$2850,G$3,FALSE)</f>
        <v>#N/A</v>
      </c>
      <c r="H13" s="92" t="e">
        <f>VLOOKUP($A13,flows!$A$2:$J$2850,H$3,FALSE)</f>
        <v>#N/A</v>
      </c>
      <c r="I13" s="92" t="e">
        <f>VLOOKUP($A13,flows!$A$2:$J$2850,I$3,FALSE)</f>
        <v>#N/A</v>
      </c>
      <c r="J13" s="92" t="e">
        <f>VLOOKUP($A13,flows!$A$2:$J$2850,J$3,FALSE)</f>
        <v>#N/A</v>
      </c>
      <c r="K13" s="92" t="e">
        <f>VLOOKUP($A13,flows!$A$2:$J$2850,K$3,FALSE)</f>
        <v>#N/A</v>
      </c>
    </row>
    <row r="14" spans="1:22" x14ac:dyDescent="0.35">
      <c r="A14" s="40" t="s">
        <v>1127</v>
      </c>
      <c r="B14" s="92"/>
      <c r="C14" s="92"/>
      <c r="D14" s="92" t="e">
        <f>VLOOKUP($A14,flows!$A$2:$J$2850,D$3,FALSE)</f>
        <v>#N/A</v>
      </c>
      <c r="E14" s="92" t="e">
        <f>VLOOKUP($A14,flows!$A$2:$J$2850,E$3,FALSE)</f>
        <v>#N/A</v>
      </c>
      <c r="F14" s="92" t="e">
        <f>VLOOKUP($A14,flows!$A$2:$J$2850,F$3,FALSE)</f>
        <v>#N/A</v>
      </c>
      <c r="G14" s="92" t="e">
        <f>VLOOKUP($A14,flows!$A$2:$J$2850,G$3,FALSE)</f>
        <v>#N/A</v>
      </c>
      <c r="H14" s="92" t="e">
        <f>VLOOKUP($A14,flows!$A$2:$J$2850,H$3,FALSE)</f>
        <v>#N/A</v>
      </c>
      <c r="I14" s="92" t="e">
        <f>VLOOKUP($A14,flows!$A$2:$J$2850,I$3,FALSE)</f>
        <v>#N/A</v>
      </c>
      <c r="J14" s="92" t="e">
        <f>VLOOKUP($A14,flows!$A$2:$J$2850,J$3,FALSE)</f>
        <v>#N/A</v>
      </c>
      <c r="K14" s="92" t="e">
        <f>VLOOKUP($A14,flows!$A$2:$J$2850,K$3,FALSE)</f>
        <v>#N/A</v>
      </c>
    </row>
    <row r="15" spans="1:22" x14ac:dyDescent="0.35">
      <c r="A15" s="40" t="s">
        <v>1145</v>
      </c>
      <c r="B15" s="92"/>
      <c r="C15" s="92"/>
      <c r="D15" s="92" t="e">
        <f>VLOOKUP($A15,flows!$A$2:$J$2880,D$3,FALSE)</f>
        <v>#N/A</v>
      </c>
      <c r="E15" s="92" t="e">
        <f>VLOOKUP($A15,flows!$A$2:$J$2880,E$3,FALSE)</f>
        <v>#N/A</v>
      </c>
      <c r="F15" s="92" t="e">
        <f>VLOOKUP($A15,flows!$A$2:$J$2880,F$3,FALSE)</f>
        <v>#N/A</v>
      </c>
      <c r="G15" s="92" t="e">
        <f>VLOOKUP($A15,flows!$A$2:$J$2880,G$3,FALSE)</f>
        <v>#N/A</v>
      </c>
      <c r="H15" s="92" t="e">
        <f>VLOOKUP($A15,flows!$A$2:$J$2880,H$3,FALSE)</f>
        <v>#N/A</v>
      </c>
      <c r="I15" s="92" t="e">
        <f>VLOOKUP($A15,flows!$A$2:$J$2880,I$3,FALSE)</f>
        <v>#N/A</v>
      </c>
      <c r="J15" s="92" t="e">
        <f>VLOOKUP($A15,flows!$A$2:$J$2880,J$3,FALSE)</f>
        <v>#N/A</v>
      </c>
      <c r="K15" s="92" t="e">
        <f>VLOOKUP($A15,flows!$A$2:$J$2880,K$3,FALSE)</f>
        <v>#N/A</v>
      </c>
    </row>
    <row r="16" spans="1:22" x14ac:dyDescent="0.35">
      <c r="A16" s="40" t="s">
        <v>1606</v>
      </c>
      <c r="B16" s="92"/>
      <c r="C16" s="92"/>
      <c r="D16" s="92" t="e">
        <f>VLOOKUP($A16,flows!$A$2:$J$2880,D$3,FALSE)</f>
        <v>#N/A</v>
      </c>
      <c r="E16" s="92" t="e">
        <f>VLOOKUP($A16,flows!$A$2:$J$2880,E$3,FALSE)</f>
        <v>#N/A</v>
      </c>
      <c r="F16" s="92" t="e">
        <f>VLOOKUP($A16,flows!$A$2:$J$2880,F$3,FALSE)</f>
        <v>#N/A</v>
      </c>
      <c r="G16" s="92" t="e">
        <f>VLOOKUP($A16,flows!$A$2:$J$2880,G$3,FALSE)</f>
        <v>#N/A</v>
      </c>
      <c r="H16" s="92" t="e">
        <f>VLOOKUP($A16,flows!$A$2:$J$2880,H$3,FALSE)</f>
        <v>#N/A</v>
      </c>
      <c r="I16" s="92" t="e">
        <f>VLOOKUP($A16,flows!$A$2:$J$2880,I$3,FALSE)</f>
        <v>#N/A</v>
      </c>
      <c r="J16" s="92" t="e">
        <f>VLOOKUP($A16,flows!$A$2:$J$2880,J$3,FALSE)</f>
        <v>#N/A</v>
      </c>
      <c r="K16" s="92" t="e">
        <f>VLOOKUP($A16,flows!$A$2:$J$2880,K$3,FALSE)</f>
        <v>#N/A</v>
      </c>
    </row>
    <row r="17" spans="1:22" x14ac:dyDescent="0.35">
      <c r="A17" s="40"/>
      <c r="B17" s="92"/>
      <c r="C17" s="92"/>
      <c r="D17" s="92"/>
      <c r="E17" s="92"/>
      <c r="F17" s="92"/>
      <c r="G17" s="92"/>
      <c r="H17" s="92"/>
      <c r="I17" s="92"/>
      <c r="J17" s="92"/>
      <c r="K17" s="92"/>
    </row>
    <row r="18" spans="1:22" ht="15" thickBot="1" x14ac:dyDescent="0.4">
      <c r="A18" s="95" t="s">
        <v>1229</v>
      </c>
      <c r="B18" s="103"/>
      <c r="C18" s="77"/>
      <c r="D18" s="77" t="e">
        <f t="shared" ref="D18:K18" si="6">SUM(D5:D15)</f>
        <v>#N/A</v>
      </c>
      <c r="E18" s="77" t="e">
        <f t="shared" si="6"/>
        <v>#N/A</v>
      </c>
      <c r="F18" s="77" t="e">
        <f t="shared" si="6"/>
        <v>#N/A</v>
      </c>
      <c r="G18" s="77" t="e">
        <f t="shared" si="6"/>
        <v>#N/A</v>
      </c>
      <c r="H18" s="77" t="e">
        <f t="shared" si="6"/>
        <v>#N/A</v>
      </c>
      <c r="I18" s="77" t="e">
        <f t="shared" si="6"/>
        <v>#N/A</v>
      </c>
      <c r="J18" s="77" t="e">
        <f t="shared" si="6"/>
        <v>#N/A</v>
      </c>
      <c r="K18" s="77" t="e">
        <f t="shared" si="6"/>
        <v>#N/A</v>
      </c>
    </row>
    <row r="19" spans="1:22" ht="15" thickBot="1" x14ac:dyDescent="0.4">
      <c r="N19" s="88" t="s">
        <v>1168</v>
      </c>
      <c r="O19" s="89">
        <v>3</v>
      </c>
      <c r="P19" s="89">
        <v>4</v>
      </c>
      <c r="Q19" s="89">
        <v>5</v>
      </c>
      <c r="R19" s="89">
        <v>6</v>
      </c>
      <c r="S19" s="89">
        <v>7</v>
      </c>
      <c r="T19" s="89">
        <v>8</v>
      </c>
      <c r="U19" s="89">
        <v>9</v>
      </c>
      <c r="V19" s="92"/>
    </row>
    <row r="20" spans="1:22" x14ac:dyDescent="0.35">
      <c r="A20" s="87"/>
      <c r="B20" s="88" t="s">
        <v>1168</v>
      </c>
      <c r="C20" s="88" t="s">
        <v>1209</v>
      </c>
      <c r="D20" s="89">
        <v>2</v>
      </c>
      <c r="E20" s="89">
        <v>3</v>
      </c>
      <c r="F20" s="89">
        <v>4</v>
      </c>
      <c r="G20" s="89">
        <v>5</v>
      </c>
      <c r="H20" s="89">
        <v>6</v>
      </c>
      <c r="I20" s="89">
        <v>7</v>
      </c>
      <c r="J20" s="89">
        <v>8</v>
      </c>
      <c r="K20" s="89">
        <v>9</v>
      </c>
      <c r="N20" s="40"/>
      <c r="O20" s="133">
        <v>2020</v>
      </c>
      <c r="P20" s="133">
        <v>2025</v>
      </c>
      <c r="Q20" s="133">
        <v>2030</v>
      </c>
      <c r="R20" s="133">
        <v>2035</v>
      </c>
      <c r="S20" s="133">
        <v>2040</v>
      </c>
      <c r="T20" s="133">
        <v>2045</v>
      </c>
      <c r="U20" s="133">
        <v>2050</v>
      </c>
      <c r="V20" s="133"/>
    </row>
    <row r="21" spans="1:22" x14ac:dyDescent="0.35">
      <c r="A21" s="40" t="s">
        <v>1415</v>
      </c>
      <c r="B21" s="92"/>
      <c r="C21" s="92"/>
      <c r="D21" s="133" t="s">
        <v>1417</v>
      </c>
      <c r="E21" s="133">
        <v>2020</v>
      </c>
      <c r="F21" s="133">
        <v>2025</v>
      </c>
      <c r="G21" s="133">
        <v>2030</v>
      </c>
      <c r="H21" s="133">
        <v>2035</v>
      </c>
      <c r="I21" s="133">
        <v>2040</v>
      </c>
      <c r="J21" s="133">
        <v>2045</v>
      </c>
      <c r="K21" s="133">
        <v>2050</v>
      </c>
      <c r="M21" s="190" t="s">
        <v>1999</v>
      </c>
      <c r="N21" s="40" t="s">
        <v>182</v>
      </c>
      <c r="O21" s="92" t="e">
        <f t="shared" ref="O21:U21" si="7">E22</f>
        <v>#N/A</v>
      </c>
      <c r="P21" s="92" t="e">
        <f t="shared" si="7"/>
        <v>#N/A</v>
      </c>
      <c r="Q21" s="92" t="e">
        <f t="shared" si="7"/>
        <v>#N/A</v>
      </c>
      <c r="R21" s="92" t="e">
        <f t="shared" si="7"/>
        <v>#N/A</v>
      </c>
      <c r="S21" s="92" t="e">
        <f t="shared" si="7"/>
        <v>#N/A</v>
      </c>
      <c r="T21" s="92" t="e">
        <f t="shared" si="7"/>
        <v>#N/A</v>
      </c>
      <c r="U21" s="92" t="e">
        <f t="shared" si="7"/>
        <v>#N/A</v>
      </c>
      <c r="V21" s="92"/>
    </row>
    <row r="22" spans="1:22" x14ac:dyDescent="0.35">
      <c r="A22" s="40" t="s">
        <v>601</v>
      </c>
      <c r="B22" s="92"/>
      <c r="C22" s="92"/>
      <c r="D22" s="92" t="e">
        <f>VLOOKUP($A22,flows!$A$2:$J$4985,D$20,FALSE)</f>
        <v>#N/A</v>
      </c>
      <c r="E22" s="92" t="e">
        <f>VLOOKUP($A22,flows!$A$2:$J$4985,E$20,FALSE)</f>
        <v>#N/A</v>
      </c>
      <c r="F22" s="92" t="e">
        <f>VLOOKUP($A22,flows!$A$2:$J$4985,F$20,FALSE)</f>
        <v>#N/A</v>
      </c>
      <c r="G22" s="92" t="e">
        <f>VLOOKUP($A22,flows!$A$2:$J$4985,G$20,FALSE)</f>
        <v>#N/A</v>
      </c>
      <c r="H22" s="92" t="e">
        <f>VLOOKUP($A22,flows!$A$2:$J$4985,H$20,FALSE)</f>
        <v>#N/A</v>
      </c>
      <c r="I22" s="92" t="e">
        <f>VLOOKUP($A22,flows!$A$2:$J$4985,I$20,FALSE)</f>
        <v>#N/A</v>
      </c>
      <c r="J22" s="92" t="e">
        <f>VLOOKUP($A22,flows!$A$2:$J$4985,J$20,FALSE)</f>
        <v>#N/A</v>
      </c>
      <c r="K22" s="92" t="e">
        <f>VLOOKUP($A22,flows!$A$2:$J$4985,K$20,FALSE)</f>
        <v>#N/A</v>
      </c>
      <c r="M22" s="190" t="s">
        <v>2004</v>
      </c>
      <c r="N22" s="40" t="s">
        <v>1607</v>
      </c>
      <c r="O22" s="92" t="e">
        <f t="shared" ref="O22:U22" si="8">SUM(E23:E24)</f>
        <v>#N/A</v>
      </c>
      <c r="P22" s="92" t="e">
        <f t="shared" si="8"/>
        <v>#N/A</v>
      </c>
      <c r="Q22" s="92" t="e">
        <f t="shared" si="8"/>
        <v>#N/A</v>
      </c>
      <c r="R22" s="92" t="e">
        <f t="shared" si="8"/>
        <v>#N/A</v>
      </c>
      <c r="S22" s="92" t="e">
        <f t="shared" si="8"/>
        <v>#N/A</v>
      </c>
      <c r="T22" s="92" t="e">
        <f t="shared" si="8"/>
        <v>#N/A</v>
      </c>
      <c r="U22" s="92" t="e">
        <f t="shared" si="8"/>
        <v>#N/A</v>
      </c>
      <c r="V22" s="92"/>
    </row>
    <row r="23" spans="1:22" x14ac:dyDescent="0.35">
      <c r="A23" s="40" t="s">
        <v>1004</v>
      </c>
      <c r="B23" s="92"/>
      <c r="C23" s="92"/>
      <c r="D23" s="92" t="e">
        <f>VLOOKUP($A23,flows!$A$2:$J$4985,D$20,FALSE)</f>
        <v>#N/A</v>
      </c>
      <c r="E23" s="92" t="e">
        <f>VLOOKUP($A23,flows!$A$2:$J$4985,E$20,FALSE)</f>
        <v>#N/A</v>
      </c>
      <c r="F23" s="92" t="e">
        <f>VLOOKUP($A23,flows!$A$2:$J$4985,F$20,FALSE)</f>
        <v>#N/A</v>
      </c>
      <c r="G23" s="92" t="e">
        <f>VLOOKUP($A23,flows!$A$2:$J$4985,G$20,FALSE)</f>
        <v>#N/A</v>
      </c>
      <c r="H23" s="92" t="e">
        <f>VLOOKUP($A23,flows!$A$2:$J$4985,H$20,FALSE)</f>
        <v>#N/A</v>
      </c>
      <c r="I23" s="92" t="e">
        <f>VLOOKUP($A23,flows!$A$2:$J$4985,I$20,FALSE)</f>
        <v>#N/A</v>
      </c>
      <c r="J23" s="92" t="e">
        <f>VLOOKUP($A23,flows!$A$2:$J$4985,J$20,FALSE)</f>
        <v>#N/A</v>
      </c>
      <c r="K23" s="92" t="e">
        <f>VLOOKUP($A23,flows!$A$2:$J$4985,K$20,FALSE)</f>
        <v>#N/A</v>
      </c>
      <c r="M23" s="190" t="s">
        <v>2005</v>
      </c>
      <c r="N23" s="40" t="s">
        <v>415</v>
      </c>
      <c r="O23" s="92" t="e">
        <f t="shared" ref="O23:U24" si="9">E25</f>
        <v>#N/A</v>
      </c>
      <c r="P23" s="92" t="e">
        <f t="shared" si="9"/>
        <v>#N/A</v>
      </c>
      <c r="Q23" s="92" t="e">
        <f t="shared" si="9"/>
        <v>#N/A</v>
      </c>
      <c r="R23" s="92" t="e">
        <f t="shared" si="9"/>
        <v>#N/A</v>
      </c>
      <c r="S23" s="92" t="e">
        <f t="shared" si="9"/>
        <v>#N/A</v>
      </c>
      <c r="T23" s="92" t="e">
        <f t="shared" si="9"/>
        <v>#N/A</v>
      </c>
      <c r="U23" s="92" t="e">
        <f t="shared" si="9"/>
        <v>#N/A</v>
      </c>
      <c r="V23" s="92"/>
    </row>
    <row r="24" spans="1:22" x14ac:dyDescent="0.35">
      <c r="A24" s="40" t="s">
        <v>1005</v>
      </c>
      <c r="B24" s="92"/>
      <c r="C24" s="92"/>
      <c r="D24" s="92" t="e">
        <f>VLOOKUP($A24,flows!$A$2:$J$4985,D$20,FALSE)</f>
        <v>#N/A</v>
      </c>
      <c r="E24" s="92" t="e">
        <f>VLOOKUP($A24,flows!$A$2:$J$4985,E$20,FALSE)</f>
        <v>#N/A</v>
      </c>
      <c r="F24" s="92" t="e">
        <f>VLOOKUP($A24,flows!$A$2:$J$4985,F$20,FALSE)</f>
        <v>#N/A</v>
      </c>
      <c r="G24" s="92" t="e">
        <f>VLOOKUP($A24,flows!$A$2:$J$4985,G$20,FALSE)</f>
        <v>#N/A</v>
      </c>
      <c r="H24" s="92" t="e">
        <f>VLOOKUP($A24,flows!$A$2:$J$4985,H$20,FALSE)</f>
        <v>#N/A</v>
      </c>
      <c r="I24" s="92" t="e">
        <f>VLOOKUP($A24,flows!$A$2:$J$4985,I$20,FALSE)</f>
        <v>#N/A</v>
      </c>
      <c r="J24" s="92" t="e">
        <f>VLOOKUP($A24,flows!$A$2:$J$4985,J$20,FALSE)</f>
        <v>#N/A</v>
      </c>
      <c r="K24" s="92" t="e">
        <f>VLOOKUP($A24,flows!$A$2:$J$4985,K$20,FALSE)</f>
        <v>#N/A</v>
      </c>
      <c r="M24" s="190" t="s">
        <v>1953</v>
      </c>
      <c r="N24" s="40" t="s">
        <v>416</v>
      </c>
      <c r="O24" s="92" t="e">
        <f t="shared" si="9"/>
        <v>#N/A</v>
      </c>
      <c r="P24" s="92" t="e">
        <f t="shared" si="9"/>
        <v>#N/A</v>
      </c>
      <c r="Q24" s="92" t="e">
        <f t="shared" si="9"/>
        <v>#N/A</v>
      </c>
      <c r="R24" s="92" t="e">
        <f t="shared" si="9"/>
        <v>#N/A</v>
      </c>
      <c r="S24" s="92" t="e">
        <f t="shared" si="9"/>
        <v>#N/A</v>
      </c>
      <c r="T24" s="92" t="e">
        <f t="shared" si="9"/>
        <v>#N/A</v>
      </c>
      <c r="U24" s="92" t="e">
        <f t="shared" si="9"/>
        <v>#N/A</v>
      </c>
      <c r="V24" s="92"/>
    </row>
    <row r="25" spans="1:22" x14ac:dyDescent="0.35">
      <c r="A25" s="40" t="s">
        <v>1006</v>
      </c>
      <c r="B25" s="92"/>
      <c r="C25" s="92"/>
      <c r="D25" s="92" t="e">
        <f>VLOOKUP($A25,flows!$A$2:$J$4985,D$20,FALSE)</f>
        <v>#N/A</v>
      </c>
      <c r="E25" s="92" t="e">
        <f>VLOOKUP($A25,flows!$A$2:$J$4985,E$20,FALSE)</f>
        <v>#N/A</v>
      </c>
      <c r="F25" s="92" t="e">
        <f>VLOOKUP($A25,flows!$A$2:$J$4985,F$20,FALSE)</f>
        <v>#N/A</v>
      </c>
      <c r="G25" s="92" t="e">
        <f>VLOOKUP($A25,flows!$A$2:$J$4985,G$20,FALSE)</f>
        <v>#N/A</v>
      </c>
      <c r="H25" s="92" t="e">
        <f>VLOOKUP($A25,flows!$A$2:$J$4985,H$20,FALSE)</f>
        <v>#N/A</v>
      </c>
      <c r="I25" s="92" t="e">
        <f>VLOOKUP($A25,flows!$A$2:$J$4985,I$20,FALSE)</f>
        <v>#N/A</v>
      </c>
      <c r="J25" s="92" t="e">
        <f>VLOOKUP($A25,flows!$A$2:$J$4985,J$20,FALSE)</f>
        <v>#N/A</v>
      </c>
      <c r="K25" s="92" t="e">
        <f>VLOOKUP($A25,flows!$A$2:$J$4985,K$20,FALSE)</f>
        <v>#N/A</v>
      </c>
      <c r="M25" s="190" t="s">
        <v>2000</v>
      </c>
      <c r="N25" s="40" t="s">
        <v>1603</v>
      </c>
      <c r="O25" s="92" t="e">
        <f t="shared" ref="O25:U25" si="10">SUM(E27:E29)</f>
        <v>#N/A</v>
      </c>
      <c r="P25" s="92" t="e">
        <f t="shared" si="10"/>
        <v>#N/A</v>
      </c>
      <c r="Q25" s="92" t="e">
        <f t="shared" si="10"/>
        <v>#N/A</v>
      </c>
      <c r="R25" s="92" t="e">
        <f t="shared" si="10"/>
        <v>#N/A</v>
      </c>
      <c r="S25" s="92" t="e">
        <f t="shared" si="10"/>
        <v>#N/A</v>
      </c>
      <c r="T25" s="92" t="e">
        <f t="shared" si="10"/>
        <v>#N/A</v>
      </c>
      <c r="U25" s="92" t="e">
        <f t="shared" si="10"/>
        <v>#N/A</v>
      </c>
      <c r="V25" s="92"/>
    </row>
    <row r="26" spans="1:22" x14ac:dyDescent="0.35">
      <c r="A26" s="40" t="s">
        <v>1007</v>
      </c>
      <c r="B26" s="92"/>
      <c r="C26" s="92"/>
      <c r="D26" s="92" t="e">
        <f>VLOOKUP($A26,flows!$A$2:$J$4985,D$20,FALSE)</f>
        <v>#N/A</v>
      </c>
      <c r="E26" s="92" t="e">
        <f>VLOOKUP($A26,flows!$A$2:$J$4985,E$20,FALSE)</f>
        <v>#N/A</v>
      </c>
      <c r="F26" s="92" t="e">
        <f>VLOOKUP($A26,flows!$A$2:$J$4985,F$20,FALSE)</f>
        <v>#N/A</v>
      </c>
      <c r="G26" s="92" t="e">
        <f>VLOOKUP($A26,flows!$A$2:$J$4985,G$20,FALSE)</f>
        <v>#N/A</v>
      </c>
      <c r="H26" s="92" t="e">
        <f>VLOOKUP($A26,flows!$A$2:$J$4985,H$20,FALSE)</f>
        <v>#N/A</v>
      </c>
      <c r="I26" s="92" t="e">
        <f>VLOOKUP($A26,flows!$A$2:$J$4985,I$20,FALSE)</f>
        <v>#N/A</v>
      </c>
      <c r="J26" s="92" t="e">
        <f>VLOOKUP($A26,flows!$A$2:$J$4985,J$20,FALSE)</f>
        <v>#N/A</v>
      </c>
      <c r="K26" s="92" t="e">
        <f>VLOOKUP($A26,flows!$A$2:$J$4985,K$20,FALSE)</f>
        <v>#N/A</v>
      </c>
      <c r="M26" s="190" t="s">
        <v>2006</v>
      </c>
      <c r="N26" s="40" t="s">
        <v>463</v>
      </c>
      <c r="O26" s="92" t="e">
        <f t="shared" ref="O26:U26" si="11">E30</f>
        <v>#N/A</v>
      </c>
      <c r="P26" s="92" t="e">
        <f t="shared" si="11"/>
        <v>#N/A</v>
      </c>
      <c r="Q26" s="92" t="e">
        <f t="shared" si="11"/>
        <v>#N/A</v>
      </c>
      <c r="R26" s="92" t="e">
        <f t="shared" si="11"/>
        <v>#N/A</v>
      </c>
      <c r="S26" s="92" t="e">
        <f t="shared" si="11"/>
        <v>#N/A</v>
      </c>
      <c r="T26" s="92" t="e">
        <f t="shared" si="11"/>
        <v>#N/A</v>
      </c>
      <c r="U26" s="92" t="e">
        <f t="shared" si="11"/>
        <v>#N/A</v>
      </c>
      <c r="V26" s="92"/>
    </row>
    <row r="27" spans="1:22" x14ac:dyDescent="0.35">
      <c r="A27" s="40" t="s">
        <v>1068</v>
      </c>
      <c r="B27" s="92"/>
      <c r="C27" s="92"/>
      <c r="D27" s="92" t="e">
        <f>VLOOKUP($A27,flows!$A$2:$J$4985,D$20,FALSE)</f>
        <v>#N/A</v>
      </c>
      <c r="E27" s="92" t="e">
        <f>VLOOKUP($A27,flows!$A$2:$J$4985,E$20,FALSE)</f>
        <v>#N/A</v>
      </c>
      <c r="F27" s="92" t="e">
        <f>VLOOKUP($A27,flows!$A$2:$J$4985,F$20,FALSE)</f>
        <v>#N/A</v>
      </c>
      <c r="G27" s="92" t="e">
        <f>VLOOKUP($A27,flows!$A$2:$J$4985,G$20,FALSE)</f>
        <v>#N/A</v>
      </c>
      <c r="H27" s="92" t="e">
        <f>VLOOKUP($A27,flows!$A$2:$J$4985,H$20,FALSE)</f>
        <v>#N/A</v>
      </c>
      <c r="I27" s="92" t="e">
        <f>VLOOKUP($A27,flows!$A$2:$J$4985,I$20,FALSE)</f>
        <v>#N/A</v>
      </c>
      <c r="J27" s="92" t="e">
        <f>VLOOKUP($A27,flows!$A$2:$J$4985,J$20,FALSE)</f>
        <v>#N/A</v>
      </c>
      <c r="K27" s="92" t="e">
        <f>VLOOKUP($A27,flows!$A$2:$J$4985,K$20,FALSE)</f>
        <v>#N/A</v>
      </c>
      <c r="M27" s="190" t="s">
        <v>2003</v>
      </c>
      <c r="N27" s="40" t="s">
        <v>1604</v>
      </c>
      <c r="O27" s="92" t="e">
        <f t="shared" ref="O27:U27" si="12">SUM(E31:E33)</f>
        <v>#N/A</v>
      </c>
      <c r="P27" s="92" t="e">
        <f t="shared" si="12"/>
        <v>#N/A</v>
      </c>
      <c r="Q27" s="92" t="e">
        <f t="shared" si="12"/>
        <v>#N/A</v>
      </c>
      <c r="R27" s="92" t="e">
        <f t="shared" si="12"/>
        <v>#N/A</v>
      </c>
      <c r="S27" s="92" t="e">
        <f t="shared" si="12"/>
        <v>#N/A</v>
      </c>
      <c r="T27" s="92" t="e">
        <f t="shared" si="12"/>
        <v>#N/A</v>
      </c>
      <c r="U27" s="92" t="e">
        <f t="shared" si="12"/>
        <v>#N/A</v>
      </c>
      <c r="V27" s="92"/>
    </row>
    <row r="28" spans="1:22" x14ac:dyDescent="0.35">
      <c r="A28" s="40" t="s">
        <v>1754</v>
      </c>
      <c r="B28" s="92"/>
      <c r="C28" s="92"/>
      <c r="D28" s="92" t="e">
        <f>VLOOKUP($A28,flows!$A$2:$J$4985,D$20,FALSE)</f>
        <v>#N/A</v>
      </c>
      <c r="E28" s="92" t="e">
        <f>VLOOKUP($A28,flows!$A$2:$J$4985,E$20,FALSE)</f>
        <v>#N/A</v>
      </c>
      <c r="F28" s="92" t="e">
        <f>VLOOKUP($A28,flows!$A$2:$J$4985,F$20,FALSE)</f>
        <v>#N/A</v>
      </c>
      <c r="G28" s="92" t="e">
        <f>VLOOKUP($A28,flows!$A$2:$J$4985,G$20,FALSE)</f>
        <v>#N/A</v>
      </c>
      <c r="H28" s="92" t="e">
        <f>VLOOKUP($A28,flows!$A$2:$J$4985,H$20,FALSE)</f>
        <v>#N/A</v>
      </c>
      <c r="I28" s="92" t="e">
        <f>VLOOKUP($A28,flows!$A$2:$J$4985,I$20,FALSE)</f>
        <v>#N/A</v>
      </c>
      <c r="J28" s="92" t="e">
        <f>VLOOKUP($A28,flows!$A$2:$J$4985,J$20,FALSE)</f>
        <v>#N/A</v>
      </c>
      <c r="K28" s="92" t="e">
        <f>VLOOKUP($A28,flows!$A$2:$J$4985,K$20,FALSE)</f>
        <v>#N/A</v>
      </c>
      <c r="M28" s="190" t="s">
        <v>2007</v>
      </c>
      <c r="N28" s="40" t="s">
        <v>516</v>
      </c>
      <c r="O28" s="92" t="e">
        <f t="shared" ref="O28:U29" si="13">E34</f>
        <v>#N/A</v>
      </c>
      <c r="P28" s="92" t="e">
        <f t="shared" si="13"/>
        <v>#N/A</v>
      </c>
      <c r="Q28" s="92" t="e">
        <f t="shared" si="13"/>
        <v>#N/A</v>
      </c>
      <c r="R28" s="92" t="e">
        <f t="shared" si="13"/>
        <v>#N/A</v>
      </c>
      <c r="S28" s="92" t="e">
        <f t="shared" si="13"/>
        <v>#N/A</v>
      </c>
      <c r="T28" s="92" t="e">
        <f t="shared" si="13"/>
        <v>#N/A</v>
      </c>
      <c r="U28" s="92" t="e">
        <f t="shared" si="13"/>
        <v>#N/A</v>
      </c>
      <c r="V28" s="92"/>
    </row>
    <row r="29" spans="1:22" x14ac:dyDescent="0.35">
      <c r="A29" s="40" t="s">
        <v>1071</v>
      </c>
      <c r="B29" s="92"/>
      <c r="C29" s="92"/>
      <c r="D29" s="92" t="e">
        <f>VLOOKUP($A29,flows!$A$2:$J$4985,D$20,FALSE)</f>
        <v>#N/A</v>
      </c>
      <c r="E29" s="92" t="e">
        <f>VLOOKUP($A29,flows!$A$2:$J$4985,E$20,FALSE)</f>
        <v>#N/A</v>
      </c>
      <c r="F29" s="92" t="e">
        <f>VLOOKUP($A29,flows!$A$2:$J$4985,F$20,FALSE)</f>
        <v>#N/A</v>
      </c>
      <c r="G29" s="92" t="e">
        <f>VLOOKUP($A29,flows!$A$2:$J$4985,G$20,FALSE)</f>
        <v>#N/A</v>
      </c>
      <c r="H29" s="92" t="e">
        <f>VLOOKUP($A29,flows!$A$2:$J$4985,H$20,FALSE)</f>
        <v>#N/A</v>
      </c>
      <c r="I29" s="92" t="e">
        <f>VLOOKUP($A29,flows!$A$2:$J$4985,I$20,FALSE)</f>
        <v>#N/A</v>
      </c>
      <c r="J29" s="92" t="e">
        <f>VLOOKUP($A29,flows!$A$2:$J$4985,J$20,FALSE)</f>
        <v>#N/A</v>
      </c>
      <c r="K29" s="92" t="e">
        <f>VLOOKUP($A29,flows!$A$2:$J$4985,K$20,FALSE)</f>
        <v>#N/A</v>
      </c>
      <c r="M29" s="190" t="s">
        <v>1992</v>
      </c>
      <c r="N29" s="40" t="s">
        <v>521</v>
      </c>
      <c r="O29" s="92" t="e">
        <f t="shared" si="13"/>
        <v>#N/A</v>
      </c>
      <c r="P29" s="92" t="e">
        <f t="shared" si="13"/>
        <v>#N/A</v>
      </c>
      <c r="Q29" s="92" t="e">
        <f t="shared" si="13"/>
        <v>#N/A</v>
      </c>
      <c r="R29" s="92" t="e">
        <f t="shared" si="13"/>
        <v>#N/A</v>
      </c>
      <c r="S29" s="92" t="e">
        <f t="shared" si="13"/>
        <v>#N/A</v>
      </c>
      <c r="T29" s="92" t="e">
        <f t="shared" si="13"/>
        <v>#N/A</v>
      </c>
      <c r="U29" s="92" t="e">
        <f t="shared" si="13"/>
        <v>#N/A</v>
      </c>
      <c r="V29" s="92"/>
    </row>
    <row r="30" spans="1:22" ht="15" thickBot="1" x14ac:dyDescent="0.4">
      <c r="A30" s="40" t="s">
        <v>1073</v>
      </c>
      <c r="B30" s="92"/>
      <c r="C30" s="92"/>
      <c r="D30" s="92" t="e">
        <f>VLOOKUP($A30,flows!$A$2:$J$4985,D$20,FALSE)</f>
        <v>#N/A</v>
      </c>
      <c r="E30" s="92" t="e">
        <f>VLOOKUP($A30,flows!$A$2:$J$4985,E$20,FALSE)</f>
        <v>#N/A</v>
      </c>
      <c r="F30" s="92" t="e">
        <f>VLOOKUP($A30,flows!$A$2:$J$4985,F$20,FALSE)</f>
        <v>#N/A</v>
      </c>
      <c r="G30" s="92" t="e">
        <f>VLOOKUP($A30,flows!$A$2:$J$4985,G$20,FALSE)</f>
        <v>#N/A</v>
      </c>
      <c r="H30" s="92" t="e">
        <f>VLOOKUP($A30,flows!$A$2:$J$4985,H$20,FALSE)</f>
        <v>#N/A</v>
      </c>
      <c r="I30" s="92" t="e">
        <f>VLOOKUP($A30,flows!$A$2:$J$4985,I$20,FALSE)</f>
        <v>#N/A</v>
      </c>
      <c r="J30" s="92" t="e">
        <f>VLOOKUP($A30,flows!$A$2:$J$4985,J$20,FALSE)</f>
        <v>#N/A</v>
      </c>
      <c r="K30" s="92" t="e">
        <f>VLOOKUP($A30,flows!$A$2:$J$4985,K$20,FALSE)</f>
        <v>#N/A</v>
      </c>
      <c r="M30" s="190" t="s">
        <v>2008</v>
      </c>
      <c r="N30" s="135" t="s">
        <v>1192</v>
      </c>
      <c r="O30" s="77" t="e">
        <f t="shared" ref="O30:U30" si="14">SUM(E36:E37)</f>
        <v>#N/A</v>
      </c>
      <c r="P30" s="77" t="e">
        <f>SUM(F36:F37)</f>
        <v>#N/A</v>
      </c>
      <c r="Q30" s="77" t="e">
        <f t="shared" si="14"/>
        <v>#N/A</v>
      </c>
      <c r="R30" s="77" t="e">
        <f t="shared" si="14"/>
        <v>#N/A</v>
      </c>
      <c r="S30" s="77" t="e">
        <f>SUM(I36:I37)</f>
        <v>#N/A</v>
      </c>
      <c r="T30" s="77" t="e">
        <f t="shared" si="14"/>
        <v>#N/A</v>
      </c>
      <c r="U30" s="77" t="e">
        <f t="shared" si="14"/>
        <v>#N/A</v>
      </c>
      <c r="V30" s="92"/>
    </row>
    <row r="31" spans="1:22" x14ac:dyDescent="0.35">
      <c r="A31" s="40" t="s">
        <v>1125</v>
      </c>
      <c r="B31" s="92"/>
      <c r="C31" s="92"/>
      <c r="D31" s="92" t="e">
        <f>VLOOKUP($A31,flows!$A$2:$J$2850,D$20,FALSE)</f>
        <v>#N/A</v>
      </c>
      <c r="E31" s="92" t="e">
        <f>VLOOKUP($A31,flows!$A$2:$J$2850,E$20,FALSE)</f>
        <v>#N/A</v>
      </c>
      <c r="F31" s="92" t="e">
        <f>VLOOKUP($A31,flows!$A$2:$J$2850,F$20,FALSE)</f>
        <v>#N/A</v>
      </c>
      <c r="G31" s="92" t="e">
        <f>VLOOKUP($A31,flows!$A$2:$J$2850,G$20,FALSE)</f>
        <v>#N/A</v>
      </c>
      <c r="H31" s="92" t="e">
        <f>VLOOKUP($A31,flows!$A$2:$J$2850,H$20,FALSE)</f>
        <v>#N/A</v>
      </c>
      <c r="I31" s="92" t="e">
        <f>VLOOKUP($A31,flows!$A$2:$J$2850,I$20,FALSE)</f>
        <v>#N/A</v>
      </c>
      <c r="J31" s="92" t="e">
        <f>VLOOKUP($A31,flows!$A$2:$J$2850,J$20,FALSE)</f>
        <v>#N/A</v>
      </c>
      <c r="K31" s="92" t="e">
        <f>VLOOKUP($A31,flows!$A$2:$J$2850,K$20,FALSE)</f>
        <v>#N/A</v>
      </c>
      <c r="M31" s="190" t="s">
        <v>1893</v>
      </c>
      <c r="N31" s="134" t="s">
        <v>4242</v>
      </c>
      <c r="O31" s="132">
        <f>E38</f>
        <v>0</v>
      </c>
      <c r="P31" s="862">
        <f t="shared" ref="P31:U31" si="15">F38</f>
        <v>0</v>
      </c>
      <c r="Q31" s="862">
        <f t="shared" si="15"/>
        <v>0</v>
      </c>
      <c r="R31" s="862">
        <f t="shared" si="15"/>
        <v>0</v>
      </c>
      <c r="S31" s="862">
        <f t="shared" si="15"/>
        <v>0</v>
      </c>
      <c r="T31" s="862">
        <f t="shared" si="15"/>
        <v>0</v>
      </c>
      <c r="U31" s="862">
        <f t="shared" si="15"/>
        <v>0</v>
      </c>
    </row>
    <row r="32" spans="1:22" x14ac:dyDescent="0.35">
      <c r="A32" s="40" t="s">
        <v>1701</v>
      </c>
      <c r="B32" s="92"/>
      <c r="C32" s="92"/>
      <c r="D32" s="92" t="e">
        <f>VLOOKUP($A32,flows!$A$2:$J$2850,D$20,FALSE)</f>
        <v>#N/A</v>
      </c>
      <c r="E32" s="92" t="e">
        <f>VLOOKUP($A32,flows!$A$2:$J$2850,E$20,FALSE)</f>
        <v>#N/A</v>
      </c>
      <c r="F32" s="92" t="e">
        <f>VLOOKUP($A32,flows!$A$2:$J$2850,F$20,FALSE)</f>
        <v>#N/A</v>
      </c>
      <c r="G32" s="92" t="e">
        <f>VLOOKUP($A32,flows!$A$2:$J$2850,G$20,FALSE)</f>
        <v>#N/A</v>
      </c>
      <c r="H32" s="92" t="e">
        <f>VLOOKUP($A32,flows!$A$2:$J$2850,H$20,FALSE)</f>
        <v>#N/A</v>
      </c>
      <c r="I32" s="92" t="e">
        <f>VLOOKUP($A32,flows!$A$2:$J$2850,I$20,FALSE)</f>
        <v>#N/A</v>
      </c>
      <c r="J32" s="92" t="e">
        <f>VLOOKUP($A32,flows!$A$2:$J$2850,J$20,FALSE)</f>
        <v>#N/A</v>
      </c>
      <c r="K32" s="92" t="e">
        <f>VLOOKUP($A32,flows!$A$2:$J$2850,K$20,FALSE)</f>
        <v>#N/A</v>
      </c>
    </row>
    <row r="33" spans="1:11" x14ac:dyDescent="0.35">
      <c r="A33" s="40" t="s">
        <v>1128</v>
      </c>
      <c r="B33" s="92"/>
      <c r="C33" s="92"/>
      <c r="D33" s="92" t="e">
        <f>VLOOKUP($A33,flows!$A$2:$J$2850,D$20,FALSE)</f>
        <v>#N/A</v>
      </c>
      <c r="E33" s="92" t="e">
        <f>VLOOKUP($A33,flows!$A$2:$J$2850,E$20,FALSE)</f>
        <v>#N/A</v>
      </c>
      <c r="F33" s="92" t="e">
        <f>VLOOKUP($A33,flows!$A$2:$J$2850,F$20,FALSE)</f>
        <v>#N/A</v>
      </c>
      <c r="G33" s="92" t="e">
        <f>VLOOKUP($A33,flows!$A$2:$J$2850,G$20,FALSE)</f>
        <v>#N/A</v>
      </c>
      <c r="H33" s="92" t="e">
        <f>VLOOKUP($A33,flows!$A$2:$J$2850,H$20,FALSE)</f>
        <v>#N/A</v>
      </c>
      <c r="I33" s="92" t="e">
        <f>VLOOKUP($A33,flows!$A$2:$J$2850,I$20,FALSE)</f>
        <v>#N/A</v>
      </c>
      <c r="J33" s="92" t="e">
        <f>VLOOKUP($A33,flows!$A$2:$J$2850,J$20,FALSE)</f>
        <v>#N/A</v>
      </c>
      <c r="K33" s="92" t="e">
        <f>VLOOKUP($A33,flows!$A$2:$J$2850,K$20,FALSE)</f>
        <v>#N/A</v>
      </c>
    </row>
    <row r="34" spans="1:11" x14ac:dyDescent="0.35">
      <c r="A34" s="40" t="s">
        <v>1137</v>
      </c>
      <c r="B34" s="92"/>
      <c r="C34" s="92"/>
      <c r="D34" s="92" t="e">
        <f>VLOOKUP($A34,flows!$A$2:$J$2880,D$20,FALSE)</f>
        <v>#N/A</v>
      </c>
      <c r="E34" s="92" t="e">
        <f>VLOOKUP($A34,flows!$A$2:$J$2880,E$20,FALSE)</f>
        <v>#N/A</v>
      </c>
      <c r="F34" s="92" t="e">
        <f>VLOOKUP($A34,flows!$A$2:$J$2880,F$20,FALSE)</f>
        <v>#N/A</v>
      </c>
      <c r="G34" s="92" t="e">
        <f>VLOOKUP($A34,flows!$A$2:$J$2880,G$20,FALSE)</f>
        <v>#N/A</v>
      </c>
      <c r="H34" s="92" t="e">
        <f>VLOOKUP($A34,flows!$A$2:$J$2880,H$20,FALSE)</f>
        <v>#N/A</v>
      </c>
      <c r="I34" s="92" t="e">
        <f>VLOOKUP($A34,flows!$A$2:$J$2880,I$20,FALSE)</f>
        <v>#N/A</v>
      </c>
      <c r="J34" s="92" t="e">
        <f>VLOOKUP($A34,flows!$A$2:$J$2880,J$20,FALSE)</f>
        <v>#N/A</v>
      </c>
      <c r="K34" s="92" t="e">
        <f>VLOOKUP($A34,flows!$A$2:$J$2880,K$20,FALSE)</f>
        <v>#N/A</v>
      </c>
    </row>
    <row r="35" spans="1:11" x14ac:dyDescent="0.35">
      <c r="A35" s="40" t="s">
        <v>1144</v>
      </c>
      <c r="B35" s="92"/>
      <c r="C35" s="92"/>
      <c r="D35" s="92" t="e">
        <f>VLOOKUP($A35,flows!$A$2:$J$2880,D$20,FALSE)</f>
        <v>#N/A</v>
      </c>
      <c r="E35" s="92" t="e">
        <f>VLOOKUP($A35,flows!$A$2:$J$2880,E$20,FALSE)</f>
        <v>#N/A</v>
      </c>
      <c r="F35" s="92" t="e">
        <f>VLOOKUP($A35,flows!$A$2:$J$2880,F$20,FALSE)</f>
        <v>#N/A</v>
      </c>
      <c r="G35" s="92" t="e">
        <f>VLOOKUP($A35,flows!$A$2:$J$2880,G$20,FALSE)</f>
        <v>#N/A</v>
      </c>
      <c r="H35" s="92" t="e">
        <f>VLOOKUP($A35,flows!$A$2:$J$2880,H$20,FALSE)</f>
        <v>#N/A</v>
      </c>
      <c r="I35" s="92" t="e">
        <f>VLOOKUP($A35,flows!$A$2:$J$2880,I$20,FALSE)</f>
        <v>#N/A</v>
      </c>
      <c r="J35" s="92" t="e">
        <f>VLOOKUP($A35,flows!$A$2:$J$2880,J$20,FALSE)</f>
        <v>#N/A</v>
      </c>
      <c r="K35" s="92" t="e">
        <f>VLOOKUP($A35,flows!$A$2:$J$2880,K$20,FALSE)</f>
        <v>#N/A</v>
      </c>
    </row>
    <row r="36" spans="1:11" x14ac:dyDescent="0.35">
      <c r="A36" s="40" t="s">
        <v>595</v>
      </c>
      <c r="B36" s="92"/>
      <c r="C36" s="92"/>
      <c r="D36" s="92" t="e">
        <f>VLOOKUP($A36,flows!$A$2:$J$4985,D$20,FALSE)</f>
        <v>#N/A</v>
      </c>
      <c r="E36" s="92" t="e">
        <f>VLOOKUP($A36,flows!$A$2:$J$4985,E$20,FALSE)</f>
        <v>#N/A</v>
      </c>
      <c r="F36" s="92" t="e">
        <f>VLOOKUP($A36,flows!$A$2:$J$4985,F$20,FALSE)</f>
        <v>#N/A</v>
      </c>
      <c r="G36" s="92" t="e">
        <f>VLOOKUP($A36,flows!$A$2:$J$4985,G$20,FALSE)</f>
        <v>#N/A</v>
      </c>
      <c r="H36" s="92" t="e">
        <f>VLOOKUP($A36,flows!$A$2:$J$4985,H$20,FALSE)</f>
        <v>#N/A</v>
      </c>
      <c r="I36" s="92" t="e">
        <f>VLOOKUP($A36,flows!$A$2:$J$4985,I$20,FALSE)</f>
        <v>#N/A</v>
      </c>
      <c r="J36" s="92" t="e">
        <f>VLOOKUP($A36,flows!$A$2:$J$4985,J$20,FALSE)</f>
        <v>#N/A</v>
      </c>
      <c r="K36" s="92" t="e">
        <f>VLOOKUP($A36,flows!$A$2:$J$4985,K$20,FALSE)</f>
        <v>#N/A</v>
      </c>
    </row>
    <row r="37" spans="1:11" x14ac:dyDescent="0.35">
      <c r="A37" s="40" t="s">
        <v>593</v>
      </c>
      <c r="B37" s="92"/>
      <c r="C37" s="92"/>
      <c r="D37" s="92" t="e">
        <f>VLOOKUP($A37,flows!$A$2:$J$4985,D$20,FALSE)</f>
        <v>#N/A</v>
      </c>
      <c r="E37" s="92" t="e">
        <f>VLOOKUP($A37,flows!$A$2:$J$4985,E$20,FALSE)</f>
        <v>#N/A</v>
      </c>
      <c r="F37" s="92" t="e">
        <f>VLOOKUP($A37,flows!$A$2:$J$4985,F$20,FALSE)</f>
        <v>#N/A</v>
      </c>
      <c r="G37" s="92" t="e">
        <f>VLOOKUP($A37,flows!$A$2:$J$4985,G$20,FALSE)</f>
        <v>#N/A</v>
      </c>
      <c r="H37" s="92" t="e">
        <f>VLOOKUP($A37,flows!$A$2:$J$4985,H$20,FALSE)</f>
        <v>#N/A</v>
      </c>
      <c r="I37" s="92" t="e">
        <f>VLOOKUP($A37,flows!$A$2:$J$4985,I$20,FALSE)</f>
        <v>#N/A</v>
      </c>
      <c r="J37" s="92" t="e">
        <f>VLOOKUP($A37,flows!$A$2:$J$4985,J$20,FALSE)</f>
        <v>#N/A</v>
      </c>
      <c r="K37" s="92" t="e">
        <f>VLOOKUP($A37,flows!$A$2:$J$4985,K$20,FALSE)</f>
        <v>#N/A</v>
      </c>
    </row>
    <row r="38" spans="1:11" x14ac:dyDescent="0.35">
      <c r="A38" s="40" t="s">
        <v>4240</v>
      </c>
      <c r="B38" s="92"/>
      <c r="C38" s="92"/>
      <c r="D38" s="92">
        <f>VLOOKUP($A38,flows!$A$2:$J$4985,D$20,FALSE)</f>
        <v>0</v>
      </c>
      <c r="E38" s="92">
        <f>VLOOKUP($A38,flows!$A$2:$J$4985,E$20,FALSE)</f>
        <v>0</v>
      </c>
      <c r="F38" s="92">
        <f>VLOOKUP($A38,flows!$A$2:$J$4985,F$20,FALSE)</f>
        <v>0</v>
      </c>
      <c r="G38" s="92">
        <f>VLOOKUP($A38,flows!$A$2:$J$4985,G$20,FALSE)</f>
        <v>0</v>
      </c>
      <c r="H38" s="92">
        <f>VLOOKUP($A38,flows!$A$2:$J$4985,H$20,FALSE)</f>
        <v>0</v>
      </c>
      <c r="I38" s="92">
        <f>VLOOKUP($A38,flows!$A$2:$J$4985,I$20,FALSE)</f>
        <v>0</v>
      </c>
      <c r="J38" s="92">
        <f>VLOOKUP($A38,flows!$A$2:$J$4985,J$20,FALSE)</f>
        <v>0</v>
      </c>
      <c r="K38" s="92">
        <f>VLOOKUP($A38,flows!$A$2:$J$4985,K$20,FALSE)</f>
        <v>0</v>
      </c>
    </row>
    <row r="39" spans="1:11" x14ac:dyDescent="0.35">
      <c r="A39" s="40" t="s">
        <v>4241</v>
      </c>
      <c r="B39" s="92"/>
      <c r="C39" s="92"/>
      <c r="D39" s="92" t="e">
        <f>D38/(D38+Primärenergiebedarf!D4)</f>
        <v>#DIV/0!</v>
      </c>
      <c r="E39" s="92" t="e">
        <f>E38/(E38+Primärenergiebedarf!E4)</f>
        <v>#DIV/0!</v>
      </c>
      <c r="F39" s="92" t="e">
        <f>F38/(F38+Primärenergiebedarf!F4)</f>
        <v>#DIV/0!</v>
      </c>
      <c r="G39" s="92" t="e">
        <f>G38/(G38+Primärenergiebedarf!G4)</f>
        <v>#DIV/0!</v>
      </c>
      <c r="H39" s="92" t="e">
        <f>H38/(H38+Primärenergiebedarf!H4)</f>
        <v>#DIV/0!</v>
      </c>
      <c r="I39" s="92" t="e">
        <f>I38/(I38+Primärenergiebedarf!I4)</f>
        <v>#DIV/0!</v>
      </c>
      <c r="J39" s="92" t="e">
        <f>J38/(J38+Primärenergiebedarf!J4)</f>
        <v>#DIV/0!</v>
      </c>
      <c r="K39" s="92">
        <f>K38/(K38+Primärenergiebedarf!K4)</f>
        <v>0</v>
      </c>
    </row>
    <row r="40" spans="1:11" x14ac:dyDescent="0.35">
      <c r="A40" s="40"/>
      <c r="B40" s="92"/>
      <c r="C40" s="92"/>
      <c r="D40" s="92"/>
      <c r="E40" s="92"/>
      <c r="F40" s="92"/>
      <c r="G40" s="92"/>
      <c r="H40" s="92"/>
      <c r="I40" s="92"/>
      <c r="J40" s="92"/>
      <c r="K40" s="92"/>
    </row>
    <row r="41" spans="1:11" ht="15" thickBot="1" x14ac:dyDescent="0.4">
      <c r="A41" s="95" t="s">
        <v>1229</v>
      </c>
      <c r="B41" s="103"/>
      <c r="C41" s="77"/>
      <c r="D41" s="77" t="e">
        <f t="shared" ref="D41:K41" si="16">SUM(D22:D35)</f>
        <v>#N/A</v>
      </c>
      <c r="E41" s="77" t="e">
        <f t="shared" si="16"/>
        <v>#N/A</v>
      </c>
      <c r="F41" s="77" t="e">
        <f t="shared" si="16"/>
        <v>#N/A</v>
      </c>
      <c r="G41" s="77" t="e">
        <f t="shared" si="16"/>
        <v>#N/A</v>
      </c>
      <c r="H41" s="77" t="e">
        <f t="shared" si="16"/>
        <v>#N/A</v>
      </c>
      <c r="I41" s="77" t="e">
        <f t="shared" si="16"/>
        <v>#N/A</v>
      </c>
      <c r="J41" s="77" t="e">
        <f t="shared" si="16"/>
        <v>#N/A</v>
      </c>
      <c r="K41" s="77" t="e">
        <f t="shared" si="16"/>
        <v>#N/A</v>
      </c>
    </row>
    <row r="42" spans="1:11" ht="15" thickBot="1" x14ac:dyDescent="0.4"/>
    <row r="43" spans="1:11" x14ac:dyDescent="0.35">
      <c r="A43" s="87"/>
      <c r="B43" s="88" t="s">
        <v>1499</v>
      </c>
      <c r="C43" s="88" t="s">
        <v>1209</v>
      </c>
      <c r="D43" s="89">
        <v>2</v>
      </c>
      <c r="E43" s="89">
        <v>3</v>
      </c>
      <c r="F43" s="89">
        <v>4</v>
      </c>
      <c r="G43" s="89">
        <v>5</v>
      </c>
      <c r="H43" s="89">
        <v>6</v>
      </c>
      <c r="I43" s="89">
        <v>7</v>
      </c>
      <c r="J43" s="89">
        <v>8</v>
      </c>
      <c r="K43" s="89">
        <v>9</v>
      </c>
    </row>
    <row r="44" spans="1:11" x14ac:dyDescent="0.35">
      <c r="A44" s="40" t="s">
        <v>1415</v>
      </c>
      <c r="B44" s="92"/>
      <c r="C44" s="92"/>
      <c r="D44" s="133" t="s">
        <v>1417</v>
      </c>
      <c r="E44" s="133">
        <v>2020</v>
      </c>
      <c r="F44" s="133">
        <v>2025</v>
      </c>
      <c r="G44" s="133">
        <v>2030</v>
      </c>
      <c r="H44" s="133">
        <v>2035</v>
      </c>
      <c r="I44" s="133">
        <v>2040</v>
      </c>
      <c r="J44" s="133">
        <v>2045</v>
      </c>
      <c r="K44" s="133">
        <v>2050</v>
      </c>
    </row>
    <row r="45" spans="1:11" x14ac:dyDescent="0.35">
      <c r="A45" s="40" t="s">
        <v>4302</v>
      </c>
      <c r="B45" s="92"/>
      <c r="C45" s="92"/>
      <c r="D45" s="92" t="e">
        <f>VLOOKUP($A45,flows!$A$2:$J$4985,D$43,FALSE)</f>
        <v>#N/A</v>
      </c>
      <c r="E45" s="92" t="e">
        <f>VLOOKUP($A45,flows!$A$2:$J$4985,E$43,FALSE)</f>
        <v>#N/A</v>
      </c>
      <c r="F45" s="92" t="e">
        <f>VLOOKUP($A45,flows!$A$2:$J$4985,F$43,FALSE)</f>
        <v>#N/A</v>
      </c>
      <c r="G45" s="92" t="e">
        <f>VLOOKUP($A45,flows!$A$2:$J$4985,G$43,FALSE)</f>
        <v>#N/A</v>
      </c>
      <c r="H45" s="92" t="e">
        <f>VLOOKUP($A45,flows!$A$2:$J$4985,H$43,FALSE)</f>
        <v>#N/A</v>
      </c>
      <c r="I45" s="92" t="e">
        <f>VLOOKUP($A45,flows!$A$2:$J$4985,I$43,FALSE)</f>
        <v>#N/A</v>
      </c>
      <c r="J45" s="92" t="e">
        <f>VLOOKUP($A45,flows!$A$2:$J$4985,J$43,FALSE)</f>
        <v>#N/A</v>
      </c>
      <c r="K45" s="92" t="e">
        <f>VLOOKUP($A45,flows!$A$2:$J$4985,K$43,FALSE)</f>
        <v>#N/A</v>
      </c>
    </row>
    <row r="46" spans="1:11" x14ac:dyDescent="0.35">
      <c r="A46" s="40" t="s">
        <v>4306</v>
      </c>
      <c r="B46" s="92"/>
      <c r="C46" s="92"/>
      <c r="D46" s="92" t="e">
        <f>VLOOKUP($A46,flows!$A$2:$J$4985,D$43,FALSE)</f>
        <v>#N/A</v>
      </c>
      <c r="E46" s="92" t="e">
        <f>VLOOKUP($A46,flows!$A$2:$J$4985,E$43,FALSE)</f>
        <v>#N/A</v>
      </c>
      <c r="F46" s="92" t="e">
        <f>VLOOKUP($A46,flows!$A$2:$J$4985,F$43,FALSE)</f>
        <v>#N/A</v>
      </c>
      <c r="G46" s="92" t="e">
        <f>VLOOKUP($A46,flows!$A$2:$J$4985,G$43,FALSE)</f>
        <v>#N/A</v>
      </c>
      <c r="H46" s="92" t="e">
        <f>VLOOKUP($A46,flows!$A$2:$J$4985,H$43,FALSE)</f>
        <v>#N/A</v>
      </c>
      <c r="I46" s="92" t="e">
        <f>VLOOKUP($A46,flows!$A$2:$J$4985,I$43,FALSE)</f>
        <v>#N/A</v>
      </c>
      <c r="J46" s="92" t="e">
        <f>VLOOKUP($A46,flows!$A$2:$J$4985,J$43,FALSE)</f>
        <v>#N/A</v>
      </c>
      <c r="K46" s="92" t="e">
        <f>VLOOKUP($A46,flows!$A$2:$J$4985,K$43,FALSE)</f>
        <v>#N/A</v>
      </c>
    </row>
    <row r="47" spans="1:11" x14ac:dyDescent="0.35">
      <c r="A47" s="40" t="s">
        <v>4307</v>
      </c>
      <c r="B47" s="92"/>
      <c r="C47" s="92"/>
      <c r="D47" s="92" t="e">
        <f>VLOOKUP($A47,flows!$A$2:$J$2880,D$43,FALSE)</f>
        <v>#N/A</v>
      </c>
      <c r="E47" s="92" t="e">
        <f>VLOOKUP($A47,flows!$A$2:$J$2880,E$43,FALSE)</f>
        <v>#N/A</v>
      </c>
      <c r="F47" s="92" t="e">
        <f>VLOOKUP($A47,flows!$A$2:$J$2880,F$43,FALSE)</f>
        <v>#N/A</v>
      </c>
      <c r="G47" s="92" t="e">
        <f>VLOOKUP($A47,flows!$A$2:$J$2880,G$43,FALSE)</f>
        <v>#N/A</v>
      </c>
      <c r="H47" s="92" t="e">
        <f>VLOOKUP($A47,flows!$A$2:$J$2880,H$43,FALSE)</f>
        <v>#N/A</v>
      </c>
      <c r="I47" s="92" t="e">
        <f>VLOOKUP($A47,flows!$A$2:$J$2880,I$43,FALSE)</f>
        <v>#N/A</v>
      </c>
      <c r="J47" s="92" t="e">
        <f>VLOOKUP($A47,flows!$A$2:$J$2880,J$43,FALSE)</f>
        <v>#N/A</v>
      </c>
      <c r="K47" s="92" t="e">
        <f>VLOOKUP($A47,flows!$A$2:$J$2880,K$43,FALSE)</f>
        <v>#N/A</v>
      </c>
    </row>
    <row r="48" spans="1:11" x14ac:dyDescent="0.35">
      <c r="A48" s="40"/>
      <c r="B48" s="92"/>
      <c r="C48" s="92"/>
      <c r="D48" s="92"/>
      <c r="E48" s="92"/>
      <c r="F48" s="92"/>
      <c r="G48" s="92"/>
      <c r="H48" s="92"/>
      <c r="I48" s="92"/>
      <c r="J48" s="92"/>
      <c r="K48" s="92"/>
    </row>
    <row r="49" spans="1:11" ht="15" thickBot="1" x14ac:dyDescent="0.4">
      <c r="A49" s="95" t="s">
        <v>1229</v>
      </c>
      <c r="B49" s="103"/>
      <c r="C49" s="77"/>
      <c r="D49" s="77" t="e">
        <f>SUM(D45:D47)</f>
        <v>#N/A</v>
      </c>
      <c r="E49" s="77" t="e">
        <f t="shared" ref="E49:K49" si="17">SUM(E45:E47)</f>
        <v>#N/A</v>
      </c>
      <c r="F49" s="77" t="e">
        <f t="shared" si="17"/>
        <v>#N/A</v>
      </c>
      <c r="G49" s="77" t="e">
        <f t="shared" si="17"/>
        <v>#N/A</v>
      </c>
      <c r="H49" s="77" t="e">
        <f t="shared" si="17"/>
        <v>#N/A</v>
      </c>
      <c r="I49" s="77" t="e">
        <f t="shared" si="17"/>
        <v>#N/A</v>
      </c>
      <c r="J49" s="77" t="e">
        <f t="shared" si="17"/>
        <v>#N/A</v>
      </c>
      <c r="K49" s="77" t="e">
        <f t="shared" si="17"/>
        <v>#N/A</v>
      </c>
    </row>
    <row r="50" spans="1:11" ht="15" thickBot="1" x14ac:dyDescent="0.4"/>
    <row r="51" spans="1:11" x14ac:dyDescent="0.35">
      <c r="A51" s="87"/>
      <c r="B51" s="88" t="s">
        <v>1608</v>
      </c>
      <c r="C51" s="88" t="s">
        <v>1209</v>
      </c>
      <c r="D51" s="89">
        <v>2</v>
      </c>
      <c r="E51" s="89">
        <v>3</v>
      </c>
      <c r="F51" s="89">
        <v>4</v>
      </c>
      <c r="G51" s="89">
        <v>5</v>
      </c>
      <c r="H51" s="89">
        <v>6</v>
      </c>
      <c r="I51" s="89">
        <v>7</v>
      </c>
      <c r="J51" s="89">
        <v>8</v>
      </c>
      <c r="K51" s="89">
        <v>9</v>
      </c>
    </row>
    <row r="52" spans="1:11" x14ac:dyDescent="0.35">
      <c r="A52" s="40" t="s">
        <v>1415</v>
      </c>
      <c r="B52" s="92"/>
      <c r="C52" s="92"/>
      <c r="D52" s="133" t="s">
        <v>1417</v>
      </c>
      <c r="E52" s="133">
        <v>2020</v>
      </c>
      <c r="F52" s="133">
        <v>2025</v>
      </c>
      <c r="G52" s="133">
        <v>2030</v>
      </c>
      <c r="H52" s="133">
        <v>2035</v>
      </c>
      <c r="I52" s="133">
        <v>2040</v>
      </c>
      <c r="J52" s="133">
        <v>2045</v>
      </c>
      <c r="K52" s="133">
        <v>2050</v>
      </c>
    </row>
    <row r="53" spans="1:11" x14ac:dyDescent="0.35">
      <c r="A53" s="40" t="s">
        <v>3121</v>
      </c>
      <c r="B53" s="92" t="s">
        <v>2009</v>
      </c>
      <c r="C53" s="92" t="s">
        <v>1609</v>
      </c>
      <c r="D53" s="92" t="e">
        <f>VLOOKUP($A53,flows!$A$2:$J$4985,D$51,FALSE)</f>
        <v>#N/A</v>
      </c>
      <c r="E53" s="92" t="e">
        <f>VLOOKUP($A53,flows!$A$2:$J$4985,E$51,FALSE)</f>
        <v>#N/A</v>
      </c>
      <c r="F53" s="92" t="e">
        <f>VLOOKUP($A53,flows!$A$2:$J$4985,F$51,FALSE)</f>
        <v>#N/A</v>
      </c>
      <c r="G53" s="92" t="e">
        <f>VLOOKUP($A53,flows!$A$2:$J$4985,G$51,FALSE)</f>
        <v>#N/A</v>
      </c>
      <c r="H53" s="92" t="e">
        <f>VLOOKUP($A53,flows!$A$2:$J$4985,H$51,FALSE)</f>
        <v>#N/A</v>
      </c>
      <c r="I53" s="92" t="e">
        <f>VLOOKUP($A53,flows!$A$2:$J$4985,I$51,FALSE)</f>
        <v>#N/A</v>
      </c>
      <c r="J53" s="92" t="e">
        <f>VLOOKUP($A53,flows!$A$2:$J$4985,J$51,FALSE)</f>
        <v>#N/A</v>
      </c>
      <c r="K53" s="92" t="e">
        <f>VLOOKUP($A53,flows!$A$2:$J$4985,K$51,FALSE)</f>
        <v>#N/A</v>
      </c>
    </row>
    <row r="54" spans="1:11" x14ac:dyDescent="0.35">
      <c r="A54" s="40" t="s">
        <v>3128</v>
      </c>
      <c r="B54" s="92" t="s">
        <v>2010</v>
      </c>
      <c r="C54" s="92" t="s">
        <v>1610</v>
      </c>
      <c r="D54" s="92" t="e">
        <f>VLOOKUP($A54,flows!$A$2:$J$4985,D$51,FALSE)</f>
        <v>#N/A</v>
      </c>
      <c r="E54" s="92" t="e">
        <f>VLOOKUP($A54,flows!$A$2:$J$4985,E$51,FALSE)</f>
        <v>#N/A</v>
      </c>
      <c r="F54" s="92" t="e">
        <f>VLOOKUP($A54,flows!$A$2:$J$4985,F$51,FALSE)</f>
        <v>#N/A</v>
      </c>
      <c r="G54" s="92" t="e">
        <f>VLOOKUP($A54,flows!$A$2:$J$4985,G$51,FALSE)</f>
        <v>#N/A</v>
      </c>
      <c r="H54" s="92" t="e">
        <f>VLOOKUP($A54,flows!$A$2:$J$4985,H$51,FALSE)</f>
        <v>#N/A</v>
      </c>
      <c r="I54" s="92" t="e">
        <f>VLOOKUP($A54,flows!$A$2:$J$4985,I$51,FALSE)</f>
        <v>#N/A</v>
      </c>
      <c r="J54" s="92" t="e">
        <f>VLOOKUP($A54,flows!$A$2:$J$4985,J$51,FALSE)</f>
        <v>#N/A</v>
      </c>
      <c r="K54" s="92" t="e">
        <f>VLOOKUP($A54,flows!$A$2:$J$4985,K$51,FALSE)</f>
        <v>#N/A</v>
      </c>
    </row>
    <row r="55" spans="1:11" x14ac:dyDescent="0.35">
      <c r="A55" s="40" t="s">
        <v>3122</v>
      </c>
      <c r="B55" s="92" t="s">
        <v>2011</v>
      </c>
      <c r="C55" s="92" t="s">
        <v>1611</v>
      </c>
      <c r="D55" s="92" t="e">
        <f>VLOOKUP($A55,flows!$A$2:$J$4985,D$51,FALSE)</f>
        <v>#N/A</v>
      </c>
      <c r="E55" s="92" t="e">
        <f>VLOOKUP($A55,flows!$A$2:$J$4985,E$51,FALSE)</f>
        <v>#N/A</v>
      </c>
      <c r="F55" s="92" t="e">
        <f>VLOOKUP($A55,flows!$A$2:$J$4985,F$51,FALSE)</f>
        <v>#N/A</v>
      </c>
      <c r="G55" s="92" t="e">
        <f>VLOOKUP($A55,flows!$A$2:$J$4985,G$51,FALSE)</f>
        <v>#N/A</v>
      </c>
      <c r="H55" s="92" t="e">
        <f>VLOOKUP($A55,flows!$A$2:$J$4985,H$51,FALSE)</f>
        <v>#N/A</v>
      </c>
      <c r="I55" s="92" t="e">
        <f>VLOOKUP($A55,flows!$A$2:$J$4985,I$51,FALSE)</f>
        <v>#N/A</v>
      </c>
      <c r="J55" s="92" t="e">
        <f>VLOOKUP($A55,flows!$A$2:$J$4985,J$51,FALSE)</f>
        <v>#N/A</v>
      </c>
      <c r="K55" s="92" t="e">
        <f>VLOOKUP($A55,flows!$A$2:$J$4985,K$51,FALSE)</f>
        <v>#N/A</v>
      </c>
    </row>
    <row r="56" spans="1:11" x14ac:dyDescent="0.35">
      <c r="A56" s="40" t="s">
        <v>3125</v>
      </c>
      <c r="B56" s="137" t="s">
        <v>2012</v>
      </c>
      <c r="C56" s="92" t="s">
        <v>1612</v>
      </c>
      <c r="D56" s="92" t="e">
        <f>VLOOKUP($A56,flows!$A$2:$J$2880,D$51,FALSE)</f>
        <v>#N/A</v>
      </c>
      <c r="E56" s="92" t="e">
        <f>VLOOKUP($A56,flows!$A$2:$J$2880,E$51,FALSE)</f>
        <v>#N/A</v>
      </c>
      <c r="F56" s="92" t="e">
        <f>VLOOKUP($A56,flows!$A$2:$J$2880,F$51,FALSE)</f>
        <v>#N/A</v>
      </c>
      <c r="G56" s="92" t="e">
        <f>VLOOKUP($A56,flows!$A$2:$J$2880,G$51,FALSE)</f>
        <v>#N/A</v>
      </c>
      <c r="H56" s="92" t="e">
        <f>VLOOKUP($A56,flows!$A$2:$J$2880,H$51,FALSE)</f>
        <v>#N/A</v>
      </c>
      <c r="I56" s="92" t="e">
        <f>VLOOKUP($A56,flows!$A$2:$J$2880,I$51,FALSE)</f>
        <v>#N/A</v>
      </c>
      <c r="J56" s="92" t="e">
        <f>VLOOKUP($A56,flows!$A$2:$J$2880,J$51,FALSE)</f>
        <v>#N/A</v>
      </c>
      <c r="K56" s="92" t="e">
        <f>VLOOKUP($A56,flows!$A$2:$J$2880,K$51,FALSE)</f>
        <v>#N/A</v>
      </c>
    </row>
    <row r="57" spans="1:11" x14ac:dyDescent="0.35">
      <c r="A57" s="40" t="s">
        <v>3129</v>
      </c>
      <c r="B57" s="137" t="s">
        <v>2013</v>
      </c>
      <c r="C57" s="92" t="s">
        <v>1613</v>
      </c>
      <c r="D57" s="92" t="e">
        <f>VLOOKUP($A57,flows!$A$2:$J$2880,D$51,FALSE)</f>
        <v>#N/A</v>
      </c>
      <c r="E57" s="92" t="e">
        <f>VLOOKUP($A57,flows!$A$2:$J$2880,E$51,FALSE)</f>
        <v>#N/A</v>
      </c>
      <c r="F57" s="92" t="e">
        <f>VLOOKUP($A57,flows!$A$2:$J$2880,F$51,FALSE)</f>
        <v>#N/A</v>
      </c>
      <c r="G57" s="92" t="e">
        <f>VLOOKUP($A57,flows!$A$2:$J$2880,G$51,FALSE)</f>
        <v>#N/A</v>
      </c>
      <c r="H57" s="92" t="e">
        <f>VLOOKUP($A57,flows!$A$2:$J$2880,H$51,FALSE)</f>
        <v>#N/A</v>
      </c>
      <c r="I57" s="92" t="e">
        <f>VLOOKUP($A57,flows!$A$2:$J$2880,I$51,FALSE)</f>
        <v>#N/A</v>
      </c>
      <c r="J57" s="92" t="e">
        <f>VLOOKUP($A57,flows!$A$2:$J$2880,J$51,FALSE)</f>
        <v>#N/A</v>
      </c>
      <c r="K57" s="92" t="e">
        <f>VLOOKUP($A57,flows!$A$2:$J$2880,K$51,FALSE)</f>
        <v>#N/A</v>
      </c>
    </row>
    <row r="58" spans="1:11" x14ac:dyDescent="0.35">
      <c r="A58" s="40" t="s">
        <v>3123</v>
      </c>
      <c r="B58" s="137" t="s">
        <v>2014</v>
      </c>
      <c r="C58" s="92" t="s">
        <v>1614</v>
      </c>
      <c r="D58" s="92" t="e">
        <f>VLOOKUP($A58,flows!$A$2:$J$2880,D$51,FALSE)</f>
        <v>#N/A</v>
      </c>
      <c r="E58" s="92" t="e">
        <f>VLOOKUP($A58,flows!$A$2:$J$2880,E$51,FALSE)</f>
        <v>#N/A</v>
      </c>
      <c r="F58" s="92" t="e">
        <f>VLOOKUP($A58,flows!$A$2:$J$2880,F$51,FALSE)</f>
        <v>#N/A</v>
      </c>
      <c r="G58" s="92" t="e">
        <f>VLOOKUP($A58,flows!$A$2:$J$2880,G$51,FALSE)</f>
        <v>#N/A</v>
      </c>
      <c r="H58" s="92" t="e">
        <f>VLOOKUP($A58,flows!$A$2:$J$2880,H$51,FALSE)</f>
        <v>#N/A</v>
      </c>
      <c r="I58" s="92" t="e">
        <f>VLOOKUP($A58,flows!$A$2:$J$2880,I$51,FALSE)</f>
        <v>#N/A</v>
      </c>
      <c r="J58" s="92" t="e">
        <f>VLOOKUP($A58,flows!$A$2:$J$2880,J$51,FALSE)</f>
        <v>#N/A</v>
      </c>
      <c r="K58" s="92" t="e">
        <f>VLOOKUP($A58,flows!$A$2:$J$2880,K$51,FALSE)</f>
        <v>#N/A</v>
      </c>
    </row>
    <row r="59" spans="1:11" x14ac:dyDescent="0.35">
      <c r="A59" s="40" t="s">
        <v>3126</v>
      </c>
      <c r="B59" s="137" t="s">
        <v>2015</v>
      </c>
      <c r="C59" s="92" t="s">
        <v>1615</v>
      </c>
      <c r="D59" s="92" t="e">
        <f t="shared" ref="D59:K59" si="18">D$76*SUM(D78,D83,D88)</f>
        <v>#N/A</v>
      </c>
      <c r="E59" s="92" t="e">
        <f t="shared" si="18"/>
        <v>#N/A</v>
      </c>
      <c r="F59" s="92" t="e">
        <f t="shared" si="18"/>
        <v>#N/A</v>
      </c>
      <c r="G59" s="92" t="e">
        <f t="shared" si="18"/>
        <v>#N/A</v>
      </c>
      <c r="H59" s="92" t="e">
        <f t="shared" si="18"/>
        <v>#N/A</v>
      </c>
      <c r="I59" s="92" t="e">
        <f t="shared" si="18"/>
        <v>#N/A</v>
      </c>
      <c r="J59" s="92" t="e">
        <f t="shared" si="18"/>
        <v>#N/A</v>
      </c>
      <c r="K59" s="92" t="e">
        <f t="shared" si="18"/>
        <v>#N/A</v>
      </c>
    </row>
    <row r="60" spans="1:11" x14ac:dyDescent="0.35">
      <c r="A60" s="40" t="s">
        <v>3124</v>
      </c>
      <c r="B60" s="137" t="s">
        <v>2016</v>
      </c>
      <c r="C60" s="92" t="s">
        <v>1616</v>
      </c>
      <c r="D60" s="92" t="e">
        <f t="shared" ref="D60:K60" si="19">D$76*SUM(D79,D84,D89)</f>
        <v>#N/A</v>
      </c>
      <c r="E60" s="92" t="e">
        <f t="shared" si="19"/>
        <v>#N/A</v>
      </c>
      <c r="F60" s="92" t="e">
        <f t="shared" si="19"/>
        <v>#N/A</v>
      </c>
      <c r="G60" s="92" t="e">
        <f t="shared" si="19"/>
        <v>#N/A</v>
      </c>
      <c r="H60" s="92" t="e">
        <f t="shared" si="19"/>
        <v>#N/A</v>
      </c>
      <c r="I60" s="92" t="e">
        <f t="shared" si="19"/>
        <v>#N/A</v>
      </c>
      <c r="J60" s="92" t="e">
        <f t="shared" si="19"/>
        <v>#N/A</v>
      </c>
      <c r="K60" s="92" t="e">
        <f t="shared" si="19"/>
        <v>#N/A</v>
      </c>
    </row>
    <row r="61" spans="1:11" x14ac:dyDescent="0.35">
      <c r="A61" s="40" t="s">
        <v>1617</v>
      </c>
      <c r="B61" s="137" t="s">
        <v>2017</v>
      </c>
      <c r="C61" s="92" t="s">
        <v>1618</v>
      </c>
      <c r="D61" s="92">
        <v>0</v>
      </c>
      <c r="E61" s="92">
        <v>0</v>
      </c>
      <c r="F61" s="92">
        <v>0</v>
      </c>
      <c r="G61" s="92">
        <v>0</v>
      </c>
      <c r="H61" s="92">
        <v>0</v>
      </c>
      <c r="I61" s="92">
        <v>0</v>
      </c>
      <c r="J61" s="92">
        <v>0</v>
      </c>
      <c r="K61" s="92" t="e">
        <f>K$76*SUM(K80,K85,K90)</f>
        <v>#N/A</v>
      </c>
    </row>
    <row r="62" spans="1:11" x14ac:dyDescent="0.35">
      <c r="A62" s="40" t="s">
        <v>1619</v>
      </c>
      <c r="B62" s="137" t="s">
        <v>2018</v>
      </c>
      <c r="C62" s="92" t="s">
        <v>1620</v>
      </c>
      <c r="D62" s="92" t="e">
        <f t="shared" ref="D62:K62" si="20">D$76*SUM(D81,D86,D91)</f>
        <v>#N/A</v>
      </c>
      <c r="E62" s="92" t="e">
        <f t="shared" si="20"/>
        <v>#N/A</v>
      </c>
      <c r="F62" s="92" t="e">
        <f t="shared" si="20"/>
        <v>#N/A</v>
      </c>
      <c r="G62" s="92" t="e">
        <f t="shared" si="20"/>
        <v>#N/A</v>
      </c>
      <c r="H62" s="92" t="e">
        <f t="shared" si="20"/>
        <v>#N/A</v>
      </c>
      <c r="I62" s="92" t="e">
        <f t="shared" si="20"/>
        <v>#N/A</v>
      </c>
      <c r="J62" s="92" t="e">
        <f t="shared" si="20"/>
        <v>#N/A</v>
      </c>
      <c r="K62" s="92" t="e">
        <f t="shared" si="20"/>
        <v>#N/A</v>
      </c>
    </row>
    <row r="63" spans="1:11" x14ac:dyDescent="0.35">
      <c r="A63" s="40" t="s">
        <v>3127</v>
      </c>
      <c r="B63" s="137" t="s">
        <v>2019</v>
      </c>
      <c r="C63" s="137" t="s">
        <v>1621</v>
      </c>
      <c r="D63" s="92" t="e">
        <f>VLOOKUP($A63,flows!$A$2:$J$4985,D$51,FALSE)</f>
        <v>#N/A</v>
      </c>
      <c r="E63" s="92" t="e">
        <f>VLOOKUP($A63,flows!$A$2:$J$4985,E$51,FALSE)</f>
        <v>#N/A</v>
      </c>
      <c r="F63" s="92" t="e">
        <f>VLOOKUP($A63,flows!$A$2:$J$4985,F$51,FALSE)</f>
        <v>#N/A</v>
      </c>
      <c r="G63" s="92" t="e">
        <f>VLOOKUP($A63,flows!$A$2:$J$4985,G$51,FALSE)</f>
        <v>#N/A</v>
      </c>
      <c r="H63" s="92" t="e">
        <f>VLOOKUP($A63,flows!$A$2:$J$4985,H$51,FALSE)</f>
        <v>#N/A</v>
      </c>
      <c r="I63" s="92" t="e">
        <f>VLOOKUP($A63,flows!$A$2:$J$4985,I$51,FALSE)</f>
        <v>#N/A</v>
      </c>
      <c r="J63" s="92" t="e">
        <f>VLOOKUP($A63,flows!$A$2:$J$4985,J$51,FALSE)</f>
        <v>#N/A</v>
      </c>
      <c r="K63" s="92" t="e">
        <f>VLOOKUP($A63,flows!$A$2:$J$4985,K$51,FALSE)</f>
        <v>#N/A</v>
      </c>
    </row>
    <row r="64" spans="1:11" ht="15" thickBot="1" x14ac:dyDescent="0.4">
      <c r="A64" s="41" t="s">
        <v>4274</v>
      </c>
      <c r="B64" s="77" t="s">
        <v>1943</v>
      </c>
      <c r="C64" s="138" t="s">
        <v>1622</v>
      </c>
      <c r="D64" s="92" t="e">
        <f>VLOOKUP($A64,flows!$A$2:$J$4985,D$51,FALSE)</f>
        <v>#N/A</v>
      </c>
      <c r="E64" s="92" t="e">
        <f>VLOOKUP($A64,flows!$A$2:$J$4985,E$51,FALSE)</f>
        <v>#N/A</v>
      </c>
      <c r="F64" s="92" t="e">
        <f>VLOOKUP($A64,flows!$A$2:$J$4985,F$51,FALSE)</f>
        <v>#N/A</v>
      </c>
      <c r="G64" s="92" t="e">
        <f>VLOOKUP($A64,flows!$A$2:$J$4985,G$51,FALSE)</f>
        <v>#N/A</v>
      </c>
      <c r="H64" s="92" t="e">
        <f>VLOOKUP($A64,flows!$A$2:$J$4985,H$51,FALSE)</f>
        <v>#N/A</v>
      </c>
      <c r="I64" s="92" t="e">
        <f>VLOOKUP($A64,flows!$A$2:$J$4985,I$51,FALSE)</f>
        <v>#N/A</v>
      </c>
      <c r="J64" s="92" t="e">
        <f>VLOOKUP($A64,flows!$A$2:$J$4985,J$51,FALSE)</f>
        <v>#N/A</v>
      </c>
      <c r="K64" s="92" t="e">
        <f>VLOOKUP($A64,flows!$A$2:$J$4985,K$51,FALSE)</f>
        <v>#N/A</v>
      </c>
    </row>
    <row r="65" spans="1:11" x14ac:dyDescent="0.35">
      <c r="A65" s="40"/>
      <c r="B65" s="92"/>
      <c r="C65" s="92"/>
      <c r="D65" s="92"/>
      <c r="E65" s="92"/>
      <c r="F65" s="92"/>
      <c r="G65" s="92"/>
      <c r="H65" s="92"/>
      <c r="I65" s="92"/>
      <c r="J65" s="92"/>
      <c r="K65" s="92"/>
    </row>
    <row r="66" spans="1:11" x14ac:dyDescent="0.35">
      <c r="A66" s="139"/>
      <c r="B66" s="140"/>
      <c r="C66" s="140"/>
      <c r="D66" s="140"/>
      <c r="E66" s="140"/>
      <c r="F66" s="140"/>
      <c r="G66" s="140"/>
      <c r="H66" s="140"/>
      <c r="I66" s="140"/>
      <c r="J66" s="140"/>
      <c r="K66" s="140"/>
    </row>
    <row r="67" spans="1:11" x14ac:dyDescent="0.35">
      <c r="A67" s="139" t="s">
        <v>1143</v>
      </c>
      <c r="B67" s="140"/>
      <c r="C67" s="140"/>
      <c r="D67" s="140" t="e">
        <f>VLOOKUP($A67,flows!$A$2:$J$2850,2,FALSE)</f>
        <v>#N/A</v>
      </c>
      <c r="E67" s="140" t="e">
        <f>VLOOKUP($A67,flows!$A$2:$J$2850,2,FALSE)</f>
        <v>#N/A</v>
      </c>
      <c r="F67" s="140" t="e">
        <f>VLOOKUP($A67,flows!$A$2:$J$2850,2,FALSE)</f>
        <v>#N/A</v>
      </c>
      <c r="G67" s="140" t="e">
        <f>VLOOKUP($A67,flows!$A$2:$J$2850,2,FALSE)</f>
        <v>#N/A</v>
      </c>
      <c r="H67" s="140" t="e">
        <f>VLOOKUP($A67,flows!$A$2:$J$2850,2,FALSE)</f>
        <v>#N/A</v>
      </c>
      <c r="I67" s="140" t="e">
        <f>VLOOKUP($A67,flows!$A$2:$J$2850,2,FALSE)</f>
        <v>#N/A</v>
      </c>
      <c r="J67" s="140" t="e">
        <f>VLOOKUP($A67,flows!$A$2:$J$2850,2,FALSE)</f>
        <v>#N/A</v>
      </c>
      <c r="K67" s="140" t="e">
        <f>VLOOKUP($A67,flows!$A$2:$J$2850,2,FALSE)</f>
        <v>#N/A</v>
      </c>
    </row>
    <row r="68" spans="1:11" x14ac:dyDescent="0.35">
      <c r="A68" s="139" t="s">
        <v>1083</v>
      </c>
      <c r="B68" s="140"/>
      <c r="C68" s="140"/>
      <c r="D68" s="140" t="e">
        <f>VLOOKUP($A68,flows!$A$2:$J$4985,2,FALSE)</f>
        <v>#N/A</v>
      </c>
      <c r="E68" s="140" t="e">
        <f>VLOOKUP($A68,flows!$A$2:$J$4985,3,FALSE)</f>
        <v>#N/A</v>
      </c>
      <c r="F68" s="140" t="e">
        <f>VLOOKUP($A68,flows!$A$2:$J$4985,4,FALSE)</f>
        <v>#N/A</v>
      </c>
      <c r="G68" s="140" t="e">
        <f>VLOOKUP($A68,flows!$A$2:$J$4985,5,FALSE)</f>
        <v>#N/A</v>
      </c>
      <c r="H68" s="140" t="e">
        <f>VLOOKUP($A68,flows!$A$2:$J$4985,6,FALSE)</f>
        <v>#N/A</v>
      </c>
      <c r="I68" s="140" t="e">
        <f>VLOOKUP($A68,flows!$A$2:$J$4985,7,FALSE)</f>
        <v>#N/A</v>
      </c>
      <c r="J68" s="140" t="e">
        <f>VLOOKUP($A68,flows!$A$2:$J$4985,8,FALSE)</f>
        <v>#N/A</v>
      </c>
      <c r="K68" s="140" t="e">
        <f>VLOOKUP($A68,flows!$A$2:$J$4985,9,FALSE)</f>
        <v>#N/A</v>
      </c>
    </row>
    <row r="69" spans="1:11" x14ac:dyDescent="0.35">
      <c r="A69" s="139" t="s">
        <v>4271</v>
      </c>
      <c r="B69" s="140"/>
      <c r="C69" s="140"/>
      <c r="D69" s="140" t="e">
        <f>VLOOKUP($A69,flows!$A$2:$J$4985,2,FALSE)</f>
        <v>#N/A</v>
      </c>
      <c r="E69" s="140" t="e">
        <f>VLOOKUP($A69,flows!$A$2:$J$4985,3,FALSE)</f>
        <v>#N/A</v>
      </c>
      <c r="F69" s="140" t="e">
        <f>VLOOKUP($A69,flows!$A$2:$J$4985,4,FALSE)</f>
        <v>#N/A</v>
      </c>
      <c r="G69" s="140" t="e">
        <f>VLOOKUP($A69,flows!$A$2:$J$4985,5,FALSE)</f>
        <v>#N/A</v>
      </c>
      <c r="H69" s="140" t="e">
        <f>VLOOKUP($A69,flows!$A$2:$J$4985,6,FALSE)</f>
        <v>#N/A</v>
      </c>
      <c r="I69" s="140" t="e">
        <f>VLOOKUP($A69,flows!$A$2:$J$4985,7,FALSE)</f>
        <v>#N/A</v>
      </c>
      <c r="J69" s="140" t="e">
        <f>VLOOKUP($A69,flows!$A$2:$J$4985,8,FALSE)</f>
        <v>#N/A</v>
      </c>
      <c r="K69" s="140" t="e">
        <f>VLOOKUP($A69,flows!$A$2:$J$4985,9,FALSE)</f>
        <v>#N/A</v>
      </c>
    </row>
    <row r="70" spans="1:11" x14ac:dyDescent="0.35">
      <c r="A70" s="139" t="s">
        <v>596</v>
      </c>
      <c r="B70" s="140"/>
      <c r="C70" s="140"/>
      <c r="D70" s="140" t="e">
        <f>VLOOKUP($A70,flows!$A$2:$J$4985,2,FALSE)</f>
        <v>#N/A</v>
      </c>
      <c r="E70" s="140" t="e">
        <f>VLOOKUP($A70,flows!$A$2:$J$4985,3,FALSE)</f>
        <v>#N/A</v>
      </c>
      <c r="F70" s="140" t="e">
        <f>VLOOKUP($A70,flows!$A$2:$J$4985,4,FALSE)</f>
        <v>#N/A</v>
      </c>
      <c r="G70" s="140" t="e">
        <f>VLOOKUP($A70,flows!$A$2:$J$4985,5,FALSE)</f>
        <v>#N/A</v>
      </c>
      <c r="H70" s="140" t="e">
        <f>VLOOKUP($A70,flows!$A$2:$J$4985,6,FALSE)</f>
        <v>#N/A</v>
      </c>
      <c r="I70" s="140" t="e">
        <f>VLOOKUP($A70,flows!$A$2:$J$4985,7,FALSE)</f>
        <v>#N/A</v>
      </c>
      <c r="J70" s="140" t="e">
        <f>VLOOKUP($A70,flows!$A$2:$J$4985,8,FALSE)</f>
        <v>#N/A</v>
      </c>
      <c r="K70" s="140" t="e">
        <f>VLOOKUP($A70,flows!$A$2:$J$4985,9,FALSE)</f>
        <v>#N/A</v>
      </c>
    </row>
    <row r="71" spans="1:11" x14ac:dyDescent="0.35">
      <c r="A71" s="139"/>
      <c r="B71" s="140"/>
      <c r="C71" s="140"/>
      <c r="D71" s="140"/>
      <c r="E71" s="140"/>
      <c r="F71" s="140"/>
      <c r="G71" s="140"/>
      <c r="H71" s="140"/>
      <c r="I71" s="140"/>
      <c r="J71" s="140"/>
      <c r="K71" s="140"/>
    </row>
    <row r="72" spans="1:11" x14ac:dyDescent="0.35">
      <c r="A72" s="139" t="s">
        <v>654</v>
      </c>
      <c r="B72" s="140"/>
      <c r="C72" s="140"/>
      <c r="D72" s="140">
        <f>VLOOKUP($A72,flows!$A$2:$J$4985,2,FALSE)</f>
        <v>7.2016417185952877E-2</v>
      </c>
      <c r="E72" s="140">
        <f>VLOOKUP($A72,flows!$A$2:$J$4985,3,FALSE)</f>
        <v>437040.71055254468</v>
      </c>
      <c r="F72" s="140">
        <f>VLOOKUP($A72,flows!$A$2:$J$4985,4,FALSE)</f>
        <v>267464.6217766616</v>
      </c>
      <c r="G72" s="140">
        <f>VLOOKUP($A72,flows!$A$2:$J$4985,5,FALSE)</f>
        <v>0.1239469318867943</v>
      </c>
      <c r="H72" s="140">
        <f>VLOOKUP($A72,flows!$A$2:$J$4985,6,FALSE)</f>
        <v>7.0881622972531304E-3</v>
      </c>
      <c r="I72" s="140">
        <f>VLOOKUP($A72,flows!$A$2:$J$4985,7,FALSE)</f>
        <v>19666.81033550237</v>
      </c>
      <c r="J72" s="140">
        <f>VLOOKUP($A72,flows!$A$2:$J$4985,8,FALSE)</f>
        <v>2.3320735549338961E-4</v>
      </c>
      <c r="K72" s="140">
        <f>VLOOKUP($A72,flows!$A$2:$J$4985,9,FALSE)</f>
        <v>0</v>
      </c>
    </row>
    <row r="73" spans="1:11" x14ac:dyDescent="0.35">
      <c r="A73" s="139" t="s">
        <v>655</v>
      </c>
      <c r="B73" s="140"/>
      <c r="C73" s="140"/>
      <c r="D73" s="140">
        <f>VLOOKUP($A73,flows!$A$2:$J$4985,2,FALSE)</f>
        <v>0.31158360838142451</v>
      </c>
      <c r="E73" s="140">
        <f>VLOOKUP($A73,flows!$A$2:$J$4985,3,FALSE)</f>
        <v>737360.83742150152</v>
      </c>
      <c r="F73" s="140">
        <f>VLOOKUP($A73,flows!$A$2:$J$4985,4,FALSE)</f>
        <v>777688.55756677513</v>
      </c>
      <c r="G73" s="140">
        <f>VLOOKUP($A73,flows!$A$2:$J$4985,5,FALSE)</f>
        <v>695290.23331904039</v>
      </c>
      <c r="H73" s="140">
        <f>VLOOKUP($A73,flows!$A$2:$J$4985,6,FALSE)</f>
        <v>528183.56555787928</v>
      </c>
      <c r="I73" s="140">
        <f>VLOOKUP($A73,flows!$A$2:$J$4985,7,FALSE)</f>
        <v>164022.05118488401</v>
      </c>
      <c r="J73" s="140">
        <f>VLOOKUP($A73,flows!$A$2:$J$4985,8,FALSE)</f>
        <v>1.4093780033679749E-3</v>
      </c>
      <c r="K73" s="140">
        <f>VLOOKUP($A73,flows!$A$2:$J$4985,9,FALSE)</f>
        <v>0</v>
      </c>
    </row>
    <row r="74" spans="1:11" x14ac:dyDescent="0.35">
      <c r="A74" s="139" t="s">
        <v>656</v>
      </c>
      <c r="B74" s="140"/>
      <c r="C74" s="140"/>
      <c r="D74" s="140">
        <f>VLOOKUP($A74,flows!$A$2:$J$4985,2,FALSE)</f>
        <v>7.2425176429977409E-2</v>
      </c>
      <c r="E74" s="140">
        <f>VLOOKUP($A74,flows!$A$2:$J$4985,3,FALSE)</f>
        <v>0.3947366457414343</v>
      </c>
      <c r="F74" s="140">
        <f>VLOOKUP($A74,flows!$A$2:$J$4985,4,FALSE)</f>
        <v>8.7913162416138402</v>
      </c>
      <c r="G74" s="140">
        <f>VLOOKUP($A74,flows!$A$2:$J$4985,5,FALSE)</f>
        <v>1.2151518151527929E-2</v>
      </c>
      <c r="H74" s="140">
        <f>VLOOKUP($A74,flows!$A$2:$J$4985,6,FALSE)</f>
        <v>4.4671680576641136E-3</v>
      </c>
      <c r="I74" s="140">
        <f>VLOOKUP($A74,flows!$A$2:$J$4985,7,FALSE)</f>
        <v>1.09632428431773E-3</v>
      </c>
      <c r="J74" s="140">
        <f>VLOOKUP($A74,flows!$A$2:$J$4985,8,FALSE)</f>
        <v>2.330625007936029E-4</v>
      </c>
      <c r="K74" s="140">
        <f>VLOOKUP($A74,flows!$A$2:$J$4985,9,FALSE)</f>
        <v>0</v>
      </c>
    </row>
    <row r="75" spans="1:11" x14ac:dyDescent="0.35">
      <c r="A75" s="141" t="s">
        <v>1229</v>
      </c>
      <c r="B75" s="216"/>
      <c r="C75" s="140"/>
      <c r="D75" s="140">
        <f>SUM(D72:D74)</f>
        <v>0.4560252019973548</v>
      </c>
      <c r="E75" s="140">
        <f t="shared" ref="E75:K75" si="21">SUM(E72:E74)</f>
        <v>1174401.9427106921</v>
      </c>
      <c r="F75" s="140">
        <f t="shared" si="21"/>
        <v>1045161.9706596783</v>
      </c>
      <c r="G75" s="140">
        <f t="shared" si="21"/>
        <v>695290.36941749044</v>
      </c>
      <c r="H75" s="140">
        <f t="shared" si="21"/>
        <v>528183.57711320964</v>
      </c>
      <c r="I75" s="140">
        <f t="shared" si="21"/>
        <v>183688.86261671068</v>
      </c>
      <c r="J75" s="140">
        <f t="shared" si="21"/>
        <v>1.8756478596549673E-3</v>
      </c>
      <c r="K75" s="140">
        <f t="shared" si="21"/>
        <v>0</v>
      </c>
    </row>
    <row r="76" spans="1:11" x14ac:dyDescent="0.35">
      <c r="A76" s="141" t="s">
        <v>1623</v>
      </c>
      <c r="B76" s="216"/>
      <c r="C76" s="140"/>
      <c r="D76" s="142" t="e">
        <f t="shared" ref="D76:J76" si="22">D69/D75</f>
        <v>#N/A</v>
      </c>
      <c r="E76" s="142" t="e">
        <f t="shared" si="22"/>
        <v>#N/A</v>
      </c>
      <c r="F76" s="142" t="e">
        <f t="shared" si="22"/>
        <v>#N/A</v>
      </c>
      <c r="G76" s="142" t="e">
        <f t="shared" si="22"/>
        <v>#N/A</v>
      </c>
      <c r="H76" s="142" t="e">
        <f t="shared" si="22"/>
        <v>#N/A</v>
      </c>
      <c r="I76" s="142" t="e">
        <f t="shared" si="22"/>
        <v>#N/A</v>
      </c>
      <c r="J76" s="142" t="e">
        <f t="shared" si="22"/>
        <v>#N/A</v>
      </c>
      <c r="K76" s="142" t="e">
        <f>K69/K75</f>
        <v>#N/A</v>
      </c>
    </row>
    <row r="77" spans="1:11" x14ac:dyDescent="0.35">
      <c r="A77" s="139"/>
      <c r="B77" s="140"/>
      <c r="C77" s="140"/>
      <c r="D77" s="140"/>
      <c r="E77" s="140"/>
      <c r="F77" s="140"/>
      <c r="G77" s="140"/>
      <c r="H77" s="140"/>
      <c r="I77" s="140"/>
      <c r="J77" s="140"/>
      <c r="K77" s="140"/>
    </row>
    <row r="78" spans="1:11" x14ac:dyDescent="0.35">
      <c r="A78" s="139" t="s">
        <v>3106</v>
      </c>
      <c r="B78" s="140"/>
      <c r="C78" s="140"/>
      <c r="D78" s="140">
        <f>VLOOKUP($A78,flows!$A$2:$J$4985,2,FALSE)</f>
        <v>2.592591018694303E-2</v>
      </c>
      <c r="E78" s="140">
        <f>VLOOKUP($A78,flows!$A$2:$J$4985,3,FALSE)</f>
        <v>157334.65579891609</v>
      </c>
      <c r="F78" s="140">
        <f>VLOOKUP($A78,flows!$A$2:$J$4985,4,FALSE)</f>
        <v>96287.263839598178</v>
      </c>
      <c r="G78" s="140">
        <f>VLOOKUP($A78,flows!$A$2:$J$4985,5,FALSE)</f>
        <v>4.4620895479245928E-2</v>
      </c>
      <c r="H78" s="140">
        <f>VLOOKUP($A78,flows!$A$2:$J$4985,6,FALSE)</f>
        <v>2.551738427011127E-3</v>
      </c>
      <c r="I78" s="140">
        <f>VLOOKUP($A78,flows!$A$2:$J$4985,7,FALSE)</f>
        <v>7080.0517207808534</v>
      </c>
      <c r="J78" s="140">
        <f>VLOOKUP($A78,flows!$A$2:$J$4985,8,FALSE)</f>
        <v>8.3954647977620253E-5</v>
      </c>
      <c r="K78" s="140">
        <f>VLOOKUP($A78,flows!$A$2:$J$4985,9,FALSE)</f>
        <v>0</v>
      </c>
    </row>
    <row r="79" spans="1:11" x14ac:dyDescent="0.35">
      <c r="A79" s="139" t="s">
        <v>3107</v>
      </c>
      <c r="B79" s="140"/>
      <c r="C79" s="140"/>
      <c r="D79" s="140">
        <f>VLOOKUP($A79,flows!$A$2:$J$4985,2,FALSE)</f>
        <v>1.296295509347152E-2</v>
      </c>
      <c r="E79" s="140">
        <f>VLOOKUP($A79,flows!$A$2:$J$4985,3,FALSE)</f>
        <v>78667.327899458047</v>
      </c>
      <c r="F79" s="140">
        <f>VLOOKUP($A79,flows!$A$2:$J$4985,4,FALSE)</f>
        <v>48143.631919799089</v>
      </c>
      <c r="G79" s="140">
        <f>VLOOKUP($A79,flows!$A$2:$J$4985,5,FALSE)</f>
        <v>2.2310447739622961E-2</v>
      </c>
      <c r="H79" s="140">
        <f>VLOOKUP($A79,flows!$A$2:$J$4985,6,FALSE)</f>
        <v>1.2758692135055631E-3</v>
      </c>
      <c r="I79" s="140">
        <f>VLOOKUP($A79,flows!$A$2:$J$4985,7,FALSE)</f>
        <v>3540.0258603904272</v>
      </c>
      <c r="J79" s="140">
        <f>VLOOKUP($A79,flows!$A$2:$J$4985,8,FALSE)</f>
        <v>4.1977323988810127E-5</v>
      </c>
      <c r="K79" s="140">
        <f>VLOOKUP($A79,flows!$A$2:$J$4985,9,FALSE)</f>
        <v>0</v>
      </c>
    </row>
    <row r="80" spans="1:11" x14ac:dyDescent="0.35">
      <c r="A80" s="139" t="s">
        <v>3041</v>
      </c>
      <c r="B80" s="140"/>
      <c r="C80" s="140"/>
      <c r="D80" s="140">
        <f>VLOOKUP($A80,flows!$A$2:$J$4985,2,FALSE)</f>
        <v>5.0411492030167024E-3</v>
      </c>
      <c r="E80" s="140">
        <f>VLOOKUP($A80,flows!$A$2:$J$4985,3,FALSE)</f>
        <v>30592.849738678131</v>
      </c>
      <c r="F80" s="140">
        <f>VLOOKUP($A80,flows!$A$2:$J$4985,4,FALSE)</f>
        <v>18722.523524366319</v>
      </c>
      <c r="G80" s="140">
        <f>VLOOKUP($A80,flows!$A$2:$J$4985,5,FALSE)</f>
        <v>8.6762852320755989E-3</v>
      </c>
      <c r="H80" s="140">
        <f>VLOOKUP($A80,flows!$A$2:$J$4985,6,FALSE)</f>
        <v>4.961713608077191E-4</v>
      </c>
      <c r="I80" s="140">
        <f>VLOOKUP($A80,flows!$A$2:$J$4985,7,FALSE)</f>
        <v>1376.6767234851659</v>
      </c>
      <c r="J80" s="140">
        <f>VLOOKUP($A80,flows!$A$2:$J$4985,8,FALSE)</f>
        <v>1.632451488453727E-5</v>
      </c>
      <c r="K80" s="140">
        <f>VLOOKUP($A80,flows!$A$2:$J$4985,9,FALSE)</f>
        <v>0</v>
      </c>
    </row>
    <row r="81" spans="1:11" x14ac:dyDescent="0.35">
      <c r="A81" s="139" t="s">
        <v>3052</v>
      </c>
      <c r="B81" s="140"/>
      <c r="C81" s="140"/>
      <c r="D81" s="140">
        <f>VLOOKUP($A81,flows!$A$2:$J$4985,2,FALSE)</f>
        <v>1.1522626749752461E-2</v>
      </c>
      <c r="E81" s="140">
        <f>VLOOKUP($A81,flows!$A$2:$J$4985,3,FALSE)</f>
        <v>69926.513688407154</v>
      </c>
      <c r="F81" s="140">
        <f>VLOOKUP($A81,flows!$A$2:$J$4985,4,FALSE)</f>
        <v>42794.33948426586</v>
      </c>
      <c r="G81" s="140">
        <f>VLOOKUP($A81,flows!$A$2:$J$4985,5,FALSE)</f>
        <v>1.9831509101887079E-2</v>
      </c>
      <c r="H81" s="140">
        <f>VLOOKUP($A81,flows!$A$2:$J$4985,6,FALSE)</f>
        <v>1.134105967560501E-3</v>
      </c>
      <c r="I81" s="140">
        <f>VLOOKUP($A81,flows!$A$2:$J$4985,7,FALSE)</f>
        <v>3146.6896536803788</v>
      </c>
      <c r="J81" s="140">
        <f>VLOOKUP($A81,flows!$A$2:$J$4985,8,FALSE)</f>
        <v>3.731317687894234E-5</v>
      </c>
      <c r="K81" s="140">
        <f>VLOOKUP($A81,flows!$A$2:$J$4985,9,FALSE)</f>
        <v>0</v>
      </c>
    </row>
    <row r="82" spans="1:11" x14ac:dyDescent="0.35">
      <c r="A82" s="139"/>
      <c r="B82" s="140"/>
      <c r="C82" s="140"/>
      <c r="D82" s="140"/>
      <c r="E82" s="140"/>
      <c r="F82" s="140"/>
      <c r="G82" s="140"/>
      <c r="H82" s="140"/>
      <c r="I82" s="140"/>
      <c r="J82" s="140"/>
      <c r="K82" s="140"/>
    </row>
    <row r="83" spans="1:11" x14ac:dyDescent="0.35">
      <c r="A83" s="139" t="s">
        <v>3108</v>
      </c>
      <c r="B83" s="140"/>
      <c r="C83" s="140"/>
      <c r="D83" s="140">
        <f>VLOOKUP($A83,flows!$A$2:$J$4985,2,FALSE)</f>
        <v>8.1011738179170373E-2</v>
      </c>
      <c r="E83" s="140">
        <f>VLOOKUP($A83,flows!$A$2:$J$4985,3,FALSE)</f>
        <v>191713.8177295904</v>
      </c>
      <c r="F83" s="140">
        <f>VLOOKUP($A83,flows!$A$2:$J$4985,4,FALSE)</f>
        <v>202199.0249673615</v>
      </c>
      <c r="G83" s="140">
        <f>VLOOKUP($A83,flows!$A$2:$J$4985,5,FALSE)</f>
        <v>180775.4606629505</v>
      </c>
      <c r="H83" s="140">
        <f>VLOOKUP($A83,flows!$A$2:$J$4985,6,FALSE)</f>
        <v>137327.72704504861</v>
      </c>
      <c r="I83" s="140">
        <f>VLOOKUP($A83,flows!$A$2:$J$4985,7,FALSE)</f>
        <v>42645.73330806983</v>
      </c>
      <c r="J83" s="140">
        <f>VLOOKUP($A83,flows!$A$2:$J$4985,8,FALSE)</f>
        <v>3.6643828087567349E-4</v>
      </c>
      <c r="K83" s="140">
        <f>VLOOKUP($A83,flows!$A$2:$J$4985,9,FALSE)</f>
        <v>0</v>
      </c>
    </row>
    <row r="84" spans="1:11" x14ac:dyDescent="0.35">
      <c r="A84" s="139" t="s">
        <v>3109</v>
      </c>
      <c r="B84" s="140"/>
      <c r="C84" s="140"/>
      <c r="D84" s="140">
        <f>VLOOKUP($A84,flows!$A$2:$J$4985,2,FALSE)</f>
        <v>1.8695016502885471E-2</v>
      </c>
      <c r="E84" s="140">
        <f>VLOOKUP($A84,flows!$A$2:$J$4985,3,FALSE)</f>
        <v>44241.65024529009</v>
      </c>
      <c r="F84" s="140">
        <f>VLOOKUP($A84,flows!$A$2:$J$4985,4,FALSE)</f>
        <v>46661.313454006508</v>
      </c>
      <c r="G84" s="140">
        <f>VLOOKUP($A84,flows!$A$2:$J$4985,5,FALSE)</f>
        <v>41717.413999142424</v>
      </c>
      <c r="H84" s="140">
        <f>VLOOKUP($A84,flows!$A$2:$J$4985,6,FALSE)</f>
        <v>31691.013933472761</v>
      </c>
      <c r="I84" s="140">
        <f>VLOOKUP($A84,flows!$A$2:$J$4985,7,FALSE)</f>
        <v>9841.3230710930366</v>
      </c>
      <c r="J84" s="140">
        <f>VLOOKUP($A84,flows!$A$2:$J$4985,8,FALSE)</f>
        <v>8.4562680202078495E-5</v>
      </c>
      <c r="K84" s="140">
        <f>VLOOKUP($A84,flows!$A$2:$J$4985,9,FALSE)</f>
        <v>0</v>
      </c>
    </row>
    <row r="85" spans="1:11" x14ac:dyDescent="0.35">
      <c r="A85" s="139" t="s">
        <v>3042</v>
      </c>
      <c r="B85" s="140"/>
      <c r="C85" s="140"/>
      <c r="D85" s="140">
        <f>VLOOKUP($A85,flows!$A$2:$J$4985,2,FALSE)</f>
        <v>2.1810852586699719E-2</v>
      </c>
      <c r="E85" s="140">
        <f>VLOOKUP($A85,flows!$A$2:$J$4985,3,FALSE)</f>
        <v>51615.258619505112</v>
      </c>
      <c r="F85" s="140">
        <f>VLOOKUP($A85,flows!$A$2:$J$4985,4,FALSE)</f>
        <v>54438.199029674273</v>
      </c>
      <c r="G85" s="140">
        <f>VLOOKUP($A85,flows!$A$2:$J$4985,5,FALSE)</f>
        <v>48670.316332332834</v>
      </c>
      <c r="H85" s="140">
        <f>VLOOKUP($A85,flows!$A$2:$J$4985,6,FALSE)</f>
        <v>36972.849589051562</v>
      </c>
      <c r="I85" s="140">
        <f>VLOOKUP($A85,flows!$A$2:$J$4985,7,FALSE)</f>
        <v>11481.54358294188</v>
      </c>
      <c r="J85" s="140">
        <f>VLOOKUP($A85,flows!$A$2:$J$4985,8,FALSE)</f>
        <v>9.8656460235758248E-5</v>
      </c>
      <c r="K85" s="140">
        <f>VLOOKUP($A85,flows!$A$2:$J$4985,9,FALSE)</f>
        <v>0</v>
      </c>
    </row>
    <row r="86" spans="1:11" x14ac:dyDescent="0.35">
      <c r="A86" s="139" t="s">
        <v>3053</v>
      </c>
      <c r="B86" s="140"/>
      <c r="C86" s="140"/>
      <c r="D86" s="140">
        <f>VLOOKUP($A86,flows!$A$2:$J$4985,2,FALSE)</f>
        <v>0.1059384268496843</v>
      </c>
      <c r="E86" s="140">
        <f>VLOOKUP($A86,flows!$A$2:$J$4985,3,FALSE)</f>
        <v>250702.68472331049</v>
      </c>
      <c r="F86" s="140">
        <f>VLOOKUP($A86,flows!$A$2:$J$4985,4,FALSE)</f>
        <v>264414.10957270348</v>
      </c>
      <c r="G86" s="140">
        <f>VLOOKUP($A86,flows!$A$2:$J$4985,5,FALSE)</f>
        <v>236398.67932847381</v>
      </c>
      <c r="H86" s="140">
        <f>VLOOKUP($A86,flows!$A$2:$J$4985,6,FALSE)</f>
        <v>179582.41228967899</v>
      </c>
      <c r="I86" s="140">
        <f>VLOOKUP($A86,flows!$A$2:$J$4985,7,FALSE)</f>
        <v>55767.49740286055</v>
      </c>
      <c r="J86" s="140">
        <f>VLOOKUP($A86,flows!$A$2:$J$4985,8,FALSE)</f>
        <v>4.7918852114511151E-4</v>
      </c>
      <c r="K86" s="140">
        <f>VLOOKUP($A86,flows!$A$2:$J$4985,9,FALSE)</f>
        <v>0</v>
      </c>
    </row>
    <row r="87" spans="1:11" x14ac:dyDescent="0.35">
      <c r="A87" s="139"/>
      <c r="B87" s="140"/>
      <c r="C87" s="140"/>
      <c r="D87" s="140"/>
      <c r="E87" s="140"/>
      <c r="F87" s="140"/>
      <c r="G87" s="140"/>
      <c r="H87" s="140"/>
      <c r="I87" s="140"/>
      <c r="J87" s="140"/>
      <c r="K87" s="140"/>
    </row>
    <row r="88" spans="1:11" x14ac:dyDescent="0.35">
      <c r="A88" s="139" t="s">
        <v>3110</v>
      </c>
      <c r="B88" s="140"/>
      <c r="C88" s="140"/>
      <c r="D88" s="140">
        <f>VLOOKUP($A88,flows!$A$2:$J$4985,2,FALSE)</f>
        <v>1.6657790578894809E-2</v>
      </c>
      <c r="E88" s="140">
        <f>VLOOKUP($A88,flows!$A$2:$J$4985,3,FALSE)</f>
        <v>9.0789428520529888E-2</v>
      </c>
      <c r="F88" s="140">
        <f>VLOOKUP($A88,flows!$A$2:$J$4985,4,FALSE)</f>
        <v>2.0220027355711832</v>
      </c>
      <c r="G88" s="140">
        <f>VLOOKUP($A88,flows!$A$2:$J$4985,5,FALSE)</f>
        <v>2.7948491748514231E-3</v>
      </c>
      <c r="H88" s="140">
        <f>VLOOKUP($A88,flows!$A$2:$J$4985,6,FALSE)</f>
        <v>1.027448653262746E-3</v>
      </c>
      <c r="I88" s="140">
        <f>VLOOKUP($A88,flows!$A$2:$J$4985,7,FALSE)</f>
        <v>2.5215458539307802E-4</v>
      </c>
      <c r="J88" s="140">
        <f>VLOOKUP($A88,flows!$A$2:$J$4985,8,FALSE)</f>
        <v>5.3604375182528671E-5</v>
      </c>
      <c r="K88" s="140">
        <f>VLOOKUP($A88,flows!$A$2:$J$4985,9,FALSE)</f>
        <v>0</v>
      </c>
    </row>
    <row r="89" spans="1:11" x14ac:dyDescent="0.35">
      <c r="A89" s="139" t="s">
        <v>3111</v>
      </c>
      <c r="B89" s="140"/>
      <c r="C89" s="140"/>
      <c r="D89" s="140">
        <f>VLOOKUP($A89,flows!$A$2:$J$4985,2,FALSE)</f>
        <v>2.317605645759277E-2</v>
      </c>
      <c r="E89" s="140">
        <f>VLOOKUP($A89,flows!$A$2:$J$4985,3,FALSE)</f>
        <v>0.12631572663725901</v>
      </c>
      <c r="F89" s="140">
        <f>VLOOKUP($A89,flows!$A$2:$J$4985,4,FALSE)</f>
        <v>2.8132211973164289</v>
      </c>
      <c r="G89" s="140">
        <f>VLOOKUP($A89,flows!$A$2:$J$4985,5,FALSE)</f>
        <v>3.8884858084889369E-3</v>
      </c>
      <c r="H89" s="140">
        <f>VLOOKUP($A89,flows!$A$2:$J$4985,6,FALSE)</f>
        <v>1.429493778452516E-3</v>
      </c>
      <c r="I89" s="140">
        <f>VLOOKUP($A89,flows!$A$2:$J$4985,7,FALSE)</f>
        <v>3.5082377098167368E-4</v>
      </c>
      <c r="J89" s="140">
        <f>VLOOKUP($A89,flows!$A$2:$J$4985,8,FALSE)</f>
        <v>7.4580000253952926E-5</v>
      </c>
      <c r="K89" s="140">
        <f>VLOOKUP($A89,flows!$A$2:$J$4985,9,FALSE)</f>
        <v>0</v>
      </c>
    </row>
    <row r="90" spans="1:11" x14ac:dyDescent="0.35">
      <c r="A90" s="139" t="s">
        <v>3043</v>
      </c>
      <c r="B90" s="140"/>
      <c r="C90" s="140"/>
      <c r="D90" s="140">
        <f>VLOOKUP($A90,flows!$A$2:$J$4985,2,FALSE)</f>
        <v>5.0697623500984192E-3</v>
      </c>
      <c r="E90" s="140">
        <f>VLOOKUP($A90,flows!$A$2:$J$4985,3,FALSE)</f>
        <v>2.7631565201900399E-2</v>
      </c>
      <c r="F90" s="140">
        <f>VLOOKUP($A90,flows!$A$2:$J$4985,4,FALSE)</f>
        <v>0.6153921369129689</v>
      </c>
      <c r="G90" s="140">
        <f>VLOOKUP($A90,flows!$A$2:$J$4985,5,FALSE)</f>
        <v>8.5060627060695487E-4</v>
      </c>
      <c r="H90" s="140">
        <f>VLOOKUP($A90,flows!$A$2:$J$4985,6,FALSE)</f>
        <v>3.1270176403648802E-4</v>
      </c>
      <c r="I90" s="140">
        <f>VLOOKUP($A90,flows!$A$2:$J$4985,7,FALSE)</f>
        <v>7.6742699902241135E-5</v>
      </c>
      <c r="J90" s="140">
        <f>VLOOKUP($A90,flows!$A$2:$J$4985,8,FALSE)</f>
        <v>1.6314375055552201E-5</v>
      </c>
      <c r="K90" s="140">
        <f>VLOOKUP($A90,flows!$A$2:$J$4985,9,FALSE)</f>
        <v>0</v>
      </c>
    </row>
    <row r="91" spans="1:11" ht="15" thickBot="1" x14ac:dyDescent="0.4">
      <c r="A91" s="143" t="s">
        <v>3054</v>
      </c>
      <c r="B91" s="144"/>
      <c r="C91" s="144"/>
      <c r="D91" s="144">
        <f>VLOOKUP($A91,flows!$A$2:$J$4985,2,FALSE)</f>
        <v>1.013952470019684E-2</v>
      </c>
      <c r="E91" s="144">
        <f>VLOOKUP($A91,flows!$A$2:$J$4985,3,FALSE)</f>
        <v>5.5263130403800813E-2</v>
      </c>
      <c r="F91" s="144">
        <f>VLOOKUP($A91,flows!$A$2:$J$4985,4,FALSE)</f>
        <v>1.230784273825938</v>
      </c>
      <c r="G91" s="144">
        <f>VLOOKUP($A91,flows!$A$2:$J$4985,5,FALSE)</f>
        <v>1.70121254121391E-3</v>
      </c>
      <c r="H91" s="144">
        <f>VLOOKUP($A91,flows!$A$2:$J$4985,6,FALSE)</f>
        <v>6.2540352807297593E-4</v>
      </c>
      <c r="I91" s="144">
        <f>VLOOKUP($A91,flows!$A$2:$J$4985,7,FALSE)</f>
        <v>1.534853998044823E-4</v>
      </c>
      <c r="J91" s="144">
        <f>VLOOKUP($A91,flows!$A$2:$J$4985,8,FALSE)</f>
        <v>3.2628750111104409E-5</v>
      </c>
      <c r="K91" s="144">
        <f>VLOOKUP($A91,flows!$A$2:$J$4985,9,FALSE)</f>
        <v>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-0.499984740745262"/>
  </sheetPr>
  <dimension ref="A1:Q34"/>
  <sheetViews>
    <sheetView zoomScale="85" zoomScaleNormal="85" workbookViewId="0">
      <selection activeCell="H23" sqref="H23"/>
    </sheetView>
  </sheetViews>
  <sheetFormatPr baseColWidth="10" defaultColWidth="11.453125" defaultRowHeight="14.5" x14ac:dyDescent="0.35"/>
  <cols>
    <col min="1" max="1" width="35.1796875" style="352" bestFit="1" customWidth="1"/>
    <col min="2" max="16384" width="11.453125" style="352"/>
  </cols>
  <sheetData>
    <row r="1" spans="1:17" x14ac:dyDescent="0.35">
      <c r="B1" s="89">
        <v>2</v>
      </c>
      <c r="C1" s="89">
        <v>3</v>
      </c>
      <c r="D1" s="89">
        <v>4</v>
      </c>
      <c r="E1" s="89">
        <v>5</v>
      </c>
      <c r="F1" s="89">
        <v>6</v>
      </c>
      <c r="G1" s="89">
        <v>7</v>
      </c>
      <c r="H1" s="89">
        <v>8</v>
      </c>
      <c r="I1" s="89">
        <v>9</v>
      </c>
    </row>
    <row r="2" spans="1:17" x14ac:dyDescent="0.35">
      <c r="B2" s="133" t="s">
        <v>1417</v>
      </c>
      <c r="C2" s="133">
        <v>2020</v>
      </c>
      <c r="D2" s="133">
        <v>2025</v>
      </c>
      <c r="E2" s="133">
        <v>2030</v>
      </c>
      <c r="F2" s="133">
        <v>2035</v>
      </c>
      <c r="G2" s="133">
        <v>2040</v>
      </c>
      <c r="H2" s="133">
        <v>2045</v>
      </c>
      <c r="I2" s="133">
        <v>2050</v>
      </c>
      <c r="N2" s="352" t="s">
        <v>2446</v>
      </c>
      <c r="O2" s="352" t="s">
        <v>2448</v>
      </c>
      <c r="P2" s="352" t="s">
        <v>2447</v>
      </c>
      <c r="Q2" s="352" t="s">
        <v>2445</v>
      </c>
    </row>
    <row r="3" spans="1:17" x14ac:dyDescent="0.35">
      <c r="A3" s="352" t="s">
        <v>635</v>
      </c>
      <c r="B3" s="346">
        <f>IFERROR(VLOOKUP($A3,flows!$A$2:$J$4985,B$1,FALSE),0)</f>
        <v>0</v>
      </c>
      <c r="C3" s="346">
        <f>IFERROR(VLOOKUP($A3,flows!$A$2:$J$4985,C$1,FALSE),0)</f>
        <v>0</v>
      </c>
      <c r="D3" s="346">
        <f>IFERROR(VLOOKUP($A3,flows!$A$2:$J$4985,D$1,FALSE),0)</f>
        <v>0</v>
      </c>
      <c r="E3" s="346">
        <f>IFERROR(VLOOKUP($A3,flows!$A$2:$J$4985,E$1,FALSE),0)</f>
        <v>0</v>
      </c>
      <c r="F3" s="346">
        <f>IFERROR(VLOOKUP($A3,flows!$A$2:$J$4985,F$1,FALSE),0)</f>
        <v>0</v>
      </c>
      <c r="G3" s="346">
        <f>IFERROR(VLOOKUP($A3,flows!$A$2:$J$4985,G$1,FALSE),0)</f>
        <v>0</v>
      </c>
      <c r="H3" s="346">
        <f>IFERROR(VLOOKUP($A3,flows!$A$2:$J$4985,H$1,FALSE),0)</f>
        <v>0</v>
      </c>
      <c r="I3" s="346">
        <f>IFERROR(VLOOKUP($A3,flows!$A$2:$J$4985,I$1,FALSE),0)</f>
        <v>0</v>
      </c>
      <c r="J3" s="352" t="s">
        <v>2446</v>
      </c>
      <c r="K3" s="352" t="s">
        <v>2449</v>
      </c>
      <c r="L3" s="352">
        <v>2050</v>
      </c>
      <c r="N3" s="352">
        <f>IF($J3=N$2,$H3,0)</f>
        <v>0</v>
      </c>
      <c r="O3" s="365">
        <f>IF($J3=O$2,$H3,0)</f>
        <v>0</v>
      </c>
      <c r="P3" s="365">
        <f>IF($J3=P$2,$H3,0)</f>
        <v>0</v>
      </c>
      <c r="Q3" s="365">
        <f>IF($J3=Q$2,$H3,0)</f>
        <v>0</v>
      </c>
    </row>
    <row r="4" spans="1:17" x14ac:dyDescent="0.35">
      <c r="A4" s="352" t="s">
        <v>637</v>
      </c>
      <c r="B4" s="346">
        <f>IFERROR(VLOOKUP($A4,flows!$A$2:$J$4985,B$1,FALSE),0)</f>
        <v>0</v>
      </c>
      <c r="C4" s="346">
        <f>IFERROR(VLOOKUP($A4,flows!$A$2:$J$4985,C$1,FALSE),0)</f>
        <v>0</v>
      </c>
      <c r="D4" s="346">
        <f>IFERROR(VLOOKUP($A4,flows!$A$2:$J$4985,D$1,FALSE),0)</f>
        <v>0</v>
      </c>
      <c r="E4" s="346">
        <f>IFERROR(VLOOKUP($A4,flows!$A$2:$J$4985,E$1,FALSE),0)</f>
        <v>0</v>
      </c>
      <c r="F4" s="346">
        <f>IFERROR(VLOOKUP($A4,flows!$A$2:$J$4985,F$1,FALSE),0)</f>
        <v>0</v>
      </c>
      <c r="G4" s="346">
        <f>IFERROR(VLOOKUP($A4,flows!$A$2:$J$4985,G$1,FALSE),0)</f>
        <v>0</v>
      </c>
      <c r="H4" s="346">
        <f>IFERROR(VLOOKUP($A4,flows!$A$2:$J$4985,H$1,FALSE),0)</f>
        <v>0</v>
      </c>
      <c r="I4" s="346">
        <f>IFERROR(VLOOKUP($A4,flows!$A$2:$J$4985,I$1,FALSE),0)</f>
        <v>0</v>
      </c>
      <c r="J4" s="352" t="s">
        <v>2445</v>
      </c>
      <c r="K4" s="352" t="s">
        <v>1527</v>
      </c>
      <c r="L4" s="280">
        <f>P34/1000</f>
        <v>0</v>
      </c>
      <c r="N4" s="900">
        <f t="shared" ref="N4:Q33" si="0">IF($J4=N$2,$H4,0)</f>
        <v>0</v>
      </c>
      <c r="O4" s="900">
        <f t="shared" si="0"/>
        <v>0</v>
      </c>
      <c r="P4" s="900">
        <f t="shared" si="0"/>
        <v>0</v>
      </c>
      <c r="Q4" s="900">
        <f t="shared" si="0"/>
        <v>0</v>
      </c>
    </row>
    <row r="5" spans="1:17" x14ac:dyDescent="0.35">
      <c r="A5" s="352" t="s">
        <v>638</v>
      </c>
      <c r="B5" s="346">
        <f>IFERROR(VLOOKUP($A5,flows!$A$2:$J$4985,B$1,FALSE),0)</f>
        <v>0</v>
      </c>
      <c r="C5" s="346">
        <f>IFERROR(VLOOKUP($A5,flows!$A$2:$J$4985,C$1,FALSE),0)</f>
        <v>0</v>
      </c>
      <c r="D5" s="346">
        <f>IFERROR(VLOOKUP($A5,flows!$A$2:$J$4985,D$1,FALSE),0)</f>
        <v>0</v>
      </c>
      <c r="E5" s="346">
        <f>IFERROR(VLOOKUP($A5,flows!$A$2:$J$4985,E$1,FALSE),0)</f>
        <v>0</v>
      </c>
      <c r="F5" s="346">
        <f>IFERROR(VLOOKUP($A5,flows!$A$2:$J$4985,F$1,FALSE),0)</f>
        <v>0</v>
      </c>
      <c r="G5" s="346">
        <f>IFERROR(VLOOKUP($A5,flows!$A$2:$J$4985,G$1,FALSE),0)</f>
        <v>0</v>
      </c>
      <c r="H5" s="346">
        <f>IFERROR(VLOOKUP($A5,flows!$A$2:$J$4985,H$1,FALSE),0)</f>
        <v>0</v>
      </c>
      <c r="I5" s="346">
        <f>IFERROR(VLOOKUP($A5,flows!$A$2:$J$4985,I$1,FALSE),0)</f>
        <v>0</v>
      </c>
      <c r="J5" s="352" t="s">
        <v>2448</v>
      </c>
      <c r="K5" s="352" t="s">
        <v>1528</v>
      </c>
      <c r="L5" s="280">
        <f>O34/1000</f>
        <v>0</v>
      </c>
      <c r="N5" s="900">
        <f t="shared" si="0"/>
        <v>0</v>
      </c>
      <c r="O5" s="900">
        <f t="shared" si="0"/>
        <v>0</v>
      </c>
      <c r="P5" s="900">
        <f t="shared" si="0"/>
        <v>0</v>
      </c>
      <c r="Q5" s="900">
        <f t="shared" si="0"/>
        <v>0</v>
      </c>
    </row>
    <row r="6" spans="1:17" x14ac:dyDescent="0.35">
      <c r="A6" s="352" t="s">
        <v>639</v>
      </c>
      <c r="B6" s="346">
        <f>IFERROR(VLOOKUP($A6,flows!$A$2:$J$4985,B$1,FALSE),0)</f>
        <v>0</v>
      </c>
      <c r="C6" s="346">
        <f>IFERROR(VLOOKUP($A6,flows!$A$2:$J$4985,C$1,FALSE),0)</f>
        <v>0</v>
      </c>
      <c r="D6" s="346">
        <f>IFERROR(VLOOKUP($A6,flows!$A$2:$J$4985,D$1,FALSE),0)</f>
        <v>0</v>
      </c>
      <c r="E6" s="346">
        <f>IFERROR(VLOOKUP($A6,flows!$A$2:$J$4985,E$1,FALSE),0)</f>
        <v>0</v>
      </c>
      <c r="F6" s="346">
        <f>IFERROR(VLOOKUP($A6,flows!$A$2:$J$4985,F$1,FALSE),0)</f>
        <v>0</v>
      </c>
      <c r="G6" s="346">
        <f>IFERROR(VLOOKUP($A6,flows!$A$2:$J$4985,G$1,FALSE),0)</f>
        <v>0</v>
      </c>
      <c r="H6" s="346">
        <f>IFERROR(VLOOKUP($A6,flows!$A$2:$J$4985,H$1,FALSE),0)</f>
        <v>0</v>
      </c>
      <c r="I6" s="346">
        <f>IFERROR(VLOOKUP($A6,flows!$A$2:$J$4985,I$1,FALSE),0)</f>
        <v>0</v>
      </c>
      <c r="J6" s="352" t="s">
        <v>2447</v>
      </c>
      <c r="K6" s="352" t="s">
        <v>1468</v>
      </c>
      <c r="L6" s="280">
        <f>Q34/1000</f>
        <v>0</v>
      </c>
      <c r="N6" s="900">
        <f t="shared" si="0"/>
        <v>0</v>
      </c>
      <c r="O6" s="900">
        <f t="shared" si="0"/>
        <v>0</v>
      </c>
      <c r="P6" s="900">
        <f t="shared" si="0"/>
        <v>0</v>
      </c>
      <c r="Q6" s="900">
        <f t="shared" si="0"/>
        <v>0</v>
      </c>
    </row>
    <row r="7" spans="1:17" x14ac:dyDescent="0.35">
      <c r="A7" s="352" t="s">
        <v>640</v>
      </c>
      <c r="B7" s="346">
        <f>IFERROR(VLOOKUP($A7,flows!$A$2:$J$4985,B$1,FALSE),0)</f>
        <v>0</v>
      </c>
      <c r="C7" s="346">
        <f>IFERROR(VLOOKUP($A7,flows!$A$2:$J$4985,C$1,FALSE),0)</f>
        <v>0</v>
      </c>
      <c r="D7" s="346">
        <f>IFERROR(VLOOKUP($A7,flows!$A$2:$J$4985,D$1,FALSE),0)</f>
        <v>0</v>
      </c>
      <c r="E7" s="346">
        <f>IFERROR(VLOOKUP($A7,flows!$A$2:$J$4985,E$1,FALSE),0)</f>
        <v>0</v>
      </c>
      <c r="F7" s="346">
        <f>IFERROR(VLOOKUP($A7,flows!$A$2:$J$4985,F$1,FALSE),0)</f>
        <v>0</v>
      </c>
      <c r="G7" s="346">
        <f>IFERROR(VLOOKUP($A7,flows!$A$2:$J$4985,G$1,FALSE),0)</f>
        <v>0</v>
      </c>
      <c r="H7" s="346">
        <f>IFERROR(VLOOKUP($A7,flows!$A$2:$J$4985,H$1,FALSE),0)</f>
        <v>0</v>
      </c>
      <c r="I7" s="346">
        <f>IFERROR(VLOOKUP($A7,flows!$A$2:$J$4985,I$1,FALSE),0)</f>
        <v>0</v>
      </c>
      <c r="J7" s="352" t="s">
        <v>2446</v>
      </c>
      <c r="K7" s="352" t="s">
        <v>1813</v>
      </c>
      <c r="L7" s="280">
        <f>N34/1000</f>
        <v>0</v>
      </c>
      <c r="N7" s="900">
        <f>IF($J7=N$2,$H7,0)</f>
        <v>0</v>
      </c>
      <c r="O7" s="900">
        <f t="shared" si="0"/>
        <v>0</v>
      </c>
      <c r="P7" s="900">
        <f t="shared" si="0"/>
        <v>0</v>
      </c>
      <c r="Q7" s="900">
        <f t="shared" si="0"/>
        <v>0</v>
      </c>
    </row>
    <row r="8" spans="1:17" x14ac:dyDescent="0.35">
      <c r="A8" s="352" t="s">
        <v>641</v>
      </c>
      <c r="B8" s="346">
        <f>IFERROR(VLOOKUP($A8,flows!$A$2:$J$4985,B$1,FALSE),0)</f>
        <v>0</v>
      </c>
      <c r="C8" s="346">
        <f>IFERROR(VLOOKUP($A8,flows!$A$2:$J$4985,C$1,FALSE),0)</f>
        <v>0</v>
      </c>
      <c r="D8" s="346">
        <f>IFERROR(VLOOKUP($A8,flows!$A$2:$J$4985,D$1,FALSE),0)</f>
        <v>0</v>
      </c>
      <c r="E8" s="346">
        <f>IFERROR(VLOOKUP($A8,flows!$A$2:$J$4985,E$1,FALSE),0)</f>
        <v>0</v>
      </c>
      <c r="F8" s="346">
        <f>IFERROR(VLOOKUP($A8,flows!$A$2:$J$4985,F$1,FALSE),0)</f>
        <v>0</v>
      </c>
      <c r="G8" s="346">
        <f>IFERROR(VLOOKUP($A8,flows!$A$2:$J$4985,G$1,FALSE),0)</f>
        <v>0</v>
      </c>
      <c r="H8" s="346">
        <f>IFERROR(VLOOKUP($A8,flows!$A$2:$J$4985,H$1,FALSE),0)</f>
        <v>0</v>
      </c>
      <c r="I8" s="346">
        <f>IFERROR(VLOOKUP($A8,flows!$A$2:$J$4985,I$1,FALSE),0)</f>
        <v>0</v>
      </c>
      <c r="J8" s="352" t="s">
        <v>2445</v>
      </c>
      <c r="L8" s="280">
        <f>ROUND(SUM(L4:L7),0)</f>
        <v>0</v>
      </c>
      <c r="N8" s="900">
        <f t="shared" si="0"/>
        <v>0</v>
      </c>
      <c r="O8" s="900">
        <f t="shared" si="0"/>
        <v>0</v>
      </c>
      <c r="P8" s="900">
        <f t="shared" si="0"/>
        <v>0</v>
      </c>
      <c r="Q8" s="900">
        <f t="shared" si="0"/>
        <v>0</v>
      </c>
    </row>
    <row r="9" spans="1:17" x14ac:dyDescent="0.35">
      <c r="A9" s="352" t="s">
        <v>1130</v>
      </c>
      <c r="B9" s="346">
        <f>IFERROR(VLOOKUP($A9,flows!$A$2:$J$4985,B$1,FALSE),0)</f>
        <v>0</v>
      </c>
      <c r="C9" s="346">
        <f>IFERROR(VLOOKUP($A9,flows!$A$2:$J$4985,C$1,FALSE),0)</f>
        <v>0</v>
      </c>
      <c r="D9" s="346">
        <f>IFERROR(VLOOKUP($A9,flows!$A$2:$J$4985,D$1,FALSE),0)</f>
        <v>0</v>
      </c>
      <c r="E9" s="346">
        <f>IFERROR(VLOOKUP($A9,flows!$A$2:$J$4985,E$1,FALSE),0)</f>
        <v>0</v>
      </c>
      <c r="F9" s="346">
        <f>IFERROR(VLOOKUP($A9,flows!$A$2:$J$4985,F$1,FALSE),0)</f>
        <v>0</v>
      </c>
      <c r="G9" s="346">
        <f>IFERROR(VLOOKUP($A9,flows!$A$2:$J$4985,G$1,FALSE),0)</f>
        <v>0</v>
      </c>
      <c r="H9" s="346">
        <f>IFERROR(VLOOKUP($A9,flows!$A$2:$J$4985,H$1,FALSE),0)</f>
        <v>0</v>
      </c>
      <c r="I9" s="346">
        <f>IFERROR(VLOOKUP($A9,flows!$A$2:$J$4985,I$1,FALSE),0)</f>
        <v>0</v>
      </c>
      <c r="J9" s="352" t="s">
        <v>2447</v>
      </c>
      <c r="N9" s="900">
        <f t="shared" si="0"/>
        <v>0</v>
      </c>
      <c r="O9" s="900">
        <f t="shared" si="0"/>
        <v>0</v>
      </c>
      <c r="P9" s="900">
        <f>IF($J9=P$2,$H9,0)</f>
        <v>0</v>
      </c>
      <c r="Q9" s="900">
        <f t="shared" si="0"/>
        <v>0</v>
      </c>
    </row>
    <row r="10" spans="1:17" x14ac:dyDescent="0.35">
      <c r="A10" s="352" t="s">
        <v>1131</v>
      </c>
      <c r="B10" s="346">
        <f>IFERROR(VLOOKUP($A10,flows!$A$2:$J$4985,B$1,FALSE),0)</f>
        <v>0</v>
      </c>
      <c r="C10" s="346">
        <f>IFERROR(VLOOKUP($A10,flows!$A$2:$J$4985,C$1,FALSE),0)</f>
        <v>0</v>
      </c>
      <c r="D10" s="346">
        <f>IFERROR(VLOOKUP($A10,flows!$A$2:$J$4985,D$1,FALSE),0)</f>
        <v>0</v>
      </c>
      <c r="E10" s="346">
        <f>IFERROR(VLOOKUP($A10,flows!$A$2:$J$4985,E$1,FALSE),0)</f>
        <v>0</v>
      </c>
      <c r="F10" s="346">
        <f>IFERROR(VLOOKUP($A10,flows!$A$2:$J$4985,F$1,FALSE),0)</f>
        <v>0</v>
      </c>
      <c r="G10" s="346">
        <f>IFERROR(VLOOKUP($A10,flows!$A$2:$J$4985,G$1,FALSE),0)</f>
        <v>0</v>
      </c>
      <c r="H10" s="346">
        <f>IFERROR(VLOOKUP($A10,flows!$A$2:$J$4985,H$1,FALSE),0)</f>
        <v>0</v>
      </c>
      <c r="I10" s="346">
        <f>IFERROR(VLOOKUP($A10,flows!$A$2:$J$4985,I$1,FALSE),0)</f>
        <v>0</v>
      </c>
      <c r="J10" s="352" t="s">
        <v>2447</v>
      </c>
      <c r="N10" s="900">
        <f t="shared" si="0"/>
        <v>0</v>
      </c>
      <c r="O10" s="900">
        <f t="shared" si="0"/>
        <v>0</v>
      </c>
      <c r="P10" s="900">
        <f t="shared" si="0"/>
        <v>0</v>
      </c>
      <c r="Q10" s="900">
        <f t="shared" si="0"/>
        <v>0</v>
      </c>
    </row>
    <row r="11" spans="1:17" x14ac:dyDescent="0.35">
      <c r="A11" s="352" t="s">
        <v>1132</v>
      </c>
      <c r="B11" s="346">
        <f>IFERROR(VLOOKUP($A11,flows!$A$2:$J$4985,B$1,FALSE),0)</f>
        <v>0</v>
      </c>
      <c r="C11" s="346">
        <f>IFERROR(VLOOKUP($A11,flows!$A$2:$J$4985,C$1,FALSE),0)</f>
        <v>0</v>
      </c>
      <c r="D11" s="346">
        <f>IFERROR(VLOOKUP($A11,flows!$A$2:$J$4985,D$1,FALSE),0)</f>
        <v>0</v>
      </c>
      <c r="E11" s="346">
        <f>IFERROR(VLOOKUP($A11,flows!$A$2:$J$4985,E$1,FALSE),0)</f>
        <v>0</v>
      </c>
      <c r="F11" s="346">
        <f>IFERROR(VLOOKUP($A11,flows!$A$2:$J$4985,F$1,FALSE),0)</f>
        <v>0</v>
      </c>
      <c r="G11" s="346">
        <f>IFERROR(VLOOKUP($A11,flows!$A$2:$J$4985,G$1,FALSE),0)</f>
        <v>0</v>
      </c>
      <c r="H11" s="346">
        <f>IFERROR(VLOOKUP($A11,flows!$A$2:$J$4985,H$1,FALSE),0)</f>
        <v>0</v>
      </c>
      <c r="I11" s="346">
        <f>IFERROR(VLOOKUP($A11,flows!$A$2:$J$4985,I$1,FALSE),0)</f>
        <v>0</v>
      </c>
      <c r="J11" s="352" t="s">
        <v>2448</v>
      </c>
      <c r="N11" s="900">
        <f t="shared" si="0"/>
        <v>0</v>
      </c>
      <c r="O11" s="900">
        <f t="shared" si="0"/>
        <v>0</v>
      </c>
      <c r="P11" s="900">
        <f t="shared" si="0"/>
        <v>0</v>
      </c>
      <c r="Q11" s="900">
        <f t="shared" si="0"/>
        <v>0</v>
      </c>
    </row>
    <row r="12" spans="1:17" x14ac:dyDescent="0.35">
      <c r="A12" s="352" t="s">
        <v>1133</v>
      </c>
      <c r="B12" s="346">
        <f>IFERROR(VLOOKUP($A12,flows!$A$2:$J$4985,B$1,FALSE),0)</f>
        <v>0</v>
      </c>
      <c r="C12" s="346">
        <f>IFERROR(VLOOKUP($A12,flows!$A$2:$J$4985,C$1,FALSE),0)</f>
        <v>0</v>
      </c>
      <c r="D12" s="346">
        <f>IFERROR(VLOOKUP($A12,flows!$A$2:$J$4985,D$1,FALSE),0)</f>
        <v>0</v>
      </c>
      <c r="E12" s="346">
        <f>IFERROR(VLOOKUP($A12,flows!$A$2:$J$4985,E$1,FALSE),0)</f>
        <v>0</v>
      </c>
      <c r="F12" s="346">
        <f>IFERROR(VLOOKUP($A12,flows!$A$2:$J$4985,F$1,FALSE),0)</f>
        <v>0</v>
      </c>
      <c r="G12" s="346">
        <f>IFERROR(VLOOKUP($A12,flows!$A$2:$J$4985,G$1,FALSE),0)</f>
        <v>0</v>
      </c>
      <c r="H12" s="346">
        <f>IFERROR(VLOOKUP($A12,flows!$A$2:$J$4985,H$1,FALSE),0)</f>
        <v>0</v>
      </c>
      <c r="I12" s="346">
        <f>IFERROR(VLOOKUP($A12,flows!$A$2:$J$4985,I$1,FALSE),0)</f>
        <v>0</v>
      </c>
      <c r="J12" s="352" t="s">
        <v>2448</v>
      </c>
      <c r="N12" s="900">
        <f t="shared" si="0"/>
        <v>0</v>
      </c>
      <c r="O12" s="900">
        <f t="shared" si="0"/>
        <v>0</v>
      </c>
      <c r="P12" s="900">
        <f t="shared" si="0"/>
        <v>0</v>
      </c>
      <c r="Q12" s="900">
        <f t="shared" si="0"/>
        <v>0</v>
      </c>
    </row>
    <row r="13" spans="1:17" x14ac:dyDescent="0.35">
      <c r="A13" s="352" t="s">
        <v>1134</v>
      </c>
      <c r="B13" s="346">
        <f>IFERROR(VLOOKUP($A13,flows!$A$2:$J$4985,B$1,FALSE),0)</f>
        <v>0</v>
      </c>
      <c r="C13" s="346">
        <f>IFERROR(VLOOKUP($A13,flows!$A$2:$J$4985,C$1,FALSE),0)</f>
        <v>0</v>
      </c>
      <c r="D13" s="346">
        <f>IFERROR(VLOOKUP($A13,flows!$A$2:$J$4985,D$1,FALSE),0)</f>
        <v>0</v>
      </c>
      <c r="E13" s="346">
        <f>IFERROR(VLOOKUP($A13,flows!$A$2:$J$4985,E$1,FALSE),0)</f>
        <v>0</v>
      </c>
      <c r="F13" s="346">
        <f>IFERROR(VLOOKUP($A13,flows!$A$2:$J$4985,F$1,FALSE),0)</f>
        <v>0</v>
      </c>
      <c r="G13" s="346">
        <f>IFERROR(VLOOKUP($A13,flows!$A$2:$J$4985,G$1,FALSE),0)</f>
        <v>0</v>
      </c>
      <c r="H13" s="346">
        <f>IFERROR(VLOOKUP($A13,flows!$A$2:$J$4985,H$1,FALSE),0)</f>
        <v>0</v>
      </c>
      <c r="I13" s="346">
        <f>IFERROR(VLOOKUP($A13,flows!$A$2:$J$4985,I$1,FALSE),0)</f>
        <v>0</v>
      </c>
      <c r="J13" s="352" t="s">
        <v>2445</v>
      </c>
      <c r="N13" s="900">
        <f t="shared" si="0"/>
        <v>0</v>
      </c>
      <c r="O13" s="900">
        <f t="shared" si="0"/>
        <v>0</v>
      </c>
      <c r="P13" s="900">
        <f t="shared" si="0"/>
        <v>0</v>
      </c>
      <c r="Q13" s="900">
        <f t="shared" si="0"/>
        <v>0</v>
      </c>
    </row>
    <row r="14" spans="1:17" x14ac:dyDescent="0.35">
      <c r="A14" s="352" t="s">
        <v>1135</v>
      </c>
      <c r="B14" s="346">
        <f>IFERROR(VLOOKUP($A14,flows!$A$2:$J$4985,B$1,FALSE),0)</f>
        <v>0</v>
      </c>
      <c r="C14" s="346">
        <f>IFERROR(VLOOKUP($A14,flows!$A$2:$J$4985,C$1,FALSE),0)</f>
        <v>0</v>
      </c>
      <c r="D14" s="346">
        <f>IFERROR(VLOOKUP($A14,flows!$A$2:$J$4985,D$1,FALSE),0)</f>
        <v>0</v>
      </c>
      <c r="E14" s="346">
        <f>IFERROR(VLOOKUP($A14,flows!$A$2:$J$4985,E$1,FALSE),0)</f>
        <v>0</v>
      </c>
      <c r="F14" s="346">
        <f>IFERROR(VLOOKUP($A14,flows!$A$2:$J$4985,F$1,FALSE),0)</f>
        <v>0</v>
      </c>
      <c r="G14" s="346">
        <f>IFERROR(VLOOKUP($A14,flows!$A$2:$J$4985,G$1,FALSE),0)</f>
        <v>0</v>
      </c>
      <c r="H14" s="346">
        <f>IFERROR(VLOOKUP($A14,flows!$A$2:$J$4985,H$1,FALSE),0)</f>
        <v>0</v>
      </c>
      <c r="I14" s="346">
        <f>IFERROR(VLOOKUP($A14,flows!$A$2:$J$4985,I$1,FALSE),0)</f>
        <v>0</v>
      </c>
      <c r="J14" s="352" t="s">
        <v>2447</v>
      </c>
      <c r="N14" s="900">
        <f t="shared" si="0"/>
        <v>0</v>
      </c>
      <c r="O14" s="900">
        <f t="shared" si="0"/>
        <v>0</v>
      </c>
      <c r="P14" s="900">
        <f t="shared" si="0"/>
        <v>0</v>
      </c>
      <c r="Q14" s="900">
        <f t="shared" si="0"/>
        <v>0</v>
      </c>
    </row>
    <row r="15" spans="1:17" x14ac:dyDescent="0.35">
      <c r="A15" s="352" t="s">
        <v>1139</v>
      </c>
      <c r="B15" s="346">
        <f>IFERROR(VLOOKUP($A15,flows!$A$2:$J$4985,B$1,FALSE),0)</f>
        <v>0</v>
      </c>
      <c r="C15" s="346">
        <f>IFERROR(VLOOKUP($A15,flows!$A$2:$J$4985,C$1,FALSE),0)</f>
        <v>0</v>
      </c>
      <c r="D15" s="346">
        <f>IFERROR(VLOOKUP($A15,flows!$A$2:$J$4985,D$1,FALSE),0)</f>
        <v>0</v>
      </c>
      <c r="E15" s="346">
        <f>IFERROR(VLOOKUP($A15,flows!$A$2:$J$4985,E$1,FALSE),0)</f>
        <v>0</v>
      </c>
      <c r="F15" s="346">
        <f>IFERROR(VLOOKUP($A15,flows!$A$2:$J$4985,F$1,FALSE),0)</f>
        <v>0</v>
      </c>
      <c r="G15" s="346">
        <f>IFERROR(VLOOKUP($A15,flows!$A$2:$J$4985,G$1,FALSE),0)</f>
        <v>0</v>
      </c>
      <c r="H15" s="346">
        <f>IFERROR(VLOOKUP($A15,flows!$A$2:$J$4985,H$1,FALSE),0)</f>
        <v>0</v>
      </c>
      <c r="I15" s="346">
        <f>IFERROR(VLOOKUP($A15,flows!$A$2:$J$4985,I$1,FALSE),0)</f>
        <v>0</v>
      </c>
      <c r="J15" s="352" t="s">
        <v>2445</v>
      </c>
      <c r="N15" s="900">
        <f t="shared" si="0"/>
        <v>0</v>
      </c>
      <c r="O15" s="900">
        <f t="shared" si="0"/>
        <v>0</v>
      </c>
      <c r="P15" s="900">
        <f t="shared" si="0"/>
        <v>0</v>
      </c>
      <c r="Q15" s="900">
        <f t="shared" si="0"/>
        <v>0</v>
      </c>
    </row>
    <row r="16" spans="1:17" x14ac:dyDescent="0.35">
      <c r="A16" s="352" t="s">
        <v>1140</v>
      </c>
      <c r="B16" s="346">
        <f>IFERROR(VLOOKUP($A16,flows!$A$2:$J$4985,B$1,FALSE),0)</f>
        <v>0</v>
      </c>
      <c r="C16" s="346">
        <f>IFERROR(VLOOKUP($A16,flows!$A$2:$J$4985,C$1,FALSE),0)</f>
        <v>0</v>
      </c>
      <c r="D16" s="346">
        <f>IFERROR(VLOOKUP($A16,flows!$A$2:$J$4985,D$1,FALSE),0)</f>
        <v>0</v>
      </c>
      <c r="E16" s="346">
        <f>IFERROR(VLOOKUP($A16,flows!$A$2:$J$4985,E$1,FALSE),0)</f>
        <v>0</v>
      </c>
      <c r="F16" s="346">
        <f>IFERROR(VLOOKUP($A16,flows!$A$2:$J$4985,F$1,FALSE),0)</f>
        <v>0</v>
      </c>
      <c r="G16" s="346">
        <f>IFERROR(VLOOKUP($A16,flows!$A$2:$J$4985,G$1,FALSE),0)</f>
        <v>0</v>
      </c>
      <c r="H16" s="346">
        <f>IFERROR(VLOOKUP($A16,flows!$A$2:$J$4985,H$1,FALSE),0)</f>
        <v>0</v>
      </c>
      <c r="I16" s="346">
        <f>IFERROR(VLOOKUP($A16,flows!$A$2:$J$4985,I$1,FALSE),0)</f>
        <v>0</v>
      </c>
      <c r="J16" s="352" t="s">
        <v>2448</v>
      </c>
      <c r="N16" s="900">
        <f t="shared" si="0"/>
        <v>0</v>
      </c>
      <c r="O16" s="900">
        <f t="shared" si="0"/>
        <v>0</v>
      </c>
      <c r="P16" s="900">
        <f t="shared" si="0"/>
        <v>0</v>
      </c>
      <c r="Q16" s="900">
        <f t="shared" si="0"/>
        <v>0</v>
      </c>
    </row>
    <row r="17" spans="1:17" x14ac:dyDescent="0.35">
      <c r="A17" s="352" t="s">
        <v>1141</v>
      </c>
      <c r="B17" s="346">
        <f>IFERROR(VLOOKUP($A17,flows!$A$2:$J$4985,B$1,FALSE),0)</f>
        <v>0</v>
      </c>
      <c r="C17" s="346">
        <f>IFERROR(VLOOKUP($A17,flows!$A$2:$J$4985,C$1,FALSE),0)</f>
        <v>0</v>
      </c>
      <c r="D17" s="346">
        <f>IFERROR(VLOOKUP($A17,flows!$A$2:$J$4985,D$1,FALSE),0)</f>
        <v>0</v>
      </c>
      <c r="E17" s="346">
        <f>IFERROR(VLOOKUP($A17,flows!$A$2:$J$4985,E$1,FALSE),0)</f>
        <v>0</v>
      </c>
      <c r="F17" s="346">
        <f>IFERROR(VLOOKUP($A17,flows!$A$2:$J$4985,F$1,FALSE),0)</f>
        <v>0</v>
      </c>
      <c r="G17" s="346">
        <f>IFERROR(VLOOKUP($A17,flows!$A$2:$J$4985,G$1,FALSE),0)</f>
        <v>0</v>
      </c>
      <c r="H17" s="346">
        <f>IFERROR(VLOOKUP($A17,flows!$A$2:$J$4985,H$1,FALSE),0)</f>
        <v>0</v>
      </c>
      <c r="I17" s="346">
        <f>IFERROR(VLOOKUP($A17,flows!$A$2:$J$4985,I$1,FALSE),0)</f>
        <v>0</v>
      </c>
      <c r="J17" s="352" t="s">
        <v>2445</v>
      </c>
      <c r="N17" s="900">
        <f t="shared" si="0"/>
        <v>0</v>
      </c>
      <c r="O17" s="900">
        <f t="shared" si="0"/>
        <v>0</v>
      </c>
      <c r="P17" s="900">
        <f t="shared" si="0"/>
        <v>0</v>
      </c>
      <c r="Q17" s="900">
        <f t="shared" si="0"/>
        <v>0</v>
      </c>
    </row>
    <row r="18" spans="1:17" x14ac:dyDescent="0.35">
      <c r="A18" s="352" t="s">
        <v>1142</v>
      </c>
      <c r="B18" s="346">
        <f>IFERROR(VLOOKUP($A18,flows!$A$2:$J$4985,B$1,FALSE),0)</f>
        <v>0</v>
      </c>
      <c r="C18" s="346">
        <f>IFERROR(VLOOKUP($A18,flows!$A$2:$J$4985,C$1,FALSE),0)</f>
        <v>0</v>
      </c>
      <c r="D18" s="346">
        <f>IFERROR(VLOOKUP($A18,flows!$A$2:$J$4985,D$1,FALSE),0)</f>
        <v>0</v>
      </c>
      <c r="E18" s="346">
        <f>IFERROR(VLOOKUP($A18,flows!$A$2:$J$4985,E$1,FALSE),0)</f>
        <v>0</v>
      </c>
      <c r="F18" s="346">
        <f>IFERROR(VLOOKUP($A18,flows!$A$2:$J$4985,F$1,FALSE),0)</f>
        <v>0</v>
      </c>
      <c r="G18" s="346">
        <f>IFERROR(VLOOKUP($A18,flows!$A$2:$J$4985,G$1,FALSE),0)</f>
        <v>0</v>
      </c>
      <c r="H18" s="346">
        <f>IFERROR(VLOOKUP($A18,flows!$A$2:$J$4985,H$1,FALSE),0)</f>
        <v>0</v>
      </c>
      <c r="I18" s="346">
        <f>IFERROR(VLOOKUP($A18,flows!$A$2:$J$4985,I$1,FALSE),0)</f>
        <v>0</v>
      </c>
      <c r="J18" s="352" t="s">
        <v>2448</v>
      </c>
      <c r="N18" s="900">
        <f t="shared" si="0"/>
        <v>0</v>
      </c>
      <c r="O18" s="900">
        <f t="shared" si="0"/>
        <v>0</v>
      </c>
      <c r="P18" s="900">
        <f t="shared" si="0"/>
        <v>0</v>
      </c>
      <c r="Q18" s="900">
        <f t="shared" si="0"/>
        <v>0</v>
      </c>
    </row>
    <row r="19" spans="1:17" x14ac:dyDescent="0.35">
      <c r="A19" s="352" t="s">
        <v>596</v>
      </c>
      <c r="B19" s="346">
        <f>IFERROR(VLOOKUP($A19,flows!$A$2:$J$4985,B$1,FALSE),0)</f>
        <v>0</v>
      </c>
      <c r="C19" s="346">
        <f>IFERROR(VLOOKUP($A19,flows!$A$2:$J$4985,C$1,FALSE),0)</f>
        <v>0</v>
      </c>
      <c r="D19" s="346">
        <f>IFERROR(VLOOKUP($A19,flows!$A$2:$J$4985,D$1,FALSE),0)</f>
        <v>0</v>
      </c>
      <c r="E19" s="346">
        <f>IFERROR(VLOOKUP($A19,flows!$A$2:$J$4985,E$1,FALSE),0)</f>
        <v>0</v>
      </c>
      <c r="F19" s="346">
        <f>IFERROR(VLOOKUP($A19,flows!$A$2:$J$4985,F$1,FALSE),0)</f>
        <v>0</v>
      </c>
      <c r="G19" s="346">
        <f>IFERROR(VLOOKUP($A19,flows!$A$2:$J$4985,G$1,FALSE),0)</f>
        <v>0</v>
      </c>
      <c r="H19" s="346">
        <f>IFERROR(VLOOKUP($A19,flows!$A$2:$J$4985,H$1,FALSE),0)</f>
        <v>0</v>
      </c>
      <c r="I19" s="346">
        <f>IFERROR(VLOOKUP($A19,flows!$A$2:$J$4985,I$1,FALSE),0)</f>
        <v>0</v>
      </c>
      <c r="J19" s="352" t="s">
        <v>2445</v>
      </c>
      <c r="N19" s="900">
        <f t="shared" si="0"/>
        <v>0</v>
      </c>
      <c r="O19" s="900">
        <f t="shared" si="0"/>
        <v>0</v>
      </c>
      <c r="P19" s="900">
        <f t="shared" si="0"/>
        <v>0</v>
      </c>
      <c r="Q19" s="900">
        <f t="shared" si="0"/>
        <v>0</v>
      </c>
    </row>
    <row r="20" spans="1:17" x14ac:dyDescent="0.35">
      <c r="A20" s="352" t="s">
        <v>597</v>
      </c>
      <c r="B20" s="346">
        <f>IFERROR(VLOOKUP($A20,flows!$A$2:$J$4985,B$1,FALSE),0)</f>
        <v>0</v>
      </c>
      <c r="C20" s="346">
        <f>IFERROR(VLOOKUP($A20,flows!$A$2:$J$4985,C$1,FALSE),0)</f>
        <v>0</v>
      </c>
      <c r="D20" s="346">
        <f>IFERROR(VLOOKUP($A20,flows!$A$2:$J$4985,D$1,FALSE),0)</f>
        <v>0</v>
      </c>
      <c r="E20" s="346">
        <f>IFERROR(VLOOKUP($A20,flows!$A$2:$J$4985,E$1,FALSE),0)</f>
        <v>0</v>
      </c>
      <c r="F20" s="346">
        <f>IFERROR(VLOOKUP($A20,flows!$A$2:$J$4985,F$1,FALSE),0)</f>
        <v>0</v>
      </c>
      <c r="G20" s="346">
        <f>IFERROR(VLOOKUP($A20,flows!$A$2:$J$4985,G$1,FALSE),0)</f>
        <v>0</v>
      </c>
      <c r="H20" s="346">
        <f>IFERROR(VLOOKUP($A20,flows!$A$2:$J$4985,H$1,FALSE),0)</f>
        <v>0</v>
      </c>
      <c r="I20" s="346">
        <f>IFERROR(VLOOKUP($A20,flows!$A$2:$J$4985,I$1,FALSE),0)</f>
        <v>0</v>
      </c>
      <c r="N20" s="900">
        <f t="shared" si="0"/>
        <v>0</v>
      </c>
      <c r="O20" s="900">
        <f t="shared" si="0"/>
        <v>0</v>
      </c>
      <c r="P20" s="900">
        <f t="shared" si="0"/>
        <v>0</v>
      </c>
      <c r="Q20" s="900">
        <f t="shared" si="0"/>
        <v>0</v>
      </c>
    </row>
    <row r="21" spans="1:17" x14ac:dyDescent="0.35">
      <c r="A21" s="352" t="s">
        <v>598</v>
      </c>
      <c r="B21" s="346">
        <f>IFERROR(VLOOKUP($A21,flows!$A$2:$J$4985,B$1,FALSE),0)</f>
        <v>0</v>
      </c>
      <c r="C21" s="346">
        <f>IFERROR(VLOOKUP($A21,flows!$A$2:$J$4985,C$1,FALSE),0)</f>
        <v>0</v>
      </c>
      <c r="D21" s="346">
        <f>IFERROR(VLOOKUP($A21,flows!$A$2:$J$4985,D$1,FALSE),0)</f>
        <v>0</v>
      </c>
      <c r="E21" s="346">
        <f>IFERROR(VLOOKUP($A21,flows!$A$2:$J$4985,E$1,FALSE),0)</f>
        <v>0</v>
      </c>
      <c r="F21" s="346">
        <f>IFERROR(VLOOKUP($A21,flows!$A$2:$J$4985,F$1,FALSE),0)</f>
        <v>0</v>
      </c>
      <c r="G21" s="346">
        <f>IFERROR(VLOOKUP($A21,flows!$A$2:$J$4985,G$1,FALSE),0)</f>
        <v>0</v>
      </c>
      <c r="H21" s="346">
        <f>IFERROR(VLOOKUP($A21,flows!$A$2:$J$4985,H$1,FALSE),0)</f>
        <v>0</v>
      </c>
      <c r="I21" s="346">
        <f>IFERROR(VLOOKUP($A21,flows!$A$2:$J$4985,I$1,FALSE),0)</f>
        <v>0</v>
      </c>
      <c r="J21" s="352" t="s">
        <v>2446</v>
      </c>
      <c r="N21" s="900">
        <f>IF($J21=N$2,$H21,0)</f>
        <v>0</v>
      </c>
      <c r="O21" s="900">
        <f t="shared" si="0"/>
        <v>0</v>
      </c>
      <c r="P21" s="900">
        <f t="shared" si="0"/>
        <v>0</v>
      </c>
      <c r="Q21" s="900">
        <f t="shared" si="0"/>
        <v>0</v>
      </c>
    </row>
    <row r="22" spans="1:17" x14ac:dyDescent="0.35">
      <c r="A22" s="352" t="s">
        <v>602</v>
      </c>
      <c r="B22" s="346">
        <f>IFERROR(VLOOKUP($A22,flows!$A$2:$J$4985,B$1,FALSE),0)</f>
        <v>0</v>
      </c>
      <c r="C22" s="346">
        <f>IFERROR(VLOOKUP($A22,flows!$A$2:$J$4985,C$1,FALSE),0)</f>
        <v>0</v>
      </c>
      <c r="D22" s="346">
        <f>IFERROR(VLOOKUP($A22,flows!$A$2:$J$4985,D$1,FALSE),0)</f>
        <v>0</v>
      </c>
      <c r="E22" s="346">
        <f>IFERROR(VLOOKUP($A22,flows!$A$2:$J$4985,E$1,FALSE),0)</f>
        <v>0</v>
      </c>
      <c r="F22" s="346">
        <f>IFERROR(VLOOKUP($A22,flows!$A$2:$J$4985,F$1,FALSE),0)</f>
        <v>0</v>
      </c>
      <c r="G22" s="346">
        <f>IFERROR(VLOOKUP($A22,flows!$A$2:$J$4985,G$1,FALSE),0)</f>
        <v>0</v>
      </c>
      <c r="H22" s="346">
        <f>IFERROR(VLOOKUP($A22,flows!$A$2:$J$4985,H$1,FALSE),0)</f>
        <v>0</v>
      </c>
      <c r="I22" s="346">
        <f>IFERROR(VLOOKUP($A22,flows!$A$2:$J$4985,I$1,FALSE),0)</f>
        <v>0</v>
      </c>
      <c r="J22" s="352" t="s">
        <v>2447</v>
      </c>
      <c r="N22" s="900">
        <f t="shared" si="0"/>
        <v>0</v>
      </c>
      <c r="O22" s="900">
        <f t="shared" si="0"/>
        <v>0</v>
      </c>
      <c r="P22" s="900">
        <f t="shared" si="0"/>
        <v>0</v>
      </c>
      <c r="Q22" s="900">
        <f t="shared" si="0"/>
        <v>0</v>
      </c>
    </row>
    <row r="23" spans="1:17" x14ac:dyDescent="0.35">
      <c r="A23" s="352" t="s">
        <v>603</v>
      </c>
      <c r="B23" s="346">
        <f>IFERROR(VLOOKUP($A23,flows!$A$2:$J$4985,B$1,FALSE),0)</f>
        <v>0</v>
      </c>
      <c r="C23" s="346">
        <f>IFERROR(VLOOKUP($A23,flows!$A$2:$J$4985,C$1,FALSE),0)</f>
        <v>0</v>
      </c>
      <c r="D23" s="346">
        <f>IFERROR(VLOOKUP($A23,flows!$A$2:$J$4985,D$1,FALSE),0)</f>
        <v>0</v>
      </c>
      <c r="E23" s="346">
        <f>IFERROR(VLOOKUP($A23,flows!$A$2:$J$4985,E$1,FALSE),0)</f>
        <v>0</v>
      </c>
      <c r="F23" s="346">
        <f>IFERROR(VLOOKUP($A23,flows!$A$2:$J$4985,F$1,FALSE),0)</f>
        <v>0</v>
      </c>
      <c r="G23" s="346">
        <f>IFERROR(VLOOKUP($A23,flows!$A$2:$J$4985,G$1,FALSE),0)</f>
        <v>0</v>
      </c>
      <c r="H23" s="346">
        <f>IFERROR(VLOOKUP($A23,flows!$A$2:$J$4985,H$1,FALSE),0)</f>
        <v>0</v>
      </c>
      <c r="I23" s="346">
        <f>IFERROR(VLOOKUP($A23,flows!$A$2:$J$4985,I$1,FALSE),0)</f>
        <v>0</v>
      </c>
      <c r="J23" s="352" t="s">
        <v>2447</v>
      </c>
      <c r="N23" s="900">
        <f t="shared" si="0"/>
        <v>0</v>
      </c>
      <c r="O23" s="900">
        <f t="shared" si="0"/>
        <v>0</v>
      </c>
      <c r="P23" s="900">
        <f t="shared" si="0"/>
        <v>0</v>
      </c>
      <c r="Q23" s="900">
        <f t="shared" si="0"/>
        <v>0</v>
      </c>
    </row>
    <row r="24" spans="1:17" x14ac:dyDescent="0.35">
      <c r="A24" s="352" t="s">
        <v>731</v>
      </c>
      <c r="B24" s="346">
        <f>IFERROR(VLOOKUP($A24,flows!$A$2:$J$4985,B$1,FALSE),0)</f>
        <v>0</v>
      </c>
      <c r="C24" s="346">
        <f>IFERROR(VLOOKUP($A24,flows!$A$2:$J$4985,C$1,FALSE),0)</f>
        <v>0</v>
      </c>
      <c r="D24" s="346">
        <f>IFERROR(VLOOKUP($A24,flows!$A$2:$J$4985,D$1,FALSE),0)</f>
        <v>0</v>
      </c>
      <c r="E24" s="346">
        <f>IFERROR(VLOOKUP($A24,flows!$A$2:$J$4985,E$1,FALSE),0)</f>
        <v>0</v>
      </c>
      <c r="F24" s="346">
        <f>IFERROR(VLOOKUP($A24,flows!$A$2:$J$4985,F$1,FALSE),0)</f>
        <v>0</v>
      </c>
      <c r="G24" s="346">
        <f>IFERROR(VLOOKUP($A24,flows!$A$2:$J$4985,G$1,FALSE),0)</f>
        <v>0</v>
      </c>
      <c r="H24" s="346">
        <f>IFERROR(VLOOKUP($A24,flows!$A$2:$J$4985,H$1,FALSE),0)</f>
        <v>0</v>
      </c>
      <c r="I24" s="346">
        <f>IFERROR(VLOOKUP($A24,flows!$A$2:$J$4985,I$1,FALSE),0)</f>
        <v>0</v>
      </c>
      <c r="J24" s="352" t="s">
        <v>2446</v>
      </c>
      <c r="N24" s="900">
        <f t="shared" si="0"/>
        <v>0</v>
      </c>
      <c r="O24" s="900">
        <f t="shared" si="0"/>
        <v>0</v>
      </c>
      <c r="P24" s="900">
        <f t="shared" si="0"/>
        <v>0</v>
      </c>
      <c r="Q24" s="900">
        <f t="shared" si="0"/>
        <v>0</v>
      </c>
    </row>
    <row r="25" spans="1:17" x14ac:dyDescent="0.35">
      <c r="A25" s="352" t="s">
        <v>1074</v>
      </c>
      <c r="B25" s="346">
        <f>IFERROR(VLOOKUP($A25,flows!$A$2:$J$4985,B$1,FALSE),0)</f>
        <v>0</v>
      </c>
      <c r="C25" s="346">
        <f>IFERROR(VLOOKUP($A25,flows!$A$2:$J$4985,C$1,FALSE),0)</f>
        <v>0</v>
      </c>
      <c r="D25" s="346">
        <f>IFERROR(VLOOKUP($A25,flows!$A$2:$J$4985,D$1,FALSE),0)</f>
        <v>0</v>
      </c>
      <c r="E25" s="346">
        <f>IFERROR(VLOOKUP($A25,flows!$A$2:$J$4985,E$1,FALSE),0)</f>
        <v>0</v>
      </c>
      <c r="F25" s="346">
        <f>IFERROR(VLOOKUP($A25,flows!$A$2:$J$4985,F$1,FALSE),0)</f>
        <v>0</v>
      </c>
      <c r="G25" s="346">
        <f>IFERROR(VLOOKUP($A25,flows!$A$2:$J$4985,G$1,FALSE),0)</f>
        <v>0</v>
      </c>
      <c r="H25" s="346">
        <f>IFERROR(VLOOKUP($A25,flows!$A$2:$J$4985,H$1,FALSE),0)</f>
        <v>0</v>
      </c>
      <c r="I25" s="346">
        <f>IFERROR(VLOOKUP($A25,flows!$A$2:$J$4985,I$1,FALSE),0)</f>
        <v>0</v>
      </c>
      <c r="J25" s="352" t="s">
        <v>2447</v>
      </c>
      <c r="N25" s="900">
        <f t="shared" si="0"/>
        <v>0</v>
      </c>
      <c r="O25" s="900">
        <f t="shared" si="0"/>
        <v>0</v>
      </c>
      <c r="P25" s="900">
        <f t="shared" si="0"/>
        <v>0</v>
      </c>
      <c r="Q25" s="900">
        <f t="shared" si="0"/>
        <v>0</v>
      </c>
    </row>
    <row r="26" spans="1:17" x14ac:dyDescent="0.35">
      <c r="A26" s="352" t="s">
        <v>1075</v>
      </c>
      <c r="B26" s="346">
        <f>IFERROR(VLOOKUP($A26,flows!$A$2:$J$4985,B$1,FALSE),0)</f>
        <v>0</v>
      </c>
      <c r="C26" s="346">
        <f>IFERROR(VLOOKUP($A26,flows!$A$2:$J$4985,C$1,FALSE),0)</f>
        <v>0</v>
      </c>
      <c r="D26" s="346">
        <f>IFERROR(VLOOKUP($A26,flows!$A$2:$J$4985,D$1,FALSE),0)</f>
        <v>0</v>
      </c>
      <c r="E26" s="346">
        <f>IFERROR(VLOOKUP($A26,flows!$A$2:$J$4985,E$1,FALSE),0)</f>
        <v>0</v>
      </c>
      <c r="F26" s="346">
        <f>IFERROR(VLOOKUP($A26,flows!$A$2:$J$4985,F$1,FALSE),0)</f>
        <v>0</v>
      </c>
      <c r="G26" s="346">
        <f>IFERROR(VLOOKUP($A26,flows!$A$2:$J$4985,G$1,FALSE),0)</f>
        <v>0</v>
      </c>
      <c r="H26" s="346">
        <f>IFERROR(VLOOKUP($A26,flows!$A$2:$J$4985,H$1,FALSE),0)</f>
        <v>0</v>
      </c>
      <c r="I26" s="346">
        <f>IFERROR(VLOOKUP($A26,flows!$A$2:$J$4985,I$1,FALSE),0)</f>
        <v>0</v>
      </c>
      <c r="J26" s="352" t="s">
        <v>2448</v>
      </c>
      <c r="N26" s="900">
        <f t="shared" si="0"/>
        <v>0</v>
      </c>
      <c r="O26" s="900">
        <f t="shared" si="0"/>
        <v>0</v>
      </c>
      <c r="P26" s="900">
        <f t="shared" si="0"/>
        <v>0</v>
      </c>
      <c r="Q26" s="900">
        <f t="shared" si="0"/>
        <v>0</v>
      </c>
    </row>
    <row r="27" spans="1:17" x14ac:dyDescent="0.35">
      <c r="A27" s="352" t="s">
        <v>1076</v>
      </c>
      <c r="B27" s="346">
        <f>IFERROR(VLOOKUP($A27,flows!$A$2:$J$4985,B$1,FALSE),0)</f>
        <v>0</v>
      </c>
      <c r="C27" s="346">
        <f>IFERROR(VLOOKUP($A27,flows!$A$2:$J$4985,C$1,FALSE),0)</f>
        <v>0</v>
      </c>
      <c r="D27" s="346">
        <f>IFERROR(VLOOKUP($A27,flows!$A$2:$J$4985,D$1,FALSE),0)</f>
        <v>0</v>
      </c>
      <c r="E27" s="346">
        <f>IFERROR(VLOOKUP($A27,flows!$A$2:$J$4985,E$1,FALSE),0)</f>
        <v>0</v>
      </c>
      <c r="F27" s="346">
        <f>IFERROR(VLOOKUP($A27,flows!$A$2:$J$4985,F$1,FALSE),0)</f>
        <v>0</v>
      </c>
      <c r="G27" s="346">
        <f>IFERROR(VLOOKUP($A27,flows!$A$2:$J$4985,G$1,FALSE),0)</f>
        <v>0</v>
      </c>
      <c r="H27" s="346">
        <f>IFERROR(VLOOKUP($A27,flows!$A$2:$J$4985,H$1,FALSE),0)</f>
        <v>0</v>
      </c>
      <c r="I27" s="346">
        <f>IFERROR(VLOOKUP($A27,flows!$A$2:$J$4985,I$1,FALSE),0)</f>
        <v>0</v>
      </c>
      <c r="J27" s="352" t="s">
        <v>2448</v>
      </c>
      <c r="N27" s="900">
        <f t="shared" si="0"/>
        <v>0</v>
      </c>
      <c r="O27" s="900">
        <f t="shared" si="0"/>
        <v>0</v>
      </c>
      <c r="P27" s="900">
        <f t="shared" si="0"/>
        <v>0</v>
      </c>
      <c r="Q27" s="900">
        <f t="shared" si="0"/>
        <v>0</v>
      </c>
    </row>
    <row r="28" spans="1:17" x14ac:dyDescent="0.35">
      <c r="A28" s="352" t="s">
        <v>1077</v>
      </c>
      <c r="B28" s="346">
        <f>IFERROR(VLOOKUP($A28,flows!$A$2:$J$4985,B$1,FALSE),0)</f>
        <v>0</v>
      </c>
      <c r="C28" s="346">
        <f>IFERROR(VLOOKUP($A28,flows!$A$2:$J$4985,C$1,FALSE),0)</f>
        <v>0</v>
      </c>
      <c r="D28" s="346">
        <f>IFERROR(VLOOKUP($A28,flows!$A$2:$J$4985,D$1,FALSE),0)</f>
        <v>0</v>
      </c>
      <c r="E28" s="346">
        <f>IFERROR(VLOOKUP($A28,flows!$A$2:$J$4985,E$1,FALSE),0)</f>
        <v>0</v>
      </c>
      <c r="F28" s="346">
        <f>IFERROR(VLOOKUP($A28,flows!$A$2:$J$4985,F$1,FALSE),0)</f>
        <v>0</v>
      </c>
      <c r="G28" s="346">
        <f>IFERROR(VLOOKUP($A28,flows!$A$2:$J$4985,G$1,FALSE),0)</f>
        <v>0</v>
      </c>
      <c r="H28" s="346">
        <f>IFERROR(VLOOKUP($A28,flows!$A$2:$J$4985,H$1,FALSE),0)</f>
        <v>0</v>
      </c>
      <c r="I28" s="346">
        <f>IFERROR(VLOOKUP($A28,flows!$A$2:$J$4985,I$1,FALSE),0)</f>
        <v>0</v>
      </c>
      <c r="J28" s="352" t="s">
        <v>2446</v>
      </c>
      <c r="N28" s="900">
        <f t="shared" si="0"/>
        <v>0</v>
      </c>
      <c r="O28" s="900">
        <f t="shared" si="0"/>
        <v>0</v>
      </c>
      <c r="P28" s="900">
        <f t="shared" si="0"/>
        <v>0</v>
      </c>
      <c r="Q28" s="900">
        <f t="shared" si="0"/>
        <v>0</v>
      </c>
    </row>
    <row r="29" spans="1:17" x14ac:dyDescent="0.35">
      <c r="A29" s="352" t="s">
        <v>1078</v>
      </c>
      <c r="B29" s="346">
        <f>IFERROR(VLOOKUP($A29,flows!$A$2:$J$4985,B$1,FALSE),0)</f>
        <v>0</v>
      </c>
      <c r="C29" s="346">
        <f>IFERROR(VLOOKUP($A29,flows!$A$2:$J$4985,C$1,FALSE),0)</f>
        <v>0</v>
      </c>
      <c r="D29" s="346">
        <f>IFERROR(VLOOKUP($A29,flows!$A$2:$J$4985,D$1,FALSE),0)</f>
        <v>0</v>
      </c>
      <c r="E29" s="346">
        <f>IFERROR(VLOOKUP($A29,flows!$A$2:$J$4985,E$1,FALSE),0)</f>
        <v>0</v>
      </c>
      <c r="F29" s="346">
        <f>IFERROR(VLOOKUP($A29,flows!$A$2:$J$4985,F$1,FALSE),0)</f>
        <v>0</v>
      </c>
      <c r="G29" s="346">
        <f>IFERROR(VLOOKUP($A29,flows!$A$2:$J$4985,G$1,FALSE),0)</f>
        <v>0</v>
      </c>
      <c r="H29" s="346">
        <f>IFERROR(VLOOKUP($A29,flows!$A$2:$J$4985,H$1,FALSE),0)</f>
        <v>0</v>
      </c>
      <c r="I29" s="346">
        <f>IFERROR(VLOOKUP($A29,flows!$A$2:$J$4985,I$1,FALSE),0)</f>
        <v>0</v>
      </c>
      <c r="J29" s="352" t="s">
        <v>2445</v>
      </c>
      <c r="N29" s="900">
        <f t="shared" si="0"/>
        <v>0</v>
      </c>
      <c r="O29" s="900">
        <f t="shared" si="0"/>
        <v>0</v>
      </c>
      <c r="P29" s="900">
        <f t="shared" si="0"/>
        <v>0</v>
      </c>
      <c r="Q29" s="900">
        <f t="shared" si="0"/>
        <v>0</v>
      </c>
    </row>
    <row r="30" spans="1:17" x14ac:dyDescent="0.35">
      <c r="A30" s="352" t="s">
        <v>1079</v>
      </c>
      <c r="B30" s="346">
        <f>IFERROR(VLOOKUP($A30,flows!$A$2:$J$4985,B$1,FALSE),0)</f>
        <v>0</v>
      </c>
      <c r="C30" s="346">
        <f>IFERROR(VLOOKUP($A30,flows!$A$2:$J$4985,C$1,FALSE),0)</f>
        <v>0</v>
      </c>
      <c r="D30" s="346">
        <f>IFERROR(VLOOKUP($A30,flows!$A$2:$J$4985,D$1,FALSE),0)</f>
        <v>0</v>
      </c>
      <c r="E30" s="346">
        <f>IFERROR(VLOOKUP($A30,flows!$A$2:$J$4985,E$1,FALSE),0)</f>
        <v>0</v>
      </c>
      <c r="F30" s="346">
        <f>IFERROR(VLOOKUP($A30,flows!$A$2:$J$4985,F$1,FALSE),0)</f>
        <v>0</v>
      </c>
      <c r="G30" s="346">
        <f>IFERROR(VLOOKUP($A30,flows!$A$2:$J$4985,G$1,FALSE),0)</f>
        <v>0</v>
      </c>
      <c r="H30" s="346">
        <f>IFERROR(VLOOKUP($A30,flows!$A$2:$J$4985,H$1,FALSE),0)</f>
        <v>0</v>
      </c>
      <c r="I30" s="346">
        <f>IFERROR(VLOOKUP($A30,flows!$A$2:$J$4985,I$1,FALSE),0)</f>
        <v>0</v>
      </c>
      <c r="J30" s="352" t="s">
        <v>2445</v>
      </c>
      <c r="N30" s="900">
        <f t="shared" si="0"/>
        <v>0</v>
      </c>
      <c r="O30" s="900">
        <f t="shared" si="0"/>
        <v>0</v>
      </c>
      <c r="P30" s="900">
        <f t="shared" si="0"/>
        <v>0</v>
      </c>
      <c r="Q30" s="900">
        <f t="shared" si="0"/>
        <v>0</v>
      </c>
    </row>
    <row r="31" spans="1:17" x14ac:dyDescent="0.35">
      <c r="A31" s="352" t="s">
        <v>1080</v>
      </c>
      <c r="B31" s="346">
        <f>IFERROR(VLOOKUP($A31,flows!$A$2:$J$4985,B$1,FALSE),0)</f>
        <v>0</v>
      </c>
      <c r="C31" s="346">
        <f>IFERROR(VLOOKUP($A31,flows!$A$2:$J$4985,C$1,FALSE),0)</f>
        <v>0</v>
      </c>
      <c r="D31" s="346">
        <f>IFERROR(VLOOKUP($A31,flows!$A$2:$J$4985,D$1,FALSE),0)</f>
        <v>0</v>
      </c>
      <c r="E31" s="346">
        <f>IFERROR(VLOOKUP($A31,flows!$A$2:$J$4985,E$1,FALSE),0)</f>
        <v>0</v>
      </c>
      <c r="F31" s="346">
        <f>IFERROR(VLOOKUP($A31,flows!$A$2:$J$4985,F$1,FALSE),0)</f>
        <v>0</v>
      </c>
      <c r="G31" s="346">
        <f>IFERROR(VLOOKUP($A31,flows!$A$2:$J$4985,G$1,FALSE),0)</f>
        <v>0</v>
      </c>
      <c r="H31" s="346">
        <f>IFERROR(VLOOKUP($A31,flows!$A$2:$J$4985,H$1,FALSE),0)</f>
        <v>0</v>
      </c>
      <c r="I31" s="346">
        <f>IFERROR(VLOOKUP($A31,flows!$A$2:$J$4985,I$1,FALSE),0)</f>
        <v>0</v>
      </c>
      <c r="J31" s="352" t="s">
        <v>2447</v>
      </c>
      <c r="N31" s="900">
        <f t="shared" si="0"/>
        <v>0</v>
      </c>
      <c r="O31" s="900">
        <f t="shared" si="0"/>
        <v>0</v>
      </c>
      <c r="P31" s="900">
        <f t="shared" si="0"/>
        <v>0</v>
      </c>
      <c r="Q31" s="900">
        <f t="shared" si="0"/>
        <v>0</v>
      </c>
    </row>
    <row r="32" spans="1:17" x14ac:dyDescent="0.35">
      <c r="A32" s="352" t="s">
        <v>1081</v>
      </c>
      <c r="B32" s="346">
        <f>IFERROR(VLOOKUP($A32,flows!$A$2:$J$4985,B$1,FALSE),0)</f>
        <v>0</v>
      </c>
      <c r="C32" s="346">
        <f>IFERROR(VLOOKUP($A32,flows!$A$2:$J$4985,C$1,FALSE),0)</f>
        <v>0</v>
      </c>
      <c r="D32" s="346">
        <f>IFERROR(VLOOKUP($A32,flows!$A$2:$J$4985,D$1,FALSE),0)</f>
        <v>0</v>
      </c>
      <c r="E32" s="346">
        <f>IFERROR(VLOOKUP($A32,flows!$A$2:$J$4985,E$1,FALSE),0)</f>
        <v>0</v>
      </c>
      <c r="F32" s="346">
        <f>IFERROR(VLOOKUP($A32,flows!$A$2:$J$4985,F$1,FALSE),0)</f>
        <v>0</v>
      </c>
      <c r="G32" s="346">
        <f>IFERROR(VLOOKUP($A32,flows!$A$2:$J$4985,G$1,FALSE),0)</f>
        <v>0</v>
      </c>
      <c r="H32" s="346">
        <f>IFERROR(VLOOKUP($A32,flows!$A$2:$J$4985,H$1,FALSE),0)</f>
        <v>0</v>
      </c>
      <c r="I32" s="346">
        <f>IFERROR(VLOOKUP($A32,flows!$A$2:$J$4985,I$1,FALSE),0)</f>
        <v>0</v>
      </c>
      <c r="J32" s="352" t="s">
        <v>2446</v>
      </c>
      <c r="N32" s="900">
        <f t="shared" si="0"/>
        <v>0</v>
      </c>
      <c r="O32" s="900">
        <f t="shared" si="0"/>
        <v>0</v>
      </c>
      <c r="P32" s="900">
        <f t="shared" si="0"/>
        <v>0</v>
      </c>
      <c r="Q32" s="900">
        <f t="shared" si="0"/>
        <v>0</v>
      </c>
    </row>
    <row r="33" spans="1:17" x14ac:dyDescent="0.35">
      <c r="A33" s="352" t="s">
        <v>1082</v>
      </c>
      <c r="B33" s="346">
        <f>IFERROR(VLOOKUP($A33,flows!$A$2:$J$4985,B$1,FALSE),0)</f>
        <v>0</v>
      </c>
      <c r="C33" s="346">
        <f>IFERROR(VLOOKUP($A33,flows!$A$2:$J$4985,C$1,FALSE),0)</f>
        <v>0</v>
      </c>
      <c r="D33" s="346">
        <f>IFERROR(VLOOKUP($A33,flows!$A$2:$J$4985,D$1,FALSE),0)</f>
        <v>0</v>
      </c>
      <c r="E33" s="346">
        <f>IFERROR(VLOOKUP($A33,flows!$A$2:$J$4985,E$1,FALSE),0)</f>
        <v>0</v>
      </c>
      <c r="F33" s="346">
        <f>IFERROR(VLOOKUP($A33,flows!$A$2:$J$4985,F$1,FALSE),0)</f>
        <v>0</v>
      </c>
      <c r="G33" s="346">
        <f>IFERROR(VLOOKUP($A33,flows!$A$2:$J$4985,G$1,FALSE),0)</f>
        <v>0</v>
      </c>
      <c r="H33" s="346">
        <f>IFERROR(VLOOKUP($A33,flows!$A$2:$J$4985,H$1,FALSE),0)</f>
        <v>0</v>
      </c>
      <c r="I33" s="346">
        <f>IFERROR(VLOOKUP($A33,flows!$A$2:$J$4985,I$1,FALSE),0)</f>
        <v>0</v>
      </c>
      <c r="J33" s="352" t="s">
        <v>2445</v>
      </c>
      <c r="N33" s="900">
        <f t="shared" si="0"/>
        <v>0</v>
      </c>
      <c r="O33" s="900">
        <f t="shared" si="0"/>
        <v>0</v>
      </c>
      <c r="P33" s="900">
        <f t="shared" si="0"/>
        <v>0</v>
      </c>
      <c r="Q33" s="900">
        <f t="shared" si="0"/>
        <v>0</v>
      </c>
    </row>
    <row r="34" spans="1:17" x14ac:dyDescent="0.35">
      <c r="B34" s="352">
        <f t="shared" ref="B34:H34" si="1">SUM(B3:B33)</f>
        <v>0</v>
      </c>
      <c r="C34" s="352">
        <f t="shared" si="1"/>
        <v>0</v>
      </c>
      <c r="D34" s="352">
        <f t="shared" si="1"/>
        <v>0</v>
      </c>
      <c r="E34" s="352">
        <f t="shared" si="1"/>
        <v>0</v>
      </c>
      <c r="F34" s="352">
        <f t="shared" si="1"/>
        <v>0</v>
      </c>
      <c r="G34" s="352">
        <f t="shared" si="1"/>
        <v>0</v>
      </c>
      <c r="H34" s="352">
        <f t="shared" si="1"/>
        <v>0</v>
      </c>
      <c r="I34" s="352">
        <f>SUM(I3:I33)</f>
        <v>0</v>
      </c>
      <c r="N34" s="352">
        <f>SUM(N3:N33)</f>
        <v>0</v>
      </c>
      <c r="O34" s="900">
        <f t="shared" ref="O34:Q34" si="2">SUM(O3:O33)</f>
        <v>0</v>
      </c>
      <c r="P34" s="900">
        <f t="shared" si="2"/>
        <v>0</v>
      </c>
      <c r="Q34" s="900">
        <f t="shared" si="2"/>
        <v>0</v>
      </c>
    </row>
  </sheetData>
  <pageMargins left="0.7" right="0.7" top="0.78740157499999996" bottom="0.78740157499999996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-0.499984740745262"/>
  </sheetPr>
  <dimension ref="A2:J47"/>
  <sheetViews>
    <sheetView zoomScale="70" zoomScaleNormal="70" workbookViewId="0">
      <selection activeCell="C3" sqref="C3:J4"/>
    </sheetView>
  </sheetViews>
  <sheetFormatPr baseColWidth="10" defaultColWidth="11.453125" defaultRowHeight="14.5" x14ac:dyDescent="0.35"/>
  <cols>
    <col min="1" max="1" width="17.453125" style="132" bestFit="1" customWidth="1"/>
    <col min="2" max="2" width="11.453125" style="132"/>
    <col min="3" max="3" width="14.81640625" style="132" bestFit="1" customWidth="1"/>
    <col min="4" max="16384" width="11.453125" style="132"/>
  </cols>
  <sheetData>
    <row r="2" spans="1:10" ht="15" thickBot="1" x14ac:dyDescent="0.4"/>
    <row r="3" spans="1:10" x14ac:dyDescent="0.35">
      <c r="A3" s="88" t="s">
        <v>1454</v>
      </c>
      <c r="B3" s="88" t="s">
        <v>1209</v>
      </c>
      <c r="C3" s="89">
        <v>2</v>
      </c>
      <c r="D3" s="89">
        <v>3</v>
      </c>
      <c r="E3" s="89">
        <v>4</v>
      </c>
      <c r="F3" s="89">
        <v>5</v>
      </c>
      <c r="G3" s="89">
        <v>6</v>
      </c>
      <c r="H3" s="89">
        <v>7</v>
      </c>
      <c r="I3" s="89">
        <v>8</v>
      </c>
      <c r="J3" s="89">
        <v>9</v>
      </c>
    </row>
    <row r="4" spans="1:10" x14ac:dyDescent="0.35">
      <c r="A4" s="40" t="s">
        <v>1415</v>
      </c>
      <c r="B4" s="92"/>
      <c r="C4" s="133" t="s">
        <v>1417</v>
      </c>
      <c r="D4" s="133">
        <v>2020</v>
      </c>
      <c r="E4" s="133">
        <v>2025</v>
      </c>
      <c r="F4" s="133">
        <v>2030</v>
      </c>
      <c r="G4" s="133">
        <v>2035</v>
      </c>
      <c r="H4" s="133">
        <v>2040</v>
      </c>
      <c r="I4" s="133">
        <v>2045</v>
      </c>
      <c r="J4" s="133">
        <v>2050</v>
      </c>
    </row>
    <row r="5" spans="1:10" x14ac:dyDescent="0.35">
      <c r="A5" s="40" t="s">
        <v>182</v>
      </c>
      <c r="B5" s="92"/>
      <c r="C5" s="92" t="e">
        <f>VLOOKUP($A5,capacities!$A$2:$J$2352,C$3,FALSE)</f>
        <v>#N/A</v>
      </c>
      <c r="D5" s="92" t="e">
        <f>VLOOKUP($A5,capacities!$A$2:$J$2352,D$3,FALSE)</f>
        <v>#N/A</v>
      </c>
      <c r="E5" s="92" t="e">
        <f>VLOOKUP($A5,capacities!$A$2:$J$2352,E$3,FALSE)</f>
        <v>#N/A</v>
      </c>
      <c r="F5" s="92" t="e">
        <f>VLOOKUP($A5,capacities!$A$2:$J$2352,F$3,FALSE)</f>
        <v>#N/A</v>
      </c>
      <c r="G5" s="92" t="e">
        <f>VLOOKUP($A5,capacities!$A$2:$J$2352,G$3,FALSE)</f>
        <v>#N/A</v>
      </c>
      <c r="H5" s="92" t="e">
        <f>VLOOKUP($A5,capacities!$A$2:$J$2352,H$3,FALSE)</f>
        <v>#N/A</v>
      </c>
      <c r="I5" s="92" t="e">
        <f>VLOOKUP($A5,capacities!$A$2:$J$2352,I$3,FALSE)</f>
        <v>#N/A</v>
      </c>
      <c r="J5" s="92" t="e">
        <f>VLOOKUP($A5,capacities!$A$2:$J$2352,J$3,FALSE)</f>
        <v>#N/A</v>
      </c>
    </row>
    <row r="6" spans="1:10" x14ac:dyDescent="0.35">
      <c r="A6" s="40" t="s">
        <v>459</v>
      </c>
      <c r="B6" s="92"/>
      <c r="C6" s="92" t="e">
        <f>VLOOKUP($A6,capacities!$A$2:$J$2352,C$3,FALSE)</f>
        <v>#N/A</v>
      </c>
      <c r="D6" s="92" t="e">
        <f>VLOOKUP($A6,capacities!$A$2:$J$2352,D$3,FALSE)</f>
        <v>#N/A</v>
      </c>
      <c r="E6" s="92" t="e">
        <f>VLOOKUP($A6,capacities!$A$2:$J$2352,E$3,FALSE)</f>
        <v>#N/A</v>
      </c>
      <c r="F6" s="92" t="e">
        <f>VLOOKUP($A6,capacities!$A$2:$J$2352,F$3,FALSE)</f>
        <v>#N/A</v>
      </c>
      <c r="G6" s="92" t="e">
        <f>VLOOKUP($A6,capacities!$A$2:$J$2352,G$3,FALSE)</f>
        <v>#N/A</v>
      </c>
      <c r="H6" s="92" t="e">
        <f>VLOOKUP($A6,capacities!$A$2:$J$2352,H$3,FALSE)</f>
        <v>#N/A</v>
      </c>
      <c r="I6" s="92" t="e">
        <f>VLOOKUP($A6,capacities!$A$2:$J$2352,I$3,FALSE)</f>
        <v>#N/A</v>
      </c>
      <c r="J6" s="92" t="e">
        <f>VLOOKUP($A6,capacities!$A$2:$J$2352,J$3,FALSE)</f>
        <v>#N/A</v>
      </c>
    </row>
    <row r="7" spans="1:10" x14ac:dyDescent="0.35">
      <c r="A7" s="40" t="s">
        <v>460</v>
      </c>
      <c r="B7" s="92"/>
      <c r="C7" s="92" t="e">
        <f>VLOOKUP($A7,capacities!$A$2:$J$2352,C$3,FALSE)</f>
        <v>#N/A</v>
      </c>
      <c r="D7" s="92" t="e">
        <f>VLOOKUP($A7,capacities!$A$2:$J$2352,D$3,FALSE)</f>
        <v>#N/A</v>
      </c>
      <c r="E7" s="92" t="e">
        <f>VLOOKUP($A7,capacities!$A$2:$J$2352,E$3,FALSE)</f>
        <v>#N/A</v>
      </c>
      <c r="F7" s="92" t="e">
        <f>VLOOKUP($A7,capacities!$A$2:$J$2352,F$3,FALSE)</f>
        <v>#N/A</v>
      </c>
      <c r="G7" s="92" t="e">
        <f>VLOOKUP($A7,capacities!$A$2:$J$2352,G$3,FALSE)</f>
        <v>#N/A</v>
      </c>
      <c r="H7" s="92" t="e">
        <f>VLOOKUP($A7,capacities!$A$2:$J$2352,H$3,FALSE)</f>
        <v>#N/A</v>
      </c>
      <c r="I7" s="92" t="e">
        <f>VLOOKUP($A7,capacities!$A$2:$J$2352,I$3,FALSE)</f>
        <v>#N/A</v>
      </c>
      <c r="J7" s="92" t="e">
        <f>VLOOKUP($A7,capacities!$A$2:$J$2352,J$3,FALSE)</f>
        <v>#N/A</v>
      </c>
    </row>
    <row r="8" spans="1:10" x14ac:dyDescent="0.35">
      <c r="A8" s="40" t="s">
        <v>461</v>
      </c>
      <c r="B8" s="92"/>
      <c r="C8" s="92" t="e">
        <f>VLOOKUP($A8,capacities!$A$2:$J$2352,C$3,FALSE)</f>
        <v>#N/A</v>
      </c>
      <c r="D8" s="92" t="e">
        <f>VLOOKUP($A8,capacities!$A$2:$J$2352,D$3,FALSE)</f>
        <v>#N/A</v>
      </c>
      <c r="E8" s="92" t="e">
        <f>VLOOKUP($A8,capacities!$A$2:$J$2352,E$3,FALSE)</f>
        <v>#N/A</v>
      </c>
      <c r="F8" s="92" t="e">
        <f>VLOOKUP($A8,capacities!$A$2:$J$2352,F$3,FALSE)</f>
        <v>#N/A</v>
      </c>
      <c r="G8" s="92" t="e">
        <f>VLOOKUP($A8,capacities!$A$2:$J$2352,G$3,FALSE)</f>
        <v>#N/A</v>
      </c>
      <c r="H8" s="92" t="e">
        <f>VLOOKUP($A8,capacities!$A$2:$J$2352,H$3,FALSE)</f>
        <v>#N/A</v>
      </c>
      <c r="I8" s="92" t="e">
        <f>VLOOKUP($A8,capacities!$A$2:$J$2352,I$3,FALSE)</f>
        <v>#N/A</v>
      </c>
      <c r="J8" s="92" t="e">
        <f>VLOOKUP($A8,capacities!$A$2:$J$2352,J$3,FALSE)</f>
        <v>#N/A</v>
      </c>
    </row>
    <row r="9" spans="1:10" x14ac:dyDescent="0.35">
      <c r="A9" s="40" t="s">
        <v>510</v>
      </c>
      <c r="B9" s="92"/>
      <c r="C9" s="92" t="e">
        <f>VLOOKUP($A9,capacities!$A$2:$J$2352,C$3,FALSE)</f>
        <v>#N/A</v>
      </c>
      <c r="D9" s="92" t="e">
        <f>VLOOKUP($A9,capacities!$A$2:$J$2352,D$3,FALSE)</f>
        <v>#N/A</v>
      </c>
      <c r="E9" s="92" t="e">
        <f>VLOOKUP($A9,capacities!$A$2:$J$2352,E$3,FALSE)</f>
        <v>#N/A</v>
      </c>
      <c r="F9" s="92" t="e">
        <f>VLOOKUP($A9,capacities!$A$2:$J$2352,F$3,FALSE)</f>
        <v>#N/A</v>
      </c>
      <c r="G9" s="92" t="e">
        <f>VLOOKUP($A9,capacities!$A$2:$J$2352,G$3,FALSE)</f>
        <v>#N/A</v>
      </c>
      <c r="H9" s="92" t="e">
        <f>VLOOKUP($A9,capacities!$A$2:$J$2352,H$3,FALSE)</f>
        <v>#N/A</v>
      </c>
      <c r="I9" s="92" t="e">
        <f>VLOOKUP($A9,capacities!$A$2:$J$2352,I$3,FALSE)</f>
        <v>#N/A</v>
      </c>
      <c r="J9" s="92" t="e">
        <f>VLOOKUP($A9,capacities!$A$2:$J$2352,J$3,FALSE)</f>
        <v>#N/A</v>
      </c>
    </row>
    <row r="10" spans="1:10" x14ac:dyDescent="0.35">
      <c r="A10" s="40" t="s">
        <v>511</v>
      </c>
      <c r="B10" s="92"/>
      <c r="C10" s="92" t="e">
        <f>VLOOKUP($A10,capacities!$A$2:$J$2352,C$3,FALSE)</f>
        <v>#N/A</v>
      </c>
      <c r="D10" s="92" t="e">
        <f>VLOOKUP($A10,capacities!$A$2:$J$2352,D$3,FALSE)</f>
        <v>#N/A</v>
      </c>
      <c r="E10" s="92" t="e">
        <f>VLOOKUP($A10,capacities!$A$2:$J$2352,E$3,FALSE)</f>
        <v>#N/A</v>
      </c>
      <c r="F10" s="92" t="e">
        <f>VLOOKUP($A10,capacities!$A$2:$J$2352,F$3,FALSE)</f>
        <v>#N/A</v>
      </c>
      <c r="G10" s="92" t="e">
        <f>VLOOKUP($A10,capacities!$A$2:$J$2352,G$3,FALSE)</f>
        <v>#N/A</v>
      </c>
      <c r="H10" s="92" t="e">
        <f>VLOOKUP($A10,capacities!$A$2:$J$2352,H$3,FALSE)</f>
        <v>#N/A</v>
      </c>
      <c r="I10" s="92" t="e">
        <f>VLOOKUP($A10,capacities!$A$2:$J$2352,I$3,FALSE)</f>
        <v>#N/A</v>
      </c>
      <c r="J10" s="92" t="e">
        <f>VLOOKUP($A10,capacities!$A$2:$J$2352,J$3,FALSE)</f>
        <v>#N/A</v>
      </c>
    </row>
    <row r="11" spans="1:10" x14ac:dyDescent="0.35">
      <c r="A11" s="40" t="s">
        <v>512</v>
      </c>
      <c r="B11" s="92"/>
      <c r="C11" s="92" t="e">
        <f>VLOOKUP($A11,capacities!$A$2:$J$2352,C$3,FALSE)</f>
        <v>#N/A</v>
      </c>
      <c r="D11" s="92" t="e">
        <f>VLOOKUP($A11,capacities!$A$2:$J$2352,D$3,FALSE)</f>
        <v>#N/A</v>
      </c>
      <c r="E11" s="92" t="e">
        <f>VLOOKUP($A11,capacities!$A$2:$J$2352,E$3,FALSE)</f>
        <v>#N/A</v>
      </c>
      <c r="F11" s="92" t="e">
        <f>VLOOKUP($A11,capacities!$A$2:$J$2352,F$3,FALSE)</f>
        <v>#N/A</v>
      </c>
      <c r="G11" s="92" t="e">
        <f>VLOOKUP($A11,capacities!$A$2:$J$2352,G$3,FALSE)</f>
        <v>#N/A</v>
      </c>
      <c r="H11" s="92" t="e">
        <f>VLOOKUP($A11,capacities!$A$2:$J$2352,H$3,FALSE)</f>
        <v>#N/A</v>
      </c>
      <c r="I11" s="92" t="e">
        <f>VLOOKUP($A11,capacities!$A$2:$J$2352,I$3,FALSE)</f>
        <v>#N/A</v>
      </c>
      <c r="J11" s="92" t="e">
        <f>VLOOKUP($A11,capacities!$A$2:$J$2352,J$3,FALSE)</f>
        <v>#N/A</v>
      </c>
    </row>
    <row r="12" spans="1:10" x14ac:dyDescent="0.35">
      <c r="A12" s="40" t="s">
        <v>513</v>
      </c>
      <c r="B12" s="92"/>
      <c r="C12" s="92" t="e">
        <f>VLOOKUP($A12,capacities!$A$2:$J$2352,C$3,FALSE)</f>
        <v>#N/A</v>
      </c>
      <c r="D12" s="92" t="e">
        <f>VLOOKUP($A12,capacities!$A$2:$J$2352,D$3,FALSE)</f>
        <v>#N/A</v>
      </c>
      <c r="E12" s="92" t="e">
        <f>VLOOKUP($A12,capacities!$A$2:$J$2352,E$3,FALSE)</f>
        <v>#N/A</v>
      </c>
      <c r="F12" s="92" t="e">
        <f>VLOOKUP($A12,capacities!$A$2:$J$2352,F$3,FALSE)</f>
        <v>#N/A</v>
      </c>
      <c r="G12" s="92" t="e">
        <f>VLOOKUP($A12,capacities!$A$2:$J$2352,G$3,FALSE)</f>
        <v>#N/A</v>
      </c>
      <c r="H12" s="92" t="e">
        <f>VLOOKUP($A12,capacities!$A$2:$J$2352,H$3,FALSE)</f>
        <v>#N/A</v>
      </c>
      <c r="I12" s="92" t="e">
        <f>VLOOKUP($A12,capacities!$A$2:$J$2352,I$3,FALSE)</f>
        <v>#N/A</v>
      </c>
      <c r="J12" s="92" t="e">
        <f>VLOOKUP($A12,capacities!$A$2:$J$2352,J$3,FALSE)</f>
        <v>#N/A</v>
      </c>
    </row>
    <row r="13" spans="1:10" x14ac:dyDescent="0.35">
      <c r="A13" s="40" t="s">
        <v>517</v>
      </c>
      <c r="B13" s="92"/>
      <c r="C13" s="92" t="e">
        <f>VLOOKUP($A13,capacities!$A$2:$J$2352,C$3,FALSE)</f>
        <v>#N/A</v>
      </c>
      <c r="D13" s="92" t="e">
        <f>VLOOKUP($A13,capacities!$A$2:$J$2352,D$3,FALSE)</f>
        <v>#N/A</v>
      </c>
      <c r="E13" s="92" t="e">
        <f>VLOOKUP($A13,capacities!$A$2:$J$2352,E$3,FALSE)</f>
        <v>#N/A</v>
      </c>
      <c r="F13" s="92" t="e">
        <f>VLOOKUP($A13,capacities!$A$2:$J$2352,F$3,FALSE)</f>
        <v>#N/A</v>
      </c>
      <c r="G13" s="92" t="e">
        <f>VLOOKUP($A13,capacities!$A$2:$J$2352,G$3,FALSE)</f>
        <v>#N/A</v>
      </c>
      <c r="H13" s="92" t="e">
        <f>VLOOKUP($A13,capacities!$A$2:$J$2352,H$3,FALSE)</f>
        <v>#N/A</v>
      </c>
      <c r="I13" s="92" t="e">
        <f>VLOOKUP($A13,capacities!$A$2:$J$2352,I$3,FALSE)</f>
        <v>#N/A</v>
      </c>
      <c r="J13" s="92" t="e">
        <f>VLOOKUP($A13,capacities!$A$2:$J$2352,J$3,FALSE)</f>
        <v>#N/A</v>
      </c>
    </row>
    <row r="14" spans="1:10" x14ac:dyDescent="0.35">
      <c r="A14" s="40"/>
      <c r="B14" s="92"/>
      <c r="C14" s="92"/>
      <c r="D14" s="92"/>
      <c r="E14" s="92"/>
      <c r="F14" s="92"/>
      <c r="G14" s="92"/>
      <c r="H14" s="92"/>
      <c r="I14" s="92"/>
      <c r="J14" s="92"/>
    </row>
    <row r="15" spans="1:10" ht="15" thickBot="1" x14ac:dyDescent="0.4">
      <c r="A15" s="95" t="s">
        <v>1229</v>
      </c>
      <c r="B15" s="77"/>
      <c r="C15" s="77" t="e">
        <f>SUM(C5:C13)</f>
        <v>#N/A</v>
      </c>
      <c r="D15" s="77" t="e">
        <f t="shared" ref="D15:J15" si="0">SUM(D5:D13)</f>
        <v>#N/A</v>
      </c>
      <c r="E15" s="77" t="e">
        <f t="shared" si="0"/>
        <v>#N/A</v>
      </c>
      <c r="F15" s="77" t="e">
        <f t="shared" si="0"/>
        <v>#N/A</v>
      </c>
      <c r="G15" s="77" t="e">
        <f t="shared" si="0"/>
        <v>#N/A</v>
      </c>
      <c r="H15" s="77" t="e">
        <f t="shared" si="0"/>
        <v>#N/A</v>
      </c>
      <c r="I15" s="77" t="e">
        <f t="shared" si="0"/>
        <v>#N/A</v>
      </c>
      <c r="J15" s="77" t="e">
        <f t="shared" si="0"/>
        <v>#N/A</v>
      </c>
    </row>
    <row r="16" spans="1:10" ht="15" thickBot="1" x14ac:dyDescent="0.4"/>
    <row r="17" spans="1:10" x14ac:dyDescent="0.35">
      <c r="A17" s="88" t="s">
        <v>1168</v>
      </c>
      <c r="B17" s="88" t="s">
        <v>1209</v>
      </c>
      <c r="C17" s="89">
        <v>2</v>
      </c>
      <c r="D17" s="89">
        <v>3</v>
      </c>
      <c r="E17" s="89">
        <v>4</v>
      </c>
      <c r="F17" s="89">
        <v>5</v>
      </c>
      <c r="G17" s="89">
        <v>6</v>
      </c>
      <c r="H17" s="89">
        <v>7</v>
      </c>
      <c r="I17" s="89">
        <v>8</v>
      </c>
      <c r="J17" s="89">
        <v>9</v>
      </c>
    </row>
    <row r="18" spans="1:10" x14ac:dyDescent="0.35">
      <c r="A18" s="40" t="s">
        <v>1415</v>
      </c>
      <c r="B18" s="92"/>
      <c r="C18" s="133" t="s">
        <v>1417</v>
      </c>
      <c r="D18" s="133">
        <v>2020</v>
      </c>
      <c r="E18" s="133">
        <v>2025</v>
      </c>
      <c r="F18" s="133">
        <v>2030</v>
      </c>
      <c r="G18" s="133">
        <v>2035</v>
      </c>
      <c r="H18" s="133">
        <v>2040</v>
      </c>
      <c r="I18" s="133">
        <v>2045</v>
      </c>
      <c r="J18" s="133">
        <v>2050</v>
      </c>
    </row>
    <row r="19" spans="1:10" x14ac:dyDescent="0.35">
      <c r="A19" s="40" t="s">
        <v>177</v>
      </c>
      <c r="B19" s="92"/>
      <c r="C19" s="92" t="e">
        <f>VLOOKUP($A19,capacities!$A$2:$J$2352,C$17,FALSE)</f>
        <v>#N/A</v>
      </c>
      <c r="D19" s="92" t="e">
        <f>VLOOKUP($A19,capacities!$A$2:$J$2352,D$17,FALSE)</f>
        <v>#N/A</v>
      </c>
      <c r="E19" s="92" t="e">
        <f>VLOOKUP($A19,capacities!$A$2:$J$2352,E$17,FALSE)</f>
        <v>#N/A</v>
      </c>
      <c r="F19" s="92" t="e">
        <f>VLOOKUP($A19,capacities!$A$2:$J$2352,F$17,FALSE)</f>
        <v>#N/A</v>
      </c>
      <c r="G19" s="92" t="e">
        <f>VLOOKUP($A19,capacities!$A$2:$J$2352,G$17,FALSE)</f>
        <v>#N/A</v>
      </c>
      <c r="H19" s="92" t="e">
        <f>VLOOKUP($A19,capacities!$A$2:$J$2352,H$17,FALSE)</f>
        <v>#N/A</v>
      </c>
      <c r="I19" s="92" t="e">
        <f>VLOOKUP($A19,capacities!$A$2:$J$2352,I$17,FALSE)</f>
        <v>#N/A</v>
      </c>
      <c r="J19" s="92" t="e">
        <f>VLOOKUP($A19,capacities!$A$2:$J$2352,J$17,FALSE)</f>
        <v>#N/A</v>
      </c>
    </row>
    <row r="20" spans="1:10" x14ac:dyDescent="0.35">
      <c r="A20" s="40" t="s">
        <v>178</v>
      </c>
      <c r="B20" s="92"/>
      <c r="C20" s="92" t="e">
        <f>VLOOKUP($A20,capacities!$A$2:$J$2352,C$17,FALSE)</f>
        <v>#N/A</v>
      </c>
      <c r="D20" s="92" t="e">
        <f>VLOOKUP($A20,capacities!$A$2:$J$2352,D$17,FALSE)</f>
        <v>#N/A</v>
      </c>
      <c r="E20" s="92" t="e">
        <f>VLOOKUP($A20,capacities!$A$2:$J$2352,E$17,FALSE)</f>
        <v>#N/A</v>
      </c>
      <c r="F20" s="92" t="e">
        <f>VLOOKUP($A20,capacities!$A$2:$J$2352,F$17,FALSE)</f>
        <v>#N/A</v>
      </c>
      <c r="G20" s="92" t="e">
        <f>VLOOKUP($A20,capacities!$A$2:$J$2352,G$17,FALSE)</f>
        <v>#N/A</v>
      </c>
      <c r="H20" s="92" t="e">
        <f>VLOOKUP($A20,capacities!$A$2:$J$2352,H$17,FALSE)</f>
        <v>#N/A</v>
      </c>
      <c r="I20" s="92" t="e">
        <f>VLOOKUP($A20,capacities!$A$2:$J$2352,I$17,FALSE)</f>
        <v>#N/A</v>
      </c>
      <c r="J20" s="92" t="e">
        <f>VLOOKUP($A20,capacities!$A$2:$J$2352,J$17,FALSE)</f>
        <v>#N/A</v>
      </c>
    </row>
    <row r="21" spans="1:10" x14ac:dyDescent="0.35">
      <c r="A21" s="40" t="s">
        <v>413</v>
      </c>
      <c r="B21" s="92"/>
      <c r="C21" s="92" t="e">
        <f>VLOOKUP($A21,capacities!$A$2:$J$2352,C$17,FALSE)</f>
        <v>#N/A</v>
      </c>
      <c r="D21" s="92" t="e">
        <f>VLOOKUP($A21,capacities!$A$2:$J$2352,D$17,FALSE)</f>
        <v>#N/A</v>
      </c>
      <c r="E21" s="92" t="e">
        <f>VLOOKUP($A21,capacities!$A$2:$J$2352,E$17,FALSE)</f>
        <v>#N/A</v>
      </c>
      <c r="F21" s="92" t="e">
        <f>VLOOKUP($A21,capacities!$A$2:$J$2352,F$17,FALSE)</f>
        <v>#N/A</v>
      </c>
      <c r="G21" s="92" t="e">
        <f>VLOOKUP($A21,capacities!$A$2:$J$2352,G$17,FALSE)</f>
        <v>#N/A</v>
      </c>
      <c r="H21" s="92" t="e">
        <f>VLOOKUP($A21,capacities!$A$2:$J$2352,H$17,FALSE)</f>
        <v>#N/A</v>
      </c>
      <c r="I21" s="92" t="e">
        <f>VLOOKUP($A21,capacities!$A$2:$J$2352,I$17,FALSE)</f>
        <v>#N/A</v>
      </c>
      <c r="J21" s="92" t="e">
        <f>VLOOKUP($A21,capacities!$A$2:$J$2352,J$17,FALSE)</f>
        <v>#N/A</v>
      </c>
    </row>
    <row r="22" spans="1:10" x14ac:dyDescent="0.35">
      <c r="A22" s="40" t="s">
        <v>414</v>
      </c>
      <c r="B22" s="92"/>
      <c r="C22" s="92" t="e">
        <f>VLOOKUP($A22,capacities!$A$2:$J$2352,C$17,FALSE)</f>
        <v>#N/A</v>
      </c>
      <c r="D22" s="92" t="e">
        <f>VLOOKUP($A22,capacities!$A$2:$J$2352,D$17,FALSE)</f>
        <v>#N/A</v>
      </c>
      <c r="E22" s="92" t="e">
        <f>VLOOKUP($A22,capacities!$A$2:$J$2352,E$17,FALSE)</f>
        <v>#N/A</v>
      </c>
      <c r="F22" s="92" t="e">
        <f>VLOOKUP($A22,capacities!$A$2:$J$2352,F$17,FALSE)</f>
        <v>#N/A</v>
      </c>
      <c r="G22" s="92" t="e">
        <f>VLOOKUP($A22,capacities!$A$2:$J$2352,G$17,FALSE)</f>
        <v>#N/A</v>
      </c>
      <c r="H22" s="92" t="e">
        <f>VLOOKUP($A22,capacities!$A$2:$J$2352,H$17,FALSE)</f>
        <v>#N/A</v>
      </c>
      <c r="I22" s="92" t="e">
        <f>VLOOKUP($A22,capacities!$A$2:$J$2352,I$17,FALSE)</f>
        <v>#N/A</v>
      </c>
      <c r="J22" s="92" t="e">
        <f>VLOOKUP($A22,capacities!$A$2:$J$2352,J$17,FALSE)</f>
        <v>#N/A</v>
      </c>
    </row>
    <row r="23" spans="1:10" x14ac:dyDescent="0.35">
      <c r="A23" s="40" t="s">
        <v>415</v>
      </c>
      <c r="B23" s="92"/>
      <c r="C23" s="92" t="e">
        <f>VLOOKUP($A23,capacities!$A$2:$J$2352,C$17,FALSE)</f>
        <v>#N/A</v>
      </c>
      <c r="D23" s="92" t="e">
        <f>VLOOKUP($A23,capacities!$A$2:$J$2352,D$17,FALSE)</f>
        <v>#N/A</v>
      </c>
      <c r="E23" s="92" t="e">
        <f>VLOOKUP($A23,capacities!$A$2:$J$2352,E$17,FALSE)</f>
        <v>#N/A</v>
      </c>
      <c r="F23" s="92" t="e">
        <f>VLOOKUP($A23,capacities!$A$2:$J$2352,F$17,FALSE)</f>
        <v>#N/A</v>
      </c>
      <c r="G23" s="92" t="e">
        <f>VLOOKUP($A23,capacities!$A$2:$J$2352,G$17,FALSE)</f>
        <v>#N/A</v>
      </c>
      <c r="H23" s="92" t="e">
        <f>VLOOKUP($A23,capacities!$A$2:$J$2352,H$17,FALSE)</f>
        <v>#N/A</v>
      </c>
      <c r="I23" s="92" t="e">
        <f>VLOOKUP($A23,capacities!$A$2:$J$2352,I$17,FALSE)</f>
        <v>#N/A</v>
      </c>
      <c r="J23" s="92" t="e">
        <f>VLOOKUP($A23,capacities!$A$2:$J$2352,J$17,FALSE)</f>
        <v>#N/A</v>
      </c>
    </row>
    <row r="24" spans="1:10" x14ac:dyDescent="0.35">
      <c r="A24" s="40" t="s">
        <v>416</v>
      </c>
      <c r="B24" s="92"/>
      <c r="C24" s="92" t="e">
        <f>VLOOKUP($A24,capacities!$A$2:$J$2352,C$17,FALSE)</f>
        <v>#N/A</v>
      </c>
      <c r="D24" s="92" t="e">
        <f>VLOOKUP($A24,capacities!$A$2:$J$2352,D$17,FALSE)</f>
        <v>#N/A</v>
      </c>
      <c r="E24" s="92" t="e">
        <f>VLOOKUP($A24,capacities!$A$2:$J$2352,E$17,FALSE)</f>
        <v>#N/A</v>
      </c>
      <c r="F24" s="92" t="e">
        <f>VLOOKUP($A24,capacities!$A$2:$J$2352,F$17,FALSE)</f>
        <v>#N/A</v>
      </c>
      <c r="G24" s="92" t="e">
        <f>VLOOKUP($A24,capacities!$A$2:$J$2352,G$17,FALSE)</f>
        <v>#N/A</v>
      </c>
      <c r="H24" s="92" t="e">
        <f>VLOOKUP($A24,capacities!$A$2:$J$2352,H$17,FALSE)</f>
        <v>#N/A</v>
      </c>
      <c r="I24" s="92" t="e">
        <f>VLOOKUP($A24,capacities!$A$2:$J$2352,I$17,FALSE)</f>
        <v>#N/A</v>
      </c>
      <c r="J24" s="92" t="e">
        <f>VLOOKUP($A24,capacities!$A$2:$J$2352,J$17,FALSE)</f>
        <v>#N/A</v>
      </c>
    </row>
    <row r="25" spans="1:10" x14ac:dyDescent="0.35">
      <c r="A25" s="40" t="s">
        <v>463</v>
      </c>
      <c r="B25" s="92"/>
      <c r="C25" s="92" t="e">
        <f>VLOOKUP($A25,capacities!$A$2:$J$2352,C$17,FALSE)</f>
        <v>#N/A</v>
      </c>
      <c r="D25" s="92" t="e">
        <f>VLOOKUP($A25,capacities!$A$2:$J$2352,D$17,FALSE)</f>
        <v>#N/A</v>
      </c>
      <c r="E25" s="92" t="e">
        <f>VLOOKUP($A25,capacities!$A$2:$J$2352,E$17,FALSE)</f>
        <v>#N/A</v>
      </c>
      <c r="F25" s="92" t="e">
        <f>VLOOKUP($A25,capacities!$A$2:$J$2352,F$17,FALSE)</f>
        <v>#N/A</v>
      </c>
      <c r="G25" s="92" t="e">
        <f>VLOOKUP($A25,capacities!$A$2:$J$2352,G$17,FALSE)</f>
        <v>#N/A</v>
      </c>
      <c r="H25" s="92" t="e">
        <f>VLOOKUP($A25,capacities!$A$2:$J$2352,H$17,FALSE)</f>
        <v>#N/A</v>
      </c>
      <c r="I25" s="92" t="e">
        <f>VLOOKUP($A25,capacities!$A$2:$J$2352,I$17,FALSE)</f>
        <v>#N/A</v>
      </c>
      <c r="J25" s="92" t="e">
        <f>VLOOKUP($A25,capacities!$A$2:$J$2352,J$17,FALSE)</f>
        <v>#N/A</v>
      </c>
    </row>
    <row r="26" spans="1:10" x14ac:dyDescent="0.35">
      <c r="A26" s="40" t="s">
        <v>516</v>
      </c>
      <c r="B26" s="92"/>
      <c r="C26" s="92" t="e">
        <f>VLOOKUP($A26,capacities!$A$2:$J$2352,C$17,FALSE)</f>
        <v>#N/A</v>
      </c>
      <c r="D26" s="92" t="e">
        <f>VLOOKUP($A26,capacities!$A$2:$J$2352,D$17,FALSE)</f>
        <v>#N/A</v>
      </c>
      <c r="E26" s="92" t="e">
        <f>VLOOKUP($A26,capacities!$A$2:$J$2352,E$17,FALSE)</f>
        <v>#N/A</v>
      </c>
      <c r="F26" s="92" t="e">
        <f>VLOOKUP($A26,capacities!$A$2:$J$2352,F$17,FALSE)</f>
        <v>#N/A</v>
      </c>
      <c r="G26" s="92" t="e">
        <f>VLOOKUP($A26,capacities!$A$2:$J$2352,G$17,FALSE)</f>
        <v>#N/A</v>
      </c>
      <c r="H26" s="92" t="e">
        <f>VLOOKUP($A26,capacities!$A$2:$J$2352,H$17,FALSE)</f>
        <v>#N/A</v>
      </c>
      <c r="I26" s="92" t="e">
        <f>VLOOKUP($A26,capacities!$A$2:$J$2352,I$17,FALSE)</f>
        <v>#N/A</v>
      </c>
      <c r="J26" s="92" t="e">
        <f>VLOOKUP($A26,capacities!$A$2:$J$2352,J$17,FALSE)</f>
        <v>#N/A</v>
      </c>
    </row>
    <row r="27" spans="1:10" x14ac:dyDescent="0.35">
      <c r="A27" s="40" t="s">
        <v>521</v>
      </c>
      <c r="B27" s="92"/>
      <c r="C27" s="92" t="e">
        <f>VLOOKUP($A27,capacities!$A$2:$J$2352,C$17,FALSE)</f>
        <v>#N/A</v>
      </c>
      <c r="D27" s="92" t="e">
        <f>VLOOKUP($A27,capacities!$A$2:$J$2352,D$17,FALSE)</f>
        <v>#N/A</v>
      </c>
      <c r="E27" s="92" t="e">
        <f>VLOOKUP($A27,capacities!$A$2:$J$2352,E$17,FALSE)</f>
        <v>#N/A</v>
      </c>
      <c r="F27" s="92" t="e">
        <f>VLOOKUP($A27,capacities!$A$2:$J$2352,F$17,FALSE)</f>
        <v>#N/A</v>
      </c>
      <c r="G27" s="92" t="e">
        <f>VLOOKUP($A27,capacities!$A$2:$J$2352,G$17,FALSE)</f>
        <v>#N/A</v>
      </c>
      <c r="H27" s="92" t="e">
        <f>VLOOKUP($A27,capacities!$A$2:$J$2352,H$17,FALSE)</f>
        <v>#N/A</v>
      </c>
      <c r="I27" s="92" t="e">
        <f>VLOOKUP($A27,capacities!$A$2:$J$2352,I$17,FALSE)</f>
        <v>#N/A</v>
      </c>
      <c r="J27" s="92" t="e">
        <f>VLOOKUP($A27,capacities!$A$2:$J$2352,J$17,FALSE)</f>
        <v>#N/A</v>
      </c>
    </row>
    <row r="28" spans="1:10" x14ac:dyDescent="0.35">
      <c r="A28" s="40"/>
      <c r="B28" s="92"/>
      <c r="C28" s="92"/>
      <c r="D28" s="92"/>
      <c r="E28" s="92"/>
      <c r="F28" s="92"/>
      <c r="G28" s="92"/>
      <c r="H28" s="92"/>
      <c r="I28" s="92"/>
      <c r="J28" s="92"/>
    </row>
    <row r="29" spans="1:10" ht="15" thickBot="1" x14ac:dyDescent="0.4">
      <c r="A29" s="95" t="s">
        <v>1229</v>
      </c>
      <c r="B29" s="77"/>
      <c r="C29" s="77" t="e">
        <f>SUM(C19:C27)</f>
        <v>#N/A</v>
      </c>
      <c r="D29" s="77" t="e">
        <f t="shared" ref="D29:J29" si="1">SUM(D19:D27)</f>
        <v>#N/A</v>
      </c>
      <c r="E29" s="77" t="e">
        <f t="shared" si="1"/>
        <v>#N/A</v>
      </c>
      <c r="F29" s="77" t="e">
        <f t="shared" si="1"/>
        <v>#N/A</v>
      </c>
      <c r="G29" s="77" t="e">
        <f t="shared" si="1"/>
        <v>#N/A</v>
      </c>
      <c r="H29" s="77" t="e">
        <f t="shared" si="1"/>
        <v>#N/A</v>
      </c>
      <c r="I29" s="77" t="e">
        <f t="shared" si="1"/>
        <v>#N/A</v>
      </c>
      <c r="J29" s="77" t="e">
        <f t="shared" si="1"/>
        <v>#N/A</v>
      </c>
    </row>
    <row r="30" spans="1:10" ht="15" thickBot="1" x14ac:dyDescent="0.4"/>
    <row r="31" spans="1:10" x14ac:dyDescent="0.35">
      <c r="A31" s="88" t="s">
        <v>1518</v>
      </c>
      <c r="B31" s="88" t="s">
        <v>1209</v>
      </c>
      <c r="C31" s="89">
        <v>2</v>
      </c>
      <c r="D31" s="89">
        <v>3</v>
      </c>
      <c r="E31" s="89">
        <v>4</v>
      </c>
      <c r="F31" s="89">
        <v>5</v>
      </c>
      <c r="G31" s="89">
        <v>6</v>
      </c>
      <c r="H31" s="89">
        <v>7</v>
      </c>
      <c r="I31" s="89">
        <v>8</v>
      </c>
      <c r="J31" s="89">
        <v>9</v>
      </c>
    </row>
    <row r="32" spans="1:10" x14ac:dyDescent="0.35">
      <c r="A32" s="40" t="s">
        <v>1415</v>
      </c>
      <c r="B32" s="92"/>
      <c r="C32" s="133" t="s">
        <v>1417</v>
      </c>
      <c r="D32" s="133">
        <v>2020</v>
      </c>
      <c r="E32" s="133">
        <v>2025</v>
      </c>
      <c r="F32" s="133">
        <v>2030</v>
      </c>
      <c r="G32" s="133">
        <v>2035</v>
      </c>
      <c r="H32" s="133">
        <v>2040</v>
      </c>
      <c r="I32" s="133">
        <v>2045</v>
      </c>
      <c r="J32" s="133">
        <v>2050</v>
      </c>
    </row>
    <row r="33" spans="1:10" x14ac:dyDescent="0.35">
      <c r="A33" s="40" t="s">
        <v>179</v>
      </c>
      <c r="B33" s="92"/>
      <c r="C33" s="92" t="e">
        <f>VLOOKUP($A33,capacities!$A$2:$J$2352,C$31,FALSE)</f>
        <v>#N/A</v>
      </c>
      <c r="D33" s="92" t="e">
        <f>VLOOKUP($A33,capacities!$A$2:$J$2352,D$31,FALSE)</f>
        <v>#N/A</v>
      </c>
      <c r="E33" s="92" t="e">
        <f>VLOOKUP($A33,capacities!$A$2:$J$2352,E$31,FALSE)</f>
        <v>#N/A</v>
      </c>
      <c r="F33" s="92" t="e">
        <f>VLOOKUP($A33,capacities!$A$2:$J$2352,F$31,FALSE)</f>
        <v>#N/A</v>
      </c>
      <c r="G33" s="92" t="e">
        <f>VLOOKUP($A33,capacities!$A$2:$J$2352,G$31,FALSE)</f>
        <v>#N/A</v>
      </c>
      <c r="H33" s="92" t="e">
        <f>VLOOKUP($A33,capacities!$A$2:$J$2352,H$31,FALSE)</f>
        <v>#N/A</v>
      </c>
      <c r="I33" s="92" t="e">
        <f>VLOOKUP($A33,capacities!$A$2:$J$2352,I$31,FALSE)</f>
        <v>#N/A</v>
      </c>
      <c r="J33" s="92" t="e">
        <f>VLOOKUP($A33,capacities!$A$2:$J$2352,J$31,FALSE)</f>
        <v>#N/A</v>
      </c>
    </row>
    <row r="34" spans="1:10" x14ac:dyDescent="0.35">
      <c r="A34" s="40" t="s">
        <v>180</v>
      </c>
      <c r="B34" s="92"/>
      <c r="C34" s="92" t="e">
        <f>VLOOKUP($A34,capacities!$A$2:$J$2352,C$31,FALSE)</f>
        <v>#N/A</v>
      </c>
      <c r="D34" s="92" t="e">
        <f>VLOOKUP($A34,capacities!$A$2:$J$2352,D$31,FALSE)</f>
        <v>#N/A</v>
      </c>
      <c r="E34" s="92" t="e">
        <f>VLOOKUP($A34,capacities!$A$2:$J$2352,E$31,FALSE)</f>
        <v>#N/A</v>
      </c>
      <c r="F34" s="92" t="e">
        <f>VLOOKUP($A34,capacities!$A$2:$J$2352,F$31,FALSE)</f>
        <v>#N/A</v>
      </c>
      <c r="G34" s="92" t="e">
        <f>VLOOKUP($A34,capacities!$A$2:$J$2352,G$31,FALSE)</f>
        <v>#N/A</v>
      </c>
      <c r="H34" s="92" t="e">
        <f>VLOOKUP($A34,capacities!$A$2:$J$2352,H$31,FALSE)</f>
        <v>#N/A</v>
      </c>
      <c r="I34" s="92" t="e">
        <f>VLOOKUP($A34,capacities!$A$2:$J$2352,I$31,FALSE)</f>
        <v>#N/A</v>
      </c>
      <c r="J34" s="92" t="e">
        <f>VLOOKUP($A34,capacities!$A$2:$J$2352,J$31,FALSE)</f>
        <v>#N/A</v>
      </c>
    </row>
    <row r="35" spans="1:10" x14ac:dyDescent="0.35">
      <c r="A35" s="40" t="s">
        <v>184</v>
      </c>
      <c r="B35" s="92"/>
      <c r="C35" s="92" t="e">
        <f>VLOOKUP($A35,capacities!$A$2:$J$2352,C$31,FALSE)</f>
        <v>#N/A</v>
      </c>
      <c r="D35" s="92" t="e">
        <f>VLOOKUP($A35,capacities!$A$2:$J$2352,D$31,FALSE)</f>
        <v>#N/A</v>
      </c>
      <c r="E35" s="92" t="e">
        <f>VLOOKUP($A35,capacities!$A$2:$J$2352,E$31,FALSE)</f>
        <v>#N/A</v>
      </c>
      <c r="F35" s="92" t="e">
        <f>VLOOKUP($A35,capacities!$A$2:$J$2352,F$31,FALSE)</f>
        <v>#N/A</v>
      </c>
      <c r="G35" s="92" t="e">
        <f>VLOOKUP($A35,capacities!$A$2:$J$2352,G$31,FALSE)</f>
        <v>#N/A</v>
      </c>
      <c r="H35" s="92" t="e">
        <f>VLOOKUP($A35,capacities!$A$2:$J$2352,H$31,FALSE)</f>
        <v>#N/A</v>
      </c>
      <c r="I35" s="92" t="e">
        <f>VLOOKUP($A35,capacities!$A$2:$J$2352,I$31,FALSE)</f>
        <v>#N/A</v>
      </c>
      <c r="J35" s="92" t="e">
        <f>VLOOKUP($A35,capacities!$A$2:$J$2352,J$31,FALSE)</f>
        <v>#N/A</v>
      </c>
    </row>
    <row r="36" spans="1:10" x14ac:dyDescent="0.35">
      <c r="A36" s="40" t="s">
        <v>462</v>
      </c>
      <c r="B36" s="92"/>
      <c r="C36" s="92" t="e">
        <f>VLOOKUP($A36,capacities!$A$2:$J$2352,C$31,FALSE)</f>
        <v>#N/A</v>
      </c>
      <c r="D36" s="92" t="e">
        <f>VLOOKUP($A36,capacities!$A$2:$J$2352,D$31,FALSE)</f>
        <v>#N/A</v>
      </c>
      <c r="E36" s="92" t="e">
        <f>VLOOKUP($A36,capacities!$A$2:$J$2352,E$31,FALSE)</f>
        <v>#N/A</v>
      </c>
      <c r="F36" s="92" t="e">
        <f>VLOOKUP($A36,capacities!$A$2:$J$2352,F$31,FALSE)</f>
        <v>#N/A</v>
      </c>
      <c r="G36" s="92" t="e">
        <f>VLOOKUP($A36,capacities!$A$2:$J$2352,G$31,FALSE)</f>
        <v>#N/A</v>
      </c>
      <c r="H36" s="92" t="e">
        <f>VLOOKUP($A36,capacities!$A$2:$J$2352,H$31,FALSE)</f>
        <v>#N/A</v>
      </c>
      <c r="I36" s="92" t="e">
        <f>VLOOKUP($A36,capacities!$A$2:$J$2352,I$31,FALSE)</f>
        <v>#N/A</v>
      </c>
      <c r="J36" s="92" t="e">
        <f>VLOOKUP($A36,capacities!$A$2:$J$2352,J$31,FALSE)</f>
        <v>#N/A</v>
      </c>
    </row>
    <row r="37" spans="1:10" x14ac:dyDescent="0.35">
      <c r="A37" s="40" t="s">
        <v>464</v>
      </c>
      <c r="B37" s="92"/>
      <c r="C37" s="92" t="e">
        <f>VLOOKUP($A37,capacities!$A$2:$J$2352,C$31,FALSE)</f>
        <v>#N/A</v>
      </c>
      <c r="D37" s="92" t="e">
        <f>VLOOKUP($A37,capacities!$A$2:$J$2352,D$31,FALSE)</f>
        <v>#N/A</v>
      </c>
      <c r="E37" s="92" t="e">
        <f>VLOOKUP($A37,capacities!$A$2:$J$2352,E$31,FALSE)</f>
        <v>#N/A</v>
      </c>
      <c r="F37" s="92" t="e">
        <f>VLOOKUP($A37,capacities!$A$2:$J$2352,F$31,FALSE)</f>
        <v>#N/A</v>
      </c>
      <c r="G37" s="92" t="e">
        <f>VLOOKUP($A37,capacities!$A$2:$J$2352,G$31,FALSE)</f>
        <v>#N/A</v>
      </c>
      <c r="H37" s="92" t="e">
        <f>VLOOKUP($A37,capacities!$A$2:$J$2352,H$31,FALSE)</f>
        <v>#N/A</v>
      </c>
      <c r="I37" s="92" t="e">
        <f>VLOOKUP($A37,capacities!$A$2:$J$2352,I$31,FALSE)</f>
        <v>#N/A</v>
      </c>
      <c r="J37" s="92" t="e">
        <f>VLOOKUP($A37,capacities!$A$2:$J$2352,J$31,FALSE)</f>
        <v>#N/A</v>
      </c>
    </row>
    <row r="38" spans="1:10" x14ac:dyDescent="0.35">
      <c r="A38" s="40" t="s">
        <v>467</v>
      </c>
      <c r="B38" s="92"/>
      <c r="C38" s="92" t="e">
        <f>VLOOKUP($A38,capacities!$A$2:$J$2352,C$31,FALSE)</f>
        <v>#N/A</v>
      </c>
      <c r="D38" s="92" t="e">
        <f>VLOOKUP($A38,capacities!$A$2:$J$2352,D$31,FALSE)</f>
        <v>#N/A</v>
      </c>
      <c r="E38" s="92" t="e">
        <f>VLOOKUP($A38,capacities!$A$2:$J$2352,E$31,FALSE)</f>
        <v>#N/A</v>
      </c>
      <c r="F38" s="92" t="e">
        <f>VLOOKUP($A38,capacities!$A$2:$J$2352,F$31,FALSE)</f>
        <v>#N/A</v>
      </c>
      <c r="G38" s="92" t="e">
        <f>VLOOKUP($A38,capacities!$A$2:$J$2352,G$31,FALSE)</f>
        <v>#N/A</v>
      </c>
      <c r="H38" s="92" t="e">
        <f>VLOOKUP($A38,capacities!$A$2:$J$2352,H$31,FALSE)</f>
        <v>#N/A</v>
      </c>
      <c r="I38" s="92" t="e">
        <f>VLOOKUP($A38,capacities!$A$2:$J$2352,I$31,FALSE)</f>
        <v>#N/A</v>
      </c>
      <c r="J38" s="92" t="e">
        <f>VLOOKUP($A38,capacities!$A$2:$J$2352,J$31,FALSE)</f>
        <v>#N/A</v>
      </c>
    </row>
    <row r="39" spans="1:10" x14ac:dyDescent="0.35">
      <c r="A39" s="40" t="s">
        <v>468</v>
      </c>
      <c r="B39" s="92"/>
      <c r="C39" s="92" t="e">
        <f>VLOOKUP($A39,capacities!$A$2:$J$2352,C$31,FALSE)</f>
        <v>#N/A</v>
      </c>
      <c r="D39" s="92" t="e">
        <f>VLOOKUP($A39,capacities!$A$2:$J$2352,D$31,FALSE)</f>
        <v>#N/A</v>
      </c>
      <c r="E39" s="92" t="e">
        <f>VLOOKUP($A39,capacities!$A$2:$J$2352,E$31,FALSE)</f>
        <v>#N/A</v>
      </c>
      <c r="F39" s="92" t="e">
        <f>VLOOKUP($A39,capacities!$A$2:$J$2352,F$31,FALSE)</f>
        <v>#N/A</v>
      </c>
      <c r="G39" s="92" t="e">
        <f>VLOOKUP($A39,capacities!$A$2:$J$2352,G$31,FALSE)</f>
        <v>#N/A</v>
      </c>
      <c r="H39" s="92" t="e">
        <f>VLOOKUP($A39,capacities!$A$2:$J$2352,H$31,FALSE)</f>
        <v>#N/A</v>
      </c>
      <c r="I39" s="92" t="e">
        <f>VLOOKUP($A39,capacities!$A$2:$J$2352,I$31,FALSE)</f>
        <v>#N/A</v>
      </c>
      <c r="J39" s="92" t="e">
        <f>VLOOKUP($A39,capacities!$A$2:$J$2352,J$31,FALSE)</f>
        <v>#N/A</v>
      </c>
    </row>
    <row r="40" spans="1:10" x14ac:dyDescent="0.35">
      <c r="A40" s="40" t="s">
        <v>469</v>
      </c>
      <c r="B40" s="92"/>
      <c r="C40" s="92" t="e">
        <f>VLOOKUP($A40,capacities!$A$2:$J$2352,C$31,FALSE)</f>
        <v>#N/A</v>
      </c>
      <c r="D40" s="92" t="e">
        <f>VLOOKUP($A40,capacities!$A$2:$J$2352,D$31,FALSE)</f>
        <v>#N/A</v>
      </c>
      <c r="E40" s="92" t="e">
        <f>VLOOKUP($A40,capacities!$A$2:$J$2352,E$31,FALSE)</f>
        <v>#N/A</v>
      </c>
      <c r="F40" s="92" t="e">
        <f>VLOOKUP($A40,capacities!$A$2:$J$2352,F$31,FALSE)</f>
        <v>#N/A</v>
      </c>
      <c r="G40" s="92" t="e">
        <f>VLOOKUP($A40,capacities!$A$2:$J$2352,G$31,FALSE)</f>
        <v>#N/A</v>
      </c>
      <c r="H40" s="92" t="e">
        <f>VLOOKUP($A40,capacities!$A$2:$J$2352,H$31,FALSE)</f>
        <v>#N/A</v>
      </c>
      <c r="I40" s="92" t="e">
        <f>VLOOKUP($A40,capacities!$A$2:$J$2352,I$31,FALSE)</f>
        <v>#N/A</v>
      </c>
      <c r="J40" s="92" t="e">
        <f>VLOOKUP($A40,capacities!$A$2:$J$2352,J$31,FALSE)</f>
        <v>#N/A</v>
      </c>
    </row>
    <row r="41" spans="1:10" x14ac:dyDescent="0.35">
      <c r="A41" s="40" t="s">
        <v>515</v>
      </c>
      <c r="B41" s="92"/>
      <c r="C41" s="92" t="e">
        <f>VLOOKUP($A41,capacities!$A$2:$J$2352,C$31,FALSE)</f>
        <v>#N/A</v>
      </c>
      <c r="D41" s="92" t="e">
        <f>VLOOKUP($A41,capacities!$A$2:$J$2352,D$31,FALSE)</f>
        <v>#N/A</v>
      </c>
      <c r="E41" s="92" t="e">
        <f>VLOOKUP($A41,capacities!$A$2:$J$2352,E$31,FALSE)</f>
        <v>#N/A</v>
      </c>
      <c r="F41" s="92" t="e">
        <f>VLOOKUP($A41,capacities!$A$2:$J$2352,F$31,FALSE)</f>
        <v>#N/A</v>
      </c>
      <c r="G41" s="92" t="e">
        <f>VLOOKUP($A41,capacities!$A$2:$J$2352,G$31,FALSE)</f>
        <v>#N/A</v>
      </c>
      <c r="H41" s="92" t="e">
        <f>VLOOKUP($A41,capacities!$A$2:$J$2352,H$31,FALSE)</f>
        <v>#N/A</v>
      </c>
      <c r="I41" s="92" t="e">
        <f>VLOOKUP($A41,capacities!$A$2:$J$2352,I$31,FALSE)</f>
        <v>#N/A</v>
      </c>
      <c r="J41" s="92" t="e">
        <f>VLOOKUP($A41,capacities!$A$2:$J$2352,J$31,FALSE)</f>
        <v>#N/A</v>
      </c>
    </row>
    <row r="42" spans="1:10" x14ac:dyDescent="0.35">
      <c r="A42" s="40" t="s">
        <v>519</v>
      </c>
      <c r="B42" s="92"/>
      <c r="C42" s="92" t="e">
        <f>VLOOKUP($A42,capacities!$A$2:$J$2352,C$31,FALSE)</f>
        <v>#N/A</v>
      </c>
      <c r="D42" s="92" t="e">
        <f>VLOOKUP($A42,capacities!$A$2:$J$2352,D$31,FALSE)</f>
        <v>#N/A</v>
      </c>
      <c r="E42" s="92" t="e">
        <f>VLOOKUP($A42,capacities!$A$2:$J$2352,E$31,FALSE)</f>
        <v>#N/A</v>
      </c>
      <c r="F42" s="92" t="e">
        <f>VLOOKUP($A42,capacities!$A$2:$J$2352,F$31,FALSE)</f>
        <v>#N/A</v>
      </c>
      <c r="G42" s="92" t="e">
        <f>VLOOKUP($A42,capacities!$A$2:$J$2352,G$31,FALSE)</f>
        <v>#N/A</v>
      </c>
      <c r="H42" s="92" t="e">
        <f>VLOOKUP($A42,capacities!$A$2:$J$2352,H$31,FALSE)</f>
        <v>#N/A</v>
      </c>
      <c r="I42" s="92" t="e">
        <f>VLOOKUP($A42,capacities!$A$2:$J$2352,I$31,FALSE)</f>
        <v>#N/A</v>
      </c>
      <c r="J42" s="92" t="e">
        <f>VLOOKUP($A42,capacities!$A$2:$J$2352,J$31,FALSE)</f>
        <v>#N/A</v>
      </c>
    </row>
    <row r="43" spans="1:10" x14ac:dyDescent="0.35">
      <c r="A43" s="40" t="s">
        <v>520</v>
      </c>
      <c r="B43" s="92"/>
      <c r="C43" s="92" t="e">
        <f>VLOOKUP($A43,capacities!$A$2:$J$2352,C$31,FALSE)</f>
        <v>#N/A</v>
      </c>
      <c r="D43" s="92" t="e">
        <f>VLOOKUP($A43,capacities!$A$2:$J$2352,D$31,FALSE)</f>
        <v>#N/A</v>
      </c>
      <c r="E43" s="92" t="e">
        <f>VLOOKUP($A43,capacities!$A$2:$J$2352,E$31,FALSE)</f>
        <v>#N/A</v>
      </c>
      <c r="F43" s="92" t="e">
        <f>VLOOKUP($A43,capacities!$A$2:$J$2352,F$31,FALSE)</f>
        <v>#N/A</v>
      </c>
      <c r="G43" s="92" t="e">
        <f>VLOOKUP($A43,capacities!$A$2:$J$2352,G$31,FALSE)</f>
        <v>#N/A</v>
      </c>
      <c r="H43" s="92" t="e">
        <f>VLOOKUP($A43,capacities!$A$2:$J$2352,H$31,FALSE)</f>
        <v>#N/A</v>
      </c>
      <c r="I43" s="92" t="e">
        <f>VLOOKUP($A43,capacities!$A$2:$J$2352,I$31,FALSE)</f>
        <v>#N/A</v>
      </c>
      <c r="J43" s="92" t="e">
        <f>VLOOKUP($A43,capacities!$A$2:$J$2352,J$31,FALSE)</f>
        <v>#N/A</v>
      </c>
    </row>
    <row r="44" spans="1:10" x14ac:dyDescent="0.35">
      <c r="A44" s="40" t="s">
        <v>522</v>
      </c>
      <c r="B44" s="92"/>
      <c r="C44" s="92" t="e">
        <f>VLOOKUP($A44,capacities!$A$2:$J$2352,C$31,FALSE)</f>
        <v>#N/A</v>
      </c>
      <c r="D44" s="92" t="e">
        <f>VLOOKUP($A44,capacities!$A$2:$J$2352,D$31,FALSE)</f>
        <v>#N/A</v>
      </c>
      <c r="E44" s="92" t="e">
        <f>VLOOKUP($A44,capacities!$A$2:$J$2352,E$31,FALSE)</f>
        <v>#N/A</v>
      </c>
      <c r="F44" s="92" t="e">
        <f>VLOOKUP($A44,capacities!$A$2:$J$2352,F$31,FALSE)</f>
        <v>#N/A</v>
      </c>
      <c r="G44" s="92" t="e">
        <f>VLOOKUP($A44,capacities!$A$2:$J$2352,G$31,FALSE)</f>
        <v>#N/A</v>
      </c>
      <c r="H44" s="92" t="e">
        <f>VLOOKUP($A44,capacities!$A$2:$J$2352,H$31,FALSE)</f>
        <v>#N/A</v>
      </c>
      <c r="I44" s="92" t="e">
        <f>VLOOKUP($A44,capacities!$A$2:$J$2352,I$31,FALSE)</f>
        <v>#N/A</v>
      </c>
      <c r="J44" s="92" t="e">
        <f>VLOOKUP($A44,capacities!$A$2:$J$2352,J$31,FALSE)</f>
        <v>#N/A</v>
      </c>
    </row>
    <row r="45" spans="1:10" x14ac:dyDescent="0.35">
      <c r="A45" s="40" t="s">
        <v>523</v>
      </c>
      <c r="B45" s="92"/>
      <c r="C45" s="92" t="e">
        <f>VLOOKUP($A45,capacities!$A$2:$J$2352,C$31,FALSE)</f>
        <v>#N/A</v>
      </c>
      <c r="D45" s="92" t="e">
        <f>VLOOKUP($A45,capacities!$A$2:$J$2352,D$31,FALSE)</f>
        <v>#N/A</v>
      </c>
      <c r="E45" s="92" t="e">
        <f>VLOOKUP($A45,capacities!$A$2:$J$2352,E$31,FALSE)</f>
        <v>#N/A</v>
      </c>
      <c r="F45" s="92" t="e">
        <f>VLOOKUP($A45,capacities!$A$2:$J$2352,F$31,FALSE)</f>
        <v>#N/A</v>
      </c>
      <c r="G45" s="92" t="e">
        <f>VLOOKUP($A45,capacities!$A$2:$J$2352,G$31,FALSE)</f>
        <v>#N/A</v>
      </c>
      <c r="H45" s="92" t="e">
        <f>VLOOKUP($A45,capacities!$A$2:$J$2352,H$31,FALSE)</f>
        <v>#N/A</v>
      </c>
      <c r="I45" s="92" t="e">
        <f>VLOOKUP($A45,capacities!$A$2:$J$2352,I$31,FALSE)</f>
        <v>#N/A</v>
      </c>
      <c r="J45" s="92" t="e">
        <f>VLOOKUP($A45,capacities!$A$2:$J$2352,J$31,FALSE)</f>
        <v>#N/A</v>
      </c>
    </row>
    <row r="46" spans="1:10" ht="15" thickBot="1" x14ac:dyDescent="0.4">
      <c r="A46" s="41" t="s">
        <v>524</v>
      </c>
      <c r="B46" s="77"/>
      <c r="C46" s="92" t="e">
        <f>VLOOKUP($A46,capacities!$A$2:$J$2352,C$31,FALSE)</f>
        <v>#N/A</v>
      </c>
      <c r="D46" s="92" t="e">
        <f>VLOOKUP($A46,capacities!$A$2:$J$2352,D$31,FALSE)</f>
        <v>#N/A</v>
      </c>
      <c r="E46" s="92" t="e">
        <f>VLOOKUP($A46,capacities!$A$2:$J$2352,E$31,FALSE)</f>
        <v>#N/A</v>
      </c>
      <c r="F46" s="92" t="e">
        <f>VLOOKUP($A46,capacities!$A$2:$J$2352,F$31,FALSE)</f>
        <v>#N/A</v>
      </c>
      <c r="G46" s="92" t="e">
        <f>VLOOKUP($A46,capacities!$A$2:$J$2352,G$31,FALSE)</f>
        <v>#N/A</v>
      </c>
      <c r="H46" s="92" t="e">
        <f>VLOOKUP($A46,capacities!$A$2:$J$2352,H$31,FALSE)</f>
        <v>#N/A</v>
      </c>
      <c r="I46" s="92" t="e">
        <f>VLOOKUP($A46,capacities!$A$2:$J$2352,I$31,FALSE)</f>
        <v>#N/A</v>
      </c>
      <c r="J46" s="92" t="e">
        <f>VLOOKUP($A46,capacities!$A$2:$J$2352,J$31,FALSE)</f>
        <v>#N/A</v>
      </c>
    </row>
    <row r="47" spans="1:10" x14ac:dyDescent="0.35">
      <c r="C47" s="92"/>
    </row>
  </sheetData>
  <pageMargins left="0.7" right="0.7" top="0.78740157499999996" bottom="0.78740157499999996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-0.499984740745262"/>
  </sheetPr>
  <dimension ref="A1:K18"/>
  <sheetViews>
    <sheetView zoomScale="70" zoomScaleNormal="70" workbookViewId="0">
      <selection activeCell="B64" sqref="B64"/>
    </sheetView>
  </sheetViews>
  <sheetFormatPr baseColWidth="10" defaultColWidth="11.453125" defaultRowHeight="14.5" x14ac:dyDescent="0.35"/>
  <cols>
    <col min="1" max="1" width="34.1796875" style="132" customWidth="1"/>
    <col min="2" max="2" width="34.1796875" style="190" customWidth="1"/>
    <col min="3" max="3" width="21.54296875" style="132" bestFit="1" customWidth="1"/>
    <col min="4" max="16384" width="11.453125" style="132"/>
  </cols>
  <sheetData>
    <row r="1" spans="1:11" x14ac:dyDescent="0.35">
      <c r="A1" s="87"/>
      <c r="B1" s="88" t="s">
        <v>1508</v>
      </c>
      <c r="C1" s="88" t="s">
        <v>1209</v>
      </c>
      <c r="D1" s="89">
        <v>2</v>
      </c>
      <c r="E1" s="89">
        <v>3</v>
      </c>
      <c r="F1" s="89">
        <v>4</v>
      </c>
      <c r="G1" s="89">
        <v>5</v>
      </c>
      <c r="H1" s="89">
        <v>6</v>
      </c>
      <c r="I1" s="89">
        <v>7</v>
      </c>
      <c r="J1" s="89">
        <v>8</v>
      </c>
      <c r="K1" s="89">
        <v>9</v>
      </c>
    </row>
    <row r="2" spans="1:11" x14ac:dyDescent="0.35">
      <c r="A2" s="40" t="s">
        <v>1415</v>
      </c>
      <c r="B2" s="92"/>
      <c r="C2" s="92"/>
      <c r="D2" s="133" t="s">
        <v>1417</v>
      </c>
      <c r="E2" s="133">
        <v>2020</v>
      </c>
      <c r="F2" s="133">
        <v>2025</v>
      </c>
      <c r="G2" s="133">
        <v>2030</v>
      </c>
      <c r="H2" s="133">
        <v>2035</v>
      </c>
      <c r="I2" s="133">
        <v>2040</v>
      </c>
      <c r="J2" s="133">
        <v>2045</v>
      </c>
      <c r="K2" s="133">
        <v>2050</v>
      </c>
    </row>
    <row r="3" spans="1:11" x14ac:dyDescent="0.35">
      <c r="A3" s="40" t="s">
        <v>599</v>
      </c>
      <c r="B3" s="92" t="s">
        <v>1998</v>
      </c>
      <c r="C3" s="92" t="s">
        <v>1509</v>
      </c>
      <c r="D3" s="92" t="e">
        <f>VLOOKUP($A3,flows!$A$2:$J$4985,D$1,FALSE)</f>
        <v>#N/A</v>
      </c>
      <c r="E3" s="92" t="e">
        <f>VLOOKUP($A3,flows!$A$2:$J$4985,E$1,FALSE)</f>
        <v>#N/A</v>
      </c>
      <c r="F3" s="92" t="e">
        <f>VLOOKUP($A3,flows!$A$2:$J$4985,F$1,FALSE)</f>
        <v>#N/A</v>
      </c>
      <c r="G3" s="92" t="e">
        <f>VLOOKUP($A3,flows!$A$2:$J$4985,G$1,FALSE)</f>
        <v>#N/A</v>
      </c>
      <c r="H3" s="92" t="e">
        <f>VLOOKUP($A3,flows!$A$2:$J$4985,H$1,FALSE)</f>
        <v>#N/A</v>
      </c>
      <c r="I3" s="92" t="e">
        <f>VLOOKUP($A3,flows!$A$2:$J$4985,I$1,FALSE)</f>
        <v>#N/A</v>
      </c>
      <c r="J3" s="92" t="e">
        <f>VLOOKUP($A3,flows!$A$2:$J$4985,J$1,FALSE)</f>
        <v>#N/A</v>
      </c>
      <c r="K3" s="92" t="e">
        <f>VLOOKUP($A3,flows!$A$2:$J$4985,K$1,FALSE)</f>
        <v>#N/A</v>
      </c>
    </row>
    <row r="4" spans="1:11" x14ac:dyDescent="0.35">
      <c r="A4" s="40" t="s">
        <v>862</v>
      </c>
      <c r="B4" s="92" t="s">
        <v>1988</v>
      </c>
      <c r="C4" s="92" t="s">
        <v>1510</v>
      </c>
      <c r="D4" s="92" t="e">
        <f>VLOOKUP($A4,flows!$A$2:$J$4985,D$1,FALSE)</f>
        <v>#N/A</v>
      </c>
      <c r="E4" s="92" t="e">
        <f>VLOOKUP($A4,flows!$A$2:$J$4985,E$1,FALSE)</f>
        <v>#N/A</v>
      </c>
      <c r="F4" s="92" t="e">
        <f>VLOOKUP($A4,flows!$A$2:$J$4985,F$1,FALSE)</f>
        <v>#N/A</v>
      </c>
      <c r="G4" s="92" t="e">
        <f>VLOOKUP($A4,flows!$A$2:$J$4985,G$1,FALSE)</f>
        <v>#N/A</v>
      </c>
      <c r="H4" s="92" t="e">
        <f>VLOOKUP($A4,flows!$A$2:$J$4985,H$1,FALSE)</f>
        <v>#N/A</v>
      </c>
      <c r="I4" s="92" t="e">
        <f>VLOOKUP($A4,flows!$A$2:$J$4985,I$1,FALSE)</f>
        <v>#N/A</v>
      </c>
      <c r="J4" s="92" t="e">
        <f>VLOOKUP($A4,flows!$A$2:$J$4985,J$1,FALSE)</f>
        <v>#N/A</v>
      </c>
      <c r="K4" s="92" t="e">
        <f>VLOOKUP($A4,flows!$A$2:$J$4985,K$1,FALSE)</f>
        <v>#N/A</v>
      </c>
    </row>
    <row r="5" spans="1:11" x14ac:dyDescent="0.35">
      <c r="A5" s="40" t="s">
        <v>1003</v>
      </c>
      <c r="B5" s="92" t="s">
        <v>1511</v>
      </c>
      <c r="C5" s="92" t="s">
        <v>1511</v>
      </c>
      <c r="D5" s="92" t="e">
        <f>VLOOKUP($A5,flows!$A$2:$J$4985,D$1,FALSE)</f>
        <v>#N/A</v>
      </c>
      <c r="E5" s="92" t="e">
        <f>VLOOKUP($A5,flows!$A$2:$J$4985,E$1,FALSE)</f>
        <v>#N/A</v>
      </c>
      <c r="F5" s="92" t="e">
        <f>VLOOKUP($A5,flows!$A$2:$J$4985,F$1,FALSE)</f>
        <v>#N/A</v>
      </c>
      <c r="G5" s="92" t="e">
        <f>VLOOKUP($A5,flows!$A$2:$J$4985,G$1,FALSE)</f>
        <v>#N/A</v>
      </c>
      <c r="H5" s="92" t="e">
        <f>VLOOKUP($A5,flows!$A$2:$J$4985,H$1,FALSE)</f>
        <v>#N/A</v>
      </c>
      <c r="I5" s="92" t="e">
        <f>VLOOKUP($A5,flows!$A$2:$J$4985,I$1,FALSE)</f>
        <v>#N/A</v>
      </c>
      <c r="J5" s="92" t="e">
        <f>VLOOKUP($A5,flows!$A$2:$J$4985,J$1,FALSE)</f>
        <v>#N/A</v>
      </c>
      <c r="K5" s="92" t="e">
        <f>VLOOKUP($A5,flows!$A$2:$J$4985,K$1,FALSE)</f>
        <v>#N/A</v>
      </c>
    </row>
    <row r="6" spans="1:11" x14ac:dyDescent="0.35">
      <c r="A6" s="40" t="s">
        <v>1051</v>
      </c>
      <c r="B6" s="137" t="s">
        <v>1997</v>
      </c>
      <c r="C6" s="92" t="s">
        <v>1512</v>
      </c>
      <c r="D6" s="92" t="e">
        <f>VLOOKUP($A6,flows!$A$2:$J$4985,D$1,FALSE)</f>
        <v>#N/A</v>
      </c>
      <c r="E6" s="92" t="e">
        <f>VLOOKUP($A6,flows!$A$2:$J$4985,E$1,FALSE)</f>
        <v>#N/A</v>
      </c>
      <c r="F6" s="92" t="e">
        <f>VLOOKUP($A6,flows!$A$2:$J$4985,F$1,FALSE)</f>
        <v>#N/A</v>
      </c>
      <c r="G6" s="92" t="e">
        <f>VLOOKUP($A6,flows!$A$2:$J$4985,G$1,FALSE)</f>
        <v>#N/A</v>
      </c>
      <c r="H6" s="92" t="e">
        <f>VLOOKUP($A6,flows!$A$2:$J$4985,H$1,FALSE)</f>
        <v>#N/A</v>
      </c>
      <c r="I6" s="92" t="e">
        <f>VLOOKUP($A6,flows!$A$2:$J$4985,I$1,FALSE)</f>
        <v>#N/A</v>
      </c>
      <c r="J6" s="92" t="e">
        <f>VLOOKUP($A6,flows!$A$2:$J$4985,J$1,FALSE)</f>
        <v>#N/A</v>
      </c>
      <c r="K6" s="92" t="e">
        <f>VLOOKUP($A6,flows!$A$2:$J$4985,K$1,FALSE)</f>
        <v>#N/A</v>
      </c>
    </row>
    <row r="7" spans="1:11" x14ac:dyDescent="0.35">
      <c r="A7" s="40" t="s">
        <v>1084</v>
      </c>
      <c r="B7" s="137" t="s">
        <v>1549</v>
      </c>
      <c r="C7" s="92" t="s">
        <v>1420</v>
      </c>
      <c r="D7" s="92" t="e">
        <f>VLOOKUP($A7,flows!$A$2:$J$4985,D$1,FALSE)</f>
        <v>#N/A</v>
      </c>
      <c r="E7" s="92" t="e">
        <f>VLOOKUP($A7,flows!$A$2:$J$4985,E$1,FALSE)</f>
        <v>#N/A</v>
      </c>
      <c r="F7" s="92" t="e">
        <f>VLOOKUP($A7,flows!$A$2:$J$4985,F$1,FALSE)</f>
        <v>#N/A</v>
      </c>
      <c r="G7" s="92" t="e">
        <f>VLOOKUP($A7,flows!$A$2:$J$4985,G$1,FALSE)</f>
        <v>#N/A</v>
      </c>
      <c r="H7" s="92" t="e">
        <f>VLOOKUP($A7,flows!$A$2:$J$4985,H$1,FALSE)</f>
        <v>#N/A</v>
      </c>
      <c r="I7" s="92" t="e">
        <f>VLOOKUP($A7,flows!$A$2:$J$4985,I$1,FALSE)</f>
        <v>#N/A</v>
      </c>
      <c r="J7" s="92" t="e">
        <f>VLOOKUP($A7,flows!$A$2:$J$4985,J$1,FALSE)</f>
        <v>#N/A</v>
      </c>
      <c r="K7" s="92" t="e">
        <f>VLOOKUP($A7,flows!$A$2:$J$4985,K$1,FALSE)</f>
        <v>#N/A</v>
      </c>
    </row>
    <row r="8" spans="1:11" x14ac:dyDescent="0.35">
      <c r="A8" s="40" t="s">
        <v>1121</v>
      </c>
      <c r="B8" s="137" t="s">
        <v>1990</v>
      </c>
      <c r="C8" s="92" t="s">
        <v>1422</v>
      </c>
      <c r="D8" s="92" t="e">
        <f>VLOOKUP($A8,flows!$A$2:$J$4985,D$1,FALSE)</f>
        <v>#N/A</v>
      </c>
      <c r="E8" s="92" t="e">
        <f>VLOOKUP($A8,flows!$A$2:$J$4985,E$1,FALSE)</f>
        <v>#N/A</v>
      </c>
      <c r="F8" s="92" t="e">
        <f>VLOOKUP($A8,flows!$A$2:$J$4985,F$1,FALSE)</f>
        <v>#N/A</v>
      </c>
      <c r="G8" s="92" t="e">
        <f>VLOOKUP($A8,flows!$A$2:$J$4985,G$1,FALSE)</f>
        <v>#N/A</v>
      </c>
      <c r="H8" s="92" t="e">
        <f>VLOOKUP($A8,flows!$A$2:$J$4985,H$1,FALSE)</f>
        <v>#N/A</v>
      </c>
      <c r="I8" s="92" t="e">
        <f>VLOOKUP($A8,flows!$A$2:$J$4985,I$1,FALSE)</f>
        <v>#N/A</v>
      </c>
      <c r="J8" s="92" t="e">
        <f>VLOOKUP($A8,flows!$A$2:$J$4985,J$1,FALSE)</f>
        <v>#N/A</v>
      </c>
      <c r="K8" s="92" t="e">
        <f>VLOOKUP($A8,flows!$A$2:$J$4985,K$1,FALSE)</f>
        <v>#N/A</v>
      </c>
    </row>
    <row r="9" spans="1:11" ht="15" thickBot="1" x14ac:dyDescent="0.4">
      <c r="A9" s="41" t="s">
        <v>1129</v>
      </c>
      <c r="B9" s="77" t="s">
        <v>1989</v>
      </c>
      <c r="C9" s="77" t="s">
        <v>1418</v>
      </c>
      <c r="D9" s="92" t="e">
        <f>VLOOKUP($A9,flows!$A$2:$J$2850,D$1,FALSE)</f>
        <v>#N/A</v>
      </c>
      <c r="E9" s="92" t="e">
        <f>VLOOKUP($A9,flows!$A$2:$J$2850,E$1,FALSE)</f>
        <v>#N/A</v>
      </c>
      <c r="F9" s="92" t="e">
        <f>VLOOKUP($A9,flows!$A$2:$J$2850,F$1,FALSE)</f>
        <v>#N/A</v>
      </c>
      <c r="G9" s="92" t="e">
        <f>VLOOKUP($A9,flows!$A$2:$J$2850,G$1,FALSE)</f>
        <v>#N/A</v>
      </c>
      <c r="H9" s="92" t="e">
        <f>VLOOKUP($A9,flows!$A$2:$J$2850,H$1,FALSE)</f>
        <v>#N/A</v>
      </c>
      <c r="I9" s="92" t="e">
        <f>VLOOKUP($A9,flows!$A$2:$J$2850,I$1,FALSE)</f>
        <v>#N/A</v>
      </c>
      <c r="J9" s="92" t="e">
        <f>VLOOKUP($A9,flows!$A$2:$J$2850,J$1,FALSE)</f>
        <v>#N/A</v>
      </c>
      <c r="K9" s="92" t="e">
        <f>VLOOKUP($A9,flows!$A$2:$J$2850,K$1,FALSE)</f>
        <v>#N/A</v>
      </c>
    </row>
    <row r="10" spans="1:11" ht="15" thickBot="1" x14ac:dyDescent="0.4"/>
    <row r="11" spans="1:11" x14ac:dyDescent="0.35">
      <c r="A11" s="87"/>
      <c r="B11" s="88" t="s">
        <v>1513</v>
      </c>
      <c r="C11" s="88" t="s">
        <v>1209</v>
      </c>
      <c r="D11" s="89">
        <v>2</v>
      </c>
      <c r="E11" s="89">
        <v>3</v>
      </c>
      <c r="F11" s="89">
        <v>4</v>
      </c>
      <c r="G11" s="89">
        <v>5</v>
      </c>
      <c r="H11" s="89">
        <v>6</v>
      </c>
      <c r="I11" s="89">
        <v>7</v>
      </c>
      <c r="J11" s="89">
        <v>8</v>
      </c>
      <c r="K11" s="89">
        <v>9</v>
      </c>
    </row>
    <row r="12" spans="1:11" x14ac:dyDescent="0.35">
      <c r="A12" s="40" t="s">
        <v>1415</v>
      </c>
      <c r="B12" s="92"/>
      <c r="C12" s="92"/>
      <c r="D12" s="133" t="s">
        <v>1417</v>
      </c>
      <c r="E12" s="133">
        <v>2020</v>
      </c>
      <c r="F12" s="133">
        <v>2025</v>
      </c>
      <c r="G12" s="133">
        <v>2030</v>
      </c>
      <c r="H12" s="133">
        <v>2035</v>
      </c>
      <c r="I12" s="133">
        <v>2040</v>
      </c>
      <c r="J12" s="133">
        <v>2045</v>
      </c>
      <c r="K12" s="133">
        <v>2050</v>
      </c>
    </row>
    <row r="13" spans="1:11" x14ac:dyDescent="0.35">
      <c r="A13" s="40" t="s">
        <v>1696</v>
      </c>
      <c r="B13" s="92" t="s">
        <v>1995</v>
      </c>
      <c r="C13" s="92" t="s">
        <v>1514</v>
      </c>
      <c r="D13" s="92" t="e">
        <f>VLOOKUP($A13,flows!$A$2:$J$4985,D$11,FALSE)</f>
        <v>#N/A</v>
      </c>
      <c r="E13" s="92" t="e">
        <f>VLOOKUP($A13,flows!$A$2:$J$4985,E$11,FALSE)</f>
        <v>#N/A</v>
      </c>
      <c r="F13" s="92" t="e">
        <f>VLOOKUP($A13,flows!$A$2:$J$4985,F$11,FALSE)</f>
        <v>#N/A</v>
      </c>
      <c r="G13" s="92" t="e">
        <f>VLOOKUP($A13,flows!$A$2:$J$4985,G$11,FALSE)</f>
        <v>#N/A</v>
      </c>
      <c r="H13" s="92" t="e">
        <f>VLOOKUP($A13,flows!$A$2:$J$4985,H$11,FALSE)</f>
        <v>#N/A</v>
      </c>
      <c r="I13" s="92" t="e">
        <f>VLOOKUP($A13,flows!$A$2:$J$4985,I$11,FALSE)</f>
        <v>#N/A</v>
      </c>
      <c r="J13" s="92" t="e">
        <f>VLOOKUP($A13,flows!$A$2:$J$4985,J$11,FALSE)</f>
        <v>#N/A</v>
      </c>
      <c r="K13" s="92" t="e">
        <f>VLOOKUP($A13,flows!$A$2:$J$4985,K$11,FALSE)</f>
        <v>#N/A</v>
      </c>
    </row>
    <row r="14" spans="1:11" x14ac:dyDescent="0.35">
      <c r="A14" s="40" t="s">
        <v>1698</v>
      </c>
      <c r="B14" s="92" t="s">
        <v>1972</v>
      </c>
      <c r="C14" s="92" t="s">
        <v>1625</v>
      </c>
      <c r="D14" s="92" t="e">
        <f>VLOOKUP($A14,flows!$A$2:$J$4985,D$11,FALSE)</f>
        <v>#N/A</v>
      </c>
      <c r="E14" s="92" t="e">
        <f>VLOOKUP($A14,flows!$A$2:$J$4985,E$11,FALSE)</f>
        <v>#N/A</v>
      </c>
      <c r="F14" s="92" t="e">
        <f>VLOOKUP($A14,flows!$A$2:$J$4985,F$11,FALSE)</f>
        <v>#N/A</v>
      </c>
      <c r="G14" s="92" t="e">
        <f>VLOOKUP($A14,flows!$A$2:$J$4985,G$11,FALSE)</f>
        <v>#N/A</v>
      </c>
      <c r="H14" s="92" t="e">
        <f>VLOOKUP($A14,flows!$A$2:$J$4985,H$11,FALSE)</f>
        <v>#N/A</v>
      </c>
      <c r="I14" s="92" t="e">
        <f>VLOOKUP($A14,flows!$A$2:$J$4985,I$11,FALSE)</f>
        <v>#N/A</v>
      </c>
      <c r="J14" s="92" t="e">
        <f>VLOOKUP($A14,flows!$A$2:$J$4985,J$11,FALSE)</f>
        <v>#N/A</v>
      </c>
      <c r="K14" s="92" t="e">
        <f>VLOOKUP($A14,flows!$A$2:$J$4985,K$11,FALSE)</f>
        <v>#N/A</v>
      </c>
    </row>
    <row r="15" spans="1:11" x14ac:dyDescent="0.35">
      <c r="A15" s="40" t="s">
        <v>1699</v>
      </c>
      <c r="B15" s="92" t="s">
        <v>1973</v>
      </c>
      <c r="C15" s="92" t="s">
        <v>1515</v>
      </c>
      <c r="D15" s="92" t="e">
        <f>VLOOKUP($A15,flows!$A$2:$J$4985,D$11,FALSE)</f>
        <v>#N/A</v>
      </c>
      <c r="E15" s="92" t="e">
        <f>VLOOKUP($A15,flows!$A$2:$J$4985,E$11,FALSE)</f>
        <v>#N/A</v>
      </c>
      <c r="F15" s="92" t="e">
        <f>VLOOKUP($A15,flows!$A$2:$J$4985,F$11,FALSE)</f>
        <v>#N/A</v>
      </c>
      <c r="G15" s="92" t="e">
        <f>VLOOKUP($A15,flows!$A$2:$J$4985,G$11,FALSE)</f>
        <v>#N/A</v>
      </c>
      <c r="H15" s="92" t="e">
        <f>VLOOKUP($A15,flows!$A$2:$J$4985,H$11,FALSE)</f>
        <v>#N/A</v>
      </c>
      <c r="I15" s="92" t="e">
        <f>VLOOKUP($A15,flows!$A$2:$J$4985,I$11,FALSE)</f>
        <v>#N/A</v>
      </c>
      <c r="J15" s="92" t="e">
        <f>VLOOKUP($A15,flows!$A$2:$J$4985,J$11,FALSE)</f>
        <v>#N/A</v>
      </c>
      <c r="K15" s="92" t="e">
        <f>VLOOKUP($A15,flows!$A$2:$J$4985,K$11,FALSE)</f>
        <v>#N/A</v>
      </c>
    </row>
    <row r="16" spans="1:11" x14ac:dyDescent="0.35">
      <c r="A16" s="40" t="s">
        <v>1700</v>
      </c>
      <c r="B16" s="137" t="s">
        <v>1974</v>
      </c>
      <c r="C16" s="92" t="s">
        <v>1516</v>
      </c>
      <c r="D16" s="92" t="e">
        <f>VLOOKUP($A16,flows!$A$2:$J$4985,D$11,FALSE)</f>
        <v>#N/A</v>
      </c>
      <c r="E16" s="92" t="e">
        <f>VLOOKUP($A16,flows!$A$2:$J$4985,E$11,FALSE)</f>
        <v>#N/A</v>
      </c>
      <c r="F16" s="92" t="e">
        <f>VLOOKUP($A16,flows!$A$2:$J$4985,F$11,FALSE)</f>
        <v>#N/A</v>
      </c>
      <c r="G16" s="92" t="e">
        <f>VLOOKUP($A16,flows!$A$2:$J$4985,G$11,FALSE)</f>
        <v>#N/A</v>
      </c>
      <c r="H16" s="92" t="e">
        <f>VLOOKUP($A16,flows!$A$2:$J$4985,H$11,FALSE)</f>
        <v>#N/A</v>
      </c>
      <c r="I16" s="92" t="e">
        <f>VLOOKUP($A16,flows!$A$2:$J$4985,I$11,FALSE)</f>
        <v>#N/A</v>
      </c>
      <c r="J16" s="92" t="e">
        <f>VLOOKUP($A16,flows!$A$2:$J$4985,J$11,FALSE)</f>
        <v>#N/A</v>
      </c>
      <c r="K16" s="92" t="e">
        <f>VLOOKUP($A16,flows!$A$2:$J$4985,K$11,FALSE)</f>
        <v>#N/A</v>
      </c>
    </row>
    <row r="17" spans="1:11" x14ac:dyDescent="0.35">
      <c r="A17" s="40" t="s">
        <v>1697</v>
      </c>
      <c r="B17" s="137" t="s">
        <v>1996</v>
      </c>
      <c r="C17" s="92" t="s">
        <v>1517</v>
      </c>
      <c r="D17" s="92" t="e">
        <f>VLOOKUP($A17,flows!$A$2:$J$4985,D$11,FALSE)</f>
        <v>#N/A</v>
      </c>
      <c r="E17" s="92" t="e">
        <f>VLOOKUP($A17,flows!$A$2:$J$4985,E$11,FALSE)</f>
        <v>#N/A</v>
      </c>
      <c r="F17" s="92" t="e">
        <f>VLOOKUP($A17,flows!$A$2:$J$4985,F$11,FALSE)</f>
        <v>#N/A</v>
      </c>
      <c r="G17" s="92" t="e">
        <f>VLOOKUP($A17,flows!$A$2:$J$4985,G$11,FALSE)</f>
        <v>#N/A</v>
      </c>
      <c r="H17" s="92" t="e">
        <f>VLOOKUP($A17,flows!$A$2:$J$4985,H$11,FALSE)</f>
        <v>#N/A</v>
      </c>
      <c r="I17" s="92" t="e">
        <f>VLOOKUP($A17,flows!$A$2:$J$4985,I$11,FALSE)</f>
        <v>#N/A</v>
      </c>
      <c r="J17" s="92" t="e">
        <f>VLOOKUP($A17,flows!$A$2:$J$4985,J$11,FALSE)</f>
        <v>#N/A</v>
      </c>
      <c r="K17" s="92" t="e">
        <f>VLOOKUP($A17,flows!$A$2:$J$4985,K$11,FALSE)</f>
        <v>#N/A</v>
      </c>
    </row>
    <row r="18" spans="1:11" ht="15" thickBot="1" x14ac:dyDescent="0.4">
      <c r="A18" s="41" t="s">
        <v>1691</v>
      </c>
      <c r="B18" s="77" t="s">
        <v>1975</v>
      </c>
      <c r="C18" s="77" t="s">
        <v>1626</v>
      </c>
      <c r="D18" s="92" t="e">
        <f>VLOOKUP($A18,flows!$A$2:$J$4985,D$11,FALSE)</f>
        <v>#N/A</v>
      </c>
      <c r="E18" s="92" t="e">
        <f>VLOOKUP($A18,flows!$A$2:$J$4985,E$11,FALSE)</f>
        <v>#N/A</v>
      </c>
      <c r="F18" s="92" t="e">
        <f>VLOOKUP($A18,flows!$A$2:$J$4985,F$11,FALSE)</f>
        <v>#N/A</v>
      </c>
      <c r="G18" s="92" t="e">
        <f>VLOOKUP($A18,flows!$A$2:$J$4985,G$11,FALSE)</f>
        <v>#N/A</v>
      </c>
      <c r="H18" s="92" t="e">
        <f>VLOOKUP($A18,flows!$A$2:$J$4985,H$11,FALSE)</f>
        <v>#N/A</v>
      </c>
      <c r="I18" s="92" t="e">
        <f>VLOOKUP($A18,flows!$A$2:$J$4985,I$11,FALSE)</f>
        <v>#N/A</v>
      </c>
      <c r="J18" s="92" t="e">
        <f>VLOOKUP($A18,flows!$A$2:$J$4985,J$11,FALSE)</f>
        <v>#N/A</v>
      </c>
      <c r="K18" s="92" t="e">
        <f>VLOOKUP($A18,flows!$A$2:$J$4985,K$11,FALSE)</f>
        <v>#N/A</v>
      </c>
    </row>
  </sheetData>
  <pageMargins left="0.7" right="0.7" top="0.78740157499999996" bottom="0.78740157499999996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173BE-4820-4F86-B9F0-ACCF9C8C7790}">
  <dimension ref="A1:BB121"/>
  <sheetViews>
    <sheetView tabSelected="1" zoomScale="70" zoomScaleNormal="70" workbookViewId="0">
      <pane xSplit="2" topLeftCell="AD1" activePane="topRight" state="frozen"/>
      <selection pane="topRight" activeCell="AZ103" sqref="AZ103"/>
    </sheetView>
  </sheetViews>
  <sheetFormatPr baseColWidth="10" defaultColWidth="11.453125" defaultRowHeight="14.5" x14ac:dyDescent="0.35"/>
  <cols>
    <col min="1" max="1" width="24.54296875" style="226" bestFit="1" customWidth="1"/>
    <col min="2" max="2" width="19.453125" style="226" customWidth="1"/>
    <col min="3" max="3" width="14.54296875" style="226" bestFit="1" customWidth="1"/>
    <col min="4" max="5" width="11.1796875" style="226" bestFit="1" customWidth="1"/>
    <col min="6" max="6" width="13.54296875" style="226" customWidth="1"/>
    <col min="7" max="18" width="11.453125" style="226"/>
    <col min="19" max="19" width="16" style="226" bestFit="1" customWidth="1"/>
    <col min="20" max="20" width="14.81640625" style="226" bestFit="1" customWidth="1"/>
    <col min="21" max="22" width="11.453125" style="226"/>
    <col min="23" max="24" width="11.453125" style="939"/>
    <col min="25" max="26" width="11.453125" style="226"/>
    <col min="27" max="27" width="11.453125" style="940"/>
    <col min="28" max="28" width="11.453125" style="218"/>
    <col min="29" max="29" width="11.453125" style="217"/>
    <col min="30" max="31" width="11.453125" style="929"/>
    <col min="32" max="35" width="11.453125" style="930"/>
    <col min="36" max="36" width="11.453125" style="1008"/>
    <col min="37" max="39" width="11.453125" style="930"/>
    <col min="40" max="40" width="11.453125" style="931"/>
    <col min="41" max="47" width="11.453125" style="1008"/>
    <col min="48" max="48" width="12.1796875" style="226" customWidth="1"/>
    <col min="49" max="50" width="11.453125" style="226"/>
    <col min="51" max="51" width="14.453125" style="219" bestFit="1" customWidth="1"/>
    <col min="52" max="52" width="22.90625" style="1000" customWidth="1"/>
    <col min="53" max="53" width="14.453125" style="219" bestFit="1" customWidth="1"/>
    <col min="54" max="16384" width="11.453125" style="226"/>
  </cols>
  <sheetData>
    <row r="1" spans="2:54" ht="130.5" x14ac:dyDescent="0.3">
      <c r="B1" s="219" t="s">
        <v>1577</v>
      </c>
      <c r="C1" s="220" t="s">
        <v>1410</v>
      </c>
      <c r="D1" s="221" t="s">
        <v>1601</v>
      </c>
      <c r="E1" s="220" t="s">
        <v>1598</v>
      </c>
      <c r="F1" s="221" t="s">
        <v>1600</v>
      </c>
      <c r="G1" s="221" t="s">
        <v>1600</v>
      </c>
      <c r="H1" s="221" t="s">
        <v>1600</v>
      </c>
      <c r="I1" s="220" t="s">
        <v>1602</v>
      </c>
      <c r="J1" s="221" t="s">
        <v>1660</v>
      </c>
      <c r="K1" s="221" t="s">
        <v>1660</v>
      </c>
      <c r="L1" s="220" t="s">
        <v>1597</v>
      </c>
      <c r="M1" s="220" t="s">
        <v>1597</v>
      </c>
      <c r="N1" s="220" t="s">
        <v>1597</v>
      </c>
      <c r="O1" s="221" t="s">
        <v>1661</v>
      </c>
      <c r="P1" s="222" t="s">
        <v>1663</v>
      </c>
      <c r="Q1" s="223" t="s">
        <v>1582</v>
      </c>
      <c r="R1" s="223" t="s">
        <v>1582</v>
      </c>
      <c r="S1" s="222" t="s">
        <v>1595</v>
      </c>
      <c r="T1" s="223" t="s">
        <v>1580</v>
      </c>
      <c r="U1" s="223" t="s">
        <v>1580</v>
      </c>
      <c r="V1" s="223" t="s">
        <v>1580</v>
      </c>
      <c r="W1" s="912" t="s">
        <v>1580</v>
      </c>
      <c r="X1" s="912" t="s">
        <v>1580</v>
      </c>
      <c r="Y1" s="222" t="s">
        <v>1581</v>
      </c>
      <c r="Z1" s="222" t="s">
        <v>1581</v>
      </c>
      <c r="AA1" s="913" t="s">
        <v>1581</v>
      </c>
      <c r="AB1" s="223" t="s">
        <v>1596</v>
      </c>
      <c r="AC1" s="223" t="s">
        <v>1596</v>
      </c>
      <c r="AD1" s="914" t="s">
        <v>4415</v>
      </c>
      <c r="AE1" s="914" t="s">
        <v>4415</v>
      </c>
      <c r="AF1" s="915" t="s">
        <v>4416</v>
      </c>
      <c r="AG1" s="915" t="s">
        <v>4416</v>
      </c>
      <c r="AH1" s="915" t="s">
        <v>4416</v>
      </c>
      <c r="AI1" s="915" t="s">
        <v>4417</v>
      </c>
      <c r="AJ1" s="999" t="s">
        <v>5039</v>
      </c>
      <c r="AK1" s="915" t="s">
        <v>5039</v>
      </c>
      <c r="AL1" s="915" t="s">
        <v>5039</v>
      </c>
      <c r="AM1" s="915" t="s">
        <v>5039</v>
      </c>
      <c r="AN1" s="916" t="s">
        <v>4418</v>
      </c>
      <c r="AO1" s="999" t="s">
        <v>4419</v>
      </c>
      <c r="AP1" s="999" t="s">
        <v>5040</v>
      </c>
      <c r="AQ1" s="999" t="s">
        <v>5041</v>
      </c>
      <c r="AR1" s="999" t="s">
        <v>5042</v>
      </c>
      <c r="AS1" s="999" t="s">
        <v>5043</v>
      </c>
      <c r="AT1" s="999" t="s">
        <v>5044</v>
      </c>
      <c r="AU1" s="999" t="s">
        <v>5045</v>
      </c>
      <c r="AV1" s="224" t="s">
        <v>1592</v>
      </c>
      <c r="AW1" s="224" t="s">
        <v>1592</v>
      </c>
      <c r="AX1" s="224" t="s">
        <v>1592</v>
      </c>
      <c r="AY1" s="1000" t="s">
        <v>1592</v>
      </c>
      <c r="AZ1" s="1000" t="s">
        <v>5046</v>
      </c>
      <c r="BA1" s="225" t="s">
        <v>1592</v>
      </c>
      <c r="BB1" s="226" t="s">
        <v>5047</v>
      </c>
    </row>
    <row r="2" spans="2:54" ht="58" x14ac:dyDescent="0.3">
      <c r="B2" s="219" t="s">
        <v>1591</v>
      </c>
      <c r="C2" s="220" t="s">
        <v>2022</v>
      </c>
      <c r="D2" s="221" t="s">
        <v>1720</v>
      </c>
      <c r="E2" s="220" t="s">
        <v>1721</v>
      </c>
      <c r="F2" s="221" t="s">
        <v>1722</v>
      </c>
      <c r="G2" s="221" t="s">
        <v>1723</v>
      </c>
      <c r="H2" s="221" t="s">
        <v>1724</v>
      </c>
      <c r="I2" s="220" t="s">
        <v>1675</v>
      </c>
      <c r="J2" s="221" t="s">
        <v>1725</v>
      </c>
      <c r="K2" s="221" t="s">
        <v>1726</v>
      </c>
      <c r="L2" s="220" t="s">
        <v>1727</v>
      </c>
      <c r="M2" s="220" t="s">
        <v>1728</v>
      </c>
      <c r="N2" s="220" t="s">
        <v>1729</v>
      </c>
      <c r="O2" s="221" t="s">
        <v>1676</v>
      </c>
      <c r="P2" s="222" t="s">
        <v>1677</v>
      </c>
      <c r="Q2" s="223" t="s">
        <v>1730</v>
      </c>
      <c r="R2" s="223" t="s">
        <v>1731</v>
      </c>
      <c r="S2" s="222" t="s">
        <v>1732</v>
      </c>
      <c r="T2" s="223" t="s">
        <v>1733</v>
      </c>
      <c r="U2" s="223" t="s">
        <v>1734</v>
      </c>
      <c r="V2" s="223" t="s">
        <v>1735</v>
      </c>
      <c r="W2" s="912" t="s">
        <v>1736</v>
      </c>
      <c r="X2" s="912" t="s">
        <v>1737</v>
      </c>
      <c r="Y2" s="222" t="s">
        <v>1738</v>
      </c>
      <c r="Z2" s="222" t="s">
        <v>1739</v>
      </c>
      <c r="AA2" s="913" t="s">
        <v>1740</v>
      </c>
      <c r="AB2" s="223" t="s">
        <v>1741</v>
      </c>
      <c r="AC2" s="223" t="s">
        <v>1742</v>
      </c>
      <c r="AD2" s="914" t="s">
        <v>4420</v>
      </c>
      <c r="AE2" s="914" t="s">
        <v>4421</v>
      </c>
      <c r="AF2" s="915" t="s">
        <v>4422</v>
      </c>
      <c r="AG2" s="915" t="s">
        <v>4423</v>
      </c>
      <c r="AH2" s="915" t="s">
        <v>4424</v>
      </c>
      <c r="AI2" s="915" t="s">
        <v>4425</v>
      </c>
      <c r="AJ2" s="999" t="s">
        <v>5048</v>
      </c>
      <c r="AK2" s="915" t="s">
        <v>5049</v>
      </c>
      <c r="AL2" s="915" t="s">
        <v>5050</v>
      </c>
      <c r="AM2" s="915" t="s">
        <v>5051</v>
      </c>
      <c r="AN2" s="916" t="s">
        <v>4426</v>
      </c>
      <c r="AO2" s="999" t="s">
        <v>5052</v>
      </c>
      <c r="AP2" s="999" t="s">
        <v>5053</v>
      </c>
      <c r="AQ2" s="999" t="s">
        <v>5054</v>
      </c>
      <c r="AR2" s="999" t="s">
        <v>5055</v>
      </c>
      <c r="AS2" s="999" t="s">
        <v>5056</v>
      </c>
      <c r="AT2" s="999" t="s">
        <v>5057</v>
      </c>
      <c r="AU2" s="999" t="s">
        <v>5058</v>
      </c>
      <c r="AV2" s="227" t="s">
        <v>2198</v>
      </c>
      <c r="AW2" s="227" t="s">
        <v>1796</v>
      </c>
      <c r="AX2" s="227" t="s">
        <v>4427</v>
      </c>
      <c r="AY2" s="1001" t="s">
        <v>5059</v>
      </c>
      <c r="AZ2" s="1000" t="s">
        <v>5060</v>
      </c>
      <c r="BA2" s="917" t="s">
        <v>5061</v>
      </c>
    </row>
    <row r="3" spans="2:54" s="237" customFormat="1" x14ac:dyDescent="0.35">
      <c r="B3" s="229" t="s">
        <v>1578</v>
      </c>
      <c r="C3" s="982">
        <v>2018</v>
      </c>
      <c r="D3" s="230">
        <v>2009</v>
      </c>
      <c r="E3" s="982">
        <v>2010</v>
      </c>
      <c r="F3" s="230">
        <v>2011</v>
      </c>
      <c r="G3" s="230">
        <v>2011</v>
      </c>
      <c r="H3" s="230">
        <v>2011</v>
      </c>
      <c r="I3" s="982">
        <v>2014</v>
      </c>
      <c r="J3" s="230">
        <v>2014</v>
      </c>
      <c r="K3" s="230">
        <v>2014</v>
      </c>
      <c r="L3" s="982">
        <v>2015</v>
      </c>
      <c r="M3" s="982">
        <v>2015</v>
      </c>
      <c r="N3" s="982">
        <v>2015</v>
      </c>
      <c r="O3" s="231">
        <v>2016</v>
      </c>
      <c r="P3" s="232">
        <v>2016</v>
      </c>
      <c r="Q3" s="233">
        <v>2017</v>
      </c>
      <c r="R3" s="233">
        <v>2017</v>
      </c>
      <c r="S3" s="234">
        <v>2017</v>
      </c>
      <c r="T3" s="233">
        <v>2018</v>
      </c>
      <c r="U3" s="233">
        <v>2018</v>
      </c>
      <c r="V3" s="233">
        <v>2018</v>
      </c>
      <c r="W3" s="918">
        <v>2018</v>
      </c>
      <c r="X3" s="918">
        <v>2018</v>
      </c>
      <c r="Y3" s="234">
        <v>2018</v>
      </c>
      <c r="Z3" s="234">
        <v>2018</v>
      </c>
      <c r="AA3" s="919">
        <v>2018</v>
      </c>
      <c r="AB3" s="233">
        <v>2018</v>
      </c>
      <c r="AC3" s="233">
        <v>2018</v>
      </c>
      <c r="AD3" s="920">
        <v>2019</v>
      </c>
      <c r="AE3" s="920">
        <v>2019</v>
      </c>
      <c r="AF3" s="921">
        <v>2020</v>
      </c>
      <c r="AG3" s="921">
        <v>2020</v>
      </c>
      <c r="AH3" s="921">
        <v>2020</v>
      </c>
      <c r="AI3" s="921">
        <v>2020</v>
      </c>
      <c r="AJ3" s="1002">
        <v>2021</v>
      </c>
      <c r="AK3" s="921">
        <v>2021</v>
      </c>
      <c r="AL3" s="921">
        <v>2021</v>
      </c>
      <c r="AM3" s="921">
        <v>2021</v>
      </c>
      <c r="AN3" s="922">
        <v>2020</v>
      </c>
      <c r="AO3" s="1002">
        <v>2021</v>
      </c>
      <c r="AP3" s="1002">
        <v>2021</v>
      </c>
      <c r="AQ3" s="1002">
        <v>2021</v>
      </c>
      <c r="AR3" s="1002">
        <v>2021</v>
      </c>
      <c r="AS3" s="1002">
        <v>2021</v>
      </c>
      <c r="AT3" s="1002">
        <v>2021</v>
      </c>
      <c r="AU3" s="1002">
        <v>2021</v>
      </c>
      <c r="AV3" s="235">
        <v>2019</v>
      </c>
      <c r="AW3" s="235">
        <v>2019</v>
      </c>
      <c r="AX3" s="227">
        <v>2021</v>
      </c>
      <c r="AY3" s="1003">
        <v>2021</v>
      </c>
      <c r="AZ3" s="1004">
        <v>2021</v>
      </c>
      <c r="BA3" s="236">
        <v>2022</v>
      </c>
    </row>
    <row r="4" spans="2:54" x14ac:dyDescent="0.35">
      <c r="B4" s="219" t="s">
        <v>1311</v>
      </c>
      <c r="C4" s="238">
        <v>2013</v>
      </c>
      <c r="D4" s="239">
        <v>2050</v>
      </c>
      <c r="E4" s="238">
        <v>2050</v>
      </c>
      <c r="F4" s="239">
        <v>2050</v>
      </c>
      <c r="G4" s="239">
        <v>2050</v>
      </c>
      <c r="H4" s="239">
        <v>2050</v>
      </c>
      <c r="I4" s="238">
        <v>2050</v>
      </c>
      <c r="J4" s="239">
        <v>2030</v>
      </c>
      <c r="K4" s="239">
        <v>2050</v>
      </c>
      <c r="L4" s="238">
        <v>2050</v>
      </c>
      <c r="M4" s="238">
        <v>2050</v>
      </c>
      <c r="N4" s="238">
        <v>2050</v>
      </c>
      <c r="O4" s="240">
        <v>2040</v>
      </c>
      <c r="P4" s="232">
        <v>2050</v>
      </c>
      <c r="Q4" s="233">
        <v>2050</v>
      </c>
      <c r="R4" s="233">
        <v>2050</v>
      </c>
      <c r="S4" s="234">
        <v>2050</v>
      </c>
      <c r="T4" s="233">
        <v>2050</v>
      </c>
      <c r="U4" s="233">
        <v>2050</v>
      </c>
      <c r="V4" s="233">
        <v>2050</v>
      </c>
      <c r="W4" s="918">
        <v>2050</v>
      </c>
      <c r="X4" s="918">
        <v>2050</v>
      </c>
      <c r="Y4" s="234">
        <v>2050</v>
      </c>
      <c r="Z4" s="234">
        <v>2050</v>
      </c>
      <c r="AA4" s="919">
        <v>2050</v>
      </c>
      <c r="AB4" s="233">
        <v>2050</v>
      </c>
      <c r="AC4" s="233">
        <v>2050</v>
      </c>
      <c r="AD4" s="920">
        <v>2050</v>
      </c>
      <c r="AE4" s="920">
        <v>2050</v>
      </c>
      <c r="AF4" s="921">
        <v>2050</v>
      </c>
      <c r="AG4" s="921">
        <v>2050</v>
      </c>
      <c r="AH4" s="921">
        <v>2050</v>
      </c>
      <c r="AI4" s="921">
        <v>2050</v>
      </c>
      <c r="AJ4" s="1002">
        <v>2045</v>
      </c>
      <c r="AK4" s="921">
        <v>2045</v>
      </c>
      <c r="AL4" s="921">
        <v>2045</v>
      </c>
      <c r="AM4" s="921">
        <v>2045</v>
      </c>
      <c r="AN4" s="922">
        <v>2050</v>
      </c>
      <c r="AO4" s="1002">
        <v>2045</v>
      </c>
      <c r="AP4" s="1002">
        <v>2045</v>
      </c>
      <c r="AQ4" s="1002">
        <v>2045</v>
      </c>
      <c r="AR4" s="1002">
        <v>2045</v>
      </c>
      <c r="AS4" s="1002">
        <v>2045</v>
      </c>
      <c r="AT4" s="1002">
        <v>2045</v>
      </c>
      <c r="AU4" s="1002">
        <v>2050</v>
      </c>
      <c r="AV4" s="224">
        <v>2050</v>
      </c>
      <c r="AW4" s="224">
        <v>2050</v>
      </c>
      <c r="AX4" s="227">
        <v>2050</v>
      </c>
      <c r="AY4" s="1005">
        <v>2045</v>
      </c>
      <c r="AZ4" s="1000">
        <v>2019</v>
      </c>
      <c r="BA4" s="228">
        <v>2045</v>
      </c>
    </row>
    <row r="5" spans="2:54" x14ac:dyDescent="0.35">
      <c r="B5" s="219" t="s">
        <v>1579</v>
      </c>
      <c r="C5" s="241" t="s">
        <v>2023</v>
      </c>
      <c r="D5" s="242">
        <v>0.8</v>
      </c>
      <c r="E5" s="243" t="s">
        <v>1599</v>
      </c>
      <c r="F5" s="242">
        <v>0.8</v>
      </c>
      <c r="G5" s="242">
        <v>0.8</v>
      </c>
      <c r="H5" s="242">
        <v>0.95</v>
      </c>
      <c r="I5" s="243">
        <v>0.8</v>
      </c>
      <c r="J5" s="239" t="s">
        <v>1584</v>
      </c>
      <c r="K5" s="242">
        <v>0.8</v>
      </c>
      <c r="L5" s="238" t="s">
        <v>1583</v>
      </c>
      <c r="M5" s="243">
        <v>0.8</v>
      </c>
      <c r="N5" s="243">
        <v>0.95</v>
      </c>
      <c r="O5" s="240" t="s">
        <v>1662</v>
      </c>
      <c r="P5" s="232" t="s">
        <v>1664</v>
      </c>
      <c r="Q5" s="233" t="s">
        <v>1564</v>
      </c>
      <c r="R5" s="233" t="s">
        <v>1590</v>
      </c>
      <c r="S5" s="244">
        <v>0.95</v>
      </c>
      <c r="T5" s="233" t="s">
        <v>1585</v>
      </c>
      <c r="U5" s="233" t="s">
        <v>1586</v>
      </c>
      <c r="V5" s="233" t="s">
        <v>1587</v>
      </c>
      <c r="W5" s="918" t="s">
        <v>1588</v>
      </c>
      <c r="X5" s="918" t="s">
        <v>1589</v>
      </c>
      <c r="Y5" s="234" t="s">
        <v>1564</v>
      </c>
      <c r="Z5" s="244">
        <v>0.8</v>
      </c>
      <c r="AA5" s="923">
        <v>0.95</v>
      </c>
      <c r="AB5" s="245">
        <v>0.8</v>
      </c>
      <c r="AC5" s="245">
        <v>0.8</v>
      </c>
      <c r="AD5" s="924">
        <v>1</v>
      </c>
      <c r="AE5" s="924">
        <v>1</v>
      </c>
      <c r="AF5" s="925">
        <v>0.95</v>
      </c>
      <c r="AG5" s="925">
        <v>0.95</v>
      </c>
      <c r="AH5" s="925">
        <v>1</v>
      </c>
      <c r="AI5" s="925">
        <v>1</v>
      </c>
      <c r="AJ5" s="1006">
        <v>1</v>
      </c>
      <c r="AK5" s="925">
        <v>1</v>
      </c>
      <c r="AL5" s="925">
        <v>1</v>
      </c>
      <c r="AM5" s="925">
        <v>1</v>
      </c>
      <c r="AN5" s="926">
        <v>1</v>
      </c>
      <c r="AO5" s="1006">
        <v>1</v>
      </c>
      <c r="AP5" s="1006">
        <v>1</v>
      </c>
      <c r="AQ5" s="1006">
        <v>1</v>
      </c>
      <c r="AR5" s="1006">
        <v>1</v>
      </c>
      <c r="AS5" s="1006">
        <v>1</v>
      </c>
      <c r="AT5" s="1006">
        <v>1</v>
      </c>
      <c r="AU5" s="1006">
        <v>1</v>
      </c>
      <c r="AV5" s="246">
        <v>0.8</v>
      </c>
      <c r="AW5" s="246">
        <v>0.95</v>
      </c>
      <c r="AX5" s="927">
        <v>0.95</v>
      </c>
      <c r="AY5" s="1007">
        <v>1</v>
      </c>
      <c r="BA5" s="265">
        <v>1</v>
      </c>
    </row>
    <row r="6" spans="2:54" x14ac:dyDescent="0.35">
      <c r="B6" s="229"/>
      <c r="C6" s="241"/>
      <c r="D6" s="247"/>
      <c r="E6" s="241"/>
      <c r="F6" s="247"/>
      <c r="G6" s="247"/>
      <c r="H6" s="247"/>
      <c r="I6" s="241"/>
      <c r="J6" s="247"/>
      <c r="K6" s="247"/>
      <c r="L6" s="241"/>
      <c r="M6" s="241"/>
      <c r="N6" s="241"/>
      <c r="O6" s="240"/>
      <c r="P6" s="232"/>
      <c r="Q6" s="248"/>
      <c r="R6" s="248"/>
      <c r="S6" s="249"/>
      <c r="T6" s="248"/>
      <c r="U6" s="233"/>
      <c r="V6" s="233"/>
      <c r="W6" s="918"/>
      <c r="X6" s="918"/>
      <c r="Y6" s="249"/>
      <c r="Z6" s="249"/>
      <c r="AA6" s="928"/>
      <c r="AB6" s="248"/>
      <c r="AC6" s="248"/>
      <c r="AV6" s="224"/>
      <c r="AW6" s="224"/>
      <c r="AX6" s="224"/>
      <c r="AY6" s="1005"/>
      <c r="BA6" s="228"/>
    </row>
    <row r="7" spans="2:54" x14ac:dyDescent="0.35">
      <c r="B7" s="250" t="s">
        <v>2020</v>
      </c>
      <c r="C7" s="241"/>
      <c r="D7" s="247"/>
      <c r="E7" s="241"/>
      <c r="F7" s="247"/>
      <c r="G7" s="247"/>
      <c r="H7" s="247"/>
      <c r="I7" s="241"/>
      <c r="J7" s="247"/>
      <c r="K7" s="247"/>
      <c r="L7" s="241"/>
      <c r="M7" s="241"/>
      <c r="N7" s="241"/>
      <c r="O7" s="240"/>
      <c r="P7" s="232"/>
      <c r="Q7" s="248"/>
      <c r="R7" s="248"/>
      <c r="S7" s="249"/>
      <c r="T7" s="248"/>
      <c r="U7" s="233"/>
      <c r="V7" s="233"/>
      <c r="W7" s="918"/>
      <c r="X7" s="918"/>
      <c r="Y7" s="249"/>
      <c r="Z7" s="249"/>
      <c r="AA7" s="928"/>
      <c r="AB7" s="248"/>
      <c r="AC7" s="248"/>
      <c r="AV7" s="224"/>
      <c r="AW7" s="224"/>
      <c r="AX7" s="224"/>
      <c r="AY7" s="1005"/>
      <c r="AZ7" s="1000" t="s">
        <v>1410</v>
      </c>
      <c r="BA7" s="228"/>
    </row>
    <row r="8" spans="2:54" x14ac:dyDescent="0.35">
      <c r="B8" s="219" t="s">
        <v>1593</v>
      </c>
      <c r="C8" s="241"/>
      <c r="D8" s="247"/>
      <c r="E8" s="241"/>
      <c r="F8" s="247"/>
      <c r="G8" s="247"/>
      <c r="H8" s="247"/>
      <c r="I8" s="241"/>
      <c r="J8" s="247"/>
      <c r="K8" s="247"/>
      <c r="L8" s="241"/>
      <c r="M8" s="241"/>
      <c r="N8" s="241"/>
      <c r="O8" s="240"/>
      <c r="P8" s="232"/>
      <c r="Q8" s="248"/>
      <c r="R8" s="248"/>
      <c r="S8" s="249"/>
      <c r="T8" s="248"/>
      <c r="U8" s="233"/>
      <c r="V8" s="233"/>
      <c r="W8" s="918"/>
      <c r="X8" s="918"/>
      <c r="Y8" s="249"/>
      <c r="Z8" s="249"/>
      <c r="AA8" s="928"/>
      <c r="AB8" s="248"/>
      <c r="AC8" s="248"/>
      <c r="AV8" s="224"/>
      <c r="AW8" s="224"/>
      <c r="AX8" s="224"/>
      <c r="AY8" s="1005"/>
      <c r="BA8" s="228"/>
    </row>
    <row r="9" spans="2:54" x14ac:dyDescent="0.35">
      <c r="B9" s="219" t="s">
        <v>1206</v>
      </c>
      <c r="C9" s="241">
        <v>507</v>
      </c>
      <c r="D9" s="247"/>
      <c r="E9" s="241"/>
      <c r="F9" s="997">
        <f>166*0.278</f>
        <v>46.148000000000003</v>
      </c>
      <c r="G9" s="247"/>
      <c r="H9" s="247"/>
      <c r="I9" s="241">
        <v>100</v>
      </c>
      <c r="J9" s="247">
        <f>1326*0.278</f>
        <v>368.62800000000004</v>
      </c>
      <c r="K9" s="247">
        <f>752*0.278</f>
        <v>209.05600000000001</v>
      </c>
      <c r="L9" s="241">
        <f>1083*0.278</f>
        <v>301.07400000000001</v>
      </c>
      <c r="M9" s="241">
        <f>407*0.278</f>
        <v>113.14600000000002</v>
      </c>
      <c r="N9" s="241">
        <f>153*0.278</f>
        <v>42.534000000000006</v>
      </c>
      <c r="O9" s="240"/>
      <c r="P9" s="232">
        <v>62</v>
      </c>
      <c r="Q9" s="233">
        <v>242</v>
      </c>
      <c r="R9" s="233">
        <v>109</v>
      </c>
      <c r="S9" s="234"/>
      <c r="T9" s="233">
        <v>147</v>
      </c>
      <c r="U9" s="233">
        <v>58</v>
      </c>
      <c r="V9" s="233">
        <v>55</v>
      </c>
      <c r="W9" s="918">
        <v>4</v>
      </c>
      <c r="X9" s="918">
        <v>5</v>
      </c>
      <c r="Y9" s="249"/>
      <c r="Z9" s="249"/>
      <c r="AA9" s="928"/>
      <c r="AB9" s="248"/>
      <c r="AC9" s="248"/>
      <c r="AV9" s="224"/>
      <c r="AW9" s="224"/>
      <c r="AX9" s="224"/>
      <c r="AY9" s="1005">
        <v>4.6020647485590338</v>
      </c>
      <c r="AZ9" s="1009">
        <f>[2]Primärenergiebedarf!D44</f>
        <v>304.12638888888887</v>
      </c>
      <c r="BA9" s="1010">
        <f>Primärenergiebedarf!J4/1000</f>
        <v>0</v>
      </c>
    </row>
    <row r="10" spans="2:54" x14ac:dyDescent="0.35">
      <c r="B10" s="219" t="s">
        <v>1310</v>
      </c>
      <c r="C10" s="241">
        <v>461</v>
      </c>
      <c r="D10" s="247"/>
      <c r="E10" s="241"/>
      <c r="F10" s="997"/>
      <c r="G10" s="247"/>
      <c r="H10" s="247"/>
      <c r="I10" s="241">
        <v>0</v>
      </c>
      <c r="J10" s="247">
        <f>1261*0.278</f>
        <v>350.55800000000005</v>
      </c>
      <c r="K10" s="247">
        <f>267*0.278</f>
        <v>74.226000000000013</v>
      </c>
      <c r="L10" s="241">
        <f>582*0.278</f>
        <v>161.79600000000002</v>
      </c>
      <c r="M10" s="241">
        <f>36*0.278</f>
        <v>10.008000000000001</v>
      </c>
      <c r="N10" s="241">
        <f>9*0.278</f>
        <v>2.5020000000000002</v>
      </c>
      <c r="O10" s="240"/>
      <c r="P10" s="232">
        <v>41</v>
      </c>
      <c r="Q10" s="233">
        <v>313</v>
      </c>
      <c r="R10" s="233">
        <v>4</v>
      </c>
      <c r="S10" s="234"/>
      <c r="T10" s="233">
        <v>32</v>
      </c>
      <c r="U10" s="233">
        <v>5</v>
      </c>
      <c r="V10" s="233">
        <v>5</v>
      </c>
      <c r="W10" s="918">
        <v>5</v>
      </c>
      <c r="X10" s="918">
        <v>5</v>
      </c>
      <c r="Y10" s="249"/>
      <c r="Z10" s="249"/>
      <c r="AA10" s="928"/>
      <c r="AB10" s="248"/>
      <c r="AC10" s="248"/>
      <c r="AV10" s="224"/>
      <c r="AW10" s="224"/>
      <c r="AX10" s="224"/>
      <c r="AY10" s="1005">
        <v>1.468093689458112E-5</v>
      </c>
      <c r="AZ10" s="1009">
        <f>[2]Primärenergiebedarf!D45</f>
        <v>322.57083333333338</v>
      </c>
      <c r="BA10" s="1010">
        <f>Primärenergiebedarf!J5/1000</f>
        <v>0</v>
      </c>
    </row>
    <row r="11" spans="2:54" x14ac:dyDescent="0.35">
      <c r="B11" s="219" t="s">
        <v>1421</v>
      </c>
      <c r="C11" s="241">
        <v>295</v>
      </c>
      <c r="D11" s="247"/>
      <c r="E11" s="241"/>
      <c r="F11" s="247">
        <v>0</v>
      </c>
      <c r="G11" s="247"/>
      <c r="H11" s="247"/>
      <c r="I11" s="241">
        <v>0</v>
      </c>
      <c r="J11" s="247">
        <f>0</f>
        <v>0</v>
      </c>
      <c r="K11" s="247">
        <v>0</v>
      </c>
      <c r="L11" s="241">
        <v>0</v>
      </c>
      <c r="M11" s="241">
        <v>0</v>
      </c>
      <c r="N11" s="241">
        <v>0</v>
      </c>
      <c r="O11" s="240"/>
      <c r="P11" s="232">
        <v>0</v>
      </c>
      <c r="Q11" s="233">
        <v>0</v>
      </c>
      <c r="R11" s="233">
        <v>0</v>
      </c>
      <c r="S11" s="234"/>
      <c r="T11" s="233">
        <v>0</v>
      </c>
      <c r="U11" s="233">
        <v>0</v>
      </c>
      <c r="V11" s="233">
        <v>0</v>
      </c>
      <c r="W11" s="918">
        <v>0</v>
      </c>
      <c r="X11" s="918">
        <v>0</v>
      </c>
      <c r="Y11" s="249"/>
      <c r="Z11" s="249"/>
      <c r="AA11" s="928"/>
      <c r="AB11" s="248"/>
      <c r="AC11" s="248"/>
      <c r="AV11" s="224"/>
      <c r="AW11" s="224"/>
      <c r="AX11" s="224"/>
      <c r="AY11" s="1005">
        <v>5.1838129111282992E-8</v>
      </c>
      <c r="AZ11" s="1009">
        <f>[2]Primärenergiebedarf!D51</f>
        <v>227.48666666666665</v>
      </c>
      <c r="BA11" s="1010">
        <f>Primärenergiebedarf!J6/1000</f>
        <v>0</v>
      </c>
    </row>
    <row r="12" spans="2:54" x14ac:dyDescent="0.35">
      <c r="B12" s="219" t="s">
        <v>1161</v>
      </c>
      <c r="C12" s="241">
        <v>841</v>
      </c>
      <c r="D12" s="247"/>
      <c r="E12" s="241"/>
      <c r="F12" s="247">
        <f>1520*0.278</f>
        <v>422.56000000000006</v>
      </c>
      <c r="G12" s="247"/>
      <c r="H12" s="247"/>
      <c r="I12" s="241">
        <v>0</v>
      </c>
      <c r="J12" s="247">
        <f>2158*0.278</f>
        <v>599.92400000000009</v>
      </c>
      <c r="K12" s="247">
        <f>2023*0.278</f>
        <v>562.39400000000001</v>
      </c>
      <c r="L12" s="241">
        <f>1355*0.278</f>
        <v>376.69000000000005</v>
      </c>
      <c r="M12" s="241">
        <f>821*0.278</f>
        <v>228.23800000000003</v>
      </c>
      <c r="N12" s="241">
        <f>286*0.278</f>
        <v>79.50800000000001</v>
      </c>
      <c r="O12" s="240"/>
      <c r="P12" s="232">
        <v>393</v>
      </c>
      <c r="Q12" s="233">
        <v>545</v>
      </c>
      <c r="R12" s="233">
        <v>363</v>
      </c>
      <c r="S12" s="234"/>
      <c r="T12" s="233">
        <v>855</v>
      </c>
      <c r="U12" s="233">
        <v>542</v>
      </c>
      <c r="V12" s="233">
        <v>609</v>
      </c>
      <c r="W12" s="918">
        <v>49</v>
      </c>
      <c r="X12" s="918">
        <v>141</v>
      </c>
      <c r="Y12" s="249"/>
      <c r="Z12" s="249"/>
      <c r="AA12" s="928"/>
      <c r="AB12" s="248"/>
      <c r="AC12" s="248"/>
      <c r="AV12" s="224"/>
      <c r="AW12" s="224"/>
      <c r="AX12" s="224"/>
      <c r="AY12" s="1005">
        <v>7.2779207035645923</v>
      </c>
      <c r="AZ12" s="1009">
        <f>[2]Primärenergiebedarf!D47</f>
        <v>888.8655555555556</v>
      </c>
      <c r="BA12" s="1010">
        <f>Primärenergiebedarf!J7/1000</f>
        <v>0</v>
      </c>
    </row>
    <row r="13" spans="2:54" x14ac:dyDescent="0.35">
      <c r="B13" s="219" t="s">
        <v>1207</v>
      </c>
      <c r="C13" s="241">
        <v>1051</v>
      </c>
      <c r="D13" s="247"/>
      <c r="E13" s="241"/>
      <c r="F13" s="247">
        <f>1740*0.278</f>
        <v>483.72</v>
      </c>
      <c r="G13" s="247"/>
      <c r="H13" s="247"/>
      <c r="I13" s="241">
        <v>0</v>
      </c>
      <c r="J13" s="247">
        <f>3225*0.278</f>
        <v>896.55000000000007</v>
      </c>
      <c r="K13" s="247">
        <f>2296*0.278</f>
        <v>638.28800000000001</v>
      </c>
      <c r="L13" s="241">
        <f>1973*0.278</f>
        <v>548.49400000000003</v>
      </c>
      <c r="M13" s="241">
        <f>636*0.278</f>
        <v>176.80800000000002</v>
      </c>
      <c r="N13" s="241">
        <f>151*0.278</f>
        <v>41.978000000000002</v>
      </c>
      <c r="O13" s="240"/>
      <c r="P13" s="232">
        <v>228</v>
      </c>
      <c r="Q13" s="233">
        <v>784</v>
      </c>
      <c r="R13" s="233">
        <v>436</v>
      </c>
      <c r="S13" s="234"/>
      <c r="T13" s="233">
        <v>717</v>
      </c>
      <c r="U13" s="233">
        <v>218</v>
      </c>
      <c r="V13" s="233">
        <v>231</v>
      </c>
      <c r="W13" s="918">
        <v>124</v>
      </c>
      <c r="X13" s="918">
        <v>99</v>
      </c>
      <c r="Y13" s="249"/>
      <c r="Z13" s="249"/>
      <c r="AA13" s="928"/>
      <c r="AB13" s="248"/>
      <c r="AC13" s="248"/>
      <c r="AV13" s="224"/>
      <c r="AW13" s="224"/>
      <c r="AX13" s="224"/>
      <c r="AY13" s="1005">
        <v>5.3162635477149321E-4</v>
      </c>
      <c r="AZ13" s="1009">
        <f>[2]Primärenergiebedarf!D46</f>
        <v>1253.165</v>
      </c>
      <c r="BA13" s="1010">
        <f>Primärenergiebedarf!J10/1000</f>
        <v>0</v>
      </c>
    </row>
    <row r="14" spans="2:54" x14ac:dyDescent="0.35">
      <c r="B14" s="219" t="s">
        <v>1427</v>
      </c>
      <c r="C14" s="241"/>
      <c r="D14" s="247"/>
      <c r="E14" s="241"/>
      <c r="F14" s="247"/>
      <c r="G14" s="247"/>
      <c r="H14" s="247"/>
      <c r="I14" s="241"/>
      <c r="J14" s="247">
        <f>67*0.278</f>
        <v>18.626000000000001</v>
      </c>
      <c r="K14" s="247">
        <f>67*0.278</f>
        <v>18.626000000000001</v>
      </c>
      <c r="L14" s="241">
        <f>90*0.278</f>
        <v>25.020000000000003</v>
      </c>
      <c r="M14" s="241">
        <f>90*0.278</f>
        <v>25.020000000000003</v>
      </c>
      <c r="N14" s="241">
        <f>90*0.278</f>
        <v>25.020000000000003</v>
      </c>
      <c r="O14" s="240"/>
      <c r="P14" s="232">
        <v>21</v>
      </c>
      <c r="Q14" s="233"/>
      <c r="R14" s="233"/>
      <c r="S14" s="234"/>
      <c r="T14" s="233"/>
      <c r="U14" s="233"/>
      <c r="V14" s="233"/>
      <c r="W14" s="918"/>
      <c r="X14" s="918"/>
      <c r="Y14" s="249"/>
      <c r="Z14" s="249"/>
      <c r="AA14" s="928"/>
      <c r="AB14" s="248"/>
      <c r="AC14" s="248"/>
      <c r="AV14" s="224"/>
      <c r="AW14" s="224"/>
      <c r="AX14" s="224"/>
      <c r="AY14" s="1005">
        <v>24.057034959489709</v>
      </c>
      <c r="AZ14" s="1009"/>
      <c r="BA14" s="1010">
        <f>Primärenergiebedarf!J17/1000</f>
        <v>0</v>
      </c>
    </row>
    <row r="15" spans="2:54" x14ac:dyDescent="0.35">
      <c r="B15" s="219" t="s">
        <v>1209</v>
      </c>
      <c r="C15" s="241">
        <v>293</v>
      </c>
      <c r="D15" s="247"/>
      <c r="E15" s="241"/>
      <c r="F15" s="247"/>
      <c r="G15" s="247"/>
      <c r="H15" s="247"/>
      <c r="I15" s="241">
        <v>590</v>
      </c>
      <c r="J15" s="247">
        <f>1482*0.278</f>
        <v>411.99600000000004</v>
      </c>
      <c r="K15" s="247">
        <f>1506*0.278</f>
        <v>418.66800000000006</v>
      </c>
      <c r="L15" s="241">
        <f>890*0.278</f>
        <v>247.42000000000002</v>
      </c>
      <c r="M15" s="241">
        <f>1237*0.278</f>
        <v>343.88600000000002</v>
      </c>
      <c r="N15" s="241">
        <f>1107*0.278</f>
        <v>307.74600000000004</v>
      </c>
      <c r="O15" s="240"/>
      <c r="P15" s="232">
        <v>331</v>
      </c>
      <c r="Q15" s="233"/>
      <c r="R15" s="233"/>
      <c r="S15" s="234"/>
      <c r="T15" s="233"/>
      <c r="U15" s="233"/>
      <c r="V15" s="233"/>
      <c r="W15" s="918"/>
      <c r="X15" s="918"/>
      <c r="Y15" s="249"/>
      <c r="Z15" s="249"/>
      <c r="AA15" s="928"/>
      <c r="AB15" s="248"/>
      <c r="AC15" s="248"/>
      <c r="AV15" s="224"/>
      <c r="AW15" s="224"/>
      <c r="AX15" s="224"/>
      <c r="AY15" s="1005">
        <v>428.15452326114411</v>
      </c>
      <c r="BA15" s="1010">
        <f>(Primärenergiebedarf!J18+Primärenergiebedarf!J19+Primärenergiebedarf!J20)/1000</f>
        <v>0</v>
      </c>
    </row>
    <row r="16" spans="2:54" x14ac:dyDescent="0.35">
      <c r="B16" s="219" t="s">
        <v>1441</v>
      </c>
      <c r="C16" s="241"/>
      <c r="D16" s="247"/>
      <c r="E16" s="241"/>
      <c r="F16" s="247"/>
      <c r="G16" s="247"/>
      <c r="H16" s="247"/>
      <c r="I16" s="241"/>
      <c r="J16" s="247">
        <f>516*0.278</f>
        <v>143.44800000000001</v>
      </c>
      <c r="K16" s="247">
        <f>751*0.278</f>
        <v>208.77800000000002</v>
      </c>
      <c r="L16" s="241">
        <f>1017*0.278</f>
        <v>282.726</v>
      </c>
      <c r="M16" s="241">
        <f>1239*0.278</f>
        <v>344.44200000000001</v>
      </c>
      <c r="N16" s="241">
        <f>2057*0.278</f>
        <v>571.846</v>
      </c>
      <c r="O16" s="240"/>
      <c r="P16" s="232">
        <v>325</v>
      </c>
      <c r="Q16" s="233"/>
      <c r="R16" s="233"/>
      <c r="S16" s="234"/>
      <c r="T16" s="233"/>
      <c r="U16" s="233"/>
      <c r="V16" s="233"/>
      <c r="W16" s="918"/>
      <c r="X16" s="918"/>
      <c r="Y16" s="249"/>
      <c r="Z16" s="249"/>
      <c r="AA16" s="928"/>
      <c r="AB16" s="248"/>
      <c r="AC16" s="248"/>
      <c r="AV16" s="224"/>
      <c r="AW16" s="224"/>
      <c r="AX16" s="224"/>
      <c r="AY16" s="1005">
        <v>709.95508630547397</v>
      </c>
      <c r="BA16" s="1010">
        <f>(Primärenergiebedarf!J21+Primärenergiebedarf!J22)/1000</f>
        <v>0</v>
      </c>
    </row>
    <row r="17" spans="2:53" x14ac:dyDescent="0.35">
      <c r="B17" s="219" t="s">
        <v>1440</v>
      </c>
      <c r="C17" s="241"/>
      <c r="D17" s="247"/>
      <c r="E17" s="241"/>
      <c r="F17" s="247"/>
      <c r="G17" s="247"/>
      <c r="H17" s="247"/>
      <c r="I17" s="241"/>
      <c r="J17" s="247">
        <f>242*0.278</f>
        <v>67.27600000000001</v>
      </c>
      <c r="K17" s="247">
        <f>263*0.278</f>
        <v>73.114000000000004</v>
      </c>
      <c r="L17" s="241">
        <f>361*0.278</f>
        <v>100.358</v>
      </c>
      <c r="M17" s="241">
        <f>732*0.278</f>
        <v>203.49600000000001</v>
      </c>
      <c r="N17" s="241">
        <f>790*0.278</f>
        <v>219.62000000000003</v>
      </c>
      <c r="O17" s="240"/>
      <c r="P17" s="232">
        <v>145</v>
      </c>
      <c r="Q17" s="233"/>
      <c r="R17" s="233"/>
      <c r="S17" s="234"/>
      <c r="T17" s="233"/>
      <c r="U17" s="233"/>
      <c r="V17" s="233"/>
      <c r="W17" s="918"/>
      <c r="X17" s="918"/>
      <c r="Y17" s="249"/>
      <c r="Z17" s="249"/>
      <c r="AA17" s="928"/>
      <c r="AB17" s="248"/>
      <c r="AC17" s="248"/>
      <c r="AV17" s="224"/>
      <c r="AW17" s="224"/>
      <c r="AX17" s="224"/>
      <c r="AY17" s="1005">
        <v>469.62923549677026</v>
      </c>
      <c r="BA17" s="1010">
        <f>Primärenergiebedarf!J23/1000</f>
        <v>0</v>
      </c>
    </row>
    <row r="18" spans="2:53" x14ac:dyDescent="0.35">
      <c r="B18" s="219" t="s">
        <v>1208</v>
      </c>
      <c r="C18" s="241">
        <v>58</v>
      </c>
      <c r="D18" s="247"/>
      <c r="E18" s="241"/>
      <c r="F18" s="247"/>
      <c r="G18" s="247"/>
      <c r="H18" s="247"/>
      <c r="I18" s="241">
        <v>50</v>
      </c>
      <c r="J18" s="247">
        <f>166*0.278</f>
        <v>46.148000000000003</v>
      </c>
      <c r="K18" s="247">
        <f>152*0.278</f>
        <v>42.256</v>
      </c>
      <c r="L18" s="241">
        <f>285*0.278</f>
        <v>79.23</v>
      </c>
      <c r="M18" s="241">
        <f>153*0.278</f>
        <v>42.534000000000006</v>
      </c>
      <c r="N18" s="241">
        <f>140*0.278</f>
        <v>38.92</v>
      </c>
      <c r="O18" s="240"/>
      <c r="P18" s="232"/>
      <c r="Q18" s="233"/>
      <c r="R18" s="233"/>
      <c r="S18" s="234"/>
      <c r="T18" s="233"/>
      <c r="U18" s="233"/>
      <c r="V18" s="233"/>
      <c r="W18" s="918"/>
      <c r="X18" s="918"/>
      <c r="Y18" s="249"/>
      <c r="Z18" s="249"/>
      <c r="AA18" s="928"/>
      <c r="AB18" s="248"/>
      <c r="AC18" s="248"/>
      <c r="AV18" s="224"/>
      <c r="AW18" s="224"/>
      <c r="AX18" s="224"/>
      <c r="AY18" s="1005">
        <v>48.815975999999985</v>
      </c>
      <c r="BA18" s="1010">
        <f>Primärenergiebedarf!J24/1000</f>
        <v>0</v>
      </c>
    </row>
    <row r="19" spans="2:53" x14ac:dyDescent="0.35">
      <c r="B19" s="219" t="s">
        <v>1439</v>
      </c>
      <c r="C19" s="241"/>
      <c r="D19" s="247"/>
      <c r="E19" s="241"/>
      <c r="F19" s="247"/>
      <c r="G19" s="247"/>
      <c r="H19" s="247"/>
      <c r="I19" s="241">
        <v>10</v>
      </c>
      <c r="J19" s="247"/>
      <c r="K19" s="247"/>
      <c r="L19" s="241"/>
      <c r="M19" s="241"/>
      <c r="N19" s="241"/>
      <c r="O19" s="240"/>
      <c r="P19" s="232">
        <v>83</v>
      </c>
      <c r="Q19" s="233"/>
      <c r="R19" s="233"/>
      <c r="S19" s="234"/>
      <c r="T19" s="233"/>
      <c r="U19" s="233"/>
      <c r="V19" s="233"/>
      <c r="W19" s="918"/>
      <c r="X19" s="918"/>
      <c r="Y19" s="249"/>
      <c r="Z19" s="249"/>
      <c r="AA19" s="928"/>
      <c r="AB19" s="248"/>
      <c r="AC19" s="248"/>
      <c r="AV19" s="224"/>
      <c r="AW19" s="224"/>
      <c r="AX19" s="224"/>
      <c r="AY19" s="1005">
        <v>1.442725693094157</v>
      </c>
      <c r="BA19" s="1010">
        <f>Primärenergiebedarf!J25/1000</f>
        <v>0</v>
      </c>
    </row>
    <row r="20" spans="2:53" x14ac:dyDescent="0.35">
      <c r="B20" s="219" t="s">
        <v>2021</v>
      </c>
      <c r="C20" s="241">
        <v>106</v>
      </c>
      <c r="D20" s="247">
        <f>0.494*D25</f>
        <v>1117.607816</v>
      </c>
      <c r="E20" s="241"/>
      <c r="F20" s="247">
        <f>3840*0.278</f>
        <v>1067.52</v>
      </c>
      <c r="G20" s="247"/>
      <c r="H20" s="247"/>
      <c r="I20" s="241">
        <v>950</v>
      </c>
      <c r="J20" s="247"/>
      <c r="K20" s="247"/>
      <c r="L20" s="241"/>
      <c r="M20" s="241"/>
      <c r="N20" s="241"/>
      <c r="O20" s="240"/>
      <c r="P20" s="232"/>
      <c r="Q20" s="233">
        <v>577</v>
      </c>
      <c r="R20" s="233">
        <v>882</v>
      </c>
      <c r="S20" s="234"/>
      <c r="T20" s="233">
        <v>721</v>
      </c>
      <c r="U20" s="233">
        <v>1110</v>
      </c>
      <c r="V20" s="233">
        <v>999</v>
      </c>
      <c r="W20" s="918">
        <v>1139</v>
      </c>
      <c r="X20" s="918">
        <v>1029</v>
      </c>
      <c r="Y20" s="249"/>
      <c r="Z20" s="249"/>
      <c r="AA20" s="928"/>
      <c r="AB20" s="248"/>
      <c r="AC20" s="248"/>
      <c r="AV20" s="224"/>
      <c r="AW20" s="224"/>
      <c r="AX20" s="224"/>
      <c r="AY20" s="1005"/>
      <c r="AZ20" s="1009">
        <f>[2]Primärenergiebedarf!D48</f>
        <v>526.69583333333333</v>
      </c>
      <c r="BA20" s="1010"/>
    </row>
    <row r="21" spans="2:53" x14ac:dyDescent="0.35">
      <c r="B21" s="219" t="s">
        <v>1760</v>
      </c>
      <c r="C21" s="241">
        <v>-32</v>
      </c>
      <c r="D21" s="247"/>
      <c r="E21" s="241"/>
      <c r="F21" s="247"/>
      <c r="G21" s="247"/>
      <c r="H21" s="247"/>
      <c r="I21" s="241"/>
      <c r="J21" s="247">
        <f>-191*0.278</f>
        <v>-53.098000000000006</v>
      </c>
      <c r="K21" s="247">
        <f>-28*0.278</f>
        <v>-7.7840000000000007</v>
      </c>
      <c r="L21" s="241">
        <f>170*0.278</f>
        <v>47.260000000000005</v>
      </c>
      <c r="M21" s="241">
        <f>238*0.278</f>
        <v>66.164000000000001</v>
      </c>
      <c r="N21" s="241">
        <f>29*0.278</f>
        <v>8.0620000000000012</v>
      </c>
      <c r="O21" s="240"/>
      <c r="P21" s="232"/>
      <c r="Q21" s="233">
        <v>67</v>
      </c>
      <c r="R21" s="233">
        <v>105</v>
      </c>
      <c r="S21" s="234"/>
      <c r="T21" s="233">
        <v>-44</v>
      </c>
      <c r="U21" s="233">
        <v>15</v>
      </c>
      <c r="V21" s="233">
        <v>-22</v>
      </c>
      <c r="W21" s="918">
        <v>136</v>
      </c>
      <c r="X21" s="918">
        <v>-29</v>
      </c>
      <c r="Y21" s="249"/>
      <c r="Z21" s="249"/>
      <c r="AA21" s="928"/>
      <c r="AB21" s="248"/>
      <c r="AC21" s="248"/>
      <c r="AV21" s="224"/>
      <c r="AW21" s="224"/>
      <c r="AX21" s="224"/>
      <c r="AY21" s="1005">
        <v>72.227554185041882</v>
      </c>
      <c r="AZ21" s="1009">
        <f>[2]Primärenergiebedarf!D50</f>
        <v>-32.668055555555561</v>
      </c>
      <c r="BA21" s="1010" t="e">
        <f>Primärenergiebedarf!J26/1000</f>
        <v>#N/A</v>
      </c>
    </row>
    <row r="22" spans="2:53" x14ac:dyDescent="0.35">
      <c r="B22" s="219" t="s">
        <v>1758</v>
      </c>
      <c r="C22" s="241">
        <v>0</v>
      </c>
      <c r="D22" s="247"/>
      <c r="E22" s="241"/>
      <c r="F22" s="247"/>
      <c r="G22" s="247"/>
      <c r="H22" s="247"/>
      <c r="I22" s="241"/>
      <c r="J22" s="247">
        <v>0</v>
      </c>
      <c r="K22" s="247">
        <v>0</v>
      </c>
      <c r="L22" s="241">
        <v>0</v>
      </c>
      <c r="M22" s="241">
        <v>0</v>
      </c>
      <c r="N22" s="241">
        <f>143*0.278</f>
        <v>39.754000000000005</v>
      </c>
      <c r="O22" s="240"/>
      <c r="P22" s="232"/>
      <c r="Q22" s="233"/>
      <c r="R22" s="233"/>
      <c r="S22" s="234"/>
      <c r="T22" s="233">
        <v>0</v>
      </c>
      <c r="U22" s="233">
        <v>25</v>
      </c>
      <c r="V22" s="233">
        <v>152</v>
      </c>
      <c r="W22" s="918">
        <v>396</v>
      </c>
      <c r="X22" s="918">
        <v>744</v>
      </c>
      <c r="Y22" s="249"/>
      <c r="Z22" s="249"/>
      <c r="AA22" s="928"/>
      <c r="AB22" s="248"/>
      <c r="AC22" s="248"/>
      <c r="AV22" s="224"/>
      <c r="AW22" s="224"/>
      <c r="AX22" s="224"/>
      <c r="AY22" s="1005">
        <v>111.39623878301774</v>
      </c>
      <c r="BA22" s="1010" t="e">
        <f>Primärenergiebedarf!J27/1000</f>
        <v>#N/A</v>
      </c>
    </row>
    <row r="23" spans="2:53" x14ac:dyDescent="0.35">
      <c r="B23" s="219" t="s">
        <v>1759</v>
      </c>
      <c r="C23" s="241">
        <v>0</v>
      </c>
      <c r="D23" s="247"/>
      <c r="E23" s="241"/>
      <c r="F23" s="247"/>
      <c r="G23" s="247"/>
      <c r="H23" s="247"/>
      <c r="I23" s="241"/>
      <c r="J23" s="247">
        <v>0</v>
      </c>
      <c r="K23" s="247">
        <v>0</v>
      </c>
      <c r="L23" s="241">
        <v>0</v>
      </c>
      <c r="M23" s="241">
        <v>0</v>
      </c>
      <c r="N23" s="241">
        <v>0</v>
      </c>
      <c r="O23" s="240"/>
      <c r="P23" s="232"/>
      <c r="Q23" s="233"/>
      <c r="R23" s="233"/>
      <c r="S23" s="234"/>
      <c r="T23" s="233"/>
      <c r="U23" s="233"/>
      <c r="V23" s="233"/>
      <c r="W23" s="918"/>
      <c r="X23" s="918"/>
      <c r="Y23" s="249"/>
      <c r="Z23" s="249"/>
      <c r="AA23" s="928"/>
      <c r="AB23" s="248"/>
      <c r="AC23" s="248"/>
      <c r="AV23" s="224"/>
      <c r="AW23" s="224"/>
      <c r="AX23" s="224"/>
      <c r="AY23" s="1005">
        <v>195.91568708967151</v>
      </c>
      <c r="BA23" s="1010" t="e">
        <f>Primärenergiebedarf!J28/1000</f>
        <v>#N/A</v>
      </c>
    </row>
    <row r="24" spans="2:53" x14ac:dyDescent="0.35">
      <c r="B24" s="219" t="s">
        <v>1656</v>
      </c>
      <c r="C24" s="241"/>
      <c r="D24" s="247"/>
      <c r="E24" s="241"/>
      <c r="F24" s="247"/>
      <c r="G24" s="247"/>
      <c r="H24" s="247"/>
      <c r="I24" s="241"/>
      <c r="J24" s="247">
        <f>210*0.278</f>
        <v>58.38</v>
      </c>
      <c r="K24" s="247">
        <f>299*0.278</f>
        <v>83.122000000000014</v>
      </c>
      <c r="L24" s="241">
        <f>1000*0.278</f>
        <v>278</v>
      </c>
      <c r="M24" s="241">
        <f>947*0.278</f>
        <v>263.26600000000002</v>
      </c>
      <c r="N24" s="241">
        <f>980*0.278</f>
        <v>272.44</v>
      </c>
      <c r="O24" s="240"/>
      <c r="P24" s="232">
        <v>108</v>
      </c>
      <c r="Q24" s="233">
        <v>46</v>
      </c>
      <c r="R24" s="233">
        <v>25</v>
      </c>
      <c r="S24" s="234"/>
      <c r="T24" s="233">
        <f>T25-SUM(T9:T23)</f>
        <v>56</v>
      </c>
      <c r="U24" s="233">
        <f>U25-SUM(U9:U23)</f>
        <v>34</v>
      </c>
      <c r="V24" s="233">
        <f>V25-SUM(V9:V23)</f>
        <v>40</v>
      </c>
      <c r="W24" s="918">
        <f>W25-SUM(W9:W23)</f>
        <v>8</v>
      </c>
      <c r="X24" s="918">
        <f>X25-SUM(X9:X23)</f>
        <v>13</v>
      </c>
      <c r="Y24" s="249"/>
      <c r="Z24" s="249"/>
      <c r="AA24" s="928"/>
      <c r="AB24" s="248"/>
      <c r="AC24" s="248"/>
      <c r="AV24" s="224"/>
      <c r="AW24" s="224"/>
      <c r="AX24" s="224"/>
      <c r="AY24" s="1005"/>
      <c r="AZ24" s="1009">
        <f>[2]Primärenergiebedarf!D49</f>
        <v>59.505833333333335</v>
      </c>
      <c r="BA24" s="1010"/>
    </row>
    <row r="25" spans="2:53" x14ac:dyDescent="0.35">
      <c r="B25" s="229" t="s">
        <v>1229</v>
      </c>
      <c r="C25" s="241">
        <v>3597</v>
      </c>
      <c r="D25" s="247">
        <f>8138*0.278</f>
        <v>2262.364</v>
      </c>
      <c r="E25" s="241"/>
      <c r="F25" s="247">
        <f>7267*0.278</f>
        <v>2020.2260000000001</v>
      </c>
      <c r="G25" s="247"/>
      <c r="H25" s="247"/>
      <c r="I25" s="241">
        <v>1700</v>
      </c>
      <c r="J25" s="247">
        <f>10469*0.278</f>
        <v>2910.3820000000001</v>
      </c>
      <c r="K25" s="247">
        <f>8356*0.278</f>
        <v>2322.9680000000003</v>
      </c>
      <c r="L25" s="241">
        <f>8807*0.278</f>
        <v>2448.346</v>
      </c>
      <c r="M25" s="241">
        <f>6534*0.278</f>
        <v>1816.4520000000002</v>
      </c>
      <c r="N25" s="241">
        <f>5936*0.278</f>
        <v>1650.2080000000001</v>
      </c>
      <c r="O25" s="240"/>
      <c r="P25" s="232">
        <f>SUM(P9:P24)</f>
        <v>1737</v>
      </c>
      <c r="Q25" s="233">
        <f>SUM(Q9:Q24)</f>
        <v>2574</v>
      </c>
      <c r="R25" s="233">
        <f>SUM(R9:R24)</f>
        <v>1924</v>
      </c>
      <c r="S25" s="234"/>
      <c r="T25" s="233">
        <v>2484</v>
      </c>
      <c r="U25" s="233">
        <v>2007</v>
      </c>
      <c r="V25" s="233">
        <v>2069</v>
      </c>
      <c r="W25" s="918">
        <v>1861</v>
      </c>
      <c r="X25" s="918">
        <v>2007</v>
      </c>
      <c r="Y25" s="249"/>
      <c r="Z25" s="249"/>
      <c r="AA25" s="928"/>
      <c r="AB25" s="248"/>
      <c r="AC25" s="248"/>
      <c r="AV25" s="224"/>
      <c r="AW25" s="224"/>
      <c r="AX25" s="224"/>
      <c r="AY25" s="1005">
        <v>2073.4745935849569</v>
      </c>
      <c r="AZ25" s="1009">
        <f>SUM(AZ9:AZ24)</f>
        <v>3549.7480555555558</v>
      </c>
      <c r="BA25" s="1010" t="e">
        <f>SUM(BA9:BA23)</f>
        <v>#N/A</v>
      </c>
    </row>
    <row r="26" spans="2:53" x14ac:dyDescent="0.35">
      <c r="B26" s="229"/>
      <c r="C26" s="241"/>
      <c r="D26" s="247"/>
      <c r="E26" s="241"/>
      <c r="F26" s="247"/>
      <c r="G26" s="247"/>
      <c r="H26" s="247"/>
      <c r="I26" s="241"/>
      <c r="J26" s="247"/>
      <c r="K26" s="247"/>
      <c r="L26" s="241"/>
      <c r="M26" s="241"/>
      <c r="N26" s="241"/>
      <c r="O26" s="240"/>
      <c r="P26" s="232"/>
      <c r="Q26" s="233"/>
      <c r="R26" s="233"/>
      <c r="S26" s="234"/>
      <c r="T26" s="233"/>
      <c r="U26" s="233"/>
      <c r="V26" s="233"/>
      <c r="W26" s="918"/>
      <c r="X26" s="918"/>
      <c r="Y26" s="249"/>
      <c r="Z26" s="249"/>
      <c r="AA26" s="928"/>
      <c r="AB26" s="248"/>
      <c r="AC26" s="248"/>
      <c r="AV26" s="224"/>
      <c r="AW26" s="224"/>
      <c r="AX26" s="224"/>
      <c r="AY26" s="1005"/>
      <c r="BA26" s="228"/>
    </row>
    <row r="27" spans="2:53" x14ac:dyDescent="0.35">
      <c r="B27" s="229" t="s">
        <v>1652</v>
      </c>
      <c r="C27" s="241"/>
      <c r="D27" s="247"/>
      <c r="E27" s="241"/>
      <c r="F27" s="247"/>
      <c r="G27" s="247"/>
      <c r="H27" s="247"/>
      <c r="I27" s="241"/>
      <c r="J27" s="247"/>
      <c r="K27" s="247"/>
      <c r="L27" s="241"/>
      <c r="M27" s="241"/>
      <c r="N27" s="241"/>
      <c r="O27" s="240"/>
      <c r="P27" s="232"/>
      <c r="Q27" s="233"/>
      <c r="R27" s="233"/>
      <c r="S27" s="234"/>
      <c r="T27" s="233"/>
      <c r="U27" s="233"/>
      <c r="V27" s="233"/>
      <c r="W27" s="918"/>
      <c r="X27" s="918"/>
      <c r="Y27" s="249"/>
      <c r="Z27" s="249"/>
      <c r="AA27" s="928"/>
      <c r="AB27" s="248"/>
      <c r="AC27" s="248"/>
      <c r="AV27" s="224"/>
      <c r="AW27" s="224"/>
      <c r="AX27" s="224"/>
      <c r="AY27" s="1005"/>
      <c r="BA27" s="228"/>
    </row>
    <row r="28" spans="2:53" x14ac:dyDescent="0.35">
      <c r="B28" s="219" t="s">
        <v>1594</v>
      </c>
      <c r="C28" s="241"/>
      <c r="D28" s="247"/>
      <c r="E28" s="241"/>
      <c r="F28" s="247"/>
      <c r="G28" s="247"/>
      <c r="H28" s="247"/>
      <c r="I28" s="241"/>
      <c r="J28" s="247"/>
      <c r="K28" s="247"/>
      <c r="L28" s="241"/>
      <c r="M28" s="241"/>
      <c r="N28" s="241"/>
      <c r="O28" s="240"/>
      <c r="P28" s="232"/>
      <c r="Q28" s="233"/>
      <c r="R28" s="233"/>
      <c r="S28" s="234"/>
      <c r="T28" s="233"/>
      <c r="U28" s="233"/>
      <c r="V28" s="233"/>
      <c r="W28" s="918"/>
      <c r="X28" s="918"/>
      <c r="Y28" s="249"/>
      <c r="Z28" s="249"/>
      <c r="AA28" s="928"/>
      <c r="AB28" s="248"/>
      <c r="AC28" s="248"/>
      <c r="AV28" s="224"/>
      <c r="AW28" s="224"/>
      <c r="AX28" s="224"/>
      <c r="AY28" s="1005"/>
      <c r="BA28" s="228"/>
    </row>
    <row r="29" spans="2:53" x14ac:dyDescent="0.35">
      <c r="B29" s="219" t="s">
        <v>2024</v>
      </c>
      <c r="C29" s="238">
        <f>C35*3.6</f>
        <v>4021.2000000000003</v>
      </c>
      <c r="D29" s="251"/>
      <c r="E29" s="252">
        <f>E35/0.278</f>
        <v>992.80575539568338</v>
      </c>
      <c r="F29" s="253">
        <v>2000</v>
      </c>
      <c r="G29" s="251"/>
      <c r="H29" s="251"/>
      <c r="I29" s="254">
        <f>I35/0.278</f>
        <v>3057.5539568345321</v>
      </c>
      <c r="J29" s="239"/>
      <c r="K29" s="239">
        <f>1471+865</f>
        <v>2336</v>
      </c>
      <c r="L29" s="238"/>
      <c r="M29" s="238">
        <f>1325+771</f>
        <v>2096</v>
      </c>
      <c r="N29" s="238">
        <f>1121+618</f>
        <v>1739</v>
      </c>
      <c r="O29" s="240"/>
      <c r="P29" s="232"/>
      <c r="Q29" s="251">
        <f t="shared" ref="Q29:R31" si="0">Q35*3.6</f>
        <v>2692.8</v>
      </c>
      <c r="R29" s="251">
        <f t="shared" si="0"/>
        <v>1951.2</v>
      </c>
      <c r="S29" s="256">
        <f>S35/0.278</f>
        <v>1996.4028776978416</v>
      </c>
      <c r="T29" s="233">
        <f>T35*3.6</f>
        <v>2361.6</v>
      </c>
      <c r="U29" s="233">
        <f>U35*3.6</f>
        <v>1378.8</v>
      </c>
      <c r="V29" s="233">
        <f>V35*3.6</f>
        <v>1915.2</v>
      </c>
      <c r="W29" s="918">
        <f>W35*3.6</f>
        <v>1303.2</v>
      </c>
      <c r="X29" s="918">
        <f>X35*3.6</f>
        <v>1882.8</v>
      </c>
      <c r="Y29" s="252">
        <f t="shared" ref="Y29:AA31" si="1">Y35*3.6</f>
        <v>2869.2000000000003</v>
      </c>
      <c r="Z29" s="252">
        <f t="shared" si="1"/>
        <v>2365.2000000000003</v>
      </c>
      <c r="AA29" s="932">
        <f t="shared" si="1"/>
        <v>2228.4</v>
      </c>
      <c r="AB29" s="255">
        <f t="shared" ref="AB29:AC31" si="2">AB35/0.278</f>
        <v>1726.6187050359711</v>
      </c>
      <c r="AC29" s="255">
        <f t="shared" si="2"/>
        <v>1877.6978417266184</v>
      </c>
      <c r="AD29" s="933"/>
      <c r="AE29" s="933"/>
      <c r="AF29" s="934"/>
      <c r="AG29" s="934"/>
      <c r="AH29" s="934"/>
      <c r="AI29" s="934"/>
      <c r="AJ29" s="1011"/>
      <c r="AK29" s="934"/>
      <c r="AL29" s="934"/>
      <c r="AM29" s="934"/>
      <c r="AN29" s="935"/>
      <c r="AO29" s="1011">
        <v>2384</v>
      </c>
      <c r="AP29" s="1011"/>
      <c r="AQ29" s="1011"/>
      <c r="AR29" s="1011"/>
      <c r="AS29" s="1011"/>
      <c r="AT29" s="1011"/>
      <c r="AU29" s="1011"/>
      <c r="AV29" s="224">
        <v>1786.2828063774466</v>
      </c>
      <c r="AW29" s="224"/>
      <c r="AX29" s="224"/>
      <c r="AY29" s="1005">
        <v>1886.1988430532722</v>
      </c>
      <c r="BA29" s="226" t="e">
        <f>'Endenergiebedarf nach Sektor'!J32+'Endenergiebedarf nach Sektor'!J33</f>
        <v>#DIV/0!</v>
      </c>
    </row>
    <row r="30" spans="2:53" x14ac:dyDescent="0.35">
      <c r="B30" s="219" t="s">
        <v>1166</v>
      </c>
      <c r="C30" s="238">
        <f>C36*3.6</f>
        <v>2552.4</v>
      </c>
      <c r="D30" s="251"/>
      <c r="E30" s="252">
        <f>E36/0.278</f>
        <v>1791.3669064748199</v>
      </c>
      <c r="F30" s="253">
        <v>1600</v>
      </c>
      <c r="G30" s="251"/>
      <c r="H30" s="251"/>
      <c r="I30" s="254">
        <f>I36/0.278</f>
        <v>3597.1223021582732</v>
      </c>
      <c r="J30" s="239"/>
      <c r="K30" s="239">
        <v>2155</v>
      </c>
      <c r="L30" s="238"/>
      <c r="M30" s="238">
        <v>1756</v>
      </c>
      <c r="N30" s="238">
        <v>1440</v>
      </c>
      <c r="O30" s="240"/>
      <c r="P30" s="232"/>
      <c r="Q30" s="251">
        <f t="shared" si="0"/>
        <v>2271.6</v>
      </c>
      <c r="R30" s="251">
        <f t="shared" si="0"/>
        <v>1944</v>
      </c>
      <c r="S30" s="256">
        <f>S36/0.278</f>
        <v>2712.2302158273378</v>
      </c>
      <c r="T30" s="233">
        <f t="shared" ref="T30:V31" si="3">T36*3.6</f>
        <v>2934</v>
      </c>
      <c r="U30" s="233">
        <f t="shared" si="3"/>
        <v>3013.2000000000003</v>
      </c>
      <c r="V30" s="233">
        <f t="shared" si="3"/>
        <v>2667.6</v>
      </c>
      <c r="W30" s="918">
        <f>W36*3.6</f>
        <v>2811.6</v>
      </c>
      <c r="X30" s="918">
        <f>X36*3.6</f>
        <v>2422.8000000000002</v>
      </c>
      <c r="Y30" s="252">
        <f t="shared" si="1"/>
        <v>2408.4</v>
      </c>
      <c r="Z30" s="252">
        <f t="shared" si="1"/>
        <v>2012.4</v>
      </c>
      <c r="AA30" s="932">
        <f t="shared" si="1"/>
        <v>2088</v>
      </c>
      <c r="AB30" s="255">
        <f t="shared" si="2"/>
        <v>2996.4028776978416</v>
      </c>
      <c r="AC30" s="255">
        <f t="shared" si="2"/>
        <v>2996.4028776978416</v>
      </c>
      <c r="AD30" s="933"/>
      <c r="AE30" s="933"/>
      <c r="AF30" s="934"/>
      <c r="AG30" s="934"/>
      <c r="AH30" s="934"/>
      <c r="AI30" s="934"/>
      <c r="AJ30" s="1011"/>
      <c r="AK30" s="934"/>
      <c r="AL30" s="934"/>
      <c r="AM30" s="934"/>
      <c r="AN30" s="935"/>
      <c r="AO30" s="1011">
        <v>2165</v>
      </c>
      <c r="AP30" s="1011"/>
      <c r="AQ30" s="1011"/>
      <c r="AR30" s="1011"/>
      <c r="AS30" s="1011"/>
      <c r="AT30" s="1011"/>
      <c r="AU30" s="1011"/>
      <c r="AV30" s="224">
        <v>3938.7233131612038</v>
      </c>
      <c r="AW30" s="224"/>
      <c r="AX30" s="224"/>
      <c r="AY30" s="1005">
        <v>3463.7936885076247</v>
      </c>
      <c r="BA30" s="226" t="e">
        <f>'Endenergiebedarf nach Sektor'!J34</f>
        <v>#N/A</v>
      </c>
    </row>
    <row r="31" spans="2:53" x14ac:dyDescent="0.35">
      <c r="B31" s="219" t="s">
        <v>1165</v>
      </c>
      <c r="C31" s="238">
        <f>C37*3.6</f>
        <v>2613.6</v>
      </c>
      <c r="D31" s="251"/>
      <c r="E31" s="254">
        <f>E37/0.278</f>
        <v>257.91366906474821</v>
      </c>
      <c r="F31" s="253">
        <v>1500</v>
      </c>
      <c r="G31" s="251"/>
      <c r="H31" s="251"/>
      <c r="I31" s="254">
        <f>I37/0.278</f>
        <v>1187.0503597122301</v>
      </c>
      <c r="J31" s="239"/>
      <c r="K31" s="239">
        <v>1904</v>
      </c>
      <c r="L31" s="238"/>
      <c r="M31" s="238">
        <v>1016</v>
      </c>
      <c r="N31" s="238">
        <v>809</v>
      </c>
      <c r="O31" s="240"/>
      <c r="P31" s="232"/>
      <c r="Q31" s="251">
        <f t="shared" si="0"/>
        <v>2160</v>
      </c>
      <c r="R31" s="251">
        <f t="shared" si="0"/>
        <v>1440</v>
      </c>
      <c r="S31" s="256">
        <f>S37/0.278</f>
        <v>1075.5395683453237</v>
      </c>
      <c r="T31" s="233">
        <f t="shared" si="3"/>
        <v>1692</v>
      </c>
      <c r="U31" s="233">
        <f t="shared" si="3"/>
        <v>1191.6000000000001</v>
      </c>
      <c r="V31" s="233">
        <f t="shared" si="3"/>
        <v>1443.6000000000001</v>
      </c>
      <c r="W31" s="918">
        <f>W37*3.6</f>
        <v>1191.6000000000001</v>
      </c>
      <c r="X31" s="918">
        <f>X37*3.6</f>
        <v>1443.6000000000001</v>
      </c>
      <c r="Y31" s="252">
        <f t="shared" si="1"/>
        <v>2066.4</v>
      </c>
      <c r="Z31" s="252">
        <f t="shared" si="1"/>
        <v>1587.6000000000001</v>
      </c>
      <c r="AA31" s="932">
        <f>AA37*3.6</f>
        <v>1404</v>
      </c>
      <c r="AB31" s="255">
        <f t="shared" si="2"/>
        <v>1219.4244604316546</v>
      </c>
      <c r="AC31" s="255">
        <f t="shared" si="2"/>
        <v>1460.4316546762589</v>
      </c>
      <c r="AD31" s="933"/>
      <c r="AE31" s="933"/>
      <c r="AF31" s="934"/>
      <c r="AG31" s="934"/>
      <c r="AH31" s="934"/>
      <c r="AI31" s="934"/>
      <c r="AJ31" s="1011"/>
      <c r="AK31" s="934"/>
      <c r="AL31" s="934"/>
      <c r="AM31" s="934"/>
      <c r="AN31" s="935"/>
      <c r="AO31" s="1011">
        <v>1203</v>
      </c>
      <c r="AP31" s="1011"/>
      <c r="AQ31" s="1011"/>
      <c r="AR31" s="1011"/>
      <c r="AS31" s="1011"/>
      <c r="AT31" s="1011"/>
      <c r="AU31" s="1011"/>
      <c r="AV31" s="224">
        <v>1266.55413558685</v>
      </c>
      <c r="AW31" s="224"/>
      <c r="AX31" s="224"/>
      <c r="AY31" s="1005">
        <v>1091.6776980140448</v>
      </c>
      <c r="BA31" s="226">
        <f>'Endenergiebedarf nach Sektor'!J35</f>
        <v>348.92086330935251</v>
      </c>
    </row>
    <row r="32" spans="2:53" x14ac:dyDescent="0.35">
      <c r="B32" s="219" t="s">
        <v>1408</v>
      </c>
      <c r="C32" s="238">
        <f>C38*3.6</f>
        <v>9187.2000000000007</v>
      </c>
      <c r="D32" s="251">
        <v>5944</v>
      </c>
      <c r="E32" s="252"/>
      <c r="F32" s="251">
        <v>5236</v>
      </c>
      <c r="G32" s="251"/>
      <c r="H32" s="251"/>
      <c r="I32" s="252"/>
      <c r="J32" s="239"/>
      <c r="K32" s="239"/>
      <c r="L32" s="238"/>
      <c r="M32" s="238"/>
      <c r="N32" s="238"/>
      <c r="O32" s="240"/>
      <c r="P32" s="232"/>
      <c r="Q32" s="251"/>
      <c r="R32" s="251"/>
      <c r="S32" s="256"/>
      <c r="T32" s="233"/>
      <c r="U32" s="255"/>
      <c r="V32" s="255"/>
      <c r="W32" s="936"/>
      <c r="X32" s="936"/>
      <c r="Y32" s="252"/>
      <c r="Z32" s="252"/>
      <c r="AA32" s="932"/>
      <c r="AB32" s="255"/>
      <c r="AC32" s="255"/>
      <c r="AD32" s="933"/>
      <c r="AE32" s="933"/>
      <c r="AF32" s="934"/>
      <c r="AG32" s="934"/>
      <c r="AH32" s="934"/>
      <c r="AI32" s="934"/>
      <c r="AJ32" s="1011"/>
      <c r="AK32" s="934"/>
      <c r="AL32" s="934"/>
      <c r="AM32" s="934"/>
      <c r="AN32" s="935"/>
      <c r="AO32" s="1011">
        <f>SUM(AO29:AO31)</f>
        <v>5752</v>
      </c>
      <c r="AP32" s="1011"/>
      <c r="AQ32" s="1011"/>
      <c r="AR32" s="1011"/>
      <c r="AS32" s="1011"/>
      <c r="AT32" s="1011"/>
      <c r="AU32" s="1011"/>
      <c r="AV32" s="224"/>
      <c r="AW32" s="224"/>
      <c r="AX32" s="224"/>
      <c r="AY32" s="1005">
        <v>6441.6702295749419</v>
      </c>
      <c r="BA32" s="226" t="e">
        <f>SUM(BA29:BA31)</f>
        <v>#DIV/0!</v>
      </c>
    </row>
    <row r="33" spans="1:54" x14ac:dyDescent="0.35">
      <c r="B33" s="229"/>
      <c r="C33" s="238"/>
      <c r="D33" s="251"/>
      <c r="E33" s="252"/>
      <c r="F33" s="251"/>
      <c r="G33" s="251"/>
      <c r="H33" s="251"/>
      <c r="I33" s="252"/>
      <c r="J33" s="239"/>
      <c r="K33" s="239"/>
      <c r="L33" s="238"/>
      <c r="M33" s="238"/>
      <c r="N33" s="238"/>
      <c r="O33" s="240"/>
      <c r="P33" s="232"/>
      <c r="Q33" s="251"/>
      <c r="R33" s="251"/>
      <c r="S33" s="256"/>
      <c r="T33" s="233"/>
      <c r="U33" s="255"/>
      <c r="V33" s="255"/>
      <c r="W33" s="936"/>
      <c r="X33" s="936"/>
      <c r="Y33" s="252"/>
      <c r="Z33" s="252"/>
      <c r="AA33" s="932"/>
      <c r="AB33" s="255"/>
      <c r="AC33" s="255"/>
      <c r="AD33" s="933"/>
      <c r="AE33" s="933"/>
      <c r="AF33" s="934"/>
      <c r="AG33" s="934"/>
      <c r="AH33" s="934"/>
      <c r="AI33" s="934"/>
      <c r="AJ33" s="1011"/>
      <c r="AK33" s="934"/>
      <c r="AL33" s="934"/>
      <c r="AM33" s="934"/>
      <c r="AN33" s="935"/>
      <c r="AO33" s="1011"/>
      <c r="AP33" s="1011"/>
      <c r="AQ33" s="1011"/>
      <c r="AR33" s="1011"/>
      <c r="AS33" s="1011"/>
      <c r="AT33" s="1011"/>
      <c r="AU33" s="1011"/>
      <c r="AV33" s="224"/>
      <c r="AW33" s="224"/>
      <c r="AX33" s="224"/>
      <c r="AY33" s="1005"/>
      <c r="BA33" s="228"/>
    </row>
    <row r="34" spans="1:54" x14ac:dyDescent="0.35">
      <c r="B34" s="219" t="s">
        <v>1593</v>
      </c>
      <c r="C34" s="238"/>
      <c r="D34" s="251"/>
      <c r="E34" s="252"/>
      <c r="F34" s="251"/>
      <c r="G34" s="251"/>
      <c r="H34" s="251"/>
      <c r="I34" s="252"/>
      <c r="J34" s="239"/>
      <c r="K34" s="239"/>
      <c r="L34" s="238"/>
      <c r="M34" s="238"/>
      <c r="N34" s="238"/>
      <c r="O34" s="240"/>
      <c r="P34" s="232"/>
      <c r="Q34" s="251"/>
      <c r="R34" s="251"/>
      <c r="S34" s="256"/>
      <c r="T34" s="233"/>
      <c r="U34" s="255"/>
      <c r="V34" s="255"/>
      <c r="W34" s="936"/>
      <c r="X34" s="936"/>
      <c r="Y34" s="252"/>
      <c r="Z34" s="252"/>
      <c r="AA34" s="932"/>
      <c r="AB34" s="255"/>
      <c r="AC34" s="255"/>
      <c r="AD34" s="933"/>
      <c r="AE34" s="933"/>
      <c r="AF34" s="934"/>
      <c r="AG34" s="934"/>
      <c r="AH34" s="934"/>
      <c r="AI34" s="934"/>
      <c r="AJ34" s="1011"/>
      <c r="AK34" s="934"/>
      <c r="AL34" s="934"/>
      <c r="AM34" s="934"/>
      <c r="AN34" s="935"/>
      <c r="AO34" s="1011"/>
      <c r="AP34" s="1011"/>
      <c r="AQ34" s="1011"/>
      <c r="AR34" s="1011"/>
      <c r="AS34" s="1011"/>
      <c r="AT34" s="1011"/>
      <c r="AU34" s="1011"/>
      <c r="AV34" s="224"/>
      <c r="AW34" s="224"/>
      <c r="AX34" s="224"/>
      <c r="AY34" s="1005"/>
      <c r="AZ34" s="1000" t="s">
        <v>1410</v>
      </c>
      <c r="BA34" s="228"/>
    </row>
    <row r="35" spans="1:54" x14ac:dyDescent="0.35">
      <c r="A35" s="226" t="s">
        <v>5062</v>
      </c>
      <c r="B35" s="219" t="s">
        <v>2024</v>
      </c>
      <c r="C35" s="238">
        <v>1117</v>
      </c>
      <c r="D35" s="251"/>
      <c r="E35" s="252">
        <v>276</v>
      </c>
      <c r="F35" s="251">
        <f>F29*0.278</f>
        <v>556</v>
      </c>
      <c r="G35" s="251"/>
      <c r="H35" s="251"/>
      <c r="I35" s="254">
        <v>850</v>
      </c>
      <c r="J35" s="239"/>
      <c r="K35" s="239">
        <f t="shared" ref="K35:N37" si="4">K29*0.278</f>
        <v>649.40800000000002</v>
      </c>
      <c r="L35" s="238"/>
      <c r="M35" s="238">
        <f t="shared" si="4"/>
        <v>582.6880000000001</v>
      </c>
      <c r="N35" s="238">
        <f t="shared" si="4"/>
        <v>483.44200000000006</v>
      </c>
      <c r="O35" s="240"/>
      <c r="P35" s="232"/>
      <c r="Q35" s="251">
        <v>748</v>
      </c>
      <c r="R35" s="251">
        <v>542</v>
      </c>
      <c r="S35" s="256">
        <v>555</v>
      </c>
      <c r="T35" s="233">
        <v>656</v>
      </c>
      <c r="U35" s="255">
        <v>383</v>
      </c>
      <c r="V35" s="255">
        <v>532</v>
      </c>
      <c r="W35" s="936">
        <v>362</v>
      </c>
      <c r="X35" s="936">
        <v>523</v>
      </c>
      <c r="Y35" s="252">
        <v>797</v>
      </c>
      <c r="Z35" s="252">
        <v>657</v>
      </c>
      <c r="AA35" s="932">
        <v>619</v>
      </c>
      <c r="AB35" s="255">
        <v>480</v>
      </c>
      <c r="AC35" s="255">
        <v>522</v>
      </c>
      <c r="AD35" s="933"/>
      <c r="AE35" s="933"/>
      <c r="AF35" s="934"/>
      <c r="AG35" s="934"/>
      <c r="AH35" s="934"/>
      <c r="AI35" s="934"/>
      <c r="AJ35" s="1011">
        <v>834</v>
      </c>
      <c r="AK35" s="934"/>
      <c r="AL35" s="934"/>
      <c r="AM35" s="934"/>
      <c r="AN35" s="935"/>
      <c r="AO35" s="1011">
        <v>662.3</v>
      </c>
      <c r="AP35" s="1011">
        <v>571</v>
      </c>
      <c r="AQ35" s="1011">
        <v>613</v>
      </c>
      <c r="AR35" s="1011">
        <v>616.31100000000094</v>
      </c>
      <c r="AS35" s="1011">
        <v>625</v>
      </c>
      <c r="AT35" s="1011">
        <v>469</v>
      </c>
      <c r="AU35" s="1011">
        <v>437.5440239906311</v>
      </c>
      <c r="AV35" s="224">
        <v>496.58662017293022</v>
      </c>
      <c r="AW35" s="224"/>
      <c r="AX35" s="224"/>
      <c r="AY35" s="1005">
        <v>524.36327836880969</v>
      </c>
      <c r="AZ35" s="1000">
        <f>'[2]Endenergiebedarf nach Sektor'!E40/3.6+'[2]Endenergiebedarf nach Sektor'!E41/3.6</f>
        <v>1041.6666666666667</v>
      </c>
      <c r="BA35" s="228" t="e">
        <f>('Endenergiebedarf nach Sektor'!J4+'Endenergiebedarf nach Sektor'!J5)/1000</f>
        <v>#DIV/0!</v>
      </c>
    </row>
    <row r="36" spans="1:54" x14ac:dyDescent="0.35">
      <c r="A36" s="226" t="s">
        <v>1468</v>
      </c>
      <c r="B36" s="219" t="s">
        <v>1166</v>
      </c>
      <c r="C36" s="238">
        <v>709</v>
      </c>
      <c r="D36" s="251"/>
      <c r="E36" s="252">
        <v>498</v>
      </c>
      <c r="F36" s="251">
        <f>F30*0.278</f>
        <v>444.80000000000007</v>
      </c>
      <c r="G36" s="251"/>
      <c r="H36" s="251"/>
      <c r="I36" s="254">
        <v>1000</v>
      </c>
      <c r="J36" s="239"/>
      <c r="K36" s="239">
        <f t="shared" si="4"/>
        <v>599.09</v>
      </c>
      <c r="L36" s="238"/>
      <c r="M36" s="238">
        <f t="shared" si="4"/>
        <v>488.16800000000006</v>
      </c>
      <c r="N36" s="238">
        <f t="shared" si="4"/>
        <v>400.32000000000005</v>
      </c>
      <c r="O36" s="240"/>
      <c r="P36" s="232"/>
      <c r="Q36" s="251">
        <v>631</v>
      </c>
      <c r="R36" s="251">
        <v>540</v>
      </c>
      <c r="S36" s="256">
        <v>754</v>
      </c>
      <c r="T36" s="233">
        <v>815</v>
      </c>
      <c r="U36" s="255">
        <v>837</v>
      </c>
      <c r="V36" s="255">
        <v>741</v>
      </c>
      <c r="W36" s="936">
        <v>781</v>
      </c>
      <c r="X36" s="936">
        <v>673</v>
      </c>
      <c r="Y36" s="252">
        <v>669</v>
      </c>
      <c r="Z36" s="252">
        <v>559</v>
      </c>
      <c r="AA36" s="932">
        <v>580</v>
      </c>
      <c r="AB36" s="255">
        <v>833</v>
      </c>
      <c r="AC36" s="255">
        <v>833</v>
      </c>
      <c r="AD36" s="933"/>
      <c r="AE36" s="933"/>
      <c r="AF36" s="934"/>
      <c r="AG36" s="934"/>
      <c r="AH36" s="934"/>
      <c r="AI36" s="934"/>
      <c r="AJ36" s="1011">
        <v>591</v>
      </c>
      <c r="AK36" s="934"/>
      <c r="AL36" s="934"/>
      <c r="AM36" s="934"/>
      <c r="AN36" s="935"/>
      <c r="AO36" s="1011">
        <v>601.4</v>
      </c>
      <c r="AP36" s="1011">
        <v>578</v>
      </c>
      <c r="AQ36" s="1011">
        <v>612</v>
      </c>
      <c r="AR36" s="1011">
        <v>446</v>
      </c>
      <c r="AS36" s="1011">
        <v>549</v>
      </c>
      <c r="AT36" s="1011">
        <v>333</v>
      </c>
      <c r="AU36" s="1011">
        <v>536</v>
      </c>
      <c r="AV36" s="224">
        <v>1094.9650810588148</v>
      </c>
      <c r="AW36" s="224"/>
      <c r="AX36" s="224"/>
      <c r="AY36" s="1005">
        <v>962.93464540511968</v>
      </c>
      <c r="AZ36" s="1000">
        <f>'[2]Endenergiebedarf nach Sektor'!E42/3.6</f>
        <v>704.44444444444446</v>
      </c>
      <c r="BA36" s="228" t="e">
        <f>'Endenergiebedarf nach Sektor'!J6/1000</f>
        <v>#N/A</v>
      </c>
    </row>
    <row r="37" spans="1:54" x14ac:dyDescent="0.35">
      <c r="A37" s="226" t="s">
        <v>1813</v>
      </c>
      <c r="B37" s="219" t="s">
        <v>1165</v>
      </c>
      <c r="C37" s="238">
        <v>726</v>
      </c>
      <c r="D37" s="251"/>
      <c r="E37" s="254">
        <v>71.7</v>
      </c>
      <c r="F37" s="251">
        <f>F31*0.278</f>
        <v>417.00000000000006</v>
      </c>
      <c r="G37" s="251"/>
      <c r="H37" s="251"/>
      <c r="I37" s="254">
        <v>330</v>
      </c>
      <c r="J37" s="239"/>
      <c r="K37" s="239">
        <f t="shared" si="4"/>
        <v>529.31200000000001</v>
      </c>
      <c r="L37" s="238"/>
      <c r="M37" s="238">
        <f t="shared" si="4"/>
        <v>282.44800000000004</v>
      </c>
      <c r="N37" s="238">
        <f t="shared" si="4"/>
        <v>224.90200000000002</v>
      </c>
      <c r="O37" s="240"/>
      <c r="P37" s="232"/>
      <c r="Q37" s="251">
        <v>600</v>
      </c>
      <c r="R37" s="251">
        <v>400</v>
      </c>
      <c r="S37" s="256">
        <v>299</v>
      </c>
      <c r="T37" s="233">
        <v>470</v>
      </c>
      <c r="U37" s="255">
        <v>331</v>
      </c>
      <c r="V37" s="255">
        <v>401</v>
      </c>
      <c r="W37" s="936">
        <v>331</v>
      </c>
      <c r="X37" s="936">
        <v>401</v>
      </c>
      <c r="Y37" s="252">
        <v>574</v>
      </c>
      <c r="Z37" s="252">
        <v>441</v>
      </c>
      <c r="AA37" s="932">
        <v>390</v>
      </c>
      <c r="AB37" s="255">
        <v>339</v>
      </c>
      <c r="AC37" s="255">
        <v>406</v>
      </c>
      <c r="AD37" s="933"/>
      <c r="AE37" s="933"/>
      <c r="AF37" s="934"/>
      <c r="AG37" s="934"/>
      <c r="AH37" s="934"/>
      <c r="AI37" s="934"/>
      <c r="AJ37" s="1011">
        <v>351</v>
      </c>
      <c r="AK37" s="934"/>
      <c r="AL37" s="934"/>
      <c r="AM37" s="934"/>
      <c r="AN37" s="935"/>
      <c r="AO37" s="1011">
        <v>334.1</v>
      </c>
      <c r="AP37" s="1011">
        <v>328</v>
      </c>
      <c r="AQ37" s="1011">
        <f>213+163</f>
        <v>376</v>
      </c>
      <c r="AR37" s="1011">
        <f>327.994166666667+137</f>
        <v>464.99416666666701</v>
      </c>
      <c r="AS37" s="1011">
        <f>365.106128323904+124</f>
        <v>489.10612832390399</v>
      </c>
      <c r="AT37" s="1011">
        <f>313.3+169</f>
        <v>482.3</v>
      </c>
      <c r="AU37" s="1011">
        <v>375.10157092646114</v>
      </c>
      <c r="AV37" s="224">
        <v>352.10204969314429</v>
      </c>
      <c r="AW37" s="224"/>
      <c r="AX37" s="224"/>
      <c r="AY37" s="1005">
        <v>303.48640004790445</v>
      </c>
      <c r="AZ37" s="1000">
        <f>'[2]Endenergiebedarf nach Sektor'!E43/3.6</f>
        <v>769.44444444444446</v>
      </c>
      <c r="BA37" s="228">
        <f>'Endenergiebedarf nach Sektor'!J8/1000</f>
        <v>97</v>
      </c>
    </row>
    <row r="38" spans="1:54" x14ac:dyDescent="0.35">
      <c r="B38" s="219" t="s">
        <v>1408</v>
      </c>
      <c r="C38" s="238">
        <v>2552</v>
      </c>
      <c r="D38" s="251">
        <f>D32*0.278</f>
        <v>1652.4320000000002</v>
      </c>
      <c r="E38" s="252"/>
      <c r="F38" s="251">
        <f>F32*0.278</f>
        <v>1455.6080000000002</v>
      </c>
      <c r="G38" s="251"/>
      <c r="H38" s="251"/>
      <c r="I38" s="252"/>
      <c r="J38" s="239"/>
      <c r="K38" s="239"/>
      <c r="L38" s="238"/>
      <c r="M38" s="238"/>
      <c r="N38" s="238"/>
      <c r="O38" s="240"/>
      <c r="P38" s="232"/>
      <c r="Q38" s="255"/>
      <c r="R38" s="255"/>
      <c r="S38" s="256"/>
      <c r="T38" s="233"/>
      <c r="U38" s="255"/>
      <c r="V38" s="255"/>
      <c r="W38" s="936"/>
      <c r="X38" s="936"/>
      <c r="Y38" s="256"/>
      <c r="Z38" s="256"/>
      <c r="AA38" s="937"/>
      <c r="AB38" s="255"/>
      <c r="AC38" s="255"/>
      <c r="AD38" s="933"/>
      <c r="AE38" s="933"/>
      <c r="AF38" s="934"/>
      <c r="AG38" s="934"/>
      <c r="AH38" s="934"/>
      <c r="AI38" s="934"/>
      <c r="AJ38" s="1011">
        <f>SUM(AJ35:AJ37)</f>
        <v>1776</v>
      </c>
      <c r="AK38" s="934"/>
      <c r="AL38" s="934"/>
      <c r="AM38" s="934"/>
      <c r="AN38" s="935"/>
      <c r="AO38" s="1011">
        <f t="shared" ref="AO38:AT38" si="5">SUM(AO35:AO37)</f>
        <v>1597.7999999999997</v>
      </c>
      <c r="AP38" s="1011">
        <f t="shared" si="5"/>
        <v>1477</v>
      </c>
      <c r="AQ38" s="1011">
        <f t="shared" si="5"/>
        <v>1601</v>
      </c>
      <c r="AR38" s="1011">
        <f t="shared" si="5"/>
        <v>1527.3051666666681</v>
      </c>
      <c r="AS38" s="1011">
        <f t="shared" si="5"/>
        <v>1663.1061283239039</v>
      </c>
      <c r="AT38" s="1011">
        <f t="shared" si="5"/>
        <v>1284.3</v>
      </c>
      <c r="AU38" s="1011">
        <f>SUM(AU35:AU37)</f>
        <v>1348.6455949170922</v>
      </c>
      <c r="AV38" s="1011">
        <f t="shared" ref="AV38:BA38" si="6">SUM(AV35:AV37)</f>
        <v>1943.6537509248892</v>
      </c>
      <c r="AW38" s="1011">
        <f t="shared" si="6"/>
        <v>0</v>
      </c>
      <c r="AX38" s="1011">
        <f t="shared" si="6"/>
        <v>0</v>
      </c>
      <c r="AY38" s="1011">
        <f t="shared" si="6"/>
        <v>1790.7843238218338</v>
      </c>
      <c r="AZ38" s="1000">
        <f>SUM(AZ35:AZ37)</f>
        <v>2515.5555555555557</v>
      </c>
      <c r="BA38" s="1011" t="e">
        <f t="shared" si="6"/>
        <v>#DIV/0!</v>
      </c>
    </row>
    <row r="39" spans="1:54" x14ac:dyDescent="0.35">
      <c r="B39" s="229"/>
      <c r="C39" s="238"/>
      <c r="D39" s="251"/>
      <c r="E39" s="252"/>
      <c r="F39" s="251"/>
      <c r="G39" s="251"/>
      <c r="H39" s="251"/>
      <c r="I39" s="252"/>
      <c r="J39" s="239"/>
      <c r="K39" s="239"/>
      <c r="L39" s="238"/>
      <c r="M39" s="238"/>
      <c r="N39" s="238"/>
      <c r="O39" s="240"/>
      <c r="P39" s="232"/>
      <c r="Q39" s="255"/>
      <c r="R39" s="255"/>
      <c r="S39" s="256"/>
      <c r="T39" s="233"/>
      <c r="U39" s="255"/>
      <c r="V39" s="255"/>
      <c r="W39" s="936"/>
      <c r="X39" s="936"/>
      <c r="Y39" s="256"/>
      <c r="Z39" s="256"/>
      <c r="AA39" s="937"/>
      <c r="AB39" s="255"/>
      <c r="AC39" s="255"/>
      <c r="AD39" s="933"/>
      <c r="AE39" s="933"/>
      <c r="AF39" s="934"/>
      <c r="AG39" s="934"/>
      <c r="AH39" s="934"/>
      <c r="AI39" s="934"/>
      <c r="AJ39" s="1011"/>
      <c r="AK39" s="934"/>
      <c r="AL39" s="934"/>
      <c r="AM39" s="934"/>
      <c r="AN39" s="935"/>
      <c r="AO39" s="1011"/>
      <c r="AP39" s="1011"/>
      <c r="AQ39" s="1011"/>
      <c r="AR39" s="1011"/>
      <c r="AS39" s="1011"/>
      <c r="AT39" s="1011"/>
      <c r="AU39" s="1011"/>
      <c r="AV39" s="224"/>
      <c r="AW39" s="224"/>
      <c r="AX39" s="224"/>
      <c r="AY39" s="1005"/>
      <c r="BA39" s="228"/>
    </row>
    <row r="40" spans="1:54" x14ac:dyDescent="0.35">
      <c r="B40" s="1012" t="s">
        <v>5063</v>
      </c>
      <c r="C40" s="238"/>
      <c r="D40" s="252"/>
      <c r="E40" s="252"/>
      <c r="F40" s="252"/>
      <c r="G40" s="252"/>
      <c r="H40" s="252"/>
      <c r="I40" s="252"/>
      <c r="J40" s="238"/>
      <c r="K40" s="238"/>
      <c r="L40" s="238"/>
      <c r="M40" s="238"/>
      <c r="N40" s="238"/>
      <c r="O40" s="1013"/>
      <c r="P40" s="232"/>
      <c r="Q40" s="256"/>
      <c r="R40" s="256"/>
      <c r="S40" s="256"/>
      <c r="T40" s="234"/>
      <c r="U40" s="256"/>
      <c r="V40" s="256"/>
      <c r="W40" s="256"/>
      <c r="X40" s="256"/>
      <c r="Y40" s="256"/>
      <c r="Z40" s="256"/>
      <c r="AA40" s="256"/>
      <c r="AB40" s="256"/>
      <c r="AC40" s="256"/>
      <c r="AD40" s="256"/>
      <c r="AE40" s="256"/>
      <c r="AF40" s="256"/>
      <c r="AG40" s="256"/>
      <c r="AH40" s="256"/>
      <c r="AI40" s="256"/>
      <c r="AJ40" s="256"/>
      <c r="AK40" s="256"/>
      <c r="AL40" s="256"/>
      <c r="AM40" s="256"/>
      <c r="AN40" s="256"/>
      <c r="AO40" s="256"/>
      <c r="AP40" s="256"/>
      <c r="AQ40" s="256"/>
      <c r="AR40" s="256"/>
      <c r="AS40" s="256"/>
      <c r="AT40" s="256"/>
      <c r="AU40" s="256"/>
      <c r="AV40" s="1013"/>
      <c r="AW40" s="1013"/>
      <c r="AX40" s="1013"/>
      <c r="AY40" s="241"/>
      <c r="AZ40" s="1013"/>
      <c r="BA40" s="241"/>
      <c r="BB40" s="237"/>
    </row>
    <row r="41" spans="1:54" x14ac:dyDescent="0.35">
      <c r="B41" s="219" t="s">
        <v>1718</v>
      </c>
      <c r="C41" s="238"/>
      <c r="D41" s="251"/>
      <c r="E41" s="252"/>
      <c r="F41" s="251"/>
      <c r="G41" s="251"/>
      <c r="H41" s="251"/>
      <c r="I41" s="252"/>
      <c r="J41" s="239"/>
      <c r="K41" s="239"/>
      <c r="L41" s="998" t="s">
        <v>2025</v>
      </c>
      <c r="M41" s="998"/>
      <c r="N41" s="998"/>
      <c r="O41" s="240"/>
      <c r="P41" s="232"/>
      <c r="Q41" s="255"/>
      <c r="R41" s="255"/>
      <c r="S41" s="256"/>
      <c r="T41" s="233"/>
      <c r="U41" s="255"/>
      <c r="V41" s="255"/>
      <c r="W41" s="936"/>
      <c r="X41" s="936"/>
      <c r="Y41" s="256"/>
      <c r="Z41" s="256"/>
      <c r="AA41" s="937"/>
      <c r="AB41" s="255"/>
      <c r="AC41" s="255"/>
      <c r="AD41" s="933"/>
      <c r="AE41" s="933"/>
      <c r="AF41" s="934"/>
      <c r="AG41" s="934"/>
      <c r="AH41" s="934"/>
      <c r="AI41" s="934"/>
      <c r="AJ41" s="1011"/>
      <c r="AK41" s="934"/>
      <c r="AL41" s="934"/>
      <c r="AM41" s="934"/>
      <c r="AN41" s="935"/>
      <c r="AO41" s="1011"/>
      <c r="AP41" s="1011"/>
      <c r="AQ41" s="1011"/>
      <c r="AR41" s="1011"/>
      <c r="AS41" s="1011"/>
      <c r="AT41" s="1011"/>
      <c r="AU41" s="1011"/>
      <c r="AV41" s="257"/>
      <c r="AW41" s="258"/>
      <c r="AX41" s="258"/>
      <c r="AY41" s="1000"/>
      <c r="BA41" s="225"/>
      <c r="BB41" s="259"/>
    </row>
    <row r="42" spans="1:54" x14ac:dyDescent="0.35">
      <c r="A42" s="226" t="s">
        <v>5064</v>
      </c>
      <c r="B42" s="219" t="s">
        <v>1454</v>
      </c>
      <c r="C42" s="238"/>
      <c r="D42" s="251"/>
      <c r="E42" s="252"/>
      <c r="F42" s="251"/>
      <c r="G42" s="251"/>
      <c r="H42" s="251"/>
      <c r="I42" s="252"/>
      <c r="J42" s="239">
        <v>269</v>
      </c>
      <c r="K42" s="239">
        <v>131</v>
      </c>
      <c r="L42" s="238">
        <v>169.7</v>
      </c>
      <c r="M42" s="238">
        <v>33.200000000000003</v>
      </c>
      <c r="N42" s="238">
        <v>18.600000000000001</v>
      </c>
      <c r="O42" s="240"/>
      <c r="P42" s="232"/>
      <c r="Q42" s="255">
        <v>214.9</v>
      </c>
      <c r="R42" s="255">
        <v>34.799999999999997</v>
      </c>
      <c r="S42" s="256">
        <v>0</v>
      </c>
      <c r="T42" s="233">
        <v>104</v>
      </c>
      <c r="U42" s="260">
        <v>76</v>
      </c>
      <c r="V42" s="255">
        <v>3</v>
      </c>
      <c r="W42" s="936">
        <v>0</v>
      </c>
      <c r="X42" s="936">
        <v>0</v>
      </c>
      <c r="Y42" s="256">
        <v>122</v>
      </c>
      <c r="Z42" s="256">
        <v>45</v>
      </c>
      <c r="AA42" s="937">
        <v>1</v>
      </c>
      <c r="AB42" s="255">
        <v>21</v>
      </c>
      <c r="AC42" s="255">
        <v>14</v>
      </c>
      <c r="AD42" s="933"/>
      <c r="AE42" s="933"/>
      <c r="AF42" s="934"/>
      <c r="AG42" s="934"/>
      <c r="AH42" s="934"/>
      <c r="AI42" s="934"/>
      <c r="AJ42" s="1011">
        <v>0</v>
      </c>
      <c r="AK42" s="934"/>
      <c r="AL42" s="934"/>
      <c r="AM42" s="934"/>
      <c r="AN42" s="935"/>
      <c r="AO42" s="1011">
        <v>4</v>
      </c>
      <c r="AP42" s="1011">
        <v>2</v>
      </c>
      <c r="AQ42" s="1011">
        <v>1</v>
      </c>
      <c r="AR42" s="1011">
        <v>2.17</v>
      </c>
      <c r="AS42" s="1011">
        <v>0</v>
      </c>
      <c r="AT42" s="1011">
        <v>8</v>
      </c>
      <c r="AU42" s="1011">
        <v>0</v>
      </c>
      <c r="AV42" s="224">
        <v>6.668522372535743</v>
      </c>
      <c r="AW42" s="224"/>
      <c r="AX42" s="224"/>
      <c r="AY42" s="1005">
        <v>0.53100000000000003</v>
      </c>
      <c r="BA42" s="228" t="e">
        <f>('CO2-Emissionen'!AH96+'CO2-Emissionen'!W212)/1000</f>
        <v>#N/A</v>
      </c>
    </row>
    <row r="43" spans="1:54" x14ac:dyDescent="0.35">
      <c r="A43" s="226" t="s">
        <v>1528</v>
      </c>
      <c r="B43" s="219" t="s">
        <v>1719</v>
      </c>
      <c r="C43" s="238"/>
      <c r="D43" s="251"/>
      <c r="E43" s="252"/>
      <c r="F43" s="251"/>
      <c r="G43" s="251"/>
      <c r="H43" s="251"/>
      <c r="I43" s="252"/>
      <c r="J43" s="239">
        <f>54+21</f>
        <v>75</v>
      </c>
      <c r="K43" s="239">
        <f>32+12</f>
        <v>44</v>
      </c>
      <c r="L43" s="238">
        <v>33.4</v>
      </c>
      <c r="M43" s="238">
        <f>5.4+16.2</f>
        <v>21.6</v>
      </c>
      <c r="N43" s="238">
        <f>1.3+4.6</f>
        <v>5.8999999999999995</v>
      </c>
      <c r="O43" s="240"/>
      <c r="P43" s="232"/>
      <c r="Q43" s="255">
        <v>52.1</v>
      </c>
      <c r="R43" s="255">
        <v>29.4</v>
      </c>
      <c r="S43" s="256">
        <v>0</v>
      </c>
      <c r="T43" s="233">
        <v>61</v>
      </c>
      <c r="U43" s="260">
        <v>5</v>
      </c>
      <c r="V43" s="255">
        <v>40</v>
      </c>
      <c r="W43" s="936">
        <v>0</v>
      </c>
      <c r="X43" s="936">
        <v>0</v>
      </c>
      <c r="Y43" s="256">
        <v>62</v>
      </c>
      <c r="Z43" s="256">
        <v>16</v>
      </c>
      <c r="AA43" s="937">
        <v>0</v>
      </c>
      <c r="AB43" s="255">
        <v>30</v>
      </c>
      <c r="AC43" s="255">
        <v>35</v>
      </c>
      <c r="AD43" s="933"/>
      <c r="AE43" s="933"/>
      <c r="AF43" s="934"/>
      <c r="AG43" s="934"/>
      <c r="AH43" s="934"/>
      <c r="AI43" s="934"/>
      <c r="AJ43" s="1011">
        <v>0</v>
      </c>
      <c r="AK43" s="934"/>
      <c r="AL43" s="934"/>
      <c r="AM43" s="934"/>
      <c r="AN43" s="935"/>
      <c r="AO43" s="1011">
        <v>2.5872389760644614</v>
      </c>
      <c r="AP43" s="1011">
        <v>2</v>
      </c>
      <c r="AQ43" s="1011">
        <v>0</v>
      </c>
      <c r="AR43" s="1011">
        <v>0.4834021</v>
      </c>
      <c r="AS43" s="1011">
        <v>0</v>
      </c>
      <c r="AT43" s="1011">
        <v>1.4999999999999999E-2</v>
      </c>
      <c r="AU43" s="1011">
        <v>0</v>
      </c>
      <c r="AV43" s="224">
        <v>10.504450842227008</v>
      </c>
      <c r="AW43" s="224"/>
      <c r="AX43" s="224"/>
      <c r="AY43" s="1005">
        <v>3.7160000000000002</v>
      </c>
      <c r="BA43" s="228" t="e">
        <f>('CO2-Emissionen'!AH98+'CO2-Emissionen'!W214)/1000</f>
        <v>#N/A</v>
      </c>
    </row>
    <row r="44" spans="1:54" x14ac:dyDescent="0.35">
      <c r="A44" s="226" t="s">
        <v>1468</v>
      </c>
      <c r="B44" s="219" t="s">
        <v>1166</v>
      </c>
      <c r="C44" s="238"/>
      <c r="D44" s="251"/>
      <c r="E44" s="252"/>
      <c r="F44" s="251"/>
      <c r="G44" s="251"/>
      <c r="H44" s="251"/>
      <c r="I44" s="252"/>
      <c r="J44" s="239">
        <v>98</v>
      </c>
      <c r="K44" s="239">
        <v>80</v>
      </c>
      <c r="L44" s="238">
        <f>74.9+55.4</f>
        <v>130.30000000000001</v>
      </c>
      <c r="M44" s="238">
        <f>33.9+36.4</f>
        <v>70.3</v>
      </c>
      <c r="N44" s="238">
        <f>-3.5+4.6</f>
        <v>1.0999999999999996</v>
      </c>
      <c r="O44" s="240"/>
      <c r="P44" s="232"/>
      <c r="Q44" s="255">
        <f>81.3+45.9</f>
        <v>127.19999999999999</v>
      </c>
      <c r="R44" s="255">
        <f>38.3+13.5</f>
        <v>51.8</v>
      </c>
      <c r="S44" s="256">
        <v>10</v>
      </c>
      <c r="T44" s="233">
        <v>155</v>
      </c>
      <c r="U44" s="260">
        <v>98</v>
      </c>
      <c r="V44" s="255">
        <v>134</v>
      </c>
      <c r="W44" s="936">
        <v>27</v>
      </c>
      <c r="X44" s="936">
        <v>27</v>
      </c>
      <c r="Y44" s="256">
        <v>148</v>
      </c>
      <c r="Z44" s="256">
        <v>98</v>
      </c>
      <c r="AA44" s="937">
        <v>15</v>
      </c>
      <c r="AB44" s="255">
        <v>109</v>
      </c>
      <c r="AC44" s="255">
        <v>119</v>
      </c>
      <c r="AD44" s="933"/>
      <c r="AE44" s="933"/>
      <c r="AF44" s="934"/>
      <c r="AG44" s="934"/>
      <c r="AH44" s="934"/>
      <c r="AI44" s="934"/>
      <c r="AJ44" s="1011">
        <v>0</v>
      </c>
      <c r="AK44" s="934"/>
      <c r="AL44" s="934"/>
      <c r="AM44" s="934"/>
      <c r="AN44" s="935"/>
      <c r="AO44" s="1011">
        <v>14</v>
      </c>
      <c r="AP44" s="1011">
        <v>24</v>
      </c>
      <c r="AQ44" s="1011">
        <v>10</v>
      </c>
      <c r="AR44" s="1011">
        <v>2.7017652000000005</v>
      </c>
      <c r="AS44" s="1011">
        <v>0</v>
      </c>
      <c r="AT44" s="1011">
        <f>14.568-3.4</f>
        <v>11.167999999999999</v>
      </c>
      <c r="AU44" s="1011">
        <v>8</v>
      </c>
      <c r="AV44" s="224">
        <v>66.341589120273071</v>
      </c>
      <c r="AW44" s="224"/>
      <c r="AX44" s="224"/>
      <c r="AY44" s="1005">
        <f>35.44-13.45</f>
        <v>21.99</v>
      </c>
      <c r="BA44" s="228" t="e">
        <f>('CO2-Emissionen'!AH97+'CO2-Emissionen'!W213-'Chemische Industrie'!AI36-'Chemische Industrie'!AI37)/1000</f>
        <v>#N/A</v>
      </c>
    </row>
    <row r="45" spans="1:54" x14ac:dyDescent="0.35">
      <c r="A45" s="226" t="s">
        <v>1813</v>
      </c>
      <c r="B45" s="219" t="s">
        <v>1165</v>
      </c>
      <c r="C45" s="238"/>
      <c r="D45" s="251"/>
      <c r="E45" s="252"/>
      <c r="F45" s="251"/>
      <c r="G45" s="251"/>
      <c r="H45" s="251"/>
      <c r="I45" s="252"/>
      <c r="J45" s="239">
        <v>115</v>
      </c>
      <c r="K45" s="239">
        <v>86</v>
      </c>
      <c r="L45" s="238">
        <v>89.6</v>
      </c>
      <c r="M45" s="238">
        <v>31.5</v>
      </c>
      <c r="N45" s="238">
        <f>2.7</f>
        <v>2.7</v>
      </c>
      <c r="O45" s="240"/>
      <c r="P45" s="232"/>
      <c r="Q45" s="255">
        <v>78.400000000000006</v>
      </c>
      <c r="R45" s="255">
        <v>26.2</v>
      </c>
      <c r="S45" s="256">
        <v>0</v>
      </c>
      <c r="T45" s="233">
        <v>99</v>
      </c>
      <c r="U45" s="260">
        <v>20</v>
      </c>
      <c r="V45" s="255">
        <v>21</v>
      </c>
      <c r="W45" s="936">
        <v>0</v>
      </c>
      <c r="X45" s="936">
        <v>0</v>
      </c>
      <c r="Y45" s="256">
        <v>92</v>
      </c>
      <c r="Z45" s="256">
        <v>45</v>
      </c>
      <c r="AA45" s="937">
        <v>0</v>
      </c>
      <c r="AB45" s="255">
        <v>30</v>
      </c>
      <c r="AC45" s="255">
        <v>22</v>
      </c>
      <c r="AD45" s="933"/>
      <c r="AE45" s="933"/>
      <c r="AF45" s="934"/>
      <c r="AG45" s="934"/>
      <c r="AH45" s="934"/>
      <c r="AI45" s="934"/>
      <c r="AJ45" s="1011">
        <v>0</v>
      </c>
      <c r="AK45" s="934"/>
      <c r="AL45" s="934"/>
      <c r="AM45" s="934"/>
      <c r="AN45" s="935"/>
      <c r="AO45" s="1011">
        <v>2.7921055087240382E-2</v>
      </c>
      <c r="AP45" s="1011">
        <v>0</v>
      </c>
      <c r="AQ45" s="1011">
        <v>0</v>
      </c>
      <c r="AR45" s="1011">
        <v>0.34322979999999997</v>
      </c>
      <c r="AS45" s="1011">
        <v>0</v>
      </c>
      <c r="AT45" s="1011">
        <v>0</v>
      </c>
      <c r="AU45" s="1011">
        <v>0</v>
      </c>
      <c r="AV45" s="224">
        <v>1.1399205698685683E-3</v>
      </c>
      <c r="AW45" s="224"/>
      <c r="AX45" s="224"/>
      <c r="AY45" s="1005">
        <v>0.36099999999999999</v>
      </c>
      <c r="BA45" s="228" t="e">
        <f>('CO2-Emissionen'!AH99+'CO2-Emissionen'!W215)/1000</f>
        <v>#N/A</v>
      </c>
    </row>
    <row r="46" spans="1:54" x14ac:dyDescent="0.35">
      <c r="A46" s="226" t="s">
        <v>1524</v>
      </c>
      <c r="B46" s="219" t="s">
        <v>1208</v>
      </c>
      <c r="C46" s="238"/>
      <c r="D46" s="251"/>
      <c r="E46" s="252"/>
      <c r="F46" s="251"/>
      <c r="G46" s="251"/>
      <c r="H46" s="251"/>
      <c r="I46" s="252"/>
      <c r="J46" s="239"/>
      <c r="K46" s="239"/>
      <c r="L46" s="238"/>
      <c r="M46" s="238"/>
      <c r="N46" s="238"/>
      <c r="O46" s="240"/>
      <c r="P46" s="232"/>
      <c r="Q46" s="255"/>
      <c r="R46" s="255"/>
      <c r="S46" s="256"/>
      <c r="T46" s="233"/>
      <c r="U46" s="260"/>
      <c r="V46" s="255"/>
      <c r="W46" s="936"/>
      <c r="X46" s="936"/>
      <c r="Y46" s="256"/>
      <c r="Z46" s="256"/>
      <c r="AA46" s="937"/>
      <c r="AB46" s="255"/>
      <c r="AC46" s="255"/>
      <c r="AD46" s="933"/>
      <c r="AE46" s="933"/>
      <c r="AF46" s="934"/>
      <c r="AG46" s="934"/>
      <c r="AH46" s="934"/>
      <c r="AI46" s="934"/>
      <c r="AJ46" s="1011">
        <v>0</v>
      </c>
      <c r="AK46" s="934"/>
      <c r="AL46" s="934"/>
      <c r="AM46" s="934"/>
      <c r="AN46" s="935"/>
      <c r="AO46" s="1011">
        <v>2.1155285975351341</v>
      </c>
      <c r="AP46" s="1011"/>
      <c r="AQ46" s="1011"/>
      <c r="AR46" s="1011">
        <v>7.2205797</v>
      </c>
      <c r="AS46" s="1011">
        <v>0</v>
      </c>
      <c r="AT46" s="1011">
        <v>0</v>
      </c>
      <c r="AU46" s="1011">
        <v>0</v>
      </c>
      <c r="AV46" s="224"/>
      <c r="AW46" s="224"/>
      <c r="AX46" s="224"/>
      <c r="AY46" s="1005">
        <v>2.4500000000000002</v>
      </c>
      <c r="BA46" s="228" t="e">
        <f>'CO2-Emissionen'!W216/1000</f>
        <v>#N/A</v>
      </c>
    </row>
    <row r="47" spans="1:54" x14ac:dyDescent="0.35">
      <c r="A47" s="226" t="s">
        <v>4431</v>
      </c>
      <c r="B47" s="219" t="s">
        <v>4286</v>
      </c>
      <c r="C47" s="238"/>
      <c r="D47" s="251"/>
      <c r="E47" s="252"/>
      <c r="F47" s="251"/>
      <c r="G47" s="251"/>
      <c r="H47" s="251"/>
      <c r="I47" s="252"/>
      <c r="J47" s="239"/>
      <c r="K47" s="239"/>
      <c r="L47" s="238"/>
      <c r="M47" s="238"/>
      <c r="N47" s="238"/>
      <c r="O47" s="240"/>
      <c r="P47" s="232"/>
      <c r="Q47" s="255"/>
      <c r="R47" s="255"/>
      <c r="S47" s="256"/>
      <c r="T47" s="233"/>
      <c r="U47" s="260"/>
      <c r="V47" s="255"/>
      <c r="W47" s="936"/>
      <c r="X47" s="936"/>
      <c r="Y47" s="256"/>
      <c r="Z47" s="256"/>
      <c r="AA47" s="937"/>
      <c r="AB47" s="255"/>
      <c r="AC47" s="255"/>
      <c r="AD47" s="933"/>
      <c r="AE47" s="933"/>
      <c r="AF47" s="934"/>
      <c r="AG47" s="934"/>
      <c r="AH47" s="934"/>
      <c r="AI47" s="934"/>
      <c r="AJ47" s="1011">
        <v>0</v>
      </c>
      <c r="AK47" s="934"/>
      <c r="AL47" s="934"/>
      <c r="AM47" s="934"/>
      <c r="AN47" s="935"/>
      <c r="AO47" s="1011">
        <v>40.740340843913465</v>
      </c>
      <c r="AP47" s="1011">
        <v>42</v>
      </c>
      <c r="AQ47" s="1011">
        <v>48</v>
      </c>
      <c r="AR47" s="1011">
        <v>30.331535599999999</v>
      </c>
      <c r="AS47" s="1011">
        <v>0</v>
      </c>
      <c r="AT47" s="1011">
        <v>25.753</v>
      </c>
      <c r="AU47" s="1011">
        <v>53</v>
      </c>
      <c r="AV47" s="224"/>
      <c r="AW47" s="224"/>
      <c r="AX47" s="224"/>
      <c r="AY47" s="1005">
        <v>47.555</v>
      </c>
      <c r="BA47" s="228" t="e">
        <f>'CO2-Emissionen'!W217/1000</f>
        <v>#N/A</v>
      </c>
    </row>
    <row r="48" spans="1:54" x14ac:dyDescent="0.35">
      <c r="B48" s="219" t="s">
        <v>1656</v>
      </c>
      <c r="C48" s="238"/>
      <c r="D48" s="251"/>
      <c r="E48" s="252"/>
      <c r="F48" s="251"/>
      <c r="G48" s="251"/>
      <c r="H48" s="251"/>
      <c r="I48" s="252"/>
      <c r="J48" s="239"/>
      <c r="K48" s="239"/>
      <c r="L48" s="238">
        <f>2.4+1.9+68.4+5.1</f>
        <v>77.8</v>
      </c>
      <c r="M48" s="238">
        <f>1.6+1.9+51.1+4.2</f>
        <v>58.800000000000004</v>
      </c>
      <c r="N48" s="238">
        <f>0.4+1.9+35.5+3.9</f>
        <v>41.699999999999996</v>
      </c>
      <c r="O48" s="240"/>
      <c r="P48" s="232"/>
      <c r="Q48" s="255">
        <v>72</v>
      </c>
      <c r="R48" s="255">
        <v>67</v>
      </c>
      <c r="S48" s="256">
        <v>30</v>
      </c>
      <c r="T48" s="233">
        <v>51</v>
      </c>
      <c r="U48" s="260">
        <v>51</v>
      </c>
      <c r="V48" s="255">
        <v>51</v>
      </c>
      <c r="W48" s="936">
        <v>37</v>
      </c>
      <c r="X48" s="936">
        <v>37</v>
      </c>
      <c r="Y48" s="256"/>
      <c r="Z48" s="256"/>
      <c r="AA48" s="937"/>
      <c r="AB48" s="255">
        <v>60</v>
      </c>
      <c r="AC48" s="255">
        <v>60</v>
      </c>
      <c r="AD48" s="933"/>
      <c r="AE48" s="933"/>
      <c r="AF48" s="934"/>
      <c r="AG48" s="934"/>
      <c r="AH48" s="934"/>
      <c r="AI48" s="934"/>
      <c r="AJ48" s="1011">
        <v>0</v>
      </c>
      <c r="AK48" s="934"/>
      <c r="AL48" s="934"/>
      <c r="AM48" s="934"/>
      <c r="AN48" s="935"/>
      <c r="AO48" s="1011"/>
      <c r="AP48" s="1011"/>
      <c r="AQ48" s="1011"/>
      <c r="AR48" s="1011"/>
      <c r="AS48" s="1011"/>
      <c r="AT48" s="1011"/>
      <c r="AU48" s="1011"/>
      <c r="AV48" s="224"/>
      <c r="AW48" s="224"/>
      <c r="AX48" s="224"/>
      <c r="AY48" s="1005"/>
      <c r="BA48" s="228"/>
    </row>
    <row r="49" spans="1:53" x14ac:dyDescent="0.35">
      <c r="B49" s="219" t="s">
        <v>1408</v>
      </c>
      <c r="C49" s="238"/>
      <c r="D49" s="251">
        <v>203</v>
      </c>
      <c r="E49" s="252"/>
      <c r="F49" s="251">
        <v>151</v>
      </c>
      <c r="G49" s="251">
        <v>156</v>
      </c>
      <c r="H49" s="251">
        <v>10</v>
      </c>
      <c r="I49" s="252"/>
      <c r="J49" s="239"/>
      <c r="K49" s="239"/>
      <c r="L49" s="238"/>
      <c r="M49" s="238">
        <v>153.6</v>
      </c>
      <c r="N49" s="238">
        <v>26.7</v>
      </c>
      <c r="O49" s="240"/>
      <c r="P49" s="232"/>
      <c r="Q49" s="255">
        <f>SUM(Q42:Q48)</f>
        <v>544.6</v>
      </c>
      <c r="R49" s="255">
        <f>SUM(R42:R48)</f>
        <v>209.2</v>
      </c>
      <c r="S49" s="256">
        <f>SUM(S42:S48)</f>
        <v>40</v>
      </c>
      <c r="T49" s="255">
        <f t="shared" ref="T49:AC49" si="7">SUM(T42:T48)</f>
        <v>470</v>
      </c>
      <c r="U49" s="255">
        <f t="shared" si="7"/>
        <v>250</v>
      </c>
      <c r="V49" s="255">
        <f t="shared" si="7"/>
        <v>249</v>
      </c>
      <c r="W49" s="936">
        <f t="shared" si="7"/>
        <v>64</v>
      </c>
      <c r="X49" s="936">
        <f t="shared" si="7"/>
        <v>64</v>
      </c>
      <c r="Y49" s="256">
        <f t="shared" si="7"/>
        <v>424</v>
      </c>
      <c r="Z49" s="256">
        <f t="shared" si="7"/>
        <v>204</v>
      </c>
      <c r="AA49" s="937">
        <f t="shared" si="7"/>
        <v>16</v>
      </c>
      <c r="AB49" s="255">
        <f t="shared" si="7"/>
        <v>250</v>
      </c>
      <c r="AC49" s="255">
        <f t="shared" si="7"/>
        <v>250</v>
      </c>
      <c r="AD49" s="933"/>
      <c r="AE49" s="933"/>
      <c r="AF49" s="934"/>
      <c r="AG49" s="934"/>
      <c r="AH49" s="934"/>
      <c r="AI49" s="934"/>
      <c r="AJ49" s="1011">
        <f>SUM(AJ42:AJ48)</f>
        <v>0</v>
      </c>
      <c r="AK49" s="934"/>
      <c r="AL49" s="934"/>
      <c r="AM49" s="934"/>
      <c r="AN49" s="935"/>
      <c r="AO49" s="1011">
        <f>SUM(AO42:AO48)</f>
        <v>63.471029472600307</v>
      </c>
      <c r="AP49" s="1011">
        <f>SUM(AP42:AP47)</f>
        <v>70</v>
      </c>
      <c r="AQ49" s="1011">
        <f>SUM(AQ42:AQ48)</f>
        <v>59</v>
      </c>
      <c r="AR49" s="1011">
        <f>SUM(AR42:AR48)</f>
        <v>43.250512399999998</v>
      </c>
      <c r="AS49" s="1011">
        <f>SUM(AS42:AS48)</f>
        <v>0</v>
      </c>
      <c r="AT49" s="1011">
        <f>SUM(AT42:AT48)</f>
        <v>44.936</v>
      </c>
      <c r="AU49" s="1011">
        <f>SUM(AU42:AU48)</f>
        <v>61</v>
      </c>
      <c r="AV49" s="261">
        <v>83.515702255605689</v>
      </c>
      <c r="AW49" s="224"/>
      <c r="AX49" s="224"/>
      <c r="AY49" s="1005">
        <f>SUM(AY42:AY48)</f>
        <v>76.602999999999994</v>
      </c>
      <c r="BA49" s="228" t="e">
        <f>SUM(BA42:BA48)</f>
        <v>#N/A</v>
      </c>
    </row>
    <row r="50" spans="1:53" x14ac:dyDescent="0.35">
      <c r="B50" s="219"/>
      <c r="C50" s="238"/>
      <c r="D50" s="251"/>
      <c r="E50" s="252"/>
      <c r="F50" s="251"/>
      <c r="G50" s="251"/>
      <c r="H50" s="251"/>
      <c r="I50" s="252"/>
      <c r="J50" s="239"/>
      <c r="K50" s="239"/>
      <c r="L50" s="238"/>
      <c r="M50" s="238"/>
      <c r="N50" s="238"/>
      <c r="O50" s="240"/>
      <c r="P50" s="232"/>
      <c r="Q50" s="255"/>
      <c r="R50" s="255"/>
      <c r="S50" s="256"/>
      <c r="T50" s="255"/>
      <c r="U50" s="255"/>
      <c r="V50" s="255"/>
      <c r="W50" s="936"/>
      <c r="X50" s="936"/>
      <c r="Y50" s="256"/>
      <c r="Z50" s="256"/>
      <c r="AA50" s="937"/>
      <c r="AB50" s="255"/>
      <c r="AC50" s="255"/>
      <c r="AD50" s="933"/>
      <c r="AE50" s="933"/>
      <c r="AF50" s="934"/>
      <c r="AG50" s="934"/>
      <c r="AH50" s="934"/>
      <c r="AI50" s="934"/>
      <c r="AJ50" s="1011"/>
      <c r="AK50" s="934"/>
      <c r="AL50" s="934"/>
      <c r="AM50" s="934"/>
      <c r="AN50" s="935"/>
      <c r="AO50" s="1011"/>
      <c r="AP50" s="1011"/>
      <c r="AQ50" s="1011"/>
      <c r="AR50" s="1011"/>
      <c r="AS50" s="1011"/>
      <c r="AT50" s="1011"/>
      <c r="AU50" s="1011"/>
      <c r="AV50" s="261"/>
      <c r="AW50" s="224"/>
      <c r="AX50" s="224"/>
      <c r="AY50" s="1005"/>
      <c r="BA50" s="228"/>
    </row>
    <row r="51" spans="1:53" x14ac:dyDescent="0.35">
      <c r="B51" s="1014" t="s">
        <v>5065</v>
      </c>
      <c r="C51" s="1015"/>
      <c r="D51" s="1016"/>
      <c r="E51" s="1016"/>
      <c r="F51" s="1016"/>
      <c r="G51" s="1016"/>
      <c r="H51" s="1016"/>
      <c r="I51" s="1016"/>
      <c r="J51" s="1015"/>
      <c r="K51" s="1015"/>
      <c r="L51" s="1015"/>
      <c r="M51" s="1015"/>
      <c r="N51" s="1015"/>
      <c r="O51" s="1017"/>
      <c r="P51" s="1018"/>
      <c r="Q51" s="1019"/>
      <c r="R51" s="1019"/>
      <c r="S51" s="1019"/>
      <c r="T51" s="1019"/>
      <c r="U51" s="1019"/>
      <c r="V51" s="1019"/>
      <c r="W51" s="1019"/>
      <c r="X51" s="1019"/>
      <c r="Y51" s="1019"/>
      <c r="Z51" s="1019"/>
      <c r="AA51" s="1019"/>
      <c r="AB51" s="1019"/>
      <c r="AC51" s="1019"/>
      <c r="AD51" s="1019"/>
      <c r="AE51" s="1019"/>
      <c r="AF51" s="1019"/>
      <c r="AG51" s="1019"/>
      <c r="AH51" s="1019"/>
      <c r="AI51" s="1019"/>
      <c r="AJ51" s="1019"/>
      <c r="AK51" s="1019"/>
      <c r="AL51" s="1019"/>
      <c r="AM51" s="1019"/>
      <c r="AN51" s="1019"/>
      <c r="AO51" s="1019"/>
      <c r="AP51" s="1019"/>
      <c r="AQ51" s="1019"/>
      <c r="AR51" s="1019"/>
      <c r="AS51" s="1019"/>
      <c r="AT51" s="1019"/>
      <c r="AU51" s="1019"/>
      <c r="AV51" s="1016"/>
      <c r="AW51" s="1017"/>
      <c r="AX51" s="1017"/>
      <c r="AY51" s="1020"/>
      <c r="AZ51" s="1017"/>
      <c r="BA51" s="1020"/>
    </row>
    <row r="52" spans="1:53" x14ac:dyDescent="0.35">
      <c r="A52" s="226" t="s">
        <v>5066</v>
      </c>
      <c r="B52" s="219" t="s">
        <v>5066</v>
      </c>
      <c r="C52" s="238"/>
      <c r="D52" s="251"/>
      <c r="E52" s="252"/>
      <c r="F52" s="251"/>
      <c r="G52" s="251"/>
      <c r="H52" s="251"/>
      <c r="I52" s="252"/>
      <c r="J52" s="239"/>
      <c r="K52" s="239"/>
      <c r="L52" s="238"/>
      <c r="M52" s="238"/>
      <c r="N52" s="238"/>
      <c r="O52" s="240"/>
      <c r="P52" s="232"/>
      <c r="Q52" s="255"/>
      <c r="R52" s="255"/>
      <c r="S52" s="256"/>
      <c r="T52" s="255"/>
      <c r="U52" s="255"/>
      <c r="V52" s="255"/>
      <c r="W52" s="936"/>
      <c r="X52" s="936"/>
      <c r="Y52" s="256"/>
      <c r="Z52" s="256"/>
      <c r="AA52" s="937"/>
      <c r="AB52" s="255"/>
      <c r="AC52" s="255"/>
      <c r="AD52" s="933"/>
      <c r="AE52" s="933"/>
      <c r="AF52" s="934"/>
      <c r="AG52" s="934"/>
      <c r="AH52" s="934"/>
      <c r="AI52" s="934"/>
      <c r="AJ52" s="1011">
        <v>0</v>
      </c>
      <c r="AK52" s="934"/>
      <c r="AL52" s="934"/>
      <c r="AM52" s="934"/>
      <c r="AN52" s="935"/>
      <c r="AO52" s="1011">
        <v>-37.200000000000003</v>
      </c>
      <c r="AP52" s="1011">
        <v>-17</v>
      </c>
      <c r="AQ52" s="1011">
        <v>-20</v>
      </c>
      <c r="AR52" s="1011">
        <v>-42</v>
      </c>
      <c r="AS52" s="1011">
        <v>0</v>
      </c>
      <c r="AT52" s="1011">
        <v>-46.6</v>
      </c>
      <c r="AU52" s="1011"/>
      <c r="AV52" s="261"/>
      <c r="AW52" s="224"/>
      <c r="AX52" s="224"/>
      <c r="AY52" s="1005">
        <f>-19.89</f>
        <v>-19.89</v>
      </c>
      <c r="BA52" s="228">
        <f>-('Chemische Industrie'!AI38)/1000</f>
        <v>0</v>
      </c>
    </row>
    <row r="53" spans="1:53" x14ac:dyDescent="0.35">
      <c r="A53" s="226" t="s">
        <v>5067</v>
      </c>
      <c r="B53" s="219" t="s">
        <v>5067</v>
      </c>
      <c r="C53" s="238"/>
      <c r="D53" s="251"/>
      <c r="E53" s="252"/>
      <c r="F53" s="251"/>
      <c r="G53" s="251"/>
      <c r="H53" s="251"/>
      <c r="I53" s="252"/>
      <c r="J53" s="239"/>
      <c r="K53" s="239"/>
      <c r="L53" s="238"/>
      <c r="M53" s="238"/>
      <c r="N53" s="238"/>
      <c r="O53" s="240"/>
      <c r="P53" s="232"/>
      <c r="Q53" s="255"/>
      <c r="R53" s="255"/>
      <c r="S53" s="256"/>
      <c r="T53" s="255"/>
      <c r="U53" s="255"/>
      <c r="V53" s="255"/>
      <c r="W53" s="936"/>
      <c r="X53" s="936"/>
      <c r="Y53" s="256"/>
      <c r="Z53" s="256"/>
      <c r="AA53" s="937"/>
      <c r="AB53" s="255"/>
      <c r="AC53" s="255"/>
      <c r="AD53" s="933"/>
      <c r="AE53" s="933"/>
      <c r="AF53" s="934"/>
      <c r="AG53" s="934"/>
      <c r="AH53" s="934"/>
      <c r="AI53" s="934"/>
      <c r="AJ53" s="1011">
        <v>0</v>
      </c>
      <c r="AK53" s="934"/>
      <c r="AL53" s="934"/>
      <c r="AM53" s="934"/>
      <c r="AN53" s="935"/>
      <c r="AO53" s="1011">
        <v>-20</v>
      </c>
      <c r="AP53" s="1011">
        <v>0</v>
      </c>
      <c r="AQ53" s="1011">
        <v>-14</v>
      </c>
      <c r="AR53" s="1011">
        <v>0</v>
      </c>
      <c r="AS53" s="1011">
        <v>0</v>
      </c>
      <c r="AT53" s="1011">
        <v>0</v>
      </c>
      <c r="AU53" s="1011">
        <v>-40</v>
      </c>
      <c r="AV53" s="261"/>
      <c r="AW53" s="224"/>
      <c r="AX53" s="224"/>
      <c r="AY53" s="1005">
        <v>-56.711523307974851</v>
      </c>
      <c r="BA53" s="228">
        <f>-('Chemische Industrie'!AI35-'Chemische Industrie'!AI71-'Chemische Industrie'!AI70)/1000</f>
        <v>0</v>
      </c>
    </row>
    <row r="54" spans="1:53" x14ac:dyDescent="0.35">
      <c r="A54" s="226" t="s">
        <v>5068</v>
      </c>
      <c r="B54" s="219" t="s">
        <v>5069</v>
      </c>
      <c r="C54" s="238"/>
      <c r="D54" s="251"/>
      <c r="E54" s="252"/>
      <c r="F54" s="251"/>
      <c r="G54" s="251"/>
      <c r="H54" s="251"/>
      <c r="I54" s="252"/>
      <c r="J54" s="239"/>
      <c r="K54" s="239"/>
      <c r="L54" s="238"/>
      <c r="M54" s="238"/>
      <c r="N54" s="238"/>
      <c r="O54" s="240"/>
      <c r="P54" s="232"/>
      <c r="Q54" s="255"/>
      <c r="R54" s="255"/>
      <c r="S54" s="256"/>
      <c r="T54" s="255"/>
      <c r="U54" s="255"/>
      <c r="V54" s="255"/>
      <c r="W54" s="936"/>
      <c r="X54" s="936"/>
      <c r="Y54" s="256"/>
      <c r="Z54" s="256"/>
      <c r="AA54" s="937"/>
      <c r="AB54" s="255"/>
      <c r="AC54" s="255"/>
      <c r="AD54" s="933"/>
      <c r="AE54" s="933"/>
      <c r="AF54" s="934"/>
      <c r="AG54" s="934"/>
      <c r="AH54" s="934"/>
      <c r="AI54" s="934"/>
      <c r="AJ54" s="1011">
        <v>0</v>
      </c>
      <c r="AK54" s="934"/>
      <c r="AL54" s="934"/>
      <c r="AM54" s="934"/>
      <c r="AN54" s="935"/>
      <c r="AO54" s="1011">
        <v>-7.4</v>
      </c>
      <c r="AP54" s="1011">
        <v>-12</v>
      </c>
      <c r="AQ54" s="1011">
        <v>0</v>
      </c>
      <c r="AR54" s="1011">
        <v>0</v>
      </c>
      <c r="AS54" s="1011">
        <v>0</v>
      </c>
      <c r="AT54" s="1011">
        <v>0</v>
      </c>
      <c r="AU54" s="1011"/>
      <c r="AV54" s="261"/>
      <c r="AW54" s="224"/>
      <c r="AX54" s="224"/>
      <c r="AY54" s="1005"/>
      <c r="BA54" s="228"/>
    </row>
    <row r="55" spans="1:53" x14ac:dyDescent="0.35">
      <c r="A55" s="226" t="s">
        <v>5070</v>
      </c>
      <c r="B55" s="219" t="s">
        <v>5070</v>
      </c>
      <c r="C55" s="238"/>
      <c r="D55" s="251"/>
      <c r="E55" s="252"/>
      <c r="F55" s="251"/>
      <c r="G55" s="251"/>
      <c r="H55" s="251"/>
      <c r="I55" s="252"/>
      <c r="J55" s="239"/>
      <c r="K55" s="239"/>
      <c r="L55" s="238"/>
      <c r="M55" s="238"/>
      <c r="N55" s="238"/>
      <c r="O55" s="240"/>
      <c r="P55" s="232"/>
      <c r="Q55" s="255"/>
      <c r="R55" s="255"/>
      <c r="S55" s="256"/>
      <c r="T55" s="255"/>
      <c r="U55" s="255"/>
      <c r="V55" s="255"/>
      <c r="W55" s="936"/>
      <c r="X55" s="936"/>
      <c r="Y55" s="256"/>
      <c r="Z55" s="256"/>
      <c r="AA55" s="937"/>
      <c r="AB55" s="255"/>
      <c r="AC55" s="255"/>
      <c r="AD55" s="933"/>
      <c r="AE55" s="933"/>
      <c r="AF55" s="934"/>
      <c r="AG55" s="934"/>
      <c r="AH55" s="934"/>
      <c r="AI55" s="934"/>
      <c r="AJ55" s="1011">
        <v>0</v>
      </c>
      <c r="AK55" s="934"/>
      <c r="AL55" s="934"/>
      <c r="AM55" s="934"/>
      <c r="AN55" s="935"/>
      <c r="AO55" s="1011">
        <v>0</v>
      </c>
      <c r="AP55" s="1011">
        <v>-41</v>
      </c>
      <c r="AQ55" s="1011">
        <v>-25</v>
      </c>
      <c r="AR55" s="1011">
        <v>-3</v>
      </c>
      <c r="AS55" s="1011">
        <v>0</v>
      </c>
      <c r="AT55" s="1011"/>
      <c r="AU55" s="1011">
        <v>-40</v>
      </c>
      <c r="AV55" s="261"/>
      <c r="AW55" s="224"/>
      <c r="AX55" s="224"/>
      <c r="AY55" s="1005"/>
      <c r="BA55" s="228"/>
    </row>
    <row r="56" spans="1:53" x14ac:dyDescent="0.35">
      <c r="A56" s="226" t="s">
        <v>1408</v>
      </c>
      <c r="B56" s="229" t="s">
        <v>1229</v>
      </c>
      <c r="C56" s="238"/>
      <c r="D56" s="251"/>
      <c r="E56" s="252"/>
      <c r="F56" s="251"/>
      <c r="G56" s="251"/>
      <c r="H56" s="251"/>
      <c r="I56" s="252"/>
      <c r="J56" s="239"/>
      <c r="K56" s="239"/>
      <c r="L56" s="238"/>
      <c r="M56" s="238"/>
      <c r="N56" s="238"/>
      <c r="O56" s="240"/>
      <c r="P56" s="232"/>
      <c r="Q56" s="255"/>
      <c r="R56" s="255"/>
      <c r="S56" s="256"/>
      <c r="T56" s="233"/>
      <c r="U56" s="255"/>
      <c r="V56" s="255"/>
      <c r="W56" s="936"/>
      <c r="X56" s="936"/>
      <c r="Y56" s="256"/>
      <c r="Z56" s="256"/>
      <c r="AA56" s="937"/>
      <c r="AB56" s="255"/>
      <c r="AC56" s="255"/>
      <c r="AD56" s="933"/>
      <c r="AE56" s="933"/>
      <c r="AF56" s="934"/>
      <c r="AG56" s="934"/>
      <c r="AH56" s="934"/>
      <c r="AI56" s="934"/>
      <c r="AJ56" s="1011">
        <v>0</v>
      </c>
      <c r="AK56" s="934"/>
      <c r="AL56" s="934"/>
      <c r="AM56" s="934"/>
      <c r="AN56" s="935"/>
      <c r="AO56" s="1011">
        <f t="shared" ref="AO56:AT56" si="8">SUM(AO52:AO55)</f>
        <v>-64.600000000000009</v>
      </c>
      <c r="AP56" s="1011">
        <f t="shared" si="8"/>
        <v>-70</v>
      </c>
      <c r="AQ56" s="1011">
        <f t="shared" si="8"/>
        <v>-59</v>
      </c>
      <c r="AR56" s="1011">
        <f t="shared" si="8"/>
        <v>-45</v>
      </c>
      <c r="AS56" s="1011">
        <f t="shared" si="8"/>
        <v>0</v>
      </c>
      <c r="AT56" s="1011">
        <f t="shared" si="8"/>
        <v>-46.6</v>
      </c>
      <c r="AU56" s="1011">
        <f>SUM(AU52:AU55)</f>
        <v>-80</v>
      </c>
      <c r="AV56" s="224"/>
      <c r="AW56" s="224"/>
      <c r="AX56" s="224"/>
      <c r="AY56" s="1011">
        <f>SUM(AY52:AY55)</f>
        <v>-76.601523307974844</v>
      </c>
      <c r="BA56" s="1011">
        <f>SUM(BA52:BA55)</f>
        <v>0</v>
      </c>
    </row>
    <row r="57" spans="1:53" x14ac:dyDescent="0.35">
      <c r="B57" s="219"/>
      <c r="C57" s="238"/>
      <c r="D57" s="251"/>
      <c r="E57" s="252"/>
      <c r="F57" s="251"/>
      <c r="G57" s="251"/>
      <c r="H57" s="251"/>
      <c r="I57" s="252"/>
      <c r="J57" s="239"/>
      <c r="K57" s="239"/>
      <c r="L57" s="238"/>
      <c r="M57" s="238"/>
      <c r="N57" s="238"/>
      <c r="O57" s="240"/>
      <c r="P57" s="232"/>
      <c r="Q57" s="255"/>
      <c r="R57" s="255"/>
      <c r="S57" s="256"/>
      <c r="T57" s="233"/>
      <c r="U57" s="255"/>
      <c r="V57" s="255"/>
      <c r="W57" s="936"/>
      <c r="X57" s="936"/>
      <c r="Y57" s="256"/>
      <c r="Z57" s="256"/>
      <c r="AA57" s="937"/>
      <c r="AB57" s="255"/>
      <c r="AC57" s="255"/>
      <c r="AD57" s="933"/>
      <c r="AE57" s="933"/>
      <c r="AF57" s="934"/>
      <c r="AG57" s="934"/>
      <c r="AH57" s="934"/>
      <c r="AI57" s="934"/>
      <c r="AJ57" s="1011"/>
      <c r="AK57" s="934"/>
      <c r="AL57" s="934"/>
      <c r="AM57" s="934"/>
      <c r="AN57" s="935"/>
      <c r="AO57" s="1011"/>
      <c r="AP57" s="1011"/>
      <c r="AQ57" s="1011"/>
      <c r="AR57" s="1011"/>
      <c r="AS57" s="1011"/>
      <c r="AT57" s="1011"/>
      <c r="AU57" s="1011"/>
      <c r="AV57" s="224"/>
      <c r="AW57" s="224"/>
      <c r="AX57" s="224"/>
      <c r="AY57" s="1005"/>
      <c r="BA57" s="228"/>
    </row>
    <row r="58" spans="1:53" x14ac:dyDescent="0.35">
      <c r="B58" s="229" t="s">
        <v>1790</v>
      </c>
      <c r="C58" s="238"/>
      <c r="D58" s="251"/>
      <c r="E58" s="252"/>
      <c r="F58" s="251"/>
      <c r="G58" s="251"/>
      <c r="H58" s="251"/>
      <c r="I58" s="252"/>
      <c r="J58" s="239"/>
      <c r="K58" s="239"/>
      <c r="L58" s="238"/>
      <c r="M58" s="238"/>
      <c r="N58" s="238"/>
      <c r="O58" s="240"/>
      <c r="P58" s="232"/>
      <c r="Q58" s="255"/>
      <c r="R58" s="255"/>
      <c r="S58" s="256"/>
      <c r="T58" s="233"/>
      <c r="U58" s="255"/>
      <c r="V58" s="255"/>
      <c r="W58" s="936"/>
      <c r="X58" s="936"/>
      <c r="Y58" s="256"/>
      <c r="Z58" s="256"/>
      <c r="AA58" s="937"/>
      <c r="AB58" s="255"/>
      <c r="AC58" s="255"/>
      <c r="AD58" s="933"/>
      <c r="AE58" s="933"/>
      <c r="AF58" s="934"/>
      <c r="AG58" s="934"/>
      <c r="AH58" s="934"/>
      <c r="AI58" s="934"/>
      <c r="AJ58" s="1011"/>
      <c r="AK58" s="934"/>
      <c r="AL58" s="934"/>
      <c r="AM58" s="934"/>
      <c r="AN58" s="935"/>
      <c r="AO58" s="1011"/>
      <c r="AP58" s="1011"/>
      <c r="AQ58" s="1011"/>
      <c r="AR58" s="1011"/>
      <c r="AS58" s="1011"/>
      <c r="AT58" s="1011"/>
      <c r="AU58" s="1011"/>
      <c r="AV58" s="224"/>
      <c r="AW58" s="224"/>
      <c r="AX58" s="224"/>
      <c r="AY58" s="1005"/>
      <c r="BA58" s="228"/>
    </row>
    <row r="59" spans="1:53" x14ac:dyDescent="0.35">
      <c r="B59" s="219" t="s">
        <v>1791</v>
      </c>
      <c r="C59" s="238"/>
      <c r="D59" s="251"/>
      <c r="E59" s="252"/>
      <c r="F59" s="262">
        <v>8.4000000000000005E-2</v>
      </c>
      <c r="G59" s="262"/>
      <c r="H59" s="262"/>
      <c r="I59" s="252"/>
      <c r="J59" s="239"/>
      <c r="K59" s="239"/>
      <c r="L59" s="263"/>
      <c r="M59" s="263">
        <v>6.5000000000000002E-2</v>
      </c>
      <c r="N59" s="263">
        <v>1.4500000000000001E-2</v>
      </c>
      <c r="O59" s="240"/>
      <c r="P59" s="232"/>
      <c r="Q59" s="255"/>
      <c r="R59" s="245">
        <v>0.05</v>
      </c>
      <c r="S59" s="256"/>
      <c r="T59" s="233"/>
      <c r="U59" s="245">
        <v>0</v>
      </c>
      <c r="V59" s="245">
        <v>0</v>
      </c>
      <c r="W59" s="938">
        <v>0</v>
      </c>
      <c r="X59" s="938">
        <v>0</v>
      </c>
      <c r="Y59" s="256"/>
      <c r="Z59" s="244">
        <v>7.3200000000000001E-2</v>
      </c>
      <c r="AA59" s="923">
        <v>4.9000000000000002E-2</v>
      </c>
      <c r="AB59" s="245">
        <v>0</v>
      </c>
      <c r="AC59" s="245">
        <v>0</v>
      </c>
      <c r="AD59" s="924"/>
      <c r="AE59" s="924"/>
      <c r="AF59" s="925"/>
      <c r="AG59" s="925"/>
      <c r="AH59" s="925"/>
      <c r="AI59" s="925"/>
      <c r="AJ59" s="1006"/>
      <c r="AK59" s="925"/>
      <c r="AL59" s="925"/>
      <c r="AM59" s="925"/>
      <c r="AN59" s="926"/>
      <c r="AO59" s="1006"/>
      <c r="AP59" s="1006"/>
      <c r="AQ59" s="1006"/>
      <c r="AR59" s="1006"/>
      <c r="AS59" s="1006"/>
      <c r="AT59" s="1006"/>
      <c r="AU59" s="1006"/>
      <c r="AV59" s="264">
        <v>2.4469426947136476E-2</v>
      </c>
      <c r="AW59" s="224"/>
      <c r="AX59" s="224"/>
      <c r="AY59" s="1021">
        <v>7.9552163739208315E-2</v>
      </c>
      <c r="BA59" s="1022" t="e">
        <f>'Verkehr - Bestand'!R5</f>
        <v>#N/A</v>
      </c>
    </row>
    <row r="60" spans="1:53" x14ac:dyDescent="0.35">
      <c r="B60" s="219" t="s">
        <v>1792</v>
      </c>
      <c r="C60" s="238"/>
      <c r="D60" s="251"/>
      <c r="E60" s="252"/>
      <c r="F60" s="262">
        <v>0.183</v>
      </c>
      <c r="G60" s="262"/>
      <c r="H60" s="262"/>
      <c r="I60" s="252"/>
      <c r="J60" s="239"/>
      <c r="K60" s="239"/>
      <c r="L60" s="263"/>
      <c r="M60" s="263">
        <v>8.3000000000000004E-2</v>
      </c>
      <c r="N60" s="263">
        <v>2.8000000000000001E-2</v>
      </c>
      <c r="O60" s="240"/>
      <c r="P60" s="232"/>
      <c r="Q60" s="255"/>
      <c r="R60" s="245">
        <v>0.21</v>
      </c>
      <c r="S60" s="256"/>
      <c r="T60" s="233"/>
      <c r="U60" s="245">
        <v>5.0000000000000001E-3</v>
      </c>
      <c r="V60" s="245">
        <v>0</v>
      </c>
      <c r="W60" s="938">
        <v>5.0000000000000001E-3</v>
      </c>
      <c r="X60" s="938">
        <v>0</v>
      </c>
      <c r="Y60" s="256"/>
      <c r="Z60" s="244">
        <v>9.7600000000000006E-2</v>
      </c>
      <c r="AA60" s="923">
        <v>2.4E-2</v>
      </c>
      <c r="AB60" s="245">
        <v>0</v>
      </c>
      <c r="AC60" s="245">
        <v>0</v>
      </c>
      <c r="AD60" s="924"/>
      <c r="AE60" s="924"/>
      <c r="AF60" s="925"/>
      <c r="AG60" s="925"/>
      <c r="AH60" s="925"/>
      <c r="AI60" s="925"/>
      <c r="AJ60" s="1006"/>
      <c r="AK60" s="925"/>
      <c r="AL60" s="925"/>
      <c r="AM60" s="925"/>
      <c r="AN60" s="926"/>
      <c r="AO60" s="1006"/>
      <c r="AP60" s="1006"/>
      <c r="AQ60" s="1006"/>
      <c r="AR60" s="1006"/>
      <c r="AS60" s="1006"/>
      <c r="AT60" s="1006"/>
      <c r="AU60" s="1006"/>
      <c r="AV60" s="264">
        <v>0.20930221891387335</v>
      </c>
      <c r="AW60" s="224"/>
      <c r="AX60" s="224"/>
      <c r="AY60" s="1021">
        <v>6.1498702282876037E-2</v>
      </c>
      <c r="BA60" s="1022" t="e">
        <f>'Verkehr - Bestand'!R7</f>
        <v>#N/A</v>
      </c>
    </row>
    <row r="61" spans="1:53" x14ac:dyDescent="0.35">
      <c r="B61" s="219" t="s">
        <v>1537</v>
      </c>
      <c r="C61" s="238"/>
      <c r="D61" s="251"/>
      <c r="E61" s="252"/>
      <c r="F61" s="262">
        <v>0.22800000000000001</v>
      </c>
      <c r="G61" s="262"/>
      <c r="H61" s="262"/>
      <c r="I61" s="252"/>
      <c r="J61" s="239"/>
      <c r="K61" s="239"/>
      <c r="L61" s="263"/>
      <c r="M61" s="263">
        <v>0</v>
      </c>
      <c r="N61" s="263">
        <v>0</v>
      </c>
      <c r="O61" s="240"/>
      <c r="P61" s="232"/>
      <c r="Q61" s="255"/>
      <c r="R61" s="245">
        <v>0</v>
      </c>
      <c r="S61" s="256"/>
      <c r="T61" s="233"/>
      <c r="U61" s="245">
        <v>0.155</v>
      </c>
      <c r="V61" s="245">
        <v>0.28499999999999998</v>
      </c>
      <c r="W61" s="938">
        <v>0.155</v>
      </c>
      <c r="X61" s="938">
        <v>0.28499999999999998</v>
      </c>
      <c r="Y61" s="256"/>
      <c r="Z61" s="244">
        <v>2.4E-2</v>
      </c>
      <c r="AA61" s="923">
        <v>4.9000000000000002E-2</v>
      </c>
      <c r="AB61" s="245">
        <v>0.05</v>
      </c>
      <c r="AC61" s="245">
        <v>0.16500000000000001</v>
      </c>
      <c r="AD61" s="924"/>
      <c r="AE61" s="924"/>
      <c r="AF61" s="925"/>
      <c r="AG61" s="925"/>
      <c r="AH61" s="925"/>
      <c r="AI61" s="925"/>
      <c r="AJ61" s="1006"/>
      <c r="AK61" s="925"/>
      <c r="AL61" s="925"/>
      <c r="AM61" s="925"/>
      <c r="AN61" s="926"/>
      <c r="AO61" s="1006"/>
      <c r="AP61" s="1006"/>
      <c r="AQ61" s="1006"/>
      <c r="AR61" s="1006"/>
      <c r="AS61" s="1006"/>
      <c r="AT61" s="1006"/>
      <c r="AU61" s="1006"/>
      <c r="AV61" s="264">
        <v>0.29966811681418964</v>
      </c>
      <c r="AW61" s="224"/>
      <c r="AX61" s="224"/>
      <c r="AY61" s="1021">
        <v>0.21395239512128128</v>
      </c>
      <c r="BA61" s="1022" t="e">
        <f>'Verkehr - Bestand'!R6</f>
        <v>#N/A</v>
      </c>
    </row>
    <row r="62" spans="1:53" x14ac:dyDescent="0.35">
      <c r="B62" s="219" t="s">
        <v>1793</v>
      </c>
      <c r="C62" s="238"/>
      <c r="D62" s="251"/>
      <c r="E62" s="252"/>
      <c r="F62" s="262">
        <v>0.30399999999999999</v>
      </c>
      <c r="G62" s="262"/>
      <c r="H62" s="262"/>
      <c r="I62" s="252"/>
      <c r="J62" s="239"/>
      <c r="K62" s="239"/>
      <c r="L62" s="263"/>
      <c r="M62" s="263">
        <v>0.50739999999999996</v>
      </c>
      <c r="N62" s="263">
        <v>0.67200000000000004</v>
      </c>
      <c r="O62" s="240"/>
      <c r="P62" s="232"/>
      <c r="Q62" s="255"/>
      <c r="R62" s="245">
        <v>0.37</v>
      </c>
      <c r="S62" s="256"/>
      <c r="T62" s="233"/>
      <c r="U62" s="245">
        <v>0.71</v>
      </c>
      <c r="V62" s="245">
        <v>0.28499999999999998</v>
      </c>
      <c r="W62" s="938">
        <v>0.71</v>
      </c>
      <c r="X62" s="938">
        <v>0.28499999999999998</v>
      </c>
      <c r="Y62" s="256"/>
      <c r="Z62" s="244">
        <v>0.51200000000000001</v>
      </c>
      <c r="AA62" s="923">
        <v>0.68300000000000005</v>
      </c>
      <c r="AB62" s="245">
        <v>0.66</v>
      </c>
      <c r="AC62" s="245">
        <v>0.25</v>
      </c>
      <c r="AD62" s="924"/>
      <c r="AE62" s="924"/>
      <c r="AF62" s="925"/>
      <c r="AG62" s="925"/>
      <c r="AH62" s="925"/>
      <c r="AI62" s="925"/>
      <c r="AJ62" s="1006"/>
      <c r="AK62" s="925"/>
      <c r="AL62" s="925"/>
      <c r="AM62" s="925"/>
      <c r="AN62" s="926"/>
      <c r="AO62" s="1006"/>
      <c r="AP62" s="1006"/>
      <c r="AQ62" s="1006"/>
      <c r="AR62" s="1006"/>
      <c r="AS62" s="1006"/>
      <c r="AT62" s="1006"/>
      <c r="AU62" s="1006"/>
      <c r="AV62" s="264">
        <v>0.20670536221569363</v>
      </c>
      <c r="AW62" s="224"/>
      <c r="AX62" s="224"/>
      <c r="AY62" s="1021">
        <v>0.62547565680155826</v>
      </c>
      <c r="BA62" s="1022" t="e">
        <f>'Verkehr - Bestand'!R4</f>
        <v>#N/A</v>
      </c>
    </row>
    <row r="63" spans="1:53" x14ac:dyDescent="0.35">
      <c r="B63" s="219" t="s">
        <v>1205</v>
      </c>
      <c r="C63" s="238"/>
      <c r="D63" s="251"/>
      <c r="E63" s="252"/>
      <c r="F63" s="262">
        <v>0</v>
      </c>
      <c r="G63" s="262"/>
      <c r="H63" s="262"/>
      <c r="I63" s="252"/>
      <c r="J63" s="239"/>
      <c r="K63" s="239"/>
      <c r="L63" s="263"/>
      <c r="M63" s="263">
        <v>8.3099999999999993E-2</v>
      </c>
      <c r="N63" s="263">
        <v>0</v>
      </c>
      <c r="O63" s="240"/>
      <c r="P63" s="232"/>
      <c r="Q63" s="255"/>
      <c r="R63" s="245">
        <v>0.01</v>
      </c>
      <c r="S63" s="256"/>
      <c r="T63" s="233"/>
      <c r="U63" s="245">
        <v>0</v>
      </c>
      <c r="V63" s="245">
        <v>5.3999999999999999E-2</v>
      </c>
      <c r="W63" s="938">
        <v>0</v>
      </c>
      <c r="X63" s="938">
        <v>5.3999999999999999E-2</v>
      </c>
      <c r="Y63" s="256"/>
      <c r="Z63" s="244">
        <v>7.2999999999999995E-2</v>
      </c>
      <c r="AA63" s="923">
        <v>4.9000000000000002E-2</v>
      </c>
      <c r="AB63" s="245">
        <v>0</v>
      </c>
      <c r="AC63" s="245">
        <v>0.11799999999999999</v>
      </c>
      <c r="AD63" s="924"/>
      <c r="AE63" s="924"/>
      <c r="AF63" s="925"/>
      <c r="AG63" s="925"/>
      <c r="AH63" s="925"/>
      <c r="AI63" s="925"/>
      <c r="AJ63" s="1006"/>
      <c r="AK63" s="925"/>
      <c r="AL63" s="925"/>
      <c r="AM63" s="925"/>
      <c r="AN63" s="926"/>
      <c r="AO63" s="1006"/>
      <c r="AP63" s="1006"/>
      <c r="AQ63" s="1006"/>
      <c r="AR63" s="1006"/>
      <c r="AS63" s="1006"/>
      <c r="AT63" s="1006"/>
      <c r="AU63" s="1006"/>
      <c r="AV63" s="264">
        <v>0</v>
      </c>
      <c r="AW63" s="224"/>
      <c r="AX63" s="224"/>
      <c r="AY63" s="1021">
        <v>0</v>
      </c>
      <c r="BA63" s="226">
        <v>0</v>
      </c>
    </row>
    <row r="64" spans="1:53" x14ac:dyDescent="0.35">
      <c r="B64" s="219" t="s">
        <v>1794</v>
      </c>
      <c r="C64" s="238"/>
      <c r="D64" s="251"/>
      <c r="E64" s="252"/>
      <c r="F64" s="262">
        <v>0.19950000000000001</v>
      </c>
      <c r="G64" s="262"/>
      <c r="H64" s="262"/>
      <c r="I64" s="252"/>
      <c r="J64" s="239"/>
      <c r="K64" s="239"/>
      <c r="L64" s="263"/>
      <c r="M64" s="263">
        <f>1-SUM(M59:M63)</f>
        <v>0.26150000000000007</v>
      </c>
      <c r="N64" s="263">
        <f>1-SUM(N59:N63)</f>
        <v>0.28549999999999998</v>
      </c>
      <c r="O64" s="240"/>
      <c r="P64" s="232"/>
      <c r="Q64" s="255"/>
      <c r="R64" s="245">
        <f>1-SUM(R59:R63)</f>
        <v>0.36</v>
      </c>
      <c r="S64" s="256"/>
      <c r="T64" s="233"/>
      <c r="U64" s="245">
        <f>1-SUM(U59:U63)</f>
        <v>0.13</v>
      </c>
      <c r="V64" s="245">
        <f t="shared" ref="V64:AC64" si="9">1-SUM(V59:V63)</f>
        <v>0.376</v>
      </c>
      <c r="W64" s="938">
        <f t="shared" si="9"/>
        <v>0.13</v>
      </c>
      <c r="X64" s="938">
        <f t="shared" si="9"/>
        <v>0.376</v>
      </c>
      <c r="Y64" s="256"/>
      <c r="Z64" s="244">
        <f t="shared" si="9"/>
        <v>0.22020000000000006</v>
      </c>
      <c r="AA64" s="923">
        <f t="shared" si="9"/>
        <v>0.14599999999999991</v>
      </c>
      <c r="AB64" s="245">
        <f t="shared" si="9"/>
        <v>0.28999999999999992</v>
      </c>
      <c r="AC64" s="245">
        <f t="shared" si="9"/>
        <v>0.46699999999999997</v>
      </c>
      <c r="AD64" s="924"/>
      <c r="AE64" s="924"/>
      <c r="AF64" s="925"/>
      <c r="AG64" s="925"/>
      <c r="AH64" s="925"/>
      <c r="AI64" s="925"/>
      <c r="AJ64" s="1006"/>
      <c r="AK64" s="925"/>
      <c r="AL64" s="925"/>
      <c r="AM64" s="925"/>
      <c r="AN64" s="926"/>
      <c r="AO64" s="1006"/>
      <c r="AP64" s="1006"/>
      <c r="AQ64" s="1006"/>
      <c r="AR64" s="1006"/>
      <c r="AS64" s="1006"/>
      <c r="AT64" s="1006"/>
      <c r="AU64" s="1006"/>
      <c r="AV64" s="264">
        <v>0.25985487510910688</v>
      </c>
      <c r="AW64" s="224"/>
      <c r="AX64" s="224"/>
      <c r="AY64" s="1021">
        <v>1.9521082055075967E-2</v>
      </c>
      <c r="BA64" s="1022" t="e">
        <f>'Verkehr - Bestand'!R8+'Verkehr - Bestand'!R9</f>
        <v>#N/A</v>
      </c>
    </row>
    <row r="65" spans="1:54" x14ac:dyDescent="0.35">
      <c r="B65" s="219"/>
      <c r="C65" s="238"/>
      <c r="D65" s="251"/>
      <c r="E65" s="252"/>
      <c r="F65" s="251"/>
      <c r="G65" s="251"/>
      <c r="H65" s="251"/>
      <c r="I65" s="252"/>
      <c r="J65" s="239"/>
      <c r="K65" s="239"/>
      <c r="L65" s="238"/>
      <c r="M65" s="238"/>
      <c r="N65" s="238"/>
      <c r="O65" s="240"/>
      <c r="P65" s="232"/>
      <c r="Q65" s="255"/>
      <c r="R65" s="255"/>
      <c r="S65" s="256"/>
      <c r="T65" s="233"/>
      <c r="U65" s="255"/>
      <c r="V65" s="255"/>
      <c r="W65" s="936"/>
      <c r="X65" s="936"/>
      <c r="Y65" s="256"/>
      <c r="Z65" s="256"/>
      <c r="AA65" s="937"/>
      <c r="AB65" s="255"/>
      <c r="AC65" s="255"/>
      <c r="AD65" s="933"/>
      <c r="AE65" s="933"/>
      <c r="AF65" s="934"/>
      <c r="AG65" s="934"/>
      <c r="AH65" s="934"/>
      <c r="AI65" s="934"/>
      <c r="AJ65" s="1011"/>
      <c r="AK65" s="934"/>
      <c r="AL65" s="934"/>
      <c r="AM65" s="934"/>
      <c r="AN65" s="935"/>
      <c r="AO65" s="1011"/>
      <c r="AP65" s="1011"/>
      <c r="AQ65" s="1011"/>
      <c r="AR65" s="1011"/>
      <c r="AS65" s="1011"/>
      <c r="AT65" s="1011"/>
      <c r="AU65" s="1011"/>
      <c r="AV65" s="224"/>
      <c r="AW65" s="224"/>
      <c r="AX65" s="224"/>
      <c r="AY65" s="1005"/>
      <c r="BA65" s="228"/>
    </row>
    <row r="66" spans="1:54" x14ac:dyDescent="0.35">
      <c r="B66" s="219"/>
      <c r="C66" s="238"/>
      <c r="D66" s="251"/>
      <c r="E66" s="252"/>
      <c r="F66" s="251"/>
      <c r="G66" s="251"/>
      <c r="H66" s="251"/>
      <c r="I66" s="252"/>
      <c r="J66" s="239"/>
      <c r="K66" s="239"/>
      <c r="L66" s="238"/>
      <c r="M66" s="238"/>
      <c r="N66" s="238"/>
      <c r="O66" s="240"/>
      <c r="P66" s="232"/>
      <c r="Q66" s="255"/>
      <c r="R66" s="255"/>
      <c r="S66" s="256"/>
      <c r="T66" s="233"/>
      <c r="U66" s="255"/>
      <c r="V66" s="255"/>
      <c r="W66" s="936"/>
      <c r="X66" s="936"/>
      <c r="Y66" s="256"/>
      <c r="Z66" s="256"/>
      <c r="AA66" s="937"/>
      <c r="AB66" s="255"/>
      <c r="AC66" s="255"/>
      <c r="AD66" s="933"/>
      <c r="AE66" s="933"/>
      <c r="AF66" s="934"/>
      <c r="AG66" s="934"/>
      <c r="AH66" s="934"/>
      <c r="AI66" s="934"/>
      <c r="AJ66" s="1011"/>
      <c r="AK66" s="934"/>
      <c r="AL66" s="934"/>
      <c r="AM66" s="934"/>
      <c r="AN66" s="935"/>
      <c r="AO66" s="1011"/>
      <c r="AP66" s="1011"/>
      <c r="AQ66" s="1011"/>
      <c r="AR66" s="1011"/>
      <c r="AS66" s="1011"/>
      <c r="AT66" s="1011"/>
      <c r="AU66" s="1011"/>
      <c r="AV66" s="224"/>
      <c r="AW66" s="224"/>
      <c r="AX66" s="224"/>
      <c r="AY66" s="1005"/>
      <c r="BA66" s="228"/>
    </row>
    <row r="67" spans="1:54" x14ac:dyDescent="0.35">
      <c r="A67" s="1023" t="s">
        <v>1462</v>
      </c>
      <c r="B67" s="1024"/>
      <c r="C67" s="1025"/>
      <c r="D67" s="1026"/>
      <c r="E67" s="1026"/>
      <c r="F67" s="1026"/>
      <c r="G67" s="1026"/>
      <c r="H67" s="1026"/>
      <c r="I67" s="1026"/>
      <c r="J67" s="1025"/>
      <c r="K67" s="1025"/>
      <c r="L67" s="1025"/>
      <c r="M67" s="1025"/>
      <c r="N67" s="1025"/>
      <c r="O67" s="1027"/>
      <c r="P67" s="1028"/>
      <c r="Q67" s="1029"/>
      <c r="R67" s="1029"/>
      <c r="S67" s="1029"/>
      <c r="T67" s="1030"/>
      <c r="U67" s="1029"/>
      <c r="V67" s="1029"/>
      <c r="W67" s="1029"/>
      <c r="X67" s="1029"/>
      <c r="Y67" s="1029"/>
      <c r="Z67" s="1029"/>
      <c r="AA67" s="1029"/>
      <c r="AB67" s="1029"/>
      <c r="AC67" s="1029"/>
      <c r="AD67" s="1029"/>
      <c r="AE67" s="1029"/>
      <c r="AF67" s="1029"/>
      <c r="AG67" s="1029"/>
      <c r="AH67" s="1029"/>
      <c r="AI67" s="1029"/>
      <c r="AJ67" s="1029"/>
      <c r="AK67" s="1029"/>
      <c r="AL67" s="1029"/>
      <c r="AM67" s="1029"/>
      <c r="AN67" s="1029"/>
      <c r="AO67" s="1029"/>
      <c r="AP67" s="1029"/>
      <c r="AQ67" s="1029"/>
      <c r="AR67" s="1029"/>
      <c r="AS67" s="1029"/>
      <c r="AT67" s="1029"/>
      <c r="AU67" s="1029"/>
      <c r="AV67" s="1027"/>
      <c r="AW67" s="1027"/>
      <c r="AX67" s="1027"/>
      <c r="AY67" s="1024"/>
      <c r="AZ67" s="1027" t="s">
        <v>5071</v>
      </c>
      <c r="BA67" s="1024"/>
      <c r="BB67" s="226" t="s">
        <v>5072</v>
      </c>
    </row>
    <row r="68" spans="1:54" x14ac:dyDescent="0.35">
      <c r="A68" s="229" t="s">
        <v>1462</v>
      </c>
      <c r="B68" s="219" t="s">
        <v>1471</v>
      </c>
      <c r="C68" s="238"/>
      <c r="D68" s="251">
        <v>34</v>
      </c>
      <c r="E68" s="252">
        <v>120</v>
      </c>
      <c r="F68" s="251">
        <v>67.2</v>
      </c>
      <c r="G68" s="251"/>
      <c r="H68" s="251"/>
      <c r="I68" s="252">
        <v>200</v>
      </c>
      <c r="J68" s="239"/>
      <c r="K68" s="239">
        <v>75</v>
      </c>
      <c r="L68" s="238"/>
      <c r="M68" s="238">
        <v>121.3</v>
      </c>
      <c r="N68" s="238">
        <v>130</v>
      </c>
      <c r="O68" s="240">
        <v>415</v>
      </c>
      <c r="P68" s="232">
        <v>147</v>
      </c>
      <c r="Q68" s="255"/>
      <c r="R68" s="255">
        <v>69.3</v>
      </c>
      <c r="S68" s="256">
        <v>236</v>
      </c>
      <c r="T68" s="233"/>
      <c r="U68" s="255">
        <v>114</v>
      </c>
      <c r="V68" s="255"/>
      <c r="W68" s="936">
        <v>165</v>
      </c>
      <c r="X68" s="936">
        <v>114</v>
      </c>
      <c r="Y68" s="256"/>
      <c r="Z68" s="256">
        <v>105</v>
      </c>
      <c r="AA68" s="937">
        <v>130</v>
      </c>
      <c r="AB68" s="255">
        <v>102</v>
      </c>
      <c r="AC68" s="255"/>
      <c r="AD68" s="933">
        <v>173</v>
      </c>
      <c r="AE68" s="933">
        <v>131</v>
      </c>
      <c r="AF68" s="934">
        <v>415</v>
      </c>
      <c r="AG68" s="934">
        <v>645</v>
      </c>
      <c r="AH68" s="934">
        <v>450</v>
      </c>
      <c r="AI68" s="934">
        <f>153+134+162</f>
        <v>449</v>
      </c>
      <c r="AJ68" s="1011">
        <v>429.08</v>
      </c>
      <c r="AK68" s="934">
        <v>347.61</v>
      </c>
      <c r="AL68" s="934">
        <v>659.78</v>
      </c>
      <c r="AM68" s="934">
        <v>331.13</v>
      </c>
      <c r="AN68" s="935">
        <v>355</v>
      </c>
      <c r="AO68" s="1011">
        <v>384.89800000000002</v>
      </c>
      <c r="AP68" s="1011">
        <v>260</v>
      </c>
      <c r="AQ68" s="1011">
        <v>230</v>
      </c>
      <c r="AR68" s="1011">
        <v>329.2281327</v>
      </c>
      <c r="AS68" s="1011">
        <v>456.30640107543701</v>
      </c>
      <c r="AT68" s="1011">
        <v>278.93099999999998</v>
      </c>
      <c r="AU68" s="1011">
        <v>289.5</v>
      </c>
      <c r="AV68" s="224">
        <v>182.2670495559758</v>
      </c>
      <c r="AW68" s="224">
        <v>167.15021868793099</v>
      </c>
      <c r="AX68" s="224">
        <f>113.56+96.9</f>
        <v>210.46</v>
      </c>
      <c r="AY68" s="1005">
        <v>448.55337960552799</v>
      </c>
      <c r="AZ68" s="1000">
        <v>48.206000000000003</v>
      </c>
      <c r="BA68" s="228" t="e">
        <f>'Strom - Inst. Kapazitäten'!I11+'Strom - Inst. Kapazitäten'!I12</f>
        <v>#N/A</v>
      </c>
    </row>
    <row r="69" spans="1:54" x14ac:dyDescent="0.35">
      <c r="B69" s="219" t="s">
        <v>1654</v>
      </c>
      <c r="C69" s="238"/>
      <c r="D69" s="251">
        <v>39</v>
      </c>
      <c r="E69" s="252">
        <v>60</v>
      </c>
      <c r="F69" s="251">
        <v>50.8</v>
      </c>
      <c r="G69" s="251"/>
      <c r="H69" s="251"/>
      <c r="I69" s="252">
        <v>180</v>
      </c>
      <c r="J69" s="239"/>
      <c r="K69" s="239">
        <v>64</v>
      </c>
      <c r="L69" s="238"/>
      <c r="M69" s="238">
        <v>85.1</v>
      </c>
      <c r="N69" s="238">
        <v>150</v>
      </c>
      <c r="O69" s="240">
        <v>199</v>
      </c>
      <c r="P69" s="232">
        <v>120</v>
      </c>
      <c r="Q69" s="255"/>
      <c r="R69" s="255">
        <v>75.400000000000006</v>
      </c>
      <c r="S69" s="256">
        <v>135</v>
      </c>
      <c r="T69" s="233"/>
      <c r="U69" s="255">
        <v>171</v>
      </c>
      <c r="V69" s="255"/>
      <c r="W69" s="936">
        <v>179</v>
      </c>
      <c r="X69" s="936">
        <v>171</v>
      </c>
      <c r="Y69" s="256"/>
      <c r="Z69" s="256">
        <v>97</v>
      </c>
      <c r="AA69" s="937">
        <v>102</v>
      </c>
      <c r="AB69" s="255">
        <v>151</v>
      </c>
      <c r="AC69" s="255"/>
      <c r="AD69" s="933">
        <v>128</v>
      </c>
      <c r="AE69" s="933">
        <v>127</v>
      </c>
      <c r="AF69" s="934">
        <v>189</v>
      </c>
      <c r="AG69" s="934">
        <v>87</v>
      </c>
      <c r="AH69" s="934">
        <f>AF69+35</f>
        <v>224</v>
      </c>
      <c r="AI69" s="934">
        <v>221</v>
      </c>
      <c r="AJ69" s="1011">
        <v>198.838947170978</v>
      </c>
      <c r="AK69" s="934">
        <v>158.13999999999999</v>
      </c>
      <c r="AL69" s="934">
        <v>76.13</v>
      </c>
      <c r="AM69" s="934">
        <v>185.06</v>
      </c>
      <c r="AN69" s="935">
        <v>130</v>
      </c>
      <c r="AO69" s="1011">
        <v>145.09822799999998</v>
      </c>
      <c r="AP69" s="1031">
        <v>124</v>
      </c>
      <c r="AQ69" s="1032">
        <v>180</v>
      </c>
      <c r="AR69" s="1032">
        <v>217.5153905</v>
      </c>
      <c r="AS69" s="1032">
        <v>216.36935043087001</v>
      </c>
      <c r="AT69" s="1032">
        <v>74.212999999999994</v>
      </c>
      <c r="AU69" s="1032">
        <v>155</v>
      </c>
      <c r="AV69" s="224">
        <v>220.84303395231098</v>
      </c>
      <c r="AW69" s="224">
        <v>230.68986381639502</v>
      </c>
      <c r="AX69" s="224">
        <v>198.54</v>
      </c>
      <c r="AY69" s="1005">
        <v>212.76286081418567</v>
      </c>
      <c r="AZ69" s="1000">
        <v>53.183999999999997</v>
      </c>
      <c r="BA69" s="228" t="e">
        <f>'Strom - Inst. Kapazitäten'!I13</f>
        <v>#N/A</v>
      </c>
    </row>
    <row r="70" spans="1:54" x14ac:dyDescent="0.35">
      <c r="B70" s="219" t="s">
        <v>1655</v>
      </c>
      <c r="C70" s="238"/>
      <c r="D70" s="251">
        <v>37</v>
      </c>
      <c r="E70" s="252">
        <v>45</v>
      </c>
      <c r="F70" s="251">
        <v>32</v>
      </c>
      <c r="G70" s="251"/>
      <c r="H70" s="251"/>
      <c r="I70" s="252">
        <v>50</v>
      </c>
      <c r="J70" s="239"/>
      <c r="K70" s="239">
        <v>21</v>
      </c>
      <c r="L70" s="238"/>
      <c r="M70" s="238">
        <v>32</v>
      </c>
      <c r="N70" s="238">
        <v>45</v>
      </c>
      <c r="O70" s="240">
        <v>76</v>
      </c>
      <c r="P70" s="232">
        <v>32</v>
      </c>
      <c r="Q70" s="255"/>
      <c r="R70" s="255">
        <v>15</v>
      </c>
      <c r="S70" s="256">
        <v>24</v>
      </c>
      <c r="T70" s="233"/>
      <c r="U70" s="255">
        <v>19</v>
      </c>
      <c r="V70" s="255"/>
      <c r="W70" s="936">
        <v>33</v>
      </c>
      <c r="X70" s="936">
        <v>26</v>
      </c>
      <c r="Y70" s="256"/>
      <c r="Z70" s="256">
        <v>47</v>
      </c>
      <c r="AA70" s="937">
        <v>60</v>
      </c>
      <c r="AB70" s="255">
        <v>15</v>
      </c>
      <c r="AC70" s="255"/>
      <c r="AD70" s="933">
        <v>32</v>
      </c>
      <c r="AE70" s="933">
        <v>32</v>
      </c>
      <c r="AF70" s="934">
        <v>76</v>
      </c>
      <c r="AG70" s="934">
        <v>38</v>
      </c>
      <c r="AH70" s="934">
        <v>76</v>
      </c>
      <c r="AI70" s="934">
        <v>76</v>
      </c>
      <c r="AJ70" s="1011">
        <v>65.982947782523993</v>
      </c>
      <c r="AK70" s="934">
        <v>61.32</v>
      </c>
      <c r="AL70" s="934">
        <v>34.19</v>
      </c>
      <c r="AM70" s="934">
        <v>45.86</v>
      </c>
      <c r="AN70" s="935">
        <v>70</v>
      </c>
      <c r="AO70" s="1011">
        <v>70.244</v>
      </c>
      <c r="AP70" s="1031">
        <v>50</v>
      </c>
      <c r="AQ70" s="1032">
        <v>70</v>
      </c>
      <c r="AR70" s="1032">
        <v>29.0913106</v>
      </c>
      <c r="AS70" s="1032">
        <v>74.874676511887998</v>
      </c>
      <c r="AT70" s="1032">
        <v>46.624000000000002</v>
      </c>
      <c r="AU70" s="1032">
        <v>45</v>
      </c>
      <c r="AV70" s="224">
        <v>40.246674428597004</v>
      </c>
      <c r="AW70" s="224">
        <v>33.471374882923996</v>
      </c>
      <c r="AX70" s="224">
        <v>60</v>
      </c>
      <c r="AY70" s="1005">
        <v>72.338651959898911</v>
      </c>
      <c r="AZ70" s="1000">
        <v>7.5039999999999996</v>
      </c>
      <c r="BA70" s="228" t="e">
        <f>'Strom - Inst. Kapazitäten'!I14</f>
        <v>#N/A</v>
      </c>
    </row>
    <row r="71" spans="1:54" x14ac:dyDescent="0.35">
      <c r="B71" s="219" t="s">
        <v>1885</v>
      </c>
      <c r="C71" s="238"/>
      <c r="D71" s="251">
        <v>8.6999999999999993</v>
      </c>
      <c r="E71" s="252">
        <v>23.3</v>
      </c>
      <c r="F71" s="251">
        <v>10.4</v>
      </c>
      <c r="G71" s="251"/>
      <c r="H71" s="251"/>
      <c r="I71" s="252">
        <v>50</v>
      </c>
      <c r="J71" s="239"/>
      <c r="K71" s="239">
        <v>8</v>
      </c>
      <c r="L71" s="238"/>
      <c r="M71" s="238">
        <v>5</v>
      </c>
      <c r="N71" s="238">
        <v>0.4</v>
      </c>
      <c r="O71" s="240">
        <v>20</v>
      </c>
      <c r="P71" s="232">
        <v>0</v>
      </c>
      <c r="Q71" s="255"/>
      <c r="R71" s="255">
        <v>6.1</v>
      </c>
      <c r="S71" s="256">
        <v>0</v>
      </c>
      <c r="T71" s="233"/>
      <c r="U71" s="255">
        <v>10</v>
      </c>
      <c r="V71" s="255"/>
      <c r="W71" s="936">
        <v>10</v>
      </c>
      <c r="X71" s="936">
        <v>20</v>
      </c>
      <c r="Y71" s="256"/>
      <c r="Z71" s="256">
        <v>7</v>
      </c>
      <c r="AA71" s="937">
        <v>7</v>
      </c>
      <c r="AB71" s="255">
        <v>8</v>
      </c>
      <c r="AC71" s="255"/>
      <c r="AD71" s="933">
        <v>0</v>
      </c>
      <c r="AE71" s="933">
        <v>0</v>
      </c>
      <c r="AF71" s="934">
        <v>0</v>
      </c>
      <c r="AG71" s="934">
        <v>0</v>
      </c>
      <c r="AH71" s="934">
        <v>0</v>
      </c>
      <c r="AI71" s="934">
        <v>0</v>
      </c>
      <c r="AJ71" s="1011"/>
      <c r="AK71" s="934"/>
      <c r="AL71" s="934"/>
      <c r="AM71" s="934"/>
      <c r="AN71" s="935">
        <v>1</v>
      </c>
      <c r="AO71" s="1011">
        <v>2.1870000000000003</v>
      </c>
      <c r="AP71" s="1011">
        <v>8</v>
      </c>
      <c r="AQ71" s="1011">
        <v>6</v>
      </c>
      <c r="AR71" s="1011">
        <v>4.3770452000000004</v>
      </c>
      <c r="AS71" s="1011">
        <v>1.289425262378</v>
      </c>
      <c r="AT71" s="1011">
        <v>8.952</v>
      </c>
      <c r="AU71" s="1011">
        <v>0.8</v>
      </c>
      <c r="AV71" s="224">
        <v>24.137459774606079</v>
      </c>
      <c r="AW71" s="224">
        <v>6.8630249346373313</v>
      </c>
      <c r="AX71" s="224">
        <v>8.18</v>
      </c>
      <c r="AY71" s="1005">
        <v>19.453254599023431</v>
      </c>
      <c r="AZ71" s="1000">
        <v>7.9870000000000001</v>
      </c>
      <c r="BA71" s="228" t="e">
        <f>'Strom - Inst. Kapazitäten'!I16</f>
        <v>#N/A</v>
      </c>
    </row>
    <row r="72" spans="1:54" x14ac:dyDescent="0.35">
      <c r="B72" s="219" t="s">
        <v>1523</v>
      </c>
      <c r="C72" s="238"/>
      <c r="D72" s="251">
        <v>5.2</v>
      </c>
      <c r="E72" s="252">
        <v>5.2</v>
      </c>
      <c r="F72" s="251">
        <v>5.2</v>
      </c>
      <c r="G72" s="251"/>
      <c r="H72" s="251"/>
      <c r="I72" s="252">
        <v>5</v>
      </c>
      <c r="J72" s="239"/>
      <c r="K72" s="239">
        <v>4</v>
      </c>
      <c r="L72" s="238"/>
      <c r="M72" s="238">
        <v>5.8</v>
      </c>
      <c r="N72" s="238">
        <v>5.8</v>
      </c>
      <c r="O72" s="240">
        <v>7</v>
      </c>
      <c r="P72" s="232">
        <v>5</v>
      </c>
      <c r="Q72" s="255"/>
      <c r="R72" s="255">
        <v>4.4000000000000004</v>
      </c>
      <c r="S72" s="256">
        <v>5</v>
      </c>
      <c r="T72" s="233"/>
      <c r="U72" s="255">
        <v>5</v>
      </c>
      <c r="V72" s="255"/>
      <c r="W72" s="936">
        <v>5</v>
      </c>
      <c r="X72" s="936">
        <v>5</v>
      </c>
      <c r="Y72" s="256"/>
      <c r="Z72" s="256">
        <v>7</v>
      </c>
      <c r="AA72" s="937">
        <v>7</v>
      </c>
      <c r="AB72" s="255">
        <v>5</v>
      </c>
      <c r="AC72" s="255"/>
      <c r="AD72" s="933">
        <v>5</v>
      </c>
      <c r="AE72" s="933">
        <v>5</v>
      </c>
      <c r="AF72" s="934">
        <v>0</v>
      </c>
      <c r="AG72" s="934">
        <v>0</v>
      </c>
      <c r="AH72" s="934">
        <v>0</v>
      </c>
      <c r="AI72" s="934">
        <v>0</v>
      </c>
      <c r="AJ72" s="1011"/>
      <c r="AK72" s="934"/>
      <c r="AL72" s="934"/>
      <c r="AM72" s="934"/>
      <c r="AN72" s="935">
        <v>6</v>
      </c>
      <c r="AO72" s="1011">
        <v>5.742</v>
      </c>
      <c r="AP72" s="1011">
        <v>5</v>
      </c>
      <c r="AQ72" s="1011">
        <v>6</v>
      </c>
      <c r="AR72" s="1011">
        <v>11.833768900000001</v>
      </c>
      <c r="AS72" s="1011">
        <v>4.6920000000000002</v>
      </c>
      <c r="AT72" s="1011">
        <v>12.289</v>
      </c>
      <c r="AU72" s="1011">
        <v>5.2</v>
      </c>
      <c r="AV72" s="224">
        <v>3.3323642120599999</v>
      </c>
      <c r="AW72" s="224">
        <v>3.2246749568099999</v>
      </c>
      <c r="AX72" s="224">
        <v>5.6</v>
      </c>
      <c r="AY72" s="1005">
        <v>3.226727087221855</v>
      </c>
      <c r="AZ72" s="1000">
        <v>5.2679999999999998</v>
      </c>
      <c r="BA72" s="228" t="e">
        <f>'Strom - Inst. Kapazitäten'!I15</f>
        <v>#N/A</v>
      </c>
    </row>
    <row r="73" spans="1:54" x14ac:dyDescent="0.35">
      <c r="B73" s="219" t="s">
        <v>5073</v>
      </c>
      <c r="C73" s="238"/>
      <c r="D73" s="251">
        <v>5.3</v>
      </c>
      <c r="E73" s="252">
        <v>6.4</v>
      </c>
      <c r="F73" s="251">
        <v>3</v>
      </c>
      <c r="G73" s="251"/>
      <c r="H73" s="251"/>
      <c r="I73" s="252">
        <v>0</v>
      </c>
      <c r="J73" s="239"/>
      <c r="K73" s="239">
        <v>0</v>
      </c>
      <c r="L73" s="238"/>
      <c r="M73" s="238">
        <v>1.9</v>
      </c>
      <c r="N73" s="238">
        <v>1.9</v>
      </c>
      <c r="O73" s="240">
        <v>0</v>
      </c>
      <c r="P73" s="232">
        <v>2</v>
      </c>
      <c r="Q73" s="255"/>
      <c r="R73" s="255">
        <v>0</v>
      </c>
      <c r="S73" s="256">
        <v>0</v>
      </c>
      <c r="T73" s="233"/>
      <c r="U73" s="255">
        <v>0</v>
      </c>
      <c r="V73" s="255"/>
      <c r="W73" s="936">
        <v>0</v>
      </c>
      <c r="X73" s="936">
        <v>0</v>
      </c>
      <c r="Y73" s="256"/>
      <c r="Z73" s="256">
        <v>0</v>
      </c>
      <c r="AA73" s="937">
        <v>0</v>
      </c>
      <c r="AB73" s="255">
        <v>0</v>
      </c>
      <c r="AC73" s="255"/>
      <c r="AD73" s="933">
        <v>0</v>
      </c>
      <c r="AE73" s="933">
        <v>0</v>
      </c>
      <c r="AF73" s="934">
        <v>0</v>
      </c>
      <c r="AG73" s="934">
        <v>0</v>
      </c>
      <c r="AH73" s="934">
        <v>0</v>
      </c>
      <c r="AI73" s="934">
        <v>0</v>
      </c>
      <c r="AJ73" s="1011"/>
      <c r="AK73" s="934"/>
      <c r="AL73" s="934"/>
      <c r="AM73" s="934"/>
      <c r="AN73" s="935">
        <v>0</v>
      </c>
      <c r="AO73" s="1011">
        <v>0</v>
      </c>
      <c r="AP73" s="1011"/>
      <c r="AQ73" s="1011"/>
      <c r="AR73" s="1011"/>
      <c r="AS73" s="1011"/>
      <c r="AT73" s="1011"/>
      <c r="AU73" s="1011"/>
      <c r="AV73" s="224">
        <v>0</v>
      </c>
      <c r="AW73" s="224"/>
      <c r="AX73" s="224"/>
      <c r="AY73" s="1005">
        <v>0</v>
      </c>
      <c r="AZ73" s="1000">
        <v>0</v>
      </c>
      <c r="BA73" s="228">
        <v>0</v>
      </c>
    </row>
    <row r="74" spans="1:54" x14ac:dyDescent="0.35">
      <c r="B74" s="219" t="s">
        <v>1816</v>
      </c>
      <c r="C74" s="238"/>
      <c r="D74" s="251"/>
      <c r="E74" s="252"/>
      <c r="F74" s="251"/>
      <c r="G74" s="251"/>
      <c r="H74" s="251"/>
      <c r="I74" s="252"/>
      <c r="J74" s="239"/>
      <c r="K74" s="239"/>
      <c r="L74" s="238"/>
      <c r="M74" s="238"/>
      <c r="N74" s="238"/>
      <c r="O74" s="240"/>
      <c r="P74" s="232"/>
      <c r="Q74" s="255"/>
      <c r="R74" s="255"/>
      <c r="S74" s="256"/>
      <c r="T74" s="233"/>
      <c r="U74" s="255"/>
      <c r="V74" s="255"/>
      <c r="W74" s="936"/>
      <c r="X74" s="936"/>
      <c r="Y74" s="256"/>
      <c r="Z74" s="256"/>
      <c r="AA74" s="937"/>
      <c r="AB74" s="255"/>
      <c r="AC74" s="255"/>
      <c r="AD74" s="933"/>
      <c r="AE74" s="933"/>
      <c r="AF74" s="934"/>
      <c r="AG74" s="934"/>
      <c r="AH74" s="934"/>
      <c r="AI74" s="934"/>
      <c r="AJ74" s="1011"/>
      <c r="AK74" s="934"/>
      <c r="AL74" s="934"/>
      <c r="AM74" s="934"/>
      <c r="AN74" s="935"/>
      <c r="AO74" s="1011">
        <v>71</v>
      </c>
      <c r="AP74" s="1011">
        <v>50</v>
      </c>
      <c r="AQ74" s="1011">
        <v>88</v>
      </c>
      <c r="AR74" s="1011">
        <v>42.775172099999999</v>
      </c>
      <c r="AS74" s="1011">
        <v>181.22407384346201</v>
      </c>
      <c r="AT74" s="1011">
        <v>84.665999999999997</v>
      </c>
      <c r="AU74" s="1011">
        <v>67.599999999999994</v>
      </c>
      <c r="AV74" s="224"/>
      <c r="AW74" s="224"/>
      <c r="AX74" s="224"/>
      <c r="AY74" s="1005">
        <v>31.733418228353052</v>
      </c>
      <c r="AZ74" s="1000">
        <v>0</v>
      </c>
      <c r="BA74" s="228" t="e">
        <f>'Strom - Inst. Kapazitäten'!I17</f>
        <v>#N/A</v>
      </c>
    </row>
    <row r="75" spans="1:54" x14ac:dyDescent="0.35">
      <c r="B75" s="219" t="s">
        <v>1967</v>
      </c>
      <c r="C75" s="238"/>
      <c r="D75" s="251"/>
      <c r="E75" s="252"/>
      <c r="F75" s="251"/>
      <c r="G75" s="251"/>
      <c r="H75" s="251"/>
      <c r="I75" s="252"/>
      <c r="J75" s="239"/>
      <c r="K75" s="239"/>
      <c r="L75" s="238"/>
      <c r="M75" s="238"/>
      <c r="N75" s="238"/>
      <c r="O75" s="240"/>
      <c r="P75" s="232"/>
      <c r="Q75" s="255"/>
      <c r="R75" s="255"/>
      <c r="S75" s="256"/>
      <c r="T75" s="233"/>
      <c r="U75" s="255"/>
      <c r="V75" s="255"/>
      <c r="W75" s="936"/>
      <c r="X75" s="936"/>
      <c r="Y75" s="256"/>
      <c r="Z75" s="256"/>
      <c r="AA75" s="937"/>
      <c r="AB75" s="255"/>
      <c r="AC75" s="255"/>
      <c r="AD75" s="933"/>
      <c r="AE75" s="933"/>
      <c r="AF75" s="934"/>
      <c r="AG75" s="934"/>
      <c r="AH75" s="934"/>
      <c r="AI75" s="934"/>
      <c r="AJ75" s="1011">
        <v>152</v>
      </c>
      <c r="AK75" s="934">
        <v>141.19</v>
      </c>
      <c r="AL75" s="934">
        <v>191.46</v>
      </c>
      <c r="AM75" s="934">
        <v>137.59</v>
      </c>
      <c r="AN75" s="935"/>
      <c r="AO75" s="1011"/>
      <c r="AP75" s="1011">
        <v>9</v>
      </c>
      <c r="AQ75" s="1011"/>
      <c r="AR75" s="1011"/>
      <c r="AS75" s="1011"/>
      <c r="AT75" s="1011"/>
      <c r="AU75" s="1011"/>
      <c r="AV75" s="224"/>
      <c r="AW75" s="224"/>
      <c r="AX75" s="224"/>
      <c r="AY75" s="1005">
        <v>54.05994464214924</v>
      </c>
      <c r="AZ75" s="1000">
        <v>31.712</v>
      </c>
      <c r="BA75" s="228" t="e">
        <f>'Strom - Inst. Kapazitäten'!I8+'Strom - Inst. Kapazitäten'!I9</f>
        <v>#N/A</v>
      </c>
    </row>
    <row r="76" spans="1:54" x14ac:dyDescent="0.35">
      <c r="B76" s="219" t="s">
        <v>4327</v>
      </c>
      <c r="C76" s="238"/>
      <c r="D76" s="251"/>
      <c r="E76" s="252"/>
      <c r="F76" s="251"/>
      <c r="G76" s="251"/>
      <c r="H76" s="251"/>
      <c r="I76" s="252"/>
      <c r="J76" s="239"/>
      <c r="K76" s="239"/>
      <c r="L76" s="238"/>
      <c r="M76" s="238"/>
      <c r="N76" s="238"/>
      <c r="O76" s="240"/>
      <c r="P76" s="232"/>
      <c r="Q76" s="255"/>
      <c r="R76" s="255"/>
      <c r="S76" s="256"/>
      <c r="T76" s="233"/>
      <c r="U76" s="255"/>
      <c r="V76" s="255"/>
      <c r="W76" s="936"/>
      <c r="X76" s="936"/>
      <c r="Y76" s="256"/>
      <c r="Z76" s="256"/>
      <c r="AA76" s="937"/>
      <c r="AB76" s="255"/>
      <c r="AC76" s="255"/>
      <c r="AD76" s="933"/>
      <c r="AE76" s="933"/>
      <c r="AF76" s="934"/>
      <c r="AG76" s="934"/>
      <c r="AH76" s="934"/>
      <c r="AI76" s="934"/>
      <c r="AJ76" s="1011">
        <f>AJ74+AJ75</f>
        <v>152</v>
      </c>
      <c r="AK76" s="1011">
        <f t="shared" ref="AK76:BA76" si="10">AK74+AK75</f>
        <v>141.19</v>
      </c>
      <c r="AL76" s="1011">
        <f t="shared" si="10"/>
        <v>191.46</v>
      </c>
      <c r="AM76" s="1011">
        <f t="shared" si="10"/>
        <v>137.59</v>
      </c>
      <c r="AN76" s="1011">
        <f t="shared" si="10"/>
        <v>0</v>
      </c>
      <c r="AO76" s="1011">
        <f t="shared" si="10"/>
        <v>71</v>
      </c>
      <c r="AP76" s="1011">
        <f t="shared" si="10"/>
        <v>59</v>
      </c>
      <c r="AQ76" s="1011">
        <f t="shared" si="10"/>
        <v>88</v>
      </c>
      <c r="AR76" s="1011">
        <f t="shared" si="10"/>
        <v>42.775172099999999</v>
      </c>
      <c r="AS76" s="1011">
        <f t="shared" si="10"/>
        <v>181.22407384346201</v>
      </c>
      <c r="AT76" s="1011">
        <f t="shared" si="10"/>
        <v>84.665999999999997</v>
      </c>
      <c r="AU76" s="1011">
        <f t="shared" si="10"/>
        <v>67.599999999999994</v>
      </c>
      <c r="AV76" s="1011">
        <f t="shared" si="10"/>
        <v>0</v>
      </c>
      <c r="AW76" s="1011">
        <f t="shared" si="10"/>
        <v>0</v>
      </c>
      <c r="AX76" s="1011">
        <f t="shared" si="10"/>
        <v>0</v>
      </c>
      <c r="AY76" s="1011">
        <f t="shared" si="10"/>
        <v>85.793362870502293</v>
      </c>
      <c r="AZ76" s="1011">
        <f t="shared" si="10"/>
        <v>31.712</v>
      </c>
      <c r="BA76" s="1011" t="e">
        <f t="shared" si="10"/>
        <v>#N/A</v>
      </c>
    </row>
    <row r="77" spans="1:54" x14ac:dyDescent="0.35">
      <c r="B77" s="219" t="s">
        <v>5074</v>
      </c>
      <c r="C77" s="238"/>
      <c r="D77" s="251">
        <v>30</v>
      </c>
      <c r="E77" s="252">
        <v>0</v>
      </c>
      <c r="F77" s="251">
        <v>38</v>
      </c>
      <c r="G77" s="251"/>
      <c r="H77" s="251"/>
      <c r="I77" s="252">
        <v>0</v>
      </c>
      <c r="J77" s="239"/>
      <c r="K77" s="239">
        <f>255-SUM(K68:K73)</f>
        <v>83</v>
      </c>
      <c r="L77" s="238"/>
      <c r="M77" s="238">
        <f>349.4-SUM(M68:M73)</f>
        <v>98.299999999999983</v>
      </c>
      <c r="N77" s="238">
        <v>98.6</v>
      </c>
      <c r="O77" s="240">
        <v>0</v>
      </c>
      <c r="P77" s="232">
        <v>238</v>
      </c>
      <c r="Q77" s="255"/>
      <c r="R77" s="255"/>
      <c r="S77" s="256"/>
      <c r="T77" s="233"/>
      <c r="U77" s="255"/>
      <c r="V77" s="255"/>
      <c r="W77" s="936"/>
      <c r="X77" s="936"/>
      <c r="Y77" s="256"/>
      <c r="Z77" s="256">
        <v>80</v>
      </c>
      <c r="AA77" s="937">
        <v>75</v>
      </c>
      <c r="AB77" s="255"/>
      <c r="AC77" s="255"/>
      <c r="AD77" s="933">
        <v>10</v>
      </c>
      <c r="AE77" s="933">
        <v>5</v>
      </c>
      <c r="AF77" s="934"/>
      <c r="AG77" s="934"/>
      <c r="AH77" s="934"/>
      <c r="AI77" s="934"/>
      <c r="AJ77" s="1011"/>
      <c r="AK77" s="934"/>
      <c r="AL77" s="934"/>
      <c r="AM77" s="934"/>
      <c r="AN77" s="935"/>
      <c r="AO77" s="1011">
        <v>1</v>
      </c>
      <c r="AP77" s="1011">
        <v>1</v>
      </c>
      <c r="AQ77" s="1011">
        <v>2</v>
      </c>
      <c r="AR77" s="1011"/>
      <c r="AS77" s="1011"/>
      <c r="AT77" s="1011">
        <v>7.3120000000000003</v>
      </c>
      <c r="AU77" s="1011">
        <v>3.5</v>
      </c>
      <c r="AV77" s="224">
        <v>0</v>
      </c>
      <c r="AW77" s="224"/>
      <c r="AX77" s="224"/>
      <c r="AY77" s="1005">
        <v>1.5511845517550968</v>
      </c>
      <c r="AZ77" s="1000">
        <v>59.865000000000002</v>
      </c>
      <c r="BA77" s="228" t="e">
        <f>'Strom - Inst. Kapazitäten'!I18</f>
        <v>#N/A</v>
      </c>
    </row>
    <row r="78" spans="1:54" x14ac:dyDescent="0.35">
      <c r="A78" s="1033" t="s">
        <v>1665</v>
      </c>
      <c r="B78" s="1027"/>
      <c r="C78" s="1025"/>
      <c r="D78" s="1026"/>
      <c r="E78" s="1026"/>
      <c r="F78" s="1026"/>
      <c r="G78" s="1026"/>
      <c r="H78" s="1026"/>
      <c r="I78" s="1026"/>
      <c r="J78" s="1025"/>
      <c r="K78" s="1025"/>
      <c r="L78" s="1025"/>
      <c r="M78" s="1025"/>
      <c r="N78" s="1025"/>
      <c r="O78" s="1027"/>
      <c r="P78" s="1028"/>
      <c r="Q78" s="1029"/>
      <c r="R78" s="1029"/>
      <c r="S78" s="1029"/>
      <c r="T78" s="1030"/>
      <c r="U78" s="1029"/>
      <c r="V78" s="1029"/>
      <c r="W78" s="1029"/>
      <c r="X78" s="1029"/>
      <c r="Y78" s="1029"/>
      <c r="Z78" s="1029"/>
      <c r="AA78" s="1029"/>
      <c r="AB78" s="1029"/>
      <c r="AC78" s="1029"/>
      <c r="AD78" s="1029"/>
      <c r="AE78" s="1029"/>
      <c r="AF78" s="1029"/>
      <c r="AG78" s="1029"/>
      <c r="AH78" s="1029"/>
      <c r="AI78" s="1029"/>
      <c r="AJ78" s="1029"/>
      <c r="AK78" s="1029"/>
      <c r="AL78" s="1029"/>
      <c r="AM78" s="1029"/>
      <c r="AN78" s="1029"/>
      <c r="AO78" s="1029"/>
      <c r="AP78" s="1029"/>
      <c r="AQ78" s="1029"/>
      <c r="AR78" s="1029"/>
      <c r="AS78" s="1029"/>
      <c r="AT78" s="1029"/>
      <c r="AU78" s="1029"/>
      <c r="AV78" s="1027"/>
      <c r="AW78" s="1027"/>
      <c r="AX78" s="1027"/>
      <c r="AY78" s="1024"/>
      <c r="AZ78" s="1027" t="s">
        <v>5075</v>
      </c>
      <c r="BA78" s="1024"/>
      <c r="BB78" s="226" t="s">
        <v>5076</v>
      </c>
    </row>
    <row r="79" spans="1:54" x14ac:dyDescent="0.35">
      <c r="A79" s="237" t="s">
        <v>1665</v>
      </c>
      <c r="B79" s="219" t="s">
        <v>1666</v>
      </c>
      <c r="C79" s="238"/>
      <c r="D79" s="251">
        <v>-32.5</v>
      </c>
      <c r="E79" s="252">
        <v>-104</v>
      </c>
      <c r="F79" s="251">
        <v>-63.8</v>
      </c>
      <c r="G79" s="251"/>
      <c r="H79" s="251"/>
      <c r="I79" s="252">
        <v>-190</v>
      </c>
      <c r="J79" s="239"/>
      <c r="K79" s="239">
        <v>-73</v>
      </c>
      <c r="L79" s="238"/>
      <c r="M79" s="238">
        <v>-115.2</v>
      </c>
      <c r="N79" s="238">
        <v>-123.4</v>
      </c>
      <c r="O79" s="240">
        <v>-394</v>
      </c>
      <c r="P79" s="232">
        <v>-143</v>
      </c>
      <c r="Q79" s="255"/>
      <c r="R79" s="255">
        <v>-63.2</v>
      </c>
      <c r="S79" s="256">
        <v>-233</v>
      </c>
      <c r="T79" s="233"/>
      <c r="U79" s="255">
        <v>-116</v>
      </c>
      <c r="V79" s="255"/>
      <c r="W79" s="936">
        <v>168</v>
      </c>
      <c r="X79" s="936">
        <v>116</v>
      </c>
      <c r="Y79" s="256"/>
      <c r="Z79" s="256">
        <v>-100</v>
      </c>
      <c r="AA79" s="937">
        <v>114</v>
      </c>
      <c r="AB79" s="255">
        <v>-100</v>
      </c>
      <c r="AC79" s="255"/>
      <c r="AD79" s="933">
        <v>170</v>
      </c>
      <c r="AE79" s="933">
        <v>130</v>
      </c>
      <c r="AF79" s="934">
        <v>400</v>
      </c>
      <c r="AG79" s="934"/>
      <c r="AH79" s="934"/>
      <c r="AI79" s="934"/>
      <c r="AJ79" s="1011">
        <v>-447</v>
      </c>
      <c r="AK79" s="934">
        <v>-359</v>
      </c>
      <c r="AL79" s="934">
        <v>-687</v>
      </c>
      <c r="AM79" s="934">
        <v>-347</v>
      </c>
      <c r="AN79" s="935">
        <v>331</v>
      </c>
      <c r="AO79" s="1011">
        <v>-354.87585496094698</v>
      </c>
      <c r="AP79" s="1011">
        <f>-235</f>
        <v>-235</v>
      </c>
      <c r="AQ79" s="1011">
        <f>-240</f>
        <v>-240</v>
      </c>
      <c r="AR79" s="1011">
        <v>-328.76708333333403</v>
      </c>
      <c r="AS79" s="1011">
        <v>-472.74607809999998</v>
      </c>
      <c r="AT79" s="1011">
        <v>-304.43527777777803</v>
      </c>
      <c r="AU79" s="1011">
        <v>-267.8</v>
      </c>
      <c r="AV79" s="224">
        <v>-202.75461983831769</v>
      </c>
      <c r="AW79" s="224">
        <v>193.196</v>
      </c>
      <c r="AX79" s="224">
        <f>119.85+116.38</f>
        <v>236.23</v>
      </c>
      <c r="AY79" s="1005">
        <v>-469.62923549677026</v>
      </c>
      <c r="AZ79" s="1000">
        <v>-43.51</v>
      </c>
      <c r="BA79" s="228" t="e">
        <f>-('Strom - Flows'!I11+'Strom - Flows'!I12)/1000</f>
        <v>#N/A</v>
      </c>
    </row>
    <row r="80" spans="1:54" x14ac:dyDescent="0.35">
      <c r="B80" s="219" t="s">
        <v>1667</v>
      </c>
      <c r="C80" s="238"/>
      <c r="D80" s="251">
        <v>-85.8</v>
      </c>
      <c r="E80" s="252">
        <v>-170</v>
      </c>
      <c r="F80" s="251">
        <v>-132</v>
      </c>
      <c r="G80" s="251"/>
      <c r="H80" s="251"/>
      <c r="I80" s="252">
        <v>-486</v>
      </c>
      <c r="J80" s="239"/>
      <c r="K80" s="239">
        <v>-136</v>
      </c>
      <c r="L80" s="238"/>
      <c r="M80" s="238">
        <v>-221</v>
      </c>
      <c r="N80" s="238">
        <v>-389.8</v>
      </c>
      <c r="O80" s="240">
        <v>-498</v>
      </c>
      <c r="P80" s="232">
        <v>-218</v>
      </c>
      <c r="Q80" s="255"/>
      <c r="R80" s="255">
        <v>-266</v>
      </c>
      <c r="S80" s="256">
        <v>-435</v>
      </c>
      <c r="T80" s="233"/>
      <c r="U80" s="255">
        <v>-471</v>
      </c>
      <c r="V80" s="255"/>
      <c r="W80" s="936">
        <v>494</v>
      </c>
      <c r="X80" s="936">
        <v>471</v>
      </c>
      <c r="Y80" s="256"/>
      <c r="Z80" s="256">
        <v>-208</v>
      </c>
      <c r="AA80" s="937">
        <v>215</v>
      </c>
      <c r="AB80" s="255">
        <v>-318</v>
      </c>
      <c r="AC80" s="255"/>
      <c r="AD80" s="933">
        <v>425</v>
      </c>
      <c r="AE80" s="933">
        <v>425</v>
      </c>
      <c r="AF80" s="934">
        <v>500</v>
      </c>
      <c r="AG80" s="934"/>
      <c r="AH80" s="934"/>
      <c r="AI80" s="934"/>
      <c r="AJ80" s="1011">
        <v>-816</v>
      </c>
      <c r="AK80" s="934">
        <v>-692</v>
      </c>
      <c r="AL80" s="934">
        <v>-355</v>
      </c>
      <c r="AM80" s="934">
        <v>-685</v>
      </c>
      <c r="AN80" s="935">
        <v>288</v>
      </c>
      <c r="AO80" s="1011">
        <v>-308.73619020000001</v>
      </c>
      <c r="AP80" s="1011">
        <f>-303</f>
        <v>-303</v>
      </c>
      <c r="AQ80" s="1011">
        <f>-440</f>
        <v>-440</v>
      </c>
      <c r="AR80" s="1011">
        <v>-581.68013888888902</v>
      </c>
      <c r="AS80" s="1011">
        <v>-542.32653890000097</v>
      </c>
      <c r="AT80" s="1011">
        <v>-180.20416666666699</v>
      </c>
      <c r="AU80" s="1011">
        <f>-413.26</f>
        <v>-413.26</v>
      </c>
      <c r="AV80" s="224">
        <v>-289.97760313350369</v>
      </c>
      <c r="AW80" s="224">
        <v>543.24</v>
      </c>
      <c r="AX80" s="224">
        <v>375.47</v>
      </c>
      <c r="AY80" s="1005">
        <v>-383.37475546022824</v>
      </c>
      <c r="AZ80" s="1000">
        <v>-99.17</v>
      </c>
      <c r="BA80" s="228" t="e">
        <f>-'Strom - Flows'!I13/1000</f>
        <v>#N/A</v>
      </c>
    </row>
    <row r="81" spans="1:53" x14ac:dyDescent="0.35">
      <c r="B81" s="219" t="s">
        <v>1668</v>
      </c>
      <c r="C81" s="238"/>
      <c r="D81" s="251">
        <v>-142.5</v>
      </c>
      <c r="E81" s="252">
        <v>-177</v>
      </c>
      <c r="F81" s="251">
        <v>-128</v>
      </c>
      <c r="G81" s="251"/>
      <c r="H81" s="251"/>
      <c r="I81" s="252">
        <v>-240</v>
      </c>
      <c r="J81" s="239"/>
      <c r="K81" s="239">
        <v>-73</v>
      </c>
      <c r="L81" s="238"/>
      <c r="M81" s="238">
        <v>-122</v>
      </c>
      <c r="N81" s="238">
        <v>-180</v>
      </c>
      <c r="O81" s="240">
        <v>-343</v>
      </c>
      <c r="P81" s="232">
        <v>-112</v>
      </c>
      <c r="Q81" s="255"/>
      <c r="R81" s="255">
        <v>-69.099999999999994</v>
      </c>
      <c r="S81" s="256">
        <v>-70</v>
      </c>
      <c r="T81" s="233"/>
      <c r="U81" s="255">
        <v>-80</v>
      </c>
      <c r="V81" s="255"/>
      <c r="W81" s="936">
        <v>144</v>
      </c>
      <c r="X81" s="936">
        <v>110</v>
      </c>
      <c r="Y81" s="256"/>
      <c r="Z81" s="256">
        <v>-188</v>
      </c>
      <c r="AA81" s="937">
        <v>258</v>
      </c>
      <c r="AB81" s="255">
        <v>-54</v>
      </c>
      <c r="AC81" s="255"/>
      <c r="AD81" s="933">
        <v>130</v>
      </c>
      <c r="AE81" s="933">
        <v>130</v>
      </c>
      <c r="AF81" s="934">
        <v>370</v>
      </c>
      <c r="AG81" s="934"/>
      <c r="AH81" s="934"/>
      <c r="AI81" s="934"/>
      <c r="AJ81" s="1011"/>
      <c r="AK81" s="934"/>
      <c r="AL81" s="934"/>
      <c r="AM81" s="934"/>
      <c r="AN81" s="935">
        <v>254</v>
      </c>
      <c r="AO81" s="1011">
        <v>-252.37559999999999</v>
      </c>
      <c r="AP81" s="1011">
        <f>-199</f>
        <v>-199</v>
      </c>
      <c r="AQ81" s="1011">
        <f>-292</f>
        <v>-292</v>
      </c>
      <c r="AR81" s="1011">
        <v>-113.746527777778</v>
      </c>
      <c r="AS81" s="1011">
        <v>-360.42496640000002</v>
      </c>
      <c r="AT81" s="1011">
        <v>-179.98249999999999</v>
      </c>
      <c r="AU81" s="1011">
        <f>-196.62</f>
        <v>-196.62</v>
      </c>
      <c r="AV81" s="224">
        <v>-200.24980752719082</v>
      </c>
      <c r="AW81" s="224">
        <v>154.16999999999999</v>
      </c>
      <c r="AX81" s="224">
        <v>277.49</v>
      </c>
      <c r="AY81" s="1005">
        <v>-326.58033084524573</v>
      </c>
      <c r="AZ81" s="1000">
        <v>-24.38</v>
      </c>
      <c r="BA81" s="228" t="e">
        <f>-'Strom - Flows'!I14/1000</f>
        <v>#N/A</v>
      </c>
    </row>
    <row r="82" spans="1:53" x14ac:dyDescent="0.35">
      <c r="B82" s="219" t="s">
        <v>1669</v>
      </c>
      <c r="C82" s="238"/>
      <c r="D82" s="251">
        <v>-56.6</v>
      </c>
      <c r="E82" s="252">
        <v>-11</v>
      </c>
      <c r="F82" s="251">
        <v>-59.2</v>
      </c>
      <c r="G82" s="251"/>
      <c r="H82" s="251"/>
      <c r="I82" s="252">
        <v>-50</v>
      </c>
      <c r="J82" s="239"/>
      <c r="K82" s="239">
        <v>-48</v>
      </c>
      <c r="L82" s="238"/>
      <c r="M82" s="238">
        <v>-4.5999999999999996</v>
      </c>
      <c r="N82" s="238">
        <v>-3.8</v>
      </c>
      <c r="O82" s="240">
        <v>-58</v>
      </c>
      <c r="P82" s="232">
        <v>0</v>
      </c>
      <c r="Q82" s="255"/>
      <c r="R82" s="255">
        <v>-25.8</v>
      </c>
      <c r="S82" s="256">
        <v>0</v>
      </c>
      <c r="T82" s="233"/>
      <c r="U82" s="255">
        <v>-49</v>
      </c>
      <c r="V82" s="255"/>
      <c r="W82" s="936">
        <v>49</v>
      </c>
      <c r="X82" s="936">
        <v>49</v>
      </c>
      <c r="Y82" s="256"/>
      <c r="Z82" s="256">
        <v>-33</v>
      </c>
      <c r="AA82" s="937">
        <v>27</v>
      </c>
      <c r="AB82" s="255">
        <v>-45.8</v>
      </c>
      <c r="AC82" s="255"/>
      <c r="AD82" s="933"/>
      <c r="AE82" s="933"/>
      <c r="AF82" s="934"/>
      <c r="AG82" s="934"/>
      <c r="AH82" s="934"/>
      <c r="AI82" s="934"/>
      <c r="AJ82" s="1011">
        <v>0</v>
      </c>
      <c r="AK82" s="934"/>
      <c r="AL82" s="934"/>
      <c r="AM82" s="934"/>
      <c r="AN82" s="935">
        <v>4</v>
      </c>
      <c r="AO82" s="1011">
        <v>-10.125999999999999</v>
      </c>
      <c r="AP82" s="1011">
        <f>-21</f>
        <v>-21</v>
      </c>
      <c r="AQ82" s="1011">
        <v>-19.64</v>
      </c>
      <c r="AR82" s="1011">
        <v>-13.517138888888899</v>
      </c>
      <c r="AS82" s="1011">
        <v>-43.539316869218297</v>
      </c>
      <c r="AT82" s="1011">
        <v>-34.786944444444501</v>
      </c>
      <c r="AU82" s="1011">
        <v>-2.2999999999999998</v>
      </c>
      <c r="AV82" s="224">
        <v>-50.314911967165891</v>
      </c>
      <c r="AW82" s="224">
        <v>25.693999999999999</v>
      </c>
      <c r="AX82" s="224">
        <v>18.09</v>
      </c>
      <c r="AY82" s="1005">
        <v>-14.955450975428999</v>
      </c>
      <c r="AZ82" s="1000">
        <v>-42.02</v>
      </c>
      <c r="BA82" s="228" t="e">
        <f>-'Strom - Flows'!I16/1000</f>
        <v>#N/A</v>
      </c>
    </row>
    <row r="83" spans="1:53" x14ac:dyDescent="0.35">
      <c r="B83" s="219" t="s">
        <v>1670</v>
      </c>
      <c r="C83" s="238"/>
      <c r="D83" s="251">
        <v>-25</v>
      </c>
      <c r="E83" s="252">
        <v>-22</v>
      </c>
      <c r="F83" s="251">
        <v>-25</v>
      </c>
      <c r="G83" s="251"/>
      <c r="H83" s="251"/>
      <c r="I83" s="252">
        <v>-24</v>
      </c>
      <c r="J83" s="239"/>
      <c r="K83" s="239">
        <v>-19</v>
      </c>
      <c r="L83" s="238"/>
      <c r="M83" s="238">
        <v>-24.7</v>
      </c>
      <c r="N83" s="238">
        <v>-24.7</v>
      </c>
      <c r="O83" s="240">
        <v>-27</v>
      </c>
      <c r="P83" s="232">
        <v>-21</v>
      </c>
      <c r="Q83" s="255"/>
      <c r="R83" s="255">
        <v>-18.100000000000001</v>
      </c>
      <c r="S83" s="256">
        <v>-24</v>
      </c>
      <c r="T83" s="233"/>
      <c r="U83" s="255">
        <v>-24</v>
      </c>
      <c r="V83" s="255"/>
      <c r="W83" s="936">
        <v>24</v>
      </c>
      <c r="X83" s="936">
        <v>24</v>
      </c>
      <c r="Y83" s="256"/>
      <c r="Z83" s="256">
        <v>-21</v>
      </c>
      <c r="AA83" s="937">
        <v>21</v>
      </c>
      <c r="AB83" s="255">
        <v>-18.8</v>
      </c>
      <c r="AC83" s="255"/>
      <c r="AD83" s="933">
        <v>25</v>
      </c>
      <c r="AE83" s="933">
        <v>25</v>
      </c>
      <c r="AF83" s="934"/>
      <c r="AG83" s="934"/>
      <c r="AH83" s="934"/>
      <c r="AI83" s="934"/>
      <c r="AJ83" s="1011">
        <v>-17</v>
      </c>
      <c r="AK83" s="934">
        <v>-17</v>
      </c>
      <c r="AL83" s="934">
        <v>-17</v>
      </c>
      <c r="AM83" s="934">
        <v>-17</v>
      </c>
      <c r="AN83" s="935">
        <v>21</v>
      </c>
      <c r="AO83" s="1011">
        <v>-20.671199999999999</v>
      </c>
      <c r="AP83" s="1011">
        <f>-16</f>
        <v>-16</v>
      </c>
      <c r="AQ83" s="1011">
        <v>-1.64</v>
      </c>
      <c r="AR83" s="1011">
        <v>-25.915944444444499</v>
      </c>
      <c r="AS83" s="1011">
        <v>-16.962176199999998</v>
      </c>
      <c r="AT83" s="1011">
        <v>-19.899444444444502</v>
      </c>
      <c r="AU83" s="1011">
        <f>-20.19</f>
        <v>-20.190000000000001</v>
      </c>
      <c r="AV83" s="224">
        <v>-24.408202027414088</v>
      </c>
      <c r="AW83" s="224">
        <v>23.88</v>
      </c>
      <c r="AX83" s="224">
        <v>24.46</v>
      </c>
      <c r="AY83" s="1005">
        <v>-24.057034908643811</v>
      </c>
      <c r="AZ83" s="1000">
        <v>-15.83</v>
      </c>
      <c r="BA83" s="228" t="e">
        <f>-'Strom - Flows'!I15/1000</f>
        <v>#N/A</v>
      </c>
    </row>
    <row r="84" spans="1:53" x14ac:dyDescent="0.35">
      <c r="B84" s="219" t="s">
        <v>1671</v>
      </c>
      <c r="C84" s="238"/>
      <c r="D84" s="251">
        <v>-37.1</v>
      </c>
      <c r="E84" s="252">
        <v>-50</v>
      </c>
      <c r="F84" s="251">
        <v>-19.2</v>
      </c>
      <c r="G84" s="251"/>
      <c r="H84" s="251"/>
      <c r="I84" s="252">
        <v>0</v>
      </c>
      <c r="J84" s="239"/>
      <c r="K84" s="239">
        <v>0</v>
      </c>
      <c r="L84" s="238"/>
      <c r="M84" s="238">
        <v>0</v>
      </c>
      <c r="N84" s="238">
        <v>0</v>
      </c>
      <c r="O84" s="240">
        <v>0</v>
      </c>
      <c r="P84" s="232">
        <v>-6</v>
      </c>
      <c r="Q84" s="255"/>
      <c r="R84" s="255">
        <v>0</v>
      </c>
      <c r="S84" s="256">
        <v>0</v>
      </c>
      <c r="T84" s="233"/>
      <c r="U84" s="255">
        <v>0</v>
      </c>
      <c r="V84" s="255"/>
      <c r="W84" s="936"/>
      <c r="X84" s="936"/>
      <c r="Y84" s="256"/>
      <c r="Z84" s="256">
        <v>0</v>
      </c>
      <c r="AA84" s="937"/>
      <c r="AB84" s="255">
        <v>0</v>
      </c>
      <c r="AC84" s="255"/>
      <c r="AD84" s="933"/>
      <c r="AE84" s="933"/>
      <c r="AF84" s="934"/>
      <c r="AG84" s="934"/>
      <c r="AH84" s="934"/>
      <c r="AI84" s="934"/>
      <c r="AJ84" s="1011"/>
      <c r="AK84" s="934"/>
      <c r="AL84" s="934"/>
      <c r="AM84" s="934"/>
      <c r="AN84" s="935"/>
      <c r="AO84" s="1011"/>
      <c r="AP84" s="1011"/>
      <c r="AQ84" s="1011"/>
      <c r="AR84" s="1011"/>
      <c r="AS84" s="1011"/>
      <c r="AT84" s="1011"/>
      <c r="AU84" s="1011"/>
      <c r="AV84" s="224">
        <v>0</v>
      </c>
      <c r="AW84" s="224"/>
      <c r="AX84" s="224"/>
      <c r="AY84" s="1005">
        <v>0</v>
      </c>
      <c r="AZ84" s="1000">
        <v>-0.14000000000000001</v>
      </c>
      <c r="BA84" s="228">
        <v>0</v>
      </c>
    </row>
    <row r="85" spans="1:53" x14ac:dyDescent="0.35">
      <c r="B85" s="219" t="s">
        <v>5077</v>
      </c>
      <c r="C85" s="238"/>
      <c r="D85" s="251"/>
      <c r="E85" s="252"/>
      <c r="F85" s="251"/>
      <c r="G85" s="251"/>
      <c r="H85" s="251"/>
      <c r="I85" s="252"/>
      <c r="J85" s="239"/>
      <c r="K85" s="239"/>
      <c r="L85" s="238"/>
      <c r="M85" s="238"/>
      <c r="N85" s="238"/>
      <c r="O85" s="240"/>
      <c r="P85" s="232"/>
      <c r="Q85" s="255"/>
      <c r="R85" s="255"/>
      <c r="S85" s="256"/>
      <c r="T85" s="233"/>
      <c r="U85" s="255"/>
      <c r="V85" s="255"/>
      <c r="W85" s="936"/>
      <c r="X85" s="936"/>
      <c r="Y85" s="256"/>
      <c r="Z85" s="256"/>
      <c r="AA85" s="937"/>
      <c r="AB85" s="255"/>
      <c r="AC85" s="255"/>
      <c r="AD85" s="933"/>
      <c r="AE85" s="933"/>
      <c r="AF85" s="934"/>
      <c r="AG85" s="934"/>
      <c r="AH85" s="934"/>
      <c r="AI85" s="934"/>
      <c r="AJ85" s="1011">
        <v>-23</v>
      </c>
      <c r="AK85" s="934">
        <v>-102</v>
      </c>
      <c r="AL85" s="934">
        <v>-132</v>
      </c>
      <c r="AM85" s="934">
        <v>-98</v>
      </c>
      <c r="AN85" s="935"/>
      <c r="AO85" s="1011">
        <f>-60</f>
        <v>-60</v>
      </c>
      <c r="AP85" s="1011">
        <v>-65</v>
      </c>
      <c r="AQ85" s="1011">
        <v>-67</v>
      </c>
      <c r="AR85" s="1011">
        <v>-37.496293389328201</v>
      </c>
      <c r="AS85" s="1011">
        <v>-46.130364477042903</v>
      </c>
      <c r="AT85" s="1011">
        <v>-1.02790870287498</v>
      </c>
      <c r="AU85" s="1011">
        <f>-42.21</f>
        <v>-42.21</v>
      </c>
      <c r="AV85" s="224"/>
      <c r="AW85" s="224"/>
      <c r="AX85" s="224"/>
      <c r="AY85" s="1005">
        <v>-14.259</v>
      </c>
      <c r="AZ85" s="1000">
        <v>0</v>
      </c>
      <c r="BA85" s="228" t="e">
        <f>-'Strom - Flows'!I17/1000</f>
        <v>#N/A</v>
      </c>
    </row>
    <row r="86" spans="1:53" x14ac:dyDescent="0.35">
      <c r="B86" s="219" t="s">
        <v>5078</v>
      </c>
      <c r="C86" s="238"/>
      <c r="D86" s="251"/>
      <c r="E86" s="252"/>
      <c r="F86" s="251"/>
      <c r="G86" s="251"/>
      <c r="H86" s="251"/>
      <c r="I86" s="252"/>
      <c r="J86" s="239"/>
      <c r="K86" s="239"/>
      <c r="L86" s="238"/>
      <c r="M86" s="238"/>
      <c r="N86" s="238"/>
      <c r="O86" s="240"/>
      <c r="P86" s="232"/>
      <c r="Q86" s="255"/>
      <c r="R86" s="255"/>
      <c r="S86" s="256"/>
      <c r="T86" s="233"/>
      <c r="U86" s="255"/>
      <c r="V86" s="255"/>
      <c r="W86" s="936"/>
      <c r="X86" s="936"/>
      <c r="Y86" s="256"/>
      <c r="Z86" s="256"/>
      <c r="AA86" s="937"/>
      <c r="AB86" s="255"/>
      <c r="AC86" s="255"/>
      <c r="AD86" s="933"/>
      <c r="AE86" s="933"/>
      <c r="AF86" s="934"/>
      <c r="AG86" s="934"/>
      <c r="AH86" s="934"/>
      <c r="AI86" s="934"/>
      <c r="AJ86" s="1011">
        <v>-85</v>
      </c>
      <c r="AK86" s="934"/>
      <c r="AL86" s="934"/>
      <c r="AM86" s="934"/>
      <c r="AN86" s="935"/>
      <c r="AO86" s="1011"/>
      <c r="AP86" s="1011">
        <v>-3</v>
      </c>
      <c r="AQ86" s="1011"/>
      <c r="AR86" s="1011"/>
      <c r="AS86" s="1011"/>
      <c r="AT86" s="1011">
        <v>-6.2598690749028103</v>
      </c>
      <c r="AU86" s="1011"/>
      <c r="AV86" s="224"/>
      <c r="AW86" s="224"/>
      <c r="AX86" s="224"/>
      <c r="AY86" s="1005">
        <f>-31.874</f>
        <v>-31.873999999999999</v>
      </c>
      <c r="AZ86" s="1000">
        <v>-86.96</v>
      </c>
      <c r="BA86" s="228" t="e">
        <f>-('Strom - Flows'!I8+'Strom - Flows'!I9)/1000</f>
        <v>#N/A</v>
      </c>
    </row>
    <row r="87" spans="1:53" x14ac:dyDescent="0.35">
      <c r="B87" s="219" t="s">
        <v>5079</v>
      </c>
      <c r="C87" s="238"/>
      <c r="D87" s="251"/>
      <c r="E87" s="252"/>
      <c r="F87" s="251"/>
      <c r="G87" s="251"/>
      <c r="H87" s="251"/>
      <c r="I87" s="252"/>
      <c r="J87" s="239"/>
      <c r="K87" s="239"/>
      <c r="L87" s="238"/>
      <c r="M87" s="238"/>
      <c r="N87" s="238"/>
      <c r="O87" s="240"/>
      <c r="P87" s="232"/>
      <c r="Q87" s="255"/>
      <c r="R87" s="255"/>
      <c r="S87" s="256"/>
      <c r="T87" s="233"/>
      <c r="U87" s="255"/>
      <c r="V87" s="255"/>
      <c r="W87" s="936"/>
      <c r="X87" s="936"/>
      <c r="Y87" s="256"/>
      <c r="Z87" s="256"/>
      <c r="AA87" s="937"/>
      <c r="AB87" s="255"/>
      <c r="AC87" s="255"/>
      <c r="AD87" s="933"/>
      <c r="AE87" s="933"/>
      <c r="AF87" s="934"/>
      <c r="AG87" s="934"/>
      <c r="AH87" s="934"/>
      <c r="AI87" s="934"/>
      <c r="AJ87" s="1011">
        <f>AJ85+AJ86</f>
        <v>-108</v>
      </c>
      <c r="AK87" s="1011">
        <f t="shared" ref="AK87:BA87" si="11">AK85+AK86</f>
        <v>-102</v>
      </c>
      <c r="AL87" s="1011">
        <f t="shared" si="11"/>
        <v>-132</v>
      </c>
      <c r="AM87" s="1011">
        <f t="shared" si="11"/>
        <v>-98</v>
      </c>
      <c r="AN87" s="1011">
        <f t="shared" si="11"/>
        <v>0</v>
      </c>
      <c r="AO87" s="1011">
        <f t="shared" si="11"/>
        <v>-60</v>
      </c>
      <c r="AP87" s="1011">
        <f t="shared" si="11"/>
        <v>-68</v>
      </c>
      <c r="AQ87" s="1011">
        <f t="shared" si="11"/>
        <v>-67</v>
      </c>
      <c r="AR87" s="1011">
        <f t="shared" si="11"/>
        <v>-37.496293389328201</v>
      </c>
      <c r="AS87" s="1011">
        <f t="shared" si="11"/>
        <v>-46.130364477042903</v>
      </c>
      <c r="AT87" s="1011">
        <f t="shared" si="11"/>
        <v>-7.2877777777777908</v>
      </c>
      <c r="AU87" s="1011">
        <f t="shared" si="11"/>
        <v>-42.21</v>
      </c>
      <c r="AV87" s="1011">
        <f t="shared" si="11"/>
        <v>0</v>
      </c>
      <c r="AW87" s="1011">
        <f t="shared" si="11"/>
        <v>0</v>
      </c>
      <c r="AX87" s="1011">
        <f t="shared" si="11"/>
        <v>0</v>
      </c>
      <c r="AY87" s="1011">
        <f t="shared" si="11"/>
        <v>-46.132999999999996</v>
      </c>
      <c r="AZ87" s="1011">
        <f t="shared" si="11"/>
        <v>-86.96</v>
      </c>
      <c r="BA87" s="1011" t="e">
        <f t="shared" si="11"/>
        <v>#N/A</v>
      </c>
    </row>
    <row r="88" spans="1:53" x14ac:dyDescent="0.35">
      <c r="B88" s="219" t="s">
        <v>1672</v>
      </c>
      <c r="C88" s="238"/>
      <c r="D88" s="251">
        <v>-90</v>
      </c>
      <c r="E88" s="252">
        <v>0</v>
      </c>
      <c r="F88" s="251">
        <v>-84.8</v>
      </c>
      <c r="G88" s="251"/>
      <c r="H88" s="251"/>
      <c r="I88" s="252">
        <v>0</v>
      </c>
      <c r="J88" s="239"/>
      <c r="K88" s="239">
        <v>-205</v>
      </c>
      <c r="L88" s="238"/>
      <c r="M88" s="238">
        <f>-540.2-SUM(M79:M84)</f>
        <v>-52.700000000000045</v>
      </c>
      <c r="N88" s="238">
        <v>-42.2</v>
      </c>
      <c r="O88" s="240">
        <v>0</v>
      </c>
      <c r="P88" s="232">
        <v>-172</v>
      </c>
      <c r="Q88" s="255"/>
      <c r="R88" s="255"/>
      <c r="S88" s="256"/>
      <c r="T88" s="233"/>
      <c r="U88" s="255"/>
      <c r="V88" s="255"/>
      <c r="W88" s="936"/>
      <c r="X88" s="936"/>
      <c r="Y88" s="256"/>
      <c r="Z88" s="256">
        <v>-76</v>
      </c>
      <c r="AA88" s="937"/>
      <c r="AB88" s="255"/>
      <c r="AC88" s="255"/>
      <c r="AD88" s="933"/>
      <c r="AE88" s="933"/>
      <c r="AF88" s="934"/>
      <c r="AG88" s="934"/>
      <c r="AH88" s="934"/>
      <c r="AI88" s="934"/>
      <c r="AJ88" s="1011"/>
      <c r="AK88" s="934"/>
      <c r="AL88" s="934"/>
      <c r="AM88" s="934"/>
      <c r="AN88" s="935"/>
      <c r="AO88" s="1011">
        <v>-2</v>
      </c>
      <c r="AP88" s="1011">
        <v>-1</v>
      </c>
      <c r="AQ88" s="1011"/>
      <c r="AR88" s="1011"/>
      <c r="AS88" s="1011">
        <v>-4.5486316000000002</v>
      </c>
      <c r="AT88" s="1011">
        <v>-34.5</v>
      </c>
      <c r="AU88" s="1011"/>
      <c r="AV88" s="224">
        <v>0</v>
      </c>
      <c r="AW88" s="224"/>
      <c r="AX88" s="224"/>
      <c r="AY88" s="1005">
        <f>-9.228</f>
        <v>-9.2279999999999998</v>
      </c>
      <c r="AZ88" s="1000">
        <v>-330.55</v>
      </c>
      <c r="BA88" s="228" t="e">
        <f>-'Strom - Flows'!I18/1000</f>
        <v>#N/A</v>
      </c>
    </row>
    <row r="89" spans="1:53" x14ac:dyDescent="0.35">
      <c r="B89" s="219" t="s">
        <v>1673</v>
      </c>
      <c r="C89" s="238"/>
      <c r="D89" s="251">
        <v>-123.2</v>
      </c>
      <c r="E89" s="252">
        <v>-29.5</v>
      </c>
      <c r="F89" s="251">
        <v>-62</v>
      </c>
      <c r="G89" s="251"/>
      <c r="H89" s="251"/>
      <c r="I89" s="252">
        <v>0</v>
      </c>
      <c r="J89" s="239"/>
      <c r="K89" s="239">
        <v>0</v>
      </c>
      <c r="L89" s="238"/>
      <c r="M89" s="238">
        <v>-6.3</v>
      </c>
      <c r="N89" s="238">
        <v>-15.5</v>
      </c>
      <c r="O89" s="240">
        <v>0</v>
      </c>
      <c r="P89" s="232">
        <v>-2</v>
      </c>
      <c r="Q89" s="255"/>
      <c r="R89" s="255"/>
      <c r="S89" s="256"/>
      <c r="T89" s="233">
        <v>0</v>
      </c>
      <c r="U89" s="255">
        <v>-15</v>
      </c>
      <c r="V89" s="255">
        <v>0</v>
      </c>
      <c r="W89" s="936">
        <v>-136</v>
      </c>
      <c r="X89" s="936">
        <v>0</v>
      </c>
      <c r="Y89" s="256">
        <v>-60</v>
      </c>
      <c r="Z89" s="256">
        <v>-68</v>
      </c>
      <c r="AA89" s="937">
        <v>-82</v>
      </c>
      <c r="AB89" s="255">
        <v>-163</v>
      </c>
      <c r="AC89" s="255">
        <v>-25</v>
      </c>
      <c r="AD89" s="933"/>
      <c r="AE89" s="933"/>
      <c r="AF89" s="934"/>
      <c r="AG89" s="934"/>
      <c r="AH89" s="934"/>
      <c r="AI89" s="934"/>
      <c r="AJ89" s="1011">
        <v>-19</v>
      </c>
      <c r="AK89" s="934"/>
      <c r="AL89" s="934"/>
      <c r="AM89" s="934"/>
      <c r="AN89" s="935"/>
      <c r="AO89" s="1011"/>
      <c r="AP89" s="1011"/>
      <c r="AQ89" s="1011"/>
      <c r="AR89" s="1011"/>
      <c r="AS89" s="1011"/>
      <c r="AT89" s="1011"/>
      <c r="AU89" s="1011"/>
      <c r="AV89" s="224">
        <v>-82.470811288803446</v>
      </c>
      <c r="AW89" s="224"/>
      <c r="AX89" s="224"/>
      <c r="AY89" s="1005">
        <v>-72.227554185041882</v>
      </c>
      <c r="BA89" s="228" t="e">
        <f>-'Strom - Flows'!I19/1000</f>
        <v>#N/A</v>
      </c>
    </row>
    <row r="90" spans="1:53" x14ac:dyDescent="0.35">
      <c r="B90" s="219" t="s">
        <v>1674</v>
      </c>
      <c r="C90" s="238"/>
      <c r="D90" s="251">
        <v>0</v>
      </c>
      <c r="E90" s="252">
        <v>1</v>
      </c>
      <c r="F90" s="251">
        <v>0</v>
      </c>
      <c r="G90" s="251"/>
      <c r="H90" s="251"/>
      <c r="I90" s="252">
        <v>0</v>
      </c>
      <c r="J90" s="239"/>
      <c r="K90" s="239">
        <v>7</v>
      </c>
      <c r="L90" s="238"/>
      <c r="M90" s="238">
        <v>7.9</v>
      </c>
      <c r="N90" s="238">
        <v>8.5</v>
      </c>
      <c r="O90" s="240">
        <v>0</v>
      </c>
      <c r="P90" s="232">
        <v>11</v>
      </c>
      <c r="Q90" s="255"/>
      <c r="R90" s="255"/>
      <c r="S90" s="256"/>
      <c r="T90" s="233">
        <v>44</v>
      </c>
      <c r="U90" s="255">
        <v>0</v>
      </c>
      <c r="V90" s="255">
        <v>22</v>
      </c>
      <c r="W90" s="936">
        <v>0</v>
      </c>
      <c r="X90" s="936">
        <v>29</v>
      </c>
      <c r="Y90" s="256">
        <v>95</v>
      </c>
      <c r="Z90" s="256">
        <v>92</v>
      </c>
      <c r="AA90" s="937">
        <v>86</v>
      </c>
      <c r="AB90" s="255">
        <v>0</v>
      </c>
      <c r="AC90" s="255">
        <v>0</v>
      </c>
      <c r="AD90" s="933"/>
      <c r="AE90" s="933"/>
      <c r="AF90" s="934"/>
      <c r="AG90" s="934"/>
      <c r="AH90" s="934"/>
      <c r="AI90" s="934"/>
      <c r="AJ90" s="1011">
        <v>-53</v>
      </c>
      <c r="AK90" s="934"/>
      <c r="AL90" s="934"/>
      <c r="AM90" s="934"/>
      <c r="AN90" s="935"/>
      <c r="AO90" s="1011"/>
      <c r="AP90" s="1011"/>
      <c r="AQ90" s="1011"/>
      <c r="AR90" s="1011"/>
      <c r="AS90" s="1011"/>
      <c r="AT90" s="1011"/>
      <c r="AU90" s="1011"/>
      <c r="AV90" s="224">
        <v>0</v>
      </c>
      <c r="AW90" s="224"/>
      <c r="AX90" s="224"/>
      <c r="AY90" s="1005">
        <v>-62.585237736625075</v>
      </c>
      <c r="BA90" s="228">
        <f>-'Strom - Nachfrage'!T64/1000</f>
        <v>-78.627721404067074</v>
      </c>
    </row>
    <row r="91" spans="1:53" x14ac:dyDescent="0.35">
      <c r="B91" s="219" t="s">
        <v>5080</v>
      </c>
      <c r="C91" s="238"/>
      <c r="D91" s="251"/>
      <c r="E91" s="252"/>
      <c r="F91" s="251"/>
      <c r="G91" s="251"/>
      <c r="H91" s="251"/>
      <c r="I91" s="252"/>
      <c r="J91" s="239"/>
      <c r="K91" s="239"/>
      <c r="L91" s="238"/>
      <c r="M91" s="238"/>
      <c r="N91" s="238"/>
      <c r="O91" s="240"/>
      <c r="P91" s="232"/>
      <c r="Q91" s="255"/>
      <c r="R91" s="255"/>
      <c r="S91" s="256"/>
      <c r="T91" s="233"/>
      <c r="U91" s="255"/>
      <c r="V91" s="255"/>
      <c r="W91" s="936"/>
      <c r="X91" s="936"/>
      <c r="Y91" s="256"/>
      <c r="Z91" s="256"/>
      <c r="AA91" s="937"/>
      <c r="AB91" s="255"/>
      <c r="AC91" s="255"/>
      <c r="AD91" s="933"/>
      <c r="AE91" s="933"/>
      <c r="AF91" s="934"/>
      <c r="AG91" s="934"/>
      <c r="AH91" s="934"/>
      <c r="AI91" s="934"/>
      <c r="AJ91" s="1011">
        <f>AJ89-AJ90</f>
        <v>34</v>
      </c>
      <c r="AK91" s="934"/>
      <c r="AL91" s="934"/>
      <c r="AM91" s="934"/>
      <c r="AN91" s="935"/>
      <c r="AO91" s="1011">
        <v>-22</v>
      </c>
      <c r="AP91" s="1011">
        <v>-26</v>
      </c>
      <c r="AQ91" s="1011"/>
      <c r="AR91" s="1011">
        <v>-52.5</v>
      </c>
      <c r="AS91" s="1011">
        <v>-6.97358330000002</v>
      </c>
      <c r="AT91" s="1011">
        <v>-47.6180555555556</v>
      </c>
      <c r="AU91" s="1011">
        <v>-132.1</v>
      </c>
      <c r="AV91" s="224"/>
      <c r="AW91" s="224"/>
      <c r="AX91" s="224"/>
      <c r="AY91" s="1005">
        <f>AY89-AY90</f>
        <v>-9.6423164484168069</v>
      </c>
      <c r="AZ91" s="1000">
        <v>34.15</v>
      </c>
      <c r="BA91" s="228" t="e">
        <f>BA89-BA90</f>
        <v>#N/A</v>
      </c>
    </row>
    <row r="92" spans="1:53" x14ac:dyDescent="0.35">
      <c r="B92" s="219" t="s">
        <v>1229</v>
      </c>
      <c r="C92" s="238"/>
      <c r="D92" s="251"/>
      <c r="E92" s="252"/>
      <c r="F92" s="251"/>
      <c r="G92" s="251"/>
      <c r="H92" s="251"/>
      <c r="I92" s="252"/>
      <c r="J92" s="239"/>
      <c r="K92" s="239"/>
      <c r="L92" s="238"/>
      <c r="M92" s="238"/>
      <c r="N92" s="238"/>
      <c r="O92" s="240"/>
      <c r="P92" s="232"/>
      <c r="Q92" s="255"/>
      <c r="R92" s="255"/>
      <c r="S92" s="256"/>
      <c r="T92" s="233"/>
      <c r="U92" s="255"/>
      <c r="V92" s="255"/>
      <c r="W92" s="936"/>
      <c r="X92" s="936"/>
      <c r="Y92" s="256"/>
      <c r="Z92" s="256"/>
      <c r="AA92" s="937"/>
      <c r="AB92" s="255"/>
      <c r="AC92" s="255"/>
      <c r="AD92" s="933"/>
      <c r="AE92" s="933"/>
      <c r="AF92" s="934"/>
      <c r="AG92" s="934"/>
      <c r="AH92" s="934"/>
      <c r="AI92" s="934"/>
      <c r="AJ92" s="1011">
        <f>SUM(AJ79:AJ86,AJ88,AJ91)</f>
        <v>-1354</v>
      </c>
      <c r="AK92" s="934"/>
      <c r="AL92" s="934"/>
      <c r="AM92" s="934"/>
      <c r="AN92" s="935"/>
      <c r="AO92" s="1011">
        <f>SUM(AO79:AO86,AO88,AO91)</f>
        <v>-1030.784845160947</v>
      </c>
      <c r="AP92" s="1011">
        <f>SUM(AP79:AP86,AP88,AP91)</f>
        <v>-869</v>
      </c>
      <c r="AQ92" s="1011">
        <f t="shared" ref="AQ92:AT92" si="12">SUM(AQ79:AQ86,AQ88,AQ91)</f>
        <v>-1060.28</v>
      </c>
      <c r="AR92" s="1011">
        <f t="shared" si="12"/>
        <v>-1153.6231267226626</v>
      </c>
      <c r="AS92" s="1011">
        <f t="shared" si="12"/>
        <v>-1493.651655846262</v>
      </c>
      <c r="AT92" s="1011">
        <f t="shared" si="12"/>
        <v>-808.71416666666732</v>
      </c>
      <c r="AU92" s="1011">
        <f>SUM(AU79:AU86,AU88,AU91)</f>
        <v>-1074.48</v>
      </c>
      <c r="AV92" s="224"/>
      <c r="AW92" s="224"/>
      <c r="AX92" s="224"/>
      <c r="AY92" s="1000">
        <f>SUM(AY79:AY86,AY88,AY91)</f>
        <v>-1283.6001241347337</v>
      </c>
      <c r="AZ92" s="1000">
        <f>SUM(AZ79:AZ86,AZ88,AZ91)</f>
        <v>-608.41</v>
      </c>
      <c r="BA92" s="228" t="e">
        <f>SUM(BA79:BA88,BA91)</f>
        <v>#N/A</v>
      </c>
    </row>
    <row r="93" spans="1:53" x14ac:dyDescent="0.35">
      <c r="A93" s="1024" t="s">
        <v>5081</v>
      </c>
      <c r="B93" s="1027"/>
      <c r="C93" s="1025"/>
      <c r="D93" s="1026"/>
      <c r="E93" s="1026"/>
      <c r="F93" s="1026"/>
      <c r="G93" s="1026"/>
      <c r="H93" s="1026"/>
      <c r="I93" s="1026"/>
      <c r="J93" s="1025"/>
      <c r="K93" s="1025"/>
      <c r="L93" s="1025"/>
      <c r="M93" s="1025"/>
      <c r="N93" s="1025"/>
      <c r="O93" s="1027"/>
      <c r="P93" s="1028"/>
      <c r="Q93" s="1029"/>
      <c r="R93" s="1029"/>
      <c r="S93" s="1029"/>
      <c r="T93" s="1030"/>
      <c r="U93" s="1029"/>
      <c r="V93" s="1029"/>
      <c r="W93" s="1029"/>
      <c r="X93" s="1029"/>
      <c r="Y93" s="1029"/>
      <c r="Z93" s="1029"/>
      <c r="AA93" s="1029"/>
      <c r="AB93" s="1029"/>
      <c r="AC93" s="1029"/>
      <c r="AD93" s="1029"/>
      <c r="AE93" s="1029"/>
      <c r="AF93" s="1029"/>
      <c r="AG93" s="1029"/>
      <c r="AH93" s="1029"/>
      <c r="AI93" s="1029"/>
      <c r="AJ93" s="1029"/>
      <c r="AK93" s="1029"/>
      <c r="AL93" s="1029"/>
      <c r="AM93" s="1029"/>
      <c r="AN93" s="1029"/>
      <c r="AO93" s="1029"/>
      <c r="AP93" s="1029"/>
      <c r="AQ93" s="1029"/>
      <c r="AR93" s="1029"/>
      <c r="AS93" s="1029"/>
      <c r="AT93" s="1029"/>
      <c r="AU93" s="1029"/>
      <c r="AV93" s="1027"/>
      <c r="AW93" s="1027"/>
      <c r="AX93" s="1027"/>
      <c r="AY93" s="1024"/>
      <c r="AZ93" s="1027" t="s">
        <v>1410</v>
      </c>
      <c r="BA93" s="1024"/>
    </row>
    <row r="94" spans="1:53" x14ac:dyDescent="0.35">
      <c r="A94" s="226" t="s">
        <v>1528</v>
      </c>
      <c r="B94" s="219" t="s">
        <v>1164</v>
      </c>
      <c r="C94" s="238"/>
      <c r="D94" s="251"/>
      <c r="E94" s="252"/>
      <c r="F94" s="251"/>
      <c r="G94" s="251"/>
      <c r="H94" s="251"/>
      <c r="I94" s="252"/>
      <c r="J94" s="239"/>
      <c r="K94" s="239"/>
      <c r="L94" s="238"/>
      <c r="M94" s="238"/>
      <c r="N94" s="238"/>
      <c r="O94" s="240"/>
      <c r="P94" s="232"/>
      <c r="Q94" s="255"/>
      <c r="R94" s="255"/>
      <c r="S94" s="256"/>
      <c r="T94" s="233"/>
      <c r="U94" s="255"/>
      <c r="V94" s="255"/>
      <c r="W94" s="936"/>
      <c r="X94" s="936"/>
      <c r="Y94" s="256"/>
      <c r="Z94" s="256"/>
      <c r="AA94" s="937"/>
      <c r="AB94" s="255"/>
      <c r="AC94" s="255"/>
      <c r="AD94" s="933"/>
      <c r="AE94" s="933"/>
      <c r="AF94" s="934"/>
      <c r="AG94" s="934"/>
      <c r="AH94" s="934"/>
      <c r="AI94" s="934"/>
      <c r="AJ94" s="1011">
        <v>341</v>
      </c>
      <c r="AK94" s="934"/>
      <c r="AL94" s="934"/>
      <c r="AM94" s="934"/>
      <c r="AN94" s="935"/>
      <c r="AO94" s="1011">
        <f>114.439899294348-52</f>
        <v>62.439899294347995</v>
      </c>
      <c r="AP94" s="1011">
        <v>145</v>
      </c>
      <c r="AQ94" s="1011">
        <v>186</v>
      </c>
      <c r="AR94" s="1011">
        <v>435.98841666666698</v>
      </c>
      <c r="AS94" s="1011">
        <v>380.21408335331802</v>
      </c>
      <c r="AT94" s="1011">
        <v>272.02222222222298</v>
      </c>
      <c r="AU94" s="1011">
        <f>652.3-AU96-AU95</f>
        <v>138.16999389648433</v>
      </c>
      <c r="AV94" s="224"/>
      <c r="AW94" s="224"/>
      <c r="AX94" s="224"/>
      <c r="AY94" s="1005">
        <v>64.802950851689872</v>
      </c>
      <c r="AZ94" s="1000">
        <v>125.3</v>
      </c>
      <c r="BA94" s="228">
        <f>'Strom - Nachfrage'!AF56/1000</f>
        <v>0</v>
      </c>
    </row>
    <row r="95" spans="1:53" x14ac:dyDescent="0.35">
      <c r="A95" s="226" t="s">
        <v>1331</v>
      </c>
      <c r="B95" s="219" t="s">
        <v>1331</v>
      </c>
      <c r="C95" s="238"/>
      <c r="D95" s="251"/>
      <c r="E95" s="252"/>
      <c r="F95" s="251"/>
      <c r="G95" s="251"/>
      <c r="H95" s="251"/>
      <c r="I95" s="252"/>
      <c r="J95" s="239"/>
      <c r="K95" s="239"/>
      <c r="L95" s="238"/>
      <c r="M95" s="238"/>
      <c r="N95" s="238"/>
      <c r="O95" s="240"/>
      <c r="P95" s="232"/>
      <c r="Q95" s="255"/>
      <c r="R95" s="255"/>
      <c r="S95" s="256"/>
      <c r="T95" s="233"/>
      <c r="U95" s="255"/>
      <c r="V95" s="255"/>
      <c r="W95" s="936"/>
      <c r="X95" s="936"/>
      <c r="Y95" s="256"/>
      <c r="Z95" s="256"/>
      <c r="AA95" s="937"/>
      <c r="AB95" s="255"/>
      <c r="AC95" s="255"/>
      <c r="AD95" s="933"/>
      <c r="AE95" s="933"/>
      <c r="AF95" s="934"/>
      <c r="AG95" s="934"/>
      <c r="AH95" s="934"/>
      <c r="AI95" s="934"/>
      <c r="AJ95" s="1011"/>
      <c r="AK95" s="934"/>
      <c r="AL95" s="934"/>
      <c r="AM95" s="934"/>
      <c r="AN95" s="935"/>
      <c r="AO95" s="1011">
        <v>130.30371954493205</v>
      </c>
      <c r="AP95" s="1011">
        <v>158</v>
      </c>
      <c r="AQ95" s="1011"/>
      <c r="AR95" s="1011"/>
      <c r="AS95" s="1011"/>
      <c r="AT95" s="1011"/>
      <c r="AU95" s="1011">
        <v>110.53</v>
      </c>
      <c r="AV95" s="224"/>
      <c r="AW95" s="224"/>
      <c r="AX95" s="224"/>
      <c r="AY95" s="1005">
        <v>139.97136799676775</v>
      </c>
      <c r="AZ95" s="1000">
        <v>146.69999999999999</v>
      </c>
      <c r="BA95" s="228">
        <f>'Strom - Nachfrage'!AF57/1000</f>
        <v>0</v>
      </c>
    </row>
    <row r="96" spans="1:53" x14ac:dyDescent="0.35">
      <c r="A96" s="226" t="s">
        <v>1468</v>
      </c>
      <c r="B96" s="219" t="s">
        <v>1166</v>
      </c>
      <c r="C96" s="238"/>
      <c r="D96" s="251"/>
      <c r="E96" s="252"/>
      <c r="F96" s="251"/>
      <c r="G96" s="251"/>
      <c r="H96" s="251"/>
      <c r="I96" s="252"/>
      <c r="J96" s="239"/>
      <c r="K96" s="239"/>
      <c r="L96" s="238"/>
      <c r="M96" s="238"/>
      <c r="N96" s="238"/>
      <c r="O96" s="240"/>
      <c r="P96" s="232"/>
      <c r="Q96" s="255"/>
      <c r="R96" s="255"/>
      <c r="S96" s="256"/>
      <c r="T96" s="233"/>
      <c r="U96" s="255"/>
      <c r="V96" s="255"/>
      <c r="W96" s="936"/>
      <c r="X96" s="936"/>
      <c r="Y96" s="256"/>
      <c r="Z96" s="256"/>
      <c r="AA96" s="937"/>
      <c r="AB96" s="255"/>
      <c r="AC96" s="255"/>
      <c r="AD96" s="933"/>
      <c r="AE96" s="933"/>
      <c r="AF96" s="934"/>
      <c r="AG96" s="934"/>
      <c r="AH96" s="934"/>
      <c r="AI96" s="934"/>
      <c r="AJ96" s="1011">
        <v>395</v>
      </c>
      <c r="AK96" s="934"/>
      <c r="AL96" s="934"/>
      <c r="AM96" s="934"/>
      <c r="AN96" s="935"/>
      <c r="AO96" s="1011">
        <v>316.59995078227701</v>
      </c>
      <c r="AP96" s="1011">
        <v>311</v>
      </c>
      <c r="AQ96" s="1011">
        <v>237</v>
      </c>
      <c r="AR96" s="1011">
        <v>345.82322222222302</v>
      </c>
      <c r="AS96" s="1011">
        <v>387.56999729932221</v>
      </c>
      <c r="AT96" s="1011">
        <v>172.72277777777799</v>
      </c>
      <c r="AU96" s="1011">
        <v>403.60000610351563</v>
      </c>
      <c r="AV96" s="224"/>
      <c r="AW96" s="224"/>
      <c r="AX96" s="224"/>
      <c r="AY96" s="1005">
        <v>346.64410757045209</v>
      </c>
      <c r="AZ96" s="1000">
        <v>223.3</v>
      </c>
      <c r="BA96" s="228">
        <f>'Strom - Nachfrage'!AF58/1000</f>
        <v>0</v>
      </c>
    </row>
    <row r="97" spans="1:53" x14ac:dyDescent="0.35">
      <c r="A97" s="226" t="s">
        <v>1813</v>
      </c>
      <c r="B97" s="219" t="s">
        <v>1165</v>
      </c>
      <c r="C97" s="238"/>
      <c r="D97" s="251"/>
      <c r="E97" s="252"/>
      <c r="F97" s="251"/>
      <c r="G97" s="251"/>
      <c r="H97" s="251"/>
      <c r="I97" s="252"/>
      <c r="J97" s="239"/>
      <c r="K97" s="239"/>
      <c r="L97" s="238"/>
      <c r="M97" s="238"/>
      <c r="N97" s="238"/>
      <c r="O97" s="240"/>
      <c r="P97" s="232"/>
      <c r="Q97" s="255"/>
      <c r="R97" s="255"/>
      <c r="S97" s="256"/>
      <c r="T97" s="233"/>
      <c r="U97" s="255"/>
      <c r="V97" s="255"/>
      <c r="W97" s="936"/>
      <c r="X97" s="936"/>
      <c r="Y97" s="266"/>
      <c r="Z97" s="256"/>
      <c r="AA97" s="937"/>
      <c r="AB97" s="255"/>
      <c r="AC97" s="255"/>
      <c r="AD97" s="933"/>
      <c r="AE97" s="933"/>
      <c r="AF97" s="934"/>
      <c r="AG97" s="934"/>
      <c r="AH97" s="934"/>
      <c r="AI97" s="934"/>
      <c r="AJ97" s="1011">
        <v>116</v>
      </c>
      <c r="AK97" s="934"/>
      <c r="AL97" s="934"/>
      <c r="AM97" s="934"/>
      <c r="AN97" s="935"/>
      <c r="AO97" s="1011">
        <v>175</v>
      </c>
      <c r="AP97" s="1011">
        <v>110</v>
      </c>
      <c r="AQ97" s="1011">
        <v>163</v>
      </c>
      <c r="AR97" s="1011">
        <v>179.25880555555599</v>
      </c>
      <c r="AS97" s="1011">
        <v>143.93344844736001</v>
      </c>
      <c r="AT97" s="1011">
        <v>248.98</v>
      </c>
      <c r="AU97" s="1011">
        <v>160.1</v>
      </c>
      <c r="AV97" s="224"/>
      <c r="AW97" s="224"/>
      <c r="AX97" s="224"/>
      <c r="AY97" s="1005">
        <v>73.009148723584971</v>
      </c>
      <c r="AZ97" s="1000">
        <v>12</v>
      </c>
      <c r="BA97" s="228">
        <f>'Strom - Nachfrage'!AF59/1000</f>
        <v>0</v>
      </c>
    </row>
    <row r="98" spans="1:53" x14ac:dyDescent="0.35">
      <c r="A98" s="226" t="s">
        <v>2328</v>
      </c>
      <c r="B98" s="219" t="s">
        <v>2327</v>
      </c>
      <c r="C98" s="238"/>
      <c r="D98" s="251"/>
      <c r="E98" s="252"/>
      <c r="F98" s="251"/>
      <c r="G98" s="251"/>
      <c r="H98" s="251"/>
      <c r="I98" s="252"/>
      <c r="J98" s="239"/>
      <c r="K98" s="239"/>
      <c r="L98" s="238"/>
      <c r="M98" s="238"/>
      <c r="N98" s="238"/>
      <c r="O98" s="240"/>
      <c r="P98" s="232"/>
      <c r="Q98" s="255"/>
      <c r="R98" s="255"/>
      <c r="S98" s="256"/>
      <c r="T98" s="233"/>
      <c r="U98" s="255"/>
      <c r="V98" s="255"/>
      <c r="W98" s="936"/>
      <c r="X98" s="936"/>
      <c r="Y98" s="266"/>
      <c r="Z98" s="256"/>
      <c r="AA98" s="937"/>
      <c r="AB98" s="255"/>
      <c r="AC98" s="255"/>
      <c r="AD98" s="933"/>
      <c r="AE98" s="933"/>
      <c r="AF98" s="934"/>
      <c r="AG98" s="934"/>
      <c r="AH98" s="934"/>
      <c r="AI98" s="934"/>
      <c r="AJ98" s="1011">
        <v>302</v>
      </c>
      <c r="AK98" s="934"/>
      <c r="AL98" s="934"/>
      <c r="AM98" s="934"/>
      <c r="AN98" s="935"/>
      <c r="AO98" s="1011">
        <v>149.85441894866281</v>
      </c>
      <c r="AP98" s="1011">
        <v>88</v>
      </c>
      <c r="AQ98" s="1011">
        <v>155</v>
      </c>
      <c r="AR98" s="1011">
        <v>88.786166666666801</v>
      </c>
      <c r="AS98" s="1011">
        <v>263.17083120000001</v>
      </c>
      <c r="AT98" s="1011">
        <v>35.9166666666667</v>
      </c>
      <c r="AU98" s="1011">
        <v>130.4</v>
      </c>
      <c r="AV98" s="224"/>
      <c r="AW98" s="224"/>
      <c r="AX98" s="224"/>
      <c r="AY98" s="1005">
        <v>311.38007998765204</v>
      </c>
      <c r="BA98" s="228">
        <f>'Strom - Nachfrage'!AF60/1000</f>
        <v>0</v>
      </c>
    </row>
    <row r="99" spans="1:53" x14ac:dyDescent="0.35">
      <c r="A99" s="226" t="s">
        <v>5082</v>
      </c>
      <c r="B99" s="219" t="s">
        <v>5083</v>
      </c>
      <c r="C99" s="238"/>
      <c r="D99" s="251"/>
      <c r="E99" s="252"/>
      <c r="F99" s="251"/>
      <c r="G99" s="251"/>
      <c r="H99" s="251"/>
      <c r="I99" s="252"/>
      <c r="J99" s="239"/>
      <c r="K99" s="239"/>
      <c r="L99" s="238"/>
      <c r="M99" s="238"/>
      <c r="N99" s="238"/>
      <c r="O99" s="240"/>
      <c r="P99" s="232"/>
      <c r="Q99" s="255"/>
      <c r="R99" s="255"/>
      <c r="S99" s="256"/>
      <c r="T99" s="233"/>
      <c r="U99" s="255"/>
      <c r="V99" s="255"/>
      <c r="W99" s="936"/>
      <c r="X99" s="936"/>
      <c r="Y99" s="266"/>
      <c r="Z99" s="256"/>
      <c r="AA99" s="937"/>
      <c r="AB99" s="255"/>
      <c r="AC99" s="255"/>
      <c r="AD99" s="933"/>
      <c r="AE99" s="933"/>
      <c r="AF99" s="934"/>
      <c r="AG99" s="934"/>
      <c r="AH99" s="934"/>
      <c r="AI99" s="934"/>
      <c r="AJ99" s="1011">
        <v>74</v>
      </c>
      <c r="AK99" s="934"/>
      <c r="AL99" s="934"/>
      <c r="AM99" s="934"/>
      <c r="AN99" s="935"/>
      <c r="AO99" s="1011">
        <v>82</v>
      </c>
      <c r="AP99" s="1011">
        <v>17</v>
      </c>
      <c r="AQ99" s="1011">
        <v>252</v>
      </c>
      <c r="AR99" s="1011">
        <v>43.196527777777803</v>
      </c>
      <c r="AS99" s="1011">
        <v>134.24448810000001</v>
      </c>
      <c r="AT99" s="1011">
        <v>116.555555555556</v>
      </c>
      <c r="AU99" s="1011">
        <v>129.5</v>
      </c>
      <c r="AV99" s="224"/>
      <c r="AW99" s="224"/>
      <c r="AX99" s="224"/>
      <c r="AY99" s="1005">
        <v>207.84691728613879</v>
      </c>
      <c r="BA99" s="228">
        <f>'Strom - Nachfrage'!AF62/1000</f>
        <v>0</v>
      </c>
    </row>
    <row r="100" spans="1:53" x14ac:dyDescent="0.35">
      <c r="A100" s="226" t="s">
        <v>4210</v>
      </c>
      <c r="B100" s="219" t="s">
        <v>4210</v>
      </c>
      <c r="C100" s="238"/>
      <c r="D100" s="251"/>
      <c r="E100" s="252"/>
      <c r="F100" s="251"/>
      <c r="G100" s="251"/>
      <c r="H100" s="251"/>
      <c r="I100" s="252"/>
      <c r="J100" s="239"/>
      <c r="K100" s="239"/>
      <c r="L100" s="238"/>
      <c r="M100" s="238"/>
      <c r="N100" s="238"/>
      <c r="O100" s="240"/>
      <c r="P100" s="232"/>
      <c r="Q100" s="255"/>
      <c r="R100" s="255"/>
      <c r="S100" s="256"/>
      <c r="T100" s="233"/>
      <c r="U100" s="255"/>
      <c r="V100" s="255"/>
      <c r="W100" s="936"/>
      <c r="X100" s="936"/>
      <c r="Y100" s="266"/>
      <c r="Z100" s="256"/>
      <c r="AA100" s="937"/>
      <c r="AB100" s="255"/>
      <c r="AC100" s="255"/>
      <c r="AD100" s="933"/>
      <c r="AE100" s="933"/>
      <c r="AF100" s="934"/>
      <c r="AG100" s="934"/>
      <c r="AH100" s="934"/>
      <c r="AI100" s="934"/>
      <c r="AJ100" s="1011"/>
      <c r="AK100" s="934"/>
      <c r="AL100" s="934"/>
      <c r="AM100" s="934"/>
      <c r="AN100" s="935"/>
      <c r="AO100" s="1011">
        <v>20.67123312438784</v>
      </c>
      <c r="AP100" s="1011">
        <v>0</v>
      </c>
      <c r="AQ100" s="1011"/>
      <c r="AR100" s="1011"/>
      <c r="AS100" s="1011"/>
      <c r="AT100" s="1011"/>
      <c r="AU100" s="1011"/>
      <c r="AV100" s="224"/>
      <c r="AW100" s="224"/>
      <c r="AX100" s="224"/>
      <c r="AY100" s="1005">
        <v>72.446139359493017</v>
      </c>
      <c r="BA100" s="228">
        <f>'Strom - Nachfrage'!AF61/1000</f>
        <v>0</v>
      </c>
    </row>
    <row r="101" spans="1:53" x14ac:dyDescent="0.35">
      <c r="B101" s="219" t="s">
        <v>2390</v>
      </c>
      <c r="C101" s="238"/>
      <c r="D101" s="251"/>
      <c r="E101" s="252"/>
      <c r="F101" s="251"/>
      <c r="G101" s="251"/>
      <c r="H101" s="251"/>
      <c r="I101" s="252"/>
      <c r="J101" s="239"/>
      <c r="K101" s="239"/>
      <c r="L101" s="238"/>
      <c r="M101" s="238"/>
      <c r="N101" s="238"/>
      <c r="O101" s="240"/>
      <c r="P101" s="232"/>
      <c r="Q101" s="255"/>
      <c r="R101" s="255"/>
      <c r="S101" s="256"/>
      <c r="T101" s="233"/>
      <c r="U101" s="255"/>
      <c r="V101" s="255"/>
      <c r="W101" s="936"/>
      <c r="X101" s="936"/>
      <c r="Y101" s="266"/>
      <c r="Z101" s="256"/>
      <c r="AA101" s="937"/>
      <c r="AB101" s="255"/>
      <c r="AC101" s="255"/>
      <c r="AD101" s="933"/>
      <c r="AE101" s="933"/>
      <c r="AF101" s="934"/>
      <c r="AG101" s="934"/>
      <c r="AH101" s="934"/>
      <c r="AI101" s="934"/>
      <c r="AJ101" s="1011"/>
      <c r="AK101" s="934"/>
      <c r="AL101" s="934"/>
      <c r="AM101" s="934"/>
      <c r="AN101" s="935"/>
      <c r="AO101" s="1011"/>
      <c r="AP101" s="1011"/>
      <c r="AQ101" s="1011"/>
      <c r="AR101" s="1011"/>
      <c r="AS101" s="1011"/>
      <c r="AT101" s="1011"/>
      <c r="AU101" s="1011"/>
      <c r="AV101" s="224"/>
      <c r="AW101" s="224"/>
      <c r="AX101" s="224"/>
      <c r="AY101" s="1005"/>
      <c r="BA101" s="228"/>
    </row>
    <row r="102" spans="1:53" x14ac:dyDescent="0.35">
      <c r="A102" s="226" t="s">
        <v>5084</v>
      </c>
      <c r="B102" s="219" t="s">
        <v>5085</v>
      </c>
      <c r="C102" s="238"/>
      <c r="D102" s="251"/>
      <c r="E102" s="252"/>
      <c r="F102" s="251"/>
      <c r="G102" s="251"/>
      <c r="H102" s="251"/>
      <c r="I102" s="252"/>
      <c r="J102" s="239"/>
      <c r="K102" s="239"/>
      <c r="L102" s="238"/>
      <c r="M102" s="238"/>
      <c r="N102" s="238"/>
      <c r="O102" s="240"/>
      <c r="P102" s="232"/>
      <c r="Q102" s="255"/>
      <c r="R102" s="255"/>
      <c r="S102" s="256"/>
      <c r="T102" s="233"/>
      <c r="U102" s="255"/>
      <c r="V102" s="255"/>
      <c r="W102" s="936"/>
      <c r="X102" s="936"/>
      <c r="Y102" s="266"/>
      <c r="Z102" s="256"/>
      <c r="AA102" s="937"/>
      <c r="AB102" s="255"/>
      <c r="AC102" s="255"/>
      <c r="AD102" s="933"/>
      <c r="AE102" s="933"/>
      <c r="AF102" s="934"/>
      <c r="AG102" s="934"/>
      <c r="AH102" s="934"/>
      <c r="AI102" s="934"/>
      <c r="AJ102" s="1011">
        <v>32</v>
      </c>
      <c r="AK102" s="934"/>
      <c r="AL102" s="934"/>
      <c r="AM102" s="934"/>
      <c r="AN102" s="935"/>
      <c r="AO102" s="1011">
        <v>6</v>
      </c>
      <c r="AP102" s="1011">
        <v>11</v>
      </c>
      <c r="AQ102" s="1011">
        <v>0</v>
      </c>
      <c r="AR102" s="1011"/>
      <c r="AS102" s="1011"/>
      <c r="AT102" s="1011"/>
      <c r="AU102" s="1011"/>
      <c r="AV102" s="224"/>
      <c r="AW102" s="224"/>
      <c r="AX102" s="224"/>
      <c r="AY102" s="1005"/>
      <c r="BA102" s="228"/>
    </row>
    <row r="103" spans="1:53" x14ac:dyDescent="0.35">
      <c r="B103" s="219" t="s">
        <v>1229</v>
      </c>
      <c r="C103" s="238"/>
      <c r="D103" s="251"/>
      <c r="E103" s="252"/>
      <c r="F103" s="251"/>
      <c r="G103" s="251"/>
      <c r="H103" s="251"/>
      <c r="I103" s="252"/>
      <c r="J103" s="239"/>
      <c r="K103" s="239"/>
      <c r="L103" s="238"/>
      <c r="M103" s="238"/>
      <c r="N103" s="238"/>
      <c r="O103" s="240"/>
      <c r="P103" s="232"/>
      <c r="Q103" s="255"/>
      <c r="R103" s="255"/>
      <c r="S103" s="256"/>
      <c r="T103" s="233"/>
      <c r="U103" s="255"/>
      <c r="V103" s="255"/>
      <c r="W103" s="936"/>
      <c r="X103" s="936"/>
      <c r="Y103" s="256"/>
      <c r="Z103" s="256"/>
      <c r="AA103" s="937"/>
      <c r="AB103" s="255"/>
      <c r="AC103" s="255"/>
      <c r="AD103" s="933"/>
      <c r="AE103" s="933"/>
      <c r="AF103" s="934"/>
      <c r="AG103" s="934"/>
      <c r="AH103" s="934"/>
      <c r="AI103" s="934"/>
      <c r="AJ103" s="1011">
        <f>SUM(AJ94:AJ102)</f>
        <v>1260</v>
      </c>
      <c r="AK103" s="934"/>
      <c r="AL103" s="934"/>
      <c r="AM103" s="934"/>
      <c r="AN103" s="935"/>
      <c r="AO103" s="1011">
        <f t="shared" ref="AO103:AT103" si="13">SUM(AO94:AO102)</f>
        <v>942.86922169460763</v>
      </c>
      <c r="AP103" s="1011">
        <f t="shared" si="13"/>
        <v>840</v>
      </c>
      <c r="AQ103" s="1011">
        <f t="shared" si="13"/>
        <v>993</v>
      </c>
      <c r="AR103" s="1011">
        <f t="shared" si="13"/>
        <v>1093.0531388888908</v>
      </c>
      <c r="AS103" s="1011">
        <f t="shared" si="13"/>
        <v>1309.1328484000001</v>
      </c>
      <c r="AT103" s="1011">
        <f t="shared" si="13"/>
        <v>846.19722222222367</v>
      </c>
      <c r="AU103" s="1011">
        <f>SUM(AU94:AU102)</f>
        <v>1072.3</v>
      </c>
      <c r="AV103" s="224"/>
      <c r="AW103" s="224"/>
      <c r="AX103" s="224"/>
      <c r="AY103" s="1005">
        <v>1216.1007117757783</v>
      </c>
      <c r="AZ103" s="1000">
        <f>SUM(AZ94:AZ100)</f>
        <v>507.3</v>
      </c>
      <c r="BA103" s="228">
        <f>SUM(BA94:BA100)</f>
        <v>0</v>
      </c>
    </row>
    <row r="104" spans="1:53" x14ac:dyDescent="0.35">
      <c r="A104" s="1034" t="s">
        <v>5086</v>
      </c>
      <c r="B104" s="1035" t="s">
        <v>5087</v>
      </c>
      <c r="C104" s="1036"/>
      <c r="D104" s="1037"/>
      <c r="E104" s="1037"/>
      <c r="F104" s="1037"/>
      <c r="G104" s="1037"/>
      <c r="H104" s="1037"/>
      <c r="I104" s="1037"/>
      <c r="J104" s="1036"/>
      <c r="K104" s="1036"/>
      <c r="L104" s="1036"/>
      <c r="M104" s="1036"/>
      <c r="N104" s="1036"/>
      <c r="O104" s="1038"/>
      <c r="P104" s="1039"/>
      <c r="Q104" s="1040"/>
      <c r="R104" s="1040"/>
      <c r="S104" s="1040"/>
      <c r="T104" s="1041"/>
      <c r="U104" s="1040"/>
      <c r="V104" s="1040"/>
      <c r="W104" s="1040"/>
      <c r="X104" s="1040"/>
      <c r="Y104" s="1040"/>
      <c r="Z104" s="1040"/>
      <c r="AA104" s="1040"/>
      <c r="AB104" s="1040"/>
      <c r="AC104" s="1040"/>
      <c r="AD104" s="1040"/>
      <c r="AE104" s="1040"/>
      <c r="AF104" s="1040"/>
      <c r="AG104" s="1040"/>
      <c r="AH104" s="1040"/>
      <c r="AI104" s="1040"/>
      <c r="AJ104" s="1040"/>
      <c r="AK104" s="1040"/>
      <c r="AL104" s="1040"/>
      <c r="AM104" s="1040"/>
      <c r="AN104" s="1040"/>
      <c r="AO104" s="1040"/>
      <c r="AP104" s="1040"/>
      <c r="AQ104" s="1040"/>
      <c r="AR104" s="1040"/>
      <c r="AS104" s="1040"/>
      <c r="AT104" s="1040"/>
      <c r="AU104" s="1040"/>
      <c r="AV104" s="1038"/>
      <c r="AW104" s="1038"/>
      <c r="AX104" s="1038"/>
      <c r="AY104" s="1042"/>
      <c r="AZ104" s="1038"/>
      <c r="BA104" s="1043"/>
    </row>
    <row r="105" spans="1:53" x14ac:dyDescent="0.35">
      <c r="A105" s="226" t="s">
        <v>2328</v>
      </c>
      <c r="B105" s="219" t="s">
        <v>2327</v>
      </c>
      <c r="C105" s="238"/>
      <c r="D105" s="251"/>
      <c r="E105" s="252"/>
      <c r="F105" s="251"/>
      <c r="G105" s="251"/>
      <c r="H105" s="251"/>
      <c r="I105" s="252"/>
      <c r="J105" s="239"/>
      <c r="K105" s="239"/>
      <c r="L105" s="238"/>
      <c r="M105" s="238"/>
      <c r="N105" s="238"/>
      <c r="O105" s="240"/>
      <c r="P105" s="232"/>
      <c r="Q105" s="255"/>
      <c r="R105" s="255"/>
      <c r="S105" s="256"/>
      <c r="T105" s="233"/>
      <c r="U105" s="255"/>
      <c r="V105" s="255"/>
      <c r="W105" s="936"/>
      <c r="X105" s="936"/>
      <c r="Y105" s="256"/>
      <c r="Z105" s="256"/>
      <c r="AA105" s="937"/>
      <c r="AB105" s="255"/>
      <c r="AC105" s="255"/>
      <c r="AD105" s="933"/>
      <c r="AE105" s="933"/>
      <c r="AF105" s="934"/>
      <c r="AG105" s="934"/>
      <c r="AH105" s="934"/>
      <c r="AI105" s="934"/>
      <c r="AJ105" s="1011">
        <v>201.3</v>
      </c>
      <c r="AK105" s="934"/>
      <c r="AL105" s="934"/>
      <c r="AM105" s="934"/>
      <c r="AN105" s="935"/>
      <c r="AO105" s="1011">
        <v>95.623473959335172</v>
      </c>
      <c r="AP105" s="1011">
        <v>60</v>
      </c>
      <c r="AQ105" s="1011">
        <v>138</v>
      </c>
      <c r="AR105" s="1011">
        <v>63.038166666666697</v>
      </c>
      <c r="AS105" s="1011">
        <v>169.204361426856</v>
      </c>
      <c r="AT105" s="1011">
        <v>27.869722222222201</v>
      </c>
      <c r="AU105" s="1011">
        <v>92.4</v>
      </c>
      <c r="AV105" s="224"/>
      <c r="AW105" s="224"/>
      <c r="AX105" s="224"/>
      <c r="AY105" s="1005">
        <v>213.41063322616603</v>
      </c>
      <c r="BA105" s="228" t="e">
        <f>('Wasserstoff - Produktion'!K9+'Wasserstoff - Produktion'!K12)/1000</f>
        <v>#N/A</v>
      </c>
    </row>
    <row r="106" spans="1:53" x14ac:dyDescent="0.35">
      <c r="A106" s="226" t="s">
        <v>1885</v>
      </c>
      <c r="B106" s="219" t="s">
        <v>5088</v>
      </c>
      <c r="C106" s="238"/>
      <c r="D106" s="251"/>
      <c r="E106" s="252"/>
      <c r="F106" s="251"/>
      <c r="G106" s="251"/>
      <c r="H106" s="251"/>
      <c r="I106" s="252"/>
      <c r="J106" s="239"/>
      <c r="K106" s="239"/>
      <c r="L106" s="238"/>
      <c r="M106" s="238"/>
      <c r="N106" s="238"/>
      <c r="O106" s="240"/>
      <c r="P106" s="232"/>
      <c r="Q106" s="255"/>
      <c r="R106" s="255"/>
      <c r="S106" s="256"/>
      <c r="T106" s="233"/>
      <c r="U106" s="255"/>
      <c r="V106" s="255"/>
      <c r="W106" s="936"/>
      <c r="X106" s="936"/>
      <c r="Y106" s="256"/>
      <c r="Z106" s="256"/>
      <c r="AA106" s="937"/>
      <c r="AB106" s="255"/>
      <c r="AC106" s="255"/>
      <c r="AD106" s="933"/>
      <c r="AE106" s="933"/>
      <c r="AF106" s="934"/>
      <c r="AG106" s="934"/>
      <c r="AH106" s="934"/>
      <c r="AI106" s="934"/>
      <c r="AJ106" s="1011">
        <v>6.8</v>
      </c>
      <c r="AK106" s="934"/>
      <c r="AL106" s="934"/>
      <c r="AM106" s="934"/>
      <c r="AN106" s="935"/>
      <c r="AO106" s="1011"/>
      <c r="AP106" s="1011"/>
      <c r="AQ106" s="1011"/>
      <c r="AR106" s="1011">
        <v>0</v>
      </c>
      <c r="AS106" s="1011"/>
      <c r="AT106" s="1011">
        <v>162.70444444444479</v>
      </c>
      <c r="AU106" s="1011"/>
      <c r="AV106" s="224"/>
      <c r="AW106" s="224"/>
      <c r="AX106" s="224"/>
      <c r="AY106" s="1005">
        <v>0</v>
      </c>
      <c r="BA106" s="228">
        <v>0</v>
      </c>
    </row>
    <row r="107" spans="1:53" x14ac:dyDescent="0.35">
      <c r="A107" s="226" t="s">
        <v>1673</v>
      </c>
      <c r="B107" s="219" t="s">
        <v>1673</v>
      </c>
      <c r="C107" s="238"/>
      <c r="D107" s="251"/>
      <c r="E107" s="252"/>
      <c r="F107" s="251"/>
      <c r="G107" s="251"/>
      <c r="H107" s="251"/>
      <c r="I107" s="252"/>
      <c r="J107" s="239"/>
      <c r="K107" s="239"/>
      <c r="L107" s="238"/>
      <c r="M107" s="238"/>
      <c r="N107" s="238"/>
      <c r="O107" s="240"/>
      <c r="P107" s="232"/>
      <c r="Q107" s="255"/>
      <c r="R107" s="255"/>
      <c r="S107" s="256"/>
      <c r="T107" s="233"/>
      <c r="U107" s="255"/>
      <c r="V107" s="255"/>
      <c r="W107" s="936"/>
      <c r="X107" s="936"/>
      <c r="Y107" s="256"/>
      <c r="Z107" s="256"/>
      <c r="AA107" s="937"/>
      <c r="AB107" s="255"/>
      <c r="AC107" s="255"/>
      <c r="AD107" s="933"/>
      <c r="AE107" s="933"/>
      <c r="AF107" s="934"/>
      <c r="AG107" s="934"/>
      <c r="AH107" s="934"/>
      <c r="AI107" s="934"/>
      <c r="AJ107" s="1011">
        <v>122.8</v>
      </c>
      <c r="AK107" s="934"/>
      <c r="AL107" s="934"/>
      <c r="AM107" s="934"/>
      <c r="AN107" s="935"/>
      <c r="AO107" s="1011">
        <v>169.31730406715377</v>
      </c>
      <c r="AP107" s="1011">
        <v>398</v>
      </c>
      <c r="AQ107" s="1011">
        <v>99</v>
      </c>
      <c r="AR107" s="1011">
        <v>150</v>
      </c>
      <c r="AS107" s="1011">
        <v>178.60891505555566</v>
      </c>
      <c r="AT107" s="1011">
        <v>127.222222222222</v>
      </c>
      <c r="AU107" s="1011">
        <v>169.9</v>
      </c>
      <c r="AV107" s="224"/>
      <c r="AW107" s="224"/>
      <c r="AX107" s="224"/>
      <c r="AY107" s="1005">
        <v>195.91568708967151</v>
      </c>
      <c r="BA107" s="228" t="e">
        <f>('Wasserstoff - Produktion'!K8+'Wasserstoff - Produktion'!K6+'Wasserstoff - Produktion'!K7)/1000</f>
        <v>#N/A</v>
      </c>
    </row>
    <row r="108" spans="1:53" x14ac:dyDescent="0.35">
      <c r="A108" s="226" t="s">
        <v>5089</v>
      </c>
      <c r="B108" s="219" t="s">
        <v>5090</v>
      </c>
      <c r="C108" s="238"/>
      <c r="D108" s="251"/>
      <c r="E108" s="252"/>
      <c r="F108" s="251"/>
      <c r="G108" s="251"/>
      <c r="H108" s="251"/>
      <c r="I108" s="252"/>
      <c r="J108" s="239"/>
      <c r="K108" s="239"/>
      <c r="L108" s="238"/>
      <c r="M108" s="238"/>
      <c r="N108" s="238"/>
      <c r="O108" s="240"/>
      <c r="P108" s="232"/>
      <c r="Q108" s="255"/>
      <c r="R108" s="255"/>
      <c r="S108" s="256"/>
      <c r="T108" s="233"/>
      <c r="U108" s="255"/>
      <c r="V108" s="255"/>
      <c r="W108" s="936"/>
      <c r="X108" s="936"/>
      <c r="Y108" s="256"/>
      <c r="Z108" s="256"/>
      <c r="AA108" s="937"/>
      <c r="AB108" s="255"/>
      <c r="AC108" s="255"/>
      <c r="AD108" s="933"/>
      <c r="AE108" s="933"/>
      <c r="AF108" s="934"/>
      <c r="AG108" s="934"/>
      <c r="AH108" s="934"/>
      <c r="AI108" s="934"/>
      <c r="AJ108" s="1011"/>
      <c r="AK108" s="934"/>
      <c r="AL108" s="934"/>
      <c r="AM108" s="934"/>
      <c r="AN108" s="935"/>
      <c r="AO108" s="1011"/>
      <c r="AP108" s="1011"/>
      <c r="AQ108" s="1011"/>
      <c r="AR108" s="1011">
        <v>2</v>
      </c>
      <c r="AS108" s="1011">
        <v>11.775985999999932</v>
      </c>
      <c r="AT108" s="1011"/>
      <c r="AU108" s="1011"/>
      <c r="AV108" s="224"/>
      <c r="AW108" s="224"/>
      <c r="AX108" s="224"/>
      <c r="AY108" s="1005">
        <v>5.1090282264449352</v>
      </c>
      <c r="BA108" s="228">
        <f>'Wasserstoff - Produktion'!K16/1000</f>
        <v>5.1091035377429881</v>
      </c>
    </row>
    <row r="109" spans="1:53" x14ac:dyDescent="0.35">
      <c r="B109" s="219" t="s">
        <v>1229</v>
      </c>
      <c r="C109" s="238"/>
      <c r="D109" s="251"/>
      <c r="E109" s="252"/>
      <c r="F109" s="251"/>
      <c r="G109" s="251"/>
      <c r="H109" s="251"/>
      <c r="I109" s="252"/>
      <c r="J109" s="239"/>
      <c r="K109" s="239"/>
      <c r="L109" s="238"/>
      <c r="M109" s="238"/>
      <c r="N109" s="238"/>
      <c r="O109" s="240"/>
      <c r="P109" s="232"/>
      <c r="Q109" s="255"/>
      <c r="R109" s="255"/>
      <c r="S109" s="256"/>
      <c r="T109" s="233"/>
      <c r="U109" s="255"/>
      <c r="V109" s="255"/>
      <c r="W109" s="936"/>
      <c r="X109" s="936"/>
      <c r="Y109" s="256"/>
      <c r="Z109" s="256"/>
      <c r="AA109" s="937"/>
      <c r="AB109" s="255"/>
      <c r="AC109" s="255"/>
      <c r="AD109" s="933"/>
      <c r="AE109" s="933"/>
      <c r="AF109" s="934"/>
      <c r="AG109" s="934"/>
      <c r="AH109" s="934"/>
      <c r="AI109" s="934"/>
      <c r="AJ109" s="1011">
        <f>SUM(AJ105:AJ108)</f>
        <v>330.90000000000003</v>
      </c>
      <c r="AK109" s="934"/>
      <c r="AL109" s="934"/>
      <c r="AM109" s="934"/>
      <c r="AN109" s="935"/>
      <c r="AO109" s="1011">
        <f>SUM(AO105:AO108)</f>
        <v>264.94077802648894</v>
      </c>
      <c r="AP109" s="1011">
        <f>SUM(AP105:AP108)</f>
        <v>458</v>
      </c>
      <c r="AQ109" s="1011">
        <f>SUM(AQ105:AQ108)</f>
        <v>237</v>
      </c>
      <c r="AR109" s="1011">
        <f t="shared" ref="AR109:AT109" si="14">SUM(AR105:AR108)</f>
        <v>215.03816666666671</v>
      </c>
      <c r="AS109" s="1011">
        <f t="shared" si="14"/>
        <v>359.58926248241158</v>
      </c>
      <c r="AT109" s="1011">
        <f t="shared" si="14"/>
        <v>317.796388888889</v>
      </c>
      <c r="AU109" s="1011">
        <f>SUM(AU105:AU108)</f>
        <v>262.3</v>
      </c>
      <c r="AV109" s="224"/>
      <c r="AW109" s="224"/>
      <c r="AX109" s="224"/>
      <c r="AY109" s="1005">
        <v>414.43534854228244</v>
      </c>
      <c r="BA109" s="228" t="e">
        <f>SUM(BA105:BA108)</f>
        <v>#N/A</v>
      </c>
    </row>
    <row r="110" spans="1:53" x14ac:dyDescent="0.35">
      <c r="A110" s="1034" t="s">
        <v>5091</v>
      </c>
      <c r="B110" s="1035" t="s">
        <v>5092</v>
      </c>
      <c r="C110" s="1044"/>
      <c r="D110" s="1045"/>
      <c r="E110" s="1045"/>
      <c r="F110" s="1045"/>
      <c r="G110" s="1045"/>
      <c r="H110" s="1045"/>
      <c r="I110" s="1045"/>
      <c r="J110" s="1044"/>
      <c r="K110" s="1044"/>
      <c r="L110" s="1044"/>
      <c r="M110" s="1044"/>
      <c r="N110" s="1044"/>
      <c r="O110" s="1035"/>
      <c r="P110" s="1046"/>
      <c r="Q110" s="1047"/>
      <c r="R110" s="1047"/>
      <c r="S110" s="1047"/>
      <c r="T110" s="1048"/>
      <c r="U110" s="1047"/>
      <c r="V110" s="1047"/>
      <c r="W110" s="1047"/>
      <c r="X110" s="1047"/>
      <c r="Y110" s="1047"/>
      <c r="Z110" s="1047"/>
      <c r="AA110" s="1047"/>
      <c r="AB110" s="1047"/>
      <c r="AC110" s="1047"/>
      <c r="AD110" s="1047"/>
      <c r="AE110" s="1047"/>
      <c r="AF110" s="1047"/>
      <c r="AG110" s="1047"/>
      <c r="AH110" s="1047"/>
      <c r="AI110" s="1047"/>
      <c r="AJ110" s="1047"/>
      <c r="AK110" s="1047"/>
      <c r="AL110" s="1047"/>
      <c r="AM110" s="1047"/>
      <c r="AN110" s="1047"/>
      <c r="AO110" s="1047"/>
      <c r="AP110" s="1047"/>
      <c r="AQ110" s="1047"/>
      <c r="AR110" s="1047"/>
      <c r="AS110" s="1047"/>
      <c r="AT110" s="1047"/>
      <c r="AU110" s="1047"/>
      <c r="AV110" s="1035"/>
      <c r="AW110" s="1035"/>
      <c r="AX110" s="1035"/>
      <c r="AY110" s="1034"/>
      <c r="AZ110" s="1035"/>
      <c r="BA110" s="1034"/>
    </row>
    <row r="111" spans="1:53" x14ac:dyDescent="0.35">
      <c r="A111" s="226" t="s">
        <v>1527</v>
      </c>
      <c r="B111" s="219" t="s">
        <v>1163</v>
      </c>
      <c r="C111" s="238"/>
      <c r="D111" s="251"/>
      <c r="E111" s="252"/>
      <c r="F111" s="251"/>
      <c r="G111" s="251"/>
      <c r="H111" s="251"/>
      <c r="I111" s="252"/>
      <c r="J111" s="239"/>
      <c r="K111" s="239"/>
      <c r="L111" s="238"/>
      <c r="M111" s="238"/>
      <c r="N111" s="238"/>
      <c r="O111" s="240"/>
      <c r="P111" s="232"/>
      <c r="Q111" s="255"/>
      <c r="R111" s="255"/>
      <c r="S111" s="256"/>
      <c r="T111" s="233"/>
      <c r="U111" s="255"/>
      <c r="V111" s="255"/>
      <c r="W111" s="936"/>
      <c r="X111" s="936"/>
      <c r="Y111" s="256"/>
      <c r="Z111" s="256"/>
      <c r="AA111" s="937"/>
      <c r="AB111" s="255"/>
      <c r="AC111" s="255"/>
      <c r="AD111" s="933"/>
      <c r="AE111" s="933"/>
      <c r="AF111" s="934"/>
      <c r="AG111" s="934"/>
      <c r="AH111" s="934"/>
      <c r="AI111" s="934"/>
      <c r="AJ111" s="1011">
        <v>-6.3</v>
      </c>
      <c r="AK111" s="934"/>
      <c r="AL111" s="934"/>
      <c r="AM111" s="934"/>
      <c r="AN111" s="935"/>
      <c r="AO111" s="1011">
        <v>-152</v>
      </c>
      <c r="AP111" s="1011">
        <v>-130</v>
      </c>
      <c r="AQ111" s="1011">
        <v>-92</v>
      </c>
      <c r="AR111" s="1011">
        <v>-134.74313888888901</v>
      </c>
      <c r="AS111" s="1011">
        <v>-77.811344426856294</v>
      </c>
      <c r="AT111" s="1011">
        <v>-205.944444444444</v>
      </c>
      <c r="AU111" s="1011">
        <v>-86.7</v>
      </c>
      <c r="AV111" s="224"/>
      <c r="AW111" s="224"/>
      <c r="AX111" s="224"/>
      <c r="AY111" s="1005">
        <v>-23.803984068226999</v>
      </c>
      <c r="BA111" s="228" t="e">
        <f>-'Wasserstoff - Bedarf'!J4/1000</f>
        <v>#N/A</v>
      </c>
    </row>
    <row r="112" spans="1:53" x14ac:dyDescent="0.35">
      <c r="A112" s="226" t="s">
        <v>1528</v>
      </c>
      <c r="B112" s="219" t="s">
        <v>1164</v>
      </c>
      <c r="C112" s="238"/>
      <c r="D112" s="251"/>
      <c r="E112" s="252"/>
      <c r="F112" s="251"/>
      <c r="G112" s="251"/>
      <c r="H112" s="251"/>
      <c r="I112" s="252"/>
      <c r="J112" s="239"/>
      <c r="K112" s="239"/>
      <c r="L112" s="238"/>
      <c r="M112" s="238"/>
      <c r="N112" s="238"/>
      <c r="O112" s="240"/>
      <c r="P112" s="232"/>
      <c r="Q112" s="255"/>
      <c r="R112" s="255"/>
      <c r="S112" s="256"/>
      <c r="T112" s="233"/>
      <c r="U112" s="255"/>
      <c r="V112" s="255"/>
      <c r="W112" s="936"/>
      <c r="X112" s="936"/>
      <c r="Y112" s="256"/>
      <c r="Z112" s="256"/>
      <c r="AA112" s="937"/>
      <c r="AB112" s="255"/>
      <c r="AC112" s="255"/>
      <c r="AD112" s="933"/>
      <c r="AE112" s="933"/>
      <c r="AF112" s="934"/>
      <c r="AG112" s="934"/>
      <c r="AH112" s="934"/>
      <c r="AI112" s="934"/>
      <c r="AJ112" s="1011">
        <v>-34.5</v>
      </c>
      <c r="AK112" s="934"/>
      <c r="AL112" s="934"/>
      <c r="AM112" s="934"/>
      <c r="AN112" s="935"/>
      <c r="AO112" s="1011">
        <v>0</v>
      </c>
      <c r="AP112" s="1011">
        <v>-79</v>
      </c>
      <c r="AQ112" s="1011">
        <v>0</v>
      </c>
      <c r="AR112" s="1011">
        <v>0</v>
      </c>
      <c r="AS112" s="1011">
        <v>-7.2726300380332596</v>
      </c>
      <c r="AT112" s="1011">
        <v>0</v>
      </c>
      <c r="AU112" s="1011">
        <v>0</v>
      </c>
      <c r="AV112" s="224"/>
      <c r="AW112" s="224"/>
      <c r="AX112" s="224"/>
      <c r="AY112" s="1005">
        <v>-3.84717486061446</v>
      </c>
      <c r="BA112" s="228" t="e">
        <f>-'Wasserstoff - Bedarf'!J5/1000</f>
        <v>#N/A</v>
      </c>
    </row>
    <row r="113" spans="1:53" x14ac:dyDescent="0.35">
      <c r="A113" s="226" t="s">
        <v>1468</v>
      </c>
      <c r="B113" s="219" t="s">
        <v>1166</v>
      </c>
      <c r="C113" s="238"/>
      <c r="D113" s="251"/>
      <c r="E113" s="252"/>
      <c r="F113" s="251"/>
      <c r="G113" s="251"/>
      <c r="H113" s="251"/>
      <c r="I113" s="252"/>
      <c r="J113" s="239"/>
      <c r="K113" s="239"/>
      <c r="L113" s="238"/>
      <c r="M113" s="238"/>
      <c r="N113" s="238"/>
      <c r="O113" s="240"/>
      <c r="P113" s="232"/>
      <c r="Q113" s="255"/>
      <c r="R113" s="255"/>
      <c r="S113" s="256"/>
      <c r="T113" s="233"/>
      <c r="U113" s="255"/>
      <c r="V113" s="255"/>
      <c r="W113" s="936"/>
      <c r="X113" s="936"/>
      <c r="Y113" s="256"/>
      <c r="Z113" s="256"/>
      <c r="AA113" s="937"/>
      <c r="AB113" s="255"/>
      <c r="AC113" s="255"/>
      <c r="AD113" s="933"/>
      <c r="AE113" s="933"/>
      <c r="AF113" s="934"/>
      <c r="AG113" s="934"/>
      <c r="AH113" s="934"/>
      <c r="AI113" s="934"/>
      <c r="AJ113" s="1011">
        <v>-83.8</v>
      </c>
      <c r="AK113" s="934"/>
      <c r="AL113" s="934"/>
      <c r="AM113" s="934"/>
      <c r="AN113" s="935"/>
      <c r="AO113" s="1011">
        <v>-74</v>
      </c>
      <c r="AP113" s="1011">
        <v>-191</v>
      </c>
      <c r="AQ113" s="1011">
        <v>-104</v>
      </c>
      <c r="AR113" s="1011">
        <v>-65.530666666666704</v>
      </c>
      <c r="AS113" s="1011">
        <v>-159.79202141752199</v>
      </c>
      <c r="AT113" s="1011">
        <v>-6.3663888888888902</v>
      </c>
      <c r="AU113" s="1011">
        <v>-156</v>
      </c>
      <c r="AV113" s="224"/>
      <c r="AW113" s="224"/>
      <c r="AX113" s="224"/>
      <c r="AY113" s="1005">
        <v>-267.21548012339099</v>
      </c>
      <c r="BA113" s="228" t="e">
        <f>-'Wasserstoff - Bedarf'!J6/1000</f>
        <v>#N/A</v>
      </c>
    </row>
    <row r="114" spans="1:53" x14ac:dyDescent="0.35">
      <c r="A114" s="226" t="s">
        <v>1813</v>
      </c>
      <c r="B114" s="219" t="s">
        <v>1165</v>
      </c>
      <c r="C114" s="238"/>
      <c r="D114" s="251"/>
      <c r="E114" s="252"/>
      <c r="F114" s="251"/>
      <c r="G114" s="251"/>
      <c r="H114" s="251"/>
      <c r="I114" s="252"/>
      <c r="J114" s="239"/>
      <c r="K114" s="239"/>
      <c r="L114" s="238"/>
      <c r="M114" s="238"/>
      <c r="N114" s="238"/>
      <c r="O114" s="240"/>
      <c r="P114" s="232"/>
      <c r="Q114" s="255"/>
      <c r="R114" s="255"/>
      <c r="S114" s="256"/>
      <c r="T114" s="233"/>
      <c r="U114" s="255"/>
      <c r="V114" s="255"/>
      <c r="W114" s="936"/>
      <c r="X114" s="936"/>
      <c r="Y114" s="256"/>
      <c r="Z114" s="256"/>
      <c r="AA114" s="937"/>
      <c r="AB114" s="255"/>
      <c r="AC114" s="255"/>
      <c r="AD114" s="933"/>
      <c r="AE114" s="933"/>
      <c r="AF114" s="934"/>
      <c r="AG114" s="934"/>
      <c r="AH114" s="934"/>
      <c r="AI114" s="934"/>
      <c r="AJ114" s="1011">
        <v>-172.1</v>
      </c>
      <c r="AK114" s="934"/>
      <c r="AL114" s="934"/>
      <c r="AM114" s="934"/>
      <c r="AN114" s="935"/>
      <c r="AO114" s="1011">
        <v>-39</v>
      </c>
      <c r="AP114" s="1011">
        <v>-59</v>
      </c>
      <c r="AQ114" s="1011">
        <v>-41</v>
      </c>
      <c r="AR114" s="1011">
        <v>-14.841944444444501</v>
      </c>
      <c r="AS114" s="1011">
        <v>-90.634464000000094</v>
      </c>
      <c r="AT114" s="1011">
        <v>-107</v>
      </c>
      <c r="AU114" s="1011">
        <v>-19.3</v>
      </c>
      <c r="AV114" s="224"/>
      <c r="AW114" s="224"/>
      <c r="AX114" s="224"/>
      <c r="AY114" s="1005">
        <v>-116.93978066578499</v>
      </c>
      <c r="BA114" s="228" t="e">
        <f>-'Wasserstoff - Bedarf'!J7/1000</f>
        <v>#N/A</v>
      </c>
    </row>
    <row r="115" spans="1:53" x14ac:dyDescent="0.35">
      <c r="B115" s="219" t="s">
        <v>1229</v>
      </c>
      <c r="C115" s="238"/>
      <c r="D115" s="251"/>
      <c r="E115" s="252"/>
      <c r="F115" s="251"/>
      <c r="G115" s="251"/>
      <c r="H115" s="251"/>
      <c r="I115" s="252"/>
      <c r="J115" s="239"/>
      <c r="K115" s="239"/>
      <c r="L115" s="238"/>
      <c r="M115" s="238"/>
      <c r="N115" s="238"/>
      <c r="O115" s="240"/>
      <c r="P115" s="232"/>
      <c r="Q115" s="255"/>
      <c r="R115" s="255"/>
      <c r="S115" s="256"/>
      <c r="T115" s="233"/>
      <c r="U115" s="255"/>
      <c r="V115" s="255"/>
      <c r="W115" s="936"/>
      <c r="X115" s="936"/>
      <c r="Y115" s="256"/>
      <c r="Z115" s="256"/>
      <c r="AA115" s="937"/>
      <c r="AB115" s="255"/>
      <c r="AC115" s="255"/>
      <c r="AD115" s="933"/>
      <c r="AE115" s="933"/>
      <c r="AF115" s="934"/>
      <c r="AG115" s="934"/>
      <c r="AH115" s="934"/>
      <c r="AI115" s="934"/>
      <c r="AJ115" s="1011">
        <f>SUM(AJ111:AJ114)</f>
        <v>-296.7</v>
      </c>
      <c r="AK115" s="934"/>
      <c r="AL115" s="934"/>
      <c r="AM115" s="934"/>
      <c r="AN115" s="935"/>
      <c r="AO115" s="1011">
        <f>SUM(AO111:AO114)</f>
        <v>-265</v>
      </c>
      <c r="AP115" s="1011">
        <f>SUM(AP111:AP114)</f>
        <v>-459</v>
      </c>
      <c r="AQ115" s="1011">
        <f>SUM(AQ111:AQ114)</f>
        <v>-237</v>
      </c>
      <c r="AR115" s="1011">
        <f t="shared" ref="AR115:AT115" si="15">SUM(AR111:AR114)</f>
        <v>-215.11575000000022</v>
      </c>
      <c r="AS115" s="1011">
        <f t="shared" si="15"/>
        <v>-335.51045988241162</v>
      </c>
      <c r="AT115" s="1011">
        <f t="shared" si="15"/>
        <v>-319.31083333333288</v>
      </c>
      <c r="AU115" s="1011">
        <f>SUM(AU111:AU114)</f>
        <v>-262</v>
      </c>
      <c r="AV115" s="224"/>
      <c r="AW115" s="224"/>
      <c r="AX115" s="224"/>
      <c r="AY115" s="1005">
        <f>SUM(AY111:AY114)</f>
        <v>-411.80641971801748</v>
      </c>
      <c r="BA115" s="228" t="e">
        <f>SUM(BA111:BA114)</f>
        <v>#N/A</v>
      </c>
    </row>
    <row r="116" spans="1:53" x14ac:dyDescent="0.35">
      <c r="AY116" s="1000"/>
    </row>
    <row r="117" spans="1:53" x14ac:dyDescent="0.35">
      <c r="AY117" s="1000"/>
    </row>
    <row r="118" spans="1:53" x14ac:dyDescent="0.35">
      <c r="AY118" s="1000"/>
    </row>
    <row r="119" spans="1:53" x14ac:dyDescent="0.35">
      <c r="AY119" s="1000"/>
    </row>
    <row r="120" spans="1:53" x14ac:dyDescent="0.35">
      <c r="AY120" s="1000"/>
    </row>
    <row r="121" spans="1:53" x14ac:dyDescent="0.35">
      <c r="AY121" s="1000"/>
    </row>
  </sheetData>
  <mergeCells count="2">
    <mergeCell ref="F9:F10"/>
    <mergeCell ref="L41:N41"/>
  </mergeCells>
  <pageMargins left="0.7" right="0.7" top="0.78740157499999996" bottom="0.78740157499999996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58</vt:i4>
      </vt:variant>
      <vt:variant>
        <vt:lpstr>Benannte Bereiche</vt:lpstr>
      </vt:variant>
      <vt:variant>
        <vt:i4>1</vt:i4>
      </vt:variant>
    </vt:vector>
  </HeadingPairs>
  <TitlesOfParts>
    <vt:vector size="59" baseType="lpstr">
      <vt:lpstr>capacities</vt:lpstr>
      <vt:lpstr>flows</vt:lpstr>
      <vt:lpstr>CO2</vt:lpstr>
      <vt:lpstr>costs</vt:lpstr>
      <vt:lpstr>Fuel price calculation</vt:lpstr>
      <vt:lpstr>Farben</vt:lpstr>
      <vt:lpstr>Primärenergiebedarf</vt:lpstr>
      <vt:lpstr>Endenergiebedarf nach Sektor</vt:lpstr>
      <vt:lpstr>Kosten</vt:lpstr>
      <vt:lpstr>Kostenvergleich</vt:lpstr>
      <vt:lpstr>CO2-Emissionen</vt:lpstr>
      <vt:lpstr>Spez. Auswertung</vt:lpstr>
      <vt:lpstr>Sektorziele</vt:lpstr>
      <vt:lpstr>Speicher allgemein</vt:lpstr>
      <vt:lpstr>Strom - Inst. Kapazitäten</vt:lpstr>
      <vt:lpstr>Strom - Nachfrage</vt:lpstr>
      <vt:lpstr>Strom - Flows</vt:lpstr>
      <vt:lpstr>Übertragungsnetz</vt:lpstr>
      <vt:lpstr>Verteilnetz</vt:lpstr>
      <vt:lpstr>HH-Netz</vt:lpstr>
      <vt:lpstr>Strom - Regionale Aufteilung</vt:lpstr>
      <vt:lpstr>Strom - Regionale Aufteilung 2</vt:lpstr>
      <vt:lpstr>Strom - Speicher</vt:lpstr>
      <vt:lpstr>Wärme - Gesamtverbrauch</vt:lpstr>
      <vt:lpstr>Wärme - Erzeugung</vt:lpstr>
      <vt:lpstr>Wärme - Speicher</vt:lpstr>
      <vt:lpstr>Prozesswärme - Energieträger</vt:lpstr>
      <vt:lpstr>Prozesswärme - Erzeugung</vt:lpstr>
      <vt:lpstr>Prozesswärme - Bedarf</vt:lpstr>
      <vt:lpstr>Industrieprozesse</vt:lpstr>
      <vt:lpstr>Chemische Industrie</vt:lpstr>
      <vt:lpstr>Papierindustrie</vt:lpstr>
      <vt:lpstr>Glasindustrie</vt:lpstr>
      <vt:lpstr>Raumwärme - Energieträger</vt:lpstr>
      <vt:lpstr>Gebäude - Wärmeverbrauch</vt:lpstr>
      <vt:lpstr>Gebäude - Heizungsart</vt:lpstr>
      <vt:lpstr>Gebäude - Inst. Heizkapazitäten</vt:lpstr>
      <vt:lpstr>Gebäude - Bestand</vt:lpstr>
      <vt:lpstr>Gebäude - Sanierungsrate</vt:lpstr>
      <vt:lpstr>Gebäude - Elektrogeräte</vt:lpstr>
      <vt:lpstr>Erdgas</vt:lpstr>
      <vt:lpstr>Wasserstoff - Inst. Kapazitäten</vt:lpstr>
      <vt:lpstr>Wasserstoff - Bedarf</vt:lpstr>
      <vt:lpstr>Wasserstoff - Produktion</vt:lpstr>
      <vt:lpstr>Wasserstoff - Speicher</vt:lpstr>
      <vt:lpstr>Verkehr - Bestand</vt:lpstr>
      <vt:lpstr>Verkehr - Nutzung</vt:lpstr>
      <vt:lpstr>Verkehr - Kraftstoffmix</vt:lpstr>
      <vt:lpstr>Verkehr - EE im Kraftstoff</vt:lpstr>
      <vt:lpstr>Energycrops</vt:lpstr>
      <vt:lpstr>Straw Conversion</vt:lpstr>
      <vt:lpstr>Wood Conversion</vt:lpstr>
      <vt:lpstr>Biogas Conversion</vt:lpstr>
      <vt:lpstr>Biomasse - Produktion</vt:lpstr>
      <vt:lpstr>Biomasse - Nutzung</vt:lpstr>
      <vt:lpstr>Biomasse - Kapazitäten</vt:lpstr>
      <vt:lpstr>Biomasse - Sources</vt:lpstr>
      <vt:lpstr>Studienvergleich</vt:lpstr>
      <vt:lpstr>Glasindustrie!Druckbereich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Kullmann</dc:creator>
  <cp:lastModifiedBy>Thomas Schöb</cp:lastModifiedBy>
  <cp:lastPrinted>2020-11-20T09:36:44Z</cp:lastPrinted>
  <dcterms:created xsi:type="dcterms:W3CDTF">2018-08-20T15:37:04Z</dcterms:created>
  <dcterms:modified xsi:type="dcterms:W3CDTF">2022-05-10T17:33:54Z</dcterms:modified>
</cp:coreProperties>
</file>